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xmlns:mc="http://schemas.openxmlformats.org/markup-compatibility/2006">
    <mc:Choice Requires="x15">
      <x15ac:absPath xmlns:x15ac="http://schemas.microsoft.com/office/spreadsheetml/2010/11/ac" url="C:\Users\regina.obrien\Desktop\CVR CORA Requests -2022 Primary and Rep SOS Recount\"/>
    </mc:Choice>
  </mc:AlternateContent>
  <xr:revisionPtr revIDLastSave="0" documentId="13_ncr:1_{4AFA5138-601E-4AB3-9122-E5940458561C}" xr6:coauthVersionLast="36" xr6:coauthVersionMax="36" xr10:uidLastSave="{00000000-0000-0000-0000-000000000000}"/>
  <bookViews>
    <workbookView xWindow="0" yWindow="0" windowWidth="28800" windowHeight="12225" xr2:uid="{00000000-000D-0000-FFFF-FFFF00000000}"/>
  </bookViews>
  <sheets>
    <sheet name="2022 Primary CVR" sheetId="1" r:id="rId1"/>
    <sheet name="Redaction Notes" sheetId="2" r:id="rId2"/>
  </sheets>
  <definedNames>
    <definedName name="_xlnm._FilterDatabase" localSheetId="0" hidden="1">'2022 Primary CVR'!$A$4:$AW$8933</definedName>
  </definedNames>
  <calcPr calcId="191029"/>
</workbook>
</file>

<file path=xl/calcChain.xml><?xml version="1.0" encoding="utf-8"?>
<calcChain xmlns="http://schemas.openxmlformats.org/spreadsheetml/2006/main">
  <c r="A5" i="1" l="1"/>
  <c r="B5" i="1"/>
  <c r="C5" i="1"/>
  <c r="D5" i="1"/>
  <c r="E5" i="1"/>
  <c r="A6" i="1"/>
  <c r="B6" i="1"/>
  <c r="C6" i="1"/>
  <c r="D6" i="1"/>
  <c r="E6" i="1"/>
  <c r="A7" i="1"/>
  <c r="B7" i="1"/>
  <c r="C7" i="1"/>
  <c r="D7" i="1"/>
  <c r="E7" i="1"/>
  <c r="A8" i="1"/>
  <c r="B8" i="1"/>
  <c r="C8" i="1"/>
  <c r="D8" i="1"/>
  <c r="E8" i="1"/>
  <c r="A9" i="1"/>
  <c r="B9" i="1"/>
  <c r="C9" i="1"/>
  <c r="D9" i="1"/>
  <c r="E9" i="1"/>
  <c r="A10" i="1"/>
  <c r="B10" i="1"/>
  <c r="C10" i="1"/>
  <c r="D10" i="1"/>
  <c r="E10" i="1"/>
  <c r="A11" i="1"/>
  <c r="B11" i="1"/>
  <c r="C11" i="1"/>
  <c r="D11" i="1"/>
  <c r="E11" i="1"/>
  <c r="A12" i="1"/>
  <c r="B12" i="1"/>
  <c r="C12" i="1"/>
  <c r="D12" i="1"/>
  <c r="E12" i="1"/>
  <c r="A13" i="1"/>
  <c r="B13" i="1"/>
  <c r="C13" i="1"/>
  <c r="D13" i="1"/>
  <c r="E13" i="1"/>
  <c r="A14" i="1"/>
  <c r="B14" i="1"/>
  <c r="C14" i="1"/>
  <c r="D14" i="1"/>
  <c r="E14" i="1"/>
  <c r="A15" i="1"/>
  <c r="B15" i="1"/>
  <c r="C15" i="1"/>
  <c r="D15" i="1"/>
  <c r="E15" i="1"/>
  <c r="A16" i="1"/>
  <c r="B16" i="1"/>
  <c r="C16" i="1"/>
  <c r="D16" i="1"/>
  <c r="E16" i="1"/>
  <c r="A17" i="1"/>
  <c r="B17" i="1"/>
  <c r="C17" i="1"/>
  <c r="D17" i="1"/>
  <c r="E17" i="1"/>
  <c r="A18" i="1"/>
  <c r="B18" i="1"/>
  <c r="C18" i="1"/>
  <c r="D18" i="1"/>
  <c r="E18" i="1"/>
  <c r="A19" i="1"/>
  <c r="B19" i="1"/>
  <c r="C19" i="1"/>
  <c r="D19" i="1"/>
  <c r="E19" i="1"/>
  <c r="A20" i="1"/>
  <c r="B20" i="1"/>
  <c r="C20" i="1"/>
  <c r="D20" i="1"/>
  <c r="E20" i="1"/>
  <c r="A21" i="1"/>
  <c r="B21" i="1"/>
  <c r="C21" i="1"/>
  <c r="D21" i="1"/>
  <c r="E21" i="1"/>
  <c r="A22" i="1"/>
  <c r="B22" i="1"/>
  <c r="C22" i="1"/>
  <c r="D22" i="1"/>
  <c r="E22" i="1"/>
  <c r="A23" i="1"/>
  <c r="B23" i="1"/>
  <c r="C23" i="1"/>
  <c r="D23" i="1"/>
  <c r="E23" i="1"/>
  <c r="A24" i="1"/>
  <c r="B24" i="1"/>
  <c r="C24" i="1"/>
  <c r="D24" i="1"/>
  <c r="E24" i="1"/>
  <c r="A25" i="1"/>
  <c r="B25" i="1"/>
  <c r="C25" i="1"/>
  <c r="D25" i="1"/>
  <c r="E25" i="1"/>
  <c r="A26" i="1"/>
  <c r="B26" i="1"/>
  <c r="C26" i="1"/>
  <c r="D26" i="1"/>
  <c r="E26" i="1"/>
  <c r="A27" i="1"/>
  <c r="B27" i="1"/>
  <c r="C27" i="1"/>
  <c r="D27" i="1"/>
  <c r="E27" i="1"/>
  <c r="A28" i="1"/>
  <c r="B28" i="1"/>
  <c r="C28" i="1"/>
  <c r="D28" i="1"/>
  <c r="E28" i="1"/>
  <c r="A29" i="1"/>
  <c r="B29" i="1"/>
  <c r="C29" i="1"/>
  <c r="D29" i="1"/>
  <c r="E29" i="1"/>
  <c r="A30" i="1"/>
  <c r="B30" i="1"/>
  <c r="C30" i="1"/>
  <c r="D30" i="1"/>
  <c r="E30" i="1"/>
  <c r="A31" i="1"/>
  <c r="B31" i="1"/>
  <c r="C31" i="1"/>
  <c r="D31" i="1"/>
  <c r="E31" i="1"/>
  <c r="A32" i="1"/>
  <c r="B32" i="1"/>
  <c r="C32" i="1"/>
  <c r="D32" i="1"/>
  <c r="E32" i="1"/>
  <c r="A33" i="1"/>
  <c r="B33" i="1"/>
  <c r="C33" i="1"/>
  <c r="D33" i="1"/>
  <c r="E33" i="1"/>
  <c r="A34" i="1"/>
  <c r="B34" i="1"/>
  <c r="C34" i="1"/>
  <c r="D34" i="1"/>
  <c r="E34" i="1"/>
  <c r="A35" i="1"/>
  <c r="B35" i="1"/>
  <c r="C35" i="1"/>
  <c r="D35" i="1"/>
  <c r="E35" i="1"/>
  <c r="A36" i="1"/>
  <c r="B36" i="1"/>
  <c r="C36" i="1"/>
  <c r="D36" i="1"/>
  <c r="E36" i="1"/>
  <c r="A37" i="1"/>
  <c r="B37" i="1"/>
  <c r="C37" i="1"/>
  <c r="D37" i="1"/>
  <c r="E37" i="1"/>
  <c r="A38" i="1"/>
  <c r="B38" i="1"/>
  <c r="C38" i="1"/>
  <c r="D38" i="1"/>
  <c r="E38" i="1"/>
  <c r="A39" i="1"/>
  <c r="B39" i="1"/>
  <c r="C39" i="1"/>
  <c r="D39" i="1"/>
  <c r="E39" i="1"/>
  <c r="A40" i="1"/>
  <c r="B40" i="1"/>
  <c r="C40" i="1"/>
  <c r="D40" i="1"/>
  <c r="E40" i="1"/>
  <c r="A41" i="1"/>
  <c r="B41" i="1"/>
  <c r="C41" i="1"/>
  <c r="D41" i="1"/>
  <c r="E41" i="1"/>
  <c r="A42" i="1"/>
  <c r="B42" i="1"/>
  <c r="C42" i="1"/>
  <c r="D42" i="1"/>
  <c r="E42" i="1"/>
  <c r="A43" i="1"/>
  <c r="B43" i="1"/>
  <c r="C43" i="1"/>
  <c r="D43" i="1"/>
  <c r="E43" i="1"/>
  <c r="A44" i="1"/>
  <c r="B44" i="1"/>
  <c r="C44" i="1"/>
  <c r="D44" i="1"/>
  <c r="E44" i="1"/>
  <c r="A45" i="1"/>
  <c r="B45" i="1"/>
  <c r="C45" i="1"/>
  <c r="D45" i="1"/>
  <c r="E45" i="1"/>
  <c r="A46" i="1"/>
  <c r="B46" i="1"/>
  <c r="C46" i="1"/>
  <c r="D46" i="1"/>
  <c r="E46" i="1"/>
  <c r="A47" i="1"/>
  <c r="B47" i="1"/>
  <c r="C47" i="1"/>
  <c r="D47" i="1"/>
  <c r="E47" i="1"/>
  <c r="A48" i="1"/>
  <c r="B48" i="1"/>
  <c r="C48" i="1"/>
  <c r="D48" i="1"/>
  <c r="E48" i="1"/>
  <c r="A49" i="1"/>
  <c r="B49" i="1"/>
  <c r="C49" i="1"/>
  <c r="D49" i="1"/>
  <c r="E49" i="1"/>
  <c r="A50" i="1"/>
  <c r="B50" i="1"/>
  <c r="C50" i="1"/>
  <c r="D50" i="1"/>
  <c r="E50" i="1"/>
  <c r="A51" i="1"/>
  <c r="B51" i="1"/>
  <c r="C51" i="1"/>
  <c r="D51" i="1"/>
  <c r="E51" i="1"/>
  <c r="A52" i="1"/>
  <c r="B52" i="1"/>
  <c r="C52" i="1"/>
  <c r="D52" i="1"/>
  <c r="E52" i="1"/>
  <c r="A53" i="1"/>
  <c r="B53" i="1"/>
  <c r="C53" i="1"/>
  <c r="D53" i="1"/>
  <c r="E53" i="1"/>
  <c r="A54" i="1"/>
  <c r="B54" i="1"/>
  <c r="C54" i="1"/>
  <c r="D54" i="1"/>
  <c r="E54" i="1"/>
  <c r="A55" i="1"/>
  <c r="B55" i="1"/>
  <c r="C55" i="1"/>
  <c r="D55" i="1"/>
  <c r="E55" i="1"/>
  <c r="A56" i="1"/>
  <c r="B56" i="1"/>
  <c r="C56" i="1"/>
  <c r="D56" i="1"/>
  <c r="E56" i="1"/>
  <c r="A57" i="1"/>
  <c r="B57" i="1"/>
  <c r="C57" i="1"/>
  <c r="D57" i="1"/>
  <c r="E57" i="1"/>
  <c r="A58" i="1"/>
  <c r="B58" i="1"/>
  <c r="C58" i="1"/>
  <c r="D58" i="1"/>
  <c r="E58" i="1"/>
  <c r="A59" i="1"/>
  <c r="B59" i="1"/>
  <c r="C59" i="1"/>
  <c r="D59" i="1"/>
  <c r="E59" i="1"/>
  <c r="A60" i="1"/>
  <c r="B60" i="1"/>
  <c r="C60" i="1"/>
  <c r="D60" i="1"/>
  <c r="E60" i="1"/>
  <c r="A61" i="1"/>
  <c r="B61" i="1"/>
  <c r="C61" i="1"/>
  <c r="D61" i="1"/>
  <c r="E61" i="1"/>
  <c r="A62" i="1"/>
  <c r="B62" i="1"/>
  <c r="C62" i="1"/>
  <c r="D62" i="1"/>
  <c r="E62" i="1"/>
  <c r="A63" i="1"/>
  <c r="B63" i="1"/>
  <c r="C63" i="1"/>
  <c r="D63" i="1"/>
  <c r="E63" i="1"/>
  <c r="A64" i="1"/>
  <c r="B64" i="1"/>
  <c r="C64" i="1"/>
  <c r="D64" i="1"/>
  <c r="E64" i="1"/>
  <c r="A65" i="1"/>
  <c r="B65" i="1"/>
  <c r="C65" i="1"/>
  <c r="D65" i="1"/>
  <c r="E65" i="1"/>
  <c r="A66" i="1"/>
  <c r="B66" i="1"/>
  <c r="C66" i="1"/>
  <c r="D66" i="1"/>
  <c r="E66" i="1"/>
  <c r="A67" i="1"/>
  <c r="B67" i="1"/>
  <c r="C67" i="1"/>
  <c r="D67" i="1"/>
  <c r="E67" i="1"/>
  <c r="A68" i="1"/>
  <c r="B68" i="1"/>
  <c r="C68" i="1"/>
  <c r="D68" i="1"/>
  <c r="E68" i="1"/>
  <c r="A69" i="1"/>
  <c r="B69" i="1"/>
  <c r="C69" i="1"/>
  <c r="D69" i="1"/>
  <c r="E69" i="1"/>
  <c r="A70" i="1"/>
  <c r="B70" i="1"/>
  <c r="C70" i="1"/>
  <c r="D70" i="1"/>
  <c r="E70" i="1"/>
  <c r="A71" i="1"/>
  <c r="B71" i="1"/>
  <c r="C71" i="1"/>
  <c r="D71" i="1"/>
  <c r="E71" i="1"/>
  <c r="A72" i="1"/>
  <c r="B72" i="1"/>
  <c r="C72" i="1"/>
  <c r="D72" i="1"/>
  <c r="E72" i="1"/>
  <c r="A73" i="1"/>
  <c r="B73" i="1"/>
  <c r="C73" i="1"/>
  <c r="D73" i="1"/>
  <c r="E73" i="1"/>
  <c r="A74" i="1"/>
  <c r="B74" i="1"/>
  <c r="C74" i="1"/>
  <c r="D74" i="1"/>
  <c r="E74" i="1"/>
  <c r="A75" i="1"/>
  <c r="B75" i="1"/>
  <c r="C75" i="1"/>
  <c r="D75" i="1"/>
  <c r="E75" i="1"/>
  <c r="A76" i="1"/>
  <c r="B76" i="1"/>
  <c r="C76" i="1"/>
  <c r="D76" i="1"/>
  <c r="E76" i="1"/>
  <c r="A77" i="1"/>
  <c r="B77" i="1"/>
  <c r="C77" i="1"/>
  <c r="D77" i="1"/>
  <c r="E77" i="1"/>
  <c r="A78" i="1"/>
  <c r="B78" i="1"/>
  <c r="C78" i="1"/>
  <c r="D78" i="1"/>
  <c r="E78" i="1"/>
  <c r="A79" i="1"/>
  <c r="B79" i="1"/>
  <c r="C79" i="1"/>
  <c r="D79" i="1"/>
  <c r="E79" i="1"/>
  <c r="A80" i="1"/>
  <c r="B80" i="1"/>
  <c r="C80" i="1"/>
  <c r="D80" i="1"/>
  <c r="E80" i="1"/>
  <c r="A81" i="1"/>
  <c r="B81" i="1"/>
  <c r="C81" i="1"/>
  <c r="D81" i="1"/>
  <c r="E81" i="1"/>
  <c r="A82" i="1"/>
  <c r="B82" i="1"/>
  <c r="C82" i="1"/>
  <c r="D82" i="1"/>
  <c r="E82" i="1"/>
  <c r="A83" i="1"/>
  <c r="B83" i="1"/>
  <c r="C83" i="1"/>
  <c r="D83" i="1"/>
  <c r="E83" i="1"/>
  <c r="A84" i="1"/>
  <c r="B84" i="1"/>
  <c r="C84" i="1"/>
  <c r="D84" i="1"/>
  <c r="E84" i="1"/>
  <c r="A85" i="1"/>
  <c r="B85" i="1"/>
  <c r="C85" i="1"/>
  <c r="D85" i="1"/>
  <c r="E85" i="1"/>
  <c r="A86" i="1"/>
  <c r="B86" i="1"/>
  <c r="C86" i="1"/>
  <c r="D86" i="1"/>
  <c r="E86" i="1"/>
  <c r="A87" i="1"/>
  <c r="B87" i="1"/>
  <c r="C87" i="1"/>
  <c r="D87" i="1"/>
  <c r="E87" i="1"/>
  <c r="A88" i="1"/>
  <c r="B88" i="1"/>
  <c r="C88" i="1"/>
  <c r="D88" i="1"/>
  <c r="E88" i="1"/>
  <c r="A89" i="1"/>
  <c r="B89" i="1"/>
  <c r="C89" i="1"/>
  <c r="D89" i="1"/>
  <c r="E89" i="1"/>
  <c r="A90" i="1"/>
  <c r="B90" i="1"/>
  <c r="C90" i="1"/>
  <c r="D90" i="1"/>
  <c r="E90" i="1"/>
  <c r="A91" i="1"/>
  <c r="B91" i="1"/>
  <c r="C91" i="1"/>
  <c r="D91" i="1"/>
  <c r="E91" i="1"/>
  <c r="A92" i="1"/>
  <c r="B92" i="1"/>
  <c r="C92" i="1"/>
  <c r="D92" i="1"/>
  <c r="E92" i="1"/>
  <c r="A93" i="1"/>
  <c r="B93" i="1"/>
  <c r="C93" i="1"/>
  <c r="D93" i="1"/>
  <c r="E93" i="1"/>
  <c r="A94" i="1"/>
  <c r="B94" i="1"/>
  <c r="C94" i="1"/>
  <c r="D94" i="1"/>
  <c r="E94" i="1"/>
  <c r="A95" i="1"/>
  <c r="B95" i="1"/>
  <c r="C95" i="1"/>
  <c r="D95" i="1"/>
  <c r="E95" i="1"/>
  <c r="A96" i="1"/>
  <c r="B96" i="1"/>
  <c r="C96" i="1"/>
  <c r="D96" i="1"/>
  <c r="E96" i="1"/>
  <c r="A97" i="1"/>
  <c r="B97" i="1"/>
  <c r="C97" i="1"/>
  <c r="D97" i="1"/>
  <c r="E97" i="1"/>
  <c r="A98" i="1"/>
  <c r="B98" i="1"/>
  <c r="C98" i="1"/>
  <c r="D98" i="1"/>
  <c r="E98" i="1"/>
  <c r="A99" i="1"/>
  <c r="B99" i="1"/>
  <c r="C99" i="1"/>
  <c r="D99" i="1"/>
  <c r="E99" i="1"/>
  <c r="A100" i="1"/>
  <c r="B100" i="1"/>
  <c r="C100" i="1"/>
  <c r="D100" i="1"/>
  <c r="E100" i="1"/>
  <c r="A101" i="1"/>
  <c r="B101" i="1"/>
  <c r="C101" i="1"/>
  <c r="D101" i="1"/>
  <c r="E101" i="1"/>
  <c r="A102" i="1"/>
  <c r="B102" i="1"/>
  <c r="C102" i="1"/>
  <c r="D102" i="1"/>
  <c r="E102" i="1"/>
  <c r="A103" i="1"/>
  <c r="B103" i="1"/>
  <c r="C103" i="1"/>
  <c r="D103" i="1"/>
  <c r="E103" i="1"/>
  <c r="A104" i="1"/>
  <c r="B104" i="1"/>
  <c r="C104" i="1"/>
  <c r="D104" i="1"/>
  <c r="E104" i="1"/>
  <c r="A105" i="1"/>
  <c r="B105" i="1"/>
  <c r="C105" i="1"/>
  <c r="D105" i="1"/>
  <c r="E105" i="1"/>
  <c r="A106" i="1"/>
  <c r="B106" i="1"/>
  <c r="C106" i="1"/>
  <c r="D106" i="1"/>
  <c r="E106" i="1"/>
  <c r="A107" i="1"/>
  <c r="B107" i="1"/>
  <c r="C107" i="1"/>
  <c r="D107" i="1"/>
  <c r="E107" i="1"/>
  <c r="A108" i="1"/>
  <c r="B108" i="1"/>
  <c r="C108" i="1"/>
  <c r="D108" i="1"/>
  <c r="E108" i="1"/>
  <c r="A109" i="1"/>
  <c r="B109" i="1"/>
  <c r="C109" i="1"/>
  <c r="D109" i="1"/>
  <c r="E109" i="1"/>
  <c r="A110" i="1"/>
  <c r="B110" i="1"/>
  <c r="C110" i="1"/>
  <c r="D110" i="1"/>
  <c r="E110" i="1"/>
  <c r="A111" i="1"/>
  <c r="B111" i="1"/>
  <c r="C111" i="1"/>
  <c r="D111" i="1"/>
  <c r="E111" i="1"/>
  <c r="A112" i="1"/>
  <c r="B112" i="1"/>
  <c r="C112" i="1"/>
  <c r="D112" i="1"/>
  <c r="E112" i="1"/>
  <c r="A113" i="1"/>
  <c r="B113" i="1"/>
  <c r="C113" i="1"/>
  <c r="D113" i="1"/>
  <c r="E113" i="1"/>
  <c r="A114" i="1"/>
  <c r="B114" i="1"/>
  <c r="C114" i="1"/>
  <c r="D114" i="1"/>
  <c r="E114" i="1"/>
  <c r="A115" i="1"/>
  <c r="B115" i="1"/>
  <c r="C115" i="1"/>
  <c r="D115" i="1"/>
  <c r="E115" i="1"/>
  <c r="A116" i="1"/>
  <c r="B116" i="1"/>
  <c r="C116" i="1"/>
  <c r="D116" i="1"/>
  <c r="E116" i="1"/>
  <c r="A117" i="1"/>
  <c r="B117" i="1"/>
  <c r="C117" i="1"/>
  <c r="D117" i="1"/>
  <c r="E117" i="1"/>
  <c r="A118" i="1"/>
  <c r="B118" i="1"/>
  <c r="C118" i="1"/>
  <c r="D118" i="1"/>
  <c r="E118" i="1"/>
  <c r="A119" i="1"/>
  <c r="B119" i="1"/>
  <c r="C119" i="1"/>
  <c r="D119" i="1"/>
  <c r="E119" i="1"/>
  <c r="A120" i="1"/>
  <c r="B120" i="1"/>
  <c r="C120" i="1"/>
  <c r="D120" i="1"/>
  <c r="E120" i="1"/>
  <c r="A121" i="1"/>
  <c r="B121" i="1"/>
  <c r="C121" i="1"/>
  <c r="D121" i="1"/>
  <c r="E121" i="1"/>
  <c r="A122" i="1"/>
  <c r="B122" i="1"/>
  <c r="C122" i="1"/>
  <c r="D122" i="1"/>
  <c r="E122" i="1"/>
  <c r="A123" i="1"/>
  <c r="B123" i="1"/>
  <c r="C123" i="1"/>
  <c r="D123" i="1"/>
  <c r="E123" i="1"/>
  <c r="A124" i="1"/>
  <c r="B124" i="1"/>
  <c r="C124" i="1"/>
  <c r="D124" i="1"/>
  <c r="E124" i="1"/>
  <c r="A125" i="1"/>
  <c r="B125" i="1"/>
  <c r="C125" i="1"/>
  <c r="D125" i="1"/>
  <c r="E125" i="1"/>
  <c r="A126" i="1"/>
  <c r="B126" i="1"/>
  <c r="C126" i="1"/>
  <c r="D126" i="1"/>
  <c r="E126" i="1"/>
  <c r="A127" i="1"/>
  <c r="B127" i="1"/>
  <c r="C127" i="1"/>
  <c r="D127" i="1"/>
  <c r="E127" i="1"/>
  <c r="A128" i="1"/>
  <c r="B128" i="1"/>
  <c r="C128" i="1"/>
  <c r="D128" i="1"/>
  <c r="E128" i="1"/>
  <c r="A129" i="1"/>
  <c r="B129" i="1"/>
  <c r="C129" i="1"/>
  <c r="D129" i="1"/>
  <c r="E129" i="1"/>
  <c r="A130" i="1"/>
  <c r="B130" i="1"/>
  <c r="C130" i="1"/>
  <c r="D130" i="1"/>
  <c r="E130" i="1"/>
  <c r="A131" i="1"/>
  <c r="B131" i="1"/>
  <c r="C131" i="1"/>
  <c r="D131" i="1"/>
  <c r="E131" i="1"/>
  <c r="A132" i="1"/>
  <c r="B132" i="1"/>
  <c r="C132" i="1"/>
  <c r="D132" i="1"/>
  <c r="E132" i="1"/>
  <c r="A133" i="1"/>
  <c r="B133" i="1"/>
  <c r="C133" i="1"/>
  <c r="D133" i="1"/>
  <c r="E133" i="1"/>
  <c r="A134" i="1"/>
  <c r="B134" i="1"/>
  <c r="C134" i="1"/>
  <c r="D134" i="1"/>
  <c r="E134" i="1"/>
  <c r="A135" i="1"/>
  <c r="B135" i="1"/>
  <c r="C135" i="1"/>
  <c r="D135" i="1"/>
  <c r="E135" i="1"/>
  <c r="A136" i="1"/>
  <c r="B136" i="1"/>
  <c r="C136" i="1"/>
  <c r="D136" i="1"/>
  <c r="E136" i="1"/>
  <c r="A137" i="1"/>
  <c r="B137" i="1"/>
  <c r="C137" i="1"/>
  <c r="D137" i="1"/>
  <c r="E137" i="1"/>
  <c r="A138" i="1"/>
  <c r="B138" i="1"/>
  <c r="C138" i="1"/>
  <c r="D138" i="1"/>
  <c r="E138" i="1"/>
  <c r="A139" i="1"/>
  <c r="B139" i="1"/>
  <c r="C139" i="1"/>
  <c r="D139" i="1"/>
  <c r="E139" i="1"/>
  <c r="A140" i="1"/>
  <c r="B140" i="1"/>
  <c r="C140" i="1"/>
  <c r="D140" i="1"/>
  <c r="E140" i="1"/>
  <c r="A141" i="1"/>
  <c r="B141" i="1"/>
  <c r="C141" i="1"/>
  <c r="D141" i="1"/>
  <c r="E141" i="1"/>
  <c r="A142" i="1"/>
  <c r="B142" i="1"/>
  <c r="C142" i="1"/>
  <c r="D142" i="1"/>
  <c r="E142" i="1"/>
  <c r="A143" i="1"/>
  <c r="B143" i="1"/>
  <c r="C143" i="1"/>
  <c r="D143" i="1"/>
  <c r="E143" i="1"/>
  <c r="A144" i="1"/>
  <c r="B144" i="1"/>
  <c r="C144" i="1"/>
  <c r="D144" i="1"/>
  <c r="E144" i="1"/>
  <c r="A145" i="1"/>
  <c r="B145" i="1"/>
  <c r="C145" i="1"/>
  <c r="D145" i="1"/>
  <c r="E145" i="1"/>
  <c r="A146" i="1"/>
  <c r="B146" i="1"/>
  <c r="C146" i="1"/>
  <c r="D146" i="1"/>
  <c r="E146" i="1"/>
  <c r="A147" i="1"/>
  <c r="B147" i="1"/>
  <c r="C147" i="1"/>
  <c r="D147" i="1"/>
  <c r="E147" i="1"/>
  <c r="A148" i="1"/>
  <c r="B148" i="1"/>
  <c r="C148" i="1"/>
  <c r="D148" i="1"/>
  <c r="E148" i="1"/>
  <c r="A149" i="1"/>
  <c r="B149" i="1"/>
  <c r="C149" i="1"/>
  <c r="D149" i="1"/>
  <c r="E149" i="1"/>
  <c r="A150" i="1"/>
  <c r="B150" i="1"/>
  <c r="C150" i="1"/>
  <c r="D150" i="1"/>
  <c r="E150" i="1"/>
  <c r="A151" i="1"/>
  <c r="B151" i="1"/>
  <c r="C151" i="1"/>
  <c r="D151" i="1"/>
  <c r="E151" i="1"/>
  <c r="A152" i="1"/>
  <c r="B152" i="1"/>
  <c r="C152" i="1"/>
  <c r="D152" i="1"/>
  <c r="E152" i="1"/>
  <c r="A153" i="1"/>
  <c r="B153" i="1"/>
  <c r="C153" i="1"/>
  <c r="D153" i="1"/>
  <c r="E153" i="1"/>
  <c r="A154" i="1"/>
  <c r="B154" i="1"/>
  <c r="C154" i="1"/>
  <c r="D154" i="1"/>
  <c r="E154" i="1"/>
  <c r="A155" i="1"/>
  <c r="B155" i="1"/>
  <c r="C155" i="1"/>
  <c r="D155" i="1"/>
  <c r="E155" i="1"/>
  <c r="A156" i="1"/>
  <c r="B156" i="1"/>
  <c r="C156" i="1"/>
  <c r="D156" i="1"/>
  <c r="E156" i="1"/>
  <c r="A157" i="1"/>
  <c r="B157" i="1"/>
  <c r="C157" i="1"/>
  <c r="D157" i="1"/>
  <c r="E157" i="1"/>
  <c r="A158" i="1"/>
  <c r="B158" i="1"/>
  <c r="C158" i="1"/>
  <c r="D158" i="1"/>
  <c r="E158" i="1"/>
  <c r="A159" i="1"/>
  <c r="B159" i="1"/>
  <c r="C159" i="1"/>
  <c r="D159" i="1"/>
  <c r="E159" i="1"/>
  <c r="A160" i="1"/>
  <c r="B160" i="1"/>
  <c r="C160" i="1"/>
  <c r="D160" i="1"/>
  <c r="E160" i="1"/>
  <c r="A161" i="1"/>
  <c r="B161" i="1"/>
  <c r="C161" i="1"/>
  <c r="D161" i="1"/>
  <c r="E161" i="1"/>
  <c r="A162" i="1"/>
  <c r="B162" i="1"/>
  <c r="C162" i="1"/>
  <c r="D162" i="1"/>
  <c r="E162" i="1"/>
  <c r="A163" i="1"/>
  <c r="B163" i="1"/>
  <c r="C163" i="1"/>
  <c r="D163" i="1"/>
  <c r="E163" i="1"/>
  <c r="A164" i="1"/>
  <c r="B164" i="1"/>
  <c r="C164" i="1"/>
  <c r="D164" i="1"/>
  <c r="E164" i="1"/>
  <c r="A165" i="1"/>
  <c r="B165" i="1"/>
  <c r="C165" i="1"/>
  <c r="D165" i="1"/>
  <c r="E165" i="1"/>
  <c r="A166" i="1"/>
  <c r="B166" i="1"/>
  <c r="C166" i="1"/>
  <c r="D166" i="1"/>
  <c r="E166" i="1"/>
  <c r="A167" i="1"/>
  <c r="B167" i="1"/>
  <c r="C167" i="1"/>
  <c r="D167" i="1"/>
  <c r="E167" i="1"/>
  <c r="A168" i="1"/>
  <c r="B168" i="1"/>
  <c r="C168" i="1"/>
  <c r="D168" i="1"/>
  <c r="E168" i="1"/>
  <c r="A169" i="1"/>
  <c r="B169" i="1"/>
  <c r="C169" i="1"/>
  <c r="D169" i="1"/>
  <c r="E169" i="1"/>
  <c r="A170" i="1"/>
  <c r="B170" i="1"/>
  <c r="C170" i="1"/>
  <c r="D170" i="1"/>
  <c r="E170" i="1"/>
  <c r="A171" i="1"/>
  <c r="B171" i="1"/>
  <c r="C171" i="1"/>
  <c r="D171" i="1"/>
  <c r="E171" i="1"/>
  <c r="A172" i="1"/>
  <c r="B172" i="1"/>
  <c r="C172" i="1"/>
  <c r="D172" i="1"/>
  <c r="E172" i="1"/>
  <c r="A173" i="1"/>
  <c r="B173" i="1"/>
  <c r="C173" i="1"/>
  <c r="D173" i="1"/>
  <c r="E173" i="1"/>
  <c r="A174" i="1"/>
  <c r="B174" i="1"/>
  <c r="C174" i="1"/>
  <c r="D174" i="1"/>
  <c r="E174" i="1"/>
  <c r="A175" i="1"/>
  <c r="B175" i="1"/>
  <c r="C175" i="1"/>
  <c r="D175" i="1"/>
  <c r="E175" i="1"/>
  <c r="A176" i="1"/>
  <c r="B176" i="1"/>
  <c r="C176" i="1"/>
  <c r="D176" i="1"/>
  <c r="E176" i="1"/>
  <c r="A177" i="1"/>
  <c r="B177" i="1"/>
  <c r="C177" i="1"/>
  <c r="D177" i="1"/>
  <c r="E177" i="1"/>
  <c r="A178" i="1"/>
  <c r="B178" i="1"/>
  <c r="C178" i="1"/>
  <c r="D178" i="1"/>
  <c r="E178" i="1"/>
  <c r="A179" i="1"/>
  <c r="B179" i="1"/>
  <c r="C179" i="1"/>
  <c r="D179" i="1"/>
  <c r="E179" i="1"/>
  <c r="A180" i="1"/>
  <c r="B180" i="1"/>
  <c r="C180" i="1"/>
  <c r="D180" i="1"/>
  <c r="E180" i="1"/>
  <c r="A181" i="1"/>
  <c r="B181" i="1"/>
  <c r="C181" i="1"/>
  <c r="D181" i="1"/>
  <c r="E181" i="1"/>
  <c r="A182" i="1"/>
  <c r="B182" i="1"/>
  <c r="C182" i="1"/>
  <c r="D182" i="1"/>
  <c r="E182" i="1"/>
  <c r="A183" i="1"/>
  <c r="B183" i="1"/>
  <c r="C183" i="1"/>
  <c r="D183" i="1"/>
  <c r="E183" i="1"/>
  <c r="A184" i="1"/>
  <c r="B184" i="1"/>
  <c r="C184" i="1"/>
  <c r="D184" i="1"/>
  <c r="E184" i="1"/>
  <c r="A185" i="1"/>
  <c r="B185" i="1"/>
  <c r="C185" i="1"/>
  <c r="D185" i="1"/>
  <c r="E185" i="1"/>
  <c r="A186" i="1"/>
  <c r="B186" i="1"/>
  <c r="C186" i="1"/>
  <c r="D186" i="1"/>
  <c r="E186" i="1"/>
  <c r="A187" i="1"/>
  <c r="B187" i="1"/>
  <c r="C187" i="1"/>
  <c r="D187" i="1"/>
  <c r="E187" i="1"/>
  <c r="A188" i="1"/>
  <c r="B188" i="1"/>
  <c r="C188" i="1"/>
  <c r="D188" i="1"/>
  <c r="E188" i="1"/>
  <c r="A189" i="1"/>
  <c r="B189" i="1"/>
  <c r="C189" i="1"/>
  <c r="D189" i="1"/>
  <c r="E189" i="1"/>
  <c r="A190" i="1"/>
  <c r="B190" i="1"/>
  <c r="C190" i="1"/>
  <c r="D190" i="1"/>
  <c r="E190" i="1"/>
  <c r="A191" i="1"/>
  <c r="B191" i="1"/>
  <c r="C191" i="1"/>
  <c r="D191" i="1"/>
  <c r="E191" i="1"/>
  <c r="A192" i="1"/>
  <c r="B192" i="1"/>
  <c r="C192" i="1"/>
  <c r="D192" i="1"/>
  <c r="E192" i="1"/>
  <c r="A193" i="1"/>
  <c r="B193" i="1"/>
  <c r="C193" i="1"/>
  <c r="D193" i="1"/>
  <c r="E193" i="1"/>
  <c r="A194" i="1"/>
  <c r="B194" i="1"/>
  <c r="C194" i="1"/>
  <c r="D194" i="1"/>
  <c r="E194" i="1"/>
  <c r="A195" i="1"/>
  <c r="B195" i="1"/>
  <c r="C195" i="1"/>
  <c r="D195" i="1"/>
  <c r="E195" i="1"/>
  <c r="A196" i="1"/>
  <c r="B196" i="1"/>
  <c r="C196" i="1"/>
  <c r="D196" i="1"/>
  <c r="E196" i="1"/>
  <c r="A197" i="1"/>
  <c r="B197" i="1"/>
  <c r="C197" i="1"/>
  <c r="D197" i="1"/>
  <c r="E197" i="1"/>
  <c r="A198" i="1"/>
  <c r="B198" i="1"/>
  <c r="C198" i="1"/>
  <c r="D198" i="1"/>
  <c r="E198" i="1"/>
  <c r="A199" i="1"/>
  <c r="B199" i="1"/>
  <c r="C199" i="1"/>
  <c r="D199" i="1"/>
  <c r="E199" i="1"/>
  <c r="A200" i="1"/>
  <c r="B200" i="1"/>
  <c r="C200" i="1"/>
  <c r="D200" i="1"/>
  <c r="E200" i="1"/>
  <c r="A201" i="1"/>
  <c r="B201" i="1"/>
  <c r="C201" i="1"/>
  <c r="D201" i="1"/>
  <c r="E201" i="1"/>
  <c r="A202" i="1"/>
  <c r="B202" i="1"/>
  <c r="C202" i="1"/>
  <c r="D202" i="1"/>
  <c r="E202" i="1"/>
  <c r="A203" i="1"/>
  <c r="B203" i="1"/>
  <c r="C203" i="1"/>
  <c r="D203" i="1"/>
  <c r="E203" i="1"/>
  <c r="A204" i="1"/>
  <c r="B204" i="1"/>
  <c r="C204" i="1"/>
  <c r="D204" i="1"/>
  <c r="E204" i="1"/>
  <c r="A205" i="1"/>
  <c r="B205" i="1"/>
  <c r="C205" i="1"/>
  <c r="D205" i="1"/>
  <c r="E205" i="1"/>
  <c r="A206" i="1"/>
  <c r="B206" i="1"/>
  <c r="C206" i="1"/>
  <c r="D206" i="1"/>
  <c r="E206" i="1"/>
  <c r="A207" i="1"/>
  <c r="B207" i="1"/>
  <c r="C207" i="1"/>
  <c r="D207" i="1"/>
  <c r="E207" i="1"/>
  <c r="A208" i="1"/>
  <c r="B208" i="1"/>
  <c r="C208" i="1"/>
  <c r="D208" i="1"/>
  <c r="E208" i="1"/>
  <c r="A209" i="1"/>
  <c r="B209" i="1"/>
  <c r="C209" i="1"/>
  <c r="D209" i="1"/>
  <c r="E209" i="1"/>
  <c r="A210" i="1"/>
  <c r="B210" i="1"/>
  <c r="C210" i="1"/>
  <c r="D210" i="1"/>
  <c r="E210" i="1"/>
  <c r="A211" i="1"/>
  <c r="B211" i="1"/>
  <c r="C211" i="1"/>
  <c r="D211" i="1"/>
  <c r="E211" i="1"/>
  <c r="A212" i="1"/>
  <c r="B212" i="1"/>
  <c r="C212" i="1"/>
  <c r="D212" i="1"/>
  <c r="E212" i="1"/>
  <c r="A213" i="1"/>
  <c r="B213" i="1"/>
  <c r="C213" i="1"/>
  <c r="D213" i="1"/>
  <c r="E213" i="1"/>
  <c r="A214" i="1"/>
  <c r="B214" i="1"/>
  <c r="C214" i="1"/>
  <c r="D214" i="1"/>
  <c r="E214" i="1"/>
  <c r="A215" i="1"/>
  <c r="B215" i="1"/>
  <c r="C215" i="1"/>
  <c r="D215" i="1"/>
  <c r="E215" i="1"/>
  <c r="A216" i="1"/>
  <c r="B216" i="1"/>
  <c r="C216" i="1"/>
  <c r="D216" i="1"/>
  <c r="E216" i="1"/>
  <c r="A217" i="1"/>
  <c r="B217" i="1"/>
  <c r="C217" i="1"/>
  <c r="D217" i="1"/>
  <c r="E217" i="1"/>
  <c r="A218" i="1"/>
  <c r="B218" i="1"/>
  <c r="C218" i="1"/>
  <c r="D218" i="1"/>
  <c r="E218" i="1"/>
  <c r="A219" i="1"/>
  <c r="B219" i="1"/>
  <c r="C219" i="1"/>
  <c r="D219" i="1"/>
  <c r="E219" i="1"/>
  <c r="A220" i="1"/>
  <c r="B220" i="1"/>
  <c r="C220" i="1"/>
  <c r="D220" i="1"/>
  <c r="E220" i="1"/>
  <c r="A221" i="1"/>
  <c r="B221" i="1"/>
  <c r="C221" i="1"/>
  <c r="D221" i="1"/>
  <c r="E221" i="1"/>
  <c r="A222" i="1"/>
  <c r="B222" i="1"/>
  <c r="C222" i="1"/>
  <c r="D222" i="1"/>
  <c r="E222" i="1"/>
  <c r="A223" i="1"/>
  <c r="B223" i="1"/>
  <c r="C223" i="1"/>
  <c r="D223" i="1"/>
  <c r="E223" i="1"/>
  <c r="A224" i="1"/>
  <c r="B224" i="1"/>
  <c r="C224" i="1"/>
  <c r="D224" i="1"/>
  <c r="E224" i="1"/>
  <c r="A225" i="1"/>
  <c r="B225" i="1"/>
  <c r="C225" i="1"/>
  <c r="D225" i="1"/>
  <c r="E225" i="1"/>
  <c r="A226" i="1"/>
  <c r="B226" i="1"/>
  <c r="C226" i="1"/>
  <c r="D226" i="1"/>
  <c r="E226" i="1"/>
  <c r="A227" i="1"/>
  <c r="B227" i="1"/>
  <c r="C227" i="1"/>
  <c r="D227" i="1"/>
  <c r="E227" i="1"/>
  <c r="A228" i="1"/>
  <c r="B228" i="1"/>
  <c r="C228" i="1"/>
  <c r="D228" i="1"/>
  <c r="E228" i="1"/>
  <c r="A229" i="1"/>
  <c r="B229" i="1"/>
  <c r="C229" i="1"/>
  <c r="D229" i="1"/>
  <c r="E229" i="1"/>
  <c r="A230" i="1"/>
  <c r="B230" i="1"/>
  <c r="C230" i="1"/>
  <c r="D230" i="1"/>
  <c r="E230" i="1"/>
  <c r="A231" i="1"/>
  <c r="B231" i="1"/>
  <c r="C231" i="1"/>
  <c r="D231" i="1"/>
  <c r="E231" i="1"/>
  <c r="A232" i="1"/>
  <c r="B232" i="1"/>
  <c r="C232" i="1"/>
  <c r="D232" i="1"/>
  <c r="E232" i="1"/>
  <c r="A233" i="1"/>
  <c r="B233" i="1"/>
  <c r="C233" i="1"/>
  <c r="D233" i="1"/>
  <c r="E233" i="1"/>
  <c r="A234" i="1"/>
  <c r="B234" i="1"/>
  <c r="C234" i="1"/>
  <c r="D234" i="1"/>
  <c r="E234" i="1"/>
  <c r="A235" i="1"/>
  <c r="B235" i="1"/>
  <c r="C235" i="1"/>
  <c r="D235" i="1"/>
  <c r="E235" i="1"/>
  <c r="A236" i="1"/>
  <c r="B236" i="1"/>
  <c r="C236" i="1"/>
  <c r="D236" i="1"/>
  <c r="E236" i="1"/>
  <c r="A237" i="1"/>
  <c r="B237" i="1"/>
  <c r="C237" i="1"/>
  <c r="D237" i="1"/>
  <c r="E237" i="1"/>
  <c r="A238" i="1"/>
  <c r="B238" i="1"/>
  <c r="C238" i="1"/>
  <c r="D238" i="1"/>
  <c r="E238" i="1"/>
  <c r="A239" i="1"/>
  <c r="B239" i="1"/>
  <c r="C239" i="1"/>
  <c r="D239" i="1"/>
  <c r="E239" i="1"/>
  <c r="A240" i="1"/>
  <c r="B240" i="1"/>
  <c r="C240" i="1"/>
  <c r="D240" i="1"/>
  <c r="E240" i="1"/>
  <c r="A241" i="1"/>
  <c r="B241" i="1"/>
  <c r="C241" i="1"/>
  <c r="D241" i="1"/>
  <c r="E241" i="1"/>
  <c r="A242" i="1"/>
  <c r="B242" i="1"/>
  <c r="C242" i="1"/>
  <c r="D242" i="1"/>
  <c r="E242" i="1"/>
  <c r="A243" i="1"/>
  <c r="B243" i="1"/>
  <c r="C243" i="1"/>
  <c r="D243" i="1"/>
  <c r="E243" i="1"/>
  <c r="A244" i="1"/>
  <c r="B244" i="1"/>
  <c r="C244" i="1"/>
  <c r="D244" i="1"/>
  <c r="E244" i="1"/>
  <c r="A245" i="1"/>
  <c r="B245" i="1"/>
  <c r="C245" i="1"/>
  <c r="D245" i="1"/>
  <c r="E245" i="1"/>
  <c r="A246" i="1"/>
  <c r="B246" i="1"/>
  <c r="C246" i="1"/>
  <c r="D246" i="1"/>
  <c r="E246" i="1"/>
  <c r="A247" i="1"/>
  <c r="B247" i="1"/>
  <c r="C247" i="1"/>
  <c r="D247" i="1"/>
  <c r="E247" i="1"/>
  <c r="A248" i="1"/>
  <c r="B248" i="1"/>
  <c r="C248" i="1"/>
  <c r="D248" i="1"/>
  <c r="E248" i="1"/>
  <c r="A249" i="1"/>
  <c r="B249" i="1"/>
  <c r="C249" i="1"/>
  <c r="D249" i="1"/>
  <c r="E249" i="1"/>
  <c r="A250" i="1"/>
  <c r="B250" i="1"/>
  <c r="C250" i="1"/>
  <c r="D250" i="1"/>
  <c r="E250" i="1"/>
  <c r="A251" i="1"/>
  <c r="B251" i="1"/>
  <c r="C251" i="1"/>
  <c r="D251" i="1"/>
  <c r="E251" i="1"/>
  <c r="A252" i="1"/>
  <c r="B252" i="1"/>
  <c r="C252" i="1"/>
  <c r="D252" i="1"/>
  <c r="E252" i="1"/>
  <c r="A253" i="1"/>
  <c r="B253" i="1"/>
  <c r="C253" i="1"/>
  <c r="D253" i="1"/>
  <c r="E253" i="1"/>
  <c r="A254" i="1"/>
  <c r="B254" i="1"/>
  <c r="C254" i="1"/>
  <c r="D254" i="1"/>
  <c r="E254" i="1"/>
  <c r="A255" i="1"/>
  <c r="B255" i="1"/>
  <c r="C255" i="1"/>
  <c r="D255" i="1"/>
  <c r="E255" i="1"/>
  <c r="A256" i="1"/>
  <c r="B256" i="1"/>
  <c r="C256" i="1"/>
  <c r="D256" i="1"/>
  <c r="E256" i="1"/>
  <c r="A257" i="1"/>
  <c r="B257" i="1"/>
  <c r="C257" i="1"/>
  <c r="D257" i="1"/>
  <c r="E257" i="1"/>
  <c r="A258" i="1"/>
  <c r="B258" i="1"/>
  <c r="C258" i="1"/>
  <c r="D258" i="1"/>
  <c r="E258" i="1"/>
  <c r="A259" i="1"/>
  <c r="B259" i="1"/>
  <c r="C259" i="1"/>
  <c r="D259" i="1"/>
  <c r="E259" i="1"/>
  <c r="A260" i="1"/>
  <c r="B260" i="1"/>
  <c r="C260" i="1"/>
  <c r="D260" i="1"/>
  <c r="E260" i="1"/>
  <c r="A261" i="1"/>
  <c r="B261" i="1"/>
  <c r="C261" i="1"/>
  <c r="D261" i="1"/>
  <c r="E261" i="1"/>
  <c r="A262" i="1"/>
  <c r="B262" i="1"/>
  <c r="C262" i="1"/>
  <c r="D262" i="1"/>
  <c r="E262" i="1"/>
  <c r="A263" i="1"/>
  <c r="B263" i="1"/>
  <c r="C263" i="1"/>
  <c r="D263" i="1"/>
  <c r="E263" i="1"/>
  <c r="A264" i="1"/>
  <c r="B264" i="1"/>
  <c r="C264" i="1"/>
  <c r="D264" i="1"/>
  <c r="E264" i="1"/>
  <c r="A265" i="1"/>
  <c r="B265" i="1"/>
  <c r="C265" i="1"/>
  <c r="D265" i="1"/>
  <c r="E265" i="1"/>
  <c r="A266" i="1"/>
  <c r="B266" i="1"/>
  <c r="C266" i="1"/>
  <c r="D266" i="1"/>
  <c r="E266" i="1"/>
  <c r="A267" i="1"/>
  <c r="B267" i="1"/>
  <c r="C267" i="1"/>
  <c r="D267" i="1"/>
  <c r="E267" i="1"/>
  <c r="A268" i="1"/>
  <c r="B268" i="1"/>
  <c r="C268" i="1"/>
  <c r="D268" i="1"/>
  <c r="E268" i="1"/>
  <c r="A269" i="1"/>
  <c r="B269" i="1"/>
  <c r="C269" i="1"/>
  <c r="D269" i="1"/>
  <c r="E269" i="1"/>
  <c r="A270" i="1"/>
  <c r="B270" i="1"/>
  <c r="C270" i="1"/>
  <c r="D270" i="1"/>
  <c r="E270" i="1"/>
  <c r="A271" i="1"/>
  <c r="B271" i="1"/>
  <c r="C271" i="1"/>
  <c r="D271" i="1"/>
  <c r="E271" i="1"/>
  <c r="A272" i="1"/>
  <c r="B272" i="1"/>
  <c r="C272" i="1"/>
  <c r="D272" i="1"/>
  <c r="E272" i="1"/>
  <c r="A273" i="1"/>
  <c r="B273" i="1"/>
  <c r="C273" i="1"/>
  <c r="D273" i="1"/>
  <c r="E273" i="1"/>
  <c r="A274" i="1"/>
  <c r="B274" i="1"/>
  <c r="C274" i="1"/>
  <c r="D274" i="1"/>
  <c r="E274" i="1"/>
  <c r="A275" i="1"/>
  <c r="B275" i="1"/>
  <c r="C275" i="1"/>
  <c r="D275" i="1"/>
  <c r="E275" i="1"/>
  <c r="A276" i="1"/>
  <c r="B276" i="1"/>
  <c r="C276" i="1"/>
  <c r="D276" i="1"/>
  <c r="E276" i="1"/>
  <c r="A277" i="1"/>
  <c r="B277" i="1"/>
  <c r="C277" i="1"/>
  <c r="D277" i="1"/>
  <c r="E277" i="1"/>
  <c r="A278" i="1"/>
  <c r="B278" i="1"/>
  <c r="C278" i="1"/>
  <c r="D278" i="1"/>
  <c r="E278" i="1"/>
  <c r="A279" i="1"/>
  <c r="B279" i="1"/>
  <c r="C279" i="1"/>
  <c r="D279" i="1"/>
  <c r="E279" i="1"/>
  <c r="A280" i="1"/>
  <c r="B280" i="1"/>
  <c r="C280" i="1"/>
  <c r="D280" i="1"/>
  <c r="E280" i="1"/>
  <c r="A281" i="1"/>
  <c r="B281" i="1"/>
  <c r="C281" i="1"/>
  <c r="D281" i="1"/>
  <c r="E281" i="1"/>
  <c r="A282" i="1"/>
  <c r="B282" i="1"/>
  <c r="C282" i="1"/>
  <c r="D282" i="1"/>
  <c r="E282" i="1"/>
  <c r="A283" i="1"/>
  <c r="B283" i="1"/>
  <c r="C283" i="1"/>
  <c r="D283" i="1"/>
  <c r="E283" i="1"/>
  <c r="A284" i="1"/>
  <c r="B284" i="1"/>
  <c r="C284" i="1"/>
  <c r="D284" i="1"/>
  <c r="E284" i="1"/>
  <c r="A285" i="1"/>
  <c r="B285" i="1"/>
  <c r="C285" i="1"/>
  <c r="D285" i="1"/>
  <c r="E285" i="1"/>
  <c r="A286" i="1"/>
  <c r="B286" i="1"/>
  <c r="C286" i="1"/>
  <c r="D286" i="1"/>
  <c r="E286" i="1"/>
  <c r="A287" i="1"/>
  <c r="B287" i="1"/>
  <c r="C287" i="1"/>
  <c r="D287" i="1"/>
  <c r="E287" i="1"/>
  <c r="A288" i="1"/>
  <c r="B288" i="1"/>
  <c r="C288" i="1"/>
  <c r="D288" i="1"/>
  <c r="E288" i="1"/>
  <c r="A289" i="1"/>
  <c r="B289" i="1"/>
  <c r="C289" i="1"/>
  <c r="D289" i="1"/>
  <c r="E289" i="1"/>
  <c r="A290" i="1"/>
  <c r="B290" i="1"/>
  <c r="C290" i="1"/>
  <c r="D290" i="1"/>
  <c r="E290" i="1"/>
  <c r="A291" i="1"/>
  <c r="B291" i="1"/>
  <c r="C291" i="1"/>
  <c r="D291" i="1"/>
  <c r="E291" i="1"/>
  <c r="A292" i="1"/>
  <c r="B292" i="1"/>
  <c r="C292" i="1"/>
  <c r="D292" i="1"/>
  <c r="E292" i="1"/>
  <c r="A293" i="1"/>
  <c r="B293" i="1"/>
  <c r="C293" i="1"/>
  <c r="D293" i="1"/>
  <c r="E293" i="1"/>
  <c r="A294" i="1"/>
  <c r="B294" i="1"/>
  <c r="C294" i="1"/>
  <c r="D294" i="1"/>
  <c r="E294" i="1"/>
  <c r="A295" i="1"/>
  <c r="B295" i="1"/>
  <c r="C295" i="1"/>
  <c r="D295" i="1"/>
  <c r="E295" i="1"/>
  <c r="A296" i="1"/>
  <c r="B296" i="1"/>
  <c r="C296" i="1"/>
  <c r="D296" i="1"/>
  <c r="E296" i="1"/>
  <c r="A297" i="1"/>
  <c r="B297" i="1"/>
  <c r="C297" i="1"/>
  <c r="D297" i="1"/>
  <c r="E297" i="1"/>
  <c r="A298" i="1"/>
  <c r="B298" i="1"/>
  <c r="C298" i="1"/>
  <c r="D298" i="1"/>
  <c r="E298" i="1"/>
  <c r="A299" i="1"/>
  <c r="B299" i="1"/>
  <c r="C299" i="1"/>
  <c r="D299" i="1"/>
  <c r="E299" i="1"/>
  <c r="A300" i="1"/>
  <c r="B300" i="1"/>
  <c r="C300" i="1"/>
  <c r="D300" i="1"/>
  <c r="E300" i="1"/>
  <c r="A301" i="1"/>
  <c r="B301" i="1"/>
  <c r="C301" i="1"/>
  <c r="D301" i="1"/>
  <c r="E301" i="1"/>
  <c r="A302" i="1"/>
  <c r="B302" i="1"/>
  <c r="C302" i="1"/>
  <c r="D302" i="1"/>
  <c r="E302" i="1"/>
  <c r="A303" i="1"/>
  <c r="B303" i="1"/>
  <c r="C303" i="1"/>
  <c r="D303" i="1"/>
  <c r="E303" i="1"/>
  <c r="A304" i="1"/>
  <c r="B304" i="1"/>
  <c r="C304" i="1"/>
  <c r="D304" i="1"/>
  <c r="E304" i="1"/>
  <c r="A305" i="1"/>
  <c r="B305" i="1"/>
  <c r="C305" i="1"/>
  <c r="D305" i="1"/>
  <c r="E305" i="1"/>
  <c r="A306" i="1"/>
  <c r="B306" i="1"/>
  <c r="C306" i="1"/>
  <c r="D306" i="1"/>
  <c r="E306" i="1"/>
  <c r="A307" i="1"/>
  <c r="B307" i="1"/>
  <c r="C307" i="1"/>
  <c r="D307" i="1"/>
  <c r="E307" i="1"/>
  <c r="A308" i="1"/>
  <c r="B308" i="1"/>
  <c r="C308" i="1"/>
  <c r="D308" i="1"/>
  <c r="E308" i="1"/>
  <c r="A309" i="1"/>
  <c r="B309" i="1"/>
  <c r="C309" i="1"/>
  <c r="D309" i="1"/>
  <c r="E309" i="1"/>
  <c r="A310" i="1"/>
  <c r="B310" i="1"/>
  <c r="C310" i="1"/>
  <c r="D310" i="1"/>
  <c r="E310" i="1"/>
  <c r="A311" i="1"/>
  <c r="B311" i="1"/>
  <c r="C311" i="1"/>
  <c r="D311" i="1"/>
  <c r="E311" i="1"/>
  <c r="A312" i="1"/>
  <c r="B312" i="1"/>
  <c r="C312" i="1"/>
  <c r="D312" i="1"/>
  <c r="E312" i="1"/>
  <c r="A313" i="1"/>
  <c r="B313" i="1"/>
  <c r="C313" i="1"/>
  <c r="D313" i="1"/>
  <c r="E313" i="1"/>
  <c r="A314" i="1"/>
  <c r="B314" i="1"/>
  <c r="C314" i="1"/>
  <c r="D314" i="1"/>
  <c r="E314" i="1"/>
  <c r="A315" i="1"/>
  <c r="B315" i="1"/>
  <c r="C315" i="1"/>
  <c r="D315" i="1"/>
  <c r="E315" i="1"/>
  <c r="A316" i="1"/>
  <c r="B316" i="1"/>
  <c r="C316" i="1"/>
  <c r="D316" i="1"/>
  <c r="E316" i="1"/>
  <c r="A317" i="1"/>
  <c r="B317" i="1"/>
  <c r="C317" i="1"/>
  <c r="D317" i="1"/>
  <c r="E317" i="1"/>
  <c r="A318" i="1"/>
  <c r="B318" i="1"/>
  <c r="C318" i="1"/>
  <c r="D318" i="1"/>
  <c r="E318" i="1"/>
  <c r="A319" i="1"/>
  <c r="B319" i="1"/>
  <c r="C319" i="1"/>
  <c r="D319" i="1"/>
  <c r="E319" i="1"/>
  <c r="A320" i="1"/>
  <c r="B320" i="1"/>
  <c r="C320" i="1"/>
  <c r="D320" i="1"/>
  <c r="E320" i="1"/>
  <c r="A321" i="1"/>
  <c r="B321" i="1"/>
  <c r="C321" i="1"/>
  <c r="D321" i="1"/>
  <c r="E321" i="1"/>
  <c r="A322" i="1"/>
  <c r="B322" i="1"/>
  <c r="C322" i="1"/>
  <c r="D322" i="1"/>
  <c r="E322" i="1"/>
  <c r="A323" i="1"/>
  <c r="B323" i="1"/>
  <c r="C323" i="1"/>
  <c r="D323" i="1"/>
  <c r="E323" i="1"/>
  <c r="A324" i="1"/>
  <c r="B324" i="1"/>
  <c r="C324" i="1"/>
  <c r="D324" i="1"/>
  <c r="E324" i="1"/>
  <c r="A325" i="1"/>
  <c r="B325" i="1"/>
  <c r="C325" i="1"/>
  <c r="D325" i="1"/>
  <c r="E325" i="1"/>
  <c r="A326" i="1"/>
  <c r="B326" i="1"/>
  <c r="C326" i="1"/>
  <c r="D326" i="1"/>
  <c r="E326" i="1"/>
  <c r="A327" i="1"/>
  <c r="B327" i="1"/>
  <c r="C327" i="1"/>
  <c r="D327" i="1"/>
  <c r="E327" i="1"/>
  <c r="A328" i="1"/>
  <c r="B328" i="1"/>
  <c r="C328" i="1"/>
  <c r="D328" i="1"/>
  <c r="E328" i="1"/>
  <c r="A329" i="1"/>
  <c r="B329" i="1"/>
  <c r="C329" i="1"/>
  <c r="D329" i="1"/>
  <c r="E329" i="1"/>
  <c r="A330" i="1"/>
  <c r="B330" i="1"/>
  <c r="C330" i="1"/>
  <c r="D330" i="1"/>
  <c r="E330" i="1"/>
  <c r="A331" i="1"/>
  <c r="B331" i="1"/>
  <c r="C331" i="1"/>
  <c r="D331" i="1"/>
  <c r="E331" i="1"/>
  <c r="A332" i="1"/>
  <c r="B332" i="1"/>
  <c r="C332" i="1"/>
  <c r="D332" i="1"/>
  <c r="E332" i="1"/>
  <c r="A333" i="1"/>
  <c r="B333" i="1"/>
  <c r="C333" i="1"/>
  <c r="D333" i="1"/>
  <c r="E333" i="1"/>
  <c r="A334" i="1"/>
  <c r="B334" i="1"/>
  <c r="C334" i="1"/>
  <c r="D334" i="1"/>
  <c r="E334" i="1"/>
  <c r="A335" i="1"/>
  <c r="B335" i="1"/>
  <c r="C335" i="1"/>
  <c r="D335" i="1"/>
  <c r="E335" i="1"/>
  <c r="A336" i="1"/>
  <c r="B336" i="1"/>
  <c r="C336" i="1"/>
  <c r="D336" i="1"/>
  <c r="E336" i="1"/>
  <c r="A337" i="1"/>
  <c r="B337" i="1"/>
  <c r="C337" i="1"/>
  <c r="D337" i="1"/>
  <c r="E337" i="1"/>
  <c r="A338" i="1"/>
  <c r="B338" i="1"/>
  <c r="C338" i="1"/>
  <c r="D338" i="1"/>
  <c r="E338" i="1"/>
  <c r="A339" i="1"/>
  <c r="B339" i="1"/>
  <c r="C339" i="1"/>
  <c r="D339" i="1"/>
  <c r="E339" i="1"/>
  <c r="A340" i="1"/>
  <c r="B340" i="1"/>
  <c r="C340" i="1"/>
  <c r="D340" i="1"/>
  <c r="E340" i="1"/>
  <c r="A341" i="1"/>
  <c r="B341" i="1"/>
  <c r="C341" i="1"/>
  <c r="D341" i="1"/>
  <c r="E341" i="1"/>
  <c r="A342" i="1"/>
  <c r="B342" i="1"/>
  <c r="C342" i="1"/>
  <c r="D342" i="1"/>
  <c r="E342" i="1"/>
  <c r="A343" i="1"/>
  <c r="B343" i="1"/>
  <c r="C343" i="1"/>
  <c r="D343" i="1"/>
  <c r="E343" i="1"/>
  <c r="A344" i="1"/>
  <c r="B344" i="1"/>
  <c r="C344" i="1"/>
  <c r="D344" i="1"/>
  <c r="E344" i="1"/>
  <c r="A345" i="1"/>
  <c r="B345" i="1"/>
  <c r="C345" i="1"/>
  <c r="D345" i="1"/>
  <c r="E345" i="1"/>
  <c r="A346" i="1"/>
  <c r="B346" i="1"/>
  <c r="C346" i="1"/>
  <c r="D346" i="1"/>
  <c r="E346" i="1"/>
  <c r="A347" i="1"/>
  <c r="B347" i="1"/>
  <c r="C347" i="1"/>
  <c r="D347" i="1"/>
  <c r="E347" i="1"/>
  <c r="A348" i="1"/>
  <c r="B348" i="1"/>
  <c r="C348" i="1"/>
  <c r="D348" i="1"/>
  <c r="E348" i="1"/>
  <c r="A349" i="1"/>
  <c r="B349" i="1"/>
  <c r="C349" i="1"/>
  <c r="D349" i="1"/>
  <c r="E349" i="1"/>
  <c r="A350" i="1"/>
  <c r="B350" i="1"/>
  <c r="C350" i="1"/>
  <c r="D350" i="1"/>
  <c r="E350" i="1"/>
  <c r="A351" i="1"/>
  <c r="B351" i="1"/>
  <c r="C351" i="1"/>
  <c r="D351" i="1"/>
  <c r="E351" i="1"/>
  <c r="A352" i="1"/>
  <c r="B352" i="1"/>
  <c r="C352" i="1"/>
  <c r="D352" i="1"/>
  <c r="E352" i="1"/>
  <c r="A353" i="1"/>
  <c r="B353" i="1"/>
  <c r="C353" i="1"/>
  <c r="D353" i="1"/>
  <c r="E353" i="1"/>
  <c r="A354" i="1"/>
  <c r="B354" i="1"/>
  <c r="C354" i="1"/>
  <c r="D354" i="1"/>
  <c r="E354" i="1"/>
  <c r="A355" i="1"/>
  <c r="B355" i="1"/>
  <c r="C355" i="1"/>
  <c r="D355" i="1"/>
  <c r="E355" i="1"/>
  <c r="A356" i="1"/>
  <c r="B356" i="1"/>
  <c r="C356" i="1"/>
  <c r="D356" i="1"/>
  <c r="E356" i="1"/>
  <c r="A357" i="1"/>
  <c r="B357" i="1"/>
  <c r="C357" i="1"/>
  <c r="D357" i="1"/>
  <c r="E357" i="1"/>
  <c r="A358" i="1"/>
  <c r="B358" i="1"/>
  <c r="C358" i="1"/>
  <c r="D358" i="1"/>
  <c r="E358" i="1"/>
  <c r="A359" i="1"/>
  <c r="B359" i="1"/>
  <c r="C359" i="1"/>
  <c r="D359" i="1"/>
  <c r="E359" i="1"/>
  <c r="A360" i="1"/>
  <c r="B360" i="1"/>
  <c r="C360" i="1"/>
  <c r="D360" i="1"/>
  <c r="E360" i="1"/>
  <c r="A361" i="1"/>
  <c r="B361" i="1"/>
  <c r="C361" i="1"/>
  <c r="D361" i="1"/>
  <c r="E361" i="1"/>
  <c r="A362" i="1"/>
  <c r="B362" i="1"/>
  <c r="C362" i="1"/>
  <c r="D362" i="1"/>
  <c r="E362" i="1"/>
  <c r="A363" i="1"/>
  <c r="B363" i="1"/>
  <c r="C363" i="1"/>
  <c r="D363" i="1"/>
  <c r="E363" i="1"/>
  <c r="A364" i="1"/>
  <c r="B364" i="1"/>
  <c r="C364" i="1"/>
  <c r="D364" i="1"/>
  <c r="E364" i="1"/>
  <c r="A365" i="1"/>
  <c r="B365" i="1"/>
  <c r="C365" i="1"/>
  <c r="D365" i="1"/>
  <c r="E365" i="1"/>
  <c r="A366" i="1"/>
  <c r="B366" i="1"/>
  <c r="C366" i="1"/>
  <c r="D366" i="1"/>
  <c r="E366" i="1"/>
  <c r="A367" i="1"/>
  <c r="B367" i="1"/>
  <c r="C367" i="1"/>
  <c r="D367" i="1"/>
  <c r="E367" i="1"/>
  <c r="A368" i="1"/>
  <c r="B368" i="1"/>
  <c r="C368" i="1"/>
  <c r="D368" i="1"/>
  <c r="E368" i="1"/>
  <c r="A369" i="1"/>
  <c r="B369" i="1"/>
  <c r="C369" i="1"/>
  <c r="D369" i="1"/>
  <c r="E369" i="1"/>
  <c r="A370" i="1"/>
  <c r="B370" i="1"/>
  <c r="C370" i="1"/>
  <c r="D370" i="1"/>
  <c r="E370" i="1"/>
  <c r="A371" i="1"/>
  <c r="B371" i="1"/>
  <c r="C371" i="1"/>
  <c r="D371" i="1"/>
  <c r="E371" i="1"/>
  <c r="A372" i="1"/>
  <c r="B372" i="1"/>
  <c r="C372" i="1"/>
  <c r="D372" i="1"/>
  <c r="E372" i="1"/>
  <c r="A373" i="1"/>
  <c r="B373" i="1"/>
  <c r="C373" i="1"/>
  <c r="D373" i="1"/>
  <c r="E373" i="1"/>
  <c r="A374" i="1"/>
  <c r="B374" i="1"/>
  <c r="C374" i="1"/>
  <c r="D374" i="1"/>
  <c r="E374" i="1"/>
  <c r="A375" i="1"/>
  <c r="B375" i="1"/>
  <c r="C375" i="1"/>
  <c r="D375" i="1"/>
  <c r="E375" i="1"/>
  <c r="A376" i="1"/>
  <c r="B376" i="1"/>
  <c r="C376" i="1"/>
  <c r="D376" i="1"/>
  <c r="E376" i="1"/>
  <c r="A377" i="1"/>
  <c r="B377" i="1"/>
  <c r="C377" i="1"/>
  <c r="D377" i="1"/>
  <c r="E377" i="1"/>
  <c r="A378" i="1"/>
  <c r="B378" i="1"/>
  <c r="C378" i="1"/>
  <c r="D378" i="1"/>
  <c r="E378" i="1"/>
  <c r="A379" i="1"/>
  <c r="B379" i="1"/>
  <c r="C379" i="1"/>
  <c r="D379" i="1"/>
  <c r="E379" i="1"/>
  <c r="A380" i="1"/>
  <c r="B380" i="1"/>
  <c r="C380" i="1"/>
  <c r="D380" i="1"/>
  <c r="E380" i="1"/>
  <c r="A381" i="1"/>
  <c r="B381" i="1"/>
  <c r="C381" i="1"/>
  <c r="D381" i="1"/>
  <c r="E381" i="1"/>
  <c r="A382" i="1"/>
  <c r="B382" i="1"/>
  <c r="C382" i="1"/>
  <c r="D382" i="1"/>
  <c r="E382" i="1"/>
  <c r="A383" i="1"/>
  <c r="B383" i="1"/>
  <c r="C383" i="1"/>
  <c r="D383" i="1"/>
  <c r="E383" i="1"/>
  <c r="A384" i="1"/>
  <c r="B384" i="1"/>
  <c r="C384" i="1"/>
  <c r="D384" i="1"/>
  <c r="E384" i="1"/>
  <c r="A385" i="1"/>
  <c r="B385" i="1"/>
  <c r="C385" i="1"/>
  <c r="D385" i="1"/>
  <c r="E385" i="1"/>
  <c r="A386" i="1"/>
  <c r="B386" i="1"/>
  <c r="C386" i="1"/>
  <c r="D386" i="1"/>
  <c r="E386" i="1"/>
  <c r="A387" i="1"/>
  <c r="B387" i="1"/>
  <c r="C387" i="1"/>
  <c r="D387" i="1"/>
  <c r="E387" i="1"/>
  <c r="A388" i="1"/>
  <c r="B388" i="1"/>
  <c r="C388" i="1"/>
  <c r="D388" i="1"/>
  <c r="E388" i="1"/>
  <c r="A389" i="1"/>
  <c r="B389" i="1"/>
  <c r="C389" i="1"/>
  <c r="D389" i="1"/>
  <c r="E389" i="1"/>
  <c r="A390" i="1"/>
  <c r="B390" i="1"/>
  <c r="C390" i="1"/>
  <c r="D390" i="1"/>
  <c r="E390" i="1"/>
  <c r="A391" i="1"/>
  <c r="B391" i="1"/>
  <c r="C391" i="1"/>
  <c r="D391" i="1"/>
  <c r="E391" i="1"/>
  <c r="A392" i="1"/>
  <c r="B392" i="1"/>
  <c r="C392" i="1"/>
  <c r="D392" i="1"/>
  <c r="E392" i="1"/>
  <c r="A393" i="1"/>
  <c r="B393" i="1"/>
  <c r="C393" i="1"/>
  <c r="D393" i="1"/>
  <c r="E393" i="1"/>
  <c r="A394" i="1"/>
  <c r="B394" i="1"/>
  <c r="C394" i="1"/>
  <c r="D394" i="1"/>
  <c r="E394" i="1"/>
  <c r="A395" i="1"/>
  <c r="B395" i="1"/>
  <c r="C395" i="1"/>
  <c r="D395" i="1"/>
  <c r="E395" i="1"/>
  <c r="A396" i="1"/>
  <c r="B396" i="1"/>
  <c r="C396" i="1"/>
  <c r="D396" i="1"/>
  <c r="E396" i="1"/>
  <c r="A397" i="1"/>
  <c r="B397" i="1"/>
  <c r="C397" i="1"/>
  <c r="D397" i="1"/>
  <c r="E397" i="1"/>
  <c r="A398" i="1"/>
  <c r="B398" i="1"/>
  <c r="C398" i="1"/>
  <c r="D398" i="1"/>
  <c r="E398" i="1"/>
  <c r="A399" i="1"/>
  <c r="B399" i="1"/>
  <c r="C399" i="1"/>
  <c r="D399" i="1"/>
  <c r="E399" i="1"/>
  <c r="A400" i="1"/>
  <c r="B400" i="1"/>
  <c r="C400" i="1"/>
  <c r="D400" i="1"/>
  <c r="E400" i="1"/>
  <c r="A401" i="1"/>
  <c r="B401" i="1"/>
  <c r="C401" i="1"/>
  <c r="D401" i="1"/>
  <c r="E401" i="1"/>
  <c r="A402" i="1"/>
  <c r="B402" i="1"/>
  <c r="C402" i="1"/>
  <c r="D402" i="1"/>
  <c r="E402" i="1"/>
  <c r="A403" i="1"/>
  <c r="B403" i="1"/>
  <c r="C403" i="1"/>
  <c r="D403" i="1"/>
  <c r="E403" i="1"/>
  <c r="A404" i="1"/>
  <c r="B404" i="1"/>
  <c r="C404" i="1"/>
  <c r="D404" i="1"/>
  <c r="E404" i="1"/>
  <c r="A405" i="1"/>
  <c r="B405" i="1"/>
  <c r="C405" i="1"/>
  <c r="D405" i="1"/>
  <c r="E405" i="1"/>
  <c r="A406" i="1"/>
  <c r="B406" i="1"/>
  <c r="C406" i="1"/>
  <c r="D406" i="1"/>
  <c r="E406" i="1"/>
  <c r="A407" i="1"/>
  <c r="B407" i="1"/>
  <c r="C407" i="1"/>
  <c r="D407" i="1"/>
  <c r="E407" i="1"/>
  <c r="A408" i="1"/>
  <c r="B408" i="1"/>
  <c r="C408" i="1"/>
  <c r="D408" i="1"/>
  <c r="E408" i="1"/>
  <c r="A409" i="1"/>
  <c r="B409" i="1"/>
  <c r="C409" i="1"/>
  <c r="D409" i="1"/>
  <c r="E409" i="1"/>
  <c r="A410" i="1"/>
  <c r="B410" i="1"/>
  <c r="C410" i="1"/>
  <c r="D410" i="1"/>
  <c r="E410" i="1"/>
  <c r="A411" i="1"/>
  <c r="B411" i="1"/>
  <c r="C411" i="1"/>
  <c r="D411" i="1"/>
  <c r="E411" i="1"/>
  <c r="A412" i="1"/>
  <c r="B412" i="1"/>
  <c r="C412" i="1"/>
  <c r="D412" i="1"/>
  <c r="E412" i="1"/>
  <c r="A413" i="1"/>
  <c r="B413" i="1"/>
  <c r="C413" i="1"/>
  <c r="D413" i="1"/>
  <c r="E413" i="1"/>
  <c r="A414" i="1"/>
  <c r="B414" i="1"/>
  <c r="C414" i="1"/>
  <c r="D414" i="1"/>
  <c r="E414" i="1"/>
  <c r="A415" i="1"/>
  <c r="B415" i="1"/>
  <c r="C415" i="1"/>
  <c r="D415" i="1"/>
  <c r="E415" i="1"/>
  <c r="A416" i="1"/>
  <c r="B416" i="1"/>
  <c r="C416" i="1"/>
  <c r="D416" i="1"/>
  <c r="E416" i="1"/>
  <c r="A417" i="1"/>
  <c r="B417" i="1"/>
  <c r="C417" i="1"/>
  <c r="D417" i="1"/>
  <c r="E417" i="1"/>
  <c r="A418" i="1"/>
  <c r="B418" i="1"/>
  <c r="C418" i="1"/>
  <c r="D418" i="1"/>
  <c r="E418" i="1"/>
  <c r="A419" i="1"/>
  <c r="B419" i="1"/>
  <c r="C419" i="1"/>
  <c r="D419" i="1"/>
  <c r="E419" i="1"/>
  <c r="A420" i="1"/>
  <c r="B420" i="1"/>
  <c r="C420" i="1"/>
  <c r="D420" i="1"/>
  <c r="E420" i="1"/>
  <c r="A421" i="1"/>
  <c r="B421" i="1"/>
  <c r="C421" i="1"/>
  <c r="D421" i="1"/>
  <c r="E421" i="1"/>
  <c r="A422" i="1"/>
  <c r="B422" i="1"/>
  <c r="C422" i="1"/>
  <c r="D422" i="1"/>
  <c r="E422" i="1"/>
  <c r="A423" i="1"/>
  <c r="B423" i="1"/>
  <c r="C423" i="1"/>
  <c r="D423" i="1"/>
  <c r="E423" i="1"/>
  <c r="A424" i="1"/>
  <c r="B424" i="1"/>
  <c r="C424" i="1"/>
  <c r="D424" i="1"/>
  <c r="E424" i="1"/>
  <c r="A425" i="1"/>
  <c r="B425" i="1"/>
  <c r="C425" i="1"/>
  <c r="D425" i="1"/>
  <c r="E425" i="1"/>
  <c r="A426" i="1"/>
  <c r="B426" i="1"/>
  <c r="C426" i="1"/>
  <c r="D426" i="1"/>
  <c r="E426" i="1"/>
  <c r="A427" i="1"/>
  <c r="B427" i="1"/>
  <c r="C427" i="1"/>
  <c r="D427" i="1"/>
  <c r="E427" i="1"/>
  <c r="A428" i="1"/>
  <c r="B428" i="1"/>
  <c r="C428" i="1"/>
  <c r="D428" i="1"/>
  <c r="E428" i="1"/>
  <c r="A429" i="1"/>
  <c r="B429" i="1"/>
  <c r="C429" i="1"/>
  <c r="D429" i="1"/>
  <c r="E429" i="1"/>
  <c r="A430" i="1"/>
  <c r="B430" i="1"/>
  <c r="C430" i="1"/>
  <c r="D430" i="1"/>
  <c r="E430" i="1"/>
  <c r="A431" i="1"/>
  <c r="B431" i="1"/>
  <c r="C431" i="1"/>
  <c r="D431" i="1"/>
  <c r="E431" i="1"/>
  <c r="A432" i="1"/>
  <c r="B432" i="1"/>
  <c r="C432" i="1"/>
  <c r="D432" i="1"/>
  <c r="E432" i="1"/>
  <c r="A433" i="1"/>
  <c r="B433" i="1"/>
  <c r="C433" i="1"/>
  <c r="D433" i="1"/>
  <c r="E433" i="1"/>
  <c r="A434" i="1"/>
  <c r="B434" i="1"/>
  <c r="C434" i="1"/>
  <c r="D434" i="1"/>
  <c r="E434" i="1"/>
  <c r="A435" i="1"/>
  <c r="B435" i="1"/>
  <c r="C435" i="1"/>
  <c r="D435" i="1"/>
  <c r="E435" i="1"/>
  <c r="A436" i="1"/>
  <c r="B436" i="1"/>
  <c r="C436" i="1"/>
  <c r="D436" i="1"/>
  <c r="E436" i="1"/>
  <c r="A437" i="1"/>
  <c r="B437" i="1"/>
  <c r="C437" i="1"/>
  <c r="D437" i="1"/>
  <c r="E437" i="1"/>
  <c r="A438" i="1"/>
  <c r="B438" i="1"/>
  <c r="C438" i="1"/>
  <c r="D438" i="1"/>
  <c r="E438" i="1"/>
  <c r="A439" i="1"/>
  <c r="B439" i="1"/>
  <c r="C439" i="1"/>
  <c r="D439" i="1"/>
  <c r="E439" i="1"/>
  <c r="A440" i="1"/>
  <c r="B440" i="1"/>
  <c r="C440" i="1"/>
  <c r="D440" i="1"/>
  <c r="E440" i="1"/>
  <c r="A441" i="1"/>
  <c r="B441" i="1"/>
  <c r="C441" i="1"/>
  <c r="D441" i="1"/>
  <c r="E441" i="1"/>
  <c r="A442" i="1"/>
  <c r="B442" i="1"/>
  <c r="C442" i="1"/>
  <c r="D442" i="1"/>
  <c r="E442" i="1"/>
  <c r="A443" i="1"/>
  <c r="B443" i="1"/>
  <c r="C443" i="1"/>
  <c r="D443" i="1"/>
  <c r="E443" i="1"/>
  <c r="A444" i="1"/>
  <c r="B444" i="1"/>
  <c r="C444" i="1"/>
  <c r="D444" i="1"/>
  <c r="E444" i="1"/>
  <c r="A445" i="1"/>
  <c r="B445" i="1"/>
  <c r="C445" i="1"/>
  <c r="D445" i="1"/>
  <c r="E445" i="1"/>
  <c r="A446" i="1"/>
  <c r="B446" i="1"/>
  <c r="C446" i="1"/>
  <c r="D446" i="1"/>
  <c r="E446" i="1"/>
  <c r="A447" i="1"/>
  <c r="B447" i="1"/>
  <c r="C447" i="1"/>
  <c r="D447" i="1"/>
  <c r="E447" i="1"/>
  <c r="A448" i="1"/>
  <c r="B448" i="1"/>
  <c r="C448" i="1"/>
  <c r="D448" i="1"/>
  <c r="E448" i="1"/>
  <c r="A449" i="1"/>
  <c r="B449" i="1"/>
  <c r="C449" i="1"/>
  <c r="D449" i="1"/>
  <c r="E449" i="1"/>
  <c r="A450" i="1"/>
  <c r="B450" i="1"/>
  <c r="C450" i="1"/>
  <c r="D450" i="1"/>
  <c r="E450" i="1"/>
  <c r="A451" i="1"/>
  <c r="B451" i="1"/>
  <c r="C451" i="1"/>
  <c r="D451" i="1"/>
  <c r="E451" i="1"/>
  <c r="A452" i="1"/>
  <c r="B452" i="1"/>
  <c r="C452" i="1"/>
  <c r="D452" i="1"/>
  <c r="E452" i="1"/>
  <c r="A453" i="1"/>
  <c r="B453" i="1"/>
  <c r="C453" i="1"/>
  <c r="D453" i="1"/>
  <c r="E453" i="1"/>
  <c r="A454" i="1"/>
  <c r="B454" i="1"/>
  <c r="C454" i="1"/>
  <c r="D454" i="1"/>
  <c r="E454" i="1"/>
  <c r="A455" i="1"/>
  <c r="B455" i="1"/>
  <c r="C455" i="1"/>
  <c r="D455" i="1"/>
  <c r="E455" i="1"/>
  <c r="A456" i="1"/>
  <c r="B456" i="1"/>
  <c r="C456" i="1"/>
  <c r="D456" i="1"/>
  <c r="E456" i="1"/>
  <c r="A457" i="1"/>
  <c r="B457" i="1"/>
  <c r="C457" i="1"/>
  <c r="D457" i="1"/>
  <c r="E457" i="1"/>
  <c r="A458" i="1"/>
  <c r="B458" i="1"/>
  <c r="C458" i="1"/>
  <c r="D458" i="1"/>
  <c r="E458" i="1"/>
  <c r="A459" i="1"/>
  <c r="B459" i="1"/>
  <c r="C459" i="1"/>
  <c r="D459" i="1"/>
  <c r="E459" i="1"/>
  <c r="A460" i="1"/>
  <c r="B460" i="1"/>
  <c r="C460" i="1"/>
  <c r="D460" i="1"/>
  <c r="E460" i="1"/>
  <c r="A461" i="1"/>
  <c r="B461" i="1"/>
  <c r="C461" i="1"/>
  <c r="D461" i="1"/>
  <c r="E461" i="1"/>
  <c r="A462" i="1"/>
  <c r="B462" i="1"/>
  <c r="C462" i="1"/>
  <c r="D462" i="1"/>
  <c r="E462" i="1"/>
  <c r="A463" i="1"/>
  <c r="B463" i="1"/>
  <c r="C463" i="1"/>
  <c r="D463" i="1"/>
  <c r="E463" i="1"/>
  <c r="A464" i="1"/>
  <c r="B464" i="1"/>
  <c r="C464" i="1"/>
  <c r="D464" i="1"/>
  <c r="E464" i="1"/>
  <c r="A465" i="1"/>
  <c r="B465" i="1"/>
  <c r="C465" i="1"/>
  <c r="D465" i="1"/>
  <c r="E465" i="1"/>
  <c r="A466" i="1"/>
  <c r="B466" i="1"/>
  <c r="C466" i="1"/>
  <c r="D466" i="1"/>
  <c r="E466" i="1"/>
  <c r="A467" i="1"/>
  <c r="B467" i="1"/>
  <c r="C467" i="1"/>
  <c r="D467" i="1"/>
  <c r="E467" i="1"/>
  <c r="A468" i="1"/>
  <c r="B468" i="1"/>
  <c r="C468" i="1"/>
  <c r="D468" i="1"/>
  <c r="E468" i="1"/>
  <c r="A469" i="1"/>
  <c r="B469" i="1"/>
  <c r="C469" i="1"/>
  <c r="D469" i="1"/>
  <c r="E469" i="1"/>
  <c r="A470" i="1"/>
  <c r="B470" i="1"/>
  <c r="C470" i="1"/>
  <c r="D470" i="1"/>
  <c r="E470" i="1"/>
  <c r="A471" i="1"/>
  <c r="B471" i="1"/>
  <c r="C471" i="1"/>
  <c r="D471" i="1"/>
  <c r="E471" i="1"/>
  <c r="A472" i="1"/>
  <c r="B472" i="1"/>
  <c r="C472" i="1"/>
  <c r="D472" i="1"/>
  <c r="E472" i="1"/>
  <c r="A473" i="1"/>
  <c r="B473" i="1"/>
  <c r="C473" i="1"/>
  <c r="D473" i="1"/>
  <c r="E473" i="1"/>
  <c r="A474" i="1"/>
  <c r="B474" i="1"/>
  <c r="C474" i="1"/>
  <c r="D474" i="1"/>
  <c r="E474" i="1"/>
  <c r="A475" i="1"/>
  <c r="B475" i="1"/>
  <c r="C475" i="1"/>
  <c r="D475" i="1"/>
  <c r="E475" i="1"/>
  <c r="A476" i="1"/>
  <c r="B476" i="1"/>
  <c r="C476" i="1"/>
  <c r="D476" i="1"/>
  <c r="E476" i="1"/>
  <c r="A477" i="1"/>
  <c r="B477" i="1"/>
  <c r="C477" i="1"/>
  <c r="D477" i="1"/>
  <c r="E477" i="1"/>
  <c r="A478" i="1"/>
  <c r="B478" i="1"/>
  <c r="C478" i="1"/>
  <c r="D478" i="1"/>
  <c r="E478" i="1"/>
  <c r="A479" i="1"/>
  <c r="B479" i="1"/>
  <c r="C479" i="1"/>
  <c r="D479" i="1"/>
  <c r="E479" i="1"/>
  <c r="A480" i="1"/>
  <c r="B480" i="1"/>
  <c r="C480" i="1"/>
  <c r="D480" i="1"/>
  <c r="E480" i="1"/>
  <c r="A481" i="1"/>
  <c r="B481" i="1"/>
  <c r="C481" i="1"/>
  <c r="D481" i="1"/>
  <c r="E481" i="1"/>
  <c r="A482" i="1"/>
  <c r="B482" i="1"/>
  <c r="C482" i="1"/>
  <c r="D482" i="1"/>
  <c r="E482" i="1"/>
  <c r="A483" i="1"/>
  <c r="B483" i="1"/>
  <c r="C483" i="1"/>
  <c r="D483" i="1"/>
  <c r="E483" i="1"/>
  <c r="A484" i="1"/>
  <c r="B484" i="1"/>
  <c r="C484" i="1"/>
  <c r="D484" i="1"/>
  <c r="E484" i="1"/>
  <c r="A485" i="1"/>
  <c r="B485" i="1"/>
  <c r="C485" i="1"/>
  <c r="D485" i="1"/>
  <c r="E485" i="1"/>
  <c r="A486" i="1"/>
  <c r="B486" i="1"/>
  <c r="C486" i="1"/>
  <c r="D486" i="1"/>
  <c r="E486" i="1"/>
  <c r="A487" i="1"/>
  <c r="B487" i="1"/>
  <c r="C487" i="1"/>
  <c r="D487" i="1"/>
  <c r="E487" i="1"/>
  <c r="A488" i="1"/>
  <c r="B488" i="1"/>
  <c r="C488" i="1"/>
  <c r="D488" i="1"/>
  <c r="E488" i="1"/>
  <c r="A489" i="1"/>
  <c r="B489" i="1"/>
  <c r="C489" i="1"/>
  <c r="D489" i="1"/>
  <c r="E489" i="1"/>
  <c r="A490" i="1"/>
  <c r="B490" i="1"/>
  <c r="C490" i="1"/>
  <c r="D490" i="1"/>
  <c r="E490" i="1"/>
  <c r="A491" i="1"/>
  <c r="B491" i="1"/>
  <c r="C491" i="1"/>
  <c r="D491" i="1"/>
  <c r="E491" i="1"/>
  <c r="A492" i="1"/>
  <c r="B492" i="1"/>
  <c r="C492" i="1"/>
  <c r="D492" i="1"/>
  <c r="E492" i="1"/>
  <c r="A493" i="1"/>
  <c r="B493" i="1"/>
  <c r="C493" i="1"/>
  <c r="D493" i="1"/>
  <c r="E493" i="1"/>
  <c r="A494" i="1"/>
  <c r="B494" i="1"/>
  <c r="C494" i="1"/>
  <c r="D494" i="1"/>
  <c r="E494" i="1"/>
  <c r="A495" i="1"/>
  <c r="B495" i="1"/>
  <c r="C495" i="1"/>
  <c r="D495" i="1"/>
  <c r="E495" i="1"/>
  <c r="A496" i="1"/>
  <c r="B496" i="1"/>
  <c r="C496" i="1"/>
  <c r="D496" i="1"/>
  <c r="E496" i="1"/>
  <c r="A497" i="1"/>
  <c r="B497" i="1"/>
  <c r="C497" i="1"/>
  <c r="D497" i="1"/>
  <c r="E497" i="1"/>
  <c r="A498" i="1"/>
  <c r="B498" i="1"/>
  <c r="C498" i="1"/>
  <c r="D498" i="1"/>
  <c r="E498" i="1"/>
  <c r="A499" i="1"/>
  <c r="B499" i="1"/>
  <c r="C499" i="1"/>
  <c r="D499" i="1"/>
  <c r="E499" i="1"/>
  <c r="A500" i="1"/>
  <c r="B500" i="1"/>
  <c r="C500" i="1"/>
  <c r="D500" i="1"/>
  <c r="E500" i="1"/>
  <c r="A501" i="1"/>
  <c r="B501" i="1"/>
  <c r="C501" i="1"/>
  <c r="D501" i="1"/>
  <c r="E501" i="1"/>
  <c r="A502" i="1"/>
  <c r="B502" i="1"/>
  <c r="C502" i="1"/>
  <c r="D502" i="1"/>
  <c r="E502" i="1"/>
  <c r="A503" i="1"/>
  <c r="B503" i="1"/>
  <c r="C503" i="1"/>
  <c r="D503" i="1"/>
  <c r="E503" i="1"/>
  <c r="A504" i="1"/>
  <c r="B504" i="1"/>
  <c r="C504" i="1"/>
  <c r="D504" i="1"/>
  <c r="E504" i="1"/>
  <c r="A505" i="1"/>
  <c r="B505" i="1"/>
  <c r="C505" i="1"/>
  <c r="D505" i="1"/>
  <c r="E505" i="1"/>
  <c r="A506" i="1"/>
  <c r="B506" i="1"/>
  <c r="C506" i="1"/>
  <c r="D506" i="1"/>
  <c r="E506" i="1"/>
  <c r="A507" i="1"/>
  <c r="B507" i="1"/>
  <c r="C507" i="1"/>
  <c r="D507" i="1"/>
  <c r="E507" i="1"/>
  <c r="A508" i="1"/>
  <c r="B508" i="1"/>
  <c r="C508" i="1"/>
  <c r="D508" i="1"/>
  <c r="E508" i="1"/>
  <c r="A509" i="1"/>
  <c r="B509" i="1"/>
  <c r="C509" i="1"/>
  <c r="D509" i="1"/>
  <c r="E509" i="1"/>
  <c r="A510" i="1"/>
  <c r="B510" i="1"/>
  <c r="C510" i="1"/>
  <c r="D510" i="1"/>
  <c r="E510" i="1"/>
  <c r="A511" i="1"/>
  <c r="B511" i="1"/>
  <c r="C511" i="1"/>
  <c r="D511" i="1"/>
  <c r="E511" i="1"/>
  <c r="A512" i="1"/>
  <c r="B512" i="1"/>
  <c r="C512" i="1"/>
  <c r="D512" i="1"/>
  <c r="E512" i="1"/>
  <c r="A513" i="1"/>
  <c r="B513" i="1"/>
  <c r="C513" i="1"/>
  <c r="D513" i="1"/>
  <c r="E513" i="1"/>
  <c r="A514" i="1"/>
  <c r="B514" i="1"/>
  <c r="C514" i="1"/>
  <c r="D514" i="1"/>
  <c r="E514" i="1"/>
  <c r="A515" i="1"/>
  <c r="B515" i="1"/>
  <c r="C515" i="1"/>
  <c r="D515" i="1"/>
  <c r="E515" i="1"/>
  <c r="A516" i="1"/>
  <c r="B516" i="1"/>
  <c r="C516" i="1"/>
  <c r="D516" i="1"/>
  <c r="E516" i="1"/>
  <c r="A517" i="1"/>
  <c r="B517" i="1"/>
  <c r="C517" i="1"/>
  <c r="D517" i="1"/>
  <c r="E517" i="1"/>
  <c r="A518" i="1"/>
  <c r="B518" i="1"/>
  <c r="C518" i="1"/>
  <c r="D518" i="1"/>
  <c r="E518" i="1"/>
  <c r="A519" i="1"/>
  <c r="B519" i="1"/>
  <c r="C519" i="1"/>
  <c r="D519" i="1"/>
  <c r="E519" i="1"/>
  <c r="A520" i="1"/>
  <c r="B520" i="1"/>
  <c r="C520" i="1"/>
  <c r="D520" i="1"/>
  <c r="E520" i="1"/>
  <c r="A521" i="1"/>
  <c r="B521" i="1"/>
  <c r="C521" i="1"/>
  <c r="D521" i="1"/>
  <c r="E521" i="1"/>
  <c r="A522" i="1"/>
  <c r="B522" i="1"/>
  <c r="C522" i="1"/>
  <c r="D522" i="1"/>
  <c r="E522" i="1"/>
  <c r="A523" i="1"/>
  <c r="B523" i="1"/>
  <c r="C523" i="1"/>
  <c r="D523" i="1"/>
  <c r="E523" i="1"/>
  <c r="A524" i="1"/>
  <c r="B524" i="1"/>
  <c r="C524" i="1"/>
  <c r="D524" i="1"/>
  <c r="E524" i="1"/>
  <c r="A525" i="1"/>
  <c r="B525" i="1"/>
  <c r="C525" i="1"/>
  <c r="D525" i="1"/>
  <c r="E525" i="1"/>
  <c r="A526" i="1"/>
  <c r="B526" i="1"/>
  <c r="C526" i="1"/>
  <c r="D526" i="1"/>
  <c r="E526" i="1"/>
  <c r="A527" i="1"/>
  <c r="B527" i="1"/>
  <c r="C527" i="1"/>
  <c r="D527" i="1"/>
  <c r="E527" i="1"/>
  <c r="A528" i="1"/>
  <c r="B528" i="1"/>
  <c r="C528" i="1"/>
  <c r="D528" i="1"/>
  <c r="E528" i="1"/>
  <c r="A529" i="1"/>
  <c r="B529" i="1"/>
  <c r="C529" i="1"/>
  <c r="D529" i="1"/>
  <c r="E529" i="1"/>
  <c r="A530" i="1"/>
  <c r="B530" i="1"/>
  <c r="C530" i="1"/>
  <c r="D530" i="1"/>
  <c r="E530" i="1"/>
  <c r="A531" i="1"/>
  <c r="B531" i="1"/>
  <c r="C531" i="1"/>
  <c r="D531" i="1"/>
  <c r="E531" i="1"/>
  <c r="A532" i="1"/>
  <c r="B532" i="1"/>
  <c r="C532" i="1"/>
  <c r="D532" i="1"/>
  <c r="E532" i="1"/>
  <c r="A533" i="1"/>
  <c r="B533" i="1"/>
  <c r="C533" i="1"/>
  <c r="D533" i="1"/>
  <c r="E533" i="1"/>
  <c r="A534" i="1"/>
  <c r="B534" i="1"/>
  <c r="C534" i="1"/>
  <c r="D534" i="1"/>
  <c r="E534" i="1"/>
  <c r="A535" i="1"/>
  <c r="B535" i="1"/>
  <c r="C535" i="1"/>
  <c r="D535" i="1"/>
  <c r="E535" i="1"/>
  <c r="A536" i="1"/>
  <c r="B536" i="1"/>
  <c r="C536" i="1"/>
  <c r="D536" i="1"/>
  <c r="E536" i="1"/>
  <c r="A537" i="1"/>
  <c r="B537" i="1"/>
  <c r="C537" i="1"/>
  <c r="D537" i="1"/>
  <c r="E537" i="1"/>
  <c r="A538" i="1"/>
  <c r="B538" i="1"/>
  <c r="C538" i="1"/>
  <c r="D538" i="1"/>
  <c r="E538" i="1"/>
  <c r="A539" i="1"/>
  <c r="B539" i="1"/>
  <c r="C539" i="1"/>
  <c r="D539" i="1"/>
  <c r="E539" i="1"/>
  <c r="A540" i="1"/>
  <c r="B540" i="1"/>
  <c r="C540" i="1"/>
  <c r="D540" i="1"/>
  <c r="E540" i="1"/>
  <c r="A541" i="1"/>
  <c r="B541" i="1"/>
  <c r="C541" i="1"/>
  <c r="D541" i="1"/>
  <c r="E541" i="1"/>
  <c r="A542" i="1"/>
  <c r="B542" i="1"/>
  <c r="C542" i="1"/>
  <c r="D542" i="1"/>
  <c r="E542" i="1"/>
  <c r="A543" i="1"/>
  <c r="B543" i="1"/>
  <c r="C543" i="1"/>
  <c r="D543" i="1"/>
  <c r="E543" i="1"/>
  <c r="A544" i="1"/>
  <c r="B544" i="1"/>
  <c r="C544" i="1"/>
  <c r="D544" i="1"/>
  <c r="E544" i="1"/>
  <c r="A545" i="1"/>
  <c r="B545" i="1"/>
  <c r="C545" i="1"/>
  <c r="D545" i="1"/>
  <c r="E545" i="1"/>
  <c r="A546" i="1"/>
  <c r="B546" i="1"/>
  <c r="C546" i="1"/>
  <c r="D546" i="1"/>
  <c r="E546" i="1"/>
  <c r="A547" i="1"/>
  <c r="B547" i="1"/>
  <c r="C547" i="1"/>
  <c r="D547" i="1"/>
  <c r="E547" i="1"/>
  <c r="A548" i="1"/>
  <c r="B548" i="1"/>
  <c r="C548" i="1"/>
  <c r="D548" i="1"/>
  <c r="E548" i="1"/>
  <c r="A549" i="1"/>
  <c r="B549" i="1"/>
  <c r="C549" i="1"/>
  <c r="D549" i="1"/>
  <c r="E549" i="1"/>
  <c r="A550" i="1"/>
  <c r="B550" i="1"/>
  <c r="C550" i="1"/>
  <c r="D550" i="1"/>
  <c r="E550" i="1"/>
  <c r="A551" i="1"/>
  <c r="B551" i="1"/>
  <c r="C551" i="1"/>
  <c r="D551" i="1"/>
  <c r="E551" i="1"/>
  <c r="A552" i="1"/>
  <c r="B552" i="1"/>
  <c r="C552" i="1"/>
  <c r="D552" i="1"/>
  <c r="E552" i="1"/>
  <c r="A553" i="1"/>
  <c r="B553" i="1"/>
  <c r="C553" i="1"/>
  <c r="D553" i="1"/>
  <c r="E553" i="1"/>
  <c r="A554" i="1"/>
  <c r="B554" i="1"/>
  <c r="C554" i="1"/>
  <c r="D554" i="1"/>
  <c r="E554" i="1"/>
  <c r="A555" i="1"/>
  <c r="B555" i="1"/>
  <c r="C555" i="1"/>
  <c r="D555" i="1"/>
  <c r="E555" i="1"/>
  <c r="A556" i="1"/>
  <c r="B556" i="1"/>
  <c r="C556" i="1"/>
  <c r="D556" i="1"/>
  <c r="E556" i="1"/>
  <c r="A557" i="1"/>
  <c r="B557" i="1"/>
  <c r="C557" i="1"/>
  <c r="D557" i="1"/>
  <c r="E557" i="1"/>
  <c r="A558" i="1"/>
  <c r="B558" i="1"/>
  <c r="C558" i="1"/>
  <c r="D558" i="1"/>
  <c r="E558" i="1"/>
  <c r="A559" i="1"/>
  <c r="B559" i="1"/>
  <c r="C559" i="1"/>
  <c r="D559" i="1"/>
  <c r="E559" i="1"/>
  <c r="A560" i="1"/>
  <c r="B560" i="1"/>
  <c r="C560" i="1"/>
  <c r="D560" i="1"/>
  <c r="E560" i="1"/>
  <c r="A561" i="1"/>
  <c r="B561" i="1"/>
  <c r="C561" i="1"/>
  <c r="D561" i="1"/>
  <c r="E561" i="1"/>
  <c r="A562" i="1"/>
  <c r="B562" i="1"/>
  <c r="C562" i="1"/>
  <c r="D562" i="1"/>
  <c r="E562" i="1"/>
  <c r="A563" i="1"/>
  <c r="B563" i="1"/>
  <c r="C563" i="1"/>
  <c r="D563" i="1"/>
  <c r="E563" i="1"/>
  <c r="A564" i="1"/>
  <c r="B564" i="1"/>
  <c r="C564" i="1"/>
  <c r="D564" i="1"/>
  <c r="E564" i="1"/>
  <c r="A565" i="1"/>
  <c r="B565" i="1"/>
  <c r="C565" i="1"/>
  <c r="D565" i="1"/>
  <c r="E565" i="1"/>
  <c r="A566" i="1"/>
  <c r="B566" i="1"/>
  <c r="C566" i="1"/>
  <c r="D566" i="1"/>
  <c r="E566" i="1"/>
  <c r="A567" i="1"/>
  <c r="B567" i="1"/>
  <c r="C567" i="1"/>
  <c r="D567" i="1"/>
  <c r="E567" i="1"/>
  <c r="A568" i="1"/>
  <c r="B568" i="1"/>
  <c r="C568" i="1"/>
  <c r="D568" i="1"/>
  <c r="E568" i="1"/>
  <c r="A569" i="1"/>
  <c r="B569" i="1"/>
  <c r="C569" i="1"/>
  <c r="D569" i="1"/>
  <c r="E569" i="1"/>
  <c r="A570" i="1"/>
  <c r="B570" i="1"/>
  <c r="C570" i="1"/>
  <c r="D570" i="1"/>
  <c r="E570" i="1"/>
  <c r="A571" i="1"/>
  <c r="B571" i="1"/>
  <c r="C571" i="1"/>
  <c r="D571" i="1"/>
  <c r="E571" i="1"/>
  <c r="A572" i="1"/>
  <c r="B572" i="1"/>
  <c r="C572" i="1"/>
  <c r="D572" i="1"/>
  <c r="E572" i="1"/>
  <c r="A573" i="1"/>
  <c r="B573" i="1"/>
  <c r="C573" i="1"/>
  <c r="D573" i="1"/>
  <c r="E573" i="1"/>
  <c r="A574" i="1"/>
  <c r="B574" i="1"/>
  <c r="C574" i="1"/>
  <c r="D574" i="1"/>
  <c r="E574" i="1"/>
  <c r="A575" i="1"/>
  <c r="B575" i="1"/>
  <c r="C575" i="1"/>
  <c r="D575" i="1"/>
  <c r="E575" i="1"/>
  <c r="A576" i="1"/>
  <c r="B576" i="1"/>
  <c r="C576" i="1"/>
  <c r="D576" i="1"/>
  <c r="E576" i="1"/>
  <c r="A577" i="1"/>
  <c r="B577" i="1"/>
  <c r="C577" i="1"/>
  <c r="D577" i="1"/>
  <c r="E577" i="1"/>
  <c r="A578" i="1"/>
  <c r="B578" i="1"/>
  <c r="C578" i="1"/>
  <c r="D578" i="1"/>
  <c r="E578" i="1"/>
  <c r="A579" i="1"/>
  <c r="B579" i="1"/>
  <c r="C579" i="1"/>
  <c r="D579" i="1"/>
  <c r="E579" i="1"/>
  <c r="A580" i="1"/>
  <c r="B580" i="1"/>
  <c r="C580" i="1"/>
  <c r="D580" i="1"/>
  <c r="E580" i="1"/>
  <c r="A581" i="1"/>
  <c r="B581" i="1"/>
  <c r="C581" i="1"/>
  <c r="D581" i="1"/>
  <c r="E581" i="1"/>
  <c r="A582" i="1"/>
  <c r="B582" i="1"/>
  <c r="C582" i="1"/>
  <c r="D582" i="1"/>
  <c r="E582" i="1"/>
  <c r="A583" i="1"/>
  <c r="B583" i="1"/>
  <c r="C583" i="1"/>
  <c r="D583" i="1"/>
  <c r="E583" i="1"/>
  <c r="A584" i="1"/>
  <c r="B584" i="1"/>
  <c r="C584" i="1"/>
  <c r="D584" i="1"/>
  <c r="E584" i="1"/>
  <c r="A585" i="1"/>
  <c r="B585" i="1"/>
  <c r="C585" i="1"/>
  <c r="D585" i="1"/>
  <c r="E585" i="1"/>
  <c r="A586" i="1"/>
  <c r="B586" i="1"/>
  <c r="C586" i="1"/>
  <c r="D586" i="1"/>
  <c r="E586" i="1"/>
  <c r="A587" i="1"/>
  <c r="B587" i="1"/>
  <c r="C587" i="1"/>
  <c r="D587" i="1"/>
  <c r="E587" i="1"/>
  <c r="A588" i="1"/>
  <c r="B588" i="1"/>
  <c r="C588" i="1"/>
  <c r="D588" i="1"/>
  <c r="E588" i="1"/>
  <c r="A589" i="1"/>
  <c r="B589" i="1"/>
  <c r="C589" i="1"/>
  <c r="D589" i="1"/>
  <c r="E589" i="1"/>
  <c r="A590" i="1"/>
  <c r="B590" i="1"/>
  <c r="C590" i="1"/>
  <c r="D590" i="1"/>
  <c r="E590" i="1"/>
  <c r="A591" i="1"/>
  <c r="B591" i="1"/>
  <c r="C591" i="1"/>
  <c r="D591" i="1"/>
  <c r="E591" i="1"/>
  <c r="A592" i="1"/>
  <c r="B592" i="1"/>
  <c r="C592" i="1"/>
  <c r="D592" i="1"/>
  <c r="E592" i="1"/>
  <c r="A593" i="1"/>
  <c r="B593" i="1"/>
  <c r="C593" i="1"/>
  <c r="D593" i="1"/>
  <c r="E593" i="1"/>
  <c r="A594" i="1"/>
  <c r="B594" i="1"/>
  <c r="C594" i="1"/>
  <c r="D594" i="1"/>
  <c r="E594" i="1"/>
  <c r="A595" i="1"/>
  <c r="B595" i="1"/>
  <c r="C595" i="1"/>
  <c r="D595" i="1"/>
  <c r="E595" i="1"/>
  <c r="A596" i="1"/>
  <c r="B596" i="1"/>
  <c r="C596" i="1"/>
  <c r="D596" i="1"/>
  <c r="E596" i="1"/>
  <c r="A597" i="1"/>
  <c r="B597" i="1"/>
  <c r="C597" i="1"/>
  <c r="D597" i="1"/>
  <c r="E597" i="1"/>
  <c r="A598" i="1"/>
  <c r="B598" i="1"/>
  <c r="C598" i="1"/>
  <c r="D598" i="1"/>
  <c r="E598" i="1"/>
  <c r="A599" i="1"/>
  <c r="B599" i="1"/>
  <c r="C599" i="1"/>
  <c r="D599" i="1"/>
  <c r="E599" i="1"/>
  <c r="A600" i="1"/>
  <c r="B600" i="1"/>
  <c r="C600" i="1"/>
  <c r="D600" i="1"/>
  <c r="E600" i="1"/>
  <c r="A601" i="1"/>
  <c r="B601" i="1"/>
  <c r="C601" i="1"/>
  <c r="D601" i="1"/>
  <c r="E601" i="1"/>
  <c r="A602" i="1"/>
  <c r="B602" i="1"/>
  <c r="C602" i="1"/>
  <c r="D602" i="1"/>
  <c r="E602" i="1"/>
  <c r="A603" i="1"/>
  <c r="B603" i="1"/>
  <c r="C603" i="1"/>
  <c r="D603" i="1"/>
  <c r="E603" i="1"/>
  <c r="A604" i="1"/>
  <c r="B604" i="1"/>
  <c r="C604" i="1"/>
  <c r="D604" i="1"/>
  <c r="E604" i="1"/>
  <c r="A605" i="1"/>
  <c r="B605" i="1"/>
  <c r="C605" i="1"/>
  <c r="D605" i="1"/>
  <c r="E605" i="1"/>
  <c r="A606" i="1"/>
  <c r="B606" i="1"/>
  <c r="C606" i="1"/>
  <c r="D606" i="1"/>
  <c r="E606" i="1"/>
  <c r="A607" i="1"/>
  <c r="B607" i="1"/>
  <c r="C607" i="1"/>
  <c r="D607" i="1"/>
  <c r="E607" i="1"/>
  <c r="A608" i="1"/>
  <c r="B608" i="1"/>
  <c r="C608" i="1"/>
  <c r="D608" i="1"/>
  <c r="E608" i="1"/>
  <c r="A609" i="1"/>
  <c r="B609" i="1"/>
  <c r="C609" i="1"/>
  <c r="D609" i="1"/>
  <c r="E609" i="1"/>
  <c r="A610" i="1"/>
  <c r="B610" i="1"/>
  <c r="C610" i="1"/>
  <c r="D610" i="1"/>
  <c r="E610" i="1"/>
  <c r="A611" i="1"/>
  <c r="B611" i="1"/>
  <c r="C611" i="1"/>
  <c r="D611" i="1"/>
  <c r="E611" i="1"/>
  <c r="A612" i="1"/>
  <c r="B612" i="1"/>
  <c r="C612" i="1"/>
  <c r="D612" i="1"/>
  <c r="E612" i="1"/>
  <c r="A613" i="1"/>
  <c r="B613" i="1"/>
  <c r="C613" i="1"/>
  <c r="D613" i="1"/>
  <c r="E613" i="1"/>
  <c r="A614" i="1"/>
  <c r="B614" i="1"/>
  <c r="C614" i="1"/>
  <c r="D614" i="1"/>
  <c r="E614" i="1"/>
  <c r="A615" i="1"/>
  <c r="B615" i="1"/>
  <c r="C615" i="1"/>
  <c r="D615" i="1"/>
  <c r="E615" i="1"/>
  <c r="A616" i="1"/>
  <c r="B616" i="1"/>
  <c r="C616" i="1"/>
  <c r="D616" i="1"/>
  <c r="E616" i="1"/>
  <c r="A617" i="1"/>
  <c r="B617" i="1"/>
  <c r="C617" i="1"/>
  <c r="D617" i="1"/>
  <c r="E617" i="1"/>
  <c r="A618" i="1"/>
  <c r="B618" i="1"/>
  <c r="C618" i="1"/>
  <c r="D618" i="1"/>
  <c r="E618" i="1"/>
  <c r="A619" i="1"/>
  <c r="B619" i="1"/>
  <c r="C619" i="1"/>
  <c r="D619" i="1"/>
  <c r="E619" i="1"/>
  <c r="A620" i="1"/>
  <c r="B620" i="1"/>
  <c r="C620" i="1"/>
  <c r="D620" i="1"/>
  <c r="E620" i="1"/>
  <c r="A621" i="1"/>
  <c r="B621" i="1"/>
  <c r="C621" i="1"/>
  <c r="D621" i="1"/>
  <c r="E621" i="1"/>
  <c r="A622" i="1"/>
  <c r="B622" i="1"/>
  <c r="C622" i="1"/>
  <c r="D622" i="1"/>
  <c r="E622" i="1"/>
  <c r="A623" i="1"/>
  <c r="B623" i="1"/>
  <c r="C623" i="1"/>
  <c r="D623" i="1"/>
  <c r="E623" i="1"/>
  <c r="A624" i="1"/>
  <c r="B624" i="1"/>
  <c r="C624" i="1"/>
  <c r="D624" i="1"/>
  <c r="E624" i="1"/>
  <c r="A625" i="1"/>
  <c r="B625" i="1"/>
  <c r="C625" i="1"/>
  <c r="D625" i="1"/>
  <c r="E625" i="1"/>
  <c r="A626" i="1"/>
  <c r="B626" i="1"/>
  <c r="C626" i="1"/>
  <c r="D626" i="1"/>
  <c r="E626" i="1"/>
  <c r="A627" i="1"/>
  <c r="B627" i="1"/>
  <c r="C627" i="1"/>
  <c r="D627" i="1"/>
  <c r="E627" i="1"/>
  <c r="A628" i="1"/>
  <c r="B628" i="1"/>
  <c r="C628" i="1"/>
  <c r="D628" i="1"/>
  <c r="E628" i="1"/>
  <c r="A629" i="1"/>
  <c r="B629" i="1"/>
  <c r="C629" i="1"/>
  <c r="D629" i="1"/>
  <c r="E629" i="1"/>
  <c r="A630" i="1"/>
  <c r="B630" i="1"/>
  <c r="C630" i="1"/>
  <c r="D630" i="1"/>
  <c r="E630" i="1"/>
  <c r="A631" i="1"/>
  <c r="B631" i="1"/>
  <c r="C631" i="1"/>
  <c r="D631" i="1"/>
  <c r="E631" i="1"/>
  <c r="A632" i="1"/>
  <c r="B632" i="1"/>
  <c r="C632" i="1"/>
  <c r="D632" i="1"/>
  <c r="E632" i="1"/>
  <c r="A633" i="1"/>
  <c r="B633" i="1"/>
  <c r="C633" i="1"/>
  <c r="D633" i="1"/>
  <c r="E633" i="1"/>
  <c r="A634" i="1"/>
  <c r="B634" i="1"/>
  <c r="C634" i="1"/>
  <c r="D634" i="1"/>
  <c r="E634" i="1"/>
  <c r="A635" i="1"/>
  <c r="B635" i="1"/>
  <c r="C635" i="1"/>
  <c r="D635" i="1"/>
  <c r="E635" i="1"/>
  <c r="A636" i="1"/>
  <c r="B636" i="1"/>
  <c r="C636" i="1"/>
  <c r="D636" i="1"/>
  <c r="E636" i="1"/>
  <c r="A637" i="1"/>
  <c r="B637" i="1"/>
  <c r="C637" i="1"/>
  <c r="D637" i="1"/>
  <c r="E637" i="1"/>
  <c r="A638" i="1"/>
  <c r="B638" i="1"/>
  <c r="C638" i="1"/>
  <c r="D638" i="1"/>
  <c r="E638" i="1"/>
  <c r="A639" i="1"/>
  <c r="B639" i="1"/>
  <c r="C639" i="1"/>
  <c r="D639" i="1"/>
  <c r="E639" i="1"/>
  <c r="A640" i="1"/>
  <c r="B640" i="1"/>
  <c r="C640" i="1"/>
  <c r="D640" i="1"/>
  <c r="E640" i="1"/>
  <c r="A641" i="1"/>
  <c r="B641" i="1"/>
  <c r="C641" i="1"/>
  <c r="D641" i="1"/>
  <c r="E641" i="1"/>
  <c r="A642" i="1"/>
  <c r="B642" i="1"/>
  <c r="C642" i="1"/>
  <c r="D642" i="1"/>
  <c r="E642" i="1"/>
  <c r="A643" i="1"/>
  <c r="B643" i="1"/>
  <c r="C643" i="1"/>
  <c r="D643" i="1"/>
  <c r="E643" i="1"/>
  <c r="A644" i="1"/>
  <c r="B644" i="1"/>
  <c r="C644" i="1"/>
  <c r="D644" i="1"/>
  <c r="E644" i="1"/>
  <c r="A645" i="1"/>
  <c r="B645" i="1"/>
  <c r="C645" i="1"/>
  <c r="D645" i="1"/>
  <c r="E645" i="1"/>
  <c r="A646" i="1"/>
  <c r="B646" i="1"/>
  <c r="C646" i="1"/>
  <c r="D646" i="1"/>
  <c r="E646" i="1"/>
  <c r="A647" i="1"/>
  <c r="B647" i="1"/>
  <c r="C647" i="1"/>
  <c r="D647" i="1"/>
  <c r="E647" i="1"/>
  <c r="A648" i="1"/>
  <c r="B648" i="1"/>
  <c r="C648" i="1"/>
  <c r="D648" i="1"/>
  <c r="E648" i="1"/>
  <c r="A649" i="1"/>
  <c r="B649" i="1"/>
  <c r="C649" i="1"/>
  <c r="D649" i="1"/>
  <c r="E649" i="1"/>
  <c r="A650" i="1"/>
  <c r="B650" i="1"/>
  <c r="C650" i="1"/>
  <c r="D650" i="1"/>
  <c r="E650" i="1"/>
  <c r="A651" i="1"/>
  <c r="B651" i="1"/>
  <c r="C651" i="1"/>
  <c r="D651" i="1"/>
  <c r="E651" i="1"/>
  <c r="A652" i="1"/>
  <c r="B652" i="1"/>
  <c r="C652" i="1"/>
  <c r="D652" i="1"/>
  <c r="E652" i="1"/>
  <c r="A653" i="1"/>
  <c r="B653" i="1"/>
  <c r="C653" i="1"/>
  <c r="D653" i="1"/>
  <c r="E653" i="1"/>
  <c r="A654" i="1"/>
  <c r="B654" i="1"/>
  <c r="C654" i="1"/>
  <c r="D654" i="1"/>
  <c r="E654" i="1"/>
  <c r="A655" i="1"/>
  <c r="B655" i="1"/>
  <c r="C655" i="1"/>
  <c r="D655" i="1"/>
  <c r="E655" i="1"/>
  <c r="A656" i="1"/>
  <c r="B656" i="1"/>
  <c r="C656" i="1"/>
  <c r="D656" i="1"/>
  <c r="E656" i="1"/>
  <c r="A657" i="1"/>
  <c r="B657" i="1"/>
  <c r="C657" i="1"/>
  <c r="D657" i="1"/>
  <c r="E657" i="1"/>
  <c r="A658" i="1"/>
  <c r="B658" i="1"/>
  <c r="C658" i="1"/>
  <c r="D658" i="1"/>
  <c r="E658" i="1"/>
  <c r="A659" i="1"/>
  <c r="B659" i="1"/>
  <c r="C659" i="1"/>
  <c r="D659" i="1"/>
  <c r="E659" i="1"/>
  <c r="A660" i="1"/>
  <c r="B660" i="1"/>
  <c r="C660" i="1"/>
  <c r="D660" i="1"/>
  <c r="E660" i="1"/>
  <c r="A661" i="1"/>
  <c r="B661" i="1"/>
  <c r="C661" i="1"/>
  <c r="D661" i="1"/>
  <c r="E661" i="1"/>
  <c r="A662" i="1"/>
  <c r="B662" i="1"/>
  <c r="C662" i="1"/>
  <c r="D662" i="1"/>
  <c r="E662" i="1"/>
  <c r="A663" i="1"/>
  <c r="B663" i="1"/>
  <c r="C663" i="1"/>
  <c r="D663" i="1"/>
  <c r="E663" i="1"/>
  <c r="A664" i="1"/>
  <c r="B664" i="1"/>
  <c r="C664" i="1"/>
  <c r="D664" i="1"/>
  <c r="E664" i="1"/>
  <c r="A665" i="1"/>
  <c r="B665" i="1"/>
  <c r="C665" i="1"/>
  <c r="D665" i="1"/>
  <c r="E665" i="1"/>
  <c r="A666" i="1"/>
  <c r="B666" i="1"/>
  <c r="C666" i="1"/>
  <c r="D666" i="1"/>
  <c r="E666" i="1"/>
  <c r="A667" i="1"/>
  <c r="B667" i="1"/>
  <c r="C667" i="1"/>
  <c r="D667" i="1"/>
  <c r="E667" i="1"/>
  <c r="A668" i="1"/>
  <c r="B668" i="1"/>
  <c r="C668" i="1"/>
  <c r="D668" i="1"/>
  <c r="E668" i="1"/>
  <c r="A669" i="1"/>
  <c r="B669" i="1"/>
  <c r="C669" i="1"/>
  <c r="D669" i="1"/>
  <c r="E669" i="1"/>
  <c r="A670" i="1"/>
  <c r="B670" i="1"/>
  <c r="C670" i="1"/>
  <c r="D670" i="1"/>
  <c r="E670" i="1"/>
  <c r="A671" i="1"/>
  <c r="B671" i="1"/>
  <c r="C671" i="1"/>
  <c r="D671" i="1"/>
  <c r="E671" i="1"/>
  <c r="A672" i="1"/>
  <c r="B672" i="1"/>
  <c r="C672" i="1"/>
  <c r="D672" i="1"/>
  <c r="E672" i="1"/>
  <c r="A673" i="1"/>
  <c r="B673" i="1"/>
  <c r="C673" i="1"/>
  <c r="D673" i="1"/>
  <c r="E673" i="1"/>
  <c r="A674" i="1"/>
  <c r="B674" i="1"/>
  <c r="C674" i="1"/>
  <c r="D674" i="1"/>
  <c r="E674" i="1"/>
  <c r="A675" i="1"/>
  <c r="B675" i="1"/>
  <c r="C675" i="1"/>
  <c r="D675" i="1"/>
  <c r="E675" i="1"/>
  <c r="A676" i="1"/>
  <c r="B676" i="1"/>
  <c r="C676" i="1"/>
  <c r="D676" i="1"/>
  <c r="E676" i="1"/>
  <c r="A677" i="1"/>
  <c r="B677" i="1"/>
  <c r="C677" i="1"/>
  <c r="D677" i="1"/>
  <c r="E677" i="1"/>
  <c r="A678" i="1"/>
  <c r="B678" i="1"/>
  <c r="C678" i="1"/>
  <c r="D678" i="1"/>
  <c r="E678" i="1"/>
  <c r="A679" i="1"/>
  <c r="B679" i="1"/>
  <c r="C679" i="1"/>
  <c r="D679" i="1"/>
  <c r="E679" i="1"/>
  <c r="A680" i="1"/>
  <c r="B680" i="1"/>
  <c r="C680" i="1"/>
  <c r="D680" i="1"/>
  <c r="E680" i="1"/>
  <c r="A681" i="1"/>
  <c r="B681" i="1"/>
  <c r="C681" i="1"/>
  <c r="D681" i="1"/>
  <c r="E681" i="1"/>
  <c r="A682" i="1"/>
  <c r="B682" i="1"/>
  <c r="C682" i="1"/>
  <c r="D682" i="1"/>
  <c r="E682" i="1"/>
  <c r="A683" i="1"/>
  <c r="B683" i="1"/>
  <c r="C683" i="1"/>
  <c r="D683" i="1"/>
  <c r="E683" i="1"/>
  <c r="A684" i="1"/>
  <c r="B684" i="1"/>
  <c r="C684" i="1"/>
  <c r="D684" i="1"/>
  <c r="E684" i="1"/>
  <c r="A685" i="1"/>
  <c r="B685" i="1"/>
  <c r="C685" i="1"/>
  <c r="D685" i="1"/>
  <c r="E685" i="1"/>
  <c r="A686" i="1"/>
  <c r="B686" i="1"/>
  <c r="C686" i="1"/>
  <c r="D686" i="1"/>
  <c r="E686" i="1"/>
  <c r="A687" i="1"/>
  <c r="B687" i="1"/>
  <c r="C687" i="1"/>
  <c r="D687" i="1"/>
  <c r="E687" i="1"/>
  <c r="A688" i="1"/>
  <c r="B688" i="1"/>
  <c r="C688" i="1"/>
  <c r="D688" i="1"/>
  <c r="E688" i="1"/>
  <c r="A689" i="1"/>
  <c r="B689" i="1"/>
  <c r="C689" i="1"/>
  <c r="D689" i="1"/>
  <c r="E689" i="1"/>
  <c r="A690" i="1"/>
  <c r="B690" i="1"/>
  <c r="C690" i="1"/>
  <c r="D690" i="1"/>
  <c r="E690" i="1"/>
  <c r="A691" i="1"/>
  <c r="B691" i="1"/>
  <c r="C691" i="1"/>
  <c r="D691" i="1"/>
  <c r="E691" i="1"/>
  <c r="A692" i="1"/>
  <c r="B692" i="1"/>
  <c r="C692" i="1"/>
  <c r="D692" i="1"/>
  <c r="E692" i="1"/>
  <c r="A693" i="1"/>
  <c r="B693" i="1"/>
  <c r="C693" i="1"/>
  <c r="D693" i="1"/>
  <c r="E693" i="1"/>
  <c r="A694" i="1"/>
  <c r="B694" i="1"/>
  <c r="C694" i="1"/>
  <c r="D694" i="1"/>
  <c r="E694" i="1"/>
  <c r="A695" i="1"/>
  <c r="B695" i="1"/>
  <c r="C695" i="1"/>
  <c r="D695" i="1"/>
  <c r="E695" i="1"/>
  <c r="A696" i="1"/>
  <c r="B696" i="1"/>
  <c r="C696" i="1"/>
  <c r="D696" i="1"/>
  <c r="E696" i="1"/>
  <c r="A697" i="1"/>
  <c r="B697" i="1"/>
  <c r="C697" i="1"/>
  <c r="D697" i="1"/>
  <c r="E697" i="1"/>
  <c r="A698" i="1"/>
  <c r="B698" i="1"/>
  <c r="C698" i="1"/>
  <c r="D698" i="1"/>
  <c r="E698" i="1"/>
  <c r="A699" i="1"/>
  <c r="B699" i="1"/>
  <c r="C699" i="1"/>
  <c r="D699" i="1"/>
  <c r="E699" i="1"/>
  <c r="A700" i="1"/>
  <c r="B700" i="1"/>
  <c r="C700" i="1"/>
  <c r="D700" i="1"/>
  <c r="E700" i="1"/>
  <c r="A701" i="1"/>
  <c r="B701" i="1"/>
  <c r="C701" i="1"/>
  <c r="D701" i="1"/>
  <c r="E701" i="1"/>
  <c r="A702" i="1"/>
  <c r="B702" i="1"/>
  <c r="C702" i="1"/>
  <c r="D702" i="1"/>
  <c r="E702" i="1"/>
  <c r="A703" i="1"/>
  <c r="B703" i="1"/>
  <c r="C703" i="1"/>
  <c r="D703" i="1"/>
  <c r="E703" i="1"/>
  <c r="A704" i="1"/>
  <c r="B704" i="1"/>
  <c r="C704" i="1"/>
  <c r="D704" i="1"/>
  <c r="E704" i="1"/>
  <c r="A705" i="1"/>
  <c r="B705" i="1"/>
  <c r="C705" i="1"/>
  <c r="D705" i="1"/>
  <c r="E705" i="1"/>
  <c r="A706" i="1"/>
  <c r="B706" i="1"/>
  <c r="C706" i="1"/>
  <c r="D706" i="1"/>
  <c r="E706" i="1"/>
  <c r="A707" i="1"/>
  <c r="B707" i="1"/>
  <c r="C707" i="1"/>
  <c r="D707" i="1"/>
  <c r="E707" i="1"/>
  <c r="A708" i="1"/>
  <c r="B708" i="1"/>
  <c r="C708" i="1"/>
  <c r="D708" i="1"/>
  <c r="E708" i="1"/>
  <c r="A709" i="1"/>
  <c r="B709" i="1"/>
  <c r="C709" i="1"/>
  <c r="D709" i="1"/>
  <c r="E709" i="1"/>
  <c r="A710" i="1"/>
  <c r="B710" i="1"/>
  <c r="C710" i="1"/>
  <c r="D710" i="1"/>
  <c r="E710" i="1"/>
  <c r="A711" i="1"/>
  <c r="B711" i="1"/>
  <c r="C711" i="1"/>
  <c r="D711" i="1"/>
  <c r="E711" i="1"/>
  <c r="A712" i="1"/>
  <c r="B712" i="1"/>
  <c r="C712" i="1"/>
  <c r="D712" i="1"/>
  <c r="E712" i="1"/>
  <c r="A713" i="1"/>
  <c r="B713" i="1"/>
  <c r="C713" i="1"/>
  <c r="D713" i="1"/>
  <c r="E713" i="1"/>
  <c r="A714" i="1"/>
  <c r="B714" i="1"/>
  <c r="C714" i="1"/>
  <c r="D714" i="1"/>
  <c r="E714" i="1"/>
  <c r="A715" i="1"/>
  <c r="B715" i="1"/>
  <c r="C715" i="1"/>
  <c r="D715" i="1"/>
  <c r="E715" i="1"/>
  <c r="A716" i="1"/>
  <c r="B716" i="1"/>
  <c r="C716" i="1"/>
  <c r="D716" i="1"/>
  <c r="E716" i="1"/>
  <c r="A717" i="1"/>
  <c r="B717" i="1"/>
  <c r="C717" i="1"/>
  <c r="D717" i="1"/>
  <c r="E717" i="1"/>
  <c r="A718" i="1"/>
  <c r="B718" i="1"/>
  <c r="C718" i="1"/>
  <c r="D718" i="1"/>
  <c r="E718" i="1"/>
  <c r="A719" i="1"/>
  <c r="B719" i="1"/>
  <c r="C719" i="1"/>
  <c r="D719" i="1"/>
  <c r="E719" i="1"/>
  <c r="A720" i="1"/>
  <c r="B720" i="1"/>
  <c r="C720" i="1"/>
  <c r="D720" i="1"/>
  <c r="E720" i="1"/>
  <c r="A721" i="1"/>
  <c r="B721" i="1"/>
  <c r="C721" i="1"/>
  <c r="D721" i="1"/>
  <c r="E721" i="1"/>
  <c r="A722" i="1"/>
  <c r="B722" i="1"/>
  <c r="C722" i="1"/>
  <c r="D722" i="1"/>
  <c r="E722" i="1"/>
  <c r="A723" i="1"/>
  <c r="B723" i="1"/>
  <c r="C723" i="1"/>
  <c r="D723" i="1"/>
  <c r="E723" i="1"/>
  <c r="A724" i="1"/>
  <c r="B724" i="1"/>
  <c r="C724" i="1"/>
  <c r="D724" i="1"/>
  <c r="E724" i="1"/>
  <c r="A725" i="1"/>
  <c r="B725" i="1"/>
  <c r="C725" i="1"/>
  <c r="D725" i="1"/>
  <c r="E725" i="1"/>
  <c r="A726" i="1"/>
  <c r="B726" i="1"/>
  <c r="C726" i="1"/>
  <c r="D726" i="1"/>
  <c r="E726" i="1"/>
  <c r="A727" i="1"/>
  <c r="B727" i="1"/>
  <c r="C727" i="1"/>
  <c r="D727" i="1"/>
  <c r="E727" i="1"/>
  <c r="A728" i="1"/>
  <c r="B728" i="1"/>
  <c r="C728" i="1"/>
  <c r="D728" i="1"/>
  <c r="E728" i="1"/>
  <c r="A729" i="1"/>
  <c r="B729" i="1"/>
  <c r="C729" i="1"/>
  <c r="D729" i="1"/>
  <c r="E729" i="1"/>
  <c r="A730" i="1"/>
  <c r="B730" i="1"/>
  <c r="C730" i="1"/>
  <c r="D730" i="1"/>
  <c r="E730" i="1"/>
  <c r="A731" i="1"/>
  <c r="B731" i="1"/>
  <c r="C731" i="1"/>
  <c r="D731" i="1"/>
  <c r="E731" i="1"/>
  <c r="A732" i="1"/>
  <c r="B732" i="1"/>
  <c r="C732" i="1"/>
  <c r="D732" i="1"/>
  <c r="E732" i="1"/>
  <c r="A733" i="1"/>
  <c r="B733" i="1"/>
  <c r="C733" i="1"/>
  <c r="D733" i="1"/>
  <c r="E733" i="1"/>
  <c r="A734" i="1"/>
  <c r="B734" i="1"/>
  <c r="C734" i="1"/>
  <c r="D734" i="1"/>
  <c r="E734" i="1"/>
  <c r="A735" i="1"/>
  <c r="B735" i="1"/>
  <c r="C735" i="1"/>
  <c r="D735" i="1"/>
  <c r="E735" i="1"/>
  <c r="A736" i="1"/>
  <c r="B736" i="1"/>
  <c r="C736" i="1"/>
  <c r="D736" i="1"/>
  <c r="E736" i="1"/>
  <c r="A737" i="1"/>
  <c r="B737" i="1"/>
  <c r="C737" i="1"/>
  <c r="D737" i="1"/>
  <c r="E737" i="1"/>
  <c r="A738" i="1"/>
  <c r="B738" i="1"/>
  <c r="C738" i="1"/>
  <c r="D738" i="1"/>
  <c r="E738" i="1"/>
  <c r="A739" i="1"/>
  <c r="B739" i="1"/>
  <c r="C739" i="1"/>
  <c r="D739" i="1"/>
  <c r="E739" i="1"/>
  <c r="A740" i="1"/>
  <c r="B740" i="1"/>
  <c r="C740" i="1"/>
  <c r="D740" i="1"/>
  <c r="E740" i="1"/>
  <c r="A741" i="1"/>
  <c r="B741" i="1"/>
  <c r="C741" i="1"/>
  <c r="D741" i="1"/>
  <c r="E741" i="1"/>
  <c r="A742" i="1"/>
  <c r="B742" i="1"/>
  <c r="C742" i="1"/>
  <c r="D742" i="1"/>
  <c r="E742" i="1"/>
  <c r="A743" i="1"/>
  <c r="B743" i="1"/>
  <c r="C743" i="1"/>
  <c r="D743" i="1"/>
  <c r="E743" i="1"/>
  <c r="A744" i="1"/>
  <c r="B744" i="1"/>
  <c r="C744" i="1"/>
  <c r="D744" i="1"/>
  <c r="E744" i="1"/>
  <c r="A745" i="1"/>
  <c r="B745" i="1"/>
  <c r="C745" i="1"/>
  <c r="D745" i="1"/>
  <c r="E745" i="1"/>
  <c r="A746" i="1"/>
  <c r="B746" i="1"/>
  <c r="C746" i="1"/>
  <c r="D746" i="1"/>
  <c r="E746" i="1"/>
  <c r="A747" i="1"/>
  <c r="B747" i="1"/>
  <c r="C747" i="1"/>
  <c r="D747" i="1"/>
  <c r="E747" i="1"/>
  <c r="A748" i="1"/>
  <c r="B748" i="1"/>
  <c r="C748" i="1"/>
  <c r="D748" i="1"/>
  <c r="E748" i="1"/>
  <c r="A749" i="1"/>
  <c r="B749" i="1"/>
  <c r="C749" i="1"/>
  <c r="D749" i="1"/>
  <c r="E749" i="1"/>
  <c r="A750" i="1"/>
  <c r="B750" i="1"/>
  <c r="C750" i="1"/>
  <c r="D750" i="1"/>
  <c r="E750" i="1"/>
  <c r="A751" i="1"/>
  <c r="B751" i="1"/>
  <c r="C751" i="1"/>
  <c r="D751" i="1"/>
  <c r="E751" i="1"/>
  <c r="A752" i="1"/>
  <c r="B752" i="1"/>
  <c r="C752" i="1"/>
  <c r="D752" i="1"/>
  <c r="E752" i="1"/>
  <c r="A753" i="1"/>
  <c r="B753" i="1"/>
  <c r="C753" i="1"/>
  <c r="D753" i="1"/>
  <c r="E753" i="1"/>
  <c r="A754" i="1"/>
  <c r="B754" i="1"/>
  <c r="C754" i="1"/>
  <c r="D754" i="1"/>
  <c r="E754" i="1"/>
  <c r="A755" i="1"/>
  <c r="B755" i="1"/>
  <c r="C755" i="1"/>
  <c r="D755" i="1"/>
  <c r="E755" i="1"/>
  <c r="A756" i="1"/>
  <c r="B756" i="1"/>
  <c r="C756" i="1"/>
  <c r="D756" i="1"/>
  <c r="E756" i="1"/>
  <c r="A757" i="1"/>
  <c r="B757" i="1"/>
  <c r="C757" i="1"/>
  <c r="D757" i="1"/>
  <c r="E757" i="1"/>
  <c r="A758" i="1"/>
  <c r="B758" i="1"/>
  <c r="C758" i="1"/>
  <c r="D758" i="1"/>
  <c r="E758" i="1"/>
  <c r="A759" i="1"/>
  <c r="B759" i="1"/>
  <c r="C759" i="1"/>
  <c r="D759" i="1"/>
  <c r="E759" i="1"/>
  <c r="A760" i="1"/>
  <c r="B760" i="1"/>
  <c r="C760" i="1"/>
  <c r="D760" i="1"/>
  <c r="E760" i="1"/>
  <c r="A761" i="1"/>
  <c r="B761" i="1"/>
  <c r="C761" i="1"/>
  <c r="D761" i="1"/>
  <c r="E761" i="1"/>
  <c r="A762" i="1"/>
  <c r="B762" i="1"/>
  <c r="C762" i="1"/>
  <c r="D762" i="1"/>
  <c r="E762" i="1"/>
  <c r="A763" i="1"/>
  <c r="B763" i="1"/>
  <c r="C763" i="1"/>
  <c r="D763" i="1"/>
  <c r="E763" i="1"/>
  <c r="A764" i="1"/>
  <c r="B764" i="1"/>
  <c r="C764" i="1"/>
  <c r="D764" i="1"/>
  <c r="E764" i="1"/>
  <c r="A765" i="1"/>
  <c r="B765" i="1"/>
  <c r="C765" i="1"/>
  <c r="D765" i="1"/>
  <c r="E765" i="1"/>
  <c r="A766" i="1"/>
  <c r="B766" i="1"/>
  <c r="C766" i="1"/>
  <c r="D766" i="1"/>
  <c r="E766" i="1"/>
  <c r="A767" i="1"/>
  <c r="B767" i="1"/>
  <c r="C767" i="1"/>
  <c r="D767" i="1"/>
  <c r="E767" i="1"/>
  <c r="A768" i="1"/>
  <c r="B768" i="1"/>
  <c r="C768" i="1"/>
  <c r="D768" i="1"/>
  <c r="E768" i="1"/>
  <c r="A769" i="1"/>
  <c r="B769" i="1"/>
  <c r="C769" i="1"/>
  <c r="D769" i="1"/>
  <c r="E769" i="1"/>
  <c r="A770" i="1"/>
  <c r="B770" i="1"/>
  <c r="C770" i="1"/>
  <c r="D770" i="1"/>
  <c r="E770" i="1"/>
  <c r="A771" i="1"/>
  <c r="B771" i="1"/>
  <c r="C771" i="1"/>
  <c r="D771" i="1"/>
  <c r="E771" i="1"/>
  <c r="A772" i="1"/>
  <c r="B772" i="1"/>
  <c r="C772" i="1"/>
  <c r="D772" i="1"/>
  <c r="E772" i="1"/>
  <c r="A773" i="1"/>
  <c r="B773" i="1"/>
  <c r="C773" i="1"/>
  <c r="D773" i="1"/>
  <c r="E773" i="1"/>
  <c r="A774" i="1"/>
  <c r="B774" i="1"/>
  <c r="C774" i="1"/>
  <c r="D774" i="1"/>
  <c r="E774" i="1"/>
  <c r="A775" i="1"/>
  <c r="B775" i="1"/>
  <c r="C775" i="1"/>
  <c r="D775" i="1"/>
  <c r="E775" i="1"/>
  <c r="A776" i="1"/>
  <c r="B776" i="1"/>
  <c r="C776" i="1"/>
  <c r="D776" i="1"/>
  <c r="E776" i="1"/>
  <c r="A777" i="1"/>
  <c r="B777" i="1"/>
  <c r="C777" i="1"/>
  <c r="D777" i="1"/>
  <c r="E777" i="1"/>
  <c r="A778" i="1"/>
  <c r="B778" i="1"/>
  <c r="C778" i="1"/>
  <c r="D778" i="1"/>
  <c r="E778" i="1"/>
  <c r="A779" i="1"/>
  <c r="B779" i="1"/>
  <c r="C779" i="1"/>
  <c r="D779" i="1"/>
  <c r="E779" i="1"/>
  <c r="A780" i="1"/>
  <c r="B780" i="1"/>
  <c r="C780" i="1"/>
  <c r="D780" i="1"/>
  <c r="E780" i="1"/>
  <c r="A781" i="1"/>
  <c r="B781" i="1"/>
  <c r="C781" i="1"/>
  <c r="D781" i="1"/>
  <c r="E781" i="1"/>
  <c r="A782" i="1"/>
  <c r="B782" i="1"/>
  <c r="C782" i="1"/>
  <c r="D782" i="1"/>
  <c r="E782" i="1"/>
  <c r="A783" i="1"/>
  <c r="B783" i="1"/>
  <c r="C783" i="1"/>
  <c r="D783" i="1"/>
  <c r="E783" i="1"/>
  <c r="A784" i="1"/>
  <c r="B784" i="1"/>
  <c r="C784" i="1"/>
  <c r="D784" i="1"/>
  <c r="E784" i="1"/>
  <c r="A785" i="1"/>
  <c r="B785" i="1"/>
  <c r="C785" i="1"/>
  <c r="D785" i="1"/>
  <c r="E785" i="1"/>
  <c r="A786" i="1"/>
  <c r="B786" i="1"/>
  <c r="C786" i="1"/>
  <c r="D786" i="1"/>
  <c r="E786" i="1"/>
  <c r="A787" i="1"/>
  <c r="B787" i="1"/>
  <c r="C787" i="1"/>
  <c r="D787" i="1"/>
  <c r="E787" i="1"/>
  <c r="A788" i="1"/>
  <c r="B788" i="1"/>
  <c r="C788" i="1"/>
  <c r="D788" i="1"/>
  <c r="E788" i="1"/>
  <c r="A789" i="1"/>
  <c r="B789" i="1"/>
  <c r="C789" i="1"/>
  <c r="D789" i="1"/>
  <c r="E789" i="1"/>
  <c r="A790" i="1"/>
  <c r="B790" i="1"/>
  <c r="C790" i="1"/>
  <c r="D790" i="1"/>
  <c r="E790" i="1"/>
  <c r="A791" i="1"/>
  <c r="B791" i="1"/>
  <c r="C791" i="1"/>
  <c r="D791" i="1"/>
  <c r="E791" i="1"/>
  <c r="A792" i="1"/>
  <c r="B792" i="1"/>
  <c r="C792" i="1"/>
  <c r="D792" i="1"/>
  <c r="E792" i="1"/>
  <c r="A793" i="1"/>
  <c r="B793" i="1"/>
  <c r="C793" i="1"/>
  <c r="D793" i="1"/>
  <c r="E793" i="1"/>
  <c r="A794" i="1"/>
  <c r="B794" i="1"/>
  <c r="C794" i="1"/>
  <c r="D794" i="1"/>
  <c r="E794" i="1"/>
  <c r="A795" i="1"/>
  <c r="B795" i="1"/>
  <c r="C795" i="1"/>
  <c r="D795" i="1"/>
  <c r="E795" i="1"/>
  <c r="A796" i="1"/>
  <c r="B796" i="1"/>
  <c r="C796" i="1"/>
  <c r="D796" i="1"/>
  <c r="E796" i="1"/>
  <c r="A797" i="1"/>
  <c r="B797" i="1"/>
  <c r="C797" i="1"/>
  <c r="D797" i="1"/>
  <c r="E797" i="1"/>
  <c r="A798" i="1"/>
  <c r="B798" i="1"/>
  <c r="C798" i="1"/>
  <c r="D798" i="1"/>
  <c r="E798" i="1"/>
  <c r="A799" i="1"/>
  <c r="B799" i="1"/>
  <c r="C799" i="1"/>
  <c r="D799" i="1"/>
  <c r="E799" i="1"/>
  <c r="A800" i="1"/>
  <c r="B800" i="1"/>
  <c r="C800" i="1"/>
  <c r="D800" i="1"/>
  <c r="E800" i="1"/>
  <c r="A801" i="1"/>
  <c r="B801" i="1"/>
  <c r="C801" i="1"/>
  <c r="D801" i="1"/>
  <c r="E801" i="1"/>
  <c r="A802" i="1"/>
  <c r="B802" i="1"/>
  <c r="C802" i="1"/>
  <c r="D802" i="1"/>
  <c r="E802" i="1"/>
  <c r="A803" i="1"/>
  <c r="B803" i="1"/>
  <c r="C803" i="1"/>
  <c r="D803" i="1"/>
  <c r="E803" i="1"/>
  <c r="A804" i="1"/>
  <c r="B804" i="1"/>
  <c r="C804" i="1"/>
  <c r="D804" i="1"/>
  <c r="E804" i="1"/>
  <c r="A805" i="1"/>
  <c r="B805" i="1"/>
  <c r="C805" i="1"/>
  <c r="D805" i="1"/>
  <c r="E805" i="1"/>
  <c r="A806" i="1"/>
  <c r="B806" i="1"/>
  <c r="C806" i="1"/>
  <c r="D806" i="1"/>
  <c r="E806" i="1"/>
  <c r="A807" i="1"/>
  <c r="B807" i="1"/>
  <c r="C807" i="1"/>
  <c r="D807" i="1"/>
  <c r="E807" i="1"/>
  <c r="A808" i="1"/>
  <c r="B808" i="1"/>
  <c r="C808" i="1"/>
  <c r="D808" i="1"/>
  <c r="E808" i="1"/>
  <c r="A809" i="1"/>
  <c r="B809" i="1"/>
  <c r="C809" i="1"/>
  <c r="D809" i="1"/>
  <c r="E809" i="1"/>
  <c r="A810" i="1"/>
  <c r="B810" i="1"/>
  <c r="C810" i="1"/>
  <c r="D810" i="1"/>
  <c r="E810" i="1"/>
  <c r="A811" i="1"/>
  <c r="B811" i="1"/>
  <c r="C811" i="1"/>
  <c r="D811" i="1"/>
  <c r="E811" i="1"/>
  <c r="A812" i="1"/>
  <c r="B812" i="1"/>
  <c r="C812" i="1"/>
  <c r="D812" i="1"/>
  <c r="E812" i="1"/>
  <c r="A813" i="1"/>
  <c r="B813" i="1"/>
  <c r="C813" i="1"/>
  <c r="D813" i="1"/>
  <c r="E813" i="1"/>
  <c r="A814" i="1"/>
  <c r="B814" i="1"/>
  <c r="C814" i="1"/>
  <c r="D814" i="1"/>
  <c r="E814" i="1"/>
  <c r="A815" i="1"/>
  <c r="B815" i="1"/>
  <c r="C815" i="1"/>
  <c r="D815" i="1"/>
  <c r="E815" i="1"/>
  <c r="A816" i="1"/>
  <c r="B816" i="1"/>
  <c r="C816" i="1"/>
  <c r="D816" i="1"/>
  <c r="E816" i="1"/>
  <c r="A817" i="1"/>
  <c r="B817" i="1"/>
  <c r="C817" i="1"/>
  <c r="D817" i="1"/>
  <c r="E817" i="1"/>
  <c r="A818" i="1"/>
  <c r="B818" i="1"/>
  <c r="C818" i="1"/>
  <c r="D818" i="1"/>
  <c r="E818" i="1"/>
  <c r="A819" i="1"/>
  <c r="B819" i="1"/>
  <c r="C819" i="1"/>
  <c r="D819" i="1"/>
  <c r="E819" i="1"/>
  <c r="A820" i="1"/>
  <c r="B820" i="1"/>
  <c r="C820" i="1"/>
  <c r="D820" i="1"/>
  <c r="E820" i="1"/>
  <c r="A821" i="1"/>
  <c r="B821" i="1"/>
  <c r="C821" i="1"/>
  <c r="D821" i="1"/>
  <c r="E821" i="1"/>
  <c r="A822" i="1"/>
  <c r="B822" i="1"/>
  <c r="C822" i="1"/>
  <c r="D822" i="1"/>
  <c r="E822" i="1"/>
  <c r="A823" i="1"/>
  <c r="B823" i="1"/>
  <c r="C823" i="1"/>
  <c r="D823" i="1"/>
  <c r="E823" i="1"/>
  <c r="A824" i="1"/>
  <c r="B824" i="1"/>
  <c r="C824" i="1"/>
  <c r="D824" i="1"/>
  <c r="E824" i="1"/>
  <c r="A825" i="1"/>
  <c r="B825" i="1"/>
  <c r="C825" i="1"/>
  <c r="D825" i="1"/>
  <c r="E825" i="1"/>
  <c r="A826" i="1"/>
  <c r="B826" i="1"/>
  <c r="C826" i="1"/>
  <c r="D826" i="1"/>
  <c r="E826" i="1"/>
  <c r="A827" i="1"/>
  <c r="B827" i="1"/>
  <c r="C827" i="1"/>
  <c r="D827" i="1"/>
  <c r="E827" i="1"/>
  <c r="A828" i="1"/>
  <c r="B828" i="1"/>
  <c r="C828" i="1"/>
  <c r="D828" i="1"/>
  <c r="E828" i="1"/>
  <c r="A829" i="1"/>
  <c r="B829" i="1"/>
  <c r="C829" i="1"/>
  <c r="D829" i="1"/>
  <c r="E829" i="1"/>
  <c r="A830" i="1"/>
  <c r="B830" i="1"/>
  <c r="C830" i="1"/>
  <c r="D830" i="1"/>
  <c r="E830" i="1"/>
  <c r="A831" i="1"/>
  <c r="B831" i="1"/>
  <c r="C831" i="1"/>
  <c r="D831" i="1"/>
  <c r="E831" i="1"/>
  <c r="A832" i="1"/>
  <c r="B832" i="1"/>
  <c r="C832" i="1"/>
  <c r="D832" i="1"/>
  <c r="E832" i="1"/>
  <c r="A833" i="1"/>
  <c r="B833" i="1"/>
  <c r="C833" i="1"/>
  <c r="D833" i="1"/>
  <c r="E833" i="1"/>
  <c r="A834" i="1"/>
  <c r="B834" i="1"/>
  <c r="C834" i="1"/>
  <c r="D834" i="1"/>
  <c r="E834" i="1"/>
  <c r="A835" i="1"/>
  <c r="B835" i="1"/>
  <c r="C835" i="1"/>
  <c r="D835" i="1"/>
  <c r="E835" i="1"/>
  <c r="A836" i="1"/>
  <c r="B836" i="1"/>
  <c r="C836" i="1"/>
  <c r="D836" i="1"/>
  <c r="E836" i="1"/>
  <c r="A837" i="1"/>
  <c r="B837" i="1"/>
  <c r="C837" i="1"/>
  <c r="D837" i="1"/>
  <c r="E837" i="1"/>
  <c r="A838" i="1"/>
  <c r="B838" i="1"/>
  <c r="C838" i="1"/>
  <c r="D838" i="1"/>
  <c r="E838" i="1"/>
  <c r="A839" i="1"/>
  <c r="B839" i="1"/>
  <c r="C839" i="1"/>
  <c r="D839" i="1"/>
  <c r="E839" i="1"/>
  <c r="A840" i="1"/>
  <c r="B840" i="1"/>
  <c r="C840" i="1"/>
  <c r="D840" i="1"/>
  <c r="E840" i="1"/>
  <c r="A841" i="1"/>
  <c r="B841" i="1"/>
  <c r="C841" i="1"/>
  <c r="D841" i="1"/>
  <c r="E841" i="1"/>
  <c r="A842" i="1"/>
  <c r="B842" i="1"/>
  <c r="C842" i="1"/>
  <c r="D842" i="1"/>
  <c r="E842" i="1"/>
  <c r="A843" i="1"/>
  <c r="B843" i="1"/>
  <c r="C843" i="1"/>
  <c r="D843" i="1"/>
  <c r="E843" i="1"/>
  <c r="A844" i="1"/>
  <c r="B844" i="1"/>
  <c r="C844" i="1"/>
  <c r="D844" i="1"/>
  <c r="E844" i="1"/>
  <c r="A845" i="1"/>
  <c r="B845" i="1"/>
  <c r="C845" i="1"/>
  <c r="D845" i="1"/>
  <c r="E845" i="1"/>
  <c r="A846" i="1"/>
  <c r="B846" i="1"/>
  <c r="C846" i="1"/>
  <c r="D846" i="1"/>
  <c r="E846" i="1"/>
  <c r="A847" i="1"/>
  <c r="B847" i="1"/>
  <c r="C847" i="1"/>
  <c r="D847" i="1"/>
  <c r="E847" i="1"/>
  <c r="A848" i="1"/>
  <c r="B848" i="1"/>
  <c r="C848" i="1"/>
  <c r="D848" i="1"/>
  <c r="E848" i="1"/>
  <c r="A849" i="1"/>
  <c r="B849" i="1"/>
  <c r="C849" i="1"/>
  <c r="D849" i="1"/>
  <c r="E849" i="1"/>
  <c r="A850" i="1"/>
  <c r="B850" i="1"/>
  <c r="C850" i="1"/>
  <c r="D850" i="1"/>
  <c r="E850" i="1"/>
  <c r="A851" i="1"/>
  <c r="B851" i="1"/>
  <c r="C851" i="1"/>
  <c r="D851" i="1"/>
  <c r="E851" i="1"/>
  <c r="A852" i="1"/>
  <c r="B852" i="1"/>
  <c r="C852" i="1"/>
  <c r="D852" i="1"/>
  <c r="E852" i="1"/>
  <c r="A853" i="1"/>
  <c r="B853" i="1"/>
  <c r="C853" i="1"/>
  <c r="D853" i="1"/>
  <c r="E853" i="1"/>
  <c r="A854" i="1"/>
  <c r="B854" i="1"/>
  <c r="C854" i="1"/>
  <c r="D854" i="1"/>
  <c r="E854" i="1"/>
  <c r="A855" i="1"/>
  <c r="B855" i="1"/>
  <c r="C855" i="1"/>
  <c r="D855" i="1"/>
  <c r="E855" i="1"/>
  <c r="A856" i="1"/>
  <c r="B856" i="1"/>
  <c r="C856" i="1"/>
  <c r="D856" i="1"/>
  <c r="E856" i="1"/>
  <c r="A857" i="1"/>
  <c r="B857" i="1"/>
  <c r="C857" i="1"/>
  <c r="D857" i="1"/>
  <c r="E857" i="1"/>
  <c r="A858" i="1"/>
  <c r="B858" i="1"/>
  <c r="C858" i="1"/>
  <c r="D858" i="1"/>
  <c r="E858" i="1"/>
  <c r="A859" i="1"/>
  <c r="B859" i="1"/>
  <c r="C859" i="1"/>
  <c r="D859" i="1"/>
  <c r="E859" i="1"/>
  <c r="A860" i="1"/>
  <c r="B860" i="1"/>
  <c r="C860" i="1"/>
  <c r="D860" i="1"/>
  <c r="E860" i="1"/>
  <c r="A861" i="1"/>
  <c r="B861" i="1"/>
  <c r="C861" i="1"/>
  <c r="D861" i="1"/>
  <c r="E861" i="1"/>
  <c r="A862" i="1"/>
  <c r="B862" i="1"/>
  <c r="C862" i="1"/>
  <c r="D862" i="1"/>
  <c r="E862" i="1"/>
  <c r="A863" i="1"/>
  <c r="B863" i="1"/>
  <c r="C863" i="1"/>
  <c r="D863" i="1"/>
  <c r="E863" i="1"/>
  <c r="A864" i="1"/>
  <c r="B864" i="1"/>
  <c r="C864" i="1"/>
  <c r="D864" i="1"/>
  <c r="E864" i="1"/>
  <c r="A865" i="1"/>
  <c r="B865" i="1"/>
  <c r="C865" i="1"/>
  <c r="D865" i="1"/>
  <c r="E865" i="1"/>
  <c r="A866" i="1"/>
  <c r="B866" i="1"/>
  <c r="C866" i="1"/>
  <c r="D866" i="1"/>
  <c r="E866" i="1"/>
  <c r="A867" i="1"/>
  <c r="B867" i="1"/>
  <c r="C867" i="1"/>
  <c r="D867" i="1"/>
  <c r="E867" i="1"/>
  <c r="A868" i="1"/>
  <c r="B868" i="1"/>
  <c r="C868" i="1"/>
  <c r="D868" i="1"/>
  <c r="E868" i="1"/>
  <c r="A869" i="1"/>
  <c r="B869" i="1"/>
  <c r="C869" i="1"/>
  <c r="D869" i="1"/>
  <c r="E869" i="1"/>
  <c r="A870" i="1"/>
  <c r="B870" i="1"/>
  <c r="C870" i="1"/>
  <c r="D870" i="1"/>
  <c r="E870" i="1"/>
  <c r="A871" i="1"/>
  <c r="B871" i="1"/>
  <c r="C871" i="1"/>
  <c r="D871" i="1"/>
  <c r="E871" i="1"/>
  <c r="A872" i="1"/>
  <c r="B872" i="1"/>
  <c r="C872" i="1"/>
  <c r="D872" i="1"/>
  <c r="E872" i="1"/>
  <c r="A873" i="1"/>
  <c r="B873" i="1"/>
  <c r="C873" i="1"/>
  <c r="D873" i="1"/>
  <c r="E873" i="1"/>
  <c r="A874" i="1"/>
  <c r="B874" i="1"/>
  <c r="C874" i="1"/>
  <c r="D874" i="1"/>
  <c r="E874" i="1"/>
  <c r="A875" i="1"/>
  <c r="B875" i="1"/>
  <c r="C875" i="1"/>
  <c r="D875" i="1"/>
  <c r="E875" i="1"/>
  <c r="A876" i="1"/>
  <c r="B876" i="1"/>
  <c r="C876" i="1"/>
  <c r="D876" i="1"/>
  <c r="E876" i="1"/>
  <c r="A877" i="1"/>
  <c r="B877" i="1"/>
  <c r="C877" i="1"/>
  <c r="D877" i="1"/>
  <c r="E877" i="1"/>
  <c r="A878" i="1"/>
  <c r="B878" i="1"/>
  <c r="C878" i="1"/>
  <c r="D878" i="1"/>
  <c r="E878" i="1"/>
  <c r="A879" i="1"/>
  <c r="B879" i="1"/>
  <c r="C879" i="1"/>
  <c r="D879" i="1"/>
  <c r="E879" i="1"/>
  <c r="A880" i="1"/>
  <c r="B880" i="1"/>
  <c r="C880" i="1"/>
  <c r="D880" i="1"/>
  <c r="E880" i="1"/>
  <c r="A881" i="1"/>
  <c r="B881" i="1"/>
  <c r="C881" i="1"/>
  <c r="D881" i="1"/>
  <c r="E881" i="1"/>
  <c r="A882" i="1"/>
  <c r="B882" i="1"/>
  <c r="C882" i="1"/>
  <c r="D882" i="1"/>
  <c r="E882" i="1"/>
  <c r="A883" i="1"/>
  <c r="B883" i="1"/>
  <c r="C883" i="1"/>
  <c r="D883" i="1"/>
  <c r="E883" i="1"/>
  <c r="A884" i="1"/>
  <c r="B884" i="1"/>
  <c r="C884" i="1"/>
  <c r="D884" i="1"/>
  <c r="E884" i="1"/>
  <c r="A885" i="1"/>
  <c r="B885" i="1"/>
  <c r="C885" i="1"/>
  <c r="D885" i="1"/>
  <c r="E885" i="1"/>
  <c r="A886" i="1"/>
  <c r="B886" i="1"/>
  <c r="C886" i="1"/>
  <c r="D886" i="1"/>
  <c r="E886" i="1"/>
  <c r="A887" i="1"/>
  <c r="B887" i="1"/>
  <c r="C887" i="1"/>
  <c r="D887" i="1"/>
  <c r="E887" i="1"/>
  <c r="A888" i="1"/>
  <c r="B888" i="1"/>
  <c r="C888" i="1"/>
  <c r="D888" i="1"/>
  <c r="E888" i="1"/>
  <c r="A889" i="1"/>
  <c r="B889" i="1"/>
  <c r="C889" i="1"/>
  <c r="D889" i="1"/>
  <c r="E889" i="1"/>
  <c r="A890" i="1"/>
  <c r="B890" i="1"/>
  <c r="C890" i="1"/>
  <c r="D890" i="1"/>
  <c r="E890" i="1"/>
  <c r="A891" i="1"/>
  <c r="B891" i="1"/>
  <c r="C891" i="1"/>
  <c r="D891" i="1"/>
  <c r="E891" i="1"/>
  <c r="A892" i="1"/>
  <c r="B892" i="1"/>
  <c r="C892" i="1"/>
  <c r="D892" i="1"/>
  <c r="E892" i="1"/>
  <c r="A893" i="1"/>
  <c r="B893" i="1"/>
  <c r="C893" i="1"/>
  <c r="D893" i="1"/>
  <c r="E893" i="1"/>
  <c r="A894" i="1"/>
  <c r="B894" i="1"/>
  <c r="C894" i="1"/>
  <c r="D894" i="1"/>
  <c r="E894" i="1"/>
  <c r="A895" i="1"/>
  <c r="B895" i="1"/>
  <c r="C895" i="1"/>
  <c r="D895" i="1"/>
  <c r="E895" i="1"/>
  <c r="A896" i="1"/>
  <c r="B896" i="1"/>
  <c r="C896" i="1"/>
  <c r="D896" i="1"/>
  <c r="E896" i="1"/>
  <c r="A897" i="1"/>
  <c r="B897" i="1"/>
  <c r="C897" i="1"/>
  <c r="D897" i="1"/>
  <c r="E897" i="1"/>
  <c r="A898" i="1"/>
  <c r="B898" i="1"/>
  <c r="C898" i="1"/>
  <c r="D898" i="1"/>
  <c r="E898" i="1"/>
  <c r="A899" i="1"/>
  <c r="B899" i="1"/>
  <c r="C899" i="1"/>
  <c r="D899" i="1"/>
  <c r="E899" i="1"/>
  <c r="A900" i="1"/>
  <c r="B900" i="1"/>
  <c r="C900" i="1"/>
  <c r="D900" i="1"/>
  <c r="E900" i="1"/>
  <c r="A901" i="1"/>
  <c r="B901" i="1"/>
  <c r="C901" i="1"/>
  <c r="D901" i="1"/>
  <c r="E901" i="1"/>
  <c r="A902" i="1"/>
  <c r="B902" i="1"/>
  <c r="C902" i="1"/>
  <c r="D902" i="1"/>
  <c r="E902" i="1"/>
  <c r="A903" i="1"/>
  <c r="B903" i="1"/>
  <c r="C903" i="1"/>
  <c r="D903" i="1"/>
  <c r="E903" i="1"/>
  <c r="A904" i="1"/>
  <c r="B904" i="1"/>
  <c r="C904" i="1"/>
  <c r="D904" i="1"/>
  <c r="E904" i="1"/>
  <c r="A905" i="1"/>
  <c r="B905" i="1"/>
  <c r="C905" i="1"/>
  <c r="D905" i="1"/>
  <c r="E905" i="1"/>
  <c r="A906" i="1"/>
  <c r="B906" i="1"/>
  <c r="C906" i="1"/>
  <c r="D906" i="1"/>
  <c r="E906" i="1"/>
  <c r="A907" i="1"/>
  <c r="B907" i="1"/>
  <c r="C907" i="1"/>
  <c r="D907" i="1"/>
  <c r="E907" i="1"/>
  <c r="A908" i="1"/>
  <c r="B908" i="1"/>
  <c r="C908" i="1"/>
  <c r="D908" i="1"/>
  <c r="E908" i="1"/>
  <c r="A909" i="1"/>
  <c r="B909" i="1"/>
  <c r="C909" i="1"/>
  <c r="D909" i="1"/>
  <c r="E909" i="1"/>
  <c r="A910" i="1"/>
  <c r="B910" i="1"/>
  <c r="C910" i="1"/>
  <c r="D910" i="1"/>
  <c r="E910" i="1"/>
  <c r="A911" i="1"/>
  <c r="B911" i="1"/>
  <c r="C911" i="1"/>
  <c r="D911" i="1"/>
  <c r="E911" i="1"/>
  <c r="A912" i="1"/>
  <c r="B912" i="1"/>
  <c r="C912" i="1"/>
  <c r="D912" i="1"/>
  <c r="E912" i="1"/>
  <c r="A913" i="1"/>
  <c r="B913" i="1"/>
  <c r="C913" i="1"/>
  <c r="D913" i="1"/>
  <c r="E913" i="1"/>
  <c r="A914" i="1"/>
  <c r="B914" i="1"/>
  <c r="C914" i="1"/>
  <c r="D914" i="1"/>
  <c r="E914" i="1"/>
  <c r="A915" i="1"/>
  <c r="B915" i="1"/>
  <c r="C915" i="1"/>
  <c r="D915" i="1"/>
  <c r="E915" i="1"/>
  <c r="A916" i="1"/>
  <c r="B916" i="1"/>
  <c r="C916" i="1"/>
  <c r="D916" i="1"/>
  <c r="E916" i="1"/>
  <c r="A917" i="1"/>
  <c r="B917" i="1"/>
  <c r="C917" i="1"/>
  <c r="D917" i="1"/>
  <c r="E917" i="1"/>
  <c r="A918" i="1"/>
  <c r="B918" i="1"/>
  <c r="C918" i="1"/>
  <c r="D918" i="1"/>
  <c r="E918" i="1"/>
  <c r="A919" i="1"/>
  <c r="B919" i="1"/>
  <c r="C919" i="1"/>
  <c r="D919" i="1"/>
  <c r="E919" i="1"/>
  <c r="A920" i="1"/>
  <c r="B920" i="1"/>
  <c r="C920" i="1"/>
  <c r="D920" i="1"/>
  <c r="E920" i="1"/>
  <c r="A921" i="1"/>
  <c r="B921" i="1"/>
  <c r="C921" i="1"/>
  <c r="D921" i="1"/>
  <c r="E921" i="1"/>
  <c r="A922" i="1"/>
  <c r="B922" i="1"/>
  <c r="C922" i="1"/>
  <c r="D922" i="1"/>
  <c r="E922" i="1"/>
  <c r="A923" i="1"/>
  <c r="B923" i="1"/>
  <c r="C923" i="1"/>
  <c r="D923" i="1"/>
  <c r="E923" i="1"/>
  <c r="A924" i="1"/>
  <c r="B924" i="1"/>
  <c r="C924" i="1"/>
  <c r="D924" i="1"/>
  <c r="E924" i="1"/>
  <c r="A925" i="1"/>
  <c r="B925" i="1"/>
  <c r="C925" i="1"/>
  <c r="D925" i="1"/>
  <c r="E925" i="1"/>
  <c r="A926" i="1"/>
  <c r="B926" i="1"/>
  <c r="C926" i="1"/>
  <c r="D926" i="1"/>
  <c r="E926" i="1"/>
  <c r="A927" i="1"/>
  <c r="B927" i="1"/>
  <c r="C927" i="1"/>
  <c r="D927" i="1"/>
  <c r="E927" i="1"/>
  <c r="A928" i="1"/>
  <c r="B928" i="1"/>
  <c r="C928" i="1"/>
  <c r="D928" i="1"/>
  <c r="E928" i="1"/>
  <c r="A929" i="1"/>
  <c r="B929" i="1"/>
  <c r="C929" i="1"/>
  <c r="D929" i="1"/>
  <c r="E929" i="1"/>
  <c r="A930" i="1"/>
  <c r="B930" i="1"/>
  <c r="C930" i="1"/>
  <c r="D930" i="1"/>
  <c r="E930" i="1"/>
  <c r="A931" i="1"/>
  <c r="B931" i="1"/>
  <c r="C931" i="1"/>
  <c r="D931" i="1"/>
  <c r="E931" i="1"/>
  <c r="A932" i="1"/>
  <c r="B932" i="1"/>
  <c r="C932" i="1"/>
  <c r="D932" i="1"/>
  <c r="E932" i="1"/>
  <c r="A933" i="1"/>
  <c r="B933" i="1"/>
  <c r="C933" i="1"/>
  <c r="D933" i="1"/>
  <c r="E933" i="1"/>
  <c r="A934" i="1"/>
  <c r="B934" i="1"/>
  <c r="C934" i="1"/>
  <c r="D934" i="1"/>
  <c r="E934" i="1"/>
  <c r="A935" i="1"/>
  <c r="B935" i="1"/>
  <c r="C935" i="1"/>
  <c r="D935" i="1"/>
  <c r="E935" i="1"/>
  <c r="A936" i="1"/>
  <c r="B936" i="1"/>
  <c r="C936" i="1"/>
  <c r="D936" i="1"/>
  <c r="E936" i="1"/>
  <c r="A937" i="1"/>
  <c r="B937" i="1"/>
  <c r="C937" i="1"/>
  <c r="D937" i="1"/>
  <c r="E937" i="1"/>
  <c r="A938" i="1"/>
  <c r="B938" i="1"/>
  <c r="C938" i="1"/>
  <c r="D938" i="1"/>
  <c r="E938" i="1"/>
  <c r="A939" i="1"/>
  <c r="B939" i="1"/>
  <c r="C939" i="1"/>
  <c r="D939" i="1"/>
  <c r="E939" i="1"/>
  <c r="A940" i="1"/>
  <c r="B940" i="1"/>
  <c r="C940" i="1"/>
  <c r="D940" i="1"/>
  <c r="E940" i="1"/>
  <c r="A941" i="1"/>
  <c r="B941" i="1"/>
  <c r="C941" i="1"/>
  <c r="D941" i="1"/>
  <c r="E941" i="1"/>
  <c r="A942" i="1"/>
  <c r="B942" i="1"/>
  <c r="C942" i="1"/>
  <c r="D942" i="1"/>
  <c r="E942" i="1"/>
  <c r="A943" i="1"/>
  <c r="B943" i="1"/>
  <c r="C943" i="1"/>
  <c r="D943" i="1"/>
  <c r="E943" i="1"/>
  <c r="A944" i="1"/>
  <c r="B944" i="1"/>
  <c r="C944" i="1"/>
  <c r="D944" i="1"/>
  <c r="E944" i="1"/>
  <c r="A945" i="1"/>
  <c r="B945" i="1"/>
  <c r="C945" i="1"/>
  <c r="D945" i="1"/>
  <c r="E945" i="1"/>
  <c r="A946" i="1"/>
  <c r="B946" i="1"/>
  <c r="C946" i="1"/>
  <c r="D946" i="1"/>
  <c r="E946" i="1"/>
  <c r="A947" i="1"/>
  <c r="B947" i="1"/>
  <c r="C947" i="1"/>
  <c r="D947" i="1"/>
  <c r="E947" i="1"/>
  <c r="A948" i="1"/>
  <c r="B948" i="1"/>
  <c r="C948" i="1"/>
  <c r="D948" i="1"/>
  <c r="E948" i="1"/>
  <c r="A949" i="1"/>
  <c r="B949" i="1"/>
  <c r="C949" i="1"/>
  <c r="D949" i="1"/>
  <c r="E949" i="1"/>
  <c r="A950" i="1"/>
  <c r="B950" i="1"/>
  <c r="C950" i="1"/>
  <c r="D950" i="1"/>
  <c r="E950" i="1"/>
  <c r="A951" i="1"/>
  <c r="B951" i="1"/>
  <c r="C951" i="1"/>
  <c r="D951" i="1"/>
  <c r="E951" i="1"/>
  <c r="A952" i="1"/>
  <c r="B952" i="1"/>
  <c r="C952" i="1"/>
  <c r="D952" i="1"/>
  <c r="E952" i="1"/>
  <c r="A953" i="1"/>
  <c r="B953" i="1"/>
  <c r="C953" i="1"/>
  <c r="D953" i="1"/>
  <c r="E953" i="1"/>
  <c r="A954" i="1"/>
  <c r="B954" i="1"/>
  <c r="C954" i="1"/>
  <c r="D954" i="1"/>
  <c r="E954" i="1"/>
  <c r="A955" i="1"/>
  <c r="B955" i="1"/>
  <c r="C955" i="1"/>
  <c r="D955" i="1"/>
  <c r="E955" i="1"/>
  <c r="A956" i="1"/>
  <c r="B956" i="1"/>
  <c r="C956" i="1"/>
  <c r="D956" i="1"/>
  <c r="E956" i="1"/>
  <c r="A957" i="1"/>
  <c r="B957" i="1"/>
  <c r="C957" i="1"/>
  <c r="D957" i="1"/>
  <c r="E957" i="1"/>
  <c r="A958" i="1"/>
  <c r="B958" i="1"/>
  <c r="C958" i="1"/>
  <c r="D958" i="1"/>
  <c r="E958" i="1"/>
  <c r="A959" i="1"/>
  <c r="B959" i="1"/>
  <c r="C959" i="1"/>
  <c r="D959" i="1"/>
  <c r="E959" i="1"/>
  <c r="A960" i="1"/>
  <c r="B960" i="1"/>
  <c r="C960" i="1"/>
  <c r="D960" i="1"/>
  <c r="E960" i="1"/>
  <c r="A961" i="1"/>
  <c r="B961" i="1"/>
  <c r="C961" i="1"/>
  <c r="D961" i="1"/>
  <c r="E961" i="1"/>
  <c r="A962" i="1"/>
  <c r="B962" i="1"/>
  <c r="C962" i="1"/>
  <c r="D962" i="1"/>
  <c r="E962" i="1"/>
  <c r="A963" i="1"/>
  <c r="B963" i="1"/>
  <c r="C963" i="1"/>
  <c r="D963" i="1"/>
  <c r="E963" i="1"/>
  <c r="A964" i="1"/>
  <c r="B964" i="1"/>
  <c r="C964" i="1"/>
  <c r="D964" i="1"/>
  <c r="E964" i="1"/>
  <c r="A965" i="1"/>
  <c r="B965" i="1"/>
  <c r="C965" i="1"/>
  <c r="D965" i="1"/>
  <c r="E965" i="1"/>
  <c r="A966" i="1"/>
  <c r="B966" i="1"/>
  <c r="C966" i="1"/>
  <c r="D966" i="1"/>
  <c r="E966" i="1"/>
  <c r="A967" i="1"/>
  <c r="B967" i="1"/>
  <c r="C967" i="1"/>
  <c r="D967" i="1"/>
  <c r="E967" i="1"/>
  <c r="A968" i="1"/>
  <c r="B968" i="1"/>
  <c r="C968" i="1"/>
  <c r="D968" i="1"/>
  <c r="E968" i="1"/>
  <c r="A969" i="1"/>
  <c r="B969" i="1"/>
  <c r="C969" i="1"/>
  <c r="D969" i="1"/>
  <c r="E969" i="1"/>
  <c r="A970" i="1"/>
  <c r="B970" i="1"/>
  <c r="C970" i="1"/>
  <c r="D970" i="1"/>
  <c r="E970" i="1"/>
  <c r="A971" i="1"/>
  <c r="B971" i="1"/>
  <c r="C971" i="1"/>
  <c r="D971" i="1"/>
  <c r="E971" i="1"/>
  <c r="A972" i="1"/>
  <c r="B972" i="1"/>
  <c r="C972" i="1"/>
  <c r="D972" i="1"/>
  <c r="E972" i="1"/>
  <c r="A973" i="1"/>
  <c r="B973" i="1"/>
  <c r="C973" i="1"/>
  <c r="D973" i="1"/>
  <c r="E973" i="1"/>
  <c r="A974" i="1"/>
  <c r="B974" i="1"/>
  <c r="C974" i="1"/>
  <c r="D974" i="1"/>
  <c r="E974" i="1"/>
  <c r="A975" i="1"/>
  <c r="B975" i="1"/>
  <c r="C975" i="1"/>
  <c r="D975" i="1"/>
  <c r="E975" i="1"/>
  <c r="A976" i="1"/>
  <c r="B976" i="1"/>
  <c r="C976" i="1"/>
  <c r="D976" i="1"/>
  <c r="E976" i="1"/>
  <c r="A977" i="1"/>
  <c r="B977" i="1"/>
  <c r="C977" i="1"/>
  <c r="D977" i="1"/>
  <c r="E977" i="1"/>
  <c r="A978" i="1"/>
  <c r="B978" i="1"/>
  <c r="C978" i="1"/>
  <c r="D978" i="1"/>
  <c r="E978" i="1"/>
  <c r="A979" i="1"/>
  <c r="B979" i="1"/>
  <c r="C979" i="1"/>
  <c r="D979" i="1"/>
  <c r="E979" i="1"/>
  <c r="A980" i="1"/>
  <c r="B980" i="1"/>
  <c r="C980" i="1"/>
  <c r="D980" i="1"/>
  <c r="E980" i="1"/>
  <c r="A981" i="1"/>
  <c r="B981" i="1"/>
  <c r="C981" i="1"/>
  <c r="D981" i="1"/>
  <c r="E981" i="1"/>
  <c r="A982" i="1"/>
  <c r="B982" i="1"/>
  <c r="C982" i="1"/>
  <c r="D982" i="1"/>
  <c r="E982" i="1"/>
  <c r="A983" i="1"/>
  <c r="B983" i="1"/>
  <c r="C983" i="1"/>
  <c r="D983" i="1"/>
  <c r="E983" i="1"/>
  <c r="A984" i="1"/>
  <c r="B984" i="1"/>
  <c r="C984" i="1"/>
  <c r="D984" i="1"/>
  <c r="E984" i="1"/>
  <c r="A985" i="1"/>
  <c r="B985" i="1"/>
  <c r="C985" i="1"/>
  <c r="D985" i="1"/>
  <c r="E985" i="1"/>
  <c r="A986" i="1"/>
  <c r="B986" i="1"/>
  <c r="C986" i="1"/>
  <c r="D986" i="1"/>
  <c r="E986" i="1"/>
  <c r="A987" i="1"/>
  <c r="B987" i="1"/>
  <c r="C987" i="1"/>
  <c r="D987" i="1"/>
  <c r="E987" i="1"/>
  <c r="A988" i="1"/>
  <c r="B988" i="1"/>
  <c r="C988" i="1"/>
  <c r="D988" i="1"/>
  <c r="E988" i="1"/>
  <c r="A989" i="1"/>
  <c r="B989" i="1"/>
  <c r="C989" i="1"/>
  <c r="D989" i="1"/>
  <c r="E989" i="1"/>
  <c r="A990" i="1"/>
  <c r="B990" i="1"/>
  <c r="C990" i="1"/>
  <c r="D990" i="1"/>
  <c r="E990" i="1"/>
  <c r="A991" i="1"/>
  <c r="B991" i="1"/>
  <c r="C991" i="1"/>
  <c r="D991" i="1"/>
  <c r="E991" i="1"/>
  <c r="A992" i="1"/>
  <c r="B992" i="1"/>
  <c r="C992" i="1"/>
  <c r="D992" i="1"/>
  <c r="E992" i="1"/>
  <c r="A993" i="1"/>
  <c r="B993" i="1"/>
  <c r="C993" i="1"/>
  <c r="D993" i="1"/>
  <c r="E993" i="1"/>
  <c r="A994" i="1"/>
  <c r="B994" i="1"/>
  <c r="C994" i="1"/>
  <c r="D994" i="1"/>
  <c r="E994" i="1"/>
  <c r="A995" i="1"/>
  <c r="B995" i="1"/>
  <c r="C995" i="1"/>
  <c r="D995" i="1"/>
  <c r="E995" i="1"/>
  <c r="A996" i="1"/>
  <c r="B996" i="1"/>
  <c r="C996" i="1"/>
  <c r="D996" i="1"/>
  <c r="E996" i="1"/>
  <c r="A997" i="1"/>
  <c r="B997" i="1"/>
  <c r="C997" i="1"/>
  <c r="D997" i="1"/>
  <c r="E997" i="1"/>
  <c r="A998" i="1"/>
  <c r="B998" i="1"/>
  <c r="C998" i="1"/>
  <c r="D998" i="1"/>
  <c r="E998" i="1"/>
  <c r="A999" i="1"/>
  <c r="B999" i="1"/>
  <c r="C999" i="1"/>
  <c r="D999" i="1"/>
  <c r="E999" i="1"/>
  <c r="A1000" i="1"/>
  <c r="B1000" i="1"/>
  <c r="C1000" i="1"/>
  <c r="D1000" i="1"/>
  <c r="E1000" i="1"/>
  <c r="A1001" i="1"/>
  <c r="B1001" i="1"/>
  <c r="C1001" i="1"/>
  <c r="D1001" i="1"/>
  <c r="E1001" i="1"/>
  <c r="A1002" i="1"/>
  <c r="B1002" i="1"/>
  <c r="C1002" i="1"/>
  <c r="D1002" i="1"/>
  <c r="E1002" i="1"/>
  <c r="A1003" i="1"/>
  <c r="B1003" i="1"/>
  <c r="C1003" i="1"/>
  <c r="D1003" i="1"/>
  <c r="E1003" i="1"/>
  <c r="A1004" i="1"/>
  <c r="B1004" i="1"/>
  <c r="C1004" i="1"/>
  <c r="D1004" i="1"/>
  <c r="E1004" i="1"/>
  <c r="A1005" i="1"/>
  <c r="B1005" i="1"/>
  <c r="C1005" i="1"/>
  <c r="D1005" i="1"/>
  <c r="E1005" i="1"/>
  <c r="A1006" i="1"/>
  <c r="B1006" i="1"/>
  <c r="C1006" i="1"/>
  <c r="D1006" i="1"/>
  <c r="E1006" i="1"/>
  <c r="A1007" i="1"/>
  <c r="B1007" i="1"/>
  <c r="C1007" i="1"/>
  <c r="D1007" i="1"/>
  <c r="E1007" i="1"/>
  <c r="A1008" i="1"/>
  <c r="B1008" i="1"/>
  <c r="C1008" i="1"/>
  <c r="D1008" i="1"/>
  <c r="E1008" i="1"/>
  <c r="A1009" i="1"/>
  <c r="B1009" i="1"/>
  <c r="C1009" i="1"/>
  <c r="D1009" i="1"/>
  <c r="E1009" i="1"/>
  <c r="A1010" i="1"/>
  <c r="B1010" i="1"/>
  <c r="C1010" i="1"/>
  <c r="D1010" i="1"/>
  <c r="E1010" i="1"/>
  <c r="A1011" i="1"/>
  <c r="B1011" i="1"/>
  <c r="C1011" i="1"/>
  <c r="D1011" i="1"/>
  <c r="E1011" i="1"/>
  <c r="A1012" i="1"/>
  <c r="B1012" i="1"/>
  <c r="C1012" i="1"/>
  <c r="D1012" i="1"/>
  <c r="E1012" i="1"/>
  <c r="A1013" i="1"/>
  <c r="B1013" i="1"/>
  <c r="C1013" i="1"/>
  <c r="D1013" i="1"/>
  <c r="E1013" i="1"/>
  <c r="A1014" i="1"/>
  <c r="B1014" i="1"/>
  <c r="C1014" i="1"/>
  <c r="D1014" i="1"/>
  <c r="E1014" i="1"/>
  <c r="A1015" i="1"/>
  <c r="B1015" i="1"/>
  <c r="C1015" i="1"/>
  <c r="D1015" i="1"/>
  <c r="E1015" i="1"/>
  <c r="A1016" i="1"/>
  <c r="B1016" i="1"/>
  <c r="C1016" i="1"/>
  <c r="D1016" i="1"/>
  <c r="E1016" i="1"/>
  <c r="A1017" i="1"/>
  <c r="B1017" i="1"/>
  <c r="C1017" i="1"/>
  <c r="D1017" i="1"/>
  <c r="E1017" i="1"/>
  <c r="A1018" i="1"/>
  <c r="B1018" i="1"/>
  <c r="C1018" i="1"/>
  <c r="D1018" i="1"/>
  <c r="E1018" i="1"/>
  <c r="A1019" i="1"/>
  <c r="B1019" i="1"/>
  <c r="C1019" i="1"/>
  <c r="D1019" i="1"/>
  <c r="E1019" i="1"/>
  <c r="A1020" i="1"/>
  <c r="B1020" i="1"/>
  <c r="C1020" i="1"/>
  <c r="D1020" i="1"/>
  <c r="E1020" i="1"/>
  <c r="A1021" i="1"/>
  <c r="B1021" i="1"/>
  <c r="C1021" i="1"/>
  <c r="D1021" i="1"/>
  <c r="E1021" i="1"/>
  <c r="A1022" i="1"/>
  <c r="B1022" i="1"/>
  <c r="C1022" i="1"/>
  <c r="D1022" i="1"/>
  <c r="E1022" i="1"/>
  <c r="A1023" i="1"/>
  <c r="B1023" i="1"/>
  <c r="C1023" i="1"/>
  <c r="D1023" i="1"/>
  <c r="E1023" i="1"/>
  <c r="A1024" i="1"/>
  <c r="B1024" i="1"/>
  <c r="C1024" i="1"/>
  <c r="D1024" i="1"/>
  <c r="E1024" i="1"/>
  <c r="A1025" i="1"/>
  <c r="B1025" i="1"/>
  <c r="C1025" i="1"/>
  <c r="D1025" i="1"/>
  <c r="E1025" i="1"/>
  <c r="A1026" i="1"/>
  <c r="B1026" i="1"/>
  <c r="C1026" i="1"/>
  <c r="D1026" i="1"/>
  <c r="E1026" i="1"/>
  <c r="A1027" i="1"/>
  <c r="B1027" i="1"/>
  <c r="C1027" i="1"/>
  <c r="D1027" i="1"/>
  <c r="E1027" i="1"/>
  <c r="A1028" i="1"/>
  <c r="B1028" i="1"/>
  <c r="C1028" i="1"/>
  <c r="D1028" i="1"/>
  <c r="E1028" i="1"/>
  <c r="A1029" i="1"/>
  <c r="B1029" i="1"/>
  <c r="C1029" i="1"/>
  <c r="D1029" i="1"/>
  <c r="E1029" i="1"/>
  <c r="A1030" i="1"/>
  <c r="B1030" i="1"/>
  <c r="C1030" i="1"/>
  <c r="D1030" i="1"/>
  <c r="E1030" i="1"/>
  <c r="A1031" i="1"/>
  <c r="B1031" i="1"/>
  <c r="C1031" i="1"/>
  <c r="D1031" i="1"/>
  <c r="E1031" i="1"/>
  <c r="A1032" i="1"/>
  <c r="B1032" i="1"/>
  <c r="C1032" i="1"/>
  <c r="D1032" i="1"/>
  <c r="E1032" i="1"/>
  <c r="A1033" i="1"/>
  <c r="B1033" i="1"/>
  <c r="C1033" i="1"/>
  <c r="D1033" i="1"/>
  <c r="E1033" i="1"/>
  <c r="A1034" i="1"/>
  <c r="B1034" i="1"/>
  <c r="C1034" i="1"/>
  <c r="D1034" i="1"/>
  <c r="E1034" i="1"/>
  <c r="A1035" i="1"/>
  <c r="B1035" i="1"/>
  <c r="C1035" i="1"/>
  <c r="D1035" i="1"/>
  <c r="E1035" i="1"/>
  <c r="A1036" i="1"/>
  <c r="B1036" i="1"/>
  <c r="C1036" i="1"/>
  <c r="D1036" i="1"/>
  <c r="E1036" i="1"/>
  <c r="A1037" i="1"/>
  <c r="B1037" i="1"/>
  <c r="C1037" i="1"/>
  <c r="D1037" i="1"/>
  <c r="E1037" i="1"/>
  <c r="A1038" i="1"/>
  <c r="B1038" i="1"/>
  <c r="C1038" i="1"/>
  <c r="D1038" i="1"/>
  <c r="E1038" i="1"/>
  <c r="A1039" i="1"/>
  <c r="B1039" i="1"/>
  <c r="C1039" i="1"/>
  <c r="D1039" i="1"/>
  <c r="E1039" i="1"/>
  <c r="A1040" i="1"/>
  <c r="B1040" i="1"/>
  <c r="C1040" i="1"/>
  <c r="D1040" i="1"/>
  <c r="E1040" i="1"/>
  <c r="A1041" i="1"/>
  <c r="B1041" i="1"/>
  <c r="C1041" i="1"/>
  <c r="D1041" i="1"/>
  <c r="E1041" i="1"/>
  <c r="A1042" i="1"/>
  <c r="B1042" i="1"/>
  <c r="C1042" i="1"/>
  <c r="D1042" i="1"/>
  <c r="E1042" i="1"/>
  <c r="A1043" i="1"/>
  <c r="B1043" i="1"/>
  <c r="C1043" i="1"/>
  <c r="D1043" i="1"/>
  <c r="E1043" i="1"/>
  <c r="A1044" i="1"/>
  <c r="B1044" i="1"/>
  <c r="C1044" i="1"/>
  <c r="D1044" i="1"/>
  <c r="E1044" i="1"/>
  <c r="A1045" i="1"/>
  <c r="B1045" i="1"/>
  <c r="C1045" i="1"/>
  <c r="D1045" i="1"/>
  <c r="E1045" i="1"/>
  <c r="A1046" i="1"/>
  <c r="B1046" i="1"/>
  <c r="C1046" i="1"/>
  <c r="D1046" i="1"/>
  <c r="E1046" i="1"/>
  <c r="A1047" i="1"/>
  <c r="B1047" i="1"/>
  <c r="C1047" i="1"/>
  <c r="D1047" i="1"/>
  <c r="E1047" i="1"/>
  <c r="A1048" i="1"/>
  <c r="B1048" i="1"/>
  <c r="C1048" i="1"/>
  <c r="D1048" i="1"/>
  <c r="E1048" i="1"/>
  <c r="A1049" i="1"/>
  <c r="B1049" i="1"/>
  <c r="C1049" i="1"/>
  <c r="D1049" i="1"/>
  <c r="E1049" i="1"/>
  <c r="A1050" i="1"/>
  <c r="B1050" i="1"/>
  <c r="C1050" i="1"/>
  <c r="D1050" i="1"/>
  <c r="E1050" i="1"/>
  <c r="A1051" i="1"/>
  <c r="B1051" i="1"/>
  <c r="C1051" i="1"/>
  <c r="D1051" i="1"/>
  <c r="E1051" i="1"/>
  <c r="A1052" i="1"/>
  <c r="B1052" i="1"/>
  <c r="C1052" i="1"/>
  <c r="D1052" i="1"/>
  <c r="E1052" i="1"/>
  <c r="A1053" i="1"/>
  <c r="B1053" i="1"/>
  <c r="C1053" i="1"/>
  <c r="D1053" i="1"/>
  <c r="E1053" i="1"/>
  <c r="A1054" i="1"/>
  <c r="B1054" i="1"/>
  <c r="C1054" i="1"/>
  <c r="D1054" i="1"/>
  <c r="E1054" i="1"/>
  <c r="A1055" i="1"/>
  <c r="B1055" i="1"/>
  <c r="C1055" i="1"/>
  <c r="D1055" i="1"/>
  <c r="E1055" i="1"/>
  <c r="A1056" i="1"/>
  <c r="B1056" i="1"/>
  <c r="C1056" i="1"/>
  <c r="D1056" i="1"/>
  <c r="E1056" i="1"/>
  <c r="A1057" i="1"/>
  <c r="B1057" i="1"/>
  <c r="C1057" i="1"/>
  <c r="D1057" i="1"/>
  <c r="E1057" i="1"/>
  <c r="A1058" i="1"/>
  <c r="B1058" i="1"/>
  <c r="C1058" i="1"/>
  <c r="D1058" i="1"/>
  <c r="E1058" i="1"/>
  <c r="A1059" i="1"/>
  <c r="B1059" i="1"/>
  <c r="C1059" i="1"/>
  <c r="D1059" i="1"/>
  <c r="E1059" i="1"/>
  <c r="A1060" i="1"/>
  <c r="B1060" i="1"/>
  <c r="C1060" i="1"/>
  <c r="D1060" i="1"/>
  <c r="E1060" i="1"/>
  <c r="A1061" i="1"/>
  <c r="B1061" i="1"/>
  <c r="C1061" i="1"/>
  <c r="D1061" i="1"/>
  <c r="E1061" i="1"/>
  <c r="A1062" i="1"/>
  <c r="B1062" i="1"/>
  <c r="C1062" i="1"/>
  <c r="D1062" i="1"/>
  <c r="E1062" i="1"/>
  <c r="A1063" i="1"/>
  <c r="B1063" i="1"/>
  <c r="C1063" i="1"/>
  <c r="D1063" i="1"/>
  <c r="E1063" i="1"/>
  <c r="A1064" i="1"/>
  <c r="B1064" i="1"/>
  <c r="C1064" i="1"/>
  <c r="D1064" i="1"/>
  <c r="E1064" i="1"/>
  <c r="A1065" i="1"/>
  <c r="B1065" i="1"/>
  <c r="C1065" i="1"/>
  <c r="D1065" i="1"/>
  <c r="E1065" i="1"/>
  <c r="A1066" i="1"/>
  <c r="B1066" i="1"/>
  <c r="C1066" i="1"/>
  <c r="D1066" i="1"/>
  <c r="E1066" i="1"/>
  <c r="A1067" i="1"/>
  <c r="B1067" i="1"/>
  <c r="C1067" i="1"/>
  <c r="D1067" i="1"/>
  <c r="E1067" i="1"/>
  <c r="A1068" i="1"/>
  <c r="B1068" i="1"/>
  <c r="C1068" i="1"/>
  <c r="D1068" i="1"/>
  <c r="E1068" i="1"/>
  <c r="A1069" i="1"/>
  <c r="B1069" i="1"/>
  <c r="C1069" i="1"/>
  <c r="D1069" i="1"/>
  <c r="E1069" i="1"/>
  <c r="A1070" i="1"/>
  <c r="B1070" i="1"/>
  <c r="C1070" i="1"/>
  <c r="D1070" i="1"/>
  <c r="E1070" i="1"/>
  <c r="A1071" i="1"/>
  <c r="B1071" i="1"/>
  <c r="C1071" i="1"/>
  <c r="D1071" i="1"/>
  <c r="E1071" i="1"/>
  <c r="A1072" i="1"/>
  <c r="B1072" i="1"/>
  <c r="C1072" i="1"/>
  <c r="D1072" i="1"/>
  <c r="E1072" i="1"/>
  <c r="A1073" i="1"/>
  <c r="B1073" i="1"/>
  <c r="C1073" i="1"/>
  <c r="D1073" i="1"/>
  <c r="E1073" i="1"/>
  <c r="A1074" i="1"/>
  <c r="B1074" i="1"/>
  <c r="C1074" i="1"/>
  <c r="D1074" i="1"/>
  <c r="E1074" i="1"/>
  <c r="A1075" i="1"/>
  <c r="B1075" i="1"/>
  <c r="C1075" i="1"/>
  <c r="D1075" i="1"/>
  <c r="E1075" i="1"/>
  <c r="A1076" i="1"/>
  <c r="B1076" i="1"/>
  <c r="C1076" i="1"/>
  <c r="D1076" i="1"/>
  <c r="E1076" i="1"/>
  <c r="A1077" i="1"/>
  <c r="B1077" i="1"/>
  <c r="C1077" i="1"/>
  <c r="D1077" i="1"/>
  <c r="E1077" i="1"/>
  <c r="A1078" i="1"/>
  <c r="B1078" i="1"/>
  <c r="C1078" i="1"/>
  <c r="D1078" i="1"/>
  <c r="E1078" i="1"/>
  <c r="A1079" i="1"/>
  <c r="B1079" i="1"/>
  <c r="C1079" i="1"/>
  <c r="D1079" i="1"/>
  <c r="E1079" i="1"/>
  <c r="A1080" i="1"/>
  <c r="B1080" i="1"/>
  <c r="C1080" i="1"/>
  <c r="D1080" i="1"/>
  <c r="E1080" i="1"/>
  <c r="A1081" i="1"/>
  <c r="B1081" i="1"/>
  <c r="C1081" i="1"/>
  <c r="D1081" i="1"/>
  <c r="E1081" i="1"/>
  <c r="A1082" i="1"/>
  <c r="B1082" i="1"/>
  <c r="C1082" i="1"/>
  <c r="D1082" i="1"/>
  <c r="E1082" i="1"/>
  <c r="A1083" i="1"/>
  <c r="B1083" i="1"/>
  <c r="C1083" i="1"/>
  <c r="D1083" i="1"/>
  <c r="E1083" i="1"/>
  <c r="A1084" i="1"/>
  <c r="B1084" i="1"/>
  <c r="C1084" i="1"/>
  <c r="D1084" i="1"/>
  <c r="E1084" i="1"/>
  <c r="A1085" i="1"/>
  <c r="B1085" i="1"/>
  <c r="C1085" i="1"/>
  <c r="D1085" i="1"/>
  <c r="E1085" i="1"/>
  <c r="A1086" i="1"/>
  <c r="B1086" i="1"/>
  <c r="C1086" i="1"/>
  <c r="D1086" i="1"/>
  <c r="E1086" i="1"/>
  <c r="A1087" i="1"/>
  <c r="B1087" i="1"/>
  <c r="C1087" i="1"/>
  <c r="D1087" i="1"/>
  <c r="E1087" i="1"/>
  <c r="A1088" i="1"/>
  <c r="B1088" i="1"/>
  <c r="C1088" i="1"/>
  <c r="D1088" i="1"/>
  <c r="E1088" i="1"/>
  <c r="A1089" i="1"/>
  <c r="B1089" i="1"/>
  <c r="C1089" i="1"/>
  <c r="D1089" i="1"/>
  <c r="E1089" i="1"/>
  <c r="A1090" i="1"/>
  <c r="B1090" i="1"/>
  <c r="C1090" i="1"/>
  <c r="D1090" i="1"/>
  <c r="E1090" i="1"/>
  <c r="A1091" i="1"/>
  <c r="B1091" i="1"/>
  <c r="C1091" i="1"/>
  <c r="D1091" i="1"/>
  <c r="E1091" i="1"/>
  <c r="A1092" i="1"/>
  <c r="B1092" i="1"/>
  <c r="C1092" i="1"/>
  <c r="D1092" i="1"/>
  <c r="E1092" i="1"/>
  <c r="A1093" i="1"/>
  <c r="B1093" i="1"/>
  <c r="C1093" i="1"/>
  <c r="D1093" i="1"/>
  <c r="E1093" i="1"/>
  <c r="A1094" i="1"/>
  <c r="B1094" i="1"/>
  <c r="C1094" i="1"/>
  <c r="D1094" i="1"/>
  <c r="E1094" i="1"/>
  <c r="A1095" i="1"/>
  <c r="B1095" i="1"/>
  <c r="C1095" i="1"/>
  <c r="D1095" i="1"/>
  <c r="E1095" i="1"/>
  <c r="A1096" i="1"/>
  <c r="B1096" i="1"/>
  <c r="C1096" i="1"/>
  <c r="D1096" i="1"/>
  <c r="E1096" i="1"/>
  <c r="A1097" i="1"/>
  <c r="B1097" i="1"/>
  <c r="C1097" i="1"/>
  <c r="D1097" i="1"/>
  <c r="E1097" i="1"/>
  <c r="A1098" i="1"/>
  <c r="B1098" i="1"/>
  <c r="C1098" i="1"/>
  <c r="D1098" i="1"/>
  <c r="E1098" i="1"/>
  <c r="A1099" i="1"/>
  <c r="B1099" i="1"/>
  <c r="C1099" i="1"/>
  <c r="D1099" i="1"/>
  <c r="E1099" i="1"/>
  <c r="A1100" i="1"/>
  <c r="B1100" i="1"/>
  <c r="C1100" i="1"/>
  <c r="D1100" i="1"/>
  <c r="E1100" i="1"/>
  <c r="A1101" i="1"/>
  <c r="B1101" i="1"/>
  <c r="C1101" i="1"/>
  <c r="D1101" i="1"/>
  <c r="E1101" i="1"/>
  <c r="A1102" i="1"/>
  <c r="B1102" i="1"/>
  <c r="C1102" i="1"/>
  <c r="D1102" i="1"/>
  <c r="E1102" i="1"/>
  <c r="A1103" i="1"/>
  <c r="B1103" i="1"/>
  <c r="C1103" i="1"/>
  <c r="D1103" i="1"/>
  <c r="E1103" i="1"/>
  <c r="A1104" i="1"/>
  <c r="B1104" i="1"/>
  <c r="C1104" i="1"/>
  <c r="D1104" i="1"/>
  <c r="E1104" i="1"/>
  <c r="A1105" i="1"/>
  <c r="B1105" i="1"/>
  <c r="C1105" i="1"/>
  <c r="D1105" i="1"/>
  <c r="E1105" i="1"/>
  <c r="A1106" i="1"/>
  <c r="B1106" i="1"/>
  <c r="C1106" i="1"/>
  <c r="D1106" i="1"/>
  <c r="E1106" i="1"/>
  <c r="A1107" i="1"/>
  <c r="B1107" i="1"/>
  <c r="C1107" i="1"/>
  <c r="D1107" i="1"/>
  <c r="E1107" i="1"/>
  <c r="A1108" i="1"/>
  <c r="B1108" i="1"/>
  <c r="C1108" i="1"/>
  <c r="D1108" i="1"/>
  <c r="E1108" i="1"/>
  <c r="A1109" i="1"/>
  <c r="B1109" i="1"/>
  <c r="C1109" i="1"/>
  <c r="D1109" i="1"/>
  <c r="E1109" i="1"/>
  <c r="A1110" i="1"/>
  <c r="B1110" i="1"/>
  <c r="C1110" i="1"/>
  <c r="D1110" i="1"/>
  <c r="E1110" i="1"/>
  <c r="A1111" i="1"/>
  <c r="B1111" i="1"/>
  <c r="C1111" i="1"/>
  <c r="D1111" i="1"/>
  <c r="E1111" i="1"/>
  <c r="A1112" i="1"/>
  <c r="B1112" i="1"/>
  <c r="C1112" i="1"/>
  <c r="D1112" i="1"/>
  <c r="E1112" i="1"/>
  <c r="A1113" i="1"/>
  <c r="B1113" i="1"/>
  <c r="C1113" i="1"/>
  <c r="D1113" i="1"/>
  <c r="E1113" i="1"/>
  <c r="A1114" i="1"/>
  <c r="B1114" i="1"/>
  <c r="C1114" i="1"/>
  <c r="D1114" i="1"/>
  <c r="E1114" i="1"/>
  <c r="A1115" i="1"/>
  <c r="B1115" i="1"/>
  <c r="C1115" i="1"/>
  <c r="D1115" i="1"/>
  <c r="E1115" i="1"/>
  <c r="A1116" i="1"/>
  <c r="B1116" i="1"/>
  <c r="C1116" i="1"/>
  <c r="D1116" i="1"/>
  <c r="E1116" i="1"/>
  <c r="A1117" i="1"/>
  <c r="B1117" i="1"/>
  <c r="C1117" i="1"/>
  <c r="D1117" i="1"/>
  <c r="E1117" i="1"/>
  <c r="A1118" i="1"/>
  <c r="B1118" i="1"/>
  <c r="C1118" i="1"/>
  <c r="D1118" i="1"/>
  <c r="E1118" i="1"/>
  <c r="A1119" i="1"/>
  <c r="B1119" i="1"/>
  <c r="C1119" i="1"/>
  <c r="D1119" i="1"/>
  <c r="E1119" i="1"/>
  <c r="A1120" i="1"/>
  <c r="B1120" i="1"/>
  <c r="C1120" i="1"/>
  <c r="D1120" i="1"/>
  <c r="E1120" i="1"/>
  <c r="A1121" i="1"/>
  <c r="B1121" i="1"/>
  <c r="C1121" i="1"/>
  <c r="D1121" i="1"/>
  <c r="E1121" i="1"/>
  <c r="A1122" i="1"/>
  <c r="B1122" i="1"/>
  <c r="C1122" i="1"/>
  <c r="D1122" i="1"/>
  <c r="E1122" i="1"/>
  <c r="A1123" i="1"/>
  <c r="B1123" i="1"/>
  <c r="C1123" i="1"/>
  <c r="D1123" i="1"/>
  <c r="E1123" i="1"/>
  <c r="A1124" i="1"/>
  <c r="B1124" i="1"/>
  <c r="C1124" i="1"/>
  <c r="D1124" i="1"/>
  <c r="E1124" i="1"/>
  <c r="A1125" i="1"/>
  <c r="B1125" i="1"/>
  <c r="C1125" i="1"/>
  <c r="D1125" i="1"/>
  <c r="E1125" i="1"/>
  <c r="A1126" i="1"/>
  <c r="B1126" i="1"/>
  <c r="C1126" i="1"/>
  <c r="D1126" i="1"/>
  <c r="E1126" i="1"/>
  <c r="A1127" i="1"/>
  <c r="B1127" i="1"/>
  <c r="C1127" i="1"/>
  <c r="D1127" i="1"/>
  <c r="E1127" i="1"/>
  <c r="A1128" i="1"/>
  <c r="B1128" i="1"/>
  <c r="C1128" i="1"/>
  <c r="D1128" i="1"/>
  <c r="E1128" i="1"/>
  <c r="A1129" i="1"/>
  <c r="B1129" i="1"/>
  <c r="C1129" i="1"/>
  <c r="D1129" i="1"/>
  <c r="E1129" i="1"/>
  <c r="A1130" i="1"/>
  <c r="B1130" i="1"/>
  <c r="C1130" i="1"/>
  <c r="D1130" i="1"/>
  <c r="E1130" i="1"/>
  <c r="A1131" i="1"/>
  <c r="B1131" i="1"/>
  <c r="C1131" i="1"/>
  <c r="D1131" i="1"/>
  <c r="E1131" i="1"/>
  <c r="A1132" i="1"/>
  <c r="B1132" i="1"/>
  <c r="C1132" i="1"/>
  <c r="D1132" i="1"/>
  <c r="E1132" i="1"/>
  <c r="A1133" i="1"/>
  <c r="B1133" i="1"/>
  <c r="C1133" i="1"/>
  <c r="D1133" i="1"/>
  <c r="E1133" i="1"/>
  <c r="A1134" i="1"/>
  <c r="B1134" i="1"/>
  <c r="C1134" i="1"/>
  <c r="D1134" i="1"/>
  <c r="E1134" i="1"/>
  <c r="A1135" i="1"/>
  <c r="B1135" i="1"/>
  <c r="C1135" i="1"/>
  <c r="D1135" i="1"/>
  <c r="E1135" i="1"/>
  <c r="A1136" i="1"/>
  <c r="B1136" i="1"/>
  <c r="C1136" i="1"/>
  <c r="D1136" i="1"/>
  <c r="E1136" i="1"/>
  <c r="A1137" i="1"/>
  <c r="B1137" i="1"/>
  <c r="C1137" i="1"/>
  <c r="D1137" i="1"/>
  <c r="E1137" i="1"/>
  <c r="A1138" i="1"/>
  <c r="B1138" i="1"/>
  <c r="C1138" i="1"/>
  <c r="D1138" i="1"/>
  <c r="E1138" i="1"/>
  <c r="A1139" i="1"/>
  <c r="B1139" i="1"/>
  <c r="C1139" i="1"/>
  <c r="D1139" i="1"/>
  <c r="E1139" i="1"/>
  <c r="A1140" i="1"/>
  <c r="B1140" i="1"/>
  <c r="C1140" i="1"/>
  <c r="D1140" i="1"/>
  <c r="E1140" i="1"/>
  <c r="A1141" i="1"/>
  <c r="B1141" i="1"/>
  <c r="C1141" i="1"/>
  <c r="D1141" i="1"/>
  <c r="E1141" i="1"/>
  <c r="A1142" i="1"/>
  <c r="B1142" i="1"/>
  <c r="C1142" i="1"/>
  <c r="D1142" i="1"/>
  <c r="E1142" i="1"/>
  <c r="A1143" i="1"/>
  <c r="B1143" i="1"/>
  <c r="C1143" i="1"/>
  <c r="D1143" i="1"/>
  <c r="E1143" i="1"/>
  <c r="A1144" i="1"/>
  <c r="B1144" i="1"/>
  <c r="C1144" i="1"/>
  <c r="D1144" i="1"/>
  <c r="E1144" i="1"/>
  <c r="A1145" i="1"/>
  <c r="B1145" i="1"/>
  <c r="C1145" i="1"/>
  <c r="D1145" i="1"/>
  <c r="E1145" i="1"/>
  <c r="A1146" i="1"/>
  <c r="B1146" i="1"/>
  <c r="C1146" i="1"/>
  <c r="D1146" i="1"/>
  <c r="E1146" i="1"/>
  <c r="A1147" i="1"/>
  <c r="B1147" i="1"/>
  <c r="C1147" i="1"/>
  <c r="D1147" i="1"/>
  <c r="E1147" i="1"/>
  <c r="A1148" i="1"/>
  <c r="B1148" i="1"/>
  <c r="C1148" i="1"/>
  <c r="D1148" i="1"/>
  <c r="E1148" i="1"/>
  <c r="A1149" i="1"/>
  <c r="B1149" i="1"/>
  <c r="C1149" i="1"/>
  <c r="D1149" i="1"/>
  <c r="E1149" i="1"/>
  <c r="A1150" i="1"/>
  <c r="B1150" i="1"/>
  <c r="C1150" i="1"/>
  <c r="D1150" i="1"/>
  <c r="E1150" i="1"/>
  <c r="A1151" i="1"/>
  <c r="B1151" i="1"/>
  <c r="C1151" i="1"/>
  <c r="D1151" i="1"/>
  <c r="E1151" i="1"/>
  <c r="A1152" i="1"/>
  <c r="B1152" i="1"/>
  <c r="C1152" i="1"/>
  <c r="D1152" i="1"/>
  <c r="E1152" i="1"/>
  <c r="A1153" i="1"/>
  <c r="B1153" i="1"/>
  <c r="C1153" i="1"/>
  <c r="D1153" i="1"/>
  <c r="E1153" i="1"/>
  <c r="A1154" i="1"/>
  <c r="B1154" i="1"/>
  <c r="C1154" i="1"/>
  <c r="D1154" i="1"/>
  <c r="E1154" i="1"/>
  <c r="A1155" i="1"/>
  <c r="B1155" i="1"/>
  <c r="C1155" i="1"/>
  <c r="D1155" i="1"/>
  <c r="E1155" i="1"/>
  <c r="A1156" i="1"/>
  <c r="B1156" i="1"/>
  <c r="C1156" i="1"/>
  <c r="D1156" i="1"/>
  <c r="E1156" i="1"/>
  <c r="A1157" i="1"/>
  <c r="B1157" i="1"/>
  <c r="C1157" i="1"/>
  <c r="D1157" i="1"/>
  <c r="E1157" i="1"/>
  <c r="A1158" i="1"/>
  <c r="B1158" i="1"/>
  <c r="C1158" i="1"/>
  <c r="D1158" i="1"/>
  <c r="E1158" i="1"/>
  <c r="A1159" i="1"/>
  <c r="B1159" i="1"/>
  <c r="C1159" i="1"/>
  <c r="D1159" i="1"/>
  <c r="E1159" i="1"/>
  <c r="A1160" i="1"/>
  <c r="B1160" i="1"/>
  <c r="C1160" i="1"/>
  <c r="D1160" i="1"/>
  <c r="E1160" i="1"/>
  <c r="A1161" i="1"/>
  <c r="B1161" i="1"/>
  <c r="C1161" i="1"/>
  <c r="D1161" i="1"/>
  <c r="E1161" i="1"/>
  <c r="A1162" i="1"/>
  <c r="B1162" i="1"/>
  <c r="C1162" i="1"/>
  <c r="D1162" i="1"/>
  <c r="E1162" i="1"/>
  <c r="A1163" i="1"/>
  <c r="B1163" i="1"/>
  <c r="C1163" i="1"/>
  <c r="D1163" i="1"/>
  <c r="E1163" i="1"/>
  <c r="A1164" i="1"/>
  <c r="B1164" i="1"/>
  <c r="C1164" i="1"/>
  <c r="D1164" i="1"/>
  <c r="E1164" i="1"/>
  <c r="A1165" i="1"/>
  <c r="B1165" i="1"/>
  <c r="C1165" i="1"/>
  <c r="D1165" i="1"/>
  <c r="E1165" i="1"/>
  <c r="A1166" i="1"/>
  <c r="B1166" i="1"/>
  <c r="C1166" i="1"/>
  <c r="D1166" i="1"/>
  <c r="E1166" i="1"/>
  <c r="A1167" i="1"/>
  <c r="B1167" i="1"/>
  <c r="C1167" i="1"/>
  <c r="D1167" i="1"/>
  <c r="E1167" i="1"/>
  <c r="A1168" i="1"/>
  <c r="B1168" i="1"/>
  <c r="C1168" i="1"/>
  <c r="D1168" i="1"/>
  <c r="E1168" i="1"/>
  <c r="A1169" i="1"/>
  <c r="B1169" i="1"/>
  <c r="C1169" i="1"/>
  <c r="D1169" i="1"/>
  <c r="E1169" i="1"/>
  <c r="A1170" i="1"/>
  <c r="B1170" i="1"/>
  <c r="C1170" i="1"/>
  <c r="D1170" i="1"/>
  <c r="E1170" i="1"/>
  <c r="A1171" i="1"/>
  <c r="B1171" i="1"/>
  <c r="C1171" i="1"/>
  <c r="D1171" i="1"/>
  <c r="E1171" i="1"/>
  <c r="A1172" i="1"/>
  <c r="B1172" i="1"/>
  <c r="C1172" i="1"/>
  <c r="D1172" i="1"/>
  <c r="E1172" i="1"/>
  <c r="A1173" i="1"/>
  <c r="B1173" i="1"/>
  <c r="C1173" i="1"/>
  <c r="D1173" i="1"/>
  <c r="E1173" i="1"/>
  <c r="A1174" i="1"/>
  <c r="B1174" i="1"/>
  <c r="C1174" i="1"/>
  <c r="D1174" i="1"/>
  <c r="E1174" i="1"/>
  <c r="A1175" i="1"/>
  <c r="B1175" i="1"/>
  <c r="C1175" i="1"/>
  <c r="D1175" i="1"/>
  <c r="E1175" i="1"/>
  <c r="A1176" i="1"/>
  <c r="B1176" i="1"/>
  <c r="C1176" i="1"/>
  <c r="D1176" i="1"/>
  <c r="E1176" i="1"/>
  <c r="A1177" i="1"/>
  <c r="B1177" i="1"/>
  <c r="C1177" i="1"/>
  <c r="D1177" i="1"/>
  <c r="E1177" i="1"/>
  <c r="A1178" i="1"/>
  <c r="B1178" i="1"/>
  <c r="C1178" i="1"/>
  <c r="D1178" i="1"/>
  <c r="E1178" i="1"/>
  <c r="A1179" i="1"/>
  <c r="B1179" i="1"/>
  <c r="C1179" i="1"/>
  <c r="D1179" i="1"/>
  <c r="E1179" i="1"/>
  <c r="A1180" i="1"/>
  <c r="B1180" i="1"/>
  <c r="C1180" i="1"/>
  <c r="D1180" i="1"/>
  <c r="E1180" i="1"/>
  <c r="A1181" i="1"/>
  <c r="B1181" i="1"/>
  <c r="C1181" i="1"/>
  <c r="D1181" i="1"/>
  <c r="E1181" i="1"/>
  <c r="A1182" i="1"/>
  <c r="B1182" i="1"/>
  <c r="C1182" i="1"/>
  <c r="D1182" i="1"/>
  <c r="E1182" i="1"/>
  <c r="A1183" i="1"/>
  <c r="B1183" i="1"/>
  <c r="C1183" i="1"/>
  <c r="D1183" i="1"/>
  <c r="E1183" i="1"/>
  <c r="A1184" i="1"/>
  <c r="B1184" i="1"/>
  <c r="C1184" i="1"/>
  <c r="D1184" i="1"/>
  <c r="E1184" i="1"/>
  <c r="A1185" i="1"/>
  <c r="B1185" i="1"/>
  <c r="C1185" i="1"/>
  <c r="D1185" i="1"/>
  <c r="E1185" i="1"/>
  <c r="A1186" i="1"/>
  <c r="B1186" i="1"/>
  <c r="C1186" i="1"/>
  <c r="D1186" i="1"/>
  <c r="E1186" i="1"/>
  <c r="A1187" i="1"/>
  <c r="B1187" i="1"/>
  <c r="C1187" i="1"/>
  <c r="D1187" i="1"/>
  <c r="E1187" i="1"/>
  <c r="A1188" i="1"/>
  <c r="B1188" i="1"/>
  <c r="C1188" i="1"/>
  <c r="D1188" i="1"/>
  <c r="E1188" i="1"/>
  <c r="A1189" i="1"/>
  <c r="B1189" i="1"/>
  <c r="C1189" i="1"/>
  <c r="D1189" i="1"/>
  <c r="E1189" i="1"/>
  <c r="A1190" i="1"/>
  <c r="B1190" i="1"/>
  <c r="C1190" i="1"/>
  <c r="D1190" i="1"/>
  <c r="E1190" i="1"/>
  <c r="A1191" i="1"/>
  <c r="B1191" i="1"/>
  <c r="C1191" i="1"/>
  <c r="D1191" i="1"/>
  <c r="E1191" i="1"/>
  <c r="A1192" i="1"/>
  <c r="B1192" i="1"/>
  <c r="C1192" i="1"/>
  <c r="D1192" i="1"/>
  <c r="E1192" i="1"/>
  <c r="A1193" i="1"/>
  <c r="B1193" i="1"/>
  <c r="C1193" i="1"/>
  <c r="D1193" i="1"/>
  <c r="E1193" i="1"/>
  <c r="A1194" i="1"/>
  <c r="B1194" i="1"/>
  <c r="C1194" i="1"/>
  <c r="D1194" i="1"/>
  <c r="E1194" i="1"/>
  <c r="A1195" i="1"/>
  <c r="B1195" i="1"/>
  <c r="C1195" i="1"/>
  <c r="D1195" i="1"/>
  <c r="E1195" i="1"/>
  <c r="A1196" i="1"/>
  <c r="B1196" i="1"/>
  <c r="C1196" i="1"/>
  <c r="D1196" i="1"/>
  <c r="E1196" i="1"/>
  <c r="A1197" i="1"/>
  <c r="B1197" i="1"/>
  <c r="C1197" i="1"/>
  <c r="D1197" i="1"/>
  <c r="E1197" i="1"/>
  <c r="A1198" i="1"/>
  <c r="B1198" i="1"/>
  <c r="C1198" i="1"/>
  <c r="D1198" i="1"/>
  <c r="E1198" i="1"/>
  <c r="A1199" i="1"/>
  <c r="B1199" i="1"/>
  <c r="C1199" i="1"/>
  <c r="D1199" i="1"/>
  <c r="E1199" i="1"/>
  <c r="A1200" i="1"/>
  <c r="B1200" i="1"/>
  <c r="C1200" i="1"/>
  <c r="D1200" i="1"/>
  <c r="E1200" i="1"/>
  <c r="A1201" i="1"/>
  <c r="B1201" i="1"/>
  <c r="C1201" i="1"/>
  <c r="D1201" i="1"/>
  <c r="E1201" i="1"/>
  <c r="A1202" i="1"/>
  <c r="B1202" i="1"/>
  <c r="C1202" i="1"/>
  <c r="D1202" i="1"/>
  <c r="E1202" i="1"/>
  <c r="A1203" i="1"/>
  <c r="B1203" i="1"/>
  <c r="C1203" i="1"/>
  <c r="D1203" i="1"/>
  <c r="E1203" i="1"/>
  <c r="A1204" i="1"/>
  <c r="B1204" i="1"/>
  <c r="C1204" i="1"/>
  <c r="D1204" i="1"/>
  <c r="E1204" i="1"/>
  <c r="A1205" i="1"/>
  <c r="B1205" i="1"/>
  <c r="C1205" i="1"/>
  <c r="D1205" i="1"/>
  <c r="E1205" i="1"/>
  <c r="A1206" i="1"/>
  <c r="B1206" i="1"/>
  <c r="C1206" i="1"/>
  <c r="D1206" i="1"/>
  <c r="E1206" i="1"/>
  <c r="A1207" i="1"/>
  <c r="B1207" i="1"/>
  <c r="C1207" i="1"/>
  <c r="D1207" i="1"/>
  <c r="E1207" i="1"/>
  <c r="A1208" i="1"/>
  <c r="B1208" i="1"/>
  <c r="C1208" i="1"/>
  <c r="D1208" i="1"/>
  <c r="E1208" i="1"/>
  <c r="A1209" i="1"/>
  <c r="B1209" i="1"/>
  <c r="C1209" i="1"/>
  <c r="D1209" i="1"/>
  <c r="E1209" i="1"/>
  <c r="A1210" i="1"/>
  <c r="B1210" i="1"/>
  <c r="C1210" i="1"/>
  <c r="D1210" i="1"/>
  <c r="E1210" i="1"/>
  <c r="A1211" i="1"/>
  <c r="B1211" i="1"/>
  <c r="C1211" i="1"/>
  <c r="D1211" i="1"/>
  <c r="E1211" i="1"/>
  <c r="A1212" i="1"/>
  <c r="B1212" i="1"/>
  <c r="C1212" i="1"/>
  <c r="D1212" i="1"/>
  <c r="E1212" i="1"/>
  <c r="A1213" i="1"/>
  <c r="B1213" i="1"/>
  <c r="C1213" i="1"/>
  <c r="D1213" i="1"/>
  <c r="E1213" i="1"/>
  <c r="A1214" i="1"/>
  <c r="B1214" i="1"/>
  <c r="C1214" i="1"/>
  <c r="D1214" i="1"/>
  <c r="E1214" i="1"/>
  <c r="A1215" i="1"/>
  <c r="B1215" i="1"/>
  <c r="C1215" i="1"/>
  <c r="D1215" i="1"/>
  <c r="E1215" i="1"/>
  <c r="A1216" i="1"/>
  <c r="B1216" i="1"/>
  <c r="C1216" i="1"/>
  <c r="D1216" i="1"/>
  <c r="E1216" i="1"/>
  <c r="A1217" i="1"/>
  <c r="B1217" i="1"/>
  <c r="C1217" i="1"/>
  <c r="D1217" i="1"/>
  <c r="E1217" i="1"/>
  <c r="A1218" i="1"/>
  <c r="B1218" i="1"/>
  <c r="C1218" i="1"/>
  <c r="D1218" i="1"/>
  <c r="E1218" i="1"/>
  <c r="A1219" i="1"/>
  <c r="B1219" i="1"/>
  <c r="C1219" i="1"/>
  <c r="D1219" i="1"/>
  <c r="E1219" i="1"/>
  <c r="A1220" i="1"/>
  <c r="B1220" i="1"/>
  <c r="C1220" i="1"/>
  <c r="D1220" i="1"/>
  <c r="E1220" i="1"/>
  <c r="A1221" i="1"/>
  <c r="B1221" i="1"/>
  <c r="C1221" i="1"/>
  <c r="D1221" i="1"/>
  <c r="E1221" i="1"/>
  <c r="A1222" i="1"/>
  <c r="B1222" i="1"/>
  <c r="C1222" i="1"/>
  <c r="D1222" i="1"/>
  <c r="E1222" i="1"/>
  <c r="A1223" i="1"/>
  <c r="B1223" i="1"/>
  <c r="C1223" i="1"/>
  <c r="D1223" i="1"/>
  <c r="E1223" i="1"/>
  <c r="A1224" i="1"/>
  <c r="B1224" i="1"/>
  <c r="C1224" i="1"/>
  <c r="D1224" i="1"/>
  <c r="E1224" i="1"/>
  <c r="A1225" i="1"/>
  <c r="B1225" i="1"/>
  <c r="C1225" i="1"/>
  <c r="D1225" i="1"/>
  <c r="E1225" i="1"/>
  <c r="A1226" i="1"/>
  <c r="B1226" i="1"/>
  <c r="C1226" i="1"/>
  <c r="D1226" i="1"/>
  <c r="E1226" i="1"/>
  <c r="A1227" i="1"/>
  <c r="B1227" i="1"/>
  <c r="C1227" i="1"/>
  <c r="D1227" i="1"/>
  <c r="E1227" i="1"/>
  <c r="A1228" i="1"/>
  <c r="B1228" i="1"/>
  <c r="C1228" i="1"/>
  <c r="D1228" i="1"/>
  <c r="E1228" i="1"/>
  <c r="A1229" i="1"/>
  <c r="B1229" i="1"/>
  <c r="C1229" i="1"/>
  <c r="D1229" i="1"/>
  <c r="E1229" i="1"/>
  <c r="A1230" i="1"/>
  <c r="B1230" i="1"/>
  <c r="C1230" i="1"/>
  <c r="D1230" i="1"/>
  <c r="E1230" i="1"/>
  <c r="A1231" i="1"/>
  <c r="B1231" i="1"/>
  <c r="C1231" i="1"/>
  <c r="D1231" i="1"/>
  <c r="E1231" i="1"/>
  <c r="A1232" i="1"/>
  <c r="B1232" i="1"/>
  <c r="C1232" i="1"/>
  <c r="D1232" i="1"/>
  <c r="E1232" i="1"/>
  <c r="A1233" i="1"/>
  <c r="B1233" i="1"/>
  <c r="C1233" i="1"/>
  <c r="D1233" i="1"/>
  <c r="E1233" i="1"/>
  <c r="A1234" i="1"/>
  <c r="B1234" i="1"/>
  <c r="C1234" i="1"/>
  <c r="D1234" i="1"/>
  <c r="E1234" i="1"/>
  <c r="A1235" i="1"/>
  <c r="B1235" i="1"/>
  <c r="C1235" i="1"/>
  <c r="D1235" i="1"/>
  <c r="E1235" i="1"/>
  <c r="A1236" i="1"/>
  <c r="B1236" i="1"/>
  <c r="C1236" i="1"/>
  <c r="D1236" i="1"/>
  <c r="E1236" i="1"/>
  <c r="A1237" i="1"/>
  <c r="B1237" i="1"/>
  <c r="C1237" i="1"/>
  <c r="D1237" i="1"/>
  <c r="E1237" i="1"/>
  <c r="A1238" i="1"/>
  <c r="B1238" i="1"/>
  <c r="C1238" i="1"/>
  <c r="D1238" i="1"/>
  <c r="E1238" i="1"/>
  <c r="A1239" i="1"/>
  <c r="B1239" i="1"/>
  <c r="C1239" i="1"/>
  <c r="D1239" i="1"/>
  <c r="E1239" i="1"/>
  <c r="A1240" i="1"/>
  <c r="B1240" i="1"/>
  <c r="C1240" i="1"/>
  <c r="D1240" i="1"/>
  <c r="E1240" i="1"/>
  <c r="A1241" i="1"/>
  <c r="B1241" i="1"/>
  <c r="C1241" i="1"/>
  <c r="D1241" i="1"/>
  <c r="E1241" i="1"/>
  <c r="A1242" i="1"/>
  <c r="B1242" i="1"/>
  <c r="C1242" i="1"/>
  <c r="D1242" i="1"/>
  <c r="E1242" i="1"/>
  <c r="A1243" i="1"/>
  <c r="B1243" i="1"/>
  <c r="C1243" i="1"/>
  <c r="D1243" i="1"/>
  <c r="E1243" i="1"/>
  <c r="A1244" i="1"/>
  <c r="B1244" i="1"/>
  <c r="C1244" i="1"/>
  <c r="D1244" i="1"/>
  <c r="E1244" i="1"/>
  <c r="A1245" i="1"/>
  <c r="B1245" i="1"/>
  <c r="C1245" i="1"/>
  <c r="D1245" i="1"/>
  <c r="E1245" i="1"/>
  <c r="A1246" i="1"/>
  <c r="B1246" i="1"/>
  <c r="C1246" i="1"/>
  <c r="D1246" i="1"/>
  <c r="E1246" i="1"/>
  <c r="A1247" i="1"/>
  <c r="B1247" i="1"/>
  <c r="C1247" i="1"/>
  <c r="D1247" i="1"/>
  <c r="E1247" i="1"/>
  <c r="A1248" i="1"/>
  <c r="B1248" i="1"/>
  <c r="C1248" i="1"/>
  <c r="D1248" i="1"/>
  <c r="E1248" i="1"/>
  <c r="A1249" i="1"/>
  <c r="B1249" i="1"/>
  <c r="C1249" i="1"/>
  <c r="D1249" i="1"/>
  <c r="E1249" i="1"/>
  <c r="A1250" i="1"/>
  <c r="B1250" i="1"/>
  <c r="C1250" i="1"/>
  <c r="D1250" i="1"/>
  <c r="E1250" i="1"/>
  <c r="A1251" i="1"/>
  <c r="B1251" i="1"/>
  <c r="C1251" i="1"/>
  <c r="D1251" i="1"/>
  <c r="E1251" i="1"/>
  <c r="A1252" i="1"/>
  <c r="B1252" i="1"/>
  <c r="C1252" i="1"/>
  <c r="D1252" i="1"/>
  <c r="E1252" i="1"/>
  <c r="A1253" i="1"/>
  <c r="B1253" i="1"/>
  <c r="C1253" i="1"/>
  <c r="D1253" i="1"/>
  <c r="E1253" i="1"/>
  <c r="A1254" i="1"/>
  <c r="B1254" i="1"/>
  <c r="C1254" i="1"/>
  <c r="D1254" i="1"/>
  <c r="E1254" i="1"/>
  <c r="A1255" i="1"/>
  <c r="B1255" i="1"/>
  <c r="C1255" i="1"/>
  <c r="D1255" i="1"/>
  <c r="E1255" i="1"/>
  <c r="A1256" i="1"/>
  <c r="B1256" i="1"/>
  <c r="C1256" i="1"/>
  <c r="D1256" i="1"/>
  <c r="E1256" i="1"/>
  <c r="A1257" i="1"/>
  <c r="B1257" i="1"/>
  <c r="C1257" i="1"/>
  <c r="D1257" i="1"/>
  <c r="E1257" i="1"/>
  <c r="A1258" i="1"/>
  <c r="B1258" i="1"/>
  <c r="C1258" i="1"/>
  <c r="D1258" i="1"/>
  <c r="E1258" i="1"/>
  <c r="A1259" i="1"/>
  <c r="B1259" i="1"/>
  <c r="C1259" i="1"/>
  <c r="D1259" i="1"/>
  <c r="E1259" i="1"/>
  <c r="A1260" i="1"/>
  <c r="B1260" i="1"/>
  <c r="C1260" i="1"/>
  <c r="D1260" i="1"/>
  <c r="E1260" i="1"/>
  <c r="A1261" i="1"/>
  <c r="B1261" i="1"/>
  <c r="C1261" i="1"/>
  <c r="D1261" i="1"/>
  <c r="E1261" i="1"/>
  <c r="A1262" i="1"/>
  <c r="B1262" i="1"/>
  <c r="C1262" i="1"/>
  <c r="D1262" i="1"/>
  <c r="E1262" i="1"/>
  <c r="A1263" i="1"/>
  <c r="B1263" i="1"/>
  <c r="C1263" i="1"/>
  <c r="D1263" i="1"/>
  <c r="E1263" i="1"/>
  <c r="A1264" i="1"/>
  <c r="B1264" i="1"/>
  <c r="C1264" i="1"/>
  <c r="D1264" i="1"/>
  <c r="E1264" i="1"/>
  <c r="A1265" i="1"/>
  <c r="B1265" i="1"/>
  <c r="C1265" i="1"/>
  <c r="D1265" i="1"/>
  <c r="E1265" i="1"/>
  <c r="A1266" i="1"/>
  <c r="B1266" i="1"/>
  <c r="C1266" i="1"/>
  <c r="D1266" i="1"/>
  <c r="E1266" i="1"/>
  <c r="A1267" i="1"/>
  <c r="B1267" i="1"/>
  <c r="C1267" i="1"/>
  <c r="D1267" i="1"/>
  <c r="E1267" i="1"/>
  <c r="A1268" i="1"/>
  <c r="B1268" i="1"/>
  <c r="C1268" i="1"/>
  <c r="D1268" i="1"/>
  <c r="E1268" i="1"/>
  <c r="A1269" i="1"/>
  <c r="B1269" i="1"/>
  <c r="C1269" i="1"/>
  <c r="D1269" i="1"/>
  <c r="E1269" i="1"/>
  <c r="A1270" i="1"/>
  <c r="B1270" i="1"/>
  <c r="C1270" i="1"/>
  <c r="D1270" i="1"/>
  <c r="E1270" i="1"/>
  <c r="A1271" i="1"/>
  <c r="B1271" i="1"/>
  <c r="C1271" i="1"/>
  <c r="D1271" i="1"/>
  <c r="E1271" i="1"/>
  <c r="A1272" i="1"/>
  <c r="B1272" i="1"/>
  <c r="C1272" i="1"/>
  <c r="D1272" i="1"/>
  <c r="E1272" i="1"/>
  <c r="A1273" i="1"/>
  <c r="B1273" i="1"/>
  <c r="C1273" i="1"/>
  <c r="D1273" i="1"/>
  <c r="E1273" i="1"/>
  <c r="A1274" i="1"/>
  <c r="B1274" i="1"/>
  <c r="C1274" i="1"/>
  <c r="D1274" i="1"/>
  <c r="E1274" i="1"/>
  <c r="A1275" i="1"/>
  <c r="B1275" i="1"/>
  <c r="C1275" i="1"/>
  <c r="D1275" i="1"/>
  <c r="E1275" i="1"/>
  <c r="A1276" i="1"/>
  <c r="B1276" i="1"/>
  <c r="C1276" i="1"/>
  <c r="D1276" i="1"/>
  <c r="E1276" i="1"/>
  <c r="A1277" i="1"/>
  <c r="B1277" i="1"/>
  <c r="C1277" i="1"/>
  <c r="D1277" i="1"/>
  <c r="E1277" i="1"/>
  <c r="A1278" i="1"/>
  <c r="B1278" i="1"/>
  <c r="C1278" i="1"/>
  <c r="D1278" i="1"/>
  <c r="E1278" i="1"/>
  <c r="A1279" i="1"/>
  <c r="B1279" i="1"/>
  <c r="C1279" i="1"/>
  <c r="D1279" i="1"/>
  <c r="E1279" i="1"/>
  <c r="A1280" i="1"/>
  <c r="B1280" i="1"/>
  <c r="C1280" i="1"/>
  <c r="D1280" i="1"/>
  <c r="E1280" i="1"/>
  <c r="A1281" i="1"/>
  <c r="B1281" i="1"/>
  <c r="C1281" i="1"/>
  <c r="D1281" i="1"/>
  <c r="E1281" i="1"/>
  <c r="A1282" i="1"/>
  <c r="B1282" i="1"/>
  <c r="C1282" i="1"/>
  <c r="D1282" i="1"/>
  <c r="E1282" i="1"/>
  <c r="A1283" i="1"/>
  <c r="B1283" i="1"/>
  <c r="C1283" i="1"/>
  <c r="D1283" i="1"/>
  <c r="E1283" i="1"/>
  <c r="A1284" i="1"/>
  <c r="B1284" i="1"/>
  <c r="C1284" i="1"/>
  <c r="D1284" i="1"/>
  <c r="E1284" i="1"/>
  <c r="A1285" i="1"/>
  <c r="B1285" i="1"/>
  <c r="C1285" i="1"/>
  <c r="D1285" i="1"/>
  <c r="E1285" i="1"/>
  <c r="A1286" i="1"/>
  <c r="B1286" i="1"/>
  <c r="C1286" i="1"/>
  <c r="D1286" i="1"/>
  <c r="E1286" i="1"/>
  <c r="A1287" i="1"/>
  <c r="B1287" i="1"/>
  <c r="C1287" i="1"/>
  <c r="D1287" i="1"/>
  <c r="E1287" i="1"/>
  <c r="A1288" i="1"/>
  <c r="B1288" i="1"/>
  <c r="C1288" i="1"/>
  <c r="D1288" i="1"/>
  <c r="E1288" i="1"/>
  <c r="A1289" i="1"/>
  <c r="B1289" i="1"/>
  <c r="C1289" i="1"/>
  <c r="D1289" i="1"/>
  <c r="E1289" i="1"/>
  <c r="A1290" i="1"/>
  <c r="B1290" i="1"/>
  <c r="C1290" i="1"/>
  <c r="D1290" i="1"/>
  <c r="E1290" i="1"/>
  <c r="A1291" i="1"/>
  <c r="B1291" i="1"/>
  <c r="C1291" i="1"/>
  <c r="D1291" i="1"/>
  <c r="E1291" i="1"/>
  <c r="A1292" i="1"/>
  <c r="B1292" i="1"/>
  <c r="C1292" i="1"/>
  <c r="D1292" i="1"/>
  <c r="E1292" i="1"/>
  <c r="A1293" i="1"/>
  <c r="B1293" i="1"/>
  <c r="C1293" i="1"/>
  <c r="D1293" i="1"/>
  <c r="E1293" i="1"/>
  <c r="A1294" i="1"/>
  <c r="B1294" i="1"/>
  <c r="C1294" i="1"/>
  <c r="D1294" i="1"/>
  <c r="E1294" i="1"/>
  <c r="A1295" i="1"/>
  <c r="B1295" i="1"/>
  <c r="C1295" i="1"/>
  <c r="D1295" i="1"/>
  <c r="E1295" i="1"/>
  <c r="A1296" i="1"/>
  <c r="B1296" i="1"/>
  <c r="C1296" i="1"/>
  <c r="D1296" i="1"/>
  <c r="E1296" i="1"/>
  <c r="A1297" i="1"/>
  <c r="B1297" i="1"/>
  <c r="C1297" i="1"/>
  <c r="D1297" i="1"/>
  <c r="E1297" i="1"/>
  <c r="A1298" i="1"/>
  <c r="B1298" i="1"/>
  <c r="C1298" i="1"/>
  <c r="D1298" i="1"/>
  <c r="E1298" i="1"/>
  <c r="A1299" i="1"/>
  <c r="B1299" i="1"/>
  <c r="C1299" i="1"/>
  <c r="D1299" i="1"/>
  <c r="E1299" i="1"/>
  <c r="A1300" i="1"/>
  <c r="B1300" i="1"/>
  <c r="C1300" i="1"/>
  <c r="D1300" i="1"/>
  <c r="E1300" i="1"/>
  <c r="A1301" i="1"/>
  <c r="B1301" i="1"/>
  <c r="C1301" i="1"/>
  <c r="D1301" i="1"/>
  <c r="E1301" i="1"/>
  <c r="A1302" i="1"/>
  <c r="B1302" i="1"/>
  <c r="C1302" i="1"/>
  <c r="D1302" i="1"/>
  <c r="E1302" i="1"/>
  <c r="A1303" i="1"/>
  <c r="B1303" i="1"/>
  <c r="C1303" i="1"/>
  <c r="D1303" i="1"/>
  <c r="E1303" i="1"/>
  <c r="A1304" i="1"/>
  <c r="B1304" i="1"/>
  <c r="C1304" i="1"/>
  <c r="D1304" i="1"/>
  <c r="E1304" i="1"/>
  <c r="A1305" i="1"/>
  <c r="B1305" i="1"/>
  <c r="C1305" i="1"/>
  <c r="D1305" i="1"/>
  <c r="E1305" i="1"/>
  <c r="A1306" i="1"/>
  <c r="B1306" i="1"/>
  <c r="C1306" i="1"/>
  <c r="D1306" i="1"/>
  <c r="E1306" i="1"/>
  <c r="A1307" i="1"/>
  <c r="B1307" i="1"/>
  <c r="C1307" i="1"/>
  <c r="D1307" i="1"/>
  <c r="E1307" i="1"/>
  <c r="A1308" i="1"/>
  <c r="B1308" i="1"/>
  <c r="C1308" i="1"/>
  <c r="D1308" i="1"/>
  <c r="E1308" i="1"/>
  <c r="A1309" i="1"/>
  <c r="B1309" i="1"/>
  <c r="C1309" i="1"/>
  <c r="D1309" i="1"/>
  <c r="E1309" i="1"/>
  <c r="A1310" i="1"/>
  <c r="B1310" i="1"/>
  <c r="C1310" i="1"/>
  <c r="D1310" i="1"/>
  <c r="E1310" i="1"/>
  <c r="A1311" i="1"/>
  <c r="B1311" i="1"/>
  <c r="C1311" i="1"/>
  <c r="D1311" i="1"/>
  <c r="E1311" i="1"/>
  <c r="A1312" i="1"/>
  <c r="B1312" i="1"/>
  <c r="C1312" i="1"/>
  <c r="D1312" i="1"/>
  <c r="E1312" i="1"/>
  <c r="A1313" i="1"/>
  <c r="B1313" i="1"/>
  <c r="C1313" i="1"/>
  <c r="D1313" i="1"/>
  <c r="E1313" i="1"/>
  <c r="A1314" i="1"/>
  <c r="B1314" i="1"/>
  <c r="C1314" i="1"/>
  <c r="D1314" i="1"/>
  <c r="E1314" i="1"/>
  <c r="A1315" i="1"/>
  <c r="B1315" i="1"/>
  <c r="C1315" i="1"/>
  <c r="D1315" i="1"/>
  <c r="E1315" i="1"/>
  <c r="A1316" i="1"/>
  <c r="B1316" i="1"/>
  <c r="C1316" i="1"/>
  <c r="D1316" i="1"/>
  <c r="E1316" i="1"/>
  <c r="A1317" i="1"/>
  <c r="B1317" i="1"/>
  <c r="C1317" i="1"/>
  <c r="D1317" i="1"/>
  <c r="E1317" i="1"/>
  <c r="A1318" i="1"/>
  <c r="B1318" i="1"/>
  <c r="C1318" i="1"/>
  <c r="D1318" i="1"/>
  <c r="E1318" i="1"/>
  <c r="A1319" i="1"/>
  <c r="B1319" i="1"/>
  <c r="C1319" i="1"/>
  <c r="D1319" i="1"/>
  <c r="E1319" i="1"/>
  <c r="A1320" i="1"/>
  <c r="B1320" i="1"/>
  <c r="C1320" i="1"/>
  <c r="D1320" i="1"/>
  <c r="E1320" i="1"/>
  <c r="A1321" i="1"/>
  <c r="B1321" i="1"/>
  <c r="C1321" i="1"/>
  <c r="D1321" i="1"/>
  <c r="E1321" i="1"/>
  <c r="A1322" i="1"/>
  <c r="B1322" i="1"/>
  <c r="C1322" i="1"/>
  <c r="D1322" i="1"/>
  <c r="E1322" i="1"/>
  <c r="A1323" i="1"/>
  <c r="B1323" i="1"/>
  <c r="C1323" i="1"/>
  <c r="D1323" i="1"/>
  <c r="E1323" i="1"/>
  <c r="A1324" i="1"/>
  <c r="B1324" i="1"/>
  <c r="C1324" i="1"/>
  <c r="D1324" i="1"/>
  <c r="E1324" i="1"/>
  <c r="A1325" i="1"/>
  <c r="B1325" i="1"/>
  <c r="C1325" i="1"/>
  <c r="D1325" i="1"/>
  <c r="E1325" i="1"/>
  <c r="A1326" i="1"/>
  <c r="B1326" i="1"/>
  <c r="C1326" i="1"/>
  <c r="D1326" i="1"/>
  <c r="E1326" i="1"/>
  <c r="A1327" i="1"/>
  <c r="B1327" i="1"/>
  <c r="C1327" i="1"/>
  <c r="D1327" i="1"/>
  <c r="E1327" i="1"/>
  <c r="A1328" i="1"/>
  <c r="B1328" i="1"/>
  <c r="C1328" i="1"/>
  <c r="D1328" i="1"/>
  <c r="E1328" i="1"/>
  <c r="A1329" i="1"/>
  <c r="B1329" i="1"/>
  <c r="C1329" i="1"/>
  <c r="D1329" i="1"/>
  <c r="E1329" i="1"/>
  <c r="A1330" i="1"/>
  <c r="B1330" i="1"/>
  <c r="C1330" i="1"/>
  <c r="D1330" i="1"/>
  <c r="E1330" i="1"/>
  <c r="A1331" i="1"/>
  <c r="B1331" i="1"/>
  <c r="C1331" i="1"/>
  <c r="D1331" i="1"/>
  <c r="E1331" i="1"/>
  <c r="A1332" i="1"/>
  <c r="B1332" i="1"/>
  <c r="C1332" i="1"/>
  <c r="D1332" i="1"/>
  <c r="E1332" i="1"/>
  <c r="A1333" i="1"/>
  <c r="B1333" i="1"/>
  <c r="C1333" i="1"/>
  <c r="D1333" i="1"/>
  <c r="E1333" i="1"/>
  <c r="A1334" i="1"/>
  <c r="B1334" i="1"/>
  <c r="C1334" i="1"/>
  <c r="D1334" i="1"/>
  <c r="E1334" i="1"/>
  <c r="A1335" i="1"/>
  <c r="B1335" i="1"/>
  <c r="C1335" i="1"/>
  <c r="D1335" i="1"/>
  <c r="E1335" i="1"/>
  <c r="A1336" i="1"/>
  <c r="B1336" i="1"/>
  <c r="C1336" i="1"/>
  <c r="D1336" i="1"/>
  <c r="E1336" i="1"/>
  <c r="A1337" i="1"/>
  <c r="B1337" i="1"/>
  <c r="C1337" i="1"/>
  <c r="D1337" i="1"/>
  <c r="E1337" i="1"/>
  <c r="A1338" i="1"/>
  <c r="B1338" i="1"/>
  <c r="C1338" i="1"/>
  <c r="D1338" i="1"/>
  <c r="E1338" i="1"/>
  <c r="A1339" i="1"/>
  <c r="B1339" i="1"/>
  <c r="C1339" i="1"/>
  <c r="D1339" i="1"/>
  <c r="E1339" i="1"/>
  <c r="A1340" i="1"/>
  <c r="B1340" i="1"/>
  <c r="C1340" i="1"/>
  <c r="D1340" i="1"/>
  <c r="E1340" i="1"/>
  <c r="A1341" i="1"/>
  <c r="B1341" i="1"/>
  <c r="C1341" i="1"/>
  <c r="D1341" i="1"/>
  <c r="E1341" i="1"/>
  <c r="A1342" i="1"/>
  <c r="B1342" i="1"/>
  <c r="C1342" i="1"/>
  <c r="D1342" i="1"/>
  <c r="E1342" i="1"/>
  <c r="A1343" i="1"/>
  <c r="B1343" i="1"/>
  <c r="C1343" i="1"/>
  <c r="D1343" i="1"/>
  <c r="E1343" i="1"/>
  <c r="A1344" i="1"/>
  <c r="B1344" i="1"/>
  <c r="C1344" i="1"/>
  <c r="D1344" i="1"/>
  <c r="E1344" i="1"/>
  <c r="A1345" i="1"/>
  <c r="B1345" i="1"/>
  <c r="C1345" i="1"/>
  <c r="D1345" i="1"/>
  <c r="E1345" i="1"/>
  <c r="A1346" i="1"/>
  <c r="B1346" i="1"/>
  <c r="C1346" i="1"/>
  <c r="D1346" i="1"/>
  <c r="E1346" i="1"/>
  <c r="A1347" i="1"/>
  <c r="B1347" i="1"/>
  <c r="C1347" i="1"/>
  <c r="D1347" i="1"/>
  <c r="E1347" i="1"/>
  <c r="A1348" i="1"/>
  <c r="B1348" i="1"/>
  <c r="C1348" i="1"/>
  <c r="D1348" i="1"/>
  <c r="E1348" i="1"/>
  <c r="A1349" i="1"/>
  <c r="B1349" i="1"/>
  <c r="C1349" i="1"/>
  <c r="D1349" i="1"/>
  <c r="E1349" i="1"/>
  <c r="A1350" i="1"/>
  <c r="B1350" i="1"/>
  <c r="C1350" i="1"/>
  <c r="D1350" i="1"/>
  <c r="E1350" i="1"/>
  <c r="A1351" i="1"/>
  <c r="B1351" i="1"/>
  <c r="C1351" i="1"/>
  <c r="D1351" i="1"/>
  <c r="E1351" i="1"/>
  <c r="A1352" i="1"/>
  <c r="B1352" i="1"/>
  <c r="C1352" i="1"/>
  <c r="D1352" i="1"/>
  <c r="E1352" i="1"/>
  <c r="A1353" i="1"/>
  <c r="B1353" i="1"/>
  <c r="C1353" i="1"/>
  <c r="D1353" i="1"/>
  <c r="E1353" i="1"/>
  <c r="A1354" i="1"/>
  <c r="B1354" i="1"/>
  <c r="C1354" i="1"/>
  <c r="D1354" i="1"/>
  <c r="E1354" i="1"/>
  <c r="A1355" i="1"/>
  <c r="B1355" i="1"/>
  <c r="C1355" i="1"/>
  <c r="D1355" i="1"/>
  <c r="E1355" i="1"/>
  <c r="A1356" i="1"/>
  <c r="B1356" i="1"/>
  <c r="C1356" i="1"/>
  <c r="D1356" i="1"/>
  <c r="E1356" i="1"/>
  <c r="A1357" i="1"/>
  <c r="B1357" i="1"/>
  <c r="C1357" i="1"/>
  <c r="D1357" i="1"/>
  <c r="E1357" i="1"/>
  <c r="A1358" i="1"/>
  <c r="B1358" i="1"/>
  <c r="C1358" i="1"/>
  <c r="D1358" i="1"/>
  <c r="E1358" i="1"/>
  <c r="A1359" i="1"/>
  <c r="B1359" i="1"/>
  <c r="C1359" i="1"/>
  <c r="D1359" i="1"/>
  <c r="E1359" i="1"/>
  <c r="A1360" i="1"/>
  <c r="B1360" i="1"/>
  <c r="C1360" i="1"/>
  <c r="D1360" i="1"/>
  <c r="E1360" i="1"/>
  <c r="A1361" i="1"/>
  <c r="B1361" i="1"/>
  <c r="C1361" i="1"/>
  <c r="D1361" i="1"/>
  <c r="E1361" i="1"/>
  <c r="A1362" i="1"/>
  <c r="B1362" i="1"/>
  <c r="C1362" i="1"/>
  <c r="D1362" i="1"/>
  <c r="E1362" i="1"/>
  <c r="A1363" i="1"/>
  <c r="B1363" i="1"/>
  <c r="C1363" i="1"/>
  <c r="D1363" i="1"/>
  <c r="E1363" i="1"/>
  <c r="A1364" i="1"/>
  <c r="B1364" i="1"/>
  <c r="C1364" i="1"/>
  <c r="D1364" i="1"/>
  <c r="E1364" i="1"/>
  <c r="A1365" i="1"/>
  <c r="B1365" i="1"/>
  <c r="C1365" i="1"/>
  <c r="D1365" i="1"/>
  <c r="E1365" i="1"/>
  <c r="A1366" i="1"/>
  <c r="B1366" i="1"/>
  <c r="C1366" i="1"/>
  <c r="D1366" i="1"/>
  <c r="E1366" i="1"/>
  <c r="A1367" i="1"/>
  <c r="B1367" i="1"/>
  <c r="C1367" i="1"/>
  <c r="D1367" i="1"/>
  <c r="E1367" i="1"/>
  <c r="A1368" i="1"/>
  <c r="B1368" i="1"/>
  <c r="C1368" i="1"/>
  <c r="D1368" i="1"/>
  <c r="E1368" i="1"/>
  <c r="A1369" i="1"/>
  <c r="B1369" i="1"/>
  <c r="C1369" i="1"/>
  <c r="D1369" i="1"/>
  <c r="E1369" i="1"/>
  <c r="A1370" i="1"/>
  <c r="B1370" i="1"/>
  <c r="C1370" i="1"/>
  <c r="D1370" i="1"/>
  <c r="E1370" i="1"/>
  <c r="A1371" i="1"/>
  <c r="B1371" i="1"/>
  <c r="C1371" i="1"/>
  <c r="D1371" i="1"/>
  <c r="E1371" i="1"/>
  <c r="A1372" i="1"/>
  <c r="B1372" i="1"/>
  <c r="C1372" i="1"/>
  <c r="D1372" i="1"/>
  <c r="E1372" i="1"/>
  <c r="A1373" i="1"/>
  <c r="B1373" i="1"/>
  <c r="C1373" i="1"/>
  <c r="D1373" i="1"/>
  <c r="E1373" i="1"/>
  <c r="A1374" i="1"/>
  <c r="B1374" i="1"/>
  <c r="C1374" i="1"/>
  <c r="D1374" i="1"/>
  <c r="E1374" i="1"/>
  <c r="A1375" i="1"/>
  <c r="B1375" i="1"/>
  <c r="C1375" i="1"/>
  <c r="D1375" i="1"/>
  <c r="E1375" i="1"/>
  <c r="A1376" i="1"/>
  <c r="B1376" i="1"/>
  <c r="C1376" i="1"/>
  <c r="D1376" i="1"/>
  <c r="E1376" i="1"/>
  <c r="A1377" i="1"/>
  <c r="B1377" i="1"/>
  <c r="C1377" i="1"/>
  <c r="D1377" i="1"/>
  <c r="E1377" i="1"/>
  <c r="A1378" i="1"/>
  <c r="B1378" i="1"/>
  <c r="C1378" i="1"/>
  <c r="D1378" i="1"/>
  <c r="E1378" i="1"/>
  <c r="A1379" i="1"/>
  <c r="B1379" i="1"/>
  <c r="C1379" i="1"/>
  <c r="D1379" i="1"/>
  <c r="E1379" i="1"/>
  <c r="A1380" i="1"/>
  <c r="B1380" i="1"/>
  <c r="C1380" i="1"/>
  <c r="D1380" i="1"/>
  <c r="E1380" i="1"/>
  <c r="A1381" i="1"/>
  <c r="B1381" i="1"/>
  <c r="C1381" i="1"/>
  <c r="D1381" i="1"/>
  <c r="E1381" i="1"/>
  <c r="A1382" i="1"/>
  <c r="B1382" i="1"/>
  <c r="C1382" i="1"/>
  <c r="D1382" i="1"/>
  <c r="E1382" i="1"/>
  <c r="A1383" i="1"/>
  <c r="B1383" i="1"/>
  <c r="C1383" i="1"/>
  <c r="D1383" i="1"/>
  <c r="E1383" i="1"/>
  <c r="A1384" i="1"/>
  <c r="B1384" i="1"/>
  <c r="C1384" i="1"/>
  <c r="D1384" i="1"/>
  <c r="E1384" i="1"/>
  <c r="A1385" i="1"/>
  <c r="B1385" i="1"/>
  <c r="C1385" i="1"/>
  <c r="D1385" i="1"/>
  <c r="E1385" i="1"/>
  <c r="A1386" i="1"/>
  <c r="B1386" i="1"/>
  <c r="C1386" i="1"/>
  <c r="D1386" i="1"/>
  <c r="E1386" i="1"/>
  <c r="A1387" i="1"/>
  <c r="B1387" i="1"/>
  <c r="C1387" i="1"/>
  <c r="D1387" i="1"/>
  <c r="E1387" i="1"/>
  <c r="A1388" i="1"/>
  <c r="B1388" i="1"/>
  <c r="C1388" i="1"/>
  <c r="D1388" i="1"/>
  <c r="E1388" i="1"/>
  <c r="A1389" i="1"/>
  <c r="B1389" i="1"/>
  <c r="C1389" i="1"/>
  <c r="D1389" i="1"/>
  <c r="E1389" i="1"/>
  <c r="A1390" i="1"/>
  <c r="B1390" i="1"/>
  <c r="C1390" i="1"/>
  <c r="D1390" i="1"/>
  <c r="E1390" i="1"/>
  <c r="A1391" i="1"/>
  <c r="B1391" i="1"/>
  <c r="C1391" i="1"/>
  <c r="D1391" i="1"/>
  <c r="E1391" i="1"/>
  <c r="A1392" i="1"/>
  <c r="B1392" i="1"/>
  <c r="C1392" i="1"/>
  <c r="D1392" i="1"/>
  <c r="E1392" i="1"/>
  <c r="A1393" i="1"/>
  <c r="B1393" i="1"/>
  <c r="C1393" i="1"/>
  <c r="D1393" i="1"/>
  <c r="E1393" i="1"/>
  <c r="A1394" i="1"/>
  <c r="B1394" i="1"/>
  <c r="C1394" i="1"/>
  <c r="D1394" i="1"/>
  <c r="E1394" i="1"/>
  <c r="A1395" i="1"/>
  <c r="B1395" i="1"/>
  <c r="C1395" i="1"/>
  <c r="D1395" i="1"/>
  <c r="E1395" i="1"/>
  <c r="A1396" i="1"/>
  <c r="B1396" i="1"/>
  <c r="C1396" i="1"/>
  <c r="D1396" i="1"/>
  <c r="E1396" i="1"/>
  <c r="A1397" i="1"/>
  <c r="B1397" i="1"/>
  <c r="C1397" i="1"/>
  <c r="D1397" i="1"/>
  <c r="E1397" i="1"/>
  <c r="A1398" i="1"/>
  <c r="B1398" i="1"/>
  <c r="C1398" i="1"/>
  <c r="D1398" i="1"/>
  <c r="E1398" i="1"/>
  <c r="A1399" i="1"/>
  <c r="B1399" i="1"/>
  <c r="C1399" i="1"/>
  <c r="D1399" i="1"/>
  <c r="E1399" i="1"/>
  <c r="A1400" i="1"/>
  <c r="B1400" i="1"/>
  <c r="C1400" i="1"/>
  <c r="D1400" i="1"/>
  <c r="E1400" i="1"/>
  <c r="A1401" i="1"/>
  <c r="B1401" i="1"/>
  <c r="C1401" i="1"/>
  <c r="D1401" i="1"/>
  <c r="E1401" i="1"/>
  <c r="A1402" i="1"/>
  <c r="B1402" i="1"/>
  <c r="C1402" i="1"/>
  <c r="D1402" i="1"/>
  <c r="E1402" i="1"/>
  <c r="A1403" i="1"/>
  <c r="B1403" i="1"/>
  <c r="C1403" i="1"/>
  <c r="D1403" i="1"/>
  <c r="E1403" i="1"/>
  <c r="A1404" i="1"/>
  <c r="B1404" i="1"/>
  <c r="C1404" i="1"/>
  <c r="D1404" i="1"/>
  <c r="E1404" i="1"/>
  <c r="A1405" i="1"/>
  <c r="B1405" i="1"/>
  <c r="C1405" i="1"/>
  <c r="D1405" i="1"/>
  <c r="E1405" i="1"/>
  <c r="A1406" i="1"/>
  <c r="B1406" i="1"/>
  <c r="C1406" i="1"/>
  <c r="D1406" i="1"/>
  <c r="E1406" i="1"/>
  <c r="A1407" i="1"/>
  <c r="B1407" i="1"/>
  <c r="C1407" i="1"/>
  <c r="D1407" i="1"/>
  <c r="E1407" i="1"/>
  <c r="A1408" i="1"/>
  <c r="B1408" i="1"/>
  <c r="C1408" i="1"/>
  <c r="D1408" i="1"/>
  <c r="E1408" i="1"/>
  <c r="A1409" i="1"/>
  <c r="B1409" i="1"/>
  <c r="C1409" i="1"/>
  <c r="D1409" i="1"/>
  <c r="E1409" i="1"/>
  <c r="A1410" i="1"/>
  <c r="B1410" i="1"/>
  <c r="C1410" i="1"/>
  <c r="D1410" i="1"/>
  <c r="E1410" i="1"/>
  <c r="A1411" i="1"/>
  <c r="B1411" i="1"/>
  <c r="C1411" i="1"/>
  <c r="D1411" i="1"/>
  <c r="E1411" i="1"/>
  <c r="A1412" i="1"/>
  <c r="B1412" i="1"/>
  <c r="C1412" i="1"/>
  <c r="D1412" i="1"/>
  <c r="E1412" i="1"/>
  <c r="A1413" i="1"/>
  <c r="B1413" i="1"/>
  <c r="C1413" i="1"/>
  <c r="D1413" i="1"/>
  <c r="E1413" i="1"/>
  <c r="A1414" i="1"/>
  <c r="B1414" i="1"/>
  <c r="C1414" i="1"/>
  <c r="D1414" i="1"/>
  <c r="E1414" i="1"/>
  <c r="A1415" i="1"/>
  <c r="B1415" i="1"/>
  <c r="C1415" i="1"/>
  <c r="D1415" i="1"/>
  <c r="E1415" i="1"/>
  <c r="A1416" i="1"/>
  <c r="B1416" i="1"/>
  <c r="C1416" i="1"/>
  <c r="D1416" i="1"/>
  <c r="E1416" i="1"/>
  <c r="A1417" i="1"/>
  <c r="B1417" i="1"/>
  <c r="C1417" i="1"/>
  <c r="D1417" i="1"/>
  <c r="E1417" i="1"/>
  <c r="A1418" i="1"/>
  <c r="B1418" i="1"/>
  <c r="C1418" i="1"/>
  <c r="D1418" i="1"/>
  <c r="E1418" i="1"/>
  <c r="A1419" i="1"/>
  <c r="B1419" i="1"/>
  <c r="C1419" i="1"/>
  <c r="D1419" i="1"/>
  <c r="E1419" i="1"/>
  <c r="A1420" i="1"/>
  <c r="B1420" i="1"/>
  <c r="C1420" i="1"/>
  <c r="D1420" i="1"/>
  <c r="E1420" i="1"/>
  <c r="A1421" i="1"/>
  <c r="B1421" i="1"/>
  <c r="C1421" i="1"/>
  <c r="D1421" i="1"/>
  <c r="E1421" i="1"/>
  <c r="A1422" i="1"/>
  <c r="B1422" i="1"/>
  <c r="C1422" i="1"/>
  <c r="D1422" i="1"/>
  <c r="E1422" i="1"/>
  <c r="A1423" i="1"/>
  <c r="B1423" i="1"/>
  <c r="C1423" i="1"/>
  <c r="D1423" i="1"/>
  <c r="E1423" i="1"/>
  <c r="A1424" i="1"/>
  <c r="B1424" i="1"/>
  <c r="C1424" i="1"/>
  <c r="D1424" i="1"/>
  <c r="E1424" i="1"/>
  <c r="A1425" i="1"/>
  <c r="B1425" i="1"/>
  <c r="C1425" i="1"/>
  <c r="D1425" i="1"/>
  <c r="E1425" i="1"/>
  <c r="A1426" i="1"/>
  <c r="B1426" i="1"/>
  <c r="C1426" i="1"/>
  <c r="D1426" i="1"/>
  <c r="E1426" i="1"/>
  <c r="A1427" i="1"/>
  <c r="B1427" i="1"/>
  <c r="C1427" i="1"/>
  <c r="D1427" i="1"/>
  <c r="E1427" i="1"/>
  <c r="A1428" i="1"/>
  <c r="B1428" i="1"/>
  <c r="C1428" i="1"/>
  <c r="D1428" i="1"/>
  <c r="E1428" i="1"/>
  <c r="A1429" i="1"/>
  <c r="B1429" i="1"/>
  <c r="C1429" i="1"/>
  <c r="D1429" i="1"/>
  <c r="E1429" i="1"/>
  <c r="A1430" i="1"/>
  <c r="B1430" i="1"/>
  <c r="C1430" i="1"/>
  <c r="D1430" i="1"/>
  <c r="E1430" i="1"/>
  <c r="A1431" i="1"/>
  <c r="B1431" i="1"/>
  <c r="C1431" i="1"/>
  <c r="D1431" i="1"/>
  <c r="E1431" i="1"/>
  <c r="A1432" i="1"/>
  <c r="B1432" i="1"/>
  <c r="C1432" i="1"/>
  <c r="D1432" i="1"/>
  <c r="E1432" i="1"/>
  <c r="A1433" i="1"/>
  <c r="B1433" i="1"/>
  <c r="C1433" i="1"/>
  <c r="D1433" i="1"/>
  <c r="E1433" i="1"/>
  <c r="A1434" i="1"/>
  <c r="B1434" i="1"/>
  <c r="C1434" i="1"/>
  <c r="D1434" i="1"/>
  <c r="E1434" i="1"/>
  <c r="A1435" i="1"/>
  <c r="B1435" i="1"/>
  <c r="C1435" i="1"/>
  <c r="D1435" i="1"/>
  <c r="E1435" i="1"/>
  <c r="A1436" i="1"/>
  <c r="B1436" i="1"/>
  <c r="C1436" i="1"/>
  <c r="D1436" i="1"/>
  <c r="E1436" i="1"/>
  <c r="A1437" i="1"/>
  <c r="B1437" i="1"/>
  <c r="C1437" i="1"/>
  <c r="D1437" i="1"/>
  <c r="E1437" i="1"/>
  <c r="A1438" i="1"/>
  <c r="B1438" i="1"/>
  <c r="C1438" i="1"/>
  <c r="D1438" i="1"/>
  <c r="E1438" i="1"/>
  <c r="A1439" i="1"/>
  <c r="B1439" i="1"/>
  <c r="C1439" i="1"/>
  <c r="D1439" i="1"/>
  <c r="E1439" i="1"/>
  <c r="A1440" i="1"/>
  <c r="B1440" i="1"/>
  <c r="C1440" i="1"/>
  <c r="D1440" i="1"/>
  <c r="E1440" i="1"/>
  <c r="A1441" i="1"/>
  <c r="B1441" i="1"/>
  <c r="C1441" i="1"/>
  <c r="D1441" i="1"/>
  <c r="E1441" i="1"/>
  <c r="A1442" i="1"/>
  <c r="B1442" i="1"/>
  <c r="C1442" i="1"/>
  <c r="D1442" i="1"/>
  <c r="E1442" i="1"/>
  <c r="A1443" i="1"/>
  <c r="B1443" i="1"/>
  <c r="C1443" i="1"/>
  <c r="D1443" i="1"/>
  <c r="E1443" i="1"/>
  <c r="A1444" i="1"/>
  <c r="B1444" i="1"/>
  <c r="C1444" i="1"/>
  <c r="D1444" i="1"/>
  <c r="E1444" i="1"/>
  <c r="A1445" i="1"/>
  <c r="B1445" i="1"/>
  <c r="C1445" i="1"/>
  <c r="D1445" i="1"/>
  <c r="E1445" i="1"/>
  <c r="A1446" i="1"/>
  <c r="B1446" i="1"/>
  <c r="C1446" i="1"/>
  <c r="D1446" i="1"/>
  <c r="E1446" i="1"/>
  <c r="A1447" i="1"/>
  <c r="B1447" i="1"/>
  <c r="C1447" i="1"/>
  <c r="D1447" i="1"/>
  <c r="E1447" i="1"/>
  <c r="A1448" i="1"/>
  <c r="B1448" i="1"/>
  <c r="C1448" i="1"/>
  <c r="D1448" i="1"/>
  <c r="E1448" i="1"/>
  <c r="A1449" i="1"/>
  <c r="B1449" i="1"/>
  <c r="C1449" i="1"/>
  <c r="D1449" i="1"/>
  <c r="E1449" i="1"/>
  <c r="A1450" i="1"/>
  <c r="B1450" i="1"/>
  <c r="C1450" i="1"/>
  <c r="D1450" i="1"/>
  <c r="E1450" i="1"/>
  <c r="A1451" i="1"/>
  <c r="B1451" i="1"/>
  <c r="C1451" i="1"/>
  <c r="D1451" i="1"/>
  <c r="E1451" i="1"/>
  <c r="A1452" i="1"/>
  <c r="B1452" i="1"/>
  <c r="C1452" i="1"/>
  <c r="D1452" i="1"/>
  <c r="E1452" i="1"/>
  <c r="A1453" i="1"/>
  <c r="B1453" i="1"/>
  <c r="C1453" i="1"/>
  <c r="D1453" i="1"/>
  <c r="E1453" i="1"/>
  <c r="A1454" i="1"/>
  <c r="B1454" i="1"/>
  <c r="C1454" i="1"/>
  <c r="D1454" i="1"/>
  <c r="E1454" i="1"/>
  <c r="A1455" i="1"/>
  <c r="B1455" i="1"/>
  <c r="C1455" i="1"/>
  <c r="D1455" i="1"/>
  <c r="E1455" i="1"/>
  <c r="A1456" i="1"/>
  <c r="B1456" i="1"/>
  <c r="C1456" i="1"/>
  <c r="D1456" i="1"/>
  <c r="E1456" i="1"/>
  <c r="A1457" i="1"/>
  <c r="B1457" i="1"/>
  <c r="C1457" i="1"/>
  <c r="D1457" i="1"/>
  <c r="E1457" i="1"/>
  <c r="A1458" i="1"/>
  <c r="B1458" i="1"/>
  <c r="C1458" i="1"/>
  <c r="D1458" i="1"/>
  <c r="E1458" i="1"/>
  <c r="A1459" i="1"/>
  <c r="B1459" i="1"/>
  <c r="C1459" i="1"/>
  <c r="D1459" i="1"/>
  <c r="E1459" i="1"/>
  <c r="A1460" i="1"/>
  <c r="B1460" i="1"/>
  <c r="C1460" i="1"/>
  <c r="D1460" i="1"/>
  <c r="E1460" i="1"/>
  <c r="A1461" i="1"/>
  <c r="B1461" i="1"/>
  <c r="C1461" i="1"/>
  <c r="D1461" i="1"/>
  <c r="E1461" i="1"/>
  <c r="A1462" i="1"/>
  <c r="B1462" i="1"/>
  <c r="C1462" i="1"/>
  <c r="D1462" i="1"/>
  <c r="E1462" i="1"/>
  <c r="A1463" i="1"/>
  <c r="B1463" i="1"/>
  <c r="C1463" i="1"/>
  <c r="D1463" i="1"/>
  <c r="E1463" i="1"/>
  <c r="A1464" i="1"/>
  <c r="B1464" i="1"/>
  <c r="C1464" i="1"/>
  <c r="D1464" i="1"/>
  <c r="E1464" i="1"/>
  <c r="A1465" i="1"/>
  <c r="B1465" i="1"/>
  <c r="C1465" i="1"/>
  <c r="D1465" i="1"/>
  <c r="E1465" i="1"/>
  <c r="A1466" i="1"/>
  <c r="B1466" i="1"/>
  <c r="C1466" i="1"/>
  <c r="D1466" i="1"/>
  <c r="E1466" i="1"/>
  <c r="A1467" i="1"/>
  <c r="B1467" i="1"/>
  <c r="C1467" i="1"/>
  <c r="D1467" i="1"/>
  <c r="E1467" i="1"/>
  <c r="A1468" i="1"/>
  <c r="B1468" i="1"/>
  <c r="C1468" i="1"/>
  <c r="D1468" i="1"/>
  <c r="E1468" i="1"/>
  <c r="A1469" i="1"/>
  <c r="B1469" i="1"/>
  <c r="C1469" i="1"/>
  <c r="D1469" i="1"/>
  <c r="E1469" i="1"/>
  <c r="A1470" i="1"/>
  <c r="B1470" i="1"/>
  <c r="C1470" i="1"/>
  <c r="D1470" i="1"/>
  <c r="E1470" i="1"/>
  <c r="A1471" i="1"/>
  <c r="B1471" i="1"/>
  <c r="C1471" i="1"/>
  <c r="D1471" i="1"/>
  <c r="E1471" i="1"/>
  <c r="A1472" i="1"/>
  <c r="B1472" i="1"/>
  <c r="C1472" i="1"/>
  <c r="D1472" i="1"/>
  <c r="E1472" i="1"/>
  <c r="A1473" i="1"/>
  <c r="B1473" i="1"/>
  <c r="C1473" i="1"/>
  <c r="D1473" i="1"/>
  <c r="E1473" i="1"/>
  <c r="A1474" i="1"/>
  <c r="B1474" i="1"/>
  <c r="C1474" i="1"/>
  <c r="D1474" i="1"/>
  <c r="E1474" i="1"/>
  <c r="A1475" i="1"/>
  <c r="B1475" i="1"/>
  <c r="C1475" i="1"/>
  <c r="D1475" i="1"/>
  <c r="E1475" i="1"/>
  <c r="A1476" i="1"/>
  <c r="B1476" i="1"/>
  <c r="C1476" i="1"/>
  <c r="D1476" i="1"/>
  <c r="E1476" i="1"/>
  <c r="A1477" i="1"/>
  <c r="B1477" i="1"/>
  <c r="C1477" i="1"/>
  <c r="D1477" i="1"/>
  <c r="E1477" i="1"/>
  <c r="A1478" i="1"/>
  <c r="B1478" i="1"/>
  <c r="C1478" i="1"/>
  <c r="D1478" i="1"/>
  <c r="E1478" i="1"/>
  <c r="A1479" i="1"/>
  <c r="B1479" i="1"/>
  <c r="C1479" i="1"/>
  <c r="D1479" i="1"/>
  <c r="E1479" i="1"/>
  <c r="A1480" i="1"/>
  <c r="B1480" i="1"/>
  <c r="C1480" i="1"/>
  <c r="D1480" i="1"/>
  <c r="E1480" i="1"/>
  <c r="A1481" i="1"/>
  <c r="B1481" i="1"/>
  <c r="C1481" i="1"/>
  <c r="D1481" i="1"/>
  <c r="E1481" i="1"/>
  <c r="A1482" i="1"/>
  <c r="B1482" i="1"/>
  <c r="C1482" i="1"/>
  <c r="D1482" i="1"/>
  <c r="E1482" i="1"/>
  <c r="A1483" i="1"/>
  <c r="B1483" i="1"/>
  <c r="C1483" i="1"/>
  <c r="D1483" i="1"/>
  <c r="E1483" i="1"/>
  <c r="A1484" i="1"/>
  <c r="B1484" i="1"/>
  <c r="C1484" i="1"/>
  <c r="D1484" i="1"/>
  <c r="E1484" i="1"/>
  <c r="A1485" i="1"/>
  <c r="B1485" i="1"/>
  <c r="C1485" i="1"/>
  <c r="D1485" i="1"/>
  <c r="E1485" i="1"/>
  <c r="A1486" i="1"/>
  <c r="B1486" i="1"/>
  <c r="C1486" i="1"/>
  <c r="D1486" i="1"/>
  <c r="E1486" i="1"/>
  <c r="A1487" i="1"/>
  <c r="B1487" i="1"/>
  <c r="C1487" i="1"/>
  <c r="D1487" i="1"/>
  <c r="E1487" i="1"/>
  <c r="A1488" i="1"/>
  <c r="B1488" i="1"/>
  <c r="C1488" i="1"/>
  <c r="D1488" i="1"/>
  <c r="E1488" i="1"/>
  <c r="A1489" i="1"/>
  <c r="B1489" i="1"/>
  <c r="C1489" i="1"/>
  <c r="D1489" i="1"/>
  <c r="E1489" i="1"/>
  <c r="A1490" i="1"/>
  <c r="B1490" i="1"/>
  <c r="C1490" i="1"/>
  <c r="D1490" i="1"/>
  <c r="E1490" i="1"/>
  <c r="A1491" i="1"/>
  <c r="B1491" i="1"/>
  <c r="C1491" i="1"/>
  <c r="D1491" i="1"/>
  <c r="E1491" i="1"/>
  <c r="A1492" i="1"/>
  <c r="B1492" i="1"/>
  <c r="C1492" i="1"/>
  <c r="D1492" i="1"/>
  <c r="E1492" i="1"/>
  <c r="A1493" i="1"/>
  <c r="B1493" i="1"/>
  <c r="C1493" i="1"/>
  <c r="D1493" i="1"/>
  <c r="E1493" i="1"/>
  <c r="A1494" i="1"/>
  <c r="B1494" i="1"/>
  <c r="C1494" i="1"/>
  <c r="D1494" i="1"/>
  <c r="E1494" i="1"/>
  <c r="A1495" i="1"/>
  <c r="B1495" i="1"/>
  <c r="C1495" i="1"/>
  <c r="D1495" i="1"/>
  <c r="E1495" i="1"/>
  <c r="A1496" i="1"/>
  <c r="B1496" i="1"/>
  <c r="C1496" i="1"/>
  <c r="D1496" i="1"/>
  <c r="E1496" i="1"/>
  <c r="A1497" i="1"/>
  <c r="B1497" i="1"/>
  <c r="C1497" i="1"/>
  <c r="D1497" i="1"/>
  <c r="E1497" i="1"/>
  <c r="A1498" i="1"/>
  <c r="B1498" i="1"/>
  <c r="C1498" i="1"/>
  <c r="D1498" i="1"/>
  <c r="E1498" i="1"/>
  <c r="A1499" i="1"/>
  <c r="B1499" i="1"/>
  <c r="C1499" i="1"/>
  <c r="D1499" i="1"/>
  <c r="E1499" i="1"/>
  <c r="A1500" i="1"/>
  <c r="B1500" i="1"/>
  <c r="C1500" i="1"/>
  <c r="D1500" i="1"/>
  <c r="E1500" i="1"/>
  <c r="A1501" i="1"/>
  <c r="B1501" i="1"/>
  <c r="C1501" i="1"/>
  <c r="D1501" i="1"/>
  <c r="E1501" i="1"/>
  <c r="A1502" i="1"/>
  <c r="B1502" i="1"/>
  <c r="C1502" i="1"/>
  <c r="D1502" i="1"/>
  <c r="E1502" i="1"/>
  <c r="A1503" i="1"/>
  <c r="B1503" i="1"/>
  <c r="C1503" i="1"/>
  <c r="D1503" i="1"/>
  <c r="E1503" i="1"/>
  <c r="A1504" i="1"/>
  <c r="B1504" i="1"/>
  <c r="C1504" i="1"/>
  <c r="D1504" i="1"/>
  <c r="E1504" i="1"/>
  <c r="A1505" i="1"/>
  <c r="B1505" i="1"/>
  <c r="C1505" i="1"/>
  <c r="D1505" i="1"/>
  <c r="E1505" i="1"/>
  <c r="A1506" i="1"/>
  <c r="B1506" i="1"/>
  <c r="C1506" i="1"/>
  <c r="D1506" i="1"/>
  <c r="E1506" i="1"/>
  <c r="A1507" i="1"/>
  <c r="B1507" i="1"/>
  <c r="C1507" i="1"/>
  <c r="D1507" i="1"/>
  <c r="E1507" i="1"/>
  <c r="A1508" i="1"/>
  <c r="B1508" i="1"/>
  <c r="C1508" i="1"/>
  <c r="D1508" i="1"/>
  <c r="E1508" i="1"/>
  <c r="A1509" i="1"/>
  <c r="B1509" i="1"/>
  <c r="C1509" i="1"/>
  <c r="D1509" i="1"/>
  <c r="E1509" i="1"/>
  <c r="A1510" i="1"/>
  <c r="B1510" i="1"/>
  <c r="C1510" i="1"/>
  <c r="D1510" i="1"/>
  <c r="E1510" i="1"/>
  <c r="A1511" i="1"/>
  <c r="B1511" i="1"/>
  <c r="C1511" i="1"/>
  <c r="D1511" i="1"/>
  <c r="E1511" i="1"/>
  <c r="A1512" i="1"/>
  <c r="B1512" i="1"/>
  <c r="C1512" i="1"/>
  <c r="D1512" i="1"/>
  <c r="E1512" i="1"/>
  <c r="A1513" i="1"/>
  <c r="B1513" i="1"/>
  <c r="C1513" i="1"/>
  <c r="D1513" i="1"/>
  <c r="E1513" i="1"/>
  <c r="A1514" i="1"/>
  <c r="B1514" i="1"/>
  <c r="C1514" i="1"/>
  <c r="D1514" i="1"/>
  <c r="E1514" i="1"/>
  <c r="A1515" i="1"/>
  <c r="B1515" i="1"/>
  <c r="C1515" i="1"/>
  <c r="D1515" i="1"/>
  <c r="E1515" i="1"/>
  <c r="A1516" i="1"/>
  <c r="B1516" i="1"/>
  <c r="C1516" i="1"/>
  <c r="D1516" i="1"/>
  <c r="E1516" i="1"/>
  <c r="A1517" i="1"/>
  <c r="B1517" i="1"/>
  <c r="C1517" i="1"/>
  <c r="D1517" i="1"/>
  <c r="E1517" i="1"/>
  <c r="A1518" i="1"/>
  <c r="B1518" i="1"/>
  <c r="C1518" i="1"/>
  <c r="D1518" i="1"/>
  <c r="E1518" i="1"/>
  <c r="A1519" i="1"/>
  <c r="B1519" i="1"/>
  <c r="C1519" i="1"/>
  <c r="D1519" i="1"/>
  <c r="E1519" i="1"/>
  <c r="A1520" i="1"/>
  <c r="B1520" i="1"/>
  <c r="C1520" i="1"/>
  <c r="D1520" i="1"/>
  <c r="E1520" i="1"/>
  <c r="A1521" i="1"/>
  <c r="B1521" i="1"/>
  <c r="C1521" i="1"/>
  <c r="D1521" i="1"/>
  <c r="E1521" i="1"/>
  <c r="A1522" i="1"/>
  <c r="B1522" i="1"/>
  <c r="C1522" i="1"/>
  <c r="D1522" i="1"/>
  <c r="E1522" i="1"/>
  <c r="A1523" i="1"/>
  <c r="B1523" i="1"/>
  <c r="C1523" i="1"/>
  <c r="D1523" i="1"/>
  <c r="E1523" i="1"/>
  <c r="A1524" i="1"/>
  <c r="B1524" i="1"/>
  <c r="C1524" i="1"/>
  <c r="D1524" i="1"/>
  <c r="E1524" i="1"/>
  <c r="A1525" i="1"/>
  <c r="B1525" i="1"/>
  <c r="C1525" i="1"/>
  <c r="D1525" i="1"/>
  <c r="E1525" i="1"/>
  <c r="A1526" i="1"/>
  <c r="B1526" i="1"/>
  <c r="C1526" i="1"/>
  <c r="D1526" i="1"/>
  <c r="E1526" i="1"/>
  <c r="A1527" i="1"/>
  <c r="B1527" i="1"/>
  <c r="C1527" i="1"/>
  <c r="D1527" i="1"/>
  <c r="E1527" i="1"/>
  <c r="A1528" i="1"/>
  <c r="B1528" i="1"/>
  <c r="C1528" i="1"/>
  <c r="D1528" i="1"/>
  <c r="E1528" i="1"/>
  <c r="A1529" i="1"/>
  <c r="B1529" i="1"/>
  <c r="C1529" i="1"/>
  <c r="D1529" i="1"/>
  <c r="E1529" i="1"/>
  <c r="A1530" i="1"/>
  <c r="B1530" i="1"/>
  <c r="C1530" i="1"/>
  <c r="D1530" i="1"/>
  <c r="E1530" i="1"/>
  <c r="A1531" i="1"/>
  <c r="B1531" i="1"/>
  <c r="C1531" i="1"/>
  <c r="D1531" i="1"/>
  <c r="E1531" i="1"/>
  <c r="A1532" i="1"/>
  <c r="B1532" i="1"/>
  <c r="C1532" i="1"/>
  <c r="D1532" i="1"/>
  <c r="E1532" i="1"/>
  <c r="A1533" i="1"/>
  <c r="B1533" i="1"/>
  <c r="C1533" i="1"/>
  <c r="D1533" i="1"/>
  <c r="E1533" i="1"/>
  <c r="A1534" i="1"/>
  <c r="B1534" i="1"/>
  <c r="C1534" i="1"/>
  <c r="D1534" i="1"/>
  <c r="E1534" i="1"/>
  <c r="A1535" i="1"/>
  <c r="B1535" i="1"/>
  <c r="C1535" i="1"/>
  <c r="D1535" i="1"/>
  <c r="E1535" i="1"/>
  <c r="A1536" i="1"/>
  <c r="B1536" i="1"/>
  <c r="C1536" i="1"/>
  <c r="D1536" i="1"/>
  <c r="E1536" i="1"/>
  <c r="A1537" i="1"/>
  <c r="B1537" i="1"/>
  <c r="C1537" i="1"/>
  <c r="D1537" i="1"/>
  <c r="E1537" i="1"/>
  <c r="A1538" i="1"/>
  <c r="B1538" i="1"/>
  <c r="C1538" i="1"/>
  <c r="D1538" i="1"/>
  <c r="E1538" i="1"/>
  <c r="A1539" i="1"/>
  <c r="B1539" i="1"/>
  <c r="C1539" i="1"/>
  <c r="D1539" i="1"/>
  <c r="E1539" i="1"/>
  <c r="A1540" i="1"/>
  <c r="B1540" i="1"/>
  <c r="C1540" i="1"/>
  <c r="D1540" i="1"/>
  <c r="E1540" i="1"/>
  <c r="A1541" i="1"/>
  <c r="B1541" i="1"/>
  <c r="C1541" i="1"/>
  <c r="D1541" i="1"/>
  <c r="E1541" i="1"/>
  <c r="A1542" i="1"/>
  <c r="B1542" i="1"/>
  <c r="C1542" i="1"/>
  <c r="D1542" i="1"/>
  <c r="E1542" i="1"/>
  <c r="A1543" i="1"/>
  <c r="B1543" i="1"/>
  <c r="C1543" i="1"/>
  <c r="D1543" i="1"/>
  <c r="E1543" i="1"/>
  <c r="A1544" i="1"/>
  <c r="B1544" i="1"/>
  <c r="C1544" i="1"/>
  <c r="D1544" i="1"/>
  <c r="E1544" i="1"/>
  <c r="A1545" i="1"/>
  <c r="B1545" i="1"/>
  <c r="C1545" i="1"/>
  <c r="D1545" i="1"/>
  <c r="E1545" i="1"/>
  <c r="A1546" i="1"/>
  <c r="B1546" i="1"/>
  <c r="C1546" i="1"/>
  <c r="D1546" i="1"/>
  <c r="E1546" i="1"/>
  <c r="A1547" i="1"/>
  <c r="B1547" i="1"/>
  <c r="C1547" i="1"/>
  <c r="D1547" i="1"/>
  <c r="E1547" i="1"/>
  <c r="A1548" i="1"/>
  <c r="B1548" i="1"/>
  <c r="C1548" i="1"/>
  <c r="D1548" i="1"/>
  <c r="E1548" i="1"/>
  <c r="A1549" i="1"/>
  <c r="B1549" i="1"/>
  <c r="C1549" i="1"/>
  <c r="D1549" i="1"/>
  <c r="E1549" i="1"/>
  <c r="A1550" i="1"/>
  <c r="B1550" i="1"/>
  <c r="C1550" i="1"/>
  <c r="D1550" i="1"/>
  <c r="E1550" i="1"/>
  <c r="A1551" i="1"/>
  <c r="B1551" i="1"/>
  <c r="C1551" i="1"/>
  <c r="D1551" i="1"/>
  <c r="E1551" i="1"/>
  <c r="A1552" i="1"/>
  <c r="B1552" i="1"/>
  <c r="C1552" i="1"/>
  <c r="D1552" i="1"/>
  <c r="E1552" i="1"/>
  <c r="A1553" i="1"/>
  <c r="B1553" i="1"/>
  <c r="C1553" i="1"/>
  <c r="D1553" i="1"/>
  <c r="E1553" i="1"/>
  <c r="A1554" i="1"/>
  <c r="B1554" i="1"/>
  <c r="C1554" i="1"/>
  <c r="D1554" i="1"/>
  <c r="E1554" i="1"/>
  <c r="A1555" i="1"/>
  <c r="B1555" i="1"/>
  <c r="C1555" i="1"/>
  <c r="D1555" i="1"/>
  <c r="E1555" i="1"/>
  <c r="A1556" i="1"/>
  <c r="B1556" i="1"/>
  <c r="C1556" i="1"/>
  <c r="D1556" i="1"/>
  <c r="E1556" i="1"/>
  <c r="A1557" i="1"/>
  <c r="B1557" i="1"/>
  <c r="C1557" i="1"/>
  <c r="D1557" i="1"/>
  <c r="E1557" i="1"/>
  <c r="A1558" i="1"/>
  <c r="B1558" i="1"/>
  <c r="C1558" i="1"/>
  <c r="D1558" i="1"/>
  <c r="E1558" i="1"/>
  <c r="A1559" i="1"/>
  <c r="B1559" i="1"/>
  <c r="C1559" i="1"/>
  <c r="D1559" i="1"/>
  <c r="E1559" i="1"/>
  <c r="A1560" i="1"/>
  <c r="B1560" i="1"/>
  <c r="C1560" i="1"/>
  <c r="D1560" i="1"/>
  <c r="E1560" i="1"/>
  <c r="A1561" i="1"/>
  <c r="B1561" i="1"/>
  <c r="C1561" i="1"/>
  <c r="D1561" i="1"/>
  <c r="E1561" i="1"/>
  <c r="A1562" i="1"/>
  <c r="B1562" i="1"/>
  <c r="C1562" i="1"/>
  <c r="D1562" i="1"/>
  <c r="E1562" i="1"/>
  <c r="A1563" i="1"/>
  <c r="B1563" i="1"/>
  <c r="C1563" i="1"/>
  <c r="D1563" i="1"/>
  <c r="E1563" i="1"/>
  <c r="A1564" i="1"/>
  <c r="B1564" i="1"/>
  <c r="C1564" i="1"/>
  <c r="D1564" i="1"/>
  <c r="E1564" i="1"/>
  <c r="A1565" i="1"/>
  <c r="B1565" i="1"/>
  <c r="C1565" i="1"/>
  <c r="D1565" i="1"/>
  <c r="E1565" i="1"/>
  <c r="A1566" i="1"/>
  <c r="B1566" i="1"/>
  <c r="C1566" i="1"/>
  <c r="D1566" i="1"/>
  <c r="E1566" i="1"/>
  <c r="A1567" i="1"/>
  <c r="B1567" i="1"/>
  <c r="C1567" i="1"/>
  <c r="D1567" i="1"/>
  <c r="E1567" i="1"/>
  <c r="A1568" i="1"/>
  <c r="B1568" i="1"/>
  <c r="C1568" i="1"/>
  <c r="D1568" i="1"/>
  <c r="E1568" i="1"/>
  <c r="A1569" i="1"/>
  <c r="B1569" i="1"/>
  <c r="C1569" i="1"/>
  <c r="D1569" i="1"/>
  <c r="E1569" i="1"/>
  <c r="A1570" i="1"/>
  <c r="B1570" i="1"/>
  <c r="C1570" i="1"/>
  <c r="D1570" i="1"/>
  <c r="E1570" i="1"/>
  <c r="A1571" i="1"/>
  <c r="B1571" i="1"/>
  <c r="C1571" i="1"/>
  <c r="D1571" i="1"/>
  <c r="E1571" i="1"/>
  <c r="A1572" i="1"/>
  <c r="B1572" i="1"/>
  <c r="C1572" i="1"/>
  <c r="D1572" i="1"/>
  <c r="E1572" i="1"/>
  <c r="A1573" i="1"/>
  <c r="B1573" i="1"/>
  <c r="C1573" i="1"/>
  <c r="D1573" i="1"/>
  <c r="E1573" i="1"/>
  <c r="A1574" i="1"/>
  <c r="B1574" i="1"/>
  <c r="C1574" i="1"/>
  <c r="D1574" i="1"/>
  <c r="E1574" i="1"/>
  <c r="A1575" i="1"/>
  <c r="B1575" i="1"/>
  <c r="C1575" i="1"/>
  <c r="D1575" i="1"/>
  <c r="E1575" i="1"/>
  <c r="A1576" i="1"/>
  <c r="B1576" i="1"/>
  <c r="C1576" i="1"/>
  <c r="D1576" i="1"/>
  <c r="E1576" i="1"/>
  <c r="A1577" i="1"/>
  <c r="B1577" i="1"/>
  <c r="C1577" i="1"/>
  <c r="D1577" i="1"/>
  <c r="E1577" i="1"/>
  <c r="A1578" i="1"/>
  <c r="B1578" i="1"/>
  <c r="C1578" i="1"/>
  <c r="D1578" i="1"/>
  <c r="E1578" i="1"/>
  <c r="A1579" i="1"/>
  <c r="B1579" i="1"/>
  <c r="C1579" i="1"/>
  <c r="D1579" i="1"/>
  <c r="E1579" i="1"/>
  <c r="A1580" i="1"/>
  <c r="B1580" i="1"/>
  <c r="C1580" i="1"/>
  <c r="D1580" i="1"/>
  <c r="E1580" i="1"/>
  <c r="A1581" i="1"/>
  <c r="B1581" i="1"/>
  <c r="C1581" i="1"/>
  <c r="D1581" i="1"/>
  <c r="E1581" i="1"/>
  <c r="A1582" i="1"/>
  <c r="B1582" i="1"/>
  <c r="C1582" i="1"/>
  <c r="D1582" i="1"/>
  <c r="E1582" i="1"/>
  <c r="A1583" i="1"/>
  <c r="B1583" i="1"/>
  <c r="C1583" i="1"/>
  <c r="D1583" i="1"/>
  <c r="E1583" i="1"/>
  <c r="A1584" i="1"/>
  <c r="B1584" i="1"/>
  <c r="C1584" i="1"/>
  <c r="D1584" i="1"/>
  <c r="E1584" i="1"/>
  <c r="A1585" i="1"/>
  <c r="B1585" i="1"/>
  <c r="C1585" i="1"/>
  <c r="D1585" i="1"/>
  <c r="E1585" i="1"/>
  <c r="A1586" i="1"/>
  <c r="B1586" i="1"/>
  <c r="C1586" i="1"/>
  <c r="D1586" i="1"/>
  <c r="E1586" i="1"/>
  <c r="A1587" i="1"/>
  <c r="B1587" i="1"/>
  <c r="C1587" i="1"/>
  <c r="D1587" i="1"/>
  <c r="E1587" i="1"/>
  <c r="A1588" i="1"/>
  <c r="B1588" i="1"/>
  <c r="C1588" i="1"/>
  <c r="D1588" i="1"/>
  <c r="E1588" i="1"/>
  <c r="A1589" i="1"/>
  <c r="B1589" i="1"/>
  <c r="C1589" i="1"/>
  <c r="D1589" i="1"/>
  <c r="E1589" i="1"/>
  <c r="A1590" i="1"/>
  <c r="B1590" i="1"/>
  <c r="C1590" i="1"/>
  <c r="D1590" i="1"/>
  <c r="E1590" i="1"/>
  <c r="A1591" i="1"/>
  <c r="B1591" i="1"/>
  <c r="C1591" i="1"/>
  <c r="D1591" i="1"/>
  <c r="E1591" i="1"/>
  <c r="A1592" i="1"/>
  <c r="B1592" i="1"/>
  <c r="C1592" i="1"/>
  <c r="D1592" i="1"/>
  <c r="E1592" i="1"/>
  <c r="A1593" i="1"/>
  <c r="B1593" i="1"/>
  <c r="C1593" i="1"/>
  <c r="D1593" i="1"/>
  <c r="E1593" i="1"/>
  <c r="A1594" i="1"/>
  <c r="B1594" i="1"/>
  <c r="C1594" i="1"/>
  <c r="D1594" i="1"/>
  <c r="E1594" i="1"/>
  <c r="A1595" i="1"/>
  <c r="B1595" i="1"/>
  <c r="C1595" i="1"/>
  <c r="D1595" i="1"/>
  <c r="E1595" i="1"/>
  <c r="A1596" i="1"/>
  <c r="B1596" i="1"/>
  <c r="C1596" i="1"/>
  <c r="D1596" i="1"/>
  <c r="E1596" i="1"/>
  <c r="A1597" i="1"/>
  <c r="B1597" i="1"/>
  <c r="C1597" i="1"/>
  <c r="D1597" i="1"/>
  <c r="E1597" i="1"/>
  <c r="A1598" i="1"/>
  <c r="B1598" i="1"/>
  <c r="C1598" i="1"/>
  <c r="D1598" i="1"/>
  <c r="E1598" i="1"/>
  <c r="A1599" i="1"/>
  <c r="B1599" i="1"/>
  <c r="C1599" i="1"/>
  <c r="D1599" i="1"/>
  <c r="E1599" i="1"/>
  <c r="A1600" i="1"/>
  <c r="B1600" i="1"/>
  <c r="C1600" i="1"/>
  <c r="D1600" i="1"/>
  <c r="E1600" i="1"/>
  <c r="A1601" i="1"/>
  <c r="B1601" i="1"/>
  <c r="C1601" i="1"/>
  <c r="D1601" i="1"/>
  <c r="E1601" i="1"/>
  <c r="A1602" i="1"/>
  <c r="B1602" i="1"/>
  <c r="C1602" i="1"/>
  <c r="D1602" i="1"/>
  <c r="E1602" i="1"/>
  <c r="A1603" i="1"/>
  <c r="B1603" i="1"/>
  <c r="C1603" i="1"/>
  <c r="D1603" i="1"/>
  <c r="E1603" i="1"/>
  <c r="A1604" i="1"/>
  <c r="B1604" i="1"/>
  <c r="C1604" i="1"/>
  <c r="D1604" i="1"/>
  <c r="E1604" i="1"/>
  <c r="A1605" i="1"/>
  <c r="B1605" i="1"/>
  <c r="C1605" i="1"/>
  <c r="D1605" i="1"/>
  <c r="E1605" i="1"/>
  <c r="A1606" i="1"/>
  <c r="B1606" i="1"/>
  <c r="C1606" i="1"/>
  <c r="D1606" i="1"/>
  <c r="E1606" i="1"/>
  <c r="A1607" i="1"/>
  <c r="B1607" i="1"/>
  <c r="C1607" i="1"/>
  <c r="D1607" i="1"/>
  <c r="E1607" i="1"/>
  <c r="A1608" i="1"/>
  <c r="B1608" i="1"/>
  <c r="C1608" i="1"/>
  <c r="D1608" i="1"/>
  <c r="E1608" i="1"/>
  <c r="A1609" i="1"/>
  <c r="B1609" i="1"/>
  <c r="C1609" i="1"/>
  <c r="D1609" i="1"/>
  <c r="E1609" i="1"/>
  <c r="A1610" i="1"/>
  <c r="B1610" i="1"/>
  <c r="C1610" i="1"/>
  <c r="D1610" i="1"/>
  <c r="E1610" i="1"/>
  <c r="A1611" i="1"/>
  <c r="B1611" i="1"/>
  <c r="C1611" i="1"/>
  <c r="D1611" i="1"/>
  <c r="E1611" i="1"/>
  <c r="A1612" i="1"/>
  <c r="B1612" i="1"/>
  <c r="C1612" i="1"/>
  <c r="D1612" i="1"/>
  <c r="E1612" i="1"/>
  <c r="A1613" i="1"/>
  <c r="B1613" i="1"/>
  <c r="C1613" i="1"/>
  <c r="D1613" i="1"/>
  <c r="E1613" i="1"/>
  <c r="A1614" i="1"/>
  <c r="B1614" i="1"/>
  <c r="C1614" i="1"/>
  <c r="D1614" i="1"/>
  <c r="E1614" i="1"/>
  <c r="A1615" i="1"/>
  <c r="B1615" i="1"/>
  <c r="C1615" i="1"/>
  <c r="D1615" i="1"/>
  <c r="E1615" i="1"/>
  <c r="A1616" i="1"/>
  <c r="B1616" i="1"/>
  <c r="C1616" i="1"/>
  <c r="D1616" i="1"/>
  <c r="E1616" i="1"/>
  <c r="A1617" i="1"/>
  <c r="B1617" i="1"/>
  <c r="C1617" i="1"/>
  <c r="D1617" i="1"/>
  <c r="E1617" i="1"/>
  <c r="A1618" i="1"/>
  <c r="B1618" i="1"/>
  <c r="C1618" i="1"/>
  <c r="D1618" i="1"/>
  <c r="E1618" i="1"/>
  <c r="A1619" i="1"/>
  <c r="B1619" i="1"/>
  <c r="C1619" i="1"/>
  <c r="D1619" i="1"/>
  <c r="E1619" i="1"/>
  <c r="A1620" i="1"/>
  <c r="B1620" i="1"/>
  <c r="C1620" i="1"/>
  <c r="D1620" i="1"/>
  <c r="E1620" i="1"/>
  <c r="A1621" i="1"/>
  <c r="B1621" i="1"/>
  <c r="C1621" i="1"/>
  <c r="D1621" i="1"/>
  <c r="E1621" i="1"/>
  <c r="A1622" i="1"/>
  <c r="B1622" i="1"/>
  <c r="C1622" i="1"/>
  <c r="D1622" i="1"/>
  <c r="E1622" i="1"/>
  <c r="A1623" i="1"/>
  <c r="B1623" i="1"/>
  <c r="C1623" i="1"/>
  <c r="D1623" i="1"/>
  <c r="E1623" i="1"/>
  <c r="A1624" i="1"/>
  <c r="B1624" i="1"/>
  <c r="C1624" i="1"/>
  <c r="D1624" i="1"/>
  <c r="E1624" i="1"/>
  <c r="A1625" i="1"/>
  <c r="B1625" i="1"/>
  <c r="C1625" i="1"/>
  <c r="D1625" i="1"/>
  <c r="E1625" i="1"/>
  <c r="A1626" i="1"/>
  <c r="B1626" i="1"/>
  <c r="C1626" i="1"/>
  <c r="D1626" i="1"/>
  <c r="E1626" i="1"/>
  <c r="A1627" i="1"/>
  <c r="B1627" i="1"/>
  <c r="C1627" i="1"/>
  <c r="D1627" i="1"/>
  <c r="E1627" i="1"/>
  <c r="A1628" i="1"/>
  <c r="B1628" i="1"/>
  <c r="C1628" i="1"/>
  <c r="D1628" i="1"/>
  <c r="E1628" i="1"/>
  <c r="A1629" i="1"/>
  <c r="B1629" i="1"/>
  <c r="C1629" i="1"/>
  <c r="D1629" i="1"/>
  <c r="E1629" i="1"/>
  <c r="A1630" i="1"/>
  <c r="B1630" i="1"/>
  <c r="C1630" i="1"/>
  <c r="D1630" i="1"/>
  <c r="E1630" i="1"/>
  <c r="A1631" i="1"/>
  <c r="B1631" i="1"/>
  <c r="C1631" i="1"/>
  <c r="D1631" i="1"/>
  <c r="E1631" i="1"/>
  <c r="A1632" i="1"/>
  <c r="B1632" i="1"/>
  <c r="C1632" i="1"/>
  <c r="D1632" i="1"/>
  <c r="E1632" i="1"/>
  <c r="A1633" i="1"/>
  <c r="B1633" i="1"/>
  <c r="C1633" i="1"/>
  <c r="D1633" i="1"/>
  <c r="E1633" i="1"/>
  <c r="A1634" i="1"/>
  <c r="B1634" i="1"/>
  <c r="C1634" i="1"/>
  <c r="D1634" i="1"/>
  <c r="E1634" i="1"/>
  <c r="A1635" i="1"/>
  <c r="B1635" i="1"/>
  <c r="C1635" i="1"/>
  <c r="D1635" i="1"/>
  <c r="E1635" i="1"/>
  <c r="A1636" i="1"/>
  <c r="B1636" i="1"/>
  <c r="C1636" i="1"/>
  <c r="D1636" i="1"/>
  <c r="E1636" i="1"/>
  <c r="A1637" i="1"/>
  <c r="B1637" i="1"/>
  <c r="C1637" i="1"/>
  <c r="D1637" i="1"/>
  <c r="E1637" i="1"/>
  <c r="A1638" i="1"/>
  <c r="B1638" i="1"/>
  <c r="C1638" i="1"/>
  <c r="D1638" i="1"/>
  <c r="E1638" i="1"/>
  <c r="A1639" i="1"/>
  <c r="B1639" i="1"/>
  <c r="C1639" i="1"/>
  <c r="D1639" i="1"/>
  <c r="E1639" i="1"/>
  <c r="A1640" i="1"/>
  <c r="B1640" i="1"/>
  <c r="C1640" i="1"/>
  <c r="D1640" i="1"/>
  <c r="E1640" i="1"/>
  <c r="A1641" i="1"/>
  <c r="B1641" i="1"/>
  <c r="C1641" i="1"/>
  <c r="D1641" i="1"/>
  <c r="E1641" i="1"/>
  <c r="A1642" i="1"/>
  <c r="B1642" i="1"/>
  <c r="C1642" i="1"/>
  <c r="D1642" i="1"/>
  <c r="E1642" i="1"/>
  <c r="A1643" i="1"/>
  <c r="B1643" i="1"/>
  <c r="C1643" i="1"/>
  <c r="D1643" i="1"/>
  <c r="E1643" i="1"/>
  <c r="A1644" i="1"/>
  <c r="B1644" i="1"/>
  <c r="C1644" i="1"/>
  <c r="D1644" i="1"/>
  <c r="E1644" i="1"/>
  <c r="A1645" i="1"/>
  <c r="B1645" i="1"/>
  <c r="C1645" i="1"/>
  <c r="D1645" i="1"/>
  <c r="E1645" i="1"/>
  <c r="A1646" i="1"/>
  <c r="B1646" i="1"/>
  <c r="C1646" i="1"/>
  <c r="D1646" i="1"/>
  <c r="E1646" i="1"/>
  <c r="A1647" i="1"/>
  <c r="B1647" i="1"/>
  <c r="C1647" i="1"/>
  <c r="D1647" i="1"/>
  <c r="E1647" i="1"/>
  <c r="A1648" i="1"/>
  <c r="B1648" i="1"/>
  <c r="C1648" i="1"/>
  <c r="D1648" i="1"/>
  <c r="E1648" i="1"/>
  <c r="A1649" i="1"/>
  <c r="B1649" i="1"/>
  <c r="C1649" i="1"/>
  <c r="D1649" i="1"/>
  <c r="E1649" i="1"/>
  <c r="A1650" i="1"/>
  <c r="B1650" i="1"/>
  <c r="C1650" i="1"/>
  <c r="D1650" i="1"/>
  <c r="E1650" i="1"/>
  <c r="A1651" i="1"/>
  <c r="B1651" i="1"/>
  <c r="C1651" i="1"/>
  <c r="D1651" i="1"/>
  <c r="E1651" i="1"/>
  <c r="A1652" i="1"/>
  <c r="B1652" i="1"/>
  <c r="C1652" i="1"/>
  <c r="D1652" i="1"/>
  <c r="E1652" i="1"/>
  <c r="A1653" i="1"/>
  <c r="B1653" i="1"/>
  <c r="C1653" i="1"/>
  <c r="D1653" i="1"/>
  <c r="E1653" i="1"/>
  <c r="A1654" i="1"/>
  <c r="B1654" i="1"/>
  <c r="C1654" i="1"/>
  <c r="D1654" i="1"/>
  <c r="E1654" i="1"/>
  <c r="A1655" i="1"/>
  <c r="B1655" i="1"/>
  <c r="C1655" i="1"/>
  <c r="D1655" i="1"/>
  <c r="E1655" i="1"/>
  <c r="A1656" i="1"/>
  <c r="B1656" i="1"/>
  <c r="C1656" i="1"/>
  <c r="D1656" i="1"/>
  <c r="E1656" i="1"/>
  <c r="A1657" i="1"/>
  <c r="B1657" i="1"/>
  <c r="C1657" i="1"/>
  <c r="D1657" i="1"/>
  <c r="E1657" i="1"/>
  <c r="A1658" i="1"/>
  <c r="B1658" i="1"/>
  <c r="C1658" i="1"/>
  <c r="D1658" i="1"/>
  <c r="E1658" i="1"/>
  <c r="A1659" i="1"/>
  <c r="B1659" i="1"/>
  <c r="C1659" i="1"/>
  <c r="D1659" i="1"/>
  <c r="E1659" i="1"/>
  <c r="A1660" i="1"/>
  <c r="B1660" i="1"/>
  <c r="C1660" i="1"/>
  <c r="D1660" i="1"/>
  <c r="E1660" i="1"/>
  <c r="A1661" i="1"/>
  <c r="B1661" i="1"/>
  <c r="C1661" i="1"/>
  <c r="D1661" i="1"/>
  <c r="E1661" i="1"/>
  <c r="A1662" i="1"/>
  <c r="B1662" i="1"/>
  <c r="C1662" i="1"/>
  <c r="D1662" i="1"/>
  <c r="E1662" i="1"/>
  <c r="A1663" i="1"/>
  <c r="B1663" i="1"/>
  <c r="C1663" i="1"/>
  <c r="D1663" i="1"/>
  <c r="E1663" i="1"/>
  <c r="A1664" i="1"/>
  <c r="B1664" i="1"/>
  <c r="C1664" i="1"/>
  <c r="D1664" i="1"/>
  <c r="E1664" i="1"/>
  <c r="A1665" i="1"/>
  <c r="B1665" i="1"/>
  <c r="C1665" i="1"/>
  <c r="D1665" i="1"/>
  <c r="E1665" i="1"/>
  <c r="A1666" i="1"/>
  <c r="B1666" i="1"/>
  <c r="C1666" i="1"/>
  <c r="D1666" i="1"/>
  <c r="E1666" i="1"/>
  <c r="A1667" i="1"/>
  <c r="B1667" i="1"/>
  <c r="C1667" i="1"/>
  <c r="D1667" i="1"/>
  <c r="E1667" i="1"/>
  <c r="A1668" i="1"/>
  <c r="B1668" i="1"/>
  <c r="C1668" i="1"/>
  <c r="D1668" i="1"/>
  <c r="E1668" i="1"/>
  <c r="A1669" i="1"/>
  <c r="B1669" i="1"/>
  <c r="C1669" i="1"/>
  <c r="D1669" i="1"/>
  <c r="E1669" i="1"/>
  <c r="A1670" i="1"/>
  <c r="B1670" i="1"/>
  <c r="C1670" i="1"/>
  <c r="D1670" i="1"/>
  <c r="E1670" i="1"/>
  <c r="A1671" i="1"/>
  <c r="B1671" i="1"/>
  <c r="C1671" i="1"/>
  <c r="D1671" i="1"/>
  <c r="E1671" i="1"/>
  <c r="A1672" i="1"/>
  <c r="B1672" i="1"/>
  <c r="C1672" i="1"/>
  <c r="D1672" i="1"/>
  <c r="E1672" i="1"/>
  <c r="A1673" i="1"/>
  <c r="B1673" i="1"/>
  <c r="C1673" i="1"/>
  <c r="D1673" i="1"/>
  <c r="E1673" i="1"/>
  <c r="A1674" i="1"/>
  <c r="B1674" i="1"/>
  <c r="C1674" i="1"/>
  <c r="D1674" i="1"/>
  <c r="E1674" i="1"/>
  <c r="A1675" i="1"/>
  <c r="B1675" i="1"/>
  <c r="C1675" i="1"/>
  <c r="D1675" i="1"/>
  <c r="E1675" i="1"/>
  <c r="A1676" i="1"/>
  <c r="B1676" i="1"/>
  <c r="C1676" i="1"/>
  <c r="D1676" i="1"/>
  <c r="E1676" i="1"/>
  <c r="A1677" i="1"/>
  <c r="B1677" i="1"/>
  <c r="C1677" i="1"/>
  <c r="D1677" i="1"/>
  <c r="E1677" i="1"/>
  <c r="A1678" i="1"/>
  <c r="B1678" i="1"/>
  <c r="C1678" i="1"/>
  <c r="D1678" i="1"/>
  <c r="E1678" i="1"/>
  <c r="A1679" i="1"/>
  <c r="B1679" i="1"/>
  <c r="C1679" i="1"/>
  <c r="D1679" i="1"/>
  <c r="E1679" i="1"/>
  <c r="A1680" i="1"/>
  <c r="B1680" i="1"/>
  <c r="C1680" i="1"/>
  <c r="D1680" i="1"/>
  <c r="E1680" i="1"/>
  <c r="A1681" i="1"/>
  <c r="B1681" i="1"/>
  <c r="C1681" i="1"/>
  <c r="D1681" i="1"/>
  <c r="E1681" i="1"/>
  <c r="A1682" i="1"/>
  <c r="B1682" i="1"/>
  <c r="C1682" i="1"/>
  <c r="D1682" i="1"/>
  <c r="E1682" i="1"/>
  <c r="A1683" i="1"/>
  <c r="B1683" i="1"/>
  <c r="C1683" i="1"/>
  <c r="D1683" i="1"/>
  <c r="E1683" i="1"/>
  <c r="A1684" i="1"/>
  <c r="B1684" i="1"/>
  <c r="C1684" i="1"/>
  <c r="D1684" i="1"/>
  <c r="E1684" i="1"/>
  <c r="A1685" i="1"/>
  <c r="B1685" i="1"/>
  <c r="C1685" i="1"/>
  <c r="D1685" i="1"/>
  <c r="E1685" i="1"/>
  <c r="A1686" i="1"/>
  <c r="B1686" i="1"/>
  <c r="C1686" i="1"/>
  <c r="D1686" i="1"/>
  <c r="E1686" i="1"/>
  <c r="A1687" i="1"/>
  <c r="B1687" i="1"/>
  <c r="C1687" i="1"/>
  <c r="D1687" i="1"/>
  <c r="E1687" i="1"/>
  <c r="A1688" i="1"/>
  <c r="B1688" i="1"/>
  <c r="C1688" i="1"/>
  <c r="D1688" i="1"/>
  <c r="E1688" i="1"/>
  <c r="A1689" i="1"/>
  <c r="B1689" i="1"/>
  <c r="C1689" i="1"/>
  <c r="D1689" i="1"/>
  <c r="E1689" i="1"/>
  <c r="A1690" i="1"/>
  <c r="B1690" i="1"/>
  <c r="C1690" i="1"/>
  <c r="D1690" i="1"/>
  <c r="E1690" i="1"/>
  <c r="A1691" i="1"/>
  <c r="B1691" i="1"/>
  <c r="C1691" i="1"/>
  <c r="D1691" i="1"/>
  <c r="E1691" i="1"/>
  <c r="A1692" i="1"/>
  <c r="B1692" i="1"/>
  <c r="C1692" i="1"/>
  <c r="D1692" i="1"/>
  <c r="E1692" i="1"/>
  <c r="A1693" i="1"/>
  <c r="B1693" i="1"/>
  <c r="C1693" i="1"/>
  <c r="D1693" i="1"/>
  <c r="E1693" i="1"/>
  <c r="A1694" i="1"/>
  <c r="B1694" i="1"/>
  <c r="C1694" i="1"/>
  <c r="D1694" i="1"/>
  <c r="E1694" i="1"/>
  <c r="A1695" i="1"/>
  <c r="B1695" i="1"/>
  <c r="C1695" i="1"/>
  <c r="D1695" i="1"/>
  <c r="E1695" i="1"/>
  <c r="A1696" i="1"/>
  <c r="B1696" i="1"/>
  <c r="C1696" i="1"/>
  <c r="D1696" i="1"/>
  <c r="E1696" i="1"/>
  <c r="A1697" i="1"/>
  <c r="B1697" i="1"/>
  <c r="C1697" i="1"/>
  <c r="D1697" i="1"/>
  <c r="E1697" i="1"/>
  <c r="A1698" i="1"/>
  <c r="B1698" i="1"/>
  <c r="C1698" i="1"/>
  <c r="D1698" i="1"/>
  <c r="E1698" i="1"/>
  <c r="A1699" i="1"/>
  <c r="B1699" i="1"/>
  <c r="C1699" i="1"/>
  <c r="D1699" i="1"/>
  <c r="E1699" i="1"/>
  <c r="A1700" i="1"/>
  <c r="B1700" i="1"/>
  <c r="C1700" i="1"/>
  <c r="D1700" i="1"/>
  <c r="E1700" i="1"/>
  <c r="A1701" i="1"/>
  <c r="B1701" i="1"/>
  <c r="C1701" i="1"/>
  <c r="D1701" i="1"/>
  <c r="E1701" i="1"/>
  <c r="A1702" i="1"/>
  <c r="B1702" i="1"/>
  <c r="C1702" i="1"/>
  <c r="D1702" i="1"/>
  <c r="E1702" i="1"/>
  <c r="A1703" i="1"/>
  <c r="B1703" i="1"/>
  <c r="C1703" i="1"/>
  <c r="D1703" i="1"/>
  <c r="E1703" i="1"/>
  <c r="A1704" i="1"/>
  <c r="B1704" i="1"/>
  <c r="C1704" i="1"/>
  <c r="D1704" i="1"/>
  <c r="E1704" i="1"/>
  <c r="A1705" i="1"/>
  <c r="B1705" i="1"/>
  <c r="C1705" i="1"/>
  <c r="D1705" i="1"/>
  <c r="E1705" i="1"/>
  <c r="A1706" i="1"/>
  <c r="B1706" i="1"/>
  <c r="C1706" i="1"/>
  <c r="D1706" i="1"/>
  <c r="E1706" i="1"/>
  <c r="A1707" i="1"/>
  <c r="B1707" i="1"/>
  <c r="C1707" i="1"/>
  <c r="D1707" i="1"/>
  <c r="E1707" i="1"/>
  <c r="A1708" i="1"/>
  <c r="B1708" i="1"/>
  <c r="C1708" i="1"/>
  <c r="D1708" i="1"/>
  <c r="E1708" i="1"/>
  <c r="A1709" i="1"/>
  <c r="B1709" i="1"/>
  <c r="C1709" i="1"/>
  <c r="D1709" i="1"/>
  <c r="E1709" i="1"/>
  <c r="A1710" i="1"/>
  <c r="B1710" i="1"/>
  <c r="C1710" i="1"/>
  <c r="D1710" i="1"/>
  <c r="E1710" i="1"/>
  <c r="A1711" i="1"/>
  <c r="B1711" i="1"/>
  <c r="C1711" i="1"/>
  <c r="D1711" i="1"/>
  <c r="E1711" i="1"/>
  <c r="A1712" i="1"/>
  <c r="B1712" i="1"/>
  <c r="C1712" i="1"/>
  <c r="D1712" i="1"/>
  <c r="E1712" i="1"/>
  <c r="A1713" i="1"/>
  <c r="B1713" i="1"/>
  <c r="C1713" i="1"/>
  <c r="D1713" i="1"/>
  <c r="E1713" i="1"/>
  <c r="A1714" i="1"/>
  <c r="B1714" i="1"/>
  <c r="C1714" i="1"/>
  <c r="D1714" i="1"/>
  <c r="E1714" i="1"/>
  <c r="A1715" i="1"/>
  <c r="B1715" i="1"/>
  <c r="C1715" i="1"/>
  <c r="D1715" i="1"/>
  <c r="E1715" i="1"/>
  <c r="A1716" i="1"/>
  <c r="B1716" i="1"/>
  <c r="C1716" i="1"/>
  <c r="D1716" i="1"/>
  <c r="E1716" i="1"/>
  <c r="A1717" i="1"/>
  <c r="B1717" i="1"/>
  <c r="C1717" i="1"/>
  <c r="D1717" i="1"/>
  <c r="E1717" i="1"/>
  <c r="A1718" i="1"/>
  <c r="B1718" i="1"/>
  <c r="C1718" i="1"/>
  <c r="D1718" i="1"/>
  <c r="E1718" i="1"/>
  <c r="A1719" i="1"/>
  <c r="B1719" i="1"/>
  <c r="C1719" i="1"/>
  <c r="D1719" i="1"/>
  <c r="E1719" i="1"/>
  <c r="A1720" i="1"/>
  <c r="B1720" i="1"/>
  <c r="C1720" i="1"/>
  <c r="D1720" i="1"/>
  <c r="E1720" i="1"/>
  <c r="A1721" i="1"/>
  <c r="B1721" i="1"/>
  <c r="C1721" i="1"/>
  <c r="D1721" i="1"/>
  <c r="E1721" i="1"/>
  <c r="A1722" i="1"/>
  <c r="B1722" i="1"/>
  <c r="C1722" i="1"/>
  <c r="D1722" i="1"/>
  <c r="E1722" i="1"/>
  <c r="A1723" i="1"/>
  <c r="B1723" i="1"/>
  <c r="C1723" i="1"/>
  <c r="D1723" i="1"/>
  <c r="E1723" i="1"/>
  <c r="A1724" i="1"/>
  <c r="B1724" i="1"/>
  <c r="C1724" i="1"/>
  <c r="D1724" i="1"/>
  <c r="E1724" i="1"/>
  <c r="A1725" i="1"/>
  <c r="B1725" i="1"/>
  <c r="C1725" i="1"/>
  <c r="D1725" i="1"/>
  <c r="E1725" i="1"/>
  <c r="A1726" i="1"/>
  <c r="B1726" i="1"/>
  <c r="C1726" i="1"/>
  <c r="D1726" i="1"/>
  <c r="E1726" i="1"/>
  <c r="A1727" i="1"/>
  <c r="B1727" i="1"/>
  <c r="C1727" i="1"/>
  <c r="D1727" i="1"/>
  <c r="E1727" i="1"/>
  <c r="A1728" i="1"/>
  <c r="B1728" i="1"/>
  <c r="C1728" i="1"/>
  <c r="D1728" i="1"/>
  <c r="E1728" i="1"/>
  <c r="A1729" i="1"/>
  <c r="B1729" i="1"/>
  <c r="C1729" i="1"/>
  <c r="D1729" i="1"/>
  <c r="E1729" i="1"/>
  <c r="A1730" i="1"/>
  <c r="B1730" i="1"/>
  <c r="C1730" i="1"/>
  <c r="D1730" i="1"/>
  <c r="E1730" i="1"/>
  <c r="A1731" i="1"/>
  <c r="B1731" i="1"/>
  <c r="C1731" i="1"/>
  <c r="D1731" i="1"/>
  <c r="E1731" i="1"/>
  <c r="A1732" i="1"/>
  <c r="B1732" i="1"/>
  <c r="C1732" i="1"/>
  <c r="D1732" i="1"/>
  <c r="E1732" i="1"/>
  <c r="A1733" i="1"/>
  <c r="B1733" i="1"/>
  <c r="C1733" i="1"/>
  <c r="D1733" i="1"/>
  <c r="E1733" i="1"/>
  <c r="A1734" i="1"/>
  <c r="B1734" i="1"/>
  <c r="C1734" i="1"/>
  <c r="D1734" i="1"/>
  <c r="E1734" i="1"/>
  <c r="A1735" i="1"/>
  <c r="B1735" i="1"/>
  <c r="C1735" i="1"/>
  <c r="D1735" i="1"/>
  <c r="E1735" i="1"/>
  <c r="A1736" i="1"/>
  <c r="B1736" i="1"/>
  <c r="C1736" i="1"/>
  <c r="D1736" i="1"/>
  <c r="E1736" i="1"/>
  <c r="A1737" i="1"/>
  <c r="B1737" i="1"/>
  <c r="C1737" i="1"/>
  <c r="D1737" i="1"/>
  <c r="E1737" i="1"/>
  <c r="A1738" i="1"/>
  <c r="B1738" i="1"/>
  <c r="C1738" i="1"/>
  <c r="D1738" i="1"/>
  <c r="E1738" i="1"/>
  <c r="A1739" i="1"/>
  <c r="B1739" i="1"/>
  <c r="C1739" i="1"/>
  <c r="D1739" i="1"/>
  <c r="E1739" i="1"/>
  <c r="A1740" i="1"/>
  <c r="B1740" i="1"/>
  <c r="C1740" i="1"/>
  <c r="D1740" i="1"/>
  <c r="E1740" i="1"/>
  <c r="A1741" i="1"/>
  <c r="B1741" i="1"/>
  <c r="C1741" i="1"/>
  <c r="D1741" i="1"/>
  <c r="E1741" i="1"/>
  <c r="A1742" i="1"/>
  <c r="B1742" i="1"/>
  <c r="C1742" i="1"/>
  <c r="D1742" i="1"/>
  <c r="E1742" i="1"/>
  <c r="A1743" i="1"/>
  <c r="B1743" i="1"/>
  <c r="C1743" i="1"/>
  <c r="D1743" i="1"/>
  <c r="E1743" i="1"/>
  <c r="A1744" i="1"/>
  <c r="B1744" i="1"/>
  <c r="C1744" i="1"/>
  <c r="D1744" i="1"/>
  <c r="E1744" i="1"/>
  <c r="A1745" i="1"/>
  <c r="B1745" i="1"/>
  <c r="C1745" i="1"/>
  <c r="D1745" i="1"/>
  <c r="E1745" i="1"/>
  <c r="A1746" i="1"/>
  <c r="B1746" i="1"/>
  <c r="C1746" i="1"/>
  <c r="D1746" i="1"/>
  <c r="E1746" i="1"/>
  <c r="A1747" i="1"/>
  <c r="B1747" i="1"/>
  <c r="C1747" i="1"/>
  <c r="D1747" i="1"/>
  <c r="E1747" i="1"/>
  <c r="A1748" i="1"/>
  <c r="B1748" i="1"/>
  <c r="C1748" i="1"/>
  <c r="D1748" i="1"/>
  <c r="E1748" i="1"/>
  <c r="A1749" i="1"/>
  <c r="B1749" i="1"/>
  <c r="C1749" i="1"/>
  <c r="D1749" i="1"/>
  <c r="E1749" i="1"/>
  <c r="A1750" i="1"/>
  <c r="B1750" i="1"/>
  <c r="C1750" i="1"/>
  <c r="D1750" i="1"/>
  <c r="E1750" i="1"/>
  <c r="A1751" i="1"/>
  <c r="B1751" i="1"/>
  <c r="C1751" i="1"/>
  <c r="D1751" i="1"/>
  <c r="E1751" i="1"/>
  <c r="A1752" i="1"/>
  <c r="B1752" i="1"/>
  <c r="C1752" i="1"/>
  <c r="D1752" i="1"/>
  <c r="E1752" i="1"/>
  <c r="A1753" i="1"/>
  <c r="B1753" i="1"/>
  <c r="C1753" i="1"/>
  <c r="D1753" i="1"/>
  <c r="E1753" i="1"/>
  <c r="A1754" i="1"/>
  <c r="B1754" i="1"/>
  <c r="C1754" i="1"/>
  <c r="D1754" i="1"/>
  <c r="E1754" i="1"/>
  <c r="A1755" i="1"/>
  <c r="B1755" i="1"/>
  <c r="C1755" i="1"/>
  <c r="D1755" i="1"/>
  <c r="E1755" i="1"/>
  <c r="A1756" i="1"/>
  <c r="B1756" i="1"/>
  <c r="C1756" i="1"/>
  <c r="D1756" i="1"/>
  <c r="E1756" i="1"/>
  <c r="A1757" i="1"/>
  <c r="B1757" i="1"/>
  <c r="C1757" i="1"/>
  <c r="D1757" i="1"/>
  <c r="E1757" i="1"/>
  <c r="A1758" i="1"/>
  <c r="B1758" i="1"/>
  <c r="C1758" i="1"/>
  <c r="D1758" i="1"/>
  <c r="E1758" i="1"/>
  <c r="A1759" i="1"/>
  <c r="B1759" i="1"/>
  <c r="C1759" i="1"/>
  <c r="D1759" i="1"/>
  <c r="E1759" i="1"/>
  <c r="A1760" i="1"/>
  <c r="B1760" i="1"/>
  <c r="C1760" i="1"/>
  <c r="D1760" i="1"/>
  <c r="E1760" i="1"/>
  <c r="A1761" i="1"/>
  <c r="B1761" i="1"/>
  <c r="C1761" i="1"/>
  <c r="D1761" i="1"/>
  <c r="E1761" i="1"/>
  <c r="A1762" i="1"/>
  <c r="B1762" i="1"/>
  <c r="C1762" i="1"/>
  <c r="D1762" i="1"/>
  <c r="E1762" i="1"/>
  <c r="A1763" i="1"/>
  <c r="B1763" i="1"/>
  <c r="C1763" i="1"/>
  <c r="D1763" i="1"/>
  <c r="E1763" i="1"/>
  <c r="A1764" i="1"/>
  <c r="B1764" i="1"/>
  <c r="C1764" i="1"/>
  <c r="D1764" i="1"/>
  <c r="E1764" i="1"/>
  <c r="A1765" i="1"/>
  <c r="B1765" i="1"/>
  <c r="C1765" i="1"/>
  <c r="D1765" i="1"/>
  <c r="E1765" i="1"/>
  <c r="A1766" i="1"/>
  <c r="B1766" i="1"/>
  <c r="C1766" i="1"/>
  <c r="D1766" i="1"/>
  <c r="E1766" i="1"/>
  <c r="A1767" i="1"/>
  <c r="B1767" i="1"/>
  <c r="C1767" i="1"/>
  <c r="D1767" i="1"/>
  <c r="E1767" i="1"/>
  <c r="A1768" i="1"/>
  <c r="B1768" i="1"/>
  <c r="C1768" i="1"/>
  <c r="D1768" i="1"/>
  <c r="E1768" i="1"/>
  <c r="A1769" i="1"/>
  <c r="B1769" i="1"/>
  <c r="C1769" i="1"/>
  <c r="D1769" i="1"/>
  <c r="E1769" i="1"/>
  <c r="A1770" i="1"/>
  <c r="B1770" i="1"/>
  <c r="C1770" i="1"/>
  <c r="D1770" i="1"/>
  <c r="E1770" i="1"/>
  <c r="A1771" i="1"/>
  <c r="B1771" i="1"/>
  <c r="C1771" i="1"/>
  <c r="D1771" i="1"/>
  <c r="E1771" i="1"/>
  <c r="A1772" i="1"/>
  <c r="B1772" i="1"/>
  <c r="C1772" i="1"/>
  <c r="D1772" i="1"/>
  <c r="E1772" i="1"/>
  <c r="A1773" i="1"/>
  <c r="B1773" i="1"/>
  <c r="C1773" i="1"/>
  <c r="D1773" i="1"/>
  <c r="E1773" i="1"/>
  <c r="A1774" i="1"/>
  <c r="B1774" i="1"/>
  <c r="C1774" i="1"/>
  <c r="D1774" i="1"/>
  <c r="E1774" i="1"/>
  <c r="A1775" i="1"/>
  <c r="B1775" i="1"/>
  <c r="C1775" i="1"/>
  <c r="D1775" i="1"/>
  <c r="E1775" i="1"/>
  <c r="A1776" i="1"/>
  <c r="B1776" i="1"/>
  <c r="C1776" i="1"/>
  <c r="D1776" i="1"/>
  <c r="E1776" i="1"/>
  <c r="A1777" i="1"/>
  <c r="B1777" i="1"/>
  <c r="C1777" i="1"/>
  <c r="D1777" i="1"/>
  <c r="E1777" i="1"/>
  <c r="A1778" i="1"/>
  <c r="B1778" i="1"/>
  <c r="C1778" i="1"/>
  <c r="D1778" i="1"/>
  <c r="E1778" i="1"/>
  <c r="A1779" i="1"/>
  <c r="B1779" i="1"/>
  <c r="C1779" i="1"/>
  <c r="D1779" i="1"/>
  <c r="E1779" i="1"/>
  <c r="A1780" i="1"/>
  <c r="B1780" i="1"/>
  <c r="C1780" i="1"/>
  <c r="D1780" i="1"/>
  <c r="E1780" i="1"/>
  <c r="A1781" i="1"/>
  <c r="B1781" i="1"/>
  <c r="C1781" i="1"/>
  <c r="D1781" i="1"/>
  <c r="E1781" i="1"/>
  <c r="A1782" i="1"/>
  <c r="B1782" i="1"/>
  <c r="C1782" i="1"/>
  <c r="D1782" i="1"/>
  <c r="E1782" i="1"/>
  <c r="A1783" i="1"/>
  <c r="B1783" i="1"/>
  <c r="C1783" i="1"/>
  <c r="D1783" i="1"/>
  <c r="E1783" i="1"/>
  <c r="A1784" i="1"/>
  <c r="B1784" i="1"/>
  <c r="C1784" i="1"/>
  <c r="D1784" i="1"/>
  <c r="E1784" i="1"/>
  <c r="A1785" i="1"/>
  <c r="B1785" i="1"/>
  <c r="C1785" i="1"/>
  <c r="D1785" i="1"/>
  <c r="E1785" i="1"/>
  <c r="A1786" i="1"/>
  <c r="B1786" i="1"/>
  <c r="C1786" i="1"/>
  <c r="D1786" i="1"/>
  <c r="E1786" i="1"/>
  <c r="A1787" i="1"/>
  <c r="B1787" i="1"/>
  <c r="C1787" i="1"/>
  <c r="D1787" i="1"/>
  <c r="E1787" i="1"/>
  <c r="A1788" i="1"/>
  <c r="B1788" i="1"/>
  <c r="C1788" i="1"/>
  <c r="D1788" i="1"/>
  <c r="E1788" i="1"/>
  <c r="A1789" i="1"/>
  <c r="B1789" i="1"/>
  <c r="C1789" i="1"/>
  <c r="D1789" i="1"/>
  <c r="E1789" i="1"/>
  <c r="A1790" i="1"/>
  <c r="B1790" i="1"/>
  <c r="C1790" i="1"/>
  <c r="D1790" i="1"/>
  <c r="E1790" i="1"/>
  <c r="A1791" i="1"/>
  <c r="B1791" i="1"/>
  <c r="C1791" i="1"/>
  <c r="D1791" i="1"/>
  <c r="E1791" i="1"/>
  <c r="A1792" i="1"/>
  <c r="B1792" i="1"/>
  <c r="C1792" i="1"/>
  <c r="D1792" i="1"/>
  <c r="E1792" i="1"/>
  <c r="A1793" i="1"/>
  <c r="B1793" i="1"/>
  <c r="C1793" i="1"/>
  <c r="D1793" i="1"/>
  <c r="E1793" i="1"/>
  <c r="A1794" i="1"/>
  <c r="B1794" i="1"/>
  <c r="C1794" i="1"/>
  <c r="D1794" i="1"/>
  <c r="E1794" i="1"/>
  <c r="A1795" i="1"/>
  <c r="B1795" i="1"/>
  <c r="C1795" i="1"/>
  <c r="D1795" i="1"/>
  <c r="E1795" i="1"/>
  <c r="A1796" i="1"/>
  <c r="B1796" i="1"/>
  <c r="C1796" i="1"/>
  <c r="D1796" i="1"/>
  <c r="E1796" i="1"/>
  <c r="A1797" i="1"/>
  <c r="B1797" i="1"/>
  <c r="C1797" i="1"/>
  <c r="D1797" i="1"/>
  <c r="E1797" i="1"/>
  <c r="A1798" i="1"/>
  <c r="B1798" i="1"/>
  <c r="C1798" i="1"/>
  <c r="D1798" i="1"/>
  <c r="E1798" i="1"/>
  <c r="A1799" i="1"/>
  <c r="B1799" i="1"/>
  <c r="C1799" i="1"/>
  <c r="D1799" i="1"/>
  <c r="E1799" i="1"/>
  <c r="A1800" i="1"/>
  <c r="B1800" i="1"/>
  <c r="C1800" i="1"/>
  <c r="D1800" i="1"/>
  <c r="E1800" i="1"/>
  <c r="A1801" i="1"/>
  <c r="B1801" i="1"/>
  <c r="C1801" i="1"/>
  <c r="D1801" i="1"/>
  <c r="E1801" i="1"/>
  <c r="A1802" i="1"/>
  <c r="B1802" i="1"/>
  <c r="C1802" i="1"/>
  <c r="D1802" i="1"/>
  <c r="E1802" i="1"/>
  <c r="A1803" i="1"/>
  <c r="B1803" i="1"/>
  <c r="C1803" i="1"/>
  <c r="D1803" i="1"/>
  <c r="E1803" i="1"/>
  <c r="A1804" i="1"/>
  <c r="B1804" i="1"/>
  <c r="C1804" i="1"/>
  <c r="D1804" i="1"/>
  <c r="E1804" i="1"/>
  <c r="A1805" i="1"/>
  <c r="B1805" i="1"/>
  <c r="C1805" i="1"/>
  <c r="D1805" i="1"/>
  <c r="E1805" i="1"/>
  <c r="A1806" i="1"/>
  <c r="B1806" i="1"/>
  <c r="C1806" i="1"/>
  <c r="D1806" i="1"/>
  <c r="E1806" i="1"/>
  <c r="A1807" i="1"/>
  <c r="B1807" i="1"/>
  <c r="C1807" i="1"/>
  <c r="D1807" i="1"/>
  <c r="E1807" i="1"/>
  <c r="A1808" i="1"/>
  <c r="B1808" i="1"/>
  <c r="C1808" i="1"/>
  <c r="D1808" i="1"/>
  <c r="E1808" i="1"/>
  <c r="A1809" i="1"/>
  <c r="B1809" i="1"/>
  <c r="C1809" i="1"/>
  <c r="D1809" i="1"/>
  <c r="E1809" i="1"/>
  <c r="A1810" i="1"/>
  <c r="B1810" i="1"/>
  <c r="C1810" i="1"/>
  <c r="D1810" i="1"/>
  <c r="E1810" i="1"/>
  <c r="A1811" i="1"/>
  <c r="B1811" i="1"/>
  <c r="C1811" i="1"/>
  <c r="D1811" i="1"/>
  <c r="E1811" i="1"/>
  <c r="A1812" i="1"/>
  <c r="B1812" i="1"/>
  <c r="C1812" i="1"/>
  <c r="D1812" i="1"/>
  <c r="E1812" i="1"/>
  <c r="A1813" i="1"/>
  <c r="B1813" i="1"/>
  <c r="C1813" i="1"/>
  <c r="D1813" i="1"/>
  <c r="E1813" i="1"/>
  <c r="A1814" i="1"/>
  <c r="B1814" i="1"/>
  <c r="C1814" i="1"/>
  <c r="D1814" i="1"/>
  <c r="E1814" i="1"/>
  <c r="A1815" i="1"/>
  <c r="B1815" i="1"/>
  <c r="C1815" i="1"/>
  <c r="D1815" i="1"/>
  <c r="E1815" i="1"/>
  <c r="A1816" i="1"/>
  <c r="B1816" i="1"/>
  <c r="C1816" i="1"/>
  <c r="D1816" i="1"/>
  <c r="E1816" i="1"/>
  <c r="A1817" i="1"/>
  <c r="B1817" i="1"/>
  <c r="C1817" i="1"/>
  <c r="D1817" i="1"/>
  <c r="E1817" i="1"/>
  <c r="A1818" i="1"/>
  <c r="B1818" i="1"/>
  <c r="C1818" i="1"/>
  <c r="D1818" i="1"/>
  <c r="E1818" i="1"/>
  <c r="A1819" i="1"/>
  <c r="B1819" i="1"/>
  <c r="C1819" i="1"/>
  <c r="D1819" i="1"/>
  <c r="E1819" i="1"/>
  <c r="A1820" i="1"/>
  <c r="B1820" i="1"/>
  <c r="C1820" i="1"/>
  <c r="D1820" i="1"/>
  <c r="E1820" i="1"/>
  <c r="A1821" i="1"/>
  <c r="B1821" i="1"/>
  <c r="C1821" i="1"/>
  <c r="D1821" i="1"/>
  <c r="E1821" i="1"/>
  <c r="A1822" i="1"/>
  <c r="B1822" i="1"/>
  <c r="C1822" i="1"/>
  <c r="D1822" i="1"/>
  <c r="E1822" i="1"/>
  <c r="A1823" i="1"/>
  <c r="B1823" i="1"/>
  <c r="C1823" i="1"/>
  <c r="D1823" i="1"/>
  <c r="E1823" i="1"/>
  <c r="A1824" i="1"/>
  <c r="B1824" i="1"/>
  <c r="C1824" i="1"/>
  <c r="D1824" i="1"/>
  <c r="E1824" i="1"/>
  <c r="A1825" i="1"/>
  <c r="B1825" i="1"/>
  <c r="C1825" i="1"/>
  <c r="D1825" i="1"/>
  <c r="E1825" i="1"/>
  <c r="A1826" i="1"/>
  <c r="B1826" i="1"/>
  <c r="C1826" i="1"/>
  <c r="D1826" i="1"/>
  <c r="E1826" i="1"/>
  <c r="A1827" i="1"/>
  <c r="B1827" i="1"/>
  <c r="C1827" i="1"/>
  <c r="D1827" i="1"/>
  <c r="E1827" i="1"/>
  <c r="A1828" i="1"/>
  <c r="B1828" i="1"/>
  <c r="C1828" i="1"/>
  <c r="D1828" i="1"/>
  <c r="E1828" i="1"/>
  <c r="A1829" i="1"/>
  <c r="B1829" i="1"/>
  <c r="C1829" i="1"/>
  <c r="D1829" i="1"/>
  <c r="E1829" i="1"/>
  <c r="A1830" i="1"/>
  <c r="B1830" i="1"/>
  <c r="C1830" i="1"/>
  <c r="D1830" i="1"/>
  <c r="E1830" i="1"/>
  <c r="A1831" i="1"/>
  <c r="B1831" i="1"/>
  <c r="C1831" i="1"/>
  <c r="D1831" i="1"/>
  <c r="E1831" i="1"/>
  <c r="A1832" i="1"/>
  <c r="B1832" i="1"/>
  <c r="C1832" i="1"/>
  <c r="D1832" i="1"/>
  <c r="E1832" i="1"/>
  <c r="A1833" i="1"/>
  <c r="B1833" i="1"/>
  <c r="C1833" i="1"/>
  <c r="D1833" i="1"/>
  <c r="E1833" i="1"/>
  <c r="A1834" i="1"/>
  <c r="B1834" i="1"/>
  <c r="C1834" i="1"/>
  <c r="D1834" i="1"/>
  <c r="E1834" i="1"/>
  <c r="A1835" i="1"/>
  <c r="B1835" i="1"/>
  <c r="C1835" i="1"/>
  <c r="D1835" i="1"/>
  <c r="E1835" i="1"/>
  <c r="A1836" i="1"/>
  <c r="B1836" i="1"/>
  <c r="C1836" i="1"/>
  <c r="D1836" i="1"/>
  <c r="E1836" i="1"/>
  <c r="A1837" i="1"/>
  <c r="B1837" i="1"/>
  <c r="C1837" i="1"/>
  <c r="D1837" i="1"/>
  <c r="E1837" i="1"/>
  <c r="A1838" i="1"/>
  <c r="B1838" i="1"/>
  <c r="C1838" i="1"/>
  <c r="D1838" i="1"/>
  <c r="E1838" i="1"/>
  <c r="A1839" i="1"/>
  <c r="B1839" i="1"/>
  <c r="C1839" i="1"/>
  <c r="D1839" i="1"/>
  <c r="E1839" i="1"/>
  <c r="A1840" i="1"/>
  <c r="B1840" i="1"/>
  <c r="C1840" i="1"/>
  <c r="D1840" i="1"/>
  <c r="E1840" i="1"/>
  <c r="A1841" i="1"/>
  <c r="B1841" i="1"/>
  <c r="C1841" i="1"/>
  <c r="D1841" i="1"/>
  <c r="E1841" i="1"/>
  <c r="A1842" i="1"/>
  <c r="B1842" i="1"/>
  <c r="C1842" i="1"/>
  <c r="D1842" i="1"/>
  <c r="E1842" i="1"/>
  <c r="A1843" i="1"/>
  <c r="B1843" i="1"/>
  <c r="C1843" i="1"/>
  <c r="D1843" i="1"/>
  <c r="E1843" i="1"/>
  <c r="A1844" i="1"/>
  <c r="B1844" i="1"/>
  <c r="C1844" i="1"/>
  <c r="D1844" i="1"/>
  <c r="E1844" i="1"/>
  <c r="A1845" i="1"/>
  <c r="B1845" i="1"/>
  <c r="C1845" i="1"/>
  <c r="D1845" i="1"/>
  <c r="E1845" i="1"/>
  <c r="A1846" i="1"/>
  <c r="B1846" i="1"/>
  <c r="C1846" i="1"/>
  <c r="D1846" i="1"/>
  <c r="E1846" i="1"/>
  <c r="A1847" i="1"/>
  <c r="B1847" i="1"/>
  <c r="C1847" i="1"/>
  <c r="D1847" i="1"/>
  <c r="E1847" i="1"/>
  <c r="A1848" i="1"/>
  <c r="B1848" i="1"/>
  <c r="C1848" i="1"/>
  <c r="D1848" i="1"/>
  <c r="E1848" i="1"/>
  <c r="A1849" i="1"/>
  <c r="B1849" i="1"/>
  <c r="C1849" i="1"/>
  <c r="D1849" i="1"/>
  <c r="E1849" i="1"/>
  <c r="A1850" i="1"/>
  <c r="B1850" i="1"/>
  <c r="C1850" i="1"/>
  <c r="D1850" i="1"/>
  <c r="E1850" i="1"/>
  <c r="A1851" i="1"/>
  <c r="B1851" i="1"/>
  <c r="C1851" i="1"/>
  <c r="D1851" i="1"/>
  <c r="E1851" i="1"/>
  <c r="A1852" i="1"/>
  <c r="B1852" i="1"/>
  <c r="C1852" i="1"/>
  <c r="D1852" i="1"/>
  <c r="E1852" i="1"/>
  <c r="A1853" i="1"/>
  <c r="B1853" i="1"/>
  <c r="C1853" i="1"/>
  <c r="D1853" i="1"/>
  <c r="E1853" i="1"/>
  <c r="A1854" i="1"/>
  <c r="B1854" i="1"/>
  <c r="C1854" i="1"/>
  <c r="D1854" i="1"/>
  <c r="E1854" i="1"/>
  <c r="A1855" i="1"/>
  <c r="B1855" i="1"/>
  <c r="C1855" i="1"/>
  <c r="D1855" i="1"/>
  <c r="E1855" i="1"/>
  <c r="A1856" i="1"/>
  <c r="B1856" i="1"/>
  <c r="C1856" i="1"/>
  <c r="D1856" i="1"/>
  <c r="E1856" i="1"/>
  <c r="A1857" i="1"/>
  <c r="B1857" i="1"/>
  <c r="C1857" i="1"/>
  <c r="D1857" i="1"/>
  <c r="E1857" i="1"/>
  <c r="A1858" i="1"/>
  <c r="B1858" i="1"/>
  <c r="C1858" i="1"/>
  <c r="D1858" i="1"/>
  <c r="E1858" i="1"/>
  <c r="A1859" i="1"/>
  <c r="B1859" i="1"/>
  <c r="C1859" i="1"/>
  <c r="D1859" i="1"/>
  <c r="E1859" i="1"/>
  <c r="A1860" i="1"/>
  <c r="B1860" i="1"/>
  <c r="C1860" i="1"/>
  <c r="D1860" i="1"/>
  <c r="E1860" i="1"/>
  <c r="A1861" i="1"/>
  <c r="B1861" i="1"/>
  <c r="C1861" i="1"/>
  <c r="D1861" i="1"/>
  <c r="E1861" i="1"/>
  <c r="A1862" i="1"/>
  <c r="B1862" i="1"/>
  <c r="C1862" i="1"/>
  <c r="D1862" i="1"/>
  <c r="E1862" i="1"/>
  <c r="A1863" i="1"/>
  <c r="B1863" i="1"/>
  <c r="C1863" i="1"/>
  <c r="D1863" i="1"/>
  <c r="E1863" i="1"/>
  <c r="A1864" i="1"/>
  <c r="B1864" i="1"/>
  <c r="C1864" i="1"/>
  <c r="D1864" i="1"/>
  <c r="E1864" i="1"/>
  <c r="A1865" i="1"/>
  <c r="B1865" i="1"/>
  <c r="C1865" i="1"/>
  <c r="D1865" i="1"/>
  <c r="E1865" i="1"/>
  <c r="A1866" i="1"/>
  <c r="B1866" i="1"/>
  <c r="C1866" i="1"/>
  <c r="D1866" i="1"/>
  <c r="E1866" i="1"/>
  <c r="A1867" i="1"/>
  <c r="B1867" i="1"/>
  <c r="C1867" i="1"/>
  <c r="D1867" i="1"/>
  <c r="E1867" i="1"/>
  <c r="A1868" i="1"/>
  <c r="B1868" i="1"/>
  <c r="C1868" i="1"/>
  <c r="D1868" i="1"/>
  <c r="E1868" i="1"/>
  <c r="A1869" i="1"/>
  <c r="B1869" i="1"/>
  <c r="C1869" i="1"/>
  <c r="D1869" i="1"/>
  <c r="E1869" i="1"/>
  <c r="A1870" i="1"/>
  <c r="B1870" i="1"/>
  <c r="C1870" i="1"/>
  <c r="D1870" i="1"/>
  <c r="E1870" i="1"/>
  <c r="A1871" i="1"/>
  <c r="B1871" i="1"/>
  <c r="C1871" i="1"/>
  <c r="D1871" i="1"/>
  <c r="E1871" i="1"/>
  <c r="A1872" i="1"/>
  <c r="B1872" i="1"/>
  <c r="C1872" i="1"/>
  <c r="D1872" i="1"/>
  <c r="E1872" i="1"/>
  <c r="A1873" i="1"/>
  <c r="B1873" i="1"/>
  <c r="C1873" i="1"/>
  <c r="D1873" i="1"/>
  <c r="E1873" i="1"/>
  <c r="A1874" i="1"/>
  <c r="B1874" i="1"/>
  <c r="C1874" i="1"/>
  <c r="D1874" i="1"/>
  <c r="E1874" i="1"/>
  <c r="A1875" i="1"/>
  <c r="B1875" i="1"/>
  <c r="C1875" i="1"/>
  <c r="D1875" i="1"/>
  <c r="E1875" i="1"/>
  <c r="A1876" i="1"/>
  <c r="B1876" i="1"/>
  <c r="C1876" i="1"/>
  <c r="D1876" i="1"/>
  <c r="E1876" i="1"/>
  <c r="A1877" i="1"/>
  <c r="B1877" i="1"/>
  <c r="C1877" i="1"/>
  <c r="D1877" i="1"/>
  <c r="E1877" i="1"/>
  <c r="A1878" i="1"/>
  <c r="B1878" i="1"/>
  <c r="C1878" i="1"/>
  <c r="D1878" i="1"/>
  <c r="E1878" i="1"/>
  <c r="A1879" i="1"/>
  <c r="B1879" i="1"/>
  <c r="C1879" i="1"/>
  <c r="D1879" i="1"/>
  <c r="E1879" i="1"/>
  <c r="A1880" i="1"/>
  <c r="B1880" i="1"/>
  <c r="C1880" i="1"/>
  <c r="D1880" i="1"/>
  <c r="E1880" i="1"/>
  <c r="A1881" i="1"/>
  <c r="B1881" i="1"/>
  <c r="C1881" i="1"/>
  <c r="D1881" i="1"/>
  <c r="E1881" i="1"/>
  <c r="A1882" i="1"/>
  <c r="B1882" i="1"/>
  <c r="C1882" i="1"/>
  <c r="D1882" i="1"/>
  <c r="E1882" i="1"/>
  <c r="A1883" i="1"/>
  <c r="B1883" i="1"/>
  <c r="C1883" i="1"/>
  <c r="D1883" i="1"/>
  <c r="E1883" i="1"/>
  <c r="A1884" i="1"/>
  <c r="B1884" i="1"/>
  <c r="C1884" i="1"/>
  <c r="D1884" i="1"/>
  <c r="E1884" i="1"/>
  <c r="A1885" i="1"/>
  <c r="B1885" i="1"/>
  <c r="C1885" i="1"/>
  <c r="D1885" i="1"/>
  <c r="E1885" i="1"/>
  <c r="A1886" i="1"/>
  <c r="B1886" i="1"/>
  <c r="C1886" i="1"/>
  <c r="D1886" i="1"/>
  <c r="E1886" i="1"/>
  <c r="A1887" i="1"/>
  <c r="B1887" i="1"/>
  <c r="C1887" i="1"/>
  <c r="D1887" i="1"/>
  <c r="E1887" i="1"/>
  <c r="A1888" i="1"/>
  <c r="B1888" i="1"/>
  <c r="C1888" i="1"/>
  <c r="D1888" i="1"/>
  <c r="E1888" i="1"/>
  <c r="A1889" i="1"/>
  <c r="B1889" i="1"/>
  <c r="C1889" i="1"/>
  <c r="D1889" i="1"/>
  <c r="E1889" i="1"/>
  <c r="A1890" i="1"/>
  <c r="B1890" i="1"/>
  <c r="C1890" i="1"/>
  <c r="D1890" i="1"/>
  <c r="E1890" i="1"/>
  <c r="A1891" i="1"/>
  <c r="B1891" i="1"/>
  <c r="C1891" i="1"/>
  <c r="D1891" i="1"/>
  <c r="E1891" i="1"/>
  <c r="A1892" i="1"/>
  <c r="B1892" i="1"/>
  <c r="C1892" i="1"/>
  <c r="D1892" i="1"/>
  <c r="E1892" i="1"/>
  <c r="A1893" i="1"/>
  <c r="B1893" i="1"/>
  <c r="C1893" i="1"/>
  <c r="D1893" i="1"/>
  <c r="E1893" i="1"/>
  <c r="A1894" i="1"/>
  <c r="B1894" i="1"/>
  <c r="C1894" i="1"/>
  <c r="D1894" i="1"/>
  <c r="E1894" i="1"/>
  <c r="A1895" i="1"/>
  <c r="B1895" i="1"/>
  <c r="C1895" i="1"/>
  <c r="D1895" i="1"/>
  <c r="E1895" i="1"/>
  <c r="A1896" i="1"/>
  <c r="B1896" i="1"/>
  <c r="C1896" i="1"/>
  <c r="D1896" i="1"/>
  <c r="E1896" i="1"/>
  <c r="A1897" i="1"/>
  <c r="B1897" i="1"/>
  <c r="C1897" i="1"/>
  <c r="D1897" i="1"/>
  <c r="E1897" i="1"/>
  <c r="A1898" i="1"/>
  <c r="B1898" i="1"/>
  <c r="C1898" i="1"/>
  <c r="D1898" i="1"/>
  <c r="E1898" i="1"/>
  <c r="A1899" i="1"/>
  <c r="B1899" i="1"/>
  <c r="C1899" i="1"/>
  <c r="D1899" i="1"/>
  <c r="E1899" i="1"/>
  <c r="A1900" i="1"/>
  <c r="B1900" i="1"/>
  <c r="C1900" i="1"/>
  <c r="D1900" i="1"/>
  <c r="E1900" i="1"/>
  <c r="A1901" i="1"/>
  <c r="B1901" i="1"/>
  <c r="C1901" i="1"/>
  <c r="D1901" i="1"/>
  <c r="E1901" i="1"/>
  <c r="A1902" i="1"/>
  <c r="B1902" i="1"/>
  <c r="C1902" i="1"/>
  <c r="D1902" i="1"/>
  <c r="E1902" i="1"/>
  <c r="A1903" i="1"/>
  <c r="B1903" i="1"/>
  <c r="C1903" i="1"/>
  <c r="D1903" i="1"/>
  <c r="E1903" i="1"/>
  <c r="A1904" i="1"/>
  <c r="B1904" i="1"/>
  <c r="C1904" i="1"/>
  <c r="D1904" i="1"/>
  <c r="E1904" i="1"/>
  <c r="A1905" i="1"/>
  <c r="B1905" i="1"/>
  <c r="C1905" i="1"/>
  <c r="D1905" i="1"/>
  <c r="E1905" i="1"/>
  <c r="A1906" i="1"/>
  <c r="B1906" i="1"/>
  <c r="C1906" i="1"/>
  <c r="D1906" i="1"/>
  <c r="E1906" i="1"/>
  <c r="A1907" i="1"/>
  <c r="B1907" i="1"/>
  <c r="C1907" i="1"/>
  <c r="D1907" i="1"/>
  <c r="E1907" i="1"/>
  <c r="A1908" i="1"/>
  <c r="B1908" i="1"/>
  <c r="C1908" i="1"/>
  <c r="D1908" i="1"/>
  <c r="E1908" i="1"/>
  <c r="A1909" i="1"/>
  <c r="B1909" i="1"/>
  <c r="C1909" i="1"/>
  <c r="D1909" i="1"/>
  <c r="E1909" i="1"/>
  <c r="A1910" i="1"/>
  <c r="B1910" i="1"/>
  <c r="C1910" i="1"/>
  <c r="D1910" i="1"/>
  <c r="E1910" i="1"/>
  <c r="A1911" i="1"/>
  <c r="B1911" i="1"/>
  <c r="C1911" i="1"/>
  <c r="D1911" i="1"/>
  <c r="E1911" i="1"/>
  <c r="A1912" i="1"/>
  <c r="B1912" i="1"/>
  <c r="C1912" i="1"/>
  <c r="D1912" i="1"/>
  <c r="E1912" i="1"/>
  <c r="A1913" i="1"/>
  <c r="B1913" i="1"/>
  <c r="C1913" i="1"/>
  <c r="D1913" i="1"/>
  <c r="E1913" i="1"/>
  <c r="A1914" i="1"/>
  <c r="B1914" i="1"/>
  <c r="C1914" i="1"/>
  <c r="D1914" i="1"/>
  <c r="E1914" i="1"/>
  <c r="A1915" i="1"/>
  <c r="B1915" i="1"/>
  <c r="C1915" i="1"/>
  <c r="D1915" i="1"/>
  <c r="E1915" i="1"/>
  <c r="A1916" i="1"/>
  <c r="B1916" i="1"/>
  <c r="C1916" i="1"/>
  <c r="D1916" i="1"/>
  <c r="E1916" i="1"/>
  <c r="A1917" i="1"/>
  <c r="B1917" i="1"/>
  <c r="C1917" i="1"/>
  <c r="D1917" i="1"/>
  <c r="E1917" i="1"/>
  <c r="A1918" i="1"/>
  <c r="B1918" i="1"/>
  <c r="C1918" i="1"/>
  <c r="D1918" i="1"/>
  <c r="E1918" i="1"/>
  <c r="A1919" i="1"/>
  <c r="B1919" i="1"/>
  <c r="C1919" i="1"/>
  <c r="D1919" i="1"/>
  <c r="E1919" i="1"/>
  <c r="A1920" i="1"/>
  <c r="B1920" i="1"/>
  <c r="C1920" i="1"/>
  <c r="D1920" i="1"/>
  <c r="E1920" i="1"/>
  <c r="A1921" i="1"/>
  <c r="B1921" i="1"/>
  <c r="C1921" i="1"/>
  <c r="D1921" i="1"/>
  <c r="E1921" i="1"/>
  <c r="A1922" i="1"/>
  <c r="B1922" i="1"/>
  <c r="C1922" i="1"/>
  <c r="D1922" i="1"/>
  <c r="E1922" i="1"/>
  <c r="A1923" i="1"/>
  <c r="B1923" i="1"/>
  <c r="C1923" i="1"/>
  <c r="D1923" i="1"/>
  <c r="E1923" i="1"/>
  <c r="A1924" i="1"/>
  <c r="B1924" i="1"/>
  <c r="C1924" i="1"/>
  <c r="D1924" i="1"/>
  <c r="E1924" i="1"/>
  <c r="A1925" i="1"/>
  <c r="B1925" i="1"/>
  <c r="C1925" i="1"/>
  <c r="D1925" i="1"/>
  <c r="E1925" i="1"/>
  <c r="A1926" i="1"/>
  <c r="B1926" i="1"/>
  <c r="C1926" i="1"/>
  <c r="D1926" i="1"/>
  <c r="E1926" i="1"/>
  <c r="A1927" i="1"/>
  <c r="B1927" i="1"/>
  <c r="C1927" i="1"/>
  <c r="D1927" i="1"/>
  <c r="E1927" i="1"/>
  <c r="A1928" i="1"/>
  <c r="B1928" i="1"/>
  <c r="C1928" i="1"/>
  <c r="D1928" i="1"/>
  <c r="E1928" i="1"/>
  <c r="A1929" i="1"/>
  <c r="B1929" i="1"/>
  <c r="C1929" i="1"/>
  <c r="D1929" i="1"/>
  <c r="E1929" i="1"/>
  <c r="A1930" i="1"/>
  <c r="B1930" i="1"/>
  <c r="C1930" i="1"/>
  <c r="D1930" i="1"/>
  <c r="E1930" i="1"/>
  <c r="A1931" i="1"/>
  <c r="B1931" i="1"/>
  <c r="C1931" i="1"/>
  <c r="D1931" i="1"/>
  <c r="E1931" i="1"/>
  <c r="A1932" i="1"/>
  <c r="B1932" i="1"/>
  <c r="C1932" i="1"/>
  <c r="D1932" i="1"/>
  <c r="E1932" i="1"/>
  <c r="A1933" i="1"/>
  <c r="B1933" i="1"/>
  <c r="C1933" i="1"/>
  <c r="D1933" i="1"/>
  <c r="E1933" i="1"/>
  <c r="A1934" i="1"/>
  <c r="B1934" i="1"/>
  <c r="C1934" i="1"/>
  <c r="D1934" i="1"/>
  <c r="E1934" i="1"/>
  <c r="A1935" i="1"/>
  <c r="B1935" i="1"/>
  <c r="C1935" i="1"/>
  <c r="D1935" i="1"/>
  <c r="E1935" i="1"/>
  <c r="A1936" i="1"/>
  <c r="B1936" i="1"/>
  <c r="C1936" i="1"/>
  <c r="D1936" i="1"/>
  <c r="E1936" i="1"/>
  <c r="A1937" i="1"/>
  <c r="B1937" i="1"/>
  <c r="C1937" i="1"/>
  <c r="D1937" i="1"/>
  <c r="E1937" i="1"/>
  <c r="A1938" i="1"/>
  <c r="B1938" i="1"/>
  <c r="C1938" i="1"/>
  <c r="D1938" i="1"/>
  <c r="E1938" i="1"/>
  <c r="A1939" i="1"/>
  <c r="B1939" i="1"/>
  <c r="C1939" i="1"/>
  <c r="D1939" i="1"/>
  <c r="E1939" i="1"/>
  <c r="A1940" i="1"/>
  <c r="B1940" i="1"/>
  <c r="C1940" i="1"/>
  <c r="D1940" i="1"/>
  <c r="E1940" i="1"/>
  <c r="A1941" i="1"/>
  <c r="B1941" i="1"/>
  <c r="C1941" i="1"/>
  <c r="D1941" i="1"/>
  <c r="E1941" i="1"/>
  <c r="A1942" i="1"/>
  <c r="B1942" i="1"/>
  <c r="C1942" i="1"/>
  <c r="D1942" i="1"/>
  <c r="E1942" i="1"/>
  <c r="A1943" i="1"/>
  <c r="B1943" i="1"/>
  <c r="C1943" i="1"/>
  <c r="D1943" i="1"/>
  <c r="E1943" i="1"/>
  <c r="A1944" i="1"/>
  <c r="B1944" i="1"/>
  <c r="C1944" i="1"/>
  <c r="D1944" i="1"/>
  <c r="E1944" i="1"/>
  <c r="A1945" i="1"/>
  <c r="B1945" i="1"/>
  <c r="C1945" i="1"/>
  <c r="D1945" i="1"/>
  <c r="E1945" i="1"/>
  <c r="A1946" i="1"/>
  <c r="B1946" i="1"/>
  <c r="C1946" i="1"/>
  <c r="D1946" i="1"/>
  <c r="E1946" i="1"/>
  <c r="A1947" i="1"/>
  <c r="B1947" i="1"/>
  <c r="C1947" i="1"/>
  <c r="D1947" i="1"/>
  <c r="E1947" i="1"/>
  <c r="A1948" i="1"/>
  <c r="B1948" i="1"/>
  <c r="C1948" i="1"/>
  <c r="D1948" i="1"/>
  <c r="E1948" i="1"/>
  <c r="A1949" i="1"/>
  <c r="B1949" i="1"/>
  <c r="C1949" i="1"/>
  <c r="D1949" i="1"/>
  <c r="E1949" i="1"/>
  <c r="A1950" i="1"/>
  <c r="B1950" i="1"/>
  <c r="C1950" i="1"/>
  <c r="D1950" i="1"/>
  <c r="E1950" i="1"/>
  <c r="A1951" i="1"/>
  <c r="B1951" i="1"/>
  <c r="C1951" i="1"/>
  <c r="D1951" i="1"/>
  <c r="E1951" i="1"/>
  <c r="A1952" i="1"/>
  <c r="B1952" i="1"/>
  <c r="C1952" i="1"/>
  <c r="D1952" i="1"/>
  <c r="E1952" i="1"/>
  <c r="A1953" i="1"/>
  <c r="B1953" i="1"/>
  <c r="C1953" i="1"/>
  <c r="D1953" i="1"/>
  <c r="E1953" i="1"/>
  <c r="A1954" i="1"/>
  <c r="B1954" i="1"/>
  <c r="C1954" i="1"/>
  <c r="D1954" i="1"/>
  <c r="E1954" i="1"/>
  <c r="A1955" i="1"/>
  <c r="B1955" i="1"/>
  <c r="C1955" i="1"/>
  <c r="D1955" i="1"/>
  <c r="E1955" i="1"/>
  <c r="A1956" i="1"/>
  <c r="B1956" i="1"/>
  <c r="C1956" i="1"/>
  <c r="D1956" i="1"/>
  <c r="E1956" i="1"/>
  <c r="A1957" i="1"/>
  <c r="B1957" i="1"/>
  <c r="C1957" i="1"/>
  <c r="D1957" i="1"/>
  <c r="E1957" i="1"/>
  <c r="A1958" i="1"/>
  <c r="B1958" i="1"/>
  <c r="C1958" i="1"/>
  <c r="D1958" i="1"/>
  <c r="E1958" i="1"/>
  <c r="A1959" i="1"/>
  <c r="B1959" i="1"/>
  <c r="C1959" i="1"/>
  <c r="D1959" i="1"/>
  <c r="E1959" i="1"/>
  <c r="A1960" i="1"/>
  <c r="B1960" i="1"/>
  <c r="C1960" i="1"/>
  <c r="D1960" i="1"/>
  <c r="E1960" i="1"/>
  <c r="A1961" i="1"/>
  <c r="B1961" i="1"/>
  <c r="C1961" i="1"/>
  <c r="D1961" i="1"/>
  <c r="E1961" i="1"/>
  <c r="A1962" i="1"/>
  <c r="B1962" i="1"/>
  <c r="C1962" i="1"/>
  <c r="D1962" i="1"/>
  <c r="E1962" i="1"/>
  <c r="A1963" i="1"/>
  <c r="B1963" i="1"/>
  <c r="C1963" i="1"/>
  <c r="D1963" i="1"/>
  <c r="E1963" i="1"/>
  <c r="A1964" i="1"/>
  <c r="B1964" i="1"/>
  <c r="C1964" i="1"/>
  <c r="D1964" i="1"/>
  <c r="E1964" i="1"/>
  <c r="A1965" i="1"/>
  <c r="B1965" i="1"/>
  <c r="C1965" i="1"/>
  <c r="D1965" i="1"/>
  <c r="E1965" i="1"/>
  <c r="A1966" i="1"/>
  <c r="B1966" i="1"/>
  <c r="C1966" i="1"/>
  <c r="D1966" i="1"/>
  <c r="E1966" i="1"/>
  <c r="A1967" i="1"/>
  <c r="B1967" i="1"/>
  <c r="C1967" i="1"/>
  <c r="D1967" i="1"/>
  <c r="E1967" i="1"/>
  <c r="A1968" i="1"/>
  <c r="B1968" i="1"/>
  <c r="C1968" i="1"/>
  <c r="D1968" i="1"/>
  <c r="E1968" i="1"/>
  <c r="A1969" i="1"/>
  <c r="B1969" i="1"/>
  <c r="C1969" i="1"/>
  <c r="D1969" i="1"/>
  <c r="E1969" i="1"/>
  <c r="A1970" i="1"/>
  <c r="B1970" i="1"/>
  <c r="C1970" i="1"/>
  <c r="D1970" i="1"/>
  <c r="E1970" i="1"/>
  <c r="A1971" i="1"/>
  <c r="B1971" i="1"/>
  <c r="C1971" i="1"/>
  <c r="D1971" i="1"/>
  <c r="E1971" i="1"/>
  <c r="A1972" i="1"/>
  <c r="B1972" i="1"/>
  <c r="C1972" i="1"/>
  <c r="D1972" i="1"/>
  <c r="E1972" i="1"/>
  <c r="A1973" i="1"/>
  <c r="B1973" i="1"/>
  <c r="C1973" i="1"/>
  <c r="D1973" i="1"/>
  <c r="E1973" i="1"/>
  <c r="A1974" i="1"/>
  <c r="B1974" i="1"/>
  <c r="C1974" i="1"/>
  <c r="D1974" i="1"/>
  <c r="E1974" i="1"/>
  <c r="A1975" i="1"/>
  <c r="B1975" i="1"/>
  <c r="C1975" i="1"/>
  <c r="D1975" i="1"/>
  <c r="E1975" i="1"/>
  <c r="A1976" i="1"/>
  <c r="B1976" i="1"/>
  <c r="C1976" i="1"/>
  <c r="D1976" i="1"/>
  <c r="E1976" i="1"/>
  <c r="A1977" i="1"/>
  <c r="B1977" i="1"/>
  <c r="C1977" i="1"/>
  <c r="D1977" i="1"/>
  <c r="E1977" i="1"/>
  <c r="A1978" i="1"/>
  <c r="B1978" i="1"/>
  <c r="C1978" i="1"/>
  <c r="D1978" i="1"/>
  <c r="E1978" i="1"/>
  <c r="A1979" i="1"/>
  <c r="B1979" i="1"/>
  <c r="C1979" i="1"/>
  <c r="D1979" i="1"/>
  <c r="E1979" i="1"/>
  <c r="A1980" i="1"/>
  <c r="B1980" i="1"/>
  <c r="C1980" i="1"/>
  <c r="D1980" i="1"/>
  <c r="E1980" i="1"/>
  <c r="A1981" i="1"/>
  <c r="B1981" i="1"/>
  <c r="C1981" i="1"/>
  <c r="D1981" i="1"/>
  <c r="E1981" i="1"/>
  <c r="A1982" i="1"/>
  <c r="B1982" i="1"/>
  <c r="C1982" i="1"/>
  <c r="D1982" i="1"/>
  <c r="E1982" i="1"/>
  <c r="A1983" i="1"/>
  <c r="B1983" i="1"/>
  <c r="C1983" i="1"/>
  <c r="D1983" i="1"/>
  <c r="E1983" i="1"/>
  <c r="A1984" i="1"/>
  <c r="B1984" i="1"/>
  <c r="C1984" i="1"/>
  <c r="D1984" i="1"/>
  <c r="E1984" i="1"/>
  <c r="A1985" i="1"/>
  <c r="B1985" i="1"/>
  <c r="C1985" i="1"/>
  <c r="D1985" i="1"/>
  <c r="E1985" i="1"/>
  <c r="A1986" i="1"/>
  <c r="B1986" i="1"/>
  <c r="C1986" i="1"/>
  <c r="D1986" i="1"/>
  <c r="E1986" i="1"/>
  <c r="A1987" i="1"/>
  <c r="B1987" i="1"/>
  <c r="C1987" i="1"/>
  <c r="D1987" i="1"/>
  <c r="E1987" i="1"/>
  <c r="A1988" i="1"/>
  <c r="B1988" i="1"/>
  <c r="C1988" i="1"/>
  <c r="D1988" i="1"/>
  <c r="E1988" i="1"/>
  <c r="A1989" i="1"/>
  <c r="B1989" i="1"/>
  <c r="C1989" i="1"/>
  <c r="D1989" i="1"/>
  <c r="E1989" i="1"/>
  <c r="A1990" i="1"/>
  <c r="B1990" i="1"/>
  <c r="C1990" i="1"/>
  <c r="D1990" i="1"/>
  <c r="E1990" i="1"/>
  <c r="A1991" i="1"/>
  <c r="B1991" i="1"/>
  <c r="C1991" i="1"/>
  <c r="D1991" i="1"/>
  <c r="E1991" i="1"/>
  <c r="A1992" i="1"/>
  <c r="B1992" i="1"/>
  <c r="C1992" i="1"/>
  <c r="D1992" i="1"/>
  <c r="E1992" i="1"/>
  <c r="A1993" i="1"/>
  <c r="B1993" i="1"/>
  <c r="C1993" i="1"/>
  <c r="D1993" i="1"/>
  <c r="E1993" i="1"/>
  <c r="A1994" i="1"/>
  <c r="B1994" i="1"/>
  <c r="C1994" i="1"/>
  <c r="D1994" i="1"/>
  <c r="E1994" i="1"/>
  <c r="A1995" i="1"/>
  <c r="B1995" i="1"/>
  <c r="C1995" i="1"/>
  <c r="D1995" i="1"/>
  <c r="E1995" i="1"/>
  <c r="A1996" i="1"/>
  <c r="B1996" i="1"/>
  <c r="C1996" i="1"/>
  <c r="D1996" i="1"/>
  <c r="E1996" i="1"/>
  <c r="A1997" i="1"/>
  <c r="B1997" i="1"/>
  <c r="C1997" i="1"/>
  <c r="D1997" i="1"/>
  <c r="E1997" i="1"/>
  <c r="A1998" i="1"/>
  <c r="B1998" i="1"/>
  <c r="C1998" i="1"/>
  <c r="D1998" i="1"/>
  <c r="E1998" i="1"/>
  <c r="A1999" i="1"/>
  <c r="B1999" i="1"/>
  <c r="C1999" i="1"/>
  <c r="D1999" i="1"/>
  <c r="E1999" i="1"/>
  <c r="A2000" i="1"/>
  <c r="B2000" i="1"/>
  <c r="C2000" i="1"/>
  <c r="D2000" i="1"/>
  <c r="E2000" i="1"/>
  <c r="A2001" i="1"/>
  <c r="B2001" i="1"/>
  <c r="C2001" i="1"/>
  <c r="D2001" i="1"/>
  <c r="E2001" i="1"/>
  <c r="A2002" i="1"/>
  <c r="B2002" i="1"/>
  <c r="C2002" i="1"/>
  <c r="D2002" i="1"/>
  <c r="E2002" i="1"/>
  <c r="A2003" i="1"/>
  <c r="B2003" i="1"/>
  <c r="C2003" i="1"/>
  <c r="D2003" i="1"/>
  <c r="E2003" i="1"/>
  <c r="A2004" i="1"/>
  <c r="B2004" i="1"/>
  <c r="C2004" i="1"/>
  <c r="D2004" i="1"/>
  <c r="E2004" i="1"/>
  <c r="A2005" i="1"/>
  <c r="B2005" i="1"/>
  <c r="C2005" i="1"/>
  <c r="D2005" i="1"/>
  <c r="E2005" i="1"/>
  <c r="A2006" i="1"/>
  <c r="B2006" i="1"/>
  <c r="C2006" i="1"/>
  <c r="D2006" i="1"/>
  <c r="E2006" i="1"/>
  <c r="A2007" i="1"/>
  <c r="B2007" i="1"/>
  <c r="C2007" i="1"/>
  <c r="D2007" i="1"/>
  <c r="E2007" i="1"/>
  <c r="A2008" i="1"/>
  <c r="B2008" i="1"/>
  <c r="C2008" i="1"/>
  <c r="D2008" i="1"/>
  <c r="E2008" i="1"/>
  <c r="A2009" i="1"/>
  <c r="B2009" i="1"/>
  <c r="C2009" i="1"/>
  <c r="D2009" i="1"/>
  <c r="E2009" i="1"/>
  <c r="A2010" i="1"/>
  <c r="B2010" i="1"/>
  <c r="C2010" i="1"/>
  <c r="D2010" i="1"/>
  <c r="E2010" i="1"/>
  <c r="A2011" i="1"/>
  <c r="B2011" i="1"/>
  <c r="C2011" i="1"/>
  <c r="D2011" i="1"/>
  <c r="E2011" i="1"/>
  <c r="A2012" i="1"/>
  <c r="B2012" i="1"/>
  <c r="C2012" i="1"/>
  <c r="D2012" i="1"/>
  <c r="E2012" i="1"/>
  <c r="A2013" i="1"/>
  <c r="B2013" i="1"/>
  <c r="C2013" i="1"/>
  <c r="D2013" i="1"/>
  <c r="E2013" i="1"/>
  <c r="A2014" i="1"/>
  <c r="B2014" i="1"/>
  <c r="C2014" i="1"/>
  <c r="D2014" i="1"/>
  <c r="E2014" i="1"/>
  <c r="A2015" i="1"/>
  <c r="B2015" i="1"/>
  <c r="C2015" i="1"/>
  <c r="D2015" i="1"/>
  <c r="E2015" i="1"/>
  <c r="A2016" i="1"/>
  <c r="B2016" i="1"/>
  <c r="C2016" i="1"/>
  <c r="D2016" i="1"/>
  <c r="E2016" i="1"/>
  <c r="A2017" i="1"/>
  <c r="B2017" i="1"/>
  <c r="C2017" i="1"/>
  <c r="D2017" i="1"/>
  <c r="E2017" i="1"/>
  <c r="A2018" i="1"/>
  <c r="B2018" i="1"/>
  <c r="C2018" i="1"/>
  <c r="D2018" i="1"/>
  <c r="E2018" i="1"/>
  <c r="A2019" i="1"/>
  <c r="B2019" i="1"/>
  <c r="C2019" i="1"/>
  <c r="D2019" i="1"/>
  <c r="E2019" i="1"/>
  <c r="A2020" i="1"/>
  <c r="B2020" i="1"/>
  <c r="C2020" i="1"/>
  <c r="D2020" i="1"/>
  <c r="E2020" i="1"/>
  <c r="A2021" i="1"/>
  <c r="B2021" i="1"/>
  <c r="C2021" i="1"/>
  <c r="D2021" i="1"/>
  <c r="E2021" i="1"/>
  <c r="A2022" i="1"/>
  <c r="B2022" i="1"/>
  <c r="C2022" i="1"/>
  <c r="D2022" i="1"/>
  <c r="E2022" i="1"/>
  <c r="A2023" i="1"/>
  <c r="B2023" i="1"/>
  <c r="C2023" i="1"/>
  <c r="D2023" i="1"/>
  <c r="E2023" i="1"/>
  <c r="A2024" i="1"/>
  <c r="B2024" i="1"/>
  <c r="C2024" i="1"/>
  <c r="D2024" i="1"/>
  <c r="E2024" i="1"/>
  <c r="A2025" i="1"/>
  <c r="B2025" i="1"/>
  <c r="C2025" i="1"/>
  <c r="D2025" i="1"/>
  <c r="E2025" i="1"/>
  <c r="A2026" i="1"/>
  <c r="B2026" i="1"/>
  <c r="C2026" i="1"/>
  <c r="D2026" i="1"/>
  <c r="E2026" i="1"/>
  <c r="A2027" i="1"/>
  <c r="B2027" i="1"/>
  <c r="C2027" i="1"/>
  <c r="D2027" i="1"/>
  <c r="E2027" i="1"/>
  <c r="A2028" i="1"/>
  <c r="B2028" i="1"/>
  <c r="C2028" i="1"/>
  <c r="D2028" i="1"/>
  <c r="E2028" i="1"/>
  <c r="A2029" i="1"/>
  <c r="B2029" i="1"/>
  <c r="C2029" i="1"/>
  <c r="D2029" i="1"/>
  <c r="E2029" i="1"/>
  <c r="A2030" i="1"/>
  <c r="B2030" i="1"/>
  <c r="C2030" i="1"/>
  <c r="D2030" i="1"/>
  <c r="E2030" i="1"/>
  <c r="A2031" i="1"/>
  <c r="B2031" i="1"/>
  <c r="C2031" i="1"/>
  <c r="D2031" i="1"/>
  <c r="E2031" i="1"/>
  <c r="A2032" i="1"/>
  <c r="B2032" i="1"/>
  <c r="C2032" i="1"/>
  <c r="D2032" i="1"/>
  <c r="E2032" i="1"/>
  <c r="A2033" i="1"/>
  <c r="B2033" i="1"/>
  <c r="C2033" i="1"/>
  <c r="D2033" i="1"/>
  <c r="E2033" i="1"/>
  <c r="A2034" i="1"/>
  <c r="B2034" i="1"/>
  <c r="C2034" i="1"/>
  <c r="D2034" i="1"/>
  <c r="E2034" i="1"/>
  <c r="A2035" i="1"/>
  <c r="B2035" i="1"/>
  <c r="C2035" i="1"/>
  <c r="D2035" i="1"/>
  <c r="E2035" i="1"/>
  <c r="A2036" i="1"/>
  <c r="B2036" i="1"/>
  <c r="C2036" i="1"/>
  <c r="D2036" i="1"/>
  <c r="E2036" i="1"/>
  <c r="A2037" i="1"/>
  <c r="B2037" i="1"/>
  <c r="C2037" i="1"/>
  <c r="D2037" i="1"/>
  <c r="E2037" i="1"/>
  <c r="A2038" i="1"/>
  <c r="B2038" i="1"/>
  <c r="C2038" i="1"/>
  <c r="D2038" i="1"/>
  <c r="E2038" i="1"/>
  <c r="A2039" i="1"/>
  <c r="B2039" i="1"/>
  <c r="C2039" i="1"/>
  <c r="D2039" i="1"/>
  <c r="E2039" i="1"/>
  <c r="A2040" i="1"/>
  <c r="B2040" i="1"/>
  <c r="C2040" i="1"/>
  <c r="D2040" i="1"/>
  <c r="E2040" i="1"/>
  <c r="A2041" i="1"/>
  <c r="B2041" i="1"/>
  <c r="C2041" i="1"/>
  <c r="D2041" i="1"/>
  <c r="E2041" i="1"/>
  <c r="A2042" i="1"/>
  <c r="B2042" i="1"/>
  <c r="C2042" i="1"/>
  <c r="D2042" i="1"/>
  <c r="E2042" i="1"/>
  <c r="A2043" i="1"/>
  <c r="B2043" i="1"/>
  <c r="C2043" i="1"/>
  <c r="D2043" i="1"/>
  <c r="E2043" i="1"/>
  <c r="A2044" i="1"/>
  <c r="B2044" i="1"/>
  <c r="C2044" i="1"/>
  <c r="D2044" i="1"/>
  <c r="E2044" i="1"/>
  <c r="A2045" i="1"/>
  <c r="B2045" i="1"/>
  <c r="C2045" i="1"/>
  <c r="D2045" i="1"/>
  <c r="E2045" i="1"/>
  <c r="A2046" i="1"/>
  <c r="B2046" i="1"/>
  <c r="C2046" i="1"/>
  <c r="D2046" i="1"/>
  <c r="E2046" i="1"/>
  <c r="A2047" i="1"/>
  <c r="B2047" i="1"/>
  <c r="C2047" i="1"/>
  <c r="D2047" i="1"/>
  <c r="E2047" i="1"/>
  <c r="A2048" i="1"/>
  <c r="B2048" i="1"/>
  <c r="C2048" i="1"/>
  <c r="D2048" i="1"/>
  <c r="E2048" i="1"/>
  <c r="A2049" i="1"/>
  <c r="B2049" i="1"/>
  <c r="C2049" i="1"/>
  <c r="D2049" i="1"/>
  <c r="E2049" i="1"/>
  <c r="A2050" i="1"/>
  <c r="B2050" i="1"/>
  <c r="C2050" i="1"/>
  <c r="D2050" i="1"/>
  <c r="E2050" i="1"/>
  <c r="A2051" i="1"/>
  <c r="B2051" i="1"/>
  <c r="C2051" i="1"/>
  <c r="D2051" i="1"/>
  <c r="E2051" i="1"/>
  <c r="A2052" i="1"/>
  <c r="B2052" i="1"/>
  <c r="C2052" i="1"/>
  <c r="D2052" i="1"/>
  <c r="E2052" i="1"/>
  <c r="A2053" i="1"/>
  <c r="B2053" i="1"/>
  <c r="C2053" i="1"/>
  <c r="D2053" i="1"/>
  <c r="E2053" i="1"/>
  <c r="A2054" i="1"/>
  <c r="B2054" i="1"/>
  <c r="C2054" i="1"/>
  <c r="D2054" i="1"/>
  <c r="E2054" i="1"/>
  <c r="A2055" i="1"/>
  <c r="B2055" i="1"/>
  <c r="C2055" i="1"/>
  <c r="D2055" i="1"/>
  <c r="E2055" i="1"/>
  <c r="A2056" i="1"/>
  <c r="B2056" i="1"/>
  <c r="C2056" i="1"/>
  <c r="D2056" i="1"/>
  <c r="E2056" i="1"/>
  <c r="A2057" i="1"/>
  <c r="B2057" i="1"/>
  <c r="C2057" i="1"/>
  <c r="D2057" i="1"/>
  <c r="E2057" i="1"/>
  <c r="A2058" i="1"/>
  <c r="B2058" i="1"/>
  <c r="C2058" i="1"/>
  <c r="D2058" i="1"/>
  <c r="E2058" i="1"/>
  <c r="A2059" i="1"/>
  <c r="B2059" i="1"/>
  <c r="C2059" i="1"/>
  <c r="D2059" i="1"/>
  <c r="E2059" i="1"/>
  <c r="A2060" i="1"/>
  <c r="B2060" i="1"/>
  <c r="C2060" i="1"/>
  <c r="D2060" i="1"/>
  <c r="E2060" i="1"/>
  <c r="A2061" i="1"/>
  <c r="B2061" i="1"/>
  <c r="C2061" i="1"/>
  <c r="D2061" i="1"/>
  <c r="E2061" i="1"/>
  <c r="A2062" i="1"/>
  <c r="B2062" i="1"/>
  <c r="C2062" i="1"/>
  <c r="D2062" i="1"/>
  <c r="E2062" i="1"/>
  <c r="A2063" i="1"/>
  <c r="B2063" i="1"/>
  <c r="C2063" i="1"/>
  <c r="D2063" i="1"/>
  <c r="E2063" i="1"/>
  <c r="A2064" i="1"/>
  <c r="B2064" i="1"/>
  <c r="C2064" i="1"/>
  <c r="D2064" i="1"/>
  <c r="E2064" i="1"/>
  <c r="A2065" i="1"/>
  <c r="B2065" i="1"/>
  <c r="C2065" i="1"/>
  <c r="D2065" i="1"/>
  <c r="E2065" i="1"/>
  <c r="A2066" i="1"/>
  <c r="B2066" i="1"/>
  <c r="C2066" i="1"/>
  <c r="D2066" i="1"/>
  <c r="E2066" i="1"/>
  <c r="A2067" i="1"/>
  <c r="B2067" i="1"/>
  <c r="C2067" i="1"/>
  <c r="D2067" i="1"/>
  <c r="E2067" i="1"/>
  <c r="A2068" i="1"/>
  <c r="B2068" i="1"/>
  <c r="C2068" i="1"/>
  <c r="D2068" i="1"/>
  <c r="E2068" i="1"/>
  <c r="A2069" i="1"/>
  <c r="B2069" i="1"/>
  <c r="C2069" i="1"/>
  <c r="D2069" i="1"/>
  <c r="E2069" i="1"/>
  <c r="A2070" i="1"/>
  <c r="B2070" i="1"/>
  <c r="C2070" i="1"/>
  <c r="D2070" i="1"/>
  <c r="E2070" i="1"/>
  <c r="A2071" i="1"/>
  <c r="B2071" i="1"/>
  <c r="C2071" i="1"/>
  <c r="D2071" i="1"/>
  <c r="E2071" i="1"/>
  <c r="A2072" i="1"/>
  <c r="B2072" i="1"/>
  <c r="C2072" i="1"/>
  <c r="D2072" i="1"/>
  <c r="E2072" i="1"/>
  <c r="A2073" i="1"/>
  <c r="B2073" i="1"/>
  <c r="C2073" i="1"/>
  <c r="D2073" i="1"/>
  <c r="E2073" i="1"/>
  <c r="A2074" i="1"/>
  <c r="B2074" i="1"/>
  <c r="C2074" i="1"/>
  <c r="D2074" i="1"/>
  <c r="E2074" i="1"/>
  <c r="A2075" i="1"/>
  <c r="B2075" i="1"/>
  <c r="C2075" i="1"/>
  <c r="D2075" i="1"/>
  <c r="E2075" i="1"/>
  <c r="A2076" i="1"/>
  <c r="B2076" i="1"/>
  <c r="C2076" i="1"/>
  <c r="D2076" i="1"/>
  <c r="E2076" i="1"/>
  <c r="A2077" i="1"/>
  <c r="B2077" i="1"/>
  <c r="C2077" i="1"/>
  <c r="D2077" i="1"/>
  <c r="E2077" i="1"/>
  <c r="A2078" i="1"/>
  <c r="B2078" i="1"/>
  <c r="C2078" i="1"/>
  <c r="D2078" i="1"/>
  <c r="E2078" i="1"/>
  <c r="A2079" i="1"/>
  <c r="B2079" i="1"/>
  <c r="C2079" i="1"/>
  <c r="D2079" i="1"/>
  <c r="E2079" i="1"/>
  <c r="A2080" i="1"/>
  <c r="B2080" i="1"/>
  <c r="C2080" i="1"/>
  <c r="D2080" i="1"/>
  <c r="E2080" i="1"/>
  <c r="A2081" i="1"/>
  <c r="B2081" i="1"/>
  <c r="C2081" i="1"/>
  <c r="D2081" i="1"/>
  <c r="E2081" i="1"/>
  <c r="A2082" i="1"/>
  <c r="B2082" i="1"/>
  <c r="C2082" i="1"/>
  <c r="D2082" i="1"/>
  <c r="E2082" i="1"/>
  <c r="A2083" i="1"/>
  <c r="B2083" i="1"/>
  <c r="C2083" i="1"/>
  <c r="D2083" i="1"/>
  <c r="E2083" i="1"/>
  <c r="A2084" i="1"/>
  <c r="B2084" i="1"/>
  <c r="C2084" i="1"/>
  <c r="D2084" i="1"/>
  <c r="E2084" i="1"/>
  <c r="A2085" i="1"/>
  <c r="B2085" i="1"/>
  <c r="C2085" i="1"/>
  <c r="D2085" i="1"/>
  <c r="E2085" i="1"/>
  <c r="A2086" i="1"/>
  <c r="B2086" i="1"/>
  <c r="C2086" i="1"/>
  <c r="D2086" i="1"/>
  <c r="E2086" i="1"/>
  <c r="A2087" i="1"/>
  <c r="B2087" i="1"/>
  <c r="C2087" i="1"/>
  <c r="D2087" i="1"/>
  <c r="E2087" i="1"/>
  <c r="A2088" i="1"/>
  <c r="B2088" i="1"/>
  <c r="C2088" i="1"/>
  <c r="D2088" i="1"/>
  <c r="E2088" i="1"/>
  <c r="A2089" i="1"/>
  <c r="B2089" i="1"/>
  <c r="C2089" i="1"/>
  <c r="D2089" i="1"/>
  <c r="E2089" i="1"/>
  <c r="A2090" i="1"/>
  <c r="B2090" i="1"/>
  <c r="C2090" i="1"/>
  <c r="D2090" i="1"/>
  <c r="E2090" i="1"/>
  <c r="A2091" i="1"/>
  <c r="B2091" i="1"/>
  <c r="C2091" i="1"/>
  <c r="D2091" i="1"/>
  <c r="E2091" i="1"/>
  <c r="A2092" i="1"/>
  <c r="B2092" i="1"/>
  <c r="C2092" i="1"/>
  <c r="D2092" i="1"/>
  <c r="E2092" i="1"/>
  <c r="A2093" i="1"/>
  <c r="B2093" i="1"/>
  <c r="C2093" i="1"/>
  <c r="D2093" i="1"/>
  <c r="E2093" i="1"/>
  <c r="A2094" i="1"/>
  <c r="B2094" i="1"/>
  <c r="C2094" i="1"/>
  <c r="D2094" i="1"/>
  <c r="E2094" i="1"/>
  <c r="A2095" i="1"/>
  <c r="B2095" i="1"/>
  <c r="C2095" i="1"/>
  <c r="D2095" i="1"/>
  <c r="E2095" i="1"/>
  <c r="A2096" i="1"/>
  <c r="B2096" i="1"/>
  <c r="C2096" i="1"/>
  <c r="D2096" i="1"/>
  <c r="E2096" i="1"/>
  <c r="A2097" i="1"/>
  <c r="B2097" i="1"/>
  <c r="C2097" i="1"/>
  <c r="D2097" i="1"/>
  <c r="E2097" i="1"/>
  <c r="A2098" i="1"/>
  <c r="B2098" i="1"/>
  <c r="C2098" i="1"/>
  <c r="D2098" i="1"/>
  <c r="E2098" i="1"/>
  <c r="A2099" i="1"/>
  <c r="B2099" i="1"/>
  <c r="C2099" i="1"/>
  <c r="D2099" i="1"/>
  <c r="E2099" i="1"/>
  <c r="A2100" i="1"/>
  <c r="B2100" i="1"/>
  <c r="C2100" i="1"/>
  <c r="D2100" i="1"/>
  <c r="E2100" i="1"/>
  <c r="A2101" i="1"/>
  <c r="B2101" i="1"/>
  <c r="C2101" i="1"/>
  <c r="D2101" i="1"/>
  <c r="E2101" i="1"/>
  <c r="A2102" i="1"/>
  <c r="B2102" i="1"/>
  <c r="C2102" i="1"/>
  <c r="D2102" i="1"/>
  <c r="E2102" i="1"/>
  <c r="A2103" i="1"/>
  <c r="B2103" i="1"/>
  <c r="C2103" i="1"/>
  <c r="D2103" i="1"/>
  <c r="E2103" i="1"/>
  <c r="A2104" i="1"/>
  <c r="B2104" i="1"/>
  <c r="C2104" i="1"/>
  <c r="D2104" i="1"/>
  <c r="E2104" i="1"/>
  <c r="A2105" i="1"/>
  <c r="B2105" i="1"/>
  <c r="C2105" i="1"/>
  <c r="D2105" i="1"/>
  <c r="E2105" i="1"/>
  <c r="A2106" i="1"/>
  <c r="B2106" i="1"/>
  <c r="C2106" i="1"/>
  <c r="D2106" i="1"/>
  <c r="E2106" i="1"/>
  <c r="A2107" i="1"/>
  <c r="B2107" i="1"/>
  <c r="C2107" i="1"/>
  <c r="D2107" i="1"/>
  <c r="E2107" i="1"/>
  <c r="A2108" i="1"/>
  <c r="B2108" i="1"/>
  <c r="C2108" i="1"/>
  <c r="D2108" i="1"/>
  <c r="E2108" i="1"/>
  <c r="A2109" i="1"/>
  <c r="B2109" i="1"/>
  <c r="C2109" i="1"/>
  <c r="D2109" i="1"/>
  <c r="E2109" i="1"/>
  <c r="A2110" i="1"/>
  <c r="B2110" i="1"/>
  <c r="C2110" i="1"/>
  <c r="D2110" i="1"/>
  <c r="E2110" i="1"/>
  <c r="A2111" i="1"/>
  <c r="B2111" i="1"/>
  <c r="C2111" i="1"/>
  <c r="D2111" i="1"/>
  <c r="E2111" i="1"/>
  <c r="A2112" i="1"/>
  <c r="B2112" i="1"/>
  <c r="C2112" i="1"/>
  <c r="D2112" i="1"/>
  <c r="E2112" i="1"/>
  <c r="A2113" i="1"/>
  <c r="B2113" i="1"/>
  <c r="C2113" i="1"/>
  <c r="D2113" i="1"/>
  <c r="E2113" i="1"/>
  <c r="A2114" i="1"/>
  <c r="B2114" i="1"/>
  <c r="C2114" i="1"/>
  <c r="D2114" i="1"/>
  <c r="E2114" i="1"/>
  <c r="A2115" i="1"/>
  <c r="B2115" i="1"/>
  <c r="C2115" i="1"/>
  <c r="D2115" i="1"/>
  <c r="E2115" i="1"/>
  <c r="A2116" i="1"/>
  <c r="B2116" i="1"/>
  <c r="C2116" i="1"/>
  <c r="D2116" i="1"/>
  <c r="E2116" i="1"/>
  <c r="A2117" i="1"/>
  <c r="B2117" i="1"/>
  <c r="C2117" i="1"/>
  <c r="D2117" i="1"/>
  <c r="E2117" i="1"/>
  <c r="A2118" i="1"/>
  <c r="B2118" i="1"/>
  <c r="C2118" i="1"/>
  <c r="D2118" i="1"/>
  <c r="E2118" i="1"/>
  <c r="A2119" i="1"/>
  <c r="B2119" i="1"/>
  <c r="C2119" i="1"/>
  <c r="D2119" i="1"/>
  <c r="E2119" i="1"/>
  <c r="A2120" i="1"/>
  <c r="B2120" i="1"/>
  <c r="C2120" i="1"/>
  <c r="D2120" i="1"/>
  <c r="E2120" i="1"/>
  <c r="A2121" i="1"/>
  <c r="B2121" i="1"/>
  <c r="C2121" i="1"/>
  <c r="D2121" i="1"/>
  <c r="E2121" i="1"/>
  <c r="A2122" i="1"/>
  <c r="B2122" i="1"/>
  <c r="C2122" i="1"/>
  <c r="D2122" i="1"/>
  <c r="E2122" i="1"/>
  <c r="A2123" i="1"/>
  <c r="B2123" i="1"/>
  <c r="C2123" i="1"/>
  <c r="D2123" i="1"/>
  <c r="E2123" i="1"/>
  <c r="A2124" i="1"/>
  <c r="B2124" i="1"/>
  <c r="C2124" i="1"/>
  <c r="D2124" i="1"/>
  <c r="E2124" i="1"/>
  <c r="A2125" i="1"/>
  <c r="B2125" i="1"/>
  <c r="C2125" i="1"/>
  <c r="D2125" i="1"/>
  <c r="E2125" i="1"/>
  <c r="A2126" i="1"/>
  <c r="B2126" i="1"/>
  <c r="C2126" i="1"/>
  <c r="D2126" i="1"/>
  <c r="E2126" i="1"/>
  <c r="A2127" i="1"/>
  <c r="B2127" i="1"/>
  <c r="C2127" i="1"/>
  <c r="D2127" i="1"/>
  <c r="E2127" i="1"/>
  <c r="A2128" i="1"/>
  <c r="B2128" i="1"/>
  <c r="C2128" i="1"/>
  <c r="D2128" i="1"/>
  <c r="E2128" i="1"/>
  <c r="A2129" i="1"/>
  <c r="B2129" i="1"/>
  <c r="C2129" i="1"/>
  <c r="D2129" i="1"/>
  <c r="E2129" i="1"/>
  <c r="A2130" i="1"/>
  <c r="B2130" i="1"/>
  <c r="C2130" i="1"/>
  <c r="D2130" i="1"/>
  <c r="E2130" i="1"/>
  <c r="A2131" i="1"/>
  <c r="B2131" i="1"/>
  <c r="C2131" i="1"/>
  <c r="D2131" i="1"/>
  <c r="E2131" i="1"/>
  <c r="A2132" i="1"/>
  <c r="B2132" i="1"/>
  <c r="C2132" i="1"/>
  <c r="D2132" i="1"/>
  <c r="E2132" i="1"/>
  <c r="A2133" i="1"/>
  <c r="B2133" i="1"/>
  <c r="C2133" i="1"/>
  <c r="D2133" i="1"/>
  <c r="E2133" i="1"/>
  <c r="A2134" i="1"/>
  <c r="B2134" i="1"/>
  <c r="C2134" i="1"/>
  <c r="D2134" i="1"/>
  <c r="E2134" i="1"/>
  <c r="A2135" i="1"/>
  <c r="B2135" i="1"/>
  <c r="C2135" i="1"/>
  <c r="D2135" i="1"/>
  <c r="E2135" i="1"/>
  <c r="A2136" i="1"/>
  <c r="B2136" i="1"/>
  <c r="C2136" i="1"/>
  <c r="D2136" i="1"/>
  <c r="E2136" i="1"/>
  <c r="A2137" i="1"/>
  <c r="B2137" i="1"/>
  <c r="C2137" i="1"/>
  <c r="D2137" i="1"/>
  <c r="E2137" i="1"/>
  <c r="A2138" i="1"/>
  <c r="B2138" i="1"/>
  <c r="C2138" i="1"/>
  <c r="D2138" i="1"/>
  <c r="E2138" i="1"/>
  <c r="A2139" i="1"/>
  <c r="B2139" i="1"/>
  <c r="C2139" i="1"/>
  <c r="D2139" i="1"/>
  <c r="E2139" i="1"/>
  <c r="A2140" i="1"/>
  <c r="B2140" i="1"/>
  <c r="C2140" i="1"/>
  <c r="D2140" i="1"/>
  <c r="E2140" i="1"/>
  <c r="A2141" i="1"/>
  <c r="B2141" i="1"/>
  <c r="C2141" i="1"/>
  <c r="D2141" i="1"/>
  <c r="E2141" i="1"/>
  <c r="A2142" i="1"/>
  <c r="B2142" i="1"/>
  <c r="C2142" i="1"/>
  <c r="D2142" i="1"/>
  <c r="E2142" i="1"/>
  <c r="A2143" i="1"/>
  <c r="B2143" i="1"/>
  <c r="C2143" i="1"/>
  <c r="D2143" i="1"/>
  <c r="E2143" i="1"/>
  <c r="A2144" i="1"/>
  <c r="B2144" i="1"/>
  <c r="C2144" i="1"/>
  <c r="D2144" i="1"/>
  <c r="E2144" i="1"/>
  <c r="A2145" i="1"/>
  <c r="B2145" i="1"/>
  <c r="C2145" i="1"/>
  <c r="D2145" i="1"/>
  <c r="E2145" i="1"/>
  <c r="A2146" i="1"/>
  <c r="B2146" i="1"/>
  <c r="C2146" i="1"/>
  <c r="D2146" i="1"/>
  <c r="E2146" i="1"/>
  <c r="A2147" i="1"/>
  <c r="B2147" i="1"/>
  <c r="C2147" i="1"/>
  <c r="D2147" i="1"/>
  <c r="E2147" i="1"/>
  <c r="A2148" i="1"/>
  <c r="B2148" i="1"/>
  <c r="C2148" i="1"/>
  <c r="D2148" i="1"/>
  <c r="E2148" i="1"/>
  <c r="A2149" i="1"/>
  <c r="B2149" i="1"/>
  <c r="C2149" i="1"/>
  <c r="D2149" i="1"/>
  <c r="E2149" i="1"/>
  <c r="A2150" i="1"/>
  <c r="B2150" i="1"/>
  <c r="C2150" i="1"/>
  <c r="D2150" i="1"/>
  <c r="E2150" i="1"/>
  <c r="A2151" i="1"/>
  <c r="B2151" i="1"/>
  <c r="C2151" i="1"/>
  <c r="D2151" i="1"/>
  <c r="E2151" i="1"/>
  <c r="A2152" i="1"/>
  <c r="B2152" i="1"/>
  <c r="C2152" i="1"/>
  <c r="D2152" i="1"/>
  <c r="E2152" i="1"/>
  <c r="A2153" i="1"/>
  <c r="B2153" i="1"/>
  <c r="C2153" i="1"/>
  <c r="D2153" i="1"/>
  <c r="E2153" i="1"/>
  <c r="A2154" i="1"/>
  <c r="B2154" i="1"/>
  <c r="C2154" i="1"/>
  <c r="D2154" i="1"/>
  <c r="E2154" i="1"/>
  <c r="A2155" i="1"/>
  <c r="B2155" i="1"/>
  <c r="C2155" i="1"/>
  <c r="D2155" i="1"/>
  <c r="E2155" i="1"/>
  <c r="A2156" i="1"/>
  <c r="B2156" i="1"/>
  <c r="C2156" i="1"/>
  <c r="D2156" i="1"/>
  <c r="E2156" i="1"/>
  <c r="A2157" i="1"/>
  <c r="B2157" i="1"/>
  <c r="C2157" i="1"/>
  <c r="D2157" i="1"/>
  <c r="E2157" i="1"/>
  <c r="A2158" i="1"/>
  <c r="B2158" i="1"/>
  <c r="C2158" i="1"/>
  <c r="D2158" i="1"/>
  <c r="E2158" i="1"/>
  <c r="A2159" i="1"/>
  <c r="B2159" i="1"/>
  <c r="C2159" i="1"/>
  <c r="D2159" i="1"/>
  <c r="E2159" i="1"/>
  <c r="A2160" i="1"/>
  <c r="B2160" i="1"/>
  <c r="C2160" i="1"/>
  <c r="D2160" i="1"/>
  <c r="E2160" i="1"/>
  <c r="A2161" i="1"/>
  <c r="B2161" i="1"/>
  <c r="C2161" i="1"/>
  <c r="D2161" i="1"/>
  <c r="E2161" i="1"/>
  <c r="A2162" i="1"/>
  <c r="B2162" i="1"/>
  <c r="C2162" i="1"/>
  <c r="D2162" i="1"/>
  <c r="E2162" i="1"/>
  <c r="A2163" i="1"/>
  <c r="B2163" i="1"/>
  <c r="C2163" i="1"/>
  <c r="D2163" i="1"/>
  <c r="E2163" i="1"/>
  <c r="A2164" i="1"/>
  <c r="B2164" i="1"/>
  <c r="C2164" i="1"/>
  <c r="D2164" i="1"/>
  <c r="E2164" i="1"/>
  <c r="A2165" i="1"/>
  <c r="B2165" i="1"/>
  <c r="C2165" i="1"/>
  <c r="D2165" i="1"/>
  <c r="E2165" i="1"/>
  <c r="A2166" i="1"/>
  <c r="B2166" i="1"/>
  <c r="C2166" i="1"/>
  <c r="D2166" i="1"/>
  <c r="E2166" i="1"/>
  <c r="A2167" i="1"/>
  <c r="B2167" i="1"/>
  <c r="C2167" i="1"/>
  <c r="D2167" i="1"/>
  <c r="E2167" i="1"/>
  <c r="A2168" i="1"/>
  <c r="B2168" i="1"/>
  <c r="C2168" i="1"/>
  <c r="D2168" i="1"/>
  <c r="E2168" i="1"/>
  <c r="A2169" i="1"/>
  <c r="B2169" i="1"/>
  <c r="C2169" i="1"/>
  <c r="D2169" i="1"/>
  <c r="E2169" i="1"/>
  <c r="A2170" i="1"/>
  <c r="B2170" i="1"/>
  <c r="C2170" i="1"/>
  <c r="D2170" i="1"/>
  <c r="E2170" i="1"/>
  <c r="A2171" i="1"/>
  <c r="B2171" i="1"/>
  <c r="C2171" i="1"/>
  <c r="D2171" i="1"/>
  <c r="E2171" i="1"/>
  <c r="A2172" i="1"/>
  <c r="B2172" i="1"/>
  <c r="C2172" i="1"/>
  <c r="D2172" i="1"/>
  <c r="E2172" i="1"/>
  <c r="A2173" i="1"/>
  <c r="B2173" i="1"/>
  <c r="C2173" i="1"/>
  <c r="D2173" i="1"/>
  <c r="E2173" i="1"/>
  <c r="A2174" i="1"/>
  <c r="B2174" i="1"/>
  <c r="C2174" i="1"/>
  <c r="D2174" i="1"/>
  <c r="E2174" i="1"/>
  <c r="A2175" i="1"/>
  <c r="B2175" i="1"/>
  <c r="C2175" i="1"/>
  <c r="D2175" i="1"/>
  <c r="E2175" i="1"/>
  <c r="A2176" i="1"/>
  <c r="B2176" i="1"/>
  <c r="C2176" i="1"/>
  <c r="D2176" i="1"/>
  <c r="E2176" i="1"/>
  <c r="A2177" i="1"/>
  <c r="B2177" i="1"/>
  <c r="C2177" i="1"/>
  <c r="D2177" i="1"/>
  <c r="E2177" i="1"/>
  <c r="A2178" i="1"/>
  <c r="B2178" i="1"/>
  <c r="C2178" i="1"/>
  <c r="D2178" i="1"/>
  <c r="E2178" i="1"/>
  <c r="A2179" i="1"/>
  <c r="B2179" i="1"/>
  <c r="C2179" i="1"/>
  <c r="D2179" i="1"/>
  <c r="E2179" i="1"/>
  <c r="A2180" i="1"/>
  <c r="B2180" i="1"/>
  <c r="C2180" i="1"/>
  <c r="D2180" i="1"/>
  <c r="E2180" i="1"/>
  <c r="A2181" i="1"/>
  <c r="B2181" i="1"/>
  <c r="C2181" i="1"/>
  <c r="D2181" i="1"/>
  <c r="E2181" i="1"/>
  <c r="A2182" i="1"/>
  <c r="B2182" i="1"/>
  <c r="C2182" i="1"/>
  <c r="D2182" i="1"/>
  <c r="E2182" i="1"/>
  <c r="A2183" i="1"/>
  <c r="B2183" i="1"/>
  <c r="C2183" i="1"/>
  <c r="D2183" i="1"/>
  <c r="E2183" i="1"/>
  <c r="A2184" i="1"/>
  <c r="B2184" i="1"/>
  <c r="C2184" i="1"/>
  <c r="D2184" i="1"/>
  <c r="E2184" i="1"/>
  <c r="A2185" i="1"/>
  <c r="B2185" i="1"/>
  <c r="C2185" i="1"/>
  <c r="D2185" i="1"/>
  <c r="E2185" i="1"/>
  <c r="A2186" i="1"/>
  <c r="B2186" i="1"/>
  <c r="C2186" i="1"/>
  <c r="D2186" i="1"/>
  <c r="E2186" i="1"/>
  <c r="A2187" i="1"/>
  <c r="B2187" i="1"/>
  <c r="C2187" i="1"/>
  <c r="D2187" i="1"/>
  <c r="E2187" i="1"/>
  <c r="A2188" i="1"/>
  <c r="B2188" i="1"/>
  <c r="C2188" i="1"/>
  <c r="D2188" i="1"/>
  <c r="E2188" i="1"/>
  <c r="A2189" i="1"/>
  <c r="B2189" i="1"/>
  <c r="C2189" i="1"/>
  <c r="D2189" i="1"/>
  <c r="E2189" i="1"/>
  <c r="A2190" i="1"/>
  <c r="B2190" i="1"/>
  <c r="C2190" i="1"/>
  <c r="D2190" i="1"/>
  <c r="E2190" i="1"/>
  <c r="A2191" i="1"/>
  <c r="B2191" i="1"/>
  <c r="C2191" i="1"/>
  <c r="D2191" i="1"/>
  <c r="E2191" i="1"/>
  <c r="A2192" i="1"/>
  <c r="B2192" i="1"/>
  <c r="C2192" i="1"/>
  <c r="D2192" i="1"/>
  <c r="E2192" i="1"/>
  <c r="A2193" i="1"/>
  <c r="B2193" i="1"/>
  <c r="C2193" i="1"/>
  <c r="D2193" i="1"/>
  <c r="E2193" i="1"/>
  <c r="A2194" i="1"/>
  <c r="B2194" i="1"/>
  <c r="C2194" i="1"/>
  <c r="D2194" i="1"/>
  <c r="E2194" i="1"/>
  <c r="A2195" i="1"/>
  <c r="B2195" i="1"/>
  <c r="C2195" i="1"/>
  <c r="D2195" i="1"/>
  <c r="E2195" i="1"/>
  <c r="A2196" i="1"/>
  <c r="B2196" i="1"/>
  <c r="C2196" i="1"/>
  <c r="D2196" i="1"/>
  <c r="E2196" i="1"/>
  <c r="A2197" i="1"/>
  <c r="B2197" i="1"/>
  <c r="C2197" i="1"/>
  <c r="D2197" i="1"/>
  <c r="E2197" i="1"/>
  <c r="A2198" i="1"/>
  <c r="B2198" i="1"/>
  <c r="C2198" i="1"/>
  <c r="D2198" i="1"/>
  <c r="E2198" i="1"/>
  <c r="A2199" i="1"/>
  <c r="B2199" i="1"/>
  <c r="C2199" i="1"/>
  <c r="D2199" i="1"/>
  <c r="E2199" i="1"/>
  <c r="A2200" i="1"/>
  <c r="B2200" i="1"/>
  <c r="C2200" i="1"/>
  <c r="D2200" i="1"/>
  <c r="E2200" i="1"/>
  <c r="A2201" i="1"/>
  <c r="B2201" i="1"/>
  <c r="C2201" i="1"/>
  <c r="D2201" i="1"/>
  <c r="E2201" i="1"/>
  <c r="A2202" i="1"/>
  <c r="B2202" i="1"/>
  <c r="C2202" i="1"/>
  <c r="D2202" i="1"/>
  <c r="E2202" i="1"/>
  <c r="A2203" i="1"/>
  <c r="B2203" i="1"/>
  <c r="C2203" i="1"/>
  <c r="D2203" i="1"/>
  <c r="E2203" i="1"/>
  <c r="A2204" i="1"/>
  <c r="B2204" i="1"/>
  <c r="C2204" i="1"/>
  <c r="D2204" i="1"/>
  <c r="E2204" i="1"/>
  <c r="A2205" i="1"/>
  <c r="B2205" i="1"/>
  <c r="C2205" i="1"/>
  <c r="D2205" i="1"/>
  <c r="E2205" i="1"/>
  <c r="A2206" i="1"/>
  <c r="B2206" i="1"/>
  <c r="C2206" i="1"/>
  <c r="D2206" i="1"/>
  <c r="E2206" i="1"/>
  <c r="A2207" i="1"/>
  <c r="B2207" i="1"/>
  <c r="C2207" i="1"/>
  <c r="D2207" i="1"/>
  <c r="E2207" i="1"/>
  <c r="A2208" i="1"/>
  <c r="B2208" i="1"/>
  <c r="C2208" i="1"/>
  <c r="D2208" i="1"/>
  <c r="E2208" i="1"/>
  <c r="A2209" i="1"/>
  <c r="B2209" i="1"/>
  <c r="C2209" i="1"/>
  <c r="D2209" i="1"/>
  <c r="E2209" i="1"/>
  <c r="A2210" i="1"/>
  <c r="B2210" i="1"/>
  <c r="C2210" i="1"/>
  <c r="D2210" i="1"/>
  <c r="E2210" i="1"/>
  <c r="A2211" i="1"/>
  <c r="B2211" i="1"/>
  <c r="C2211" i="1"/>
  <c r="D2211" i="1"/>
  <c r="E2211" i="1"/>
  <c r="A2212" i="1"/>
  <c r="B2212" i="1"/>
  <c r="C2212" i="1"/>
  <c r="D2212" i="1"/>
  <c r="E2212" i="1"/>
  <c r="A2213" i="1"/>
  <c r="B2213" i="1"/>
  <c r="C2213" i="1"/>
  <c r="D2213" i="1"/>
  <c r="E2213" i="1"/>
  <c r="A2214" i="1"/>
  <c r="B2214" i="1"/>
  <c r="C2214" i="1"/>
  <c r="D2214" i="1"/>
  <c r="E2214" i="1"/>
  <c r="A2215" i="1"/>
  <c r="B2215" i="1"/>
  <c r="C2215" i="1"/>
  <c r="D2215" i="1"/>
  <c r="E2215" i="1"/>
  <c r="A2216" i="1"/>
  <c r="B2216" i="1"/>
  <c r="C2216" i="1"/>
  <c r="D2216" i="1"/>
  <c r="E2216" i="1"/>
  <c r="A2217" i="1"/>
  <c r="B2217" i="1"/>
  <c r="C2217" i="1"/>
  <c r="D2217" i="1"/>
  <c r="E2217" i="1"/>
  <c r="A2218" i="1"/>
  <c r="B2218" i="1"/>
  <c r="C2218" i="1"/>
  <c r="D2218" i="1"/>
  <c r="E2218" i="1"/>
  <c r="A2219" i="1"/>
  <c r="B2219" i="1"/>
  <c r="C2219" i="1"/>
  <c r="D2219" i="1"/>
  <c r="E2219" i="1"/>
  <c r="A2220" i="1"/>
  <c r="B2220" i="1"/>
  <c r="C2220" i="1"/>
  <c r="D2220" i="1"/>
  <c r="E2220" i="1"/>
  <c r="A2221" i="1"/>
  <c r="B2221" i="1"/>
  <c r="C2221" i="1"/>
  <c r="D2221" i="1"/>
  <c r="E2221" i="1"/>
  <c r="A2222" i="1"/>
  <c r="B2222" i="1"/>
  <c r="C2222" i="1"/>
  <c r="D2222" i="1"/>
  <c r="E2222" i="1"/>
  <c r="A2223" i="1"/>
  <c r="B2223" i="1"/>
  <c r="C2223" i="1"/>
  <c r="D2223" i="1"/>
  <c r="E2223" i="1"/>
  <c r="A2224" i="1"/>
  <c r="B2224" i="1"/>
  <c r="C2224" i="1"/>
  <c r="D2224" i="1"/>
  <c r="E2224" i="1"/>
  <c r="A2225" i="1"/>
  <c r="B2225" i="1"/>
  <c r="C2225" i="1"/>
  <c r="D2225" i="1"/>
  <c r="E2225" i="1"/>
  <c r="A2226" i="1"/>
  <c r="B2226" i="1"/>
  <c r="C2226" i="1"/>
  <c r="D2226" i="1"/>
  <c r="E2226" i="1"/>
  <c r="A2227" i="1"/>
  <c r="B2227" i="1"/>
  <c r="C2227" i="1"/>
  <c r="D2227" i="1"/>
  <c r="E2227" i="1"/>
  <c r="A2228" i="1"/>
  <c r="B2228" i="1"/>
  <c r="C2228" i="1"/>
  <c r="D2228" i="1"/>
  <c r="E2228" i="1"/>
  <c r="A2229" i="1"/>
  <c r="B2229" i="1"/>
  <c r="C2229" i="1"/>
  <c r="D2229" i="1"/>
  <c r="E2229" i="1"/>
  <c r="A2230" i="1"/>
  <c r="B2230" i="1"/>
  <c r="C2230" i="1"/>
  <c r="D2230" i="1"/>
  <c r="E2230" i="1"/>
  <c r="A2231" i="1"/>
  <c r="B2231" i="1"/>
  <c r="C2231" i="1"/>
  <c r="D2231" i="1"/>
  <c r="E2231" i="1"/>
  <c r="A2232" i="1"/>
  <c r="B2232" i="1"/>
  <c r="C2232" i="1"/>
  <c r="D2232" i="1"/>
  <c r="E2232" i="1"/>
  <c r="A2233" i="1"/>
  <c r="B2233" i="1"/>
  <c r="C2233" i="1"/>
  <c r="D2233" i="1"/>
  <c r="E2233" i="1"/>
  <c r="A2234" i="1"/>
  <c r="B2234" i="1"/>
  <c r="C2234" i="1"/>
  <c r="D2234" i="1"/>
  <c r="E2234" i="1"/>
  <c r="A2235" i="1"/>
  <c r="B2235" i="1"/>
  <c r="C2235" i="1"/>
  <c r="D2235" i="1"/>
  <c r="E2235" i="1"/>
  <c r="A2236" i="1"/>
  <c r="B2236" i="1"/>
  <c r="C2236" i="1"/>
  <c r="D2236" i="1"/>
  <c r="E2236" i="1"/>
  <c r="A2237" i="1"/>
  <c r="B2237" i="1"/>
  <c r="C2237" i="1"/>
  <c r="D2237" i="1"/>
  <c r="E2237" i="1"/>
  <c r="A2238" i="1"/>
  <c r="B2238" i="1"/>
  <c r="C2238" i="1"/>
  <c r="D2238" i="1"/>
  <c r="E2238" i="1"/>
  <c r="A2239" i="1"/>
  <c r="B2239" i="1"/>
  <c r="C2239" i="1"/>
  <c r="D2239" i="1"/>
  <c r="E2239" i="1"/>
  <c r="A2240" i="1"/>
  <c r="B2240" i="1"/>
  <c r="C2240" i="1"/>
  <c r="D2240" i="1"/>
  <c r="E2240" i="1"/>
  <c r="A2241" i="1"/>
  <c r="B2241" i="1"/>
  <c r="C2241" i="1"/>
  <c r="D2241" i="1"/>
  <c r="E2241" i="1"/>
  <c r="A2242" i="1"/>
  <c r="B2242" i="1"/>
  <c r="C2242" i="1"/>
  <c r="D2242" i="1"/>
  <c r="E2242" i="1"/>
  <c r="A2243" i="1"/>
  <c r="B2243" i="1"/>
  <c r="C2243" i="1"/>
  <c r="D2243" i="1"/>
  <c r="E2243" i="1"/>
  <c r="A2244" i="1"/>
  <c r="B2244" i="1"/>
  <c r="C2244" i="1"/>
  <c r="D2244" i="1"/>
  <c r="E2244" i="1"/>
  <c r="A2245" i="1"/>
  <c r="B2245" i="1"/>
  <c r="C2245" i="1"/>
  <c r="D2245" i="1"/>
  <c r="E2245" i="1"/>
  <c r="A2246" i="1"/>
  <c r="B2246" i="1"/>
  <c r="C2246" i="1"/>
  <c r="D2246" i="1"/>
  <c r="E2246" i="1"/>
  <c r="A2247" i="1"/>
  <c r="B2247" i="1"/>
  <c r="C2247" i="1"/>
  <c r="D2247" i="1"/>
  <c r="E2247" i="1"/>
  <c r="A2248" i="1"/>
  <c r="B2248" i="1"/>
  <c r="C2248" i="1"/>
  <c r="D2248" i="1"/>
  <c r="E2248" i="1"/>
  <c r="A2249" i="1"/>
  <c r="B2249" i="1"/>
  <c r="C2249" i="1"/>
  <c r="D2249" i="1"/>
  <c r="E2249" i="1"/>
  <c r="A2250" i="1"/>
  <c r="B2250" i="1"/>
  <c r="C2250" i="1"/>
  <c r="D2250" i="1"/>
  <c r="E2250" i="1"/>
  <c r="A2251" i="1"/>
  <c r="B2251" i="1"/>
  <c r="C2251" i="1"/>
  <c r="D2251" i="1"/>
  <c r="E2251" i="1"/>
  <c r="A2252" i="1"/>
  <c r="B2252" i="1"/>
  <c r="C2252" i="1"/>
  <c r="D2252" i="1"/>
  <c r="E2252" i="1"/>
  <c r="A2253" i="1"/>
  <c r="B2253" i="1"/>
  <c r="C2253" i="1"/>
  <c r="D2253" i="1"/>
  <c r="E2253" i="1"/>
  <c r="A2254" i="1"/>
  <c r="B2254" i="1"/>
  <c r="C2254" i="1"/>
  <c r="D2254" i="1"/>
  <c r="E2254" i="1"/>
  <c r="A2255" i="1"/>
  <c r="B2255" i="1"/>
  <c r="C2255" i="1"/>
  <c r="D2255" i="1"/>
  <c r="E2255" i="1"/>
  <c r="A2256" i="1"/>
  <c r="B2256" i="1"/>
  <c r="C2256" i="1"/>
  <c r="D2256" i="1"/>
  <c r="E2256" i="1"/>
  <c r="A2257" i="1"/>
  <c r="B2257" i="1"/>
  <c r="C2257" i="1"/>
  <c r="D2257" i="1"/>
  <c r="E2257" i="1"/>
  <c r="A2258" i="1"/>
  <c r="B2258" i="1"/>
  <c r="C2258" i="1"/>
  <c r="D2258" i="1"/>
  <c r="E2258" i="1"/>
  <c r="A2259" i="1"/>
  <c r="B2259" i="1"/>
  <c r="C2259" i="1"/>
  <c r="D2259" i="1"/>
  <c r="E2259" i="1"/>
  <c r="A2260" i="1"/>
  <c r="B2260" i="1"/>
  <c r="C2260" i="1"/>
  <c r="D2260" i="1"/>
  <c r="E2260" i="1"/>
  <c r="A2261" i="1"/>
  <c r="B2261" i="1"/>
  <c r="C2261" i="1"/>
  <c r="D2261" i="1"/>
  <c r="E2261" i="1"/>
  <c r="A2262" i="1"/>
  <c r="B2262" i="1"/>
  <c r="C2262" i="1"/>
  <c r="D2262" i="1"/>
  <c r="E2262" i="1"/>
  <c r="A2263" i="1"/>
  <c r="B2263" i="1"/>
  <c r="C2263" i="1"/>
  <c r="D2263" i="1"/>
  <c r="E2263" i="1"/>
  <c r="A2264" i="1"/>
  <c r="B2264" i="1"/>
  <c r="C2264" i="1"/>
  <c r="D2264" i="1"/>
  <c r="E2264" i="1"/>
  <c r="A2265" i="1"/>
  <c r="B2265" i="1"/>
  <c r="C2265" i="1"/>
  <c r="D2265" i="1"/>
  <c r="E2265" i="1"/>
  <c r="A2266" i="1"/>
  <c r="B2266" i="1"/>
  <c r="C2266" i="1"/>
  <c r="D2266" i="1"/>
  <c r="E2266" i="1"/>
  <c r="A2267" i="1"/>
  <c r="B2267" i="1"/>
  <c r="C2267" i="1"/>
  <c r="D2267" i="1"/>
  <c r="E2267" i="1"/>
  <c r="A2268" i="1"/>
  <c r="B2268" i="1"/>
  <c r="C2268" i="1"/>
  <c r="D2268" i="1"/>
  <c r="E2268" i="1"/>
  <c r="A2269" i="1"/>
  <c r="B2269" i="1"/>
  <c r="C2269" i="1"/>
  <c r="D2269" i="1"/>
  <c r="E2269" i="1"/>
  <c r="A2270" i="1"/>
  <c r="B2270" i="1"/>
  <c r="C2270" i="1"/>
  <c r="D2270" i="1"/>
  <c r="E2270" i="1"/>
  <c r="A2271" i="1"/>
  <c r="B2271" i="1"/>
  <c r="C2271" i="1"/>
  <c r="D2271" i="1"/>
  <c r="E2271" i="1"/>
  <c r="A2272" i="1"/>
  <c r="B2272" i="1"/>
  <c r="C2272" i="1"/>
  <c r="D2272" i="1"/>
  <c r="E2272" i="1"/>
  <c r="A2273" i="1"/>
  <c r="B2273" i="1"/>
  <c r="C2273" i="1"/>
  <c r="D2273" i="1"/>
  <c r="E2273" i="1"/>
  <c r="A2274" i="1"/>
  <c r="B2274" i="1"/>
  <c r="C2274" i="1"/>
  <c r="D2274" i="1"/>
  <c r="E2274" i="1"/>
  <c r="A2275" i="1"/>
  <c r="B2275" i="1"/>
  <c r="C2275" i="1"/>
  <c r="D2275" i="1"/>
  <c r="E2275" i="1"/>
  <c r="A2276" i="1"/>
  <c r="B2276" i="1"/>
  <c r="C2276" i="1"/>
  <c r="D2276" i="1"/>
  <c r="E2276" i="1"/>
  <c r="A2277" i="1"/>
  <c r="B2277" i="1"/>
  <c r="C2277" i="1"/>
  <c r="D2277" i="1"/>
  <c r="E2277" i="1"/>
  <c r="A2278" i="1"/>
  <c r="B2278" i="1"/>
  <c r="C2278" i="1"/>
  <c r="D2278" i="1"/>
  <c r="E2278" i="1"/>
  <c r="A2279" i="1"/>
  <c r="B2279" i="1"/>
  <c r="C2279" i="1"/>
  <c r="D2279" i="1"/>
  <c r="E2279" i="1"/>
  <c r="A2280" i="1"/>
  <c r="B2280" i="1"/>
  <c r="C2280" i="1"/>
  <c r="D2280" i="1"/>
  <c r="E2280" i="1"/>
  <c r="A2281" i="1"/>
  <c r="B2281" i="1"/>
  <c r="C2281" i="1"/>
  <c r="D2281" i="1"/>
  <c r="E2281" i="1"/>
  <c r="A2282" i="1"/>
  <c r="B2282" i="1"/>
  <c r="C2282" i="1"/>
  <c r="D2282" i="1"/>
  <c r="E2282" i="1"/>
  <c r="A2283" i="1"/>
  <c r="B2283" i="1"/>
  <c r="C2283" i="1"/>
  <c r="D2283" i="1"/>
  <c r="E2283" i="1"/>
  <c r="A2284" i="1"/>
  <c r="B2284" i="1"/>
  <c r="C2284" i="1"/>
  <c r="D2284" i="1"/>
  <c r="E2284" i="1"/>
  <c r="A2285" i="1"/>
  <c r="B2285" i="1"/>
  <c r="C2285" i="1"/>
  <c r="D2285" i="1"/>
  <c r="E2285" i="1"/>
  <c r="A2286" i="1"/>
  <c r="B2286" i="1"/>
  <c r="C2286" i="1"/>
  <c r="D2286" i="1"/>
  <c r="E2286" i="1"/>
  <c r="A2287" i="1"/>
  <c r="B2287" i="1"/>
  <c r="C2287" i="1"/>
  <c r="D2287" i="1"/>
  <c r="E2287" i="1"/>
  <c r="A2288" i="1"/>
  <c r="B2288" i="1"/>
  <c r="C2288" i="1"/>
  <c r="D2288" i="1"/>
  <c r="E2288" i="1"/>
  <c r="A2289" i="1"/>
  <c r="B2289" i="1"/>
  <c r="C2289" i="1"/>
  <c r="D2289" i="1"/>
  <c r="E2289" i="1"/>
  <c r="A2290" i="1"/>
  <c r="B2290" i="1"/>
  <c r="C2290" i="1"/>
  <c r="D2290" i="1"/>
  <c r="E2290" i="1"/>
  <c r="A2291" i="1"/>
  <c r="B2291" i="1"/>
  <c r="C2291" i="1"/>
  <c r="D2291" i="1"/>
  <c r="E2291" i="1"/>
  <c r="A2292" i="1"/>
  <c r="B2292" i="1"/>
  <c r="C2292" i="1"/>
  <c r="D2292" i="1"/>
  <c r="E2292" i="1"/>
  <c r="A2293" i="1"/>
  <c r="B2293" i="1"/>
  <c r="C2293" i="1"/>
  <c r="D2293" i="1"/>
  <c r="E2293" i="1"/>
  <c r="A2294" i="1"/>
  <c r="B2294" i="1"/>
  <c r="C2294" i="1"/>
  <c r="D2294" i="1"/>
  <c r="E2294" i="1"/>
  <c r="A2295" i="1"/>
  <c r="B2295" i="1"/>
  <c r="C2295" i="1"/>
  <c r="D2295" i="1"/>
  <c r="E2295" i="1"/>
  <c r="A2296" i="1"/>
  <c r="B2296" i="1"/>
  <c r="C2296" i="1"/>
  <c r="D2296" i="1"/>
  <c r="E2296" i="1"/>
  <c r="A2297" i="1"/>
  <c r="B2297" i="1"/>
  <c r="C2297" i="1"/>
  <c r="D2297" i="1"/>
  <c r="E2297" i="1"/>
  <c r="A2298" i="1"/>
  <c r="B2298" i="1"/>
  <c r="C2298" i="1"/>
  <c r="D2298" i="1"/>
  <c r="E2298" i="1"/>
  <c r="A2299" i="1"/>
  <c r="B2299" i="1"/>
  <c r="C2299" i="1"/>
  <c r="D2299" i="1"/>
  <c r="E2299" i="1"/>
  <c r="A2300" i="1"/>
  <c r="B2300" i="1"/>
  <c r="C2300" i="1"/>
  <c r="D2300" i="1"/>
  <c r="E2300" i="1"/>
  <c r="A2301" i="1"/>
  <c r="B2301" i="1"/>
  <c r="C2301" i="1"/>
  <c r="D2301" i="1"/>
  <c r="E2301" i="1"/>
  <c r="A2302" i="1"/>
  <c r="B2302" i="1"/>
  <c r="C2302" i="1"/>
  <c r="D2302" i="1"/>
  <c r="E2302" i="1"/>
  <c r="A2303" i="1"/>
  <c r="B2303" i="1"/>
  <c r="C2303" i="1"/>
  <c r="D2303" i="1"/>
  <c r="E2303" i="1"/>
  <c r="A2304" i="1"/>
  <c r="B2304" i="1"/>
  <c r="C2304" i="1"/>
  <c r="D2304" i="1"/>
  <c r="E2304" i="1"/>
  <c r="A2305" i="1"/>
  <c r="B2305" i="1"/>
  <c r="C2305" i="1"/>
  <c r="D2305" i="1"/>
  <c r="E2305" i="1"/>
  <c r="A2306" i="1"/>
  <c r="B2306" i="1"/>
  <c r="C2306" i="1"/>
  <c r="D2306" i="1"/>
  <c r="E2306" i="1"/>
  <c r="A2307" i="1"/>
  <c r="B2307" i="1"/>
  <c r="C2307" i="1"/>
  <c r="D2307" i="1"/>
  <c r="E2307" i="1"/>
  <c r="A2308" i="1"/>
  <c r="B2308" i="1"/>
  <c r="C2308" i="1"/>
  <c r="D2308" i="1"/>
  <c r="E2308" i="1"/>
  <c r="A2309" i="1"/>
  <c r="B2309" i="1"/>
  <c r="C2309" i="1"/>
  <c r="D2309" i="1"/>
  <c r="E2309" i="1"/>
  <c r="A2310" i="1"/>
  <c r="B2310" i="1"/>
  <c r="C2310" i="1"/>
  <c r="D2310" i="1"/>
  <c r="E2310" i="1"/>
  <c r="A2311" i="1"/>
  <c r="B2311" i="1"/>
  <c r="C2311" i="1"/>
  <c r="D2311" i="1"/>
  <c r="E2311" i="1"/>
  <c r="A2312" i="1"/>
  <c r="B2312" i="1"/>
  <c r="C2312" i="1"/>
  <c r="D2312" i="1"/>
  <c r="E2312" i="1"/>
  <c r="A2313" i="1"/>
  <c r="B2313" i="1"/>
  <c r="C2313" i="1"/>
  <c r="D2313" i="1"/>
  <c r="E2313" i="1"/>
  <c r="A2314" i="1"/>
  <c r="B2314" i="1"/>
  <c r="C2314" i="1"/>
  <c r="D2314" i="1"/>
  <c r="E2314" i="1"/>
  <c r="A2315" i="1"/>
  <c r="B2315" i="1"/>
  <c r="C2315" i="1"/>
  <c r="D2315" i="1"/>
  <c r="E2315" i="1"/>
  <c r="A2316" i="1"/>
  <c r="B2316" i="1"/>
  <c r="C2316" i="1"/>
  <c r="D2316" i="1"/>
  <c r="E2316" i="1"/>
  <c r="A2317" i="1"/>
  <c r="B2317" i="1"/>
  <c r="C2317" i="1"/>
  <c r="D2317" i="1"/>
  <c r="E2317" i="1"/>
  <c r="A2318" i="1"/>
  <c r="B2318" i="1"/>
  <c r="C2318" i="1"/>
  <c r="D2318" i="1"/>
  <c r="E2318" i="1"/>
  <c r="A2319" i="1"/>
  <c r="B2319" i="1"/>
  <c r="C2319" i="1"/>
  <c r="D2319" i="1"/>
  <c r="E2319" i="1"/>
  <c r="A2320" i="1"/>
  <c r="B2320" i="1"/>
  <c r="C2320" i="1"/>
  <c r="D2320" i="1"/>
  <c r="E2320" i="1"/>
  <c r="A2321" i="1"/>
  <c r="B2321" i="1"/>
  <c r="C2321" i="1"/>
  <c r="D2321" i="1"/>
  <c r="E2321" i="1"/>
  <c r="A2322" i="1"/>
  <c r="B2322" i="1"/>
  <c r="C2322" i="1"/>
  <c r="D2322" i="1"/>
  <c r="E2322" i="1"/>
  <c r="A2323" i="1"/>
  <c r="B2323" i="1"/>
  <c r="C2323" i="1"/>
  <c r="D2323" i="1"/>
  <c r="E2323" i="1"/>
  <c r="A2324" i="1"/>
  <c r="B2324" i="1"/>
  <c r="C2324" i="1"/>
  <c r="D2324" i="1"/>
  <c r="E2324" i="1"/>
  <c r="A2325" i="1"/>
  <c r="B2325" i="1"/>
  <c r="C2325" i="1"/>
  <c r="D2325" i="1"/>
  <c r="E2325" i="1"/>
  <c r="A2326" i="1"/>
  <c r="B2326" i="1"/>
  <c r="C2326" i="1"/>
  <c r="D2326" i="1"/>
  <c r="E2326" i="1"/>
  <c r="A2327" i="1"/>
  <c r="B2327" i="1"/>
  <c r="C2327" i="1"/>
  <c r="D2327" i="1"/>
  <c r="E2327" i="1"/>
  <c r="A2328" i="1"/>
  <c r="B2328" i="1"/>
  <c r="C2328" i="1"/>
  <c r="D2328" i="1"/>
  <c r="E2328" i="1"/>
  <c r="A2329" i="1"/>
  <c r="B2329" i="1"/>
  <c r="C2329" i="1"/>
  <c r="D2329" i="1"/>
  <c r="E2329" i="1"/>
  <c r="A2330" i="1"/>
  <c r="B2330" i="1"/>
  <c r="C2330" i="1"/>
  <c r="D2330" i="1"/>
  <c r="E2330" i="1"/>
  <c r="A2331" i="1"/>
  <c r="B2331" i="1"/>
  <c r="C2331" i="1"/>
  <c r="D2331" i="1"/>
  <c r="E2331" i="1"/>
  <c r="A2332" i="1"/>
  <c r="B2332" i="1"/>
  <c r="C2332" i="1"/>
  <c r="D2332" i="1"/>
  <c r="E2332" i="1"/>
  <c r="A2333" i="1"/>
  <c r="B2333" i="1"/>
  <c r="C2333" i="1"/>
  <c r="D2333" i="1"/>
  <c r="E2333" i="1"/>
  <c r="A2334" i="1"/>
  <c r="B2334" i="1"/>
  <c r="C2334" i="1"/>
  <c r="D2334" i="1"/>
  <c r="E2334" i="1"/>
  <c r="A2335" i="1"/>
  <c r="B2335" i="1"/>
  <c r="C2335" i="1"/>
  <c r="D2335" i="1"/>
  <c r="E2335" i="1"/>
  <c r="A2336" i="1"/>
  <c r="B2336" i="1"/>
  <c r="C2336" i="1"/>
  <c r="D2336" i="1"/>
  <c r="E2336" i="1"/>
  <c r="A2337" i="1"/>
  <c r="B2337" i="1"/>
  <c r="C2337" i="1"/>
  <c r="D2337" i="1"/>
  <c r="E2337" i="1"/>
  <c r="A2338" i="1"/>
  <c r="B2338" i="1"/>
  <c r="C2338" i="1"/>
  <c r="D2338" i="1"/>
  <c r="E2338" i="1"/>
  <c r="A2339" i="1"/>
  <c r="B2339" i="1"/>
  <c r="C2339" i="1"/>
  <c r="D2339" i="1"/>
  <c r="E2339" i="1"/>
  <c r="A2340" i="1"/>
  <c r="B2340" i="1"/>
  <c r="C2340" i="1"/>
  <c r="D2340" i="1"/>
  <c r="E2340" i="1"/>
  <c r="A2341" i="1"/>
  <c r="B2341" i="1"/>
  <c r="C2341" i="1"/>
  <c r="D2341" i="1"/>
  <c r="E2341" i="1"/>
  <c r="A2342" i="1"/>
  <c r="B2342" i="1"/>
  <c r="C2342" i="1"/>
  <c r="D2342" i="1"/>
  <c r="E2342" i="1"/>
  <c r="A2343" i="1"/>
  <c r="B2343" i="1"/>
  <c r="C2343" i="1"/>
  <c r="D2343" i="1"/>
  <c r="E2343" i="1"/>
  <c r="A2344" i="1"/>
  <c r="B2344" i="1"/>
  <c r="C2344" i="1"/>
  <c r="D2344" i="1"/>
  <c r="E2344" i="1"/>
  <c r="A2345" i="1"/>
  <c r="B2345" i="1"/>
  <c r="C2345" i="1"/>
  <c r="D2345" i="1"/>
  <c r="E2345" i="1"/>
  <c r="A2346" i="1"/>
  <c r="B2346" i="1"/>
  <c r="C2346" i="1"/>
  <c r="D2346" i="1"/>
  <c r="E2346" i="1"/>
  <c r="A2347" i="1"/>
  <c r="B2347" i="1"/>
  <c r="C2347" i="1"/>
  <c r="D2347" i="1"/>
  <c r="E2347" i="1"/>
  <c r="A2348" i="1"/>
  <c r="B2348" i="1"/>
  <c r="C2348" i="1"/>
  <c r="D2348" i="1"/>
  <c r="E2348" i="1"/>
  <c r="A2349" i="1"/>
  <c r="B2349" i="1"/>
  <c r="C2349" i="1"/>
  <c r="D2349" i="1"/>
  <c r="E2349" i="1"/>
  <c r="A2350" i="1"/>
  <c r="B2350" i="1"/>
  <c r="C2350" i="1"/>
  <c r="D2350" i="1"/>
  <c r="E2350" i="1"/>
  <c r="A2351" i="1"/>
  <c r="B2351" i="1"/>
  <c r="C2351" i="1"/>
  <c r="D2351" i="1"/>
  <c r="E2351" i="1"/>
  <c r="A2352" i="1"/>
  <c r="B2352" i="1"/>
  <c r="C2352" i="1"/>
  <c r="D2352" i="1"/>
  <c r="E2352" i="1"/>
  <c r="A2353" i="1"/>
  <c r="B2353" i="1"/>
  <c r="C2353" i="1"/>
  <c r="D2353" i="1"/>
  <c r="E2353" i="1"/>
  <c r="A2354" i="1"/>
  <c r="B2354" i="1"/>
  <c r="C2354" i="1"/>
  <c r="D2354" i="1"/>
  <c r="E2354" i="1"/>
  <c r="A2355" i="1"/>
  <c r="B2355" i="1"/>
  <c r="C2355" i="1"/>
  <c r="D2355" i="1"/>
  <c r="E2355" i="1"/>
  <c r="A2356" i="1"/>
  <c r="B2356" i="1"/>
  <c r="C2356" i="1"/>
  <c r="D2356" i="1"/>
  <c r="E2356" i="1"/>
  <c r="A2357" i="1"/>
  <c r="B2357" i="1"/>
  <c r="C2357" i="1"/>
  <c r="D2357" i="1"/>
  <c r="E2357" i="1"/>
  <c r="A2358" i="1"/>
  <c r="B2358" i="1"/>
  <c r="C2358" i="1"/>
  <c r="D2358" i="1"/>
  <c r="E2358" i="1"/>
  <c r="A2359" i="1"/>
  <c r="B2359" i="1"/>
  <c r="C2359" i="1"/>
  <c r="D2359" i="1"/>
  <c r="E2359" i="1"/>
  <c r="A2360" i="1"/>
  <c r="B2360" i="1"/>
  <c r="C2360" i="1"/>
  <c r="D2360" i="1"/>
  <c r="E2360" i="1"/>
  <c r="A2361" i="1"/>
  <c r="B2361" i="1"/>
  <c r="C2361" i="1"/>
  <c r="D2361" i="1"/>
  <c r="E2361" i="1"/>
  <c r="A2362" i="1"/>
  <c r="B2362" i="1"/>
  <c r="C2362" i="1"/>
  <c r="D2362" i="1"/>
  <c r="E2362" i="1"/>
  <c r="A2363" i="1"/>
  <c r="B2363" i="1"/>
  <c r="C2363" i="1"/>
  <c r="D2363" i="1"/>
  <c r="E2363" i="1"/>
  <c r="A2364" i="1"/>
  <c r="B2364" i="1"/>
  <c r="C2364" i="1"/>
  <c r="D2364" i="1"/>
  <c r="E2364" i="1"/>
  <c r="A2365" i="1"/>
  <c r="B2365" i="1"/>
  <c r="C2365" i="1"/>
  <c r="D2365" i="1"/>
  <c r="E2365" i="1"/>
  <c r="A2366" i="1"/>
  <c r="B2366" i="1"/>
  <c r="C2366" i="1"/>
  <c r="D2366" i="1"/>
  <c r="E2366" i="1"/>
  <c r="A2367" i="1"/>
  <c r="B2367" i="1"/>
  <c r="C2367" i="1"/>
  <c r="D2367" i="1"/>
  <c r="E2367" i="1"/>
  <c r="A2368" i="1"/>
  <c r="B2368" i="1"/>
  <c r="C2368" i="1"/>
  <c r="D2368" i="1"/>
  <c r="E2368" i="1"/>
  <c r="A2369" i="1"/>
  <c r="B2369" i="1"/>
  <c r="C2369" i="1"/>
  <c r="D2369" i="1"/>
  <c r="E2369" i="1"/>
  <c r="A2370" i="1"/>
  <c r="B2370" i="1"/>
  <c r="C2370" i="1"/>
  <c r="D2370" i="1"/>
  <c r="E2370" i="1"/>
  <c r="A2371" i="1"/>
  <c r="B2371" i="1"/>
  <c r="C2371" i="1"/>
  <c r="D2371" i="1"/>
  <c r="E2371" i="1"/>
  <c r="A2372" i="1"/>
  <c r="B2372" i="1"/>
  <c r="C2372" i="1"/>
  <c r="D2372" i="1"/>
  <c r="E2372" i="1"/>
  <c r="A2373" i="1"/>
  <c r="B2373" i="1"/>
  <c r="C2373" i="1"/>
  <c r="D2373" i="1"/>
  <c r="E2373" i="1"/>
  <c r="A2374" i="1"/>
  <c r="B2374" i="1"/>
  <c r="C2374" i="1"/>
  <c r="D2374" i="1"/>
  <c r="E2374" i="1"/>
  <c r="A2375" i="1"/>
  <c r="B2375" i="1"/>
  <c r="C2375" i="1"/>
  <c r="D2375" i="1"/>
  <c r="E2375" i="1"/>
  <c r="A2376" i="1"/>
  <c r="B2376" i="1"/>
  <c r="C2376" i="1"/>
  <c r="D2376" i="1"/>
  <c r="E2376" i="1"/>
  <c r="A2377" i="1"/>
  <c r="B2377" i="1"/>
  <c r="C2377" i="1"/>
  <c r="D2377" i="1"/>
  <c r="E2377" i="1"/>
  <c r="A2378" i="1"/>
  <c r="B2378" i="1"/>
  <c r="C2378" i="1"/>
  <c r="D2378" i="1"/>
  <c r="E2378" i="1"/>
  <c r="A2379" i="1"/>
  <c r="B2379" i="1"/>
  <c r="C2379" i="1"/>
  <c r="D2379" i="1"/>
  <c r="E2379" i="1"/>
  <c r="A2380" i="1"/>
  <c r="B2380" i="1"/>
  <c r="C2380" i="1"/>
  <c r="D2380" i="1"/>
  <c r="E2380" i="1"/>
  <c r="A2381" i="1"/>
  <c r="B2381" i="1"/>
  <c r="C2381" i="1"/>
  <c r="D2381" i="1"/>
  <c r="E2381" i="1"/>
  <c r="A2382" i="1"/>
  <c r="B2382" i="1"/>
  <c r="C2382" i="1"/>
  <c r="D2382" i="1"/>
  <c r="E2382" i="1"/>
  <c r="A2383" i="1"/>
  <c r="B2383" i="1"/>
  <c r="C2383" i="1"/>
  <c r="D2383" i="1"/>
  <c r="E2383" i="1"/>
  <c r="A2384" i="1"/>
  <c r="B2384" i="1"/>
  <c r="C2384" i="1"/>
  <c r="D2384" i="1"/>
  <c r="E2384" i="1"/>
  <c r="A2385" i="1"/>
  <c r="B2385" i="1"/>
  <c r="C2385" i="1"/>
  <c r="D2385" i="1"/>
  <c r="E2385" i="1"/>
  <c r="A2386" i="1"/>
  <c r="B2386" i="1"/>
  <c r="C2386" i="1"/>
  <c r="D2386" i="1"/>
  <c r="E2386" i="1"/>
  <c r="A2387" i="1"/>
  <c r="B2387" i="1"/>
  <c r="C2387" i="1"/>
  <c r="D2387" i="1"/>
  <c r="E2387" i="1"/>
  <c r="A2388" i="1"/>
  <c r="B2388" i="1"/>
  <c r="C2388" i="1"/>
  <c r="D2388" i="1"/>
  <c r="E2388" i="1"/>
  <c r="A2389" i="1"/>
  <c r="B2389" i="1"/>
  <c r="C2389" i="1"/>
  <c r="D2389" i="1"/>
  <c r="E2389" i="1"/>
  <c r="A2390" i="1"/>
  <c r="B2390" i="1"/>
  <c r="C2390" i="1"/>
  <c r="D2390" i="1"/>
  <c r="E2390" i="1"/>
  <c r="A2391" i="1"/>
  <c r="B2391" i="1"/>
  <c r="C2391" i="1"/>
  <c r="D2391" i="1"/>
  <c r="E2391" i="1"/>
  <c r="A2392" i="1"/>
  <c r="B2392" i="1"/>
  <c r="C2392" i="1"/>
  <c r="D2392" i="1"/>
  <c r="E2392" i="1"/>
  <c r="A2393" i="1"/>
  <c r="B2393" i="1"/>
  <c r="C2393" i="1"/>
  <c r="D2393" i="1"/>
  <c r="E2393" i="1"/>
  <c r="A2394" i="1"/>
  <c r="B2394" i="1"/>
  <c r="C2394" i="1"/>
  <c r="D2394" i="1"/>
  <c r="E2394" i="1"/>
  <c r="A2395" i="1"/>
  <c r="B2395" i="1"/>
  <c r="C2395" i="1"/>
  <c r="D2395" i="1"/>
  <c r="E2395" i="1"/>
  <c r="A2396" i="1"/>
  <c r="B2396" i="1"/>
  <c r="C2396" i="1"/>
  <c r="D2396" i="1"/>
  <c r="E2396" i="1"/>
  <c r="A2397" i="1"/>
  <c r="B2397" i="1"/>
  <c r="C2397" i="1"/>
  <c r="D2397" i="1"/>
  <c r="E2397" i="1"/>
  <c r="A2398" i="1"/>
  <c r="B2398" i="1"/>
  <c r="C2398" i="1"/>
  <c r="D2398" i="1"/>
  <c r="E2398" i="1"/>
  <c r="A2399" i="1"/>
  <c r="B2399" i="1"/>
  <c r="C2399" i="1"/>
  <c r="D2399" i="1"/>
  <c r="E2399" i="1"/>
  <c r="A2400" i="1"/>
  <c r="B2400" i="1"/>
  <c r="C2400" i="1"/>
  <c r="D2400" i="1"/>
  <c r="E2400" i="1"/>
  <c r="A2401" i="1"/>
  <c r="B2401" i="1"/>
  <c r="C2401" i="1"/>
  <c r="D2401" i="1"/>
  <c r="E2401" i="1"/>
  <c r="A2402" i="1"/>
  <c r="B2402" i="1"/>
  <c r="C2402" i="1"/>
  <c r="D2402" i="1"/>
  <c r="E2402" i="1"/>
  <c r="A2403" i="1"/>
  <c r="B2403" i="1"/>
  <c r="C2403" i="1"/>
  <c r="D2403" i="1"/>
  <c r="E2403" i="1"/>
  <c r="A2404" i="1"/>
  <c r="B2404" i="1"/>
  <c r="C2404" i="1"/>
  <c r="D2404" i="1"/>
  <c r="E2404" i="1"/>
  <c r="A2405" i="1"/>
  <c r="B2405" i="1"/>
  <c r="C2405" i="1"/>
  <c r="D2405" i="1"/>
  <c r="E2405" i="1"/>
  <c r="A2406" i="1"/>
  <c r="B2406" i="1"/>
  <c r="C2406" i="1"/>
  <c r="D2406" i="1"/>
  <c r="E2406" i="1"/>
  <c r="A2407" i="1"/>
  <c r="B2407" i="1"/>
  <c r="C2407" i="1"/>
  <c r="D2407" i="1"/>
  <c r="E2407" i="1"/>
  <c r="A2408" i="1"/>
  <c r="B2408" i="1"/>
  <c r="C2408" i="1"/>
  <c r="D2408" i="1"/>
  <c r="E2408" i="1"/>
  <c r="A2409" i="1"/>
  <c r="B2409" i="1"/>
  <c r="C2409" i="1"/>
  <c r="D2409" i="1"/>
  <c r="E2409" i="1"/>
  <c r="A2410" i="1"/>
  <c r="B2410" i="1"/>
  <c r="C2410" i="1"/>
  <c r="D2410" i="1"/>
  <c r="E2410" i="1"/>
  <c r="A2411" i="1"/>
  <c r="B2411" i="1"/>
  <c r="C2411" i="1"/>
  <c r="D2411" i="1"/>
  <c r="E2411" i="1"/>
  <c r="A2412" i="1"/>
  <c r="B2412" i="1"/>
  <c r="C2412" i="1"/>
  <c r="D2412" i="1"/>
  <c r="E2412" i="1"/>
  <c r="A2413" i="1"/>
  <c r="B2413" i="1"/>
  <c r="C2413" i="1"/>
  <c r="D2413" i="1"/>
  <c r="E2413" i="1"/>
  <c r="A2414" i="1"/>
  <c r="B2414" i="1"/>
  <c r="C2414" i="1"/>
  <c r="D2414" i="1"/>
  <c r="E2414" i="1"/>
  <c r="A2415" i="1"/>
  <c r="B2415" i="1"/>
  <c r="C2415" i="1"/>
  <c r="D2415" i="1"/>
  <c r="E2415" i="1"/>
  <c r="A2416" i="1"/>
  <c r="B2416" i="1"/>
  <c r="C2416" i="1"/>
  <c r="D2416" i="1"/>
  <c r="E2416" i="1"/>
  <c r="A2417" i="1"/>
  <c r="B2417" i="1"/>
  <c r="C2417" i="1"/>
  <c r="D2417" i="1"/>
  <c r="E2417" i="1"/>
  <c r="A2418" i="1"/>
  <c r="B2418" i="1"/>
  <c r="C2418" i="1"/>
  <c r="D2418" i="1"/>
  <c r="E2418" i="1"/>
  <c r="A2419" i="1"/>
  <c r="B2419" i="1"/>
  <c r="C2419" i="1"/>
  <c r="D2419" i="1"/>
  <c r="E2419" i="1"/>
  <c r="A2420" i="1"/>
  <c r="B2420" i="1"/>
  <c r="C2420" i="1"/>
  <c r="D2420" i="1"/>
  <c r="E2420" i="1"/>
  <c r="A2421" i="1"/>
  <c r="B2421" i="1"/>
  <c r="C2421" i="1"/>
  <c r="D2421" i="1"/>
  <c r="E2421" i="1"/>
  <c r="A2422" i="1"/>
  <c r="B2422" i="1"/>
  <c r="C2422" i="1"/>
  <c r="D2422" i="1"/>
  <c r="E2422" i="1"/>
  <c r="A2423" i="1"/>
  <c r="B2423" i="1"/>
  <c r="C2423" i="1"/>
  <c r="D2423" i="1"/>
  <c r="E2423" i="1"/>
  <c r="A2424" i="1"/>
  <c r="B2424" i="1"/>
  <c r="C2424" i="1"/>
  <c r="D2424" i="1"/>
  <c r="E2424" i="1"/>
  <c r="A2425" i="1"/>
  <c r="B2425" i="1"/>
  <c r="C2425" i="1"/>
  <c r="D2425" i="1"/>
  <c r="E2425" i="1"/>
  <c r="A2426" i="1"/>
  <c r="B2426" i="1"/>
  <c r="C2426" i="1"/>
  <c r="D2426" i="1"/>
  <c r="E2426" i="1"/>
  <c r="A2427" i="1"/>
  <c r="B2427" i="1"/>
  <c r="C2427" i="1"/>
  <c r="D2427" i="1"/>
  <c r="E2427" i="1"/>
  <c r="A2428" i="1"/>
  <c r="B2428" i="1"/>
  <c r="C2428" i="1"/>
  <c r="D2428" i="1"/>
  <c r="E2428" i="1"/>
  <c r="A2429" i="1"/>
  <c r="B2429" i="1"/>
  <c r="C2429" i="1"/>
  <c r="D2429" i="1"/>
  <c r="E2429" i="1"/>
  <c r="A2430" i="1"/>
  <c r="B2430" i="1"/>
  <c r="C2430" i="1"/>
  <c r="D2430" i="1"/>
  <c r="E2430" i="1"/>
  <c r="A2431" i="1"/>
  <c r="B2431" i="1"/>
  <c r="C2431" i="1"/>
  <c r="D2431" i="1"/>
  <c r="E2431" i="1"/>
  <c r="A2432" i="1"/>
  <c r="B2432" i="1"/>
  <c r="C2432" i="1"/>
  <c r="D2432" i="1"/>
  <c r="E2432" i="1"/>
  <c r="A2433" i="1"/>
  <c r="B2433" i="1"/>
  <c r="C2433" i="1"/>
  <c r="D2433" i="1"/>
  <c r="E2433" i="1"/>
  <c r="A2434" i="1"/>
  <c r="B2434" i="1"/>
  <c r="C2434" i="1"/>
  <c r="D2434" i="1"/>
  <c r="E2434" i="1"/>
  <c r="A2435" i="1"/>
  <c r="B2435" i="1"/>
  <c r="C2435" i="1"/>
  <c r="D2435" i="1"/>
  <c r="E2435" i="1"/>
  <c r="A2436" i="1"/>
  <c r="B2436" i="1"/>
  <c r="C2436" i="1"/>
  <c r="D2436" i="1"/>
  <c r="E2436" i="1"/>
  <c r="A2437" i="1"/>
  <c r="B2437" i="1"/>
  <c r="C2437" i="1"/>
  <c r="D2437" i="1"/>
  <c r="E2437" i="1"/>
  <c r="A2438" i="1"/>
  <c r="B2438" i="1"/>
  <c r="C2438" i="1"/>
  <c r="D2438" i="1"/>
  <c r="E2438" i="1"/>
  <c r="A2439" i="1"/>
  <c r="B2439" i="1"/>
  <c r="C2439" i="1"/>
  <c r="D2439" i="1"/>
  <c r="E2439" i="1"/>
  <c r="A2440" i="1"/>
  <c r="B2440" i="1"/>
  <c r="C2440" i="1"/>
  <c r="D2440" i="1"/>
  <c r="E2440" i="1"/>
  <c r="A2441" i="1"/>
  <c r="B2441" i="1"/>
  <c r="C2441" i="1"/>
  <c r="D2441" i="1"/>
  <c r="E2441" i="1"/>
  <c r="A2442" i="1"/>
  <c r="B2442" i="1"/>
  <c r="C2442" i="1"/>
  <c r="D2442" i="1"/>
  <c r="E2442" i="1"/>
  <c r="A2443" i="1"/>
  <c r="B2443" i="1"/>
  <c r="C2443" i="1"/>
  <c r="D2443" i="1"/>
  <c r="E2443" i="1"/>
  <c r="A2444" i="1"/>
  <c r="B2444" i="1"/>
  <c r="C2444" i="1"/>
  <c r="D2444" i="1"/>
  <c r="E2444" i="1"/>
  <c r="A2445" i="1"/>
  <c r="B2445" i="1"/>
  <c r="C2445" i="1"/>
  <c r="D2445" i="1"/>
  <c r="E2445" i="1"/>
  <c r="A2446" i="1"/>
  <c r="B2446" i="1"/>
  <c r="C2446" i="1"/>
  <c r="D2446" i="1"/>
  <c r="E2446" i="1"/>
  <c r="A2447" i="1"/>
  <c r="B2447" i="1"/>
  <c r="C2447" i="1"/>
  <c r="D2447" i="1"/>
  <c r="E2447" i="1"/>
  <c r="A2448" i="1"/>
  <c r="B2448" i="1"/>
  <c r="C2448" i="1"/>
  <c r="D2448" i="1"/>
  <c r="E2448" i="1"/>
  <c r="A2449" i="1"/>
  <c r="B2449" i="1"/>
  <c r="C2449" i="1"/>
  <c r="D2449" i="1"/>
  <c r="E2449" i="1"/>
  <c r="A2450" i="1"/>
  <c r="B2450" i="1"/>
  <c r="C2450" i="1"/>
  <c r="D2450" i="1"/>
  <c r="E2450" i="1"/>
  <c r="A2451" i="1"/>
  <c r="B2451" i="1"/>
  <c r="C2451" i="1"/>
  <c r="D2451" i="1"/>
  <c r="E2451" i="1"/>
  <c r="A2452" i="1"/>
  <c r="B2452" i="1"/>
  <c r="C2452" i="1"/>
  <c r="D2452" i="1"/>
  <c r="E2452" i="1"/>
  <c r="A2453" i="1"/>
  <c r="B2453" i="1"/>
  <c r="C2453" i="1"/>
  <c r="D2453" i="1"/>
  <c r="E2453" i="1"/>
  <c r="A2454" i="1"/>
  <c r="B2454" i="1"/>
  <c r="C2454" i="1"/>
  <c r="D2454" i="1"/>
  <c r="E2454" i="1"/>
  <c r="A2455" i="1"/>
  <c r="B2455" i="1"/>
  <c r="C2455" i="1"/>
  <c r="D2455" i="1"/>
  <c r="E2455" i="1"/>
  <c r="A2456" i="1"/>
  <c r="B2456" i="1"/>
  <c r="C2456" i="1"/>
  <c r="D2456" i="1"/>
  <c r="E2456" i="1"/>
  <c r="A2457" i="1"/>
  <c r="B2457" i="1"/>
  <c r="C2457" i="1"/>
  <c r="D2457" i="1"/>
  <c r="E2457" i="1"/>
  <c r="A2458" i="1"/>
  <c r="B2458" i="1"/>
  <c r="C2458" i="1"/>
  <c r="D2458" i="1"/>
  <c r="E2458" i="1"/>
  <c r="A2459" i="1"/>
  <c r="B2459" i="1"/>
  <c r="C2459" i="1"/>
  <c r="D2459" i="1"/>
  <c r="E2459" i="1"/>
  <c r="A2460" i="1"/>
  <c r="B2460" i="1"/>
  <c r="C2460" i="1"/>
  <c r="D2460" i="1"/>
  <c r="E2460" i="1"/>
  <c r="A2461" i="1"/>
  <c r="B2461" i="1"/>
  <c r="C2461" i="1"/>
  <c r="D2461" i="1"/>
  <c r="E2461" i="1"/>
  <c r="A2462" i="1"/>
  <c r="B2462" i="1"/>
  <c r="C2462" i="1"/>
  <c r="D2462" i="1"/>
  <c r="E2462" i="1"/>
  <c r="A2463" i="1"/>
  <c r="B2463" i="1"/>
  <c r="C2463" i="1"/>
  <c r="D2463" i="1"/>
  <c r="E2463" i="1"/>
  <c r="A2464" i="1"/>
  <c r="B2464" i="1"/>
  <c r="C2464" i="1"/>
  <c r="D2464" i="1"/>
  <c r="E2464" i="1"/>
  <c r="A2465" i="1"/>
  <c r="B2465" i="1"/>
  <c r="C2465" i="1"/>
  <c r="D2465" i="1"/>
  <c r="E2465" i="1"/>
  <c r="A2466" i="1"/>
  <c r="B2466" i="1"/>
  <c r="C2466" i="1"/>
  <c r="D2466" i="1"/>
  <c r="E2466" i="1"/>
  <c r="A2467" i="1"/>
  <c r="B2467" i="1"/>
  <c r="C2467" i="1"/>
  <c r="D2467" i="1"/>
  <c r="E2467" i="1"/>
  <c r="A2468" i="1"/>
  <c r="B2468" i="1"/>
  <c r="C2468" i="1"/>
  <c r="D2468" i="1"/>
  <c r="E2468" i="1"/>
  <c r="A2469" i="1"/>
  <c r="B2469" i="1"/>
  <c r="C2469" i="1"/>
  <c r="D2469" i="1"/>
  <c r="E2469" i="1"/>
  <c r="A2470" i="1"/>
  <c r="B2470" i="1"/>
  <c r="C2470" i="1"/>
  <c r="D2470" i="1"/>
  <c r="E2470" i="1"/>
  <c r="A2471" i="1"/>
  <c r="B2471" i="1"/>
  <c r="C2471" i="1"/>
  <c r="D2471" i="1"/>
  <c r="E2471" i="1"/>
  <c r="A2472" i="1"/>
  <c r="B2472" i="1"/>
  <c r="C2472" i="1"/>
  <c r="D2472" i="1"/>
  <c r="E2472" i="1"/>
  <c r="A2473" i="1"/>
  <c r="B2473" i="1"/>
  <c r="C2473" i="1"/>
  <c r="D2473" i="1"/>
  <c r="E2473" i="1"/>
  <c r="A2474" i="1"/>
  <c r="B2474" i="1"/>
  <c r="C2474" i="1"/>
  <c r="D2474" i="1"/>
  <c r="E2474" i="1"/>
  <c r="A2475" i="1"/>
  <c r="B2475" i="1"/>
  <c r="C2475" i="1"/>
  <c r="D2475" i="1"/>
  <c r="E2475" i="1"/>
  <c r="A2476" i="1"/>
  <c r="B2476" i="1"/>
  <c r="C2476" i="1"/>
  <c r="D2476" i="1"/>
  <c r="E2476" i="1"/>
  <c r="A2477" i="1"/>
  <c r="B2477" i="1"/>
  <c r="C2477" i="1"/>
  <c r="D2477" i="1"/>
  <c r="E2477" i="1"/>
  <c r="A2478" i="1"/>
  <c r="B2478" i="1"/>
  <c r="C2478" i="1"/>
  <c r="D2478" i="1"/>
  <c r="E2478" i="1"/>
  <c r="A2479" i="1"/>
  <c r="B2479" i="1"/>
  <c r="C2479" i="1"/>
  <c r="D2479" i="1"/>
  <c r="E2479" i="1"/>
  <c r="A2480" i="1"/>
  <c r="B2480" i="1"/>
  <c r="C2480" i="1"/>
  <c r="D2480" i="1"/>
  <c r="E2480" i="1"/>
  <c r="A2481" i="1"/>
  <c r="B2481" i="1"/>
  <c r="C2481" i="1"/>
  <c r="D2481" i="1"/>
  <c r="E2481" i="1"/>
  <c r="A2482" i="1"/>
  <c r="B2482" i="1"/>
  <c r="C2482" i="1"/>
  <c r="D2482" i="1"/>
  <c r="E2482" i="1"/>
  <c r="A2483" i="1"/>
  <c r="B2483" i="1"/>
  <c r="C2483" i="1"/>
  <c r="D2483" i="1"/>
  <c r="E2483" i="1"/>
  <c r="A2484" i="1"/>
  <c r="B2484" i="1"/>
  <c r="C2484" i="1"/>
  <c r="D2484" i="1"/>
  <c r="E2484" i="1"/>
  <c r="A2485" i="1"/>
  <c r="B2485" i="1"/>
  <c r="C2485" i="1"/>
  <c r="D2485" i="1"/>
  <c r="E2485" i="1"/>
  <c r="A2486" i="1"/>
  <c r="B2486" i="1"/>
  <c r="C2486" i="1"/>
  <c r="D2486" i="1"/>
  <c r="E2486" i="1"/>
  <c r="A2487" i="1"/>
  <c r="B2487" i="1"/>
  <c r="C2487" i="1"/>
  <c r="D2487" i="1"/>
  <c r="E2487" i="1"/>
  <c r="A2488" i="1"/>
  <c r="B2488" i="1"/>
  <c r="C2488" i="1"/>
  <c r="D2488" i="1"/>
  <c r="E2488" i="1"/>
  <c r="A2489" i="1"/>
  <c r="B2489" i="1"/>
  <c r="C2489" i="1"/>
  <c r="D2489" i="1"/>
  <c r="E2489" i="1"/>
  <c r="A2490" i="1"/>
  <c r="B2490" i="1"/>
  <c r="C2490" i="1"/>
  <c r="D2490" i="1"/>
  <c r="E2490" i="1"/>
  <c r="A2491" i="1"/>
  <c r="B2491" i="1"/>
  <c r="C2491" i="1"/>
  <c r="D2491" i="1"/>
  <c r="E2491" i="1"/>
  <c r="A2492" i="1"/>
  <c r="B2492" i="1"/>
  <c r="C2492" i="1"/>
  <c r="D2492" i="1"/>
  <c r="E2492" i="1"/>
  <c r="A2493" i="1"/>
  <c r="B2493" i="1"/>
  <c r="C2493" i="1"/>
  <c r="D2493" i="1"/>
  <c r="E2493" i="1"/>
  <c r="A2494" i="1"/>
  <c r="B2494" i="1"/>
  <c r="C2494" i="1"/>
  <c r="D2494" i="1"/>
  <c r="E2494" i="1"/>
  <c r="A2495" i="1"/>
  <c r="B2495" i="1"/>
  <c r="C2495" i="1"/>
  <c r="D2495" i="1"/>
  <c r="E2495" i="1"/>
  <c r="A2496" i="1"/>
  <c r="B2496" i="1"/>
  <c r="C2496" i="1"/>
  <c r="D2496" i="1"/>
  <c r="E2496" i="1"/>
  <c r="A2497" i="1"/>
  <c r="B2497" i="1"/>
  <c r="C2497" i="1"/>
  <c r="D2497" i="1"/>
  <c r="E2497" i="1"/>
  <c r="A2498" i="1"/>
  <c r="B2498" i="1"/>
  <c r="C2498" i="1"/>
  <c r="D2498" i="1"/>
  <c r="E2498" i="1"/>
  <c r="A2499" i="1"/>
  <c r="B2499" i="1"/>
  <c r="C2499" i="1"/>
  <c r="D2499" i="1"/>
  <c r="E2499" i="1"/>
  <c r="A2500" i="1"/>
  <c r="B2500" i="1"/>
  <c r="C2500" i="1"/>
  <c r="D2500" i="1"/>
  <c r="E2500" i="1"/>
  <c r="A2501" i="1"/>
  <c r="B2501" i="1"/>
  <c r="C2501" i="1"/>
  <c r="D2501" i="1"/>
  <c r="E2501" i="1"/>
  <c r="A2502" i="1"/>
  <c r="B2502" i="1"/>
  <c r="C2502" i="1"/>
  <c r="D2502" i="1"/>
  <c r="E2502" i="1"/>
  <c r="A2503" i="1"/>
  <c r="B2503" i="1"/>
  <c r="C2503" i="1"/>
  <c r="D2503" i="1"/>
  <c r="E2503" i="1"/>
  <c r="A2504" i="1"/>
  <c r="B2504" i="1"/>
  <c r="C2504" i="1"/>
  <c r="D2504" i="1"/>
  <c r="E2504" i="1"/>
  <c r="A2505" i="1"/>
  <c r="B2505" i="1"/>
  <c r="C2505" i="1"/>
  <c r="D2505" i="1"/>
  <c r="E2505" i="1"/>
  <c r="A2506" i="1"/>
  <c r="B2506" i="1"/>
  <c r="C2506" i="1"/>
  <c r="D2506" i="1"/>
  <c r="E2506" i="1"/>
  <c r="A2507" i="1"/>
  <c r="B2507" i="1"/>
  <c r="C2507" i="1"/>
  <c r="D2507" i="1"/>
  <c r="E2507" i="1"/>
  <c r="A2508" i="1"/>
  <c r="B2508" i="1"/>
  <c r="C2508" i="1"/>
  <c r="D2508" i="1"/>
  <c r="E2508" i="1"/>
  <c r="A2509" i="1"/>
  <c r="B2509" i="1"/>
  <c r="C2509" i="1"/>
  <c r="D2509" i="1"/>
  <c r="E2509" i="1"/>
  <c r="A2510" i="1"/>
  <c r="B2510" i="1"/>
  <c r="C2510" i="1"/>
  <c r="D2510" i="1"/>
  <c r="E2510" i="1"/>
  <c r="A2511" i="1"/>
  <c r="B2511" i="1"/>
  <c r="C2511" i="1"/>
  <c r="D2511" i="1"/>
  <c r="E2511" i="1"/>
  <c r="A2512" i="1"/>
  <c r="B2512" i="1"/>
  <c r="C2512" i="1"/>
  <c r="D2512" i="1"/>
  <c r="E2512" i="1"/>
  <c r="A2513" i="1"/>
  <c r="B2513" i="1"/>
  <c r="C2513" i="1"/>
  <c r="D2513" i="1"/>
  <c r="E2513" i="1"/>
  <c r="A2514" i="1"/>
  <c r="B2514" i="1"/>
  <c r="C2514" i="1"/>
  <c r="D2514" i="1"/>
  <c r="E2514" i="1"/>
  <c r="A2515" i="1"/>
  <c r="B2515" i="1"/>
  <c r="C2515" i="1"/>
  <c r="D2515" i="1"/>
  <c r="E2515" i="1"/>
  <c r="A2516" i="1"/>
  <c r="B2516" i="1"/>
  <c r="C2516" i="1"/>
  <c r="D2516" i="1"/>
  <c r="E2516" i="1"/>
  <c r="A2517" i="1"/>
  <c r="B2517" i="1"/>
  <c r="C2517" i="1"/>
  <c r="D2517" i="1"/>
  <c r="E2517" i="1"/>
  <c r="A2518" i="1"/>
  <c r="B2518" i="1"/>
  <c r="C2518" i="1"/>
  <c r="D2518" i="1"/>
  <c r="E2518" i="1"/>
  <c r="A2519" i="1"/>
  <c r="B2519" i="1"/>
  <c r="C2519" i="1"/>
  <c r="D2519" i="1"/>
  <c r="E2519" i="1"/>
  <c r="A2520" i="1"/>
  <c r="B2520" i="1"/>
  <c r="C2520" i="1"/>
  <c r="D2520" i="1"/>
  <c r="E2520" i="1"/>
  <c r="A2521" i="1"/>
  <c r="B2521" i="1"/>
  <c r="C2521" i="1"/>
  <c r="D2521" i="1"/>
  <c r="E2521" i="1"/>
  <c r="A2522" i="1"/>
  <c r="B2522" i="1"/>
  <c r="C2522" i="1"/>
  <c r="D2522" i="1"/>
  <c r="E2522" i="1"/>
  <c r="A2523" i="1"/>
  <c r="B2523" i="1"/>
  <c r="C2523" i="1"/>
  <c r="D2523" i="1"/>
  <c r="E2523" i="1"/>
  <c r="A2524" i="1"/>
  <c r="B2524" i="1"/>
  <c r="C2524" i="1"/>
  <c r="D2524" i="1"/>
  <c r="E2524" i="1"/>
  <c r="A2525" i="1"/>
  <c r="B2525" i="1"/>
  <c r="C2525" i="1"/>
  <c r="D2525" i="1"/>
  <c r="E2525" i="1"/>
  <c r="A2526" i="1"/>
  <c r="B2526" i="1"/>
  <c r="C2526" i="1"/>
  <c r="D2526" i="1"/>
  <c r="E2526" i="1"/>
  <c r="A2527" i="1"/>
  <c r="B2527" i="1"/>
  <c r="C2527" i="1"/>
  <c r="D2527" i="1"/>
  <c r="E2527" i="1"/>
  <c r="A2528" i="1"/>
  <c r="B2528" i="1"/>
  <c r="C2528" i="1"/>
  <c r="D2528" i="1"/>
  <c r="E2528" i="1"/>
  <c r="A2529" i="1"/>
  <c r="B2529" i="1"/>
  <c r="C2529" i="1"/>
  <c r="D2529" i="1"/>
  <c r="E2529" i="1"/>
  <c r="A2530" i="1"/>
  <c r="B2530" i="1"/>
  <c r="C2530" i="1"/>
  <c r="D2530" i="1"/>
  <c r="E2530" i="1"/>
  <c r="A2531" i="1"/>
  <c r="B2531" i="1"/>
  <c r="C2531" i="1"/>
  <c r="D2531" i="1"/>
  <c r="E2531" i="1"/>
  <c r="A2532" i="1"/>
  <c r="B2532" i="1"/>
  <c r="C2532" i="1"/>
  <c r="D2532" i="1"/>
  <c r="E2532" i="1"/>
  <c r="A2533" i="1"/>
  <c r="B2533" i="1"/>
  <c r="C2533" i="1"/>
  <c r="D2533" i="1"/>
  <c r="E2533" i="1"/>
  <c r="A2534" i="1"/>
  <c r="B2534" i="1"/>
  <c r="C2534" i="1"/>
  <c r="D2534" i="1"/>
  <c r="E2534" i="1"/>
  <c r="A2535" i="1"/>
  <c r="B2535" i="1"/>
  <c r="C2535" i="1"/>
  <c r="D2535" i="1"/>
  <c r="E2535" i="1"/>
  <c r="A2536" i="1"/>
  <c r="B2536" i="1"/>
  <c r="C2536" i="1"/>
  <c r="D2536" i="1"/>
  <c r="E2536" i="1"/>
  <c r="A2537" i="1"/>
  <c r="B2537" i="1"/>
  <c r="C2537" i="1"/>
  <c r="D2537" i="1"/>
  <c r="E2537" i="1"/>
  <c r="A2538" i="1"/>
  <c r="B2538" i="1"/>
  <c r="C2538" i="1"/>
  <c r="D2538" i="1"/>
  <c r="E2538" i="1"/>
  <c r="A2539" i="1"/>
  <c r="B2539" i="1"/>
  <c r="C2539" i="1"/>
  <c r="D2539" i="1"/>
  <c r="E2539" i="1"/>
  <c r="A2540" i="1"/>
  <c r="B2540" i="1"/>
  <c r="C2540" i="1"/>
  <c r="D2540" i="1"/>
  <c r="E2540" i="1"/>
  <c r="A2541" i="1"/>
  <c r="B2541" i="1"/>
  <c r="C2541" i="1"/>
  <c r="D2541" i="1"/>
  <c r="E2541" i="1"/>
  <c r="A2542" i="1"/>
  <c r="B2542" i="1"/>
  <c r="C2542" i="1"/>
  <c r="D2542" i="1"/>
  <c r="E2542" i="1"/>
  <c r="A2543" i="1"/>
  <c r="B2543" i="1"/>
  <c r="C2543" i="1"/>
  <c r="D2543" i="1"/>
  <c r="E2543" i="1"/>
  <c r="A2544" i="1"/>
  <c r="B2544" i="1"/>
  <c r="C2544" i="1"/>
  <c r="D2544" i="1"/>
  <c r="E2544" i="1"/>
  <c r="A2545" i="1"/>
  <c r="B2545" i="1"/>
  <c r="C2545" i="1"/>
  <c r="D2545" i="1"/>
  <c r="E2545" i="1"/>
  <c r="A2546" i="1"/>
  <c r="B2546" i="1"/>
  <c r="C2546" i="1"/>
  <c r="D2546" i="1"/>
  <c r="E2546" i="1"/>
  <c r="A2547" i="1"/>
  <c r="B2547" i="1"/>
  <c r="C2547" i="1"/>
  <c r="D2547" i="1"/>
  <c r="E2547" i="1"/>
  <c r="A2548" i="1"/>
  <c r="B2548" i="1"/>
  <c r="C2548" i="1"/>
  <c r="D2548" i="1"/>
  <c r="E2548" i="1"/>
  <c r="A2549" i="1"/>
  <c r="B2549" i="1"/>
  <c r="C2549" i="1"/>
  <c r="D2549" i="1"/>
  <c r="E2549" i="1"/>
  <c r="A2550" i="1"/>
  <c r="B2550" i="1"/>
  <c r="C2550" i="1"/>
  <c r="D2550" i="1"/>
  <c r="E2550" i="1"/>
  <c r="A2551" i="1"/>
  <c r="B2551" i="1"/>
  <c r="C2551" i="1"/>
  <c r="D2551" i="1"/>
  <c r="E2551" i="1"/>
  <c r="A2552" i="1"/>
  <c r="B2552" i="1"/>
  <c r="C2552" i="1"/>
  <c r="D2552" i="1"/>
  <c r="E2552" i="1"/>
  <c r="A2553" i="1"/>
  <c r="B2553" i="1"/>
  <c r="C2553" i="1"/>
  <c r="D2553" i="1"/>
  <c r="E2553" i="1"/>
  <c r="A2554" i="1"/>
  <c r="B2554" i="1"/>
  <c r="C2554" i="1"/>
  <c r="D2554" i="1"/>
  <c r="E2554" i="1"/>
  <c r="A2555" i="1"/>
  <c r="B2555" i="1"/>
  <c r="C2555" i="1"/>
  <c r="D2555" i="1"/>
  <c r="E2555" i="1"/>
  <c r="A2556" i="1"/>
  <c r="B2556" i="1"/>
  <c r="C2556" i="1"/>
  <c r="D2556" i="1"/>
  <c r="E2556" i="1"/>
  <c r="A2557" i="1"/>
  <c r="B2557" i="1"/>
  <c r="C2557" i="1"/>
  <c r="D2557" i="1"/>
  <c r="E2557" i="1"/>
  <c r="A2558" i="1"/>
  <c r="B2558" i="1"/>
  <c r="C2558" i="1"/>
  <c r="D2558" i="1"/>
  <c r="E2558" i="1"/>
  <c r="A2559" i="1"/>
  <c r="B2559" i="1"/>
  <c r="C2559" i="1"/>
  <c r="D2559" i="1"/>
  <c r="E2559" i="1"/>
  <c r="A2560" i="1"/>
  <c r="B2560" i="1"/>
  <c r="C2560" i="1"/>
  <c r="D2560" i="1"/>
  <c r="E2560" i="1"/>
  <c r="A2561" i="1"/>
  <c r="B2561" i="1"/>
  <c r="C2561" i="1"/>
  <c r="D2561" i="1"/>
  <c r="E2561" i="1"/>
  <c r="A2562" i="1"/>
  <c r="B2562" i="1"/>
  <c r="C2562" i="1"/>
  <c r="D2562" i="1"/>
  <c r="E2562" i="1"/>
  <c r="A2563" i="1"/>
  <c r="B2563" i="1"/>
  <c r="C2563" i="1"/>
  <c r="D2563" i="1"/>
  <c r="E2563" i="1"/>
  <c r="A2564" i="1"/>
  <c r="B2564" i="1"/>
  <c r="C2564" i="1"/>
  <c r="D2564" i="1"/>
  <c r="E2564" i="1"/>
  <c r="A2565" i="1"/>
  <c r="B2565" i="1"/>
  <c r="C2565" i="1"/>
  <c r="D2565" i="1"/>
  <c r="E2565" i="1"/>
  <c r="A2566" i="1"/>
  <c r="B2566" i="1"/>
  <c r="C2566" i="1"/>
  <c r="D2566" i="1"/>
  <c r="E2566" i="1"/>
  <c r="A2567" i="1"/>
  <c r="B2567" i="1"/>
  <c r="C2567" i="1"/>
  <c r="D2567" i="1"/>
  <c r="E2567" i="1"/>
  <c r="A2568" i="1"/>
  <c r="B2568" i="1"/>
  <c r="C2568" i="1"/>
  <c r="D2568" i="1"/>
  <c r="E2568" i="1"/>
  <c r="A2569" i="1"/>
  <c r="B2569" i="1"/>
  <c r="C2569" i="1"/>
  <c r="D2569" i="1"/>
  <c r="E2569" i="1"/>
  <c r="A2570" i="1"/>
  <c r="B2570" i="1"/>
  <c r="C2570" i="1"/>
  <c r="D2570" i="1"/>
  <c r="E2570" i="1"/>
  <c r="A2571" i="1"/>
  <c r="B2571" i="1"/>
  <c r="C2571" i="1"/>
  <c r="D2571" i="1"/>
  <c r="E2571" i="1"/>
  <c r="A2572" i="1"/>
  <c r="B2572" i="1"/>
  <c r="C2572" i="1"/>
  <c r="D2572" i="1"/>
  <c r="E2572" i="1"/>
  <c r="A2573" i="1"/>
  <c r="B2573" i="1"/>
  <c r="C2573" i="1"/>
  <c r="D2573" i="1"/>
  <c r="E2573" i="1"/>
  <c r="A2574" i="1"/>
  <c r="B2574" i="1"/>
  <c r="C2574" i="1"/>
  <c r="D2574" i="1"/>
  <c r="E2574" i="1"/>
  <c r="A2575" i="1"/>
  <c r="B2575" i="1"/>
  <c r="C2575" i="1"/>
  <c r="D2575" i="1"/>
  <c r="E2575" i="1"/>
  <c r="A2576" i="1"/>
  <c r="B2576" i="1"/>
  <c r="C2576" i="1"/>
  <c r="D2576" i="1"/>
  <c r="E2576" i="1"/>
  <c r="A2577" i="1"/>
  <c r="B2577" i="1"/>
  <c r="C2577" i="1"/>
  <c r="D2577" i="1"/>
  <c r="E2577" i="1"/>
  <c r="A2578" i="1"/>
  <c r="B2578" i="1"/>
  <c r="C2578" i="1"/>
  <c r="D2578" i="1"/>
  <c r="E2578" i="1"/>
  <c r="A2579" i="1"/>
  <c r="B2579" i="1"/>
  <c r="C2579" i="1"/>
  <c r="D2579" i="1"/>
  <c r="E2579" i="1"/>
  <c r="A2580" i="1"/>
  <c r="B2580" i="1"/>
  <c r="C2580" i="1"/>
  <c r="D2580" i="1"/>
  <c r="E2580" i="1"/>
  <c r="A2581" i="1"/>
  <c r="B2581" i="1"/>
  <c r="C2581" i="1"/>
  <c r="D2581" i="1"/>
  <c r="E2581" i="1"/>
  <c r="A2582" i="1"/>
  <c r="B2582" i="1"/>
  <c r="C2582" i="1"/>
  <c r="D2582" i="1"/>
  <c r="E2582" i="1"/>
  <c r="A2583" i="1"/>
  <c r="B2583" i="1"/>
  <c r="C2583" i="1"/>
  <c r="D2583" i="1"/>
  <c r="E2583" i="1"/>
  <c r="A2584" i="1"/>
  <c r="B2584" i="1"/>
  <c r="C2584" i="1"/>
  <c r="D2584" i="1"/>
  <c r="E2584" i="1"/>
  <c r="A2585" i="1"/>
  <c r="B2585" i="1"/>
  <c r="C2585" i="1"/>
  <c r="D2585" i="1"/>
  <c r="E2585" i="1"/>
  <c r="A2586" i="1"/>
  <c r="B2586" i="1"/>
  <c r="C2586" i="1"/>
  <c r="D2586" i="1"/>
  <c r="E2586" i="1"/>
  <c r="A2587" i="1"/>
  <c r="B2587" i="1"/>
  <c r="C2587" i="1"/>
  <c r="D2587" i="1"/>
  <c r="E2587" i="1"/>
  <c r="A2588" i="1"/>
  <c r="B2588" i="1"/>
  <c r="C2588" i="1"/>
  <c r="D2588" i="1"/>
  <c r="E2588" i="1"/>
  <c r="A2589" i="1"/>
  <c r="B2589" i="1"/>
  <c r="C2589" i="1"/>
  <c r="D2589" i="1"/>
  <c r="E2589" i="1"/>
  <c r="A2590" i="1"/>
  <c r="B2590" i="1"/>
  <c r="C2590" i="1"/>
  <c r="D2590" i="1"/>
  <c r="E2590" i="1"/>
  <c r="A2591" i="1"/>
  <c r="B2591" i="1"/>
  <c r="C2591" i="1"/>
  <c r="D2591" i="1"/>
  <c r="E2591" i="1"/>
  <c r="A2592" i="1"/>
  <c r="B2592" i="1"/>
  <c r="C2592" i="1"/>
  <c r="D2592" i="1"/>
  <c r="E2592" i="1"/>
  <c r="A2593" i="1"/>
  <c r="B2593" i="1"/>
  <c r="C2593" i="1"/>
  <c r="D2593" i="1"/>
  <c r="E2593" i="1"/>
  <c r="A2594" i="1"/>
  <c r="B2594" i="1"/>
  <c r="C2594" i="1"/>
  <c r="D2594" i="1"/>
  <c r="E2594" i="1"/>
  <c r="A2595" i="1"/>
  <c r="B2595" i="1"/>
  <c r="C2595" i="1"/>
  <c r="D2595" i="1"/>
  <c r="E2595" i="1"/>
  <c r="A2596" i="1"/>
  <c r="B2596" i="1"/>
  <c r="C2596" i="1"/>
  <c r="D2596" i="1"/>
  <c r="E2596" i="1"/>
  <c r="A2597" i="1"/>
  <c r="B2597" i="1"/>
  <c r="C2597" i="1"/>
  <c r="D2597" i="1"/>
  <c r="E2597" i="1"/>
  <c r="A2598" i="1"/>
  <c r="B2598" i="1"/>
  <c r="C2598" i="1"/>
  <c r="D2598" i="1"/>
  <c r="E2598" i="1"/>
  <c r="A2599" i="1"/>
  <c r="B2599" i="1"/>
  <c r="C2599" i="1"/>
  <c r="D2599" i="1"/>
  <c r="E2599" i="1"/>
  <c r="A2600" i="1"/>
  <c r="B2600" i="1"/>
  <c r="C2600" i="1"/>
  <c r="D2600" i="1"/>
  <c r="E2600" i="1"/>
  <c r="A2601" i="1"/>
  <c r="B2601" i="1"/>
  <c r="C2601" i="1"/>
  <c r="D2601" i="1"/>
  <c r="E2601" i="1"/>
  <c r="A2602" i="1"/>
  <c r="B2602" i="1"/>
  <c r="C2602" i="1"/>
  <c r="D2602" i="1"/>
  <c r="E2602" i="1"/>
  <c r="A2603" i="1"/>
  <c r="B2603" i="1"/>
  <c r="C2603" i="1"/>
  <c r="D2603" i="1"/>
  <c r="E2603" i="1"/>
  <c r="A2604" i="1"/>
  <c r="B2604" i="1"/>
  <c r="C2604" i="1"/>
  <c r="D2604" i="1"/>
  <c r="E2604" i="1"/>
  <c r="A2605" i="1"/>
  <c r="B2605" i="1"/>
  <c r="C2605" i="1"/>
  <c r="D2605" i="1"/>
  <c r="E2605" i="1"/>
  <c r="A2606" i="1"/>
  <c r="B2606" i="1"/>
  <c r="C2606" i="1"/>
  <c r="D2606" i="1"/>
  <c r="E2606" i="1"/>
  <c r="A2607" i="1"/>
  <c r="B2607" i="1"/>
  <c r="C2607" i="1"/>
  <c r="D2607" i="1"/>
  <c r="E2607" i="1"/>
  <c r="A2608" i="1"/>
  <c r="B2608" i="1"/>
  <c r="C2608" i="1"/>
  <c r="D2608" i="1"/>
  <c r="E2608" i="1"/>
  <c r="A2609" i="1"/>
  <c r="B2609" i="1"/>
  <c r="C2609" i="1"/>
  <c r="D2609" i="1"/>
  <c r="E2609" i="1"/>
  <c r="A2610" i="1"/>
  <c r="B2610" i="1"/>
  <c r="C2610" i="1"/>
  <c r="D2610" i="1"/>
  <c r="E2610" i="1"/>
  <c r="A2611" i="1"/>
  <c r="B2611" i="1"/>
  <c r="C2611" i="1"/>
  <c r="D2611" i="1"/>
  <c r="E2611" i="1"/>
  <c r="A2612" i="1"/>
  <c r="B2612" i="1"/>
  <c r="C2612" i="1"/>
  <c r="D2612" i="1"/>
  <c r="E2612" i="1"/>
  <c r="A2613" i="1"/>
  <c r="B2613" i="1"/>
  <c r="C2613" i="1"/>
  <c r="D2613" i="1"/>
  <c r="E2613" i="1"/>
  <c r="A2614" i="1"/>
  <c r="B2614" i="1"/>
  <c r="C2614" i="1"/>
  <c r="D2614" i="1"/>
  <c r="E2614" i="1"/>
  <c r="A2615" i="1"/>
  <c r="B2615" i="1"/>
  <c r="C2615" i="1"/>
  <c r="D2615" i="1"/>
  <c r="E2615" i="1"/>
  <c r="A2616" i="1"/>
  <c r="B2616" i="1"/>
  <c r="C2616" i="1"/>
  <c r="D2616" i="1"/>
  <c r="E2616" i="1"/>
  <c r="A2617" i="1"/>
  <c r="B2617" i="1"/>
  <c r="C2617" i="1"/>
  <c r="D2617" i="1"/>
  <c r="E2617" i="1"/>
  <c r="A2618" i="1"/>
  <c r="B2618" i="1"/>
  <c r="C2618" i="1"/>
  <c r="D2618" i="1"/>
  <c r="E2618" i="1"/>
  <c r="A2619" i="1"/>
  <c r="B2619" i="1"/>
  <c r="C2619" i="1"/>
  <c r="D2619" i="1"/>
  <c r="E2619" i="1"/>
  <c r="A2620" i="1"/>
  <c r="B2620" i="1"/>
  <c r="C2620" i="1"/>
  <c r="D2620" i="1"/>
  <c r="E2620" i="1"/>
  <c r="A2621" i="1"/>
  <c r="B2621" i="1"/>
  <c r="C2621" i="1"/>
  <c r="D2621" i="1"/>
  <c r="E2621" i="1"/>
  <c r="A2622" i="1"/>
  <c r="B2622" i="1"/>
  <c r="C2622" i="1"/>
  <c r="D2622" i="1"/>
  <c r="E2622" i="1"/>
  <c r="A2623" i="1"/>
  <c r="B2623" i="1"/>
  <c r="C2623" i="1"/>
  <c r="D2623" i="1"/>
  <c r="E2623" i="1"/>
  <c r="A2624" i="1"/>
  <c r="B2624" i="1"/>
  <c r="C2624" i="1"/>
  <c r="D2624" i="1"/>
  <c r="E2624" i="1"/>
  <c r="A2625" i="1"/>
  <c r="B2625" i="1"/>
  <c r="C2625" i="1"/>
  <c r="D2625" i="1"/>
  <c r="E2625" i="1"/>
  <c r="A2626" i="1"/>
  <c r="B2626" i="1"/>
  <c r="C2626" i="1"/>
  <c r="D2626" i="1"/>
  <c r="E2626" i="1"/>
  <c r="A2627" i="1"/>
  <c r="B2627" i="1"/>
  <c r="C2627" i="1"/>
  <c r="D2627" i="1"/>
  <c r="E2627" i="1"/>
  <c r="A2628" i="1"/>
  <c r="B2628" i="1"/>
  <c r="C2628" i="1"/>
  <c r="D2628" i="1"/>
  <c r="E2628" i="1"/>
  <c r="A2629" i="1"/>
  <c r="B2629" i="1"/>
  <c r="C2629" i="1"/>
  <c r="D2629" i="1"/>
  <c r="E2629" i="1"/>
  <c r="A2630" i="1"/>
  <c r="B2630" i="1"/>
  <c r="C2630" i="1"/>
  <c r="D2630" i="1"/>
  <c r="E2630" i="1"/>
  <c r="A2631" i="1"/>
  <c r="B2631" i="1"/>
  <c r="C2631" i="1"/>
  <c r="D2631" i="1"/>
  <c r="E2631" i="1"/>
  <c r="A2632" i="1"/>
  <c r="B2632" i="1"/>
  <c r="C2632" i="1"/>
  <c r="D2632" i="1"/>
  <c r="E2632" i="1"/>
  <c r="A2633" i="1"/>
  <c r="B2633" i="1"/>
  <c r="C2633" i="1"/>
  <c r="D2633" i="1"/>
  <c r="E2633" i="1"/>
  <c r="A2634" i="1"/>
  <c r="B2634" i="1"/>
  <c r="C2634" i="1"/>
  <c r="D2634" i="1"/>
  <c r="E2634" i="1"/>
  <c r="A2635" i="1"/>
  <c r="B2635" i="1"/>
  <c r="C2635" i="1"/>
  <c r="D2635" i="1"/>
  <c r="E2635" i="1"/>
  <c r="A2636" i="1"/>
  <c r="B2636" i="1"/>
  <c r="C2636" i="1"/>
  <c r="D2636" i="1"/>
  <c r="E2636" i="1"/>
  <c r="A2637" i="1"/>
  <c r="B2637" i="1"/>
  <c r="C2637" i="1"/>
  <c r="D2637" i="1"/>
  <c r="E2637" i="1"/>
  <c r="A2638" i="1"/>
  <c r="B2638" i="1"/>
  <c r="C2638" i="1"/>
  <c r="D2638" i="1"/>
  <c r="E2638" i="1"/>
  <c r="A2639" i="1"/>
  <c r="B2639" i="1"/>
  <c r="C2639" i="1"/>
  <c r="D2639" i="1"/>
  <c r="E2639" i="1"/>
  <c r="A2640" i="1"/>
  <c r="B2640" i="1"/>
  <c r="C2640" i="1"/>
  <c r="D2640" i="1"/>
  <c r="E2640" i="1"/>
  <c r="A2641" i="1"/>
  <c r="B2641" i="1"/>
  <c r="C2641" i="1"/>
  <c r="D2641" i="1"/>
  <c r="E2641" i="1"/>
  <c r="A2642" i="1"/>
  <c r="B2642" i="1"/>
  <c r="C2642" i="1"/>
  <c r="D2642" i="1"/>
  <c r="E2642" i="1"/>
  <c r="A2643" i="1"/>
  <c r="B2643" i="1"/>
  <c r="C2643" i="1"/>
  <c r="D2643" i="1"/>
  <c r="E2643" i="1"/>
  <c r="A2644" i="1"/>
  <c r="B2644" i="1"/>
  <c r="C2644" i="1"/>
  <c r="D2644" i="1"/>
  <c r="E2644" i="1"/>
  <c r="A2645" i="1"/>
  <c r="B2645" i="1"/>
  <c r="C2645" i="1"/>
  <c r="D2645" i="1"/>
  <c r="E2645" i="1"/>
  <c r="A2646" i="1"/>
  <c r="B2646" i="1"/>
  <c r="C2646" i="1"/>
  <c r="D2646" i="1"/>
  <c r="E2646" i="1"/>
  <c r="A2647" i="1"/>
  <c r="B2647" i="1"/>
  <c r="C2647" i="1"/>
  <c r="D2647" i="1"/>
  <c r="E2647" i="1"/>
  <c r="A2648" i="1"/>
  <c r="B2648" i="1"/>
  <c r="C2648" i="1"/>
  <c r="D2648" i="1"/>
  <c r="E2648" i="1"/>
  <c r="A2649" i="1"/>
  <c r="B2649" i="1"/>
  <c r="C2649" i="1"/>
  <c r="D2649" i="1"/>
  <c r="E2649" i="1"/>
  <c r="A2650" i="1"/>
  <c r="B2650" i="1"/>
  <c r="C2650" i="1"/>
  <c r="D2650" i="1"/>
  <c r="E2650" i="1"/>
  <c r="A2651" i="1"/>
  <c r="B2651" i="1"/>
  <c r="C2651" i="1"/>
  <c r="D2651" i="1"/>
  <c r="E2651" i="1"/>
  <c r="A2652" i="1"/>
  <c r="B2652" i="1"/>
  <c r="C2652" i="1"/>
  <c r="D2652" i="1"/>
  <c r="E2652" i="1"/>
  <c r="A2653" i="1"/>
  <c r="B2653" i="1"/>
  <c r="C2653" i="1"/>
  <c r="D2653" i="1"/>
  <c r="E2653" i="1"/>
  <c r="A2654" i="1"/>
  <c r="B2654" i="1"/>
  <c r="C2654" i="1"/>
  <c r="D2654" i="1"/>
  <c r="E2654" i="1"/>
  <c r="A2655" i="1"/>
  <c r="B2655" i="1"/>
  <c r="C2655" i="1"/>
  <c r="D2655" i="1"/>
  <c r="E2655" i="1"/>
  <c r="A2656" i="1"/>
  <c r="B2656" i="1"/>
  <c r="C2656" i="1"/>
  <c r="D2656" i="1"/>
  <c r="E2656" i="1"/>
  <c r="A2657" i="1"/>
  <c r="B2657" i="1"/>
  <c r="C2657" i="1"/>
  <c r="D2657" i="1"/>
  <c r="E2657" i="1"/>
  <c r="A2658" i="1"/>
  <c r="B2658" i="1"/>
  <c r="C2658" i="1"/>
  <c r="D2658" i="1"/>
  <c r="E2658" i="1"/>
  <c r="A2659" i="1"/>
  <c r="B2659" i="1"/>
  <c r="C2659" i="1"/>
  <c r="D2659" i="1"/>
  <c r="E2659" i="1"/>
  <c r="A2660" i="1"/>
  <c r="B2660" i="1"/>
  <c r="C2660" i="1"/>
  <c r="D2660" i="1"/>
  <c r="E2660" i="1"/>
  <c r="A2661" i="1"/>
  <c r="B2661" i="1"/>
  <c r="C2661" i="1"/>
  <c r="D2661" i="1"/>
  <c r="E2661" i="1"/>
  <c r="A2662" i="1"/>
  <c r="B2662" i="1"/>
  <c r="C2662" i="1"/>
  <c r="D2662" i="1"/>
  <c r="E2662" i="1"/>
  <c r="A2663" i="1"/>
  <c r="B2663" i="1"/>
  <c r="C2663" i="1"/>
  <c r="D2663" i="1"/>
  <c r="E2663" i="1"/>
  <c r="A2664" i="1"/>
  <c r="B2664" i="1"/>
  <c r="C2664" i="1"/>
  <c r="D2664" i="1"/>
  <c r="E2664" i="1"/>
  <c r="A2665" i="1"/>
  <c r="B2665" i="1"/>
  <c r="C2665" i="1"/>
  <c r="D2665" i="1"/>
  <c r="E2665" i="1"/>
  <c r="A2666" i="1"/>
  <c r="B2666" i="1"/>
  <c r="C2666" i="1"/>
  <c r="D2666" i="1"/>
  <c r="E2666" i="1"/>
  <c r="A2667" i="1"/>
  <c r="B2667" i="1"/>
  <c r="C2667" i="1"/>
  <c r="D2667" i="1"/>
  <c r="E2667" i="1"/>
  <c r="A2668" i="1"/>
  <c r="B2668" i="1"/>
  <c r="C2668" i="1"/>
  <c r="D2668" i="1"/>
  <c r="E2668" i="1"/>
  <c r="A2669" i="1"/>
  <c r="B2669" i="1"/>
  <c r="C2669" i="1"/>
  <c r="D2669" i="1"/>
  <c r="E2669" i="1"/>
  <c r="A2670" i="1"/>
  <c r="B2670" i="1"/>
  <c r="C2670" i="1"/>
  <c r="D2670" i="1"/>
  <c r="E2670" i="1"/>
  <c r="A2671" i="1"/>
  <c r="B2671" i="1"/>
  <c r="C2671" i="1"/>
  <c r="D2671" i="1"/>
  <c r="E2671" i="1"/>
  <c r="A2672" i="1"/>
  <c r="B2672" i="1"/>
  <c r="C2672" i="1"/>
  <c r="D2672" i="1"/>
  <c r="E2672" i="1"/>
  <c r="A2673" i="1"/>
  <c r="B2673" i="1"/>
  <c r="C2673" i="1"/>
  <c r="D2673" i="1"/>
  <c r="E2673" i="1"/>
  <c r="A2674" i="1"/>
  <c r="B2674" i="1"/>
  <c r="C2674" i="1"/>
  <c r="D2674" i="1"/>
  <c r="E2674" i="1"/>
  <c r="A2675" i="1"/>
  <c r="B2675" i="1"/>
  <c r="C2675" i="1"/>
  <c r="D2675" i="1"/>
  <c r="E2675" i="1"/>
  <c r="A2676" i="1"/>
  <c r="B2676" i="1"/>
  <c r="C2676" i="1"/>
  <c r="D2676" i="1"/>
  <c r="E2676" i="1"/>
  <c r="A2677" i="1"/>
  <c r="B2677" i="1"/>
  <c r="C2677" i="1"/>
  <c r="D2677" i="1"/>
  <c r="E2677" i="1"/>
  <c r="A2678" i="1"/>
  <c r="B2678" i="1"/>
  <c r="C2678" i="1"/>
  <c r="D2678" i="1"/>
  <c r="E2678" i="1"/>
  <c r="A2679" i="1"/>
  <c r="B2679" i="1"/>
  <c r="C2679" i="1"/>
  <c r="D2679" i="1"/>
  <c r="E2679" i="1"/>
  <c r="A2680" i="1"/>
  <c r="B2680" i="1"/>
  <c r="C2680" i="1"/>
  <c r="D2680" i="1"/>
  <c r="E2680" i="1"/>
  <c r="A2681" i="1"/>
  <c r="B2681" i="1"/>
  <c r="C2681" i="1"/>
  <c r="D2681" i="1"/>
  <c r="E2681" i="1"/>
  <c r="A2682" i="1"/>
  <c r="B2682" i="1"/>
  <c r="C2682" i="1"/>
  <c r="D2682" i="1"/>
  <c r="E2682" i="1"/>
  <c r="A2683" i="1"/>
  <c r="B2683" i="1"/>
  <c r="C2683" i="1"/>
  <c r="D2683" i="1"/>
  <c r="E2683" i="1"/>
  <c r="A2684" i="1"/>
  <c r="B2684" i="1"/>
  <c r="C2684" i="1"/>
  <c r="D2684" i="1"/>
  <c r="E2684" i="1"/>
  <c r="A2685" i="1"/>
  <c r="B2685" i="1"/>
  <c r="C2685" i="1"/>
  <c r="D2685" i="1"/>
  <c r="E2685" i="1"/>
  <c r="A2686" i="1"/>
  <c r="B2686" i="1"/>
  <c r="C2686" i="1"/>
  <c r="D2686" i="1"/>
  <c r="E2686" i="1"/>
  <c r="A2687" i="1"/>
  <c r="B2687" i="1"/>
  <c r="C2687" i="1"/>
  <c r="D2687" i="1"/>
  <c r="E2687" i="1"/>
  <c r="A2688" i="1"/>
  <c r="B2688" i="1"/>
  <c r="C2688" i="1"/>
  <c r="D2688" i="1"/>
  <c r="E2688" i="1"/>
  <c r="A2689" i="1"/>
  <c r="B2689" i="1"/>
  <c r="C2689" i="1"/>
  <c r="D2689" i="1"/>
  <c r="E2689" i="1"/>
  <c r="A2690" i="1"/>
  <c r="B2690" i="1"/>
  <c r="C2690" i="1"/>
  <c r="D2690" i="1"/>
  <c r="E2690" i="1"/>
  <c r="A2691" i="1"/>
  <c r="B2691" i="1"/>
  <c r="C2691" i="1"/>
  <c r="D2691" i="1"/>
  <c r="E2691" i="1"/>
  <c r="A2692" i="1"/>
  <c r="B2692" i="1"/>
  <c r="C2692" i="1"/>
  <c r="D2692" i="1"/>
  <c r="E2692" i="1"/>
  <c r="A2693" i="1"/>
  <c r="B2693" i="1"/>
  <c r="C2693" i="1"/>
  <c r="D2693" i="1"/>
  <c r="E2693" i="1"/>
  <c r="A2694" i="1"/>
  <c r="B2694" i="1"/>
  <c r="C2694" i="1"/>
  <c r="D2694" i="1"/>
  <c r="E2694" i="1"/>
  <c r="A2695" i="1"/>
  <c r="B2695" i="1"/>
  <c r="C2695" i="1"/>
  <c r="D2695" i="1"/>
  <c r="E2695" i="1"/>
  <c r="A2696" i="1"/>
  <c r="B2696" i="1"/>
  <c r="C2696" i="1"/>
  <c r="D2696" i="1"/>
  <c r="E2696" i="1"/>
  <c r="A2697" i="1"/>
  <c r="B2697" i="1"/>
  <c r="C2697" i="1"/>
  <c r="D2697" i="1"/>
  <c r="E2697" i="1"/>
  <c r="A2698" i="1"/>
  <c r="B2698" i="1"/>
  <c r="C2698" i="1"/>
  <c r="D2698" i="1"/>
  <c r="E2698" i="1"/>
  <c r="A2699" i="1"/>
  <c r="B2699" i="1"/>
  <c r="C2699" i="1"/>
  <c r="D2699" i="1"/>
  <c r="E2699" i="1"/>
  <c r="A2700" i="1"/>
  <c r="B2700" i="1"/>
  <c r="C2700" i="1"/>
  <c r="D2700" i="1"/>
  <c r="E2700" i="1"/>
  <c r="A2701" i="1"/>
  <c r="B2701" i="1"/>
  <c r="C2701" i="1"/>
  <c r="D2701" i="1"/>
  <c r="E2701" i="1"/>
  <c r="A2702" i="1"/>
  <c r="B2702" i="1"/>
  <c r="C2702" i="1"/>
  <c r="D2702" i="1"/>
  <c r="E2702" i="1"/>
  <c r="A2703" i="1"/>
  <c r="B2703" i="1"/>
  <c r="C2703" i="1"/>
  <c r="D2703" i="1"/>
  <c r="E2703" i="1"/>
  <c r="A2704" i="1"/>
  <c r="B2704" i="1"/>
  <c r="C2704" i="1"/>
  <c r="D2704" i="1"/>
  <c r="E2704" i="1"/>
  <c r="A2705" i="1"/>
  <c r="B2705" i="1"/>
  <c r="C2705" i="1"/>
  <c r="D2705" i="1"/>
  <c r="E2705" i="1"/>
  <c r="A2706" i="1"/>
  <c r="B2706" i="1"/>
  <c r="C2706" i="1"/>
  <c r="D2706" i="1"/>
  <c r="E2706" i="1"/>
  <c r="A2707" i="1"/>
  <c r="B2707" i="1"/>
  <c r="C2707" i="1"/>
  <c r="D2707" i="1"/>
  <c r="E2707" i="1"/>
  <c r="A2708" i="1"/>
  <c r="B2708" i="1"/>
  <c r="C2708" i="1"/>
  <c r="D2708" i="1"/>
  <c r="E2708" i="1"/>
  <c r="A2709" i="1"/>
  <c r="B2709" i="1"/>
  <c r="C2709" i="1"/>
  <c r="D2709" i="1"/>
  <c r="E2709" i="1"/>
  <c r="A2710" i="1"/>
  <c r="B2710" i="1"/>
  <c r="C2710" i="1"/>
  <c r="D2710" i="1"/>
  <c r="E2710" i="1"/>
  <c r="A2711" i="1"/>
  <c r="B2711" i="1"/>
  <c r="C2711" i="1"/>
  <c r="D2711" i="1"/>
  <c r="E2711" i="1"/>
  <c r="A2712" i="1"/>
  <c r="B2712" i="1"/>
  <c r="C2712" i="1"/>
  <c r="D2712" i="1"/>
  <c r="E2712" i="1"/>
  <c r="A2713" i="1"/>
  <c r="B2713" i="1"/>
  <c r="C2713" i="1"/>
  <c r="D2713" i="1"/>
  <c r="E2713" i="1"/>
  <c r="A2714" i="1"/>
  <c r="B2714" i="1"/>
  <c r="C2714" i="1"/>
  <c r="D2714" i="1"/>
  <c r="E2714" i="1"/>
  <c r="A2715" i="1"/>
  <c r="B2715" i="1"/>
  <c r="C2715" i="1"/>
  <c r="D2715" i="1"/>
  <c r="E2715" i="1"/>
  <c r="A2716" i="1"/>
  <c r="B2716" i="1"/>
  <c r="C2716" i="1"/>
  <c r="D2716" i="1"/>
  <c r="E2716" i="1"/>
  <c r="A2717" i="1"/>
  <c r="B2717" i="1"/>
  <c r="C2717" i="1"/>
  <c r="D2717" i="1"/>
  <c r="E2717" i="1"/>
  <c r="A2718" i="1"/>
  <c r="B2718" i="1"/>
  <c r="C2718" i="1"/>
  <c r="D2718" i="1"/>
  <c r="E2718" i="1"/>
  <c r="A2719" i="1"/>
  <c r="B2719" i="1"/>
  <c r="C2719" i="1"/>
  <c r="D2719" i="1"/>
  <c r="E2719" i="1"/>
  <c r="A2720" i="1"/>
  <c r="B2720" i="1"/>
  <c r="C2720" i="1"/>
  <c r="D2720" i="1"/>
  <c r="E2720" i="1"/>
  <c r="A2721" i="1"/>
  <c r="B2721" i="1"/>
  <c r="C2721" i="1"/>
  <c r="D2721" i="1"/>
  <c r="E2721" i="1"/>
  <c r="A2722" i="1"/>
  <c r="B2722" i="1"/>
  <c r="C2722" i="1"/>
  <c r="D2722" i="1"/>
  <c r="E2722" i="1"/>
  <c r="A2723" i="1"/>
  <c r="B2723" i="1"/>
  <c r="C2723" i="1"/>
  <c r="D2723" i="1"/>
  <c r="E2723" i="1"/>
  <c r="A2724" i="1"/>
  <c r="B2724" i="1"/>
  <c r="C2724" i="1"/>
  <c r="D2724" i="1"/>
  <c r="E2724" i="1"/>
  <c r="A2725" i="1"/>
  <c r="B2725" i="1"/>
  <c r="C2725" i="1"/>
  <c r="D2725" i="1"/>
  <c r="E2725" i="1"/>
  <c r="A2726" i="1"/>
  <c r="B2726" i="1"/>
  <c r="C2726" i="1"/>
  <c r="D2726" i="1"/>
  <c r="E2726" i="1"/>
  <c r="A2727" i="1"/>
  <c r="B2727" i="1"/>
  <c r="C2727" i="1"/>
  <c r="D2727" i="1"/>
  <c r="E2727" i="1"/>
  <c r="A2728" i="1"/>
  <c r="B2728" i="1"/>
  <c r="C2728" i="1"/>
  <c r="D2728" i="1"/>
  <c r="E2728" i="1"/>
  <c r="A2729" i="1"/>
  <c r="B2729" i="1"/>
  <c r="C2729" i="1"/>
  <c r="D2729" i="1"/>
  <c r="E2729" i="1"/>
  <c r="A2730" i="1"/>
  <c r="B2730" i="1"/>
  <c r="C2730" i="1"/>
  <c r="D2730" i="1"/>
  <c r="E2730" i="1"/>
  <c r="A2731" i="1"/>
  <c r="B2731" i="1"/>
  <c r="C2731" i="1"/>
  <c r="D2731" i="1"/>
  <c r="E2731" i="1"/>
  <c r="A2732" i="1"/>
  <c r="B2732" i="1"/>
  <c r="C2732" i="1"/>
  <c r="D2732" i="1"/>
  <c r="E2732" i="1"/>
  <c r="A2733" i="1"/>
  <c r="B2733" i="1"/>
  <c r="C2733" i="1"/>
  <c r="D2733" i="1"/>
  <c r="E2733" i="1"/>
  <c r="A2734" i="1"/>
  <c r="B2734" i="1"/>
  <c r="C2734" i="1"/>
  <c r="D2734" i="1"/>
  <c r="E2734" i="1"/>
  <c r="A2735" i="1"/>
  <c r="B2735" i="1"/>
  <c r="C2735" i="1"/>
  <c r="D2735" i="1"/>
  <c r="E2735" i="1"/>
  <c r="A2736" i="1"/>
  <c r="B2736" i="1"/>
  <c r="C2736" i="1"/>
  <c r="D2736" i="1"/>
  <c r="E2736" i="1"/>
  <c r="A2737" i="1"/>
  <c r="B2737" i="1"/>
  <c r="C2737" i="1"/>
  <c r="D2737" i="1"/>
  <c r="E2737" i="1"/>
  <c r="A2738" i="1"/>
  <c r="B2738" i="1"/>
  <c r="C2738" i="1"/>
  <c r="D2738" i="1"/>
  <c r="E2738" i="1"/>
  <c r="A2739" i="1"/>
  <c r="B2739" i="1"/>
  <c r="C2739" i="1"/>
  <c r="D2739" i="1"/>
  <c r="E2739" i="1"/>
  <c r="A2740" i="1"/>
  <c r="B2740" i="1"/>
  <c r="C2740" i="1"/>
  <c r="D2740" i="1"/>
  <c r="E2740" i="1"/>
  <c r="A2741" i="1"/>
  <c r="B2741" i="1"/>
  <c r="C2741" i="1"/>
  <c r="D2741" i="1"/>
  <c r="E2741" i="1"/>
  <c r="A2742" i="1"/>
  <c r="B2742" i="1"/>
  <c r="C2742" i="1"/>
  <c r="D2742" i="1"/>
  <c r="E2742" i="1"/>
  <c r="A2743" i="1"/>
  <c r="B2743" i="1"/>
  <c r="C2743" i="1"/>
  <c r="D2743" i="1"/>
  <c r="E2743" i="1"/>
  <c r="A2744" i="1"/>
  <c r="B2744" i="1"/>
  <c r="C2744" i="1"/>
  <c r="D2744" i="1"/>
  <c r="E2744" i="1"/>
  <c r="A2745" i="1"/>
  <c r="B2745" i="1"/>
  <c r="C2745" i="1"/>
  <c r="D2745" i="1"/>
  <c r="E2745" i="1"/>
  <c r="A2746" i="1"/>
  <c r="B2746" i="1"/>
  <c r="C2746" i="1"/>
  <c r="D2746" i="1"/>
  <c r="E2746" i="1"/>
  <c r="A2747" i="1"/>
  <c r="B2747" i="1"/>
  <c r="C2747" i="1"/>
  <c r="D2747" i="1"/>
  <c r="E2747" i="1"/>
  <c r="A2748" i="1"/>
  <c r="B2748" i="1"/>
  <c r="C2748" i="1"/>
  <c r="D2748" i="1"/>
  <c r="E2748" i="1"/>
  <c r="A2749" i="1"/>
  <c r="B2749" i="1"/>
  <c r="C2749" i="1"/>
  <c r="D2749" i="1"/>
  <c r="E2749" i="1"/>
  <c r="A2750" i="1"/>
  <c r="B2750" i="1"/>
  <c r="C2750" i="1"/>
  <c r="D2750" i="1"/>
  <c r="E2750" i="1"/>
  <c r="A2751" i="1"/>
  <c r="B2751" i="1"/>
  <c r="C2751" i="1"/>
  <c r="D2751" i="1"/>
  <c r="E2751" i="1"/>
  <c r="A2752" i="1"/>
  <c r="B2752" i="1"/>
  <c r="C2752" i="1"/>
  <c r="D2752" i="1"/>
  <c r="E2752" i="1"/>
  <c r="A2753" i="1"/>
  <c r="B2753" i="1"/>
  <c r="C2753" i="1"/>
  <c r="D2753" i="1"/>
  <c r="E2753" i="1"/>
  <c r="A2754" i="1"/>
  <c r="B2754" i="1"/>
  <c r="C2754" i="1"/>
  <c r="D2754" i="1"/>
  <c r="E2754" i="1"/>
  <c r="A2755" i="1"/>
  <c r="B2755" i="1"/>
  <c r="C2755" i="1"/>
  <c r="D2755" i="1"/>
  <c r="E2755" i="1"/>
  <c r="A2756" i="1"/>
  <c r="B2756" i="1"/>
  <c r="C2756" i="1"/>
  <c r="D2756" i="1"/>
  <c r="E2756" i="1"/>
  <c r="A2757" i="1"/>
  <c r="B2757" i="1"/>
  <c r="C2757" i="1"/>
  <c r="D2757" i="1"/>
  <c r="E2757" i="1"/>
  <c r="A2758" i="1"/>
  <c r="B2758" i="1"/>
  <c r="C2758" i="1"/>
  <c r="D2758" i="1"/>
  <c r="E2758" i="1"/>
  <c r="A2759" i="1"/>
  <c r="B2759" i="1"/>
  <c r="C2759" i="1"/>
  <c r="D2759" i="1"/>
  <c r="E2759" i="1"/>
  <c r="A2760" i="1"/>
  <c r="B2760" i="1"/>
  <c r="C2760" i="1"/>
  <c r="D2760" i="1"/>
  <c r="E2760" i="1"/>
  <c r="A2761" i="1"/>
  <c r="B2761" i="1"/>
  <c r="C2761" i="1"/>
  <c r="D2761" i="1"/>
  <c r="E2761" i="1"/>
  <c r="A2762" i="1"/>
  <c r="B2762" i="1"/>
  <c r="C2762" i="1"/>
  <c r="D2762" i="1"/>
  <c r="E2762" i="1"/>
  <c r="A2763" i="1"/>
  <c r="B2763" i="1"/>
  <c r="C2763" i="1"/>
  <c r="D2763" i="1"/>
  <c r="E2763" i="1"/>
  <c r="A2764" i="1"/>
  <c r="B2764" i="1"/>
  <c r="C2764" i="1"/>
  <c r="D2764" i="1"/>
  <c r="E2764" i="1"/>
  <c r="A2765" i="1"/>
  <c r="B2765" i="1"/>
  <c r="C2765" i="1"/>
  <c r="D2765" i="1"/>
  <c r="E2765" i="1"/>
  <c r="A2766" i="1"/>
  <c r="B2766" i="1"/>
  <c r="C2766" i="1"/>
  <c r="D2766" i="1"/>
  <c r="E2766" i="1"/>
  <c r="A2767" i="1"/>
  <c r="B2767" i="1"/>
  <c r="C2767" i="1"/>
  <c r="D2767" i="1"/>
  <c r="E2767" i="1"/>
  <c r="A2768" i="1"/>
  <c r="B2768" i="1"/>
  <c r="C2768" i="1"/>
  <c r="D2768" i="1"/>
  <c r="E2768" i="1"/>
  <c r="A2769" i="1"/>
  <c r="B2769" i="1"/>
  <c r="C2769" i="1"/>
  <c r="D2769" i="1"/>
  <c r="E2769" i="1"/>
  <c r="A2770" i="1"/>
  <c r="B2770" i="1"/>
  <c r="C2770" i="1"/>
  <c r="D2770" i="1"/>
  <c r="E2770" i="1"/>
  <c r="A2771" i="1"/>
  <c r="B2771" i="1"/>
  <c r="C2771" i="1"/>
  <c r="D2771" i="1"/>
  <c r="E2771" i="1"/>
  <c r="A2772" i="1"/>
  <c r="B2772" i="1"/>
  <c r="C2772" i="1"/>
  <c r="D2772" i="1"/>
  <c r="E2772" i="1"/>
  <c r="A2773" i="1"/>
  <c r="B2773" i="1"/>
  <c r="C2773" i="1"/>
  <c r="D2773" i="1"/>
  <c r="E2773" i="1"/>
  <c r="A2774" i="1"/>
  <c r="B2774" i="1"/>
  <c r="C2774" i="1"/>
  <c r="D2774" i="1"/>
  <c r="E2774" i="1"/>
  <c r="A2775" i="1"/>
  <c r="B2775" i="1"/>
  <c r="C2775" i="1"/>
  <c r="D2775" i="1"/>
  <c r="E2775" i="1"/>
  <c r="A2776" i="1"/>
  <c r="B2776" i="1"/>
  <c r="C2776" i="1"/>
  <c r="D2776" i="1"/>
  <c r="E2776" i="1"/>
  <c r="A2777" i="1"/>
  <c r="B2777" i="1"/>
  <c r="C2777" i="1"/>
  <c r="D2777" i="1"/>
  <c r="E2777" i="1"/>
  <c r="A2778" i="1"/>
  <c r="B2778" i="1"/>
  <c r="C2778" i="1"/>
  <c r="D2778" i="1"/>
  <c r="E2778" i="1"/>
  <c r="A2779" i="1"/>
  <c r="B2779" i="1"/>
  <c r="C2779" i="1"/>
  <c r="D2779" i="1"/>
  <c r="E2779" i="1"/>
  <c r="A2780" i="1"/>
  <c r="B2780" i="1"/>
  <c r="C2780" i="1"/>
  <c r="D2780" i="1"/>
  <c r="E2780" i="1"/>
  <c r="A2781" i="1"/>
  <c r="B2781" i="1"/>
  <c r="C2781" i="1"/>
  <c r="D2781" i="1"/>
  <c r="E2781" i="1"/>
  <c r="A2782" i="1"/>
  <c r="B2782" i="1"/>
  <c r="C2782" i="1"/>
  <c r="D2782" i="1"/>
  <c r="E2782" i="1"/>
  <c r="A2783" i="1"/>
  <c r="B2783" i="1"/>
  <c r="C2783" i="1"/>
  <c r="D2783" i="1"/>
  <c r="E2783" i="1"/>
  <c r="A2784" i="1"/>
  <c r="B2784" i="1"/>
  <c r="C2784" i="1"/>
  <c r="D2784" i="1"/>
  <c r="E2784" i="1"/>
  <c r="A2785" i="1"/>
  <c r="B2785" i="1"/>
  <c r="C2785" i="1"/>
  <c r="D2785" i="1"/>
  <c r="E2785" i="1"/>
  <c r="A2786" i="1"/>
  <c r="B2786" i="1"/>
  <c r="C2786" i="1"/>
  <c r="D2786" i="1"/>
  <c r="E2786" i="1"/>
  <c r="A2787" i="1"/>
  <c r="B2787" i="1"/>
  <c r="C2787" i="1"/>
  <c r="D2787" i="1"/>
  <c r="E2787" i="1"/>
  <c r="A2788" i="1"/>
  <c r="B2788" i="1"/>
  <c r="C2788" i="1"/>
  <c r="D2788" i="1"/>
  <c r="E2788" i="1"/>
  <c r="A2789" i="1"/>
  <c r="B2789" i="1"/>
  <c r="C2789" i="1"/>
  <c r="D2789" i="1"/>
  <c r="E2789" i="1"/>
  <c r="A2790" i="1"/>
  <c r="B2790" i="1"/>
  <c r="C2790" i="1"/>
  <c r="D2790" i="1"/>
  <c r="E2790" i="1"/>
  <c r="A2791" i="1"/>
  <c r="B2791" i="1"/>
  <c r="C2791" i="1"/>
  <c r="D2791" i="1"/>
  <c r="E2791" i="1"/>
  <c r="A2792" i="1"/>
  <c r="B2792" i="1"/>
  <c r="C2792" i="1"/>
  <c r="D2792" i="1"/>
  <c r="E2792" i="1"/>
  <c r="A2793" i="1"/>
  <c r="B2793" i="1"/>
  <c r="C2793" i="1"/>
  <c r="D2793" i="1"/>
  <c r="E2793" i="1"/>
  <c r="A2794" i="1"/>
  <c r="B2794" i="1"/>
  <c r="C2794" i="1"/>
  <c r="D2794" i="1"/>
  <c r="E2794" i="1"/>
  <c r="A2795" i="1"/>
  <c r="B2795" i="1"/>
  <c r="C2795" i="1"/>
  <c r="D2795" i="1"/>
  <c r="E2795" i="1"/>
  <c r="A2796" i="1"/>
  <c r="B2796" i="1"/>
  <c r="C2796" i="1"/>
  <c r="D2796" i="1"/>
  <c r="E2796" i="1"/>
  <c r="A2797" i="1"/>
  <c r="B2797" i="1"/>
  <c r="C2797" i="1"/>
  <c r="D2797" i="1"/>
  <c r="E2797" i="1"/>
  <c r="A2798" i="1"/>
  <c r="B2798" i="1"/>
  <c r="C2798" i="1"/>
  <c r="D2798" i="1"/>
  <c r="E2798" i="1"/>
  <c r="A2799" i="1"/>
  <c r="B2799" i="1"/>
  <c r="C2799" i="1"/>
  <c r="D2799" i="1"/>
  <c r="E2799" i="1"/>
  <c r="A2800" i="1"/>
  <c r="B2800" i="1"/>
  <c r="C2800" i="1"/>
  <c r="D2800" i="1"/>
  <c r="E2800" i="1"/>
  <c r="A2801" i="1"/>
  <c r="B2801" i="1"/>
  <c r="C2801" i="1"/>
  <c r="D2801" i="1"/>
  <c r="E2801" i="1"/>
  <c r="A2802" i="1"/>
  <c r="B2802" i="1"/>
  <c r="C2802" i="1"/>
  <c r="D2802" i="1"/>
  <c r="E2802" i="1"/>
  <c r="A2803" i="1"/>
  <c r="B2803" i="1"/>
  <c r="C2803" i="1"/>
  <c r="D2803" i="1"/>
  <c r="E2803" i="1"/>
  <c r="A2804" i="1"/>
  <c r="B2804" i="1"/>
  <c r="C2804" i="1"/>
  <c r="D2804" i="1"/>
  <c r="E2804" i="1"/>
  <c r="A2805" i="1"/>
  <c r="B2805" i="1"/>
  <c r="C2805" i="1"/>
  <c r="D2805" i="1"/>
  <c r="E2805" i="1"/>
  <c r="A2806" i="1"/>
  <c r="B2806" i="1"/>
  <c r="C2806" i="1"/>
  <c r="D2806" i="1"/>
  <c r="E2806" i="1"/>
  <c r="A2807" i="1"/>
  <c r="B2807" i="1"/>
  <c r="C2807" i="1"/>
  <c r="D2807" i="1"/>
  <c r="E2807" i="1"/>
  <c r="A2808" i="1"/>
  <c r="B2808" i="1"/>
  <c r="C2808" i="1"/>
  <c r="D2808" i="1"/>
  <c r="E2808" i="1"/>
  <c r="A2809" i="1"/>
  <c r="B2809" i="1"/>
  <c r="C2809" i="1"/>
  <c r="D2809" i="1"/>
  <c r="E2809" i="1"/>
  <c r="A2810" i="1"/>
  <c r="B2810" i="1"/>
  <c r="C2810" i="1"/>
  <c r="D2810" i="1"/>
  <c r="E2810" i="1"/>
  <c r="A2811" i="1"/>
  <c r="B2811" i="1"/>
  <c r="C2811" i="1"/>
  <c r="D2811" i="1"/>
  <c r="E2811" i="1"/>
  <c r="A2812" i="1"/>
  <c r="B2812" i="1"/>
  <c r="C2812" i="1"/>
  <c r="D2812" i="1"/>
  <c r="E2812" i="1"/>
  <c r="A2813" i="1"/>
  <c r="B2813" i="1"/>
  <c r="C2813" i="1"/>
  <c r="D2813" i="1"/>
  <c r="E2813" i="1"/>
  <c r="A2814" i="1"/>
  <c r="B2814" i="1"/>
  <c r="C2814" i="1"/>
  <c r="D2814" i="1"/>
  <c r="E2814" i="1"/>
  <c r="A2815" i="1"/>
  <c r="B2815" i="1"/>
  <c r="C2815" i="1"/>
  <c r="D2815" i="1"/>
  <c r="E2815" i="1"/>
  <c r="A2816" i="1"/>
  <c r="B2816" i="1"/>
  <c r="C2816" i="1"/>
  <c r="D2816" i="1"/>
  <c r="E2816" i="1"/>
  <c r="A2817" i="1"/>
  <c r="B2817" i="1"/>
  <c r="C2817" i="1"/>
  <c r="D2817" i="1"/>
  <c r="E2817" i="1"/>
  <c r="A2818" i="1"/>
  <c r="B2818" i="1"/>
  <c r="C2818" i="1"/>
  <c r="D2818" i="1"/>
  <c r="E2818" i="1"/>
  <c r="A2819" i="1"/>
  <c r="B2819" i="1"/>
  <c r="C2819" i="1"/>
  <c r="D2819" i="1"/>
  <c r="E2819" i="1"/>
  <c r="A2820" i="1"/>
  <c r="B2820" i="1"/>
  <c r="C2820" i="1"/>
  <c r="D2820" i="1"/>
  <c r="E2820" i="1"/>
  <c r="A2821" i="1"/>
  <c r="B2821" i="1"/>
  <c r="C2821" i="1"/>
  <c r="D2821" i="1"/>
  <c r="E2821" i="1"/>
  <c r="A2822" i="1"/>
  <c r="B2822" i="1"/>
  <c r="C2822" i="1"/>
  <c r="D2822" i="1"/>
  <c r="E2822" i="1"/>
  <c r="A2823" i="1"/>
  <c r="B2823" i="1"/>
  <c r="C2823" i="1"/>
  <c r="D2823" i="1"/>
  <c r="E2823" i="1"/>
  <c r="A2824" i="1"/>
  <c r="B2824" i="1"/>
  <c r="C2824" i="1"/>
  <c r="D2824" i="1"/>
  <c r="E2824" i="1"/>
  <c r="A2825" i="1"/>
  <c r="B2825" i="1"/>
  <c r="C2825" i="1"/>
  <c r="D2825" i="1"/>
  <c r="E2825" i="1"/>
  <c r="A2826" i="1"/>
  <c r="B2826" i="1"/>
  <c r="C2826" i="1"/>
  <c r="D2826" i="1"/>
  <c r="E2826" i="1"/>
  <c r="A2827" i="1"/>
  <c r="B2827" i="1"/>
  <c r="C2827" i="1"/>
  <c r="D2827" i="1"/>
  <c r="E2827" i="1"/>
  <c r="A2828" i="1"/>
  <c r="B2828" i="1"/>
  <c r="C2828" i="1"/>
  <c r="D2828" i="1"/>
  <c r="E2828" i="1"/>
  <c r="A2829" i="1"/>
  <c r="B2829" i="1"/>
  <c r="C2829" i="1"/>
  <c r="D2829" i="1"/>
  <c r="E2829" i="1"/>
  <c r="A2830" i="1"/>
  <c r="B2830" i="1"/>
  <c r="C2830" i="1"/>
  <c r="D2830" i="1"/>
  <c r="E2830" i="1"/>
  <c r="A2831" i="1"/>
  <c r="B2831" i="1"/>
  <c r="C2831" i="1"/>
  <c r="D2831" i="1"/>
  <c r="E2831" i="1"/>
  <c r="A2832" i="1"/>
  <c r="B2832" i="1"/>
  <c r="C2832" i="1"/>
  <c r="D2832" i="1"/>
  <c r="E2832" i="1"/>
  <c r="A2833" i="1"/>
  <c r="B2833" i="1"/>
  <c r="C2833" i="1"/>
  <c r="D2833" i="1"/>
  <c r="E2833" i="1"/>
  <c r="A2834" i="1"/>
  <c r="B2834" i="1"/>
  <c r="C2834" i="1"/>
  <c r="D2834" i="1"/>
  <c r="E2834" i="1"/>
  <c r="A2835" i="1"/>
  <c r="B2835" i="1"/>
  <c r="C2835" i="1"/>
  <c r="D2835" i="1"/>
  <c r="E2835" i="1"/>
  <c r="A2836" i="1"/>
  <c r="B2836" i="1"/>
  <c r="C2836" i="1"/>
  <c r="D2836" i="1"/>
  <c r="E2836" i="1"/>
  <c r="A2837" i="1"/>
  <c r="B2837" i="1"/>
  <c r="C2837" i="1"/>
  <c r="D2837" i="1"/>
  <c r="E2837" i="1"/>
  <c r="A2838" i="1"/>
  <c r="B2838" i="1"/>
  <c r="C2838" i="1"/>
  <c r="D2838" i="1"/>
  <c r="E2838" i="1"/>
  <c r="A2839" i="1"/>
  <c r="B2839" i="1"/>
  <c r="C2839" i="1"/>
  <c r="D2839" i="1"/>
  <c r="E2839" i="1"/>
  <c r="A2840" i="1"/>
  <c r="B2840" i="1"/>
  <c r="C2840" i="1"/>
  <c r="D2840" i="1"/>
  <c r="E2840" i="1"/>
  <c r="A2841" i="1"/>
  <c r="B2841" i="1"/>
  <c r="C2841" i="1"/>
  <c r="D2841" i="1"/>
  <c r="E2841" i="1"/>
  <c r="A2842" i="1"/>
  <c r="B2842" i="1"/>
  <c r="C2842" i="1"/>
  <c r="D2842" i="1"/>
  <c r="E2842" i="1"/>
  <c r="A2843" i="1"/>
  <c r="B2843" i="1"/>
  <c r="C2843" i="1"/>
  <c r="D2843" i="1"/>
  <c r="E2843" i="1"/>
  <c r="A2844" i="1"/>
  <c r="B2844" i="1"/>
  <c r="C2844" i="1"/>
  <c r="D2844" i="1"/>
  <c r="E2844" i="1"/>
  <c r="A2845" i="1"/>
  <c r="B2845" i="1"/>
  <c r="C2845" i="1"/>
  <c r="D2845" i="1"/>
  <c r="E2845" i="1"/>
  <c r="A2846" i="1"/>
  <c r="B2846" i="1"/>
  <c r="C2846" i="1"/>
  <c r="D2846" i="1"/>
  <c r="E2846" i="1"/>
  <c r="A2847" i="1"/>
  <c r="B2847" i="1"/>
  <c r="C2847" i="1"/>
  <c r="D2847" i="1"/>
  <c r="E2847" i="1"/>
  <c r="A2848" i="1"/>
  <c r="B2848" i="1"/>
  <c r="C2848" i="1"/>
  <c r="D2848" i="1"/>
  <c r="E2848" i="1"/>
  <c r="A2849" i="1"/>
  <c r="B2849" i="1"/>
  <c r="C2849" i="1"/>
  <c r="D2849" i="1"/>
  <c r="E2849" i="1"/>
  <c r="A2850" i="1"/>
  <c r="B2850" i="1"/>
  <c r="C2850" i="1"/>
  <c r="D2850" i="1"/>
  <c r="E2850" i="1"/>
  <c r="A2851" i="1"/>
  <c r="B2851" i="1"/>
  <c r="C2851" i="1"/>
  <c r="D2851" i="1"/>
  <c r="E2851" i="1"/>
  <c r="A2852" i="1"/>
  <c r="B2852" i="1"/>
  <c r="C2852" i="1"/>
  <c r="D2852" i="1"/>
  <c r="E2852" i="1"/>
  <c r="A2853" i="1"/>
  <c r="B2853" i="1"/>
  <c r="C2853" i="1"/>
  <c r="D2853" i="1"/>
  <c r="E2853" i="1"/>
  <c r="A2854" i="1"/>
  <c r="B2854" i="1"/>
  <c r="C2854" i="1"/>
  <c r="D2854" i="1"/>
  <c r="E2854" i="1"/>
  <c r="A2855" i="1"/>
  <c r="B2855" i="1"/>
  <c r="C2855" i="1"/>
  <c r="D2855" i="1"/>
  <c r="E2855" i="1"/>
  <c r="A2856" i="1"/>
  <c r="B2856" i="1"/>
  <c r="C2856" i="1"/>
  <c r="D2856" i="1"/>
  <c r="E2856" i="1"/>
  <c r="A2857" i="1"/>
  <c r="B2857" i="1"/>
  <c r="C2857" i="1"/>
  <c r="D2857" i="1"/>
  <c r="E2857" i="1"/>
  <c r="A2858" i="1"/>
  <c r="B2858" i="1"/>
  <c r="C2858" i="1"/>
  <c r="D2858" i="1"/>
  <c r="E2858" i="1"/>
  <c r="A2859" i="1"/>
  <c r="B2859" i="1"/>
  <c r="C2859" i="1"/>
  <c r="D2859" i="1"/>
  <c r="E2859" i="1"/>
  <c r="A2860" i="1"/>
  <c r="B2860" i="1"/>
  <c r="C2860" i="1"/>
  <c r="D2860" i="1"/>
  <c r="E2860" i="1"/>
  <c r="A2861" i="1"/>
  <c r="B2861" i="1"/>
  <c r="C2861" i="1"/>
  <c r="D2861" i="1"/>
  <c r="E2861" i="1"/>
  <c r="A2862" i="1"/>
  <c r="B2862" i="1"/>
  <c r="C2862" i="1"/>
  <c r="D2862" i="1"/>
  <c r="E2862" i="1"/>
  <c r="A2863" i="1"/>
  <c r="B2863" i="1"/>
  <c r="C2863" i="1"/>
  <c r="D2863" i="1"/>
  <c r="E2863" i="1"/>
  <c r="A2864" i="1"/>
  <c r="B2864" i="1"/>
  <c r="C2864" i="1"/>
  <c r="D2864" i="1"/>
  <c r="E2864" i="1"/>
  <c r="A2865" i="1"/>
  <c r="B2865" i="1"/>
  <c r="C2865" i="1"/>
  <c r="D2865" i="1"/>
  <c r="E2865" i="1"/>
  <c r="A2866" i="1"/>
  <c r="B2866" i="1"/>
  <c r="C2866" i="1"/>
  <c r="D2866" i="1"/>
  <c r="E2866" i="1"/>
  <c r="A2867" i="1"/>
  <c r="B2867" i="1"/>
  <c r="C2867" i="1"/>
  <c r="D2867" i="1"/>
  <c r="E2867" i="1"/>
  <c r="A2868" i="1"/>
  <c r="B2868" i="1"/>
  <c r="C2868" i="1"/>
  <c r="D2868" i="1"/>
  <c r="E2868" i="1"/>
  <c r="A2869" i="1"/>
  <c r="B2869" i="1"/>
  <c r="C2869" i="1"/>
  <c r="D2869" i="1"/>
  <c r="E2869" i="1"/>
  <c r="A2870" i="1"/>
  <c r="B2870" i="1"/>
  <c r="C2870" i="1"/>
  <c r="D2870" i="1"/>
  <c r="E2870" i="1"/>
  <c r="A2871" i="1"/>
  <c r="B2871" i="1"/>
  <c r="C2871" i="1"/>
  <c r="D2871" i="1"/>
  <c r="E2871" i="1"/>
  <c r="A2872" i="1"/>
  <c r="B2872" i="1"/>
  <c r="C2872" i="1"/>
  <c r="D2872" i="1"/>
  <c r="E2872" i="1"/>
  <c r="A2873" i="1"/>
  <c r="B2873" i="1"/>
  <c r="C2873" i="1"/>
  <c r="D2873" i="1"/>
  <c r="E2873" i="1"/>
  <c r="A2874" i="1"/>
  <c r="B2874" i="1"/>
  <c r="C2874" i="1"/>
  <c r="D2874" i="1"/>
  <c r="E2874" i="1"/>
  <c r="A2875" i="1"/>
  <c r="B2875" i="1"/>
  <c r="C2875" i="1"/>
  <c r="D2875" i="1"/>
  <c r="E2875" i="1"/>
  <c r="A2876" i="1"/>
  <c r="B2876" i="1"/>
  <c r="C2876" i="1"/>
  <c r="D2876" i="1"/>
  <c r="E2876" i="1"/>
  <c r="A2877" i="1"/>
  <c r="B2877" i="1"/>
  <c r="C2877" i="1"/>
  <c r="D2877" i="1"/>
  <c r="E2877" i="1"/>
  <c r="A2878" i="1"/>
  <c r="B2878" i="1"/>
  <c r="C2878" i="1"/>
  <c r="D2878" i="1"/>
  <c r="E2878" i="1"/>
  <c r="A2879" i="1"/>
  <c r="B2879" i="1"/>
  <c r="C2879" i="1"/>
  <c r="D2879" i="1"/>
  <c r="E2879" i="1"/>
  <c r="A2880" i="1"/>
  <c r="B2880" i="1"/>
  <c r="C2880" i="1"/>
  <c r="D2880" i="1"/>
  <c r="E2880" i="1"/>
  <c r="A2881" i="1"/>
  <c r="B2881" i="1"/>
  <c r="C2881" i="1"/>
  <c r="D2881" i="1"/>
  <c r="E2881" i="1"/>
  <c r="A2882" i="1"/>
  <c r="B2882" i="1"/>
  <c r="C2882" i="1"/>
  <c r="D2882" i="1"/>
  <c r="E2882" i="1"/>
  <c r="A2883" i="1"/>
  <c r="B2883" i="1"/>
  <c r="C2883" i="1"/>
  <c r="D2883" i="1"/>
  <c r="E2883" i="1"/>
  <c r="A2884" i="1"/>
  <c r="B2884" i="1"/>
  <c r="C2884" i="1"/>
  <c r="D2884" i="1"/>
  <c r="E2884" i="1"/>
  <c r="A2885" i="1"/>
  <c r="B2885" i="1"/>
  <c r="C2885" i="1"/>
  <c r="D2885" i="1"/>
  <c r="E2885" i="1"/>
  <c r="A2886" i="1"/>
  <c r="B2886" i="1"/>
  <c r="C2886" i="1"/>
  <c r="D2886" i="1"/>
  <c r="E2886" i="1"/>
  <c r="A2887" i="1"/>
  <c r="B2887" i="1"/>
  <c r="C2887" i="1"/>
  <c r="D2887" i="1"/>
  <c r="E2887" i="1"/>
  <c r="A2888" i="1"/>
  <c r="B2888" i="1"/>
  <c r="C2888" i="1"/>
  <c r="D2888" i="1"/>
  <c r="E2888" i="1"/>
  <c r="A2889" i="1"/>
  <c r="B2889" i="1"/>
  <c r="C2889" i="1"/>
  <c r="D2889" i="1"/>
  <c r="E2889" i="1"/>
  <c r="A2890" i="1"/>
  <c r="B2890" i="1"/>
  <c r="C2890" i="1"/>
  <c r="D2890" i="1"/>
  <c r="E2890" i="1"/>
  <c r="A2891" i="1"/>
  <c r="B2891" i="1"/>
  <c r="C2891" i="1"/>
  <c r="D2891" i="1"/>
  <c r="E2891" i="1"/>
  <c r="A2892" i="1"/>
  <c r="B2892" i="1"/>
  <c r="C2892" i="1"/>
  <c r="D2892" i="1"/>
  <c r="E2892" i="1"/>
  <c r="A2893" i="1"/>
  <c r="B2893" i="1"/>
  <c r="C2893" i="1"/>
  <c r="D2893" i="1"/>
  <c r="E2893" i="1"/>
  <c r="A2894" i="1"/>
  <c r="B2894" i="1"/>
  <c r="C2894" i="1"/>
  <c r="D2894" i="1"/>
  <c r="E2894" i="1"/>
  <c r="A2895" i="1"/>
  <c r="B2895" i="1"/>
  <c r="C2895" i="1"/>
  <c r="D2895" i="1"/>
  <c r="E2895" i="1"/>
  <c r="A2896" i="1"/>
  <c r="B2896" i="1"/>
  <c r="C2896" i="1"/>
  <c r="D2896" i="1"/>
  <c r="E2896" i="1"/>
  <c r="A2897" i="1"/>
  <c r="B2897" i="1"/>
  <c r="C2897" i="1"/>
  <c r="D2897" i="1"/>
  <c r="E2897" i="1"/>
  <c r="A2898" i="1"/>
  <c r="B2898" i="1"/>
  <c r="C2898" i="1"/>
  <c r="D2898" i="1"/>
  <c r="E2898" i="1"/>
  <c r="A2899" i="1"/>
  <c r="B2899" i="1"/>
  <c r="C2899" i="1"/>
  <c r="D2899" i="1"/>
  <c r="E2899" i="1"/>
  <c r="A2900" i="1"/>
  <c r="B2900" i="1"/>
  <c r="C2900" i="1"/>
  <c r="D2900" i="1"/>
  <c r="E2900" i="1"/>
  <c r="A2901" i="1"/>
  <c r="B2901" i="1"/>
  <c r="C2901" i="1"/>
  <c r="D2901" i="1"/>
  <c r="E2901" i="1"/>
  <c r="A2902" i="1"/>
  <c r="B2902" i="1"/>
  <c r="C2902" i="1"/>
  <c r="D2902" i="1"/>
  <c r="E2902" i="1"/>
  <c r="A2903" i="1"/>
  <c r="B2903" i="1"/>
  <c r="C2903" i="1"/>
  <c r="D2903" i="1"/>
  <c r="E2903" i="1"/>
  <c r="A2904" i="1"/>
  <c r="B2904" i="1"/>
  <c r="C2904" i="1"/>
  <c r="D2904" i="1"/>
  <c r="E2904" i="1"/>
  <c r="A2905" i="1"/>
  <c r="B2905" i="1"/>
  <c r="C2905" i="1"/>
  <c r="D2905" i="1"/>
  <c r="E2905" i="1"/>
  <c r="A2906" i="1"/>
  <c r="B2906" i="1"/>
  <c r="C2906" i="1"/>
  <c r="D2906" i="1"/>
  <c r="E2906" i="1"/>
  <c r="A2907" i="1"/>
  <c r="B2907" i="1"/>
  <c r="C2907" i="1"/>
  <c r="D2907" i="1"/>
  <c r="E2907" i="1"/>
  <c r="A2908" i="1"/>
  <c r="B2908" i="1"/>
  <c r="C2908" i="1"/>
  <c r="D2908" i="1"/>
  <c r="E2908" i="1"/>
  <c r="A2909" i="1"/>
  <c r="B2909" i="1"/>
  <c r="C2909" i="1"/>
  <c r="D2909" i="1"/>
  <c r="E2909" i="1"/>
  <c r="A2910" i="1"/>
  <c r="B2910" i="1"/>
  <c r="C2910" i="1"/>
  <c r="D2910" i="1"/>
  <c r="E2910" i="1"/>
  <c r="A2911" i="1"/>
  <c r="B2911" i="1"/>
  <c r="C2911" i="1"/>
  <c r="D2911" i="1"/>
  <c r="E2911" i="1"/>
  <c r="A2912" i="1"/>
  <c r="B2912" i="1"/>
  <c r="C2912" i="1"/>
  <c r="D2912" i="1"/>
  <c r="E2912" i="1"/>
  <c r="A2913" i="1"/>
  <c r="B2913" i="1"/>
  <c r="C2913" i="1"/>
  <c r="D2913" i="1"/>
  <c r="E2913" i="1"/>
  <c r="A2914" i="1"/>
  <c r="B2914" i="1"/>
  <c r="C2914" i="1"/>
  <c r="D2914" i="1"/>
  <c r="E2914" i="1"/>
  <c r="A2915" i="1"/>
  <c r="B2915" i="1"/>
  <c r="C2915" i="1"/>
  <c r="D2915" i="1"/>
  <c r="E2915" i="1"/>
  <c r="A2916" i="1"/>
  <c r="B2916" i="1"/>
  <c r="C2916" i="1"/>
  <c r="D2916" i="1"/>
  <c r="E2916" i="1"/>
  <c r="A2917" i="1"/>
  <c r="B2917" i="1"/>
  <c r="C2917" i="1"/>
  <c r="D2917" i="1"/>
  <c r="E2917" i="1"/>
  <c r="A2918" i="1"/>
  <c r="B2918" i="1"/>
  <c r="C2918" i="1"/>
  <c r="D2918" i="1"/>
  <c r="E2918" i="1"/>
  <c r="A2919" i="1"/>
  <c r="B2919" i="1"/>
  <c r="C2919" i="1"/>
  <c r="D2919" i="1"/>
  <c r="E2919" i="1"/>
  <c r="A2920" i="1"/>
  <c r="B2920" i="1"/>
  <c r="C2920" i="1"/>
  <c r="D2920" i="1"/>
  <c r="E2920" i="1"/>
  <c r="A2921" i="1"/>
  <c r="B2921" i="1"/>
  <c r="C2921" i="1"/>
  <c r="D2921" i="1"/>
  <c r="E2921" i="1"/>
  <c r="A2922" i="1"/>
  <c r="B2922" i="1"/>
  <c r="C2922" i="1"/>
  <c r="D2922" i="1"/>
  <c r="E2922" i="1"/>
  <c r="A2923" i="1"/>
  <c r="B2923" i="1"/>
  <c r="C2923" i="1"/>
  <c r="D2923" i="1"/>
  <c r="E2923" i="1"/>
  <c r="A2924" i="1"/>
  <c r="B2924" i="1"/>
  <c r="C2924" i="1"/>
  <c r="D2924" i="1"/>
  <c r="E2924" i="1"/>
  <c r="A2925" i="1"/>
  <c r="B2925" i="1"/>
  <c r="C2925" i="1"/>
  <c r="D2925" i="1"/>
  <c r="E2925" i="1"/>
  <c r="A2926" i="1"/>
  <c r="B2926" i="1"/>
  <c r="C2926" i="1"/>
  <c r="D2926" i="1"/>
  <c r="E2926" i="1"/>
  <c r="A2927" i="1"/>
  <c r="B2927" i="1"/>
  <c r="C2927" i="1"/>
  <c r="D2927" i="1"/>
  <c r="E2927" i="1"/>
  <c r="A2928" i="1"/>
  <c r="B2928" i="1"/>
  <c r="C2928" i="1"/>
  <c r="D2928" i="1"/>
  <c r="E2928" i="1"/>
  <c r="A2929" i="1"/>
  <c r="B2929" i="1"/>
  <c r="C2929" i="1"/>
  <c r="D2929" i="1"/>
  <c r="E2929" i="1"/>
  <c r="A2930" i="1"/>
  <c r="B2930" i="1"/>
  <c r="C2930" i="1"/>
  <c r="D2930" i="1"/>
  <c r="E2930" i="1"/>
  <c r="A2931" i="1"/>
  <c r="B2931" i="1"/>
  <c r="C2931" i="1"/>
  <c r="D2931" i="1"/>
  <c r="E2931" i="1"/>
  <c r="A2932" i="1"/>
  <c r="B2932" i="1"/>
  <c r="C2932" i="1"/>
  <c r="D2932" i="1"/>
  <c r="E2932" i="1"/>
  <c r="A2933" i="1"/>
  <c r="B2933" i="1"/>
  <c r="C2933" i="1"/>
  <c r="D2933" i="1"/>
  <c r="E2933" i="1"/>
  <c r="A2934" i="1"/>
  <c r="B2934" i="1"/>
  <c r="C2934" i="1"/>
  <c r="D2934" i="1"/>
  <c r="E2934" i="1"/>
  <c r="A2935" i="1"/>
  <c r="B2935" i="1"/>
  <c r="C2935" i="1"/>
  <c r="D2935" i="1"/>
  <c r="E2935" i="1"/>
  <c r="A2936" i="1"/>
  <c r="B2936" i="1"/>
  <c r="C2936" i="1"/>
  <c r="D2936" i="1"/>
  <c r="E2936" i="1"/>
  <c r="A2937" i="1"/>
  <c r="B2937" i="1"/>
  <c r="C2937" i="1"/>
  <c r="D2937" i="1"/>
  <c r="E2937" i="1"/>
  <c r="A2938" i="1"/>
  <c r="B2938" i="1"/>
  <c r="C2938" i="1"/>
  <c r="D2938" i="1"/>
  <c r="E2938" i="1"/>
  <c r="A2939" i="1"/>
  <c r="B2939" i="1"/>
  <c r="C2939" i="1"/>
  <c r="D2939" i="1"/>
  <c r="E2939" i="1"/>
  <c r="A2940" i="1"/>
  <c r="B2940" i="1"/>
  <c r="C2940" i="1"/>
  <c r="D2940" i="1"/>
  <c r="E2940" i="1"/>
  <c r="A2941" i="1"/>
  <c r="B2941" i="1"/>
  <c r="C2941" i="1"/>
  <c r="D2941" i="1"/>
  <c r="E2941" i="1"/>
  <c r="A2942" i="1"/>
  <c r="B2942" i="1"/>
  <c r="C2942" i="1"/>
  <c r="D2942" i="1"/>
  <c r="E2942" i="1"/>
  <c r="A2943" i="1"/>
  <c r="B2943" i="1"/>
  <c r="C2943" i="1"/>
  <c r="D2943" i="1"/>
  <c r="E2943" i="1"/>
  <c r="A2944" i="1"/>
  <c r="B2944" i="1"/>
  <c r="C2944" i="1"/>
  <c r="D2944" i="1"/>
  <c r="E2944" i="1"/>
  <c r="A2945" i="1"/>
  <c r="B2945" i="1"/>
  <c r="C2945" i="1"/>
  <c r="D2945" i="1"/>
  <c r="E2945" i="1"/>
  <c r="A2946" i="1"/>
  <c r="B2946" i="1"/>
  <c r="C2946" i="1"/>
  <c r="D2946" i="1"/>
  <c r="E2946" i="1"/>
  <c r="A2947" i="1"/>
  <c r="B2947" i="1"/>
  <c r="C2947" i="1"/>
  <c r="D2947" i="1"/>
  <c r="E2947" i="1"/>
  <c r="A2948" i="1"/>
  <c r="B2948" i="1"/>
  <c r="C2948" i="1"/>
  <c r="D2948" i="1"/>
  <c r="E2948" i="1"/>
  <c r="A2949" i="1"/>
  <c r="B2949" i="1"/>
  <c r="C2949" i="1"/>
  <c r="D2949" i="1"/>
  <c r="E2949" i="1"/>
  <c r="A2950" i="1"/>
  <c r="B2950" i="1"/>
  <c r="C2950" i="1"/>
  <c r="D2950" i="1"/>
  <c r="E2950" i="1"/>
  <c r="A2951" i="1"/>
  <c r="B2951" i="1"/>
  <c r="C2951" i="1"/>
  <c r="D2951" i="1"/>
  <c r="E2951" i="1"/>
  <c r="A2952" i="1"/>
  <c r="B2952" i="1"/>
  <c r="C2952" i="1"/>
  <c r="D2952" i="1"/>
  <c r="E2952" i="1"/>
  <c r="A2953" i="1"/>
  <c r="B2953" i="1"/>
  <c r="C2953" i="1"/>
  <c r="D2953" i="1"/>
  <c r="E2953" i="1"/>
  <c r="A2954" i="1"/>
  <c r="B2954" i="1"/>
  <c r="C2954" i="1"/>
  <c r="D2954" i="1"/>
  <c r="E2954" i="1"/>
  <c r="A2955" i="1"/>
  <c r="B2955" i="1"/>
  <c r="C2955" i="1"/>
  <c r="D2955" i="1"/>
  <c r="E2955" i="1"/>
  <c r="A2956" i="1"/>
  <c r="B2956" i="1"/>
  <c r="C2956" i="1"/>
  <c r="D2956" i="1"/>
  <c r="E2956" i="1"/>
  <c r="A2957" i="1"/>
  <c r="B2957" i="1"/>
  <c r="C2957" i="1"/>
  <c r="D2957" i="1"/>
  <c r="E2957" i="1"/>
  <c r="A2958" i="1"/>
  <c r="B2958" i="1"/>
  <c r="C2958" i="1"/>
  <c r="D2958" i="1"/>
  <c r="E2958" i="1"/>
  <c r="A2959" i="1"/>
  <c r="B2959" i="1"/>
  <c r="C2959" i="1"/>
  <c r="D2959" i="1"/>
  <c r="E2959" i="1"/>
  <c r="A2960" i="1"/>
  <c r="B2960" i="1"/>
  <c r="C2960" i="1"/>
  <c r="D2960" i="1"/>
  <c r="E2960" i="1"/>
  <c r="A2961" i="1"/>
  <c r="B2961" i="1"/>
  <c r="C2961" i="1"/>
  <c r="D2961" i="1"/>
  <c r="E2961" i="1"/>
  <c r="A2962" i="1"/>
  <c r="B2962" i="1"/>
  <c r="C2962" i="1"/>
  <c r="D2962" i="1"/>
  <c r="E2962" i="1"/>
  <c r="A2963" i="1"/>
  <c r="B2963" i="1"/>
  <c r="C2963" i="1"/>
  <c r="D2963" i="1"/>
  <c r="E2963" i="1"/>
  <c r="A2964" i="1"/>
  <c r="B2964" i="1"/>
  <c r="C2964" i="1"/>
  <c r="D2964" i="1"/>
  <c r="E2964" i="1"/>
  <c r="A2965" i="1"/>
  <c r="B2965" i="1"/>
  <c r="C2965" i="1"/>
  <c r="D2965" i="1"/>
  <c r="E2965" i="1"/>
  <c r="A2966" i="1"/>
  <c r="B2966" i="1"/>
  <c r="C2966" i="1"/>
  <c r="D2966" i="1"/>
  <c r="E2966" i="1"/>
  <c r="A2967" i="1"/>
  <c r="B2967" i="1"/>
  <c r="C2967" i="1"/>
  <c r="D2967" i="1"/>
  <c r="E2967" i="1"/>
  <c r="A2968" i="1"/>
  <c r="B2968" i="1"/>
  <c r="C2968" i="1"/>
  <c r="D2968" i="1"/>
  <c r="E2968" i="1"/>
  <c r="A2969" i="1"/>
  <c r="B2969" i="1"/>
  <c r="C2969" i="1"/>
  <c r="D2969" i="1"/>
  <c r="E2969" i="1"/>
  <c r="A2970" i="1"/>
  <c r="B2970" i="1"/>
  <c r="C2970" i="1"/>
  <c r="D2970" i="1"/>
  <c r="E2970" i="1"/>
  <c r="A2971" i="1"/>
  <c r="B2971" i="1"/>
  <c r="C2971" i="1"/>
  <c r="D2971" i="1"/>
  <c r="E2971" i="1"/>
  <c r="A2972" i="1"/>
  <c r="B2972" i="1"/>
  <c r="C2972" i="1"/>
  <c r="D2972" i="1"/>
  <c r="E2972" i="1"/>
  <c r="A2973" i="1"/>
  <c r="B2973" i="1"/>
  <c r="C2973" i="1"/>
  <c r="D2973" i="1"/>
  <c r="E2973" i="1"/>
  <c r="A2974" i="1"/>
  <c r="B2974" i="1"/>
  <c r="C2974" i="1"/>
  <c r="D2974" i="1"/>
  <c r="E2974" i="1"/>
  <c r="A2975" i="1"/>
  <c r="B2975" i="1"/>
  <c r="C2975" i="1"/>
  <c r="D2975" i="1"/>
  <c r="E2975" i="1"/>
  <c r="A2976" i="1"/>
  <c r="B2976" i="1"/>
  <c r="C2976" i="1"/>
  <c r="D2976" i="1"/>
  <c r="E2976" i="1"/>
  <c r="A2977" i="1"/>
  <c r="B2977" i="1"/>
  <c r="C2977" i="1"/>
  <c r="D2977" i="1"/>
  <c r="E2977" i="1"/>
  <c r="A2978" i="1"/>
  <c r="B2978" i="1"/>
  <c r="C2978" i="1"/>
  <c r="D2978" i="1"/>
  <c r="E2978" i="1"/>
  <c r="A2979" i="1"/>
  <c r="B2979" i="1"/>
  <c r="C2979" i="1"/>
  <c r="D2979" i="1"/>
  <c r="E2979" i="1"/>
  <c r="A2980" i="1"/>
  <c r="B2980" i="1"/>
  <c r="C2980" i="1"/>
  <c r="D2980" i="1"/>
  <c r="E2980" i="1"/>
  <c r="A2981" i="1"/>
  <c r="B2981" i="1"/>
  <c r="C2981" i="1"/>
  <c r="D2981" i="1"/>
  <c r="E2981" i="1"/>
  <c r="A2982" i="1"/>
  <c r="B2982" i="1"/>
  <c r="C2982" i="1"/>
  <c r="D2982" i="1"/>
  <c r="E2982" i="1"/>
  <c r="A2983" i="1"/>
  <c r="B2983" i="1"/>
  <c r="C2983" i="1"/>
  <c r="D2983" i="1"/>
  <c r="E2983" i="1"/>
  <c r="A2984" i="1"/>
  <c r="B2984" i="1"/>
  <c r="C2984" i="1"/>
  <c r="D2984" i="1"/>
  <c r="E2984" i="1"/>
  <c r="A2985" i="1"/>
  <c r="B2985" i="1"/>
  <c r="C2985" i="1"/>
  <c r="D2985" i="1"/>
  <c r="E2985" i="1"/>
  <c r="A2986" i="1"/>
  <c r="B2986" i="1"/>
  <c r="C2986" i="1"/>
  <c r="D2986" i="1"/>
  <c r="E2986" i="1"/>
  <c r="A2987" i="1"/>
  <c r="B2987" i="1"/>
  <c r="C2987" i="1"/>
  <c r="D2987" i="1"/>
  <c r="E2987" i="1"/>
  <c r="A2988" i="1"/>
  <c r="B2988" i="1"/>
  <c r="C2988" i="1"/>
  <c r="D2988" i="1"/>
  <c r="E2988" i="1"/>
  <c r="A2989" i="1"/>
  <c r="B2989" i="1"/>
  <c r="C2989" i="1"/>
  <c r="D2989" i="1"/>
  <c r="E2989" i="1"/>
  <c r="A2990" i="1"/>
  <c r="B2990" i="1"/>
  <c r="C2990" i="1"/>
  <c r="D2990" i="1"/>
  <c r="E2990" i="1"/>
  <c r="A2991" i="1"/>
  <c r="B2991" i="1"/>
  <c r="C2991" i="1"/>
  <c r="D2991" i="1"/>
  <c r="E2991" i="1"/>
  <c r="A2992" i="1"/>
  <c r="B2992" i="1"/>
  <c r="C2992" i="1"/>
  <c r="D2992" i="1"/>
  <c r="E2992" i="1"/>
  <c r="A2993" i="1"/>
  <c r="B2993" i="1"/>
  <c r="C2993" i="1"/>
  <c r="D2993" i="1"/>
  <c r="E2993" i="1"/>
  <c r="A2994" i="1"/>
  <c r="B2994" i="1"/>
  <c r="C2994" i="1"/>
  <c r="D2994" i="1"/>
  <c r="E2994" i="1"/>
  <c r="A2995" i="1"/>
  <c r="B2995" i="1"/>
  <c r="C2995" i="1"/>
  <c r="D2995" i="1"/>
  <c r="E2995" i="1"/>
  <c r="A2996" i="1"/>
  <c r="B2996" i="1"/>
  <c r="C2996" i="1"/>
  <c r="D2996" i="1"/>
  <c r="E2996" i="1"/>
  <c r="A2997" i="1"/>
  <c r="B2997" i="1"/>
  <c r="C2997" i="1"/>
  <c r="D2997" i="1"/>
  <c r="E2997" i="1"/>
  <c r="A2998" i="1"/>
  <c r="B2998" i="1"/>
  <c r="C2998" i="1"/>
  <c r="D2998" i="1"/>
  <c r="E2998" i="1"/>
  <c r="A2999" i="1"/>
  <c r="B2999" i="1"/>
  <c r="C2999" i="1"/>
  <c r="D2999" i="1"/>
  <c r="E2999" i="1"/>
  <c r="A3000" i="1"/>
  <c r="B3000" i="1"/>
  <c r="C3000" i="1"/>
  <c r="D3000" i="1"/>
  <c r="E3000" i="1"/>
  <c r="A3001" i="1"/>
  <c r="B3001" i="1"/>
  <c r="C3001" i="1"/>
  <c r="D3001" i="1"/>
  <c r="E3001" i="1"/>
  <c r="A3002" i="1"/>
  <c r="B3002" i="1"/>
  <c r="C3002" i="1"/>
  <c r="D3002" i="1"/>
  <c r="E3002" i="1"/>
  <c r="A3003" i="1"/>
  <c r="B3003" i="1"/>
  <c r="C3003" i="1"/>
  <c r="D3003" i="1"/>
  <c r="E3003" i="1"/>
  <c r="A3004" i="1"/>
  <c r="B3004" i="1"/>
  <c r="C3004" i="1"/>
  <c r="D3004" i="1"/>
  <c r="E3004" i="1"/>
  <c r="A3005" i="1"/>
  <c r="B3005" i="1"/>
  <c r="C3005" i="1"/>
  <c r="D3005" i="1"/>
  <c r="E3005" i="1"/>
  <c r="A3006" i="1"/>
  <c r="B3006" i="1"/>
  <c r="C3006" i="1"/>
  <c r="D3006" i="1"/>
  <c r="E3006" i="1"/>
  <c r="A3007" i="1"/>
  <c r="B3007" i="1"/>
  <c r="C3007" i="1"/>
  <c r="D3007" i="1"/>
  <c r="E3007" i="1"/>
  <c r="A3008" i="1"/>
  <c r="B3008" i="1"/>
  <c r="C3008" i="1"/>
  <c r="D3008" i="1"/>
  <c r="E3008" i="1"/>
  <c r="A3009" i="1"/>
  <c r="B3009" i="1"/>
  <c r="C3009" i="1"/>
  <c r="D3009" i="1"/>
  <c r="E3009" i="1"/>
  <c r="A3010" i="1"/>
  <c r="B3010" i="1"/>
  <c r="C3010" i="1"/>
  <c r="D3010" i="1"/>
  <c r="E3010" i="1"/>
  <c r="A3011" i="1"/>
  <c r="B3011" i="1"/>
  <c r="C3011" i="1"/>
  <c r="D3011" i="1"/>
  <c r="E3011" i="1"/>
  <c r="A3012" i="1"/>
  <c r="B3012" i="1"/>
  <c r="C3012" i="1"/>
  <c r="D3012" i="1"/>
  <c r="E3012" i="1"/>
  <c r="A3013" i="1"/>
  <c r="B3013" i="1"/>
  <c r="C3013" i="1"/>
  <c r="D3013" i="1"/>
  <c r="E3013" i="1"/>
  <c r="A3014" i="1"/>
  <c r="B3014" i="1"/>
  <c r="C3014" i="1"/>
  <c r="D3014" i="1"/>
  <c r="E3014" i="1"/>
  <c r="A3015" i="1"/>
  <c r="B3015" i="1"/>
  <c r="C3015" i="1"/>
  <c r="D3015" i="1"/>
  <c r="E3015" i="1"/>
  <c r="A3016" i="1"/>
  <c r="B3016" i="1"/>
  <c r="C3016" i="1"/>
  <c r="D3016" i="1"/>
  <c r="E3016" i="1"/>
  <c r="A3017" i="1"/>
  <c r="B3017" i="1"/>
  <c r="C3017" i="1"/>
  <c r="D3017" i="1"/>
  <c r="E3017" i="1"/>
  <c r="A3018" i="1"/>
  <c r="B3018" i="1"/>
  <c r="C3018" i="1"/>
  <c r="D3018" i="1"/>
  <c r="E3018" i="1"/>
  <c r="A3019" i="1"/>
  <c r="B3019" i="1"/>
  <c r="C3019" i="1"/>
  <c r="D3019" i="1"/>
  <c r="E3019" i="1"/>
  <c r="A3020" i="1"/>
  <c r="B3020" i="1"/>
  <c r="C3020" i="1"/>
  <c r="D3020" i="1"/>
  <c r="E3020" i="1"/>
  <c r="A3021" i="1"/>
  <c r="B3021" i="1"/>
  <c r="C3021" i="1"/>
  <c r="D3021" i="1"/>
  <c r="E3021" i="1"/>
  <c r="A3022" i="1"/>
  <c r="B3022" i="1"/>
  <c r="C3022" i="1"/>
  <c r="D3022" i="1"/>
  <c r="E3022" i="1"/>
  <c r="A3023" i="1"/>
  <c r="B3023" i="1"/>
  <c r="C3023" i="1"/>
  <c r="D3023" i="1"/>
  <c r="E3023" i="1"/>
  <c r="A3024" i="1"/>
  <c r="B3024" i="1"/>
  <c r="C3024" i="1"/>
  <c r="D3024" i="1"/>
  <c r="E3024" i="1"/>
  <c r="A3025" i="1"/>
  <c r="B3025" i="1"/>
  <c r="C3025" i="1"/>
  <c r="D3025" i="1"/>
  <c r="E3025" i="1"/>
  <c r="A3026" i="1"/>
  <c r="B3026" i="1"/>
  <c r="C3026" i="1"/>
  <c r="D3026" i="1"/>
  <c r="E3026" i="1"/>
  <c r="A3027" i="1"/>
  <c r="B3027" i="1"/>
  <c r="C3027" i="1"/>
  <c r="D3027" i="1"/>
  <c r="E3027" i="1"/>
  <c r="A3028" i="1"/>
  <c r="B3028" i="1"/>
  <c r="C3028" i="1"/>
  <c r="D3028" i="1"/>
  <c r="E3028" i="1"/>
  <c r="A3029" i="1"/>
  <c r="B3029" i="1"/>
  <c r="C3029" i="1"/>
  <c r="D3029" i="1"/>
  <c r="E3029" i="1"/>
  <c r="A3030" i="1"/>
  <c r="B3030" i="1"/>
  <c r="C3030" i="1"/>
  <c r="D3030" i="1"/>
  <c r="E3030" i="1"/>
  <c r="A3031" i="1"/>
  <c r="B3031" i="1"/>
  <c r="C3031" i="1"/>
  <c r="D3031" i="1"/>
  <c r="E3031" i="1"/>
  <c r="A3032" i="1"/>
  <c r="B3032" i="1"/>
  <c r="C3032" i="1"/>
  <c r="D3032" i="1"/>
  <c r="E3032" i="1"/>
  <c r="A3033" i="1"/>
  <c r="B3033" i="1"/>
  <c r="C3033" i="1"/>
  <c r="D3033" i="1"/>
  <c r="E3033" i="1"/>
  <c r="A3034" i="1"/>
  <c r="B3034" i="1"/>
  <c r="C3034" i="1"/>
  <c r="D3034" i="1"/>
  <c r="E3034" i="1"/>
  <c r="A3035" i="1"/>
  <c r="B3035" i="1"/>
  <c r="C3035" i="1"/>
  <c r="D3035" i="1"/>
  <c r="E3035" i="1"/>
  <c r="A3036" i="1"/>
  <c r="B3036" i="1"/>
  <c r="C3036" i="1"/>
  <c r="D3036" i="1"/>
  <c r="E3036" i="1"/>
  <c r="A3037" i="1"/>
  <c r="B3037" i="1"/>
  <c r="C3037" i="1"/>
  <c r="D3037" i="1"/>
  <c r="E3037" i="1"/>
  <c r="A3038" i="1"/>
  <c r="B3038" i="1"/>
  <c r="C3038" i="1"/>
  <c r="D3038" i="1"/>
  <c r="E3038" i="1"/>
  <c r="A3039" i="1"/>
  <c r="B3039" i="1"/>
  <c r="C3039" i="1"/>
  <c r="D3039" i="1"/>
  <c r="E3039" i="1"/>
  <c r="A3040" i="1"/>
  <c r="B3040" i="1"/>
  <c r="C3040" i="1"/>
  <c r="D3040" i="1"/>
  <c r="E3040" i="1"/>
  <c r="A3041" i="1"/>
  <c r="B3041" i="1"/>
  <c r="C3041" i="1"/>
  <c r="D3041" i="1"/>
  <c r="E3041" i="1"/>
  <c r="A3042" i="1"/>
  <c r="B3042" i="1"/>
  <c r="C3042" i="1"/>
  <c r="D3042" i="1"/>
  <c r="E3042" i="1"/>
  <c r="A3043" i="1"/>
  <c r="B3043" i="1"/>
  <c r="C3043" i="1"/>
  <c r="D3043" i="1"/>
  <c r="E3043" i="1"/>
  <c r="A3044" i="1"/>
  <c r="B3044" i="1"/>
  <c r="C3044" i="1"/>
  <c r="D3044" i="1"/>
  <c r="E3044" i="1"/>
  <c r="A3045" i="1"/>
  <c r="B3045" i="1"/>
  <c r="C3045" i="1"/>
  <c r="D3045" i="1"/>
  <c r="E3045" i="1"/>
  <c r="A3046" i="1"/>
  <c r="B3046" i="1"/>
  <c r="C3046" i="1"/>
  <c r="D3046" i="1"/>
  <c r="E3046" i="1"/>
  <c r="A3047" i="1"/>
  <c r="B3047" i="1"/>
  <c r="C3047" i="1"/>
  <c r="D3047" i="1"/>
  <c r="E3047" i="1"/>
  <c r="A3048" i="1"/>
  <c r="B3048" i="1"/>
  <c r="C3048" i="1"/>
  <c r="D3048" i="1"/>
  <c r="E3048" i="1"/>
  <c r="A3049" i="1"/>
  <c r="B3049" i="1"/>
  <c r="C3049" i="1"/>
  <c r="D3049" i="1"/>
  <c r="E3049" i="1"/>
  <c r="A3050" i="1"/>
  <c r="B3050" i="1"/>
  <c r="C3050" i="1"/>
  <c r="D3050" i="1"/>
  <c r="E3050" i="1"/>
  <c r="A3051" i="1"/>
  <c r="B3051" i="1"/>
  <c r="C3051" i="1"/>
  <c r="D3051" i="1"/>
  <c r="E3051" i="1"/>
  <c r="A3052" i="1"/>
  <c r="B3052" i="1"/>
  <c r="C3052" i="1"/>
  <c r="D3052" i="1"/>
  <c r="E3052" i="1"/>
  <c r="A3053" i="1"/>
  <c r="B3053" i="1"/>
  <c r="C3053" i="1"/>
  <c r="D3053" i="1"/>
  <c r="E3053" i="1"/>
  <c r="A3054" i="1"/>
  <c r="B3054" i="1"/>
  <c r="C3054" i="1"/>
  <c r="D3054" i="1"/>
  <c r="E3054" i="1"/>
  <c r="A3055" i="1"/>
  <c r="B3055" i="1"/>
  <c r="C3055" i="1"/>
  <c r="D3055" i="1"/>
  <c r="E3055" i="1"/>
  <c r="A3056" i="1"/>
  <c r="B3056" i="1"/>
  <c r="C3056" i="1"/>
  <c r="D3056" i="1"/>
  <c r="E3056" i="1"/>
  <c r="A3057" i="1"/>
  <c r="B3057" i="1"/>
  <c r="C3057" i="1"/>
  <c r="D3057" i="1"/>
  <c r="E3057" i="1"/>
  <c r="A3058" i="1"/>
  <c r="B3058" i="1"/>
  <c r="C3058" i="1"/>
  <c r="D3058" i="1"/>
  <c r="E3058" i="1"/>
  <c r="A3059" i="1"/>
  <c r="B3059" i="1"/>
  <c r="C3059" i="1"/>
  <c r="D3059" i="1"/>
  <c r="E3059" i="1"/>
  <c r="A3060" i="1"/>
  <c r="B3060" i="1"/>
  <c r="C3060" i="1"/>
  <c r="D3060" i="1"/>
  <c r="E3060" i="1"/>
  <c r="A3061" i="1"/>
  <c r="B3061" i="1"/>
  <c r="C3061" i="1"/>
  <c r="D3061" i="1"/>
  <c r="E3061" i="1"/>
  <c r="A3062" i="1"/>
  <c r="B3062" i="1"/>
  <c r="C3062" i="1"/>
  <c r="D3062" i="1"/>
  <c r="E3062" i="1"/>
  <c r="A3063" i="1"/>
  <c r="B3063" i="1"/>
  <c r="C3063" i="1"/>
  <c r="D3063" i="1"/>
  <c r="E3063" i="1"/>
  <c r="A3064" i="1"/>
  <c r="B3064" i="1"/>
  <c r="C3064" i="1"/>
  <c r="D3064" i="1"/>
  <c r="E3064" i="1"/>
  <c r="A3065" i="1"/>
  <c r="B3065" i="1"/>
  <c r="C3065" i="1"/>
  <c r="D3065" i="1"/>
  <c r="E3065" i="1"/>
  <c r="A3066" i="1"/>
  <c r="B3066" i="1"/>
  <c r="C3066" i="1"/>
  <c r="D3066" i="1"/>
  <c r="E3066" i="1"/>
  <c r="A3067" i="1"/>
  <c r="B3067" i="1"/>
  <c r="C3067" i="1"/>
  <c r="D3067" i="1"/>
  <c r="E3067" i="1"/>
  <c r="A3068" i="1"/>
  <c r="B3068" i="1"/>
  <c r="C3068" i="1"/>
  <c r="D3068" i="1"/>
  <c r="E3068" i="1"/>
  <c r="A3069" i="1"/>
  <c r="B3069" i="1"/>
  <c r="C3069" i="1"/>
  <c r="D3069" i="1"/>
  <c r="E3069" i="1"/>
  <c r="A3070" i="1"/>
  <c r="B3070" i="1"/>
  <c r="C3070" i="1"/>
  <c r="D3070" i="1"/>
  <c r="E3070" i="1"/>
  <c r="A3071" i="1"/>
  <c r="B3071" i="1"/>
  <c r="C3071" i="1"/>
  <c r="D3071" i="1"/>
  <c r="E3071" i="1"/>
  <c r="A3072" i="1"/>
  <c r="B3072" i="1"/>
  <c r="C3072" i="1"/>
  <c r="D3072" i="1"/>
  <c r="E3072" i="1"/>
  <c r="A3073" i="1"/>
  <c r="B3073" i="1"/>
  <c r="C3073" i="1"/>
  <c r="D3073" i="1"/>
  <c r="E3073" i="1"/>
  <c r="A3074" i="1"/>
  <c r="B3074" i="1"/>
  <c r="C3074" i="1"/>
  <c r="D3074" i="1"/>
  <c r="E3074" i="1"/>
  <c r="A3075" i="1"/>
  <c r="B3075" i="1"/>
  <c r="C3075" i="1"/>
  <c r="D3075" i="1"/>
  <c r="E3075" i="1"/>
  <c r="A3076" i="1"/>
  <c r="B3076" i="1"/>
  <c r="C3076" i="1"/>
  <c r="D3076" i="1"/>
  <c r="E3076" i="1"/>
  <c r="A3077" i="1"/>
  <c r="B3077" i="1"/>
  <c r="C3077" i="1"/>
  <c r="D3077" i="1"/>
  <c r="E3077" i="1"/>
  <c r="A3078" i="1"/>
  <c r="B3078" i="1"/>
  <c r="C3078" i="1"/>
  <c r="D3078" i="1"/>
  <c r="E3078" i="1"/>
  <c r="A3079" i="1"/>
  <c r="B3079" i="1"/>
  <c r="C3079" i="1"/>
  <c r="D3079" i="1"/>
  <c r="E3079" i="1"/>
  <c r="A3080" i="1"/>
  <c r="B3080" i="1"/>
  <c r="C3080" i="1"/>
  <c r="D3080" i="1"/>
  <c r="E3080" i="1"/>
  <c r="A3081" i="1"/>
  <c r="B3081" i="1"/>
  <c r="C3081" i="1"/>
  <c r="D3081" i="1"/>
  <c r="E3081" i="1"/>
  <c r="A3082" i="1"/>
  <c r="B3082" i="1"/>
  <c r="C3082" i="1"/>
  <c r="D3082" i="1"/>
  <c r="E3082" i="1"/>
  <c r="A3083" i="1"/>
  <c r="B3083" i="1"/>
  <c r="C3083" i="1"/>
  <c r="D3083" i="1"/>
  <c r="E3083" i="1"/>
  <c r="A3084" i="1"/>
  <c r="B3084" i="1"/>
  <c r="C3084" i="1"/>
  <c r="D3084" i="1"/>
  <c r="E3084" i="1"/>
  <c r="A3085" i="1"/>
  <c r="B3085" i="1"/>
  <c r="C3085" i="1"/>
  <c r="D3085" i="1"/>
  <c r="E3085" i="1"/>
  <c r="A3086" i="1"/>
  <c r="B3086" i="1"/>
  <c r="C3086" i="1"/>
  <c r="D3086" i="1"/>
  <c r="E3086" i="1"/>
  <c r="A3087" i="1"/>
  <c r="B3087" i="1"/>
  <c r="C3087" i="1"/>
  <c r="D3087" i="1"/>
  <c r="E3087" i="1"/>
  <c r="A3088" i="1"/>
  <c r="B3088" i="1"/>
  <c r="C3088" i="1"/>
  <c r="D3088" i="1"/>
  <c r="E3088" i="1"/>
  <c r="A3089" i="1"/>
  <c r="B3089" i="1"/>
  <c r="C3089" i="1"/>
  <c r="D3089" i="1"/>
  <c r="E3089" i="1"/>
  <c r="A3090" i="1"/>
  <c r="B3090" i="1"/>
  <c r="C3090" i="1"/>
  <c r="D3090" i="1"/>
  <c r="E3090" i="1"/>
  <c r="A3091" i="1"/>
  <c r="B3091" i="1"/>
  <c r="C3091" i="1"/>
  <c r="D3091" i="1"/>
  <c r="E3091" i="1"/>
  <c r="A3092" i="1"/>
  <c r="B3092" i="1"/>
  <c r="C3092" i="1"/>
  <c r="D3092" i="1"/>
  <c r="E3092" i="1"/>
  <c r="A3093" i="1"/>
  <c r="B3093" i="1"/>
  <c r="C3093" i="1"/>
  <c r="D3093" i="1"/>
  <c r="E3093" i="1"/>
  <c r="A3094" i="1"/>
  <c r="B3094" i="1"/>
  <c r="C3094" i="1"/>
  <c r="D3094" i="1"/>
  <c r="E3094" i="1"/>
  <c r="A3095" i="1"/>
  <c r="B3095" i="1"/>
  <c r="C3095" i="1"/>
  <c r="D3095" i="1"/>
  <c r="E3095" i="1"/>
  <c r="A3096" i="1"/>
  <c r="B3096" i="1"/>
  <c r="C3096" i="1"/>
  <c r="D3096" i="1"/>
  <c r="E3096" i="1"/>
  <c r="A3097" i="1"/>
  <c r="B3097" i="1"/>
  <c r="C3097" i="1"/>
  <c r="D3097" i="1"/>
  <c r="E3097" i="1"/>
  <c r="A3098" i="1"/>
  <c r="B3098" i="1"/>
  <c r="C3098" i="1"/>
  <c r="D3098" i="1"/>
  <c r="E3098" i="1"/>
  <c r="A3099" i="1"/>
  <c r="B3099" i="1"/>
  <c r="C3099" i="1"/>
  <c r="D3099" i="1"/>
  <c r="E3099" i="1"/>
  <c r="A3100" i="1"/>
  <c r="B3100" i="1"/>
  <c r="C3100" i="1"/>
  <c r="D3100" i="1"/>
  <c r="E3100" i="1"/>
  <c r="A3101" i="1"/>
  <c r="B3101" i="1"/>
  <c r="C3101" i="1"/>
  <c r="D3101" i="1"/>
  <c r="E3101" i="1"/>
  <c r="A3102" i="1"/>
  <c r="B3102" i="1"/>
  <c r="C3102" i="1"/>
  <c r="D3102" i="1"/>
  <c r="E3102" i="1"/>
  <c r="A3103" i="1"/>
  <c r="B3103" i="1"/>
  <c r="C3103" i="1"/>
  <c r="D3103" i="1"/>
  <c r="E3103" i="1"/>
  <c r="A3104" i="1"/>
  <c r="B3104" i="1"/>
  <c r="C3104" i="1"/>
  <c r="D3104" i="1"/>
  <c r="E3104" i="1"/>
  <c r="A3105" i="1"/>
  <c r="B3105" i="1"/>
  <c r="C3105" i="1"/>
  <c r="D3105" i="1"/>
  <c r="E3105" i="1"/>
  <c r="A3106" i="1"/>
  <c r="B3106" i="1"/>
  <c r="C3106" i="1"/>
  <c r="D3106" i="1"/>
  <c r="E3106" i="1"/>
  <c r="A3107" i="1"/>
  <c r="B3107" i="1"/>
  <c r="C3107" i="1"/>
  <c r="D3107" i="1"/>
  <c r="E3107" i="1"/>
  <c r="A3108" i="1"/>
  <c r="B3108" i="1"/>
  <c r="C3108" i="1"/>
  <c r="D3108" i="1"/>
  <c r="E3108" i="1"/>
  <c r="A3109" i="1"/>
  <c r="B3109" i="1"/>
  <c r="C3109" i="1"/>
  <c r="D3109" i="1"/>
  <c r="E3109" i="1"/>
  <c r="A3110" i="1"/>
  <c r="B3110" i="1"/>
  <c r="C3110" i="1"/>
  <c r="D3110" i="1"/>
  <c r="E3110" i="1"/>
  <c r="A3111" i="1"/>
  <c r="B3111" i="1"/>
  <c r="C3111" i="1"/>
  <c r="D3111" i="1"/>
  <c r="E3111" i="1"/>
  <c r="A3112" i="1"/>
  <c r="B3112" i="1"/>
  <c r="C3112" i="1"/>
  <c r="D3112" i="1"/>
  <c r="E3112" i="1"/>
  <c r="A3113" i="1"/>
  <c r="B3113" i="1"/>
  <c r="C3113" i="1"/>
  <c r="D3113" i="1"/>
  <c r="E3113" i="1"/>
  <c r="A3114" i="1"/>
  <c r="B3114" i="1"/>
  <c r="C3114" i="1"/>
  <c r="D3114" i="1"/>
  <c r="E3114" i="1"/>
  <c r="A3115" i="1"/>
  <c r="B3115" i="1"/>
  <c r="C3115" i="1"/>
  <c r="D3115" i="1"/>
  <c r="E3115" i="1"/>
  <c r="A3116" i="1"/>
  <c r="B3116" i="1"/>
  <c r="C3116" i="1"/>
  <c r="D3116" i="1"/>
  <c r="E3116" i="1"/>
  <c r="A3117" i="1"/>
  <c r="B3117" i="1"/>
  <c r="C3117" i="1"/>
  <c r="D3117" i="1"/>
  <c r="E3117" i="1"/>
  <c r="A3118" i="1"/>
  <c r="B3118" i="1"/>
  <c r="C3118" i="1"/>
  <c r="D3118" i="1"/>
  <c r="E3118" i="1"/>
  <c r="A3119" i="1"/>
  <c r="B3119" i="1"/>
  <c r="C3119" i="1"/>
  <c r="D3119" i="1"/>
  <c r="E3119" i="1"/>
  <c r="A3120" i="1"/>
  <c r="B3120" i="1"/>
  <c r="C3120" i="1"/>
  <c r="D3120" i="1"/>
  <c r="E3120" i="1"/>
  <c r="A3121" i="1"/>
  <c r="B3121" i="1"/>
  <c r="C3121" i="1"/>
  <c r="D3121" i="1"/>
  <c r="E3121" i="1"/>
  <c r="A3122" i="1"/>
  <c r="B3122" i="1"/>
  <c r="C3122" i="1"/>
  <c r="D3122" i="1"/>
  <c r="E3122" i="1"/>
  <c r="A3123" i="1"/>
  <c r="B3123" i="1"/>
  <c r="C3123" i="1"/>
  <c r="D3123" i="1"/>
  <c r="E3123" i="1"/>
  <c r="A3124" i="1"/>
  <c r="B3124" i="1"/>
  <c r="C3124" i="1"/>
  <c r="D3124" i="1"/>
  <c r="E3124" i="1"/>
  <c r="A3125" i="1"/>
  <c r="B3125" i="1"/>
  <c r="C3125" i="1"/>
  <c r="D3125" i="1"/>
  <c r="E3125" i="1"/>
  <c r="A3126" i="1"/>
  <c r="B3126" i="1"/>
  <c r="C3126" i="1"/>
  <c r="D3126" i="1"/>
  <c r="E3126" i="1"/>
  <c r="A3127" i="1"/>
  <c r="B3127" i="1"/>
  <c r="C3127" i="1"/>
  <c r="D3127" i="1"/>
  <c r="E3127" i="1"/>
  <c r="A3128" i="1"/>
  <c r="B3128" i="1"/>
  <c r="C3128" i="1"/>
  <c r="D3128" i="1"/>
  <c r="E3128" i="1"/>
  <c r="A3129" i="1"/>
  <c r="B3129" i="1"/>
  <c r="C3129" i="1"/>
  <c r="D3129" i="1"/>
  <c r="E3129" i="1"/>
  <c r="A3130" i="1"/>
  <c r="B3130" i="1"/>
  <c r="C3130" i="1"/>
  <c r="D3130" i="1"/>
  <c r="E3130" i="1"/>
  <c r="A3131" i="1"/>
  <c r="B3131" i="1"/>
  <c r="C3131" i="1"/>
  <c r="D3131" i="1"/>
  <c r="E3131" i="1"/>
  <c r="A3132" i="1"/>
  <c r="B3132" i="1"/>
  <c r="C3132" i="1"/>
  <c r="D3132" i="1"/>
  <c r="E3132" i="1"/>
  <c r="A3133" i="1"/>
  <c r="B3133" i="1"/>
  <c r="C3133" i="1"/>
  <c r="D3133" i="1"/>
  <c r="E3133" i="1"/>
  <c r="A3134" i="1"/>
  <c r="B3134" i="1"/>
  <c r="C3134" i="1"/>
  <c r="D3134" i="1"/>
  <c r="E3134" i="1"/>
  <c r="A3135" i="1"/>
  <c r="B3135" i="1"/>
  <c r="C3135" i="1"/>
  <c r="D3135" i="1"/>
  <c r="E3135" i="1"/>
  <c r="A3136" i="1"/>
  <c r="B3136" i="1"/>
  <c r="C3136" i="1"/>
  <c r="D3136" i="1"/>
  <c r="E3136" i="1"/>
  <c r="A3137" i="1"/>
  <c r="B3137" i="1"/>
  <c r="C3137" i="1"/>
  <c r="D3137" i="1"/>
  <c r="E3137" i="1"/>
  <c r="A3138" i="1"/>
  <c r="B3138" i="1"/>
  <c r="C3138" i="1"/>
  <c r="D3138" i="1"/>
  <c r="E3138" i="1"/>
  <c r="A3139" i="1"/>
  <c r="B3139" i="1"/>
  <c r="C3139" i="1"/>
  <c r="D3139" i="1"/>
  <c r="E3139" i="1"/>
  <c r="A3140" i="1"/>
  <c r="B3140" i="1"/>
  <c r="C3140" i="1"/>
  <c r="D3140" i="1"/>
  <c r="E3140" i="1"/>
  <c r="A3141" i="1"/>
  <c r="B3141" i="1"/>
  <c r="C3141" i="1"/>
  <c r="D3141" i="1"/>
  <c r="E3141" i="1"/>
  <c r="A3142" i="1"/>
  <c r="B3142" i="1"/>
  <c r="C3142" i="1"/>
  <c r="D3142" i="1"/>
  <c r="E3142" i="1"/>
  <c r="A3143" i="1"/>
  <c r="B3143" i="1"/>
  <c r="C3143" i="1"/>
  <c r="D3143" i="1"/>
  <c r="E3143" i="1"/>
  <c r="A3144" i="1"/>
  <c r="B3144" i="1"/>
  <c r="C3144" i="1"/>
  <c r="D3144" i="1"/>
  <c r="E3144" i="1"/>
  <c r="A3145" i="1"/>
  <c r="B3145" i="1"/>
  <c r="C3145" i="1"/>
  <c r="D3145" i="1"/>
  <c r="E3145" i="1"/>
  <c r="A3146" i="1"/>
  <c r="B3146" i="1"/>
  <c r="C3146" i="1"/>
  <c r="D3146" i="1"/>
  <c r="E3146" i="1"/>
  <c r="A3147" i="1"/>
  <c r="B3147" i="1"/>
  <c r="C3147" i="1"/>
  <c r="D3147" i="1"/>
  <c r="E3147" i="1"/>
  <c r="A3148" i="1"/>
  <c r="B3148" i="1"/>
  <c r="C3148" i="1"/>
  <c r="D3148" i="1"/>
  <c r="E3148" i="1"/>
  <c r="A3149" i="1"/>
  <c r="B3149" i="1"/>
  <c r="C3149" i="1"/>
  <c r="D3149" i="1"/>
  <c r="E3149" i="1"/>
  <c r="A3150" i="1"/>
  <c r="B3150" i="1"/>
  <c r="C3150" i="1"/>
  <c r="D3150" i="1"/>
  <c r="E3150" i="1"/>
  <c r="A3151" i="1"/>
  <c r="B3151" i="1"/>
  <c r="C3151" i="1"/>
  <c r="D3151" i="1"/>
  <c r="E3151" i="1"/>
  <c r="A3152" i="1"/>
  <c r="B3152" i="1"/>
  <c r="C3152" i="1"/>
  <c r="D3152" i="1"/>
  <c r="E3152" i="1"/>
  <c r="A3153" i="1"/>
  <c r="B3153" i="1"/>
  <c r="C3153" i="1"/>
  <c r="D3153" i="1"/>
  <c r="E3153" i="1"/>
  <c r="A3154" i="1"/>
  <c r="B3154" i="1"/>
  <c r="C3154" i="1"/>
  <c r="D3154" i="1"/>
  <c r="E3154" i="1"/>
  <c r="A3155" i="1"/>
  <c r="B3155" i="1"/>
  <c r="C3155" i="1"/>
  <c r="D3155" i="1"/>
  <c r="E3155" i="1"/>
  <c r="A3156" i="1"/>
  <c r="B3156" i="1"/>
  <c r="C3156" i="1"/>
  <c r="D3156" i="1"/>
  <c r="E3156" i="1"/>
  <c r="A3157" i="1"/>
  <c r="B3157" i="1"/>
  <c r="C3157" i="1"/>
  <c r="D3157" i="1"/>
  <c r="E3157" i="1"/>
  <c r="A3158" i="1"/>
  <c r="B3158" i="1"/>
  <c r="C3158" i="1"/>
  <c r="D3158" i="1"/>
  <c r="E3158" i="1"/>
  <c r="A3159" i="1"/>
  <c r="B3159" i="1"/>
  <c r="C3159" i="1"/>
  <c r="D3159" i="1"/>
  <c r="E3159" i="1"/>
  <c r="A3160" i="1"/>
  <c r="B3160" i="1"/>
  <c r="C3160" i="1"/>
  <c r="D3160" i="1"/>
  <c r="E3160" i="1"/>
  <c r="A3161" i="1"/>
  <c r="B3161" i="1"/>
  <c r="C3161" i="1"/>
  <c r="D3161" i="1"/>
  <c r="E3161" i="1"/>
  <c r="A3162" i="1"/>
  <c r="B3162" i="1"/>
  <c r="C3162" i="1"/>
  <c r="D3162" i="1"/>
  <c r="E3162" i="1"/>
  <c r="A3163" i="1"/>
  <c r="B3163" i="1"/>
  <c r="C3163" i="1"/>
  <c r="D3163" i="1"/>
  <c r="E3163" i="1"/>
  <c r="A3164" i="1"/>
  <c r="B3164" i="1"/>
  <c r="C3164" i="1"/>
  <c r="D3164" i="1"/>
  <c r="E3164" i="1"/>
  <c r="A3165" i="1"/>
  <c r="B3165" i="1"/>
  <c r="C3165" i="1"/>
  <c r="D3165" i="1"/>
  <c r="E3165" i="1"/>
  <c r="A3166" i="1"/>
  <c r="B3166" i="1"/>
  <c r="C3166" i="1"/>
  <c r="D3166" i="1"/>
  <c r="E3166" i="1"/>
  <c r="A3167" i="1"/>
  <c r="B3167" i="1"/>
  <c r="C3167" i="1"/>
  <c r="D3167" i="1"/>
  <c r="E3167" i="1"/>
  <c r="A3168" i="1"/>
  <c r="B3168" i="1"/>
  <c r="C3168" i="1"/>
  <c r="D3168" i="1"/>
  <c r="E3168" i="1"/>
  <c r="A3169" i="1"/>
  <c r="B3169" i="1"/>
  <c r="C3169" i="1"/>
  <c r="D3169" i="1"/>
  <c r="E3169" i="1"/>
  <c r="A3170" i="1"/>
  <c r="B3170" i="1"/>
  <c r="C3170" i="1"/>
  <c r="D3170" i="1"/>
  <c r="E3170" i="1"/>
  <c r="A3171" i="1"/>
  <c r="B3171" i="1"/>
  <c r="C3171" i="1"/>
  <c r="D3171" i="1"/>
  <c r="E3171" i="1"/>
  <c r="A3172" i="1"/>
  <c r="B3172" i="1"/>
  <c r="C3172" i="1"/>
  <c r="D3172" i="1"/>
  <c r="E3172" i="1"/>
  <c r="A3173" i="1"/>
  <c r="B3173" i="1"/>
  <c r="C3173" i="1"/>
  <c r="D3173" i="1"/>
  <c r="E3173" i="1"/>
  <c r="A3174" i="1"/>
  <c r="B3174" i="1"/>
  <c r="C3174" i="1"/>
  <c r="D3174" i="1"/>
  <c r="E3174" i="1"/>
  <c r="A3175" i="1"/>
  <c r="B3175" i="1"/>
  <c r="C3175" i="1"/>
  <c r="D3175" i="1"/>
  <c r="E3175" i="1"/>
  <c r="A3176" i="1"/>
  <c r="B3176" i="1"/>
  <c r="C3176" i="1"/>
  <c r="D3176" i="1"/>
  <c r="E3176" i="1"/>
  <c r="A3177" i="1"/>
  <c r="B3177" i="1"/>
  <c r="C3177" i="1"/>
  <c r="D3177" i="1"/>
  <c r="E3177" i="1"/>
  <c r="A3178" i="1"/>
  <c r="B3178" i="1"/>
  <c r="C3178" i="1"/>
  <c r="D3178" i="1"/>
  <c r="E3178" i="1"/>
  <c r="A3179" i="1"/>
  <c r="B3179" i="1"/>
  <c r="C3179" i="1"/>
  <c r="D3179" i="1"/>
  <c r="E3179" i="1"/>
  <c r="A3180" i="1"/>
  <c r="B3180" i="1"/>
  <c r="C3180" i="1"/>
  <c r="D3180" i="1"/>
  <c r="E3180" i="1"/>
  <c r="A3181" i="1"/>
  <c r="B3181" i="1"/>
  <c r="C3181" i="1"/>
  <c r="D3181" i="1"/>
  <c r="E3181" i="1"/>
  <c r="A3182" i="1"/>
  <c r="B3182" i="1"/>
  <c r="C3182" i="1"/>
  <c r="D3182" i="1"/>
  <c r="E3182" i="1"/>
  <c r="A3183" i="1"/>
  <c r="B3183" i="1"/>
  <c r="C3183" i="1"/>
  <c r="D3183" i="1"/>
  <c r="E3183" i="1"/>
  <c r="A3184" i="1"/>
  <c r="B3184" i="1"/>
  <c r="C3184" i="1"/>
  <c r="D3184" i="1"/>
  <c r="E3184" i="1"/>
  <c r="A3185" i="1"/>
  <c r="B3185" i="1"/>
  <c r="C3185" i="1"/>
  <c r="D3185" i="1"/>
  <c r="E3185" i="1"/>
  <c r="A3186" i="1"/>
  <c r="B3186" i="1"/>
  <c r="C3186" i="1"/>
  <c r="D3186" i="1"/>
  <c r="E3186" i="1"/>
  <c r="A3187" i="1"/>
  <c r="B3187" i="1"/>
  <c r="C3187" i="1"/>
  <c r="D3187" i="1"/>
  <c r="E3187" i="1"/>
  <c r="A3188" i="1"/>
  <c r="B3188" i="1"/>
  <c r="C3188" i="1"/>
  <c r="D3188" i="1"/>
  <c r="E3188" i="1"/>
  <c r="A3189" i="1"/>
  <c r="B3189" i="1"/>
  <c r="C3189" i="1"/>
  <c r="D3189" i="1"/>
  <c r="E3189" i="1"/>
  <c r="A3190" i="1"/>
  <c r="B3190" i="1"/>
  <c r="C3190" i="1"/>
  <c r="D3190" i="1"/>
  <c r="E3190" i="1"/>
  <c r="A3191" i="1"/>
  <c r="B3191" i="1"/>
  <c r="C3191" i="1"/>
  <c r="D3191" i="1"/>
  <c r="E3191" i="1"/>
  <c r="A3192" i="1"/>
  <c r="B3192" i="1"/>
  <c r="C3192" i="1"/>
  <c r="D3192" i="1"/>
  <c r="E3192" i="1"/>
  <c r="A3193" i="1"/>
  <c r="B3193" i="1"/>
  <c r="C3193" i="1"/>
  <c r="D3193" i="1"/>
  <c r="E3193" i="1"/>
  <c r="A3194" i="1"/>
  <c r="B3194" i="1"/>
  <c r="C3194" i="1"/>
  <c r="D3194" i="1"/>
  <c r="E3194" i="1"/>
  <c r="A3195" i="1"/>
  <c r="B3195" i="1"/>
  <c r="C3195" i="1"/>
  <c r="D3195" i="1"/>
  <c r="E3195" i="1"/>
  <c r="A3196" i="1"/>
  <c r="B3196" i="1"/>
  <c r="C3196" i="1"/>
  <c r="D3196" i="1"/>
  <c r="E3196" i="1"/>
  <c r="A3197" i="1"/>
  <c r="B3197" i="1"/>
  <c r="C3197" i="1"/>
  <c r="D3197" i="1"/>
  <c r="E3197" i="1"/>
  <c r="A3198" i="1"/>
  <c r="B3198" i="1"/>
  <c r="C3198" i="1"/>
  <c r="D3198" i="1"/>
  <c r="E3198" i="1"/>
  <c r="A3199" i="1"/>
  <c r="B3199" i="1"/>
  <c r="C3199" i="1"/>
  <c r="D3199" i="1"/>
  <c r="E3199" i="1"/>
  <c r="A3200" i="1"/>
  <c r="B3200" i="1"/>
  <c r="C3200" i="1"/>
  <c r="D3200" i="1"/>
  <c r="E3200" i="1"/>
  <c r="A3201" i="1"/>
  <c r="B3201" i="1"/>
  <c r="C3201" i="1"/>
  <c r="D3201" i="1"/>
  <c r="E3201" i="1"/>
  <c r="A3202" i="1"/>
  <c r="B3202" i="1"/>
  <c r="C3202" i="1"/>
  <c r="D3202" i="1"/>
  <c r="E3202" i="1"/>
  <c r="A3203" i="1"/>
  <c r="B3203" i="1"/>
  <c r="C3203" i="1"/>
  <c r="D3203" i="1"/>
  <c r="E3203" i="1"/>
  <c r="A3204" i="1"/>
  <c r="B3204" i="1"/>
  <c r="C3204" i="1"/>
  <c r="D3204" i="1"/>
  <c r="E3204" i="1"/>
  <c r="A3205" i="1"/>
  <c r="B3205" i="1"/>
  <c r="C3205" i="1"/>
  <c r="D3205" i="1"/>
  <c r="E3205" i="1"/>
  <c r="A3206" i="1"/>
  <c r="B3206" i="1"/>
  <c r="C3206" i="1"/>
  <c r="D3206" i="1"/>
  <c r="E3206" i="1"/>
  <c r="A3207" i="1"/>
  <c r="B3207" i="1"/>
  <c r="C3207" i="1"/>
  <c r="D3207" i="1"/>
  <c r="E3207" i="1"/>
  <c r="A3208" i="1"/>
  <c r="B3208" i="1"/>
  <c r="C3208" i="1"/>
  <c r="D3208" i="1"/>
  <c r="E3208" i="1"/>
  <c r="A3209" i="1"/>
  <c r="B3209" i="1"/>
  <c r="C3209" i="1"/>
  <c r="D3209" i="1"/>
  <c r="E3209" i="1"/>
  <c r="A3210" i="1"/>
  <c r="B3210" i="1"/>
  <c r="C3210" i="1"/>
  <c r="D3210" i="1"/>
  <c r="E3210" i="1"/>
  <c r="A3211" i="1"/>
  <c r="B3211" i="1"/>
  <c r="C3211" i="1"/>
  <c r="D3211" i="1"/>
  <c r="E3211" i="1"/>
  <c r="A3212" i="1"/>
  <c r="B3212" i="1"/>
  <c r="C3212" i="1"/>
  <c r="D3212" i="1"/>
  <c r="E3212" i="1"/>
  <c r="A3213" i="1"/>
  <c r="B3213" i="1"/>
  <c r="C3213" i="1"/>
  <c r="D3213" i="1"/>
  <c r="E3213" i="1"/>
  <c r="A3214" i="1"/>
  <c r="B3214" i="1"/>
  <c r="C3214" i="1"/>
  <c r="D3214" i="1"/>
  <c r="E3214" i="1"/>
  <c r="A3215" i="1"/>
  <c r="B3215" i="1"/>
  <c r="C3215" i="1"/>
  <c r="D3215" i="1"/>
  <c r="E3215" i="1"/>
  <c r="A3216" i="1"/>
  <c r="B3216" i="1"/>
  <c r="C3216" i="1"/>
  <c r="D3216" i="1"/>
  <c r="E3216" i="1"/>
  <c r="A3217" i="1"/>
  <c r="B3217" i="1"/>
  <c r="C3217" i="1"/>
  <c r="D3217" i="1"/>
  <c r="E3217" i="1"/>
  <c r="A3218" i="1"/>
  <c r="B3218" i="1"/>
  <c r="C3218" i="1"/>
  <c r="D3218" i="1"/>
  <c r="E3218" i="1"/>
  <c r="A3219" i="1"/>
  <c r="B3219" i="1"/>
  <c r="C3219" i="1"/>
  <c r="D3219" i="1"/>
  <c r="E3219" i="1"/>
  <c r="A3220" i="1"/>
  <c r="B3220" i="1"/>
  <c r="C3220" i="1"/>
  <c r="D3220" i="1"/>
  <c r="E3220" i="1"/>
  <c r="A3221" i="1"/>
  <c r="B3221" i="1"/>
  <c r="C3221" i="1"/>
  <c r="D3221" i="1"/>
  <c r="E3221" i="1"/>
  <c r="A3222" i="1"/>
  <c r="B3222" i="1"/>
  <c r="C3222" i="1"/>
  <c r="D3222" i="1"/>
  <c r="E3222" i="1"/>
  <c r="A3223" i="1"/>
  <c r="B3223" i="1"/>
  <c r="C3223" i="1"/>
  <c r="D3223" i="1"/>
  <c r="E3223" i="1"/>
  <c r="A3224" i="1"/>
  <c r="B3224" i="1"/>
  <c r="C3224" i="1"/>
  <c r="D3224" i="1"/>
  <c r="E3224" i="1"/>
  <c r="A3225" i="1"/>
  <c r="B3225" i="1"/>
  <c r="C3225" i="1"/>
  <c r="D3225" i="1"/>
  <c r="E3225" i="1"/>
  <c r="A3226" i="1"/>
  <c r="B3226" i="1"/>
  <c r="C3226" i="1"/>
  <c r="D3226" i="1"/>
  <c r="E3226" i="1"/>
  <c r="A3227" i="1"/>
  <c r="B3227" i="1"/>
  <c r="C3227" i="1"/>
  <c r="D3227" i="1"/>
  <c r="E3227" i="1"/>
  <c r="A3228" i="1"/>
  <c r="B3228" i="1"/>
  <c r="C3228" i="1"/>
  <c r="D3228" i="1"/>
  <c r="E3228" i="1"/>
  <c r="A3229" i="1"/>
  <c r="B3229" i="1"/>
  <c r="C3229" i="1"/>
  <c r="D3229" i="1"/>
  <c r="E3229" i="1"/>
  <c r="A3230" i="1"/>
  <c r="B3230" i="1"/>
  <c r="C3230" i="1"/>
  <c r="D3230" i="1"/>
  <c r="E3230" i="1"/>
  <c r="A3231" i="1"/>
  <c r="B3231" i="1"/>
  <c r="C3231" i="1"/>
  <c r="D3231" i="1"/>
  <c r="E3231" i="1"/>
  <c r="A3232" i="1"/>
  <c r="B3232" i="1"/>
  <c r="C3232" i="1"/>
  <c r="D3232" i="1"/>
  <c r="E3232" i="1"/>
  <c r="A3233" i="1"/>
  <c r="B3233" i="1"/>
  <c r="C3233" i="1"/>
  <c r="D3233" i="1"/>
  <c r="E3233" i="1"/>
  <c r="A3234" i="1"/>
  <c r="B3234" i="1"/>
  <c r="C3234" i="1"/>
  <c r="D3234" i="1"/>
  <c r="E3234" i="1"/>
  <c r="A3235" i="1"/>
  <c r="B3235" i="1"/>
  <c r="C3235" i="1"/>
  <c r="D3235" i="1"/>
  <c r="E3235" i="1"/>
  <c r="A3236" i="1"/>
  <c r="B3236" i="1"/>
  <c r="C3236" i="1"/>
  <c r="D3236" i="1"/>
  <c r="E3236" i="1"/>
  <c r="A3237" i="1"/>
  <c r="B3237" i="1"/>
  <c r="C3237" i="1"/>
  <c r="D3237" i="1"/>
  <c r="E3237" i="1"/>
  <c r="A3238" i="1"/>
  <c r="B3238" i="1"/>
  <c r="C3238" i="1"/>
  <c r="D3238" i="1"/>
  <c r="E3238" i="1"/>
  <c r="A3239" i="1"/>
  <c r="B3239" i="1"/>
  <c r="C3239" i="1"/>
  <c r="D3239" i="1"/>
  <c r="E3239" i="1"/>
  <c r="A3240" i="1"/>
  <c r="B3240" i="1"/>
  <c r="C3240" i="1"/>
  <c r="D3240" i="1"/>
  <c r="E3240" i="1"/>
  <c r="A3241" i="1"/>
  <c r="B3241" i="1"/>
  <c r="C3241" i="1"/>
  <c r="D3241" i="1"/>
  <c r="E3241" i="1"/>
  <c r="A3242" i="1"/>
  <c r="B3242" i="1"/>
  <c r="C3242" i="1"/>
  <c r="D3242" i="1"/>
  <c r="E3242" i="1"/>
  <c r="A3243" i="1"/>
  <c r="B3243" i="1"/>
  <c r="C3243" i="1"/>
  <c r="D3243" i="1"/>
  <c r="E3243" i="1"/>
  <c r="A3244" i="1"/>
  <c r="B3244" i="1"/>
  <c r="C3244" i="1"/>
  <c r="D3244" i="1"/>
  <c r="E3244" i="1"/>
  <c r="A3245" i="1"/>
  <c r="B3245" i="1"/>
  <c r="C3245" i="1"/>
  <c r="D3245" i="1"/>
  <c r="E3245" i="1"/>
  <c r="A3246" i="1"/>
  <c r="B3246" i="1"/>
  <c r="C3246" i="1"/>
  <c r="D3246" i="1"/>
  <c r="E3246" i="1"/>
  <c r="A3247" i="1"/>
  <c r="B3247" i="1"/>
  <c r="C3247" i="1"/>
  <c r="D3247" i="1"/>
  <c r="E3247" i="1"/>
  <c r="A3248" i="1"/>
  <c r="B3248" i="1"/>
  <c r="C3248" i="1"/>
  <c r="D3248" i="1"/>
  <c r="E3248" i="1"/>
  <c r="A3249" i="1"/>
  <c r="B3249" i="1"/>
  <c r="C3249" i="1"/>
  <c r="D3249" i="1"/>
  <c r="E3249" i="1"/>
  <c r="A3250" i="1"/>
  <c r="B3250" i="1"/>
  <c r="C3250" i="1"/>
  <c r="D3250" i="1"/>
  <c r="E3250" i="1"/>
  <c r="A3251" i="1"/>
  <c r="B3251" i="1"/>
  <c r="C3251" i="1"/>
  <c r="D3251" i="1"/>
  <c r="E3251" i="1"/>
  <c r="A3252" i="1"/>
  <c r="B3252" i="1"/>
  <c r="C3252" i="1"/>
  <c r="D3252" i="1"/>
  <c r="E3252" i="1"/>
  <c r="A3253" i="1"/>
  <c r="B3253" i="1"/>
  <c r="C3253" i="1"/>
  <c r="D3253" i="1"/>
  <c r="E3253" i="1"/>
  <c r="A3254" i="1"/>
  <c r="B3254" i="1"/>
  <c r="C3254" i="1"/>
  <c r="D3254" i="1"/>
  <c r="E3254" i="1"/>
  <c r="A3255" i="1"/>
  <c r="B3255" i="1"/>
  <c r="C3255" i="1"/>
  <c r="D3255" i="1"/>
  <c r="E3255" i="1"/>
  <c r="A3256" i="1"/>
  <c r="B3256" i="1"/>
  <c r="C3256" i="1"/>
  <c r="D3256" i="1"/>
  <c r="E3256" i="1"/>
  <c r="A3257" i="1"/>
  <c r="B3257" i="1"/>
  <c r="C3257" i="1"/>
  <c r="D3257" i="1"/>
  <c r="E3257" i="1"/>
  <c r="A3258" i="1"/>
  <c r="B3258" i="1"/>
  <c r="C3258" i="1"/>
  <c r="D3258" i="1"/>
  <c r="E3258" i="1"/>
  <c r="A3259" i="1"/>
  <c r="B3259" i="1"/>
  <c r="C3259" i="1"/>
  <c r="D3259" i="1"/>
  <c r="E3259" i="1"/>
  <c r="A3260" i="1"/>
  <c r="B3260" i="1"/>
  <c r="C3260" i="1"/>
  <c r="D3260" i="1"/>
  <c r="E3260" i="1"/>
  <c r="A3261" i="1"/>
  <c r="B3261" i="1"/>
  <c r="C3261" i="1"/>
  <c r="D3261" i="1"/>
  <c r="E3261" i="1"/>
  <c r="A3262" i="1"/>
  <c r="B3262" i="1"/>
  <c r="C3262" i="1"/>
  <c r="D3262" i="1"/>
  <c r="E3262" i="1"/>
  <c r="A3263" i="1"/>
  <c r="B3263" i="1"/>
  <c r="C3263" i="1"/>
  <c r="D3263" i="1"/>
  <c r="E3263" i="1"/>
  <c r="A3264" i="1"/>
  <c r="B3264" i="1"/>
  <c r="C3264" i="1"/>
  <c r="D3264" i="1"/>
  <c r="E3264" i="1"/>
  <c r="A3265" i="1"/>
  <c r="B3265" i="1"/>
  <c r="C3265" i="1"/>
  <c r="D3265" i="1"/>
  <c r="E3265" i="1"/>
  <c r="A3266" i="1"/>
  <c r="B3266" i="1"/>
  <c r="C3266" i="1"/>
  <c r="D3266" i="1"/>
  <c r="E3266" i="1"/>
  <c r="A3267" i="1"/>
  <c r="B3267" i="1"/>
  <c r="C3267" i="1"/>
  <c r="D3267" i="1"/>
  <c r="E3267" i="1"/>
  <c r="A3268" i="1"/>
  <c r="B3268" i="1"/>
  <c r="C3268" i="1"/>
  <c r="D3268" i="1"/>
  <c r="E3268" i="1"/>
  <c r="A3269" i="1"/>
  <c r="B3269" i="1"/>
  <c r="C3269" i="1"/>
  <c r="D3269" i="1"/>
  <c r="E3269" i="1"/>
  <c r="A3270" i="1"/>
  <c r="B3270" i="1"/>
  <c r="C3270" i="1"/>
  <c r="D3270" i="1"/>
  <c r="E3270" i="1"/>
  <c r="A3271" i="1"/>
  <c r="B3271" i="1"/>
  <c r="C3271" i="1"/>
  <c r="D3271" i="1"/>
  <c r="E3271" i="1"/>
  <c r="A3272" i="1"/>
  <c r="B3272" i="1"/>
  <c r="C3272" i="1"/>
  <c r="D3272" i="1"/>
  <c r="E3272" i="1"/>
  <c r="A3273" i="1"/>
  <c r="B3273" i="1"/>
  <c r="C3273" i="1"/>
  <c r="D3273" i="1"/>
  <c r="E3273" i="1"/>
  <c r="A3274" i="1"/>
  <c r="B3274" i="1"/>
  <c r="C3274" i="1"/>
  <c r="D3274" i="1"/>
  <c r="E3274" i="1"/>
  <c r="A3275" i="1"/>
  <c r="B3275" i="1"/>
  <c r="C3275" i="1"/>
  <c r="D3275" i="1"/>
  <c r="E3275" i="1"/>
  <c r="A3276" i="1"/>
  <c r="B3276" i="1"/>
  <c r="C3276" i="1"/>
  <c r="D3276" i="1"/>
  <c r="E3276" i="1"/>
  <c r="A3277" i="1"/>
  <c r="B3277" i="1"/>
  <c r="C3277" i="1"/>
  <c r="D3277" i="1"/>
  <c r="E3277" i="1"/>
  <c r="A3278" i="1"/>
  <c r="B3278" i="1"/>
  <c r="C3278" i="1"/>
  <c r="D3278" i="1"/>
  <c r="E3278" i="1"/>
  <c r="A3279" i="1"/>
  <c r="B3279" i="1"/>
  <c r="C3279" i="1"/>
  <c r="D3279" i="1"/>
  <c r="E3279" i="1"/>
  <c r="A3280" i="1"/>
  <c r="B3280" i="1"/>
  <c r="C3280" i="1"/>
  <c r="D3280" i="1"/>
  <c r="E3280" i="1"/>
  <c r="A3281" i="1"/>
  <c r="B3281" i="1"/>
  <c r="C3281" i="1"/>
  <c r="D3281" i="1"/>
  <c r="E3281" i="1"/>
  <c r="A3282" i="1"/>
  <c r="B3282" i="1"/>
  <c r="C3282" i="1"/>
  <c r="D3282" i="1"/>
  <c r="E3282" i="1"/>
  <c r="A3283" i="1"/>
  <c r="B3283" i="1"/>
  <c r="C3283" i="1"/>
  <c r="D3283" i="1"/>
  <c r="E3283" i="1"/>
  <c r="A3284" i="1"/>
  <c r="B3284" i="1"/>
  <c r="C3284" i="1"/>
  <c r="D3284" i="1"/>
  <c r="E3284" i="1"/>
  <c r="A3285" i="1"/>
  <c r="B3285" i="1"/>
  <c r="C3285" i="1"/>
  <c r="D3285" i="1"/>
  <c r="E3285" i="1"/>
  <c r="A3286" i="1"/>
  <c r="B3286" i="1"/>
  <c r="C3286" i="1"/>
  <c r="D3286" i="1"/>
  <c r="E3286" i="1"/>
  <c r="A3287" i="1"/>
  <c r="B3287" i="1"/>
  <c r="C3287" i="1"/>
  <c r="D3287" i="1"/>
  <c r="E3287" i="1"/>
  <c r="A3288" i="1"/>
  <c r="B3288" i="1"/>
  <c r="C3288" i="1"/>
  <c r="D3288" i="1"/>
  <c r="E3288" i="1"/>
  <c r="A3289" i="1"/>
  <c r="B3289" i="1"/>
  <c r="C3289" i="1"/>
  <c r="D3289" i="1"/>
  <c r="E3289" i="1"/>
  <c r="A3290" i="1"/>
  <c r="B3290" i="1"/>
  <c r="C3290" i="1"/>
  <c r="D3290" i="1"/>
  <c r="E3290" i="1"/>
  <c r="A3291" i="1"/>
  <c r="B3291" i="1"/>
  <c r="C3291" i="1"/>
  <c r="D3291" i="1"/>
  <c r="E3291" i="1"/>
  <c r="A3292" i="1"/>
  <c r="B3292" i="1"/>
  <c r="C3292" i="1"/>
  <c r="D3292" i="1"/>
  <c r="E3292" i="1"/>
  <c r="A3293" i="1"/>
  <c r="B3293" i="1"/>
  <c r="C3293" i="1"/>
  <c r="D3293" i="1"/>
  <c r="E3293" i="1"/>
  <c r="A3294" i="1"/>
  <c r="B3294" i="1"/>
  <c r="C3294" i="1"/>
  <c r="D3294" i="1"/>
  <c r="E3294" i="1"/>
  <c r="A3295" i="1"/>
  <c r="B3295" i="1"/>
  <c r="C3295" i="1"/>
  <c r="D3295" i="1"/>
  <c r="E3295" i="1"/>
  <c r="A3296" i="1"/>
  <c r="B3296" i="1"/>
  <c r="C3296" i="1"/>
  <c r="D3296" i="1"/>
  <c r="E3296" i="1"/>
  <c r="A3297" i="1"/>
  <c r="B3297" i="1"/>
  <c r="C3297" i="1"/>
  <c r="D3297" i="1"/>
  <c r="E3297" i="1"/>
  <c r="A3298" i="1"/>
  <c r="B3298" i="1"/>
  <c r="C3298" i="1"/>
  <c r="D3298" i="1"/>
  <c r="E3298" i="1"/>
  <c r="A3299" i="1"/>
  <c r="B3299" i="1"/>
  <c r="C3299" i="1"/>
  <c r="D3299" i="1"/>
  <c r="E3299" i="1"/>
  <c r="A3300" i="1"/>
  <c r="B3300" i="1"/>
  <c r="C3300" i="1"/>
  <c r="D3300" i="1"/>
  <c r="E3300" i="1"/>
  <c r="A3301" i="1"/>
  <c r="B3301" i="1"/>
  <c r="C3301" i="1"/>
  <c r="D3301" i="1"/>
  <c r="E3301" i="1"/>
  <c r="A3302" i="1"/>
  <c r="B3302" i="1"/>
  <c r="C3302" i="1"/>
  <c r="D3302" i="1"/>
  <c r="E3302" i="1"/>
  <c r="A3303" i="1"/>
  <c r="B3303" i="1"/>
  <c r="C3303" i="1"/>
  <c r="D3303" i="1"/>
  <c r="E3303" i="1"/>
  <c r="A3304" i="1"/>
  <c r="B3304" i="1"/>
  <c r="C3304" i="1"/>
  <c r="D3304" i="1"/>
  <c r="E3304" i="1"/>
  <c r="A3305" i="1"/>
  <c r="B3305" i="1"/>
  <c r="C3305" i="1"/>
  <c r="D3305" i="1"/>
  <c r="E3305" i="1"/>
  <c r="A3306" i="1"/>
  <c r="B3306" i="1"/>
  <c r="C3306" i="1"/>
  <c r="D3306" i="1"/>
  <c r="E3306" i="1"/>
  <c r="A3307" i="1"/>
  <c r="B3307" i="1"/>
  <c r="C3307" i="1"/>
  <c r="D3307" i="1"/>
  <c r="E3307" i="1"/>
  <c r="A3308" i="1"/>
  <c r="B3308" i="1"/>
  <c r="C3308" i="1"/>
  <c r="D3308" i="1"/>
  <c r="E3308" i="1"/>
  <c r="A3309" i="1"/>
  <c r="B3309" i="1"/>
  <c r="C3309" i="1"/>
  <c r="D3309" i="1"/>
  <c r="E3309" i="1"/>
  <c r="A3310" i="1"/>
  <c r="B3310" i="1"/>
  <c r="C3310" i="1"/>
  <c r="D3310" i="1"/>
  <c r="E3310" i="1"/>
  <c r="A3311" i="1"/>
  <c r="B3311" i="1"/>
  <c r="C3311" i="1"/>
  <c r="D3311" i="1"/>
  <c r="E3311" i="1"/>
  <c r="A3312" i="1"/>
  <c r="B3312" i="1"/>
  <c r="C3312" i="1"/>
  <c r="D3312" i="1"/>
  <c r="E3312" i="1"/>
  <c r="A3313" i="1"/>
  <c r="B3313" i="1"/>
  <c r="C3313" i="1"/>
  <c r="D3313" i="1"/>
  <c r="E3313" i="1"/>
  <c r="A3314" i="1"/>
  <c r="B3314" i="1"/>
  <c r="C3314" i="1"/>
  <c r="D3314" i="1"/>
  <c r="E3314" i="1"/>
  <c r="A3315" i="1"/>
  <c r="B3315" i="1"/>
  <c r="C3315" i="1"/>
  <c r="D3315" i="1"/>
  <c r="E3315" i="1"/>
  <c r="A3316" i="1"/>
  <c r="B3316" i="1"/>
  <c r="C3316" i="1"/>
  <c r="D3316" i="1"/>
  <c r="E3316" i="1"/>
  <c r="A3317" i="1"/>
  <c r="B3317" i="1"/>
  <c r="C3317" i="1"/>
  <c r="D3317" i="1"/>
  <c r="E3317" i="1"/>
  <c r="A3318" i="1"/>
  <c r="B3318" i="1"/>
  <c r="C3318" i="1"/>
  <c r="D3318" i="1"/>
  <c r="E3318" i="1"/>
  <c r="A3319" i="1"/>
  <c r="B3319" i="1"/>
  <c r="C3319" i="1"/>
  <c r="D3319" i="1"/>
  <c r="E3319" i="1"/>
  <c r="A3320" i="1"/>
  <c r="B3320" i="1"/>
  <c r="C3320" i="1"/>
  <c r="D3320" i="1"/>
  <c r="E3320" i="1"/>
  <c r="A3321" i="1"/>
  <c r="B3321" i="1"/>
  <c r="C3321" i="1"/>
  <c r="D3321" i="1"/>
  <c r="E3321" i="1"/>
  <c r="A3322" i="1"/>
  <c r="B3322" i="1"/>
  <c r="C3322" i="1"/>
  <c r="D3322" i="1"/>
  <c r="E3322" i="1"/>
  <c r="A3323" i="1"/>
  <c r="B3323" i="1"/>
  <c r="C3323" i="1"/>
  <c r="D3323" i="1"/>
  <c r="E3323" i="1"/>
  <c r="A3324" i="1"/>
  <c r="B3324" i="1"/>
  <c r="C3324" i="1"/>
  <c r="D3324" i="1"/>
  <c r="E3324" i="1"/>
  <c r="A3325" i="1"/>
  <c r="B3325" i="1"/>
  <c r="C3325" i="1"/>
  <c r="D3325" i="1"/>
  <c r="E3325" i="1"/>
  <c r="A3326" i="1"/>
  <c r="B3326" i="1"/>
  <c r="C3326" i="1"/>
  <c r="D3326" i="1"/>
  <c r="E3326" i="1"/>
  <c r="A3327" i="1"/>
  <c r="B3327" i="1"/>
  <c r="C3327" i="1"/>
  <c r="D3327" i="1"/>
  <c r="E3327" i="1"/>
  <c r="A3328" i="1"/>
  <c r="B3328" i="1"/>
  <c r="C3328" i="1"/>
  <c r="D3328" i="1"/>
  <c r="E3328" i="1"/>
  <c r="A3329" i="1"/>
  <c r="B3329" i="1"/>
  <c r="C3329" i="1"/>
  <c r="D3329" i="1"/>
  <c r="E3329" i="1"/>
  <c r="A3330" i="1"/>
  <c r="B3330" i="1"/>
  <c r="C3330" i="1"/>
  <c r="D3330" i="1"/>
  <c r="E3330" i="1"/>
  <c r="A3331" i="1"/>
  <c r="B3331" i="1"/>
  <c r="C3331" i="1"/>
  <c r="D3331" i="1"/>
  <c r="E3331" i="1"/>
  <c r="A3332" i="1"/>
  <c r="B3332" i="1"/>
  <c r="C3332" i="1"/>
  <c r="D3332" i="1"/>
  <c r="E3332" i="1"/>
  <c r="A3333" i="1"/>
  <c r="B3333" i="1"/>
  <c r="C3333" i="1"/>
  <c r="D3333" i="1"/>
  <c r="E3333" i="1"/>
  <c r="A3334" i="1"/>
  <c r="B3334" i="1"/>
  <c r="C3334" i="1"/>
  <c r="D3334" i="1"/>
  <c r="E3334" i="1"/>
  <c r="A3335" i="1"/>
  <c r="B3335" i="1"/>
  <c r="C3335" i="1"/>
  <c r="D3335" i="1"/>
  <c r="E3335" i="1"/>
  <c r="A3336" i="1"/>
  <c r="B3336" i="1"/>
  <c r="C3336" i="1"/>
  <c r="D3336" i="1"/>
  <c r="E3336" i="1"/>
  <c r="A3337" i="1"/>
  <c r="B3337" i="1"/>
  <c r="C3337" i="1"/>
  <c r="D3337" i="1"/>
  <c r="E3337" i="1"/>
  <c r="A3338" i="1"/>
  <c r="B3338" i="1"/>
  <c r="C3338" i="1"/>
  <c r="D3338" i="1"/>
  <c r="E3338" i="1"/>
  <c r="A3339" i="1"/>
  <c r="B3339" i="1"/>
  <c r="C3339" i="1"/>
  <c r="D3339" i="1"/>
  <c r="E3339" i="1"/>
  <c r="A3340" i="1"/>
  <c r="B3340" i="1"/>
  <c r="C3340" i="1"/>
  <c r="D3340" i="1"/>
  <c r="E3340" i="1"/>
  <c r="A3341" i="1"/>
  <c r="B3341" i="1"/>
  <c r="C3341" i="1"/>
  <c r="D3341" i="1"/>
  <c r="E3341" i="1"/>
  <c r="A3342" i="1"/>
  <c r="B3342" i="1"/>
  <c r="C3342" i="1"/>
  <c r="D3342" i="1"/>
  <c r="E3342" i="1"/>
  <c r="A3343" i="1"/>
  <c r="B3343" i="1"/>
  <c r="C3343" i="1"/>
  <c r="D3343" i="1"/>
  <c r="E3343" i="1"/>
  <c r="A3344" i="1"/>
  <c r="B3344" i="1"/>
  <c r="C3344" i="1"/>
  <c r="D3344" i="1"/>
  <c r="E3344" i="1"/>
  <c r="A3345" i="1"/>
  <c r="B3345" i="1"/>
  <c r="C3345" i="1"/>
  <c r="D3345" i="1"/>
  <c r="E3345" i="1"/>
  <c r="A3346" i="1"/>
  <c r="B3346" i="1"/>
  <c r="C3346" i="1"/>
  <c r="D3346" i="1"/>
  <c r="E3346" i="1"/>
  <c r="A3347" i="1"/>
  <c r="B3347" i="1"/>
  <c r="C3347" i="1"/>
  <c r="D3347" i="1"/>
  <c r="E3347" i="1"/>
  <c r="A3348" i="1"/>
  <c r="B3348" i="1"/>
  <c r="C3348" i="1"/>
  <c r="D3348" i="1"/>
  <c r="E3348" i="1"/>
  <c r="A3349" i="1"/>
  <c r="B3349" i="1"/>
  <c r="C3349" i="1"/>
  <c r="D3349" i="1"/>
  <c r="E3349" i="1"/>
  <c r="A3350" i="1"/>
  <c r="B3350" i="1"/>
  <c r="C3350" i="1"/>
  <c r="D3350" i="1"/>
  <c r="E3350" i="1"/>
  <c r="A3351" i="1"/>
  <c r="B3351" i="1"/>
  <c r="C3351" i="1"/>
  <c r="D3351" i="1"/>
  <c r="E3351" i="1"/>
  <c r="A3352" i="1"/>
  <c r="B3352" i="1"/>
  <c r="C3352" i="1"/>
  <c r="D3352" i="1"/>
  <c r="E3352" i="1"/>
  <c r="A3353" i="1"/>
  <c r="B3353" i="1"/>
  <c r="C3353" i="1"/>
  <c r="D3353" i="1"/>
  <c r="E3353" i="1"/>
  <c r="A3354" i="1"/>
  <c r="B3354" i="1"/>
  <c r="C3354" i="1"/>
  <c r="D3354" i="1"/>
  <c r="E3354" i="1"/>
  <c r="A3355" i="1"/>
  <c r="B3355" i="1"/>
  <c r="C3355" i="1"/>
  <c r="D3355" i="1"/>
  <c r="E3355" i="1"/>
  <c r="A3356" i="1"/>
  <c r="B3356" i="1"/>
  <c r="C3356" i="1"/>
  <c r="D3356" i="1"/>
  <c r="E3356" i="1"/>
  <c r="A3357" i="1"/>
  <c r="B3357" i="1"/>
  <c r="C3357" i="1"/>
  <c r="D3357" i="1"/>
  <c r="E3357" i="1"/>
  <c r="A3358" i="1"/>
  <c r="B3358" i="1"/>
  <c r="C3358" i="1"/>
  <c r="D3358" i="1"/>
  <c r="E3358" i="1"/>
  <c r="A3359" i="1"/>
  <c r="B3359" i="1"/>
  <c r="C3359" i="1"/>
  <c r="D3359" i="1"/>
  <c r="E3359" i="1"/>
  <c r="A3360" i="1"/>
  <c r="B3360" i="1"/>
  <c r="C3360" i="1"/>
  <c r="D3360" i="1"/>
  <c r="E3360" i="1"/>
  <c r="A3361" i="1"/>
  <c r="B3361" i="1"/>
  <c r="C3361" i="1"/>
  <c r="D3361" i="1"/>
  <c r="E3361" i="1"/>
  <c r="A3362" i="1"/>
  <c r="B3362" i="1"/>
  <c r="C3362" i="1"/>
  <c r="D3362" i="1"/>
  <c r="E3362" i="1"/>
  <c r="A3363" i="1"/>
  <c r="B3363" i="1"/>
  <c r="C3363" i="1"/>
  <c r="D3363" i="1"/>
  <c r="E3363" i="1"/>
  <c r="A3364" i="1"/>
  <c r="B3364" i="1"/>
  <c r="C3364" i="1"/>
  <c r="D3364" i="1"/>
  <c r="E3364" i="1"/>
  <c r="A3365" i="1"/>
  <c r="B3365" i="1"/>
  <c r="C3365" i="1"/>
  <c r="D3365" i="1"/>
  <c r="E3365" i="1"/>
  <c r="A3366" i="1"/>
  <c r="B3366" i="1"/>
  <c r="C3366" i="1"/>
  <c r="D3366" i="1"/>
  <c r="E3366" i="1"/>
  <c r="A3367" i="1"/>
  <c r="B3367" i="1"/>
  <c r="C3367" i="1"/>
  <c r="D3367" i="1"/>
  <c r="E3367" i="1"/>
  <c r="A3368" i="1"/>
  <c r="B3368" i="1"/>
  <c r="C3368" i="1"/>
  <c r="D3368" i="1"/>
  <c r="E3368" i="1"/>
  <c r="A3369" i="1"/>
  <c r="B3369" i="1"/>
  <c r="C3369" i="1"/>
  <c r="D3369" i="1"/>
  <c r="E3369" i="1"/>
  <c r="A3370" i="1"/>
  <c r="B3370" i="1"/>
  <c r="C3370" i="1"/>
  <c r="D3370" i="1"/>
  <c r="E3370" i="1"/>
  <c r="A3371" i="1"/>
  <c r="B3371" i="1"/>
  <c r="C3371" i="1"/>
  <c r="D3371" i="1"/>
  <c r="E3371" i="1"/>
  <c r="A3372" i="1"/>
  <c r="B3372" i="1"/>
  <c r="C3372" i="1"/>
  <c r="D3372" i="1"/>
  <c r="E3372" i="1"/>
  <c r="A3373" i="1"/>
  <c r="B3373" i="1"/>
  <c r="C3373" i="1"/>
  <c r="D3373" i="1"/>
  <c r="E3373" i="1"/>
  <c r="A3374" i="1"/>
  <c r="B3374" i="1"/>
  <c r="C3374" i="1"/>
  <c r="D3374" i="1"/>
  <c r="E3374" i="1"/>
  <c r="A3375" i="1"/>
  <c r="B3375" i="1"/>
  <c r="C3375" i="1"/>
  <c r="D3375" i="1"/>
  <c r="E3375" i="1"/>
  <c r="A3376" i="1"/>
  <c r="B3376" i="1"/>
  <c r="C3376" i="1"/>
  <c r="D3376" i="1"/>
  <c r="E3376" i="1"/>
  <c r="A3377" i="1"/>
  <c r="B3377" i="1"/>
  <c r="C3377" i="1"/>
  <c r="D3377" i="1"/>
  <c r="E3377" i="1"/>
  <c r="A3378" i="1"/>
  <c r="B3378" i="1"/>
  <c r="C3378" i="1"/>
  <c r="D3378" i="1"/>
  <c r="E3378" i="1"/>
  <c r="A3379" i="1"/>
  <c r="B3379" i="1"/>
  <c r="C3379" i="1"/>
  <c r="D3379" i="1"/>
  <c r="E3379" i="1"/>
  <c r="A3380" i="1"/>
  <c r="B3380" i="1"/>
  <c r="C3380" i="1"/>
  <c r="D3380" i="1"/>
  <c r="E3380" i="1"/>
  <c r="A3381" i="1"/>
  <c r="B3381" i="1"/>
  <c r="C3381" i="1"/>
  <c r="D3381" i="1"/>
  <c r="E3381" i="1"/>
  <c r="A3382" i="1"/>
  <c r="B3382" i="1"/>
  <c r="C3382" i="1"/>
  <c r="D3382" i="1"/>
  <c r="E3382" i="1"/>
  <c r="A3383" i="1"/>
  <c r="B3383" i="1"/>
  <c r="C3383" i="1"/>
  <c r="D3383" i="1"/>
  <c r="E3383" i="1"/>
  <c r="A3384" i="1"/>
  <c r="B3384" i="1"/>
  <c r="C3384" i="1"/>
  <c r="D3384" i="1"/>
  <c r="E3384" i="1"/>
  <c r="A3385" i="1"/>
  <c r="B3385" i="1"/>
  <c r="C3385" i="1"/>
  <c r="D3385" i="1"/>
  <c r="E3385" i="1"/>
  <c r="A3386" i="1"/>
  <c r="B3386" i="1"/>
  <c r="C3386" i="1"/>
  <c r="D3386" i="1"/>
  <c r="E3386" i="1"/>
  <c r="A3387" i="1"/>
  <c r="B3387" i="1"/>
  <c r="C3387" i="1"/>
  <c r="D3387" i="1"/>
  <c r="E3387" i="1"/>
  <c r="A3388" i="1"/>
  <c r="B3388" i="1"/>
  <c r="C3388" i="1"/>
  <c r="D3388" i="1"/>
  <c r="E3388" i="1"/>
  <c r="A3389" i="1"/>
  <c r="B3389" i="1"/>
  <c r="C3389" i="1"/>
  <c r="D3389" i="1"/>
  <c r="E3389" i="1"/>
  <c r="A3390" i="1"/>
  <c r="B3390" i="1"/>
  <c r="C3390" i="1"/>
  <c r="D3390" i="1"/>
  <c r="E3390" i="1"/>
  <c r="A3391" i="1"/>
  <c r="B3391" i="1"/>
  <c r="C3391" i="1"/>
  <c r="D3391" i="1"/>
  <c r="E3391" i="1"/>
  <c r="A3392" i="1"/>
  <c r="B3392" i="1"/>
  <c r="C3392" i="1"/>
  <c r="D3392" i="1"/>
  <c r="E3392" i="1"/>
  <c r="A3393" i="1"/>
  <c r="B3393" i="1"/>
  <c r="C3393" i="1"/>
  <c r="D3393" i="1"/>
  <c r="E3393" i="1"/>
  <c r="A3394" i="1"/>
  <c r="B3394" i="1"/>
  <c r="C3394" i="1"/>
  <c r="D3394" i="1"/>
  <c r="E3394" i="1"/>
  <c r="A3395" i="1"/>
  <c r="B3395" i="1"/>
  <c r="C3395" i="1"/>
  <c r="D3395" i="1"/>
  <c r="E3395" i="1"/>
  <c r="A3396" i="1"/>
  <c r="B3396" i="1"/>
  <c r="C3396" i="1"/>
  <c r="D3396" i="1"/>
  <c r="E3396" i="1"/>
  <c r="A3397" i="1"/>
  <c r="B3397" i="1"/>
  <c r="C3397" i="1"/>
  <c r="D3397" i="1"/>
  <c r="E3397" i="1"/>
  <c r="A3398" i="1"/>
  <c r="B3398" i="1"/>
  <c r="C3398" i="1"/>
  <c r="D3398" i="1"/>
  <c r="E3398" i="1"/>
  <c r="A3399" i="1"/>
  <c r="B3399" i="1"/>
  <c r="C3399" i="1"/>
  <c r="D3399" i="1"/>
  <c r="E3399" i="1"/>
  <c r="A3400" i="1"/>
  <c r="B3400" i="1"/>
  <c r="C3400" i="1"/>
  <c r="D3400" i="1"/>
  <c r="E3400" i="1"/>
  <c r="A3401" i="1"/>
  <c r="B3401" i="1"/>
  <c r="C3401" i="1"/>
  <c r="D3401" i="1"/>
  <c r="E3401" i="1"/>
  <c r="A3402" i="1"/>
  <c r="B3402" i="1"/>
  <c r="C3402" i="1"/>
  <c r="D3402" i="1"/>
  <c r="E3402" i="1"/>
  <c r="A3403" i="1"/>
  <c r="B3403" i="1"/>
  <c r="C3403" i="1"/>
  <c r="D3403" i="1"/>
  <c r="E3403" i="1"/>
  <c r="A3404" i="1"/>
  <c r="B3404" i="1"/>
  <c r="C3404" i="1"/>
  <c r="D3404" i="1"/>
  <c r="E3404" i="1"/>
  <c r="A3405" i="1"/>
  <c r="B3405" i="1"/>
  <c r="C3405" i="1"/>
  <c r="D3405" i="1"/>
  <c r="E3405" i="1"/>
  <c r="A3406" i="1"/>
  <c r="B3406" i="1"/>
  <c r="C3406" i="1"/>
  <c r="D3406" i="1"/>
  <c r="E3406" i="1"/>
  <c r="A3407" i="1"/>
  <c r="B3407" i="1"/>
  <c r="C3407" i="1"/>
  <c r="D3407" i="1"/>
  <c r="E3407" i="1"/>
  <c r="A3408" i="1"/>
  <c r="B3408" i="1"/>
  <c r="C3408" i="1"/>
  <c r="D3408" i="1"/>
  <c r="E3408" i="1"/>
  <c r="A3409" i="1"/>
  <c r="B3409" i="1"/>
  <c r="C3409" i="1"/>
  <c r="D3409" i="1"/>
  <c r="E3409" i="1"/>
  <c r="A3410" i="1"/>
  <c r="B3410" i="1"/>
  <c r="C3410" i="1"/>
  <c r="D3410" i="1"/>
  <c r="E3410" i="1"/>
  <c r="A3411" i="1"/>
  <c r="B3411" i="1"/>
  <c r="C3411" i="1"/>
  <c r="D3411" i="1"/>
  <c r="E3411" i="1"/>
  <c r="A3412" i="1"/>
  <c r="B3412" i="1"/>
  <c r="C3412" i="1"/>
  <c r="D3412" i="1"/>
  <c r="E3412" i="1"/>
  <c r="A3413" i="1"/>
  <c r="B3413" i="1"/>
  <c r="C3413" i="1"/>
  <c r="D3413" i="1"/>
  <c r="E3413" i="1"/>
  <c r="A3414" i="1"/>
  <c r="B3414" i="1"/>
  <c r="C3414" i="1"/>
  <c r="D3414" i="1"/>
  <c r="E3414" i="1"/>
  <c r="A3415" i="1"/>
  <c r="B3415" i="1"/>
  <c r="C3415" i="1"/>
  <c r="D3415" i="1"/>
  <c r="E3415" i="1"/>
  <c r="A3416" i="1"/>
  <c r="B3416" i="1"/>
  <c r="C3416" i="1"/>
  <c r="D3416" i="1"/>
  <c r="E3416" i="1"/>
  <c r="A3417" i="1"/>
  <c r="B3417" i="1"/>
  <c r="C3417" i="1"/>
  <c r="D3417" i="1"/>
  <c r="E3417" i="1"/>
  <c r="A3418" i="1"/>
  <c r="B3418" i="1"/>
  <c r="C3418" i="1"/>
  <c r="D3418" i="1"/>
  <c r="E3418" i="1"/>
  <c r="A3419" i="1"/>
  <c r="B3419" i="1"/>
  <c r="C3419" i="1"/>
  <c r="D3419" i="1"/>
  <c r="E3419" i="1"/>
  <c r="A3420" i="1"/>
  <c r="B3420" i="1"/>
  <c r="C3420" i="1"/>
  <c r="D3420" i="1"/>
  <c r="E3420" i="1"/>
  <c r="A3421" i="1"/>
  <c r="B3421" i="1"/>
  <c r="C3421" i="1"/>
  <c r="D3421" i="1"/>
  <c r="E3421" i="1"/>
  <c r="A3422" i="1"/>
  <c r="B3422" i="1"/>
  <c r="C3422" i="1"/>
  <c r="D3422" i="1"/>
  <c r="E3422" i="1"/>
  <c r="A3423" i="1"/>
  <c r="B3423" i="1"/>
  <c r="C3423" i="1"/>
  <c r="D3423" i="1"/>
  <c r="E3423" i="1"/>
  <c r="A3424" i="1"/>
  <c r="B3424" i="1"/>
  <c r="C3424" i="1"/>
  <c r="D3424" i="1"/>
  <c r="E3424" i="1"/>
  <c r="A3425" i="1"/>
  <c r="B3425" i="1"/>
  <c r="C3425" i="1"/>
  <c r="D3425" i="1"/>
  <c r="E3425" i="1"/>
  <c r="A3426" i="1"/>
  <c r="B3426" i="1"/>
  <c r="C3426" i="1"/>
  <c r="D3426" i="1"/>
  <c r="E3426" i="1"/>
  <c r="A3427" i="1"/>
  <c r="B3427" i="1"/>
  <c r="C3427" i="1"/>
  <c r="D3427" i="1"/>
  <c r="E3427" i="1"/>
  <c r="A3428" i="1"/>
  <c r="B3428" i="1"/>
  <c r="C3428" i="1"/>
  <c r="D3428" i="1"/>
  <c r="E3428" i="1"/>
  <c r="A3429" i="1"/>
  <c r="B3429" i="1"/>
  <c r="C3429" i="1"/>
  <c r="D3429" i="1"/>
  <c r="E3429" i="1"/>
  <c r="A3430" i="1"/>
  <c r="B3430" i="1"/>
  <c r="C3430" i="1"/>
  <c r="D3430" i="1"/>
  <c r="E3430" i="1"/>
  <c r="A3431" i="1"/>
  <c r="B3431" i="1"/>
  <c r="C3431" i="1"/>
  <c r="D3431" i="1"/>
  <c r="E3431" i="1"/>
  <c r="A3432" i="1"/>
  <c r="B3432" i="1"/>
  <c r="C3432" i="1"/>
  <c r="D3432" i="1"/>
  <c r="E3432" i="1"/>
  <c r="A3433" i="1"/>
  <c r="B3433" i="1"/>
  <c r="C3433" i="1"/>
  <c r="D3433" i="1"/>
  <c r="E3433" i="1"/>
  <c r="A3434" i="1"/>
  <c r="B3434" i="1"/>
  <c r="C3434" i="1"/>
  <c r="D3434" i="1"/>
  <c r="E3434" i="1"/>
  <c r="A3435" i="1"/>
  <c r="B3435" i="1"/>
  <c r="C3435" i="1"/>
  <c r="D3435" i="1"/>
  <c r="E3435" i="1"/>
  <c r="A3436" i="1"/>
  <c r="B3436" i="1"/>
  <c r="C3436" i="1"/>
  <c r="D3436" i="1"/>
  <c r="E3436" i="1"/>
  <c r="A3437" i="1"/>
  <c r="B3437" i="1"/>
  <c r="C3437" i="1"/>
  <c r="D3437" i="1"/>
  <c r="E3437" i="1"/>
  <c r="A3438" i="1"/>
  <c r="B3438" i="1"/>
  <c r="C3438" i="1"/>
  <c r="D3438" i="1"/>
  <c r="E3438" i="1"/>
  <c r="A3439" i="1"/>
  <c r="B3439" i="1"/>
  <c r="C3439" i="1"/>
  <c r="D3439" i="1"/>
  <c r="E3439" i="1"/>
  <c r="A3440" i="1"/>
  <c r="B3440" i="1"/>
  <c r="C3440" i="1"/>
  <c r="D3440" i="1"/>
  <c r="E3440" i="1"/>
  <c r="A3441" i="1"/>
  <c r="B3441" i="1"/>
  <c r="C3441" i="1"/>
  <c r="D3441" i="1"/>
  <c r="E3441" i="1"/>
  <c r="A3442" i="1"/>
  <c r="B3442" i="1"/>
  <c r="C3442" i="1"/>
  <c r="D3442" i="1"/>
  <c r="E3442" i="1"/>
  <c r="A3443" i="1"/>
  <c r="B3443" i="1"/>
  <c r="C3443" i="1"/>
  <c r="D3443" i="1"/>
  <c r="E3443" i="1"/>
  <c r="A3444" i="1"/>
  <c r="B3444" i="1"/>
  <c r="C3444" i="1"/>
  <c r="D3444" i="1"/>
  <c r="E3444" i="1"/>
  <c r="A3445" i="1"/>
  <c r="B3445" i="1"/>
  <c r="C3445" i="1"/>
  <c r="D3445" i="1"/>
  <c r="E3445" i="1"/>
  <c r="A3446" i="1"/>
  <c r="B3446" i="1"/>
  <c r="C3446" i="1"/>
  <c r="D3446" i="1"/>
  <c r="E3446" i="1"/>
  <c r="A3447" i="1"/>
  <c r="B3447" i="1"/>
  <c r="C3447" i="1"/>
  <c r="D3447" i="1"/>
  <c r="E3447" i="1"/>
  <c r="A3448" i="1"/>
  <c r="B3448" i="1"/>
  <c r="C3448" i="1"/>
  <c r="D3448" i="1"/>
  <c r="E3448" i="1"/>
  <c r="A3449" i="1"/>
  <c r="B3449" i="1"/>
  <c r="C3449" i="1"/>
  <c r="D3449" i="1"/>
  <c r="E3449" i="1"/>
  <c r="A3450" i="1"/>
  <c r="B3450" i="1"/>
  <c r="C3450" i="1"/>
  <c r="D3450" i="1"/>
  <c r="E3450" i="1"/>
  <c r="A3451" i="1"/>
  <c r="B3451" i="1"/>
  <c r="C3451" i="1"/>
  <c r="D3451" i="1"/>
  <c r="E3451" i="1"/>
  <c r="A3452" i="1"/>
  <c r="B3452" i="1"/>
  <c r="C3452" i="1"/>
  <c r="D3452" i="1"/>
  <c r="E3452" i="1"/>
  <c r="A3453" i="1"/>
  <c r="B3453" i="1"/>
  <c r="C3453" i="1"/>
  <c r="D3453" i="1"/>
  <c r="E3453" i="1"/>
  <c r="A3454" i="1"/>
  <c r="B3454" i="1"/>
  <c r="C3454" i="1"/>
  <c r="D3454" i="1"/>
  <c r="E3454" i="1"/>
  <c r="A3455" i="1"/>
  <c r="B3455" i="1"/>
  <c r="C3455" i="1"/>
  <c r="D3455" i="1"/>
  <c r="E3455" i="1"/>
  <c r="A3456" i="1"/>
  <c r="B3456" i="1"/>
  <c r="C3456" i="1"/>
  <c r="D3456" i="1"/>
  <c r="E3456" i="1"/>
  <c r="A3457" i="1"/>
  <c r="B3457" i="1"/>
  <c r="C3457" i="1"/>
  <c r="D3457" i="1"/>
  <c r="E3457" i="1"/>
  <c r="A3458" i="1"/>
  <c r="B3458" i="1"/>
  <c r="C3458" i="1"/>
  <c r="D3458" i="1"/>
  <c r="E3458" i="1"/>
  <c r="A3459" i="1"/>
  <c r="B3459" i="1"/>
  <c r="C3459" i="1"/>
  <c r="D3459" i="1"/>
  <c r="E3459" i="1"/>
  <c r="A3460" i="1"/>
  <c r="B3460" i="1"/>
  <c r="C3460" i="1"/>
  <c r="D3460" i="1"/>
  <c r="E3460" i="1"/>
  <c r="A3461" i="1"/>
  <c r="B3461" i="1"/>
  <c r="C3461" i="1"/>
  <c r="D3461" i="1"/>
  <c r="E3461" i="1"/>
  <c r="A3462" i="1"/>
  <c r="B3462" i="1"/>
  <c r="C3462" i="1"/>
  <c r="D3462" i="1"/>
  <c r="E3462" i="1"/>
  <c r="A3463" i="1"/>
  <c r="B3463" i="1"/>
  <c r="C3463" i="1"/>
  <c r="D3463" i="1"/>
  <c r="E3463" i="1"/>
  <c r="A3464" i="1"/>
  <c r="B3464" i="1"/>
  <c r="C3464" i="1"/>
  <c r="D3464" i="1"/>
  <c r="E3464" i="1"/>
  <c r="A3465" i="1"/>
  <c r="B3465" i="1"/>
  <c r="C3465" i="1"/>
  <c r="D3465" i="1"/>
  <c r="E3465" i="1"/>
  <c r="A3466" i="1"/>
  <c r="B3466" i="1"/>
  <c r="C3466" i="1"/>
  <c r="D3466" i="1"/>
  <c r="E3466" i="1"/>
  <c r="A3467" i="1"/>
  <c r="B3467" i="1"/>
  <c r="C3467" i="1"/>
  <c r="D3467" i="1"/>
  <c r="E3467" i="1"/>
  <c r="A3468" i="1"/>
  <c r="B3468" i="1"/>
  <c r="C3468" i="1"/>
  <c r="D3468" i="1"/>
  <c r="E3468" i="1"/>
  <c r="A3469" i="1"/>
  <c r="B3469" i="1"/>
  <c r="C3469" i="1"/>
  <c r="D3469" i="1"/>
  <c r="E3469" i="1"/>
  <c r="A3470" i="1"/>
  <c r="B3470" i="1"/>
  <c r="C3470" i="1"/>
  <c r="D3470" i="1"/>
  <c r="E3470" i="1"/>
  <c r="A3471" i="1"/>
  <c r="B3471" i="1"/>
  <c r="C3471" i="1"/>
  <c r="D3471" i="1"/>
  <c r="E3471" i="1"/>
  <c r="A3472" i="1"/>
  <c r="B3472" i="1"/>
  <c r="C3472" i="1"/>
  <c r="D3472" i="1"/>
  <c r="E3472" i="1"/>
  <c r="A3473" i="1"/>
  <c r="B3473" i="1"/>
  <c r="C3473" i="1"/>
  <c r="D3473" i="1"/>
  <c r="E3473" i="1"/>
  <c r="A3474" i="1"/>
  <c r="B3474" i="1"/>
  <c r="C3474" i="1"/>
  <c r="D3474" i="1"/>
  <c r="E3474" i="1"/>
  <c r="A3475" i="1"/>
  <c r="B3475" i="1"/>
  <c r="C3475" i="1"/>
  <c r="D3475" i="1"/>
  <c r="E3475" i="1"/>
  <c r="A3476" i="1"/>
  <c r="B3476" i="1"/>
  <c r="C3476" i="1"/>
  <c r="D3476" i="1"/>
  <c r="E3476" i="1"/>
  <c r="A3477" i="1"/>
  <c r="B3477" i="1"/>
  <c r="C3477" i="1"/>
  <c r="D3477" i="1"/>
  <c r="E3477" i="1"/>
  <c r="A3478" i="1"/>
  <c r="B3478" i="1"/>
  <c r="C3478" i="1"/>
  <c r="D3478" i="1"/>
  <c r="E3478" i="1"/>
  <c r="A3479" i="1"/>
  <c r="B3479" i="1"/>
  <c r="C3479" i="1"/>
  <c r="D3479" i="1"/>
  <c r="E3479" i="1"/>
  <c r="A3480" i="1"/>
  <c r="B3480" i="1"/>
  <c r="C3480" i="1"/>
  <c r="D3480" i="1"/>
  <c r="E3480" i="1"/>
  <c r="A3481" i="1"/>
  <c r="B3481" i="1"/>
  <c r="C3481" i="1"/>
  <c r="D3481" i="1"/>
  <c r="E3481" i="1"/>
  <c r="A3482" i="1"/>
  <c r="B3482" i="1"/>
  <c r="C3482" i="1"/>
  <c r="D3482" i="1"/>
  <c r="E3482" i="1"/>
  <c r="A3483" i="1"/>
  <c r="B3483" i="1"/>
  <c r="C3483" i="1"/>
  <c r="D3483" i="1"/>
  <c r="E3483" i="1"/>
  <c r="A3484" i="1"/>
  <c r="B3484" i="1"/>
  <c r="C3484" i="1"/>
  <c r="D3484" i="1"/>
  <c r="E3484" i="1"/>
  <c r="A3485" i="1"/>
  <c r="B3485" i="1"/>
  <c r="C3485" i="1"/>
  <c r="D3485" i="1"/>
  <c r="E3485" i="1"/>
  <c r="A3486" i="1"/>
  <c r="B3486" i="1"/>
  <c r="C3486" i="1"/>
  <c r="D3486" i="1"/>
  <c r="E3486" i="1"/>
  <c r="A3487" i="1"/>
  <c r="B3487" i="1"/>
  <c r="C3487" i="1"/>
  <c r="D3487" i="1"/>
  <c r="E3487" i="1"/>
  <c r="A3488" i="1"/>
  <c r="B3488" i="1"/>
  <c r="C3488" i="1"/>
  <c r="D3488" i="1"/>
  <c r="E3488" i="1"/>
  <c r="A3489" i="1"/>
  <c r="B3489" i="1"/>
  <c r="C3489" i="1"/>
  <c r="D3489" i="1"/>
  <c r="E3489" i="1"/>
  <c r="A3490" i="1"/>
  <c r="B3490" i="1"/>
  <c r="C3490" i="1"/>
  <c r="D3490" i="1"/>
  <c r="E3490" i="1"/>
  <c r="A3491" i="1"/>
  <c r="B3491" i="1"/>
  <c r="C3491" i="1"/>
  <c r="D3491" i="1"/>
  <c r="E3491" i="1"/>
  <c r="A3492" i="1"/>
  <c r="B3492" i="1"/>
  <c r="C3492" i="1"/>
  <c r="D3492" i="1"/>
  <c r="E3492" i="1"/>
  <c r="A3493" i="1"/>
  <c r="B3493" i="1"/>
  <c r="C3493" i="1"/>
  <c r="D3493" i="1"/>
  <c r="E3493" i="1"/>
  <c r="A3494" i="1"/>
  <c r="B3494" i="1"/>
  <c r="C3494" i="1"/>
  <c r="D3494" i="1"/>
  <c r="E3494" i="1"/>
  <c r="A3495" i="1"/>
  <c r="B3495" i="1"/>
  <c r="C3495" i="1"/>
  <c r="D3495" i="1"/>
  <c r="E3495" i="1"/>
  <c r="A3496" i="1"/>
  <c r="B3496" i="1"/>
  <c r="C3496" i="1"/>
  <c r="D3496" i="1"/>
  <c r="E3496" i="1"/>
  <c r="A3497" i="1"/>
  <c r="B3497" i="1"/>
  <c r="C3497" i="1"/>
  <c r="D3497" i="1"/>
  <c r="E3497" i="1"/>
  <c r="A3498" i="1"/>
  <c r="B3498" i="1"/>
  <c r="C3498" i="1"/>
  <c r="D3498" i="1"/>
  <c r="E3498" i="1"/>
  <c r="A3499" i="1"/>
  <c r="B3499" i="1"/>
  <c r="C3499" i="1"/>
  <c r="D3499" i="1"/>
  <c r="E3499" i="1"/>
  <c r="A3500" i="1"/>
  <c r="B3500" i="1"/>
  <c r="C3500" i="1"/>
  <c r="D3500" i="1"/>
  <c r="E3500" i="1"/>
  <c r="A3501" i="1"/>
  <c r="B3501" i="1"/>
  <c r="C3501" i="1"/>
  <c r="D3501" i="1"/>
  <c r="E3501" i="1"/>
  <c r="A3502" i="1"/>
  <c r="B3502" i="1"/>
  <c r="C3502" i="1"/>
  <c r="D3502" i="1"/>
  <c r="E3502" i="1"/>
  <c r="A3503" i="1"/>
  <c r="B3503" i="1"/>
  <c r="C3503" i="1"/>
  <c r="D3503" i="1"/>
  <c r="E3503" i="1"/>
  <c r="A3504" i="1"/>
  <c r="B3504" i="1"/>
  <c r="C3504" i="1"/>
  <c r="D3504" i="1"/>
  <c r="E3504" i="1"/>
  <c r="A3505" i="1"/>
  <c r="B3505" i="1"/>
  <c r="C3505" i="1"/>
  <c r="D3505" i="1"/>
  <c r="E3505" i="1"/>
  <c r="A3506" i="1"/>
  <c r="B3506" i="1"/>
  <c r="C3506" i="1"/>
  <c r="D3506" i="1"/>
  <c r="E3506" i="1"/>
  <c r="A3507" i="1"/>
  <c r="B3507" i="1"/>
  <c r="C3507" i="1"/>
  <c r="D3507" i="1"/>
  <c r="E3507" i="1"/>
  <c r="A3508" i="1"/>
  <c r="B3508" i="1"/>
  <c r="C3508" i="1"/>
  <c r="D3508" i="1"/>
  <c r="E3508" i="1"/>
  <c r="A3509" i="1"/>
  <c r="B3509" i="1"/>
  <c r="C3509" i="1"/>
  <c r="D3509" i="1"/>
  <c r="E3509" i="1"/>
  <c r="A3510" i="1"/>
  <c r="B3510" i="1"/>
  <c r="C3510" i="1"/>
  <c r="D3510" i="1"/>
  <c r="E3510" i="1"/>
  <c r="A3511" i="1"/>
  <c r="B3511" i="1"/>
  <c r="C3511" i="1"/>
  <c r="D3511" i="1"/>
  <c r="E3511" i="1"/>
  <c r="A3512" i="1"/>
  <c r="B3512" i="1"/>
  <c r="C3512" i="1"/>
  <c r="D3512" i="1"/>
  <c r="E3512" i="1"/>
  <c r="A3513" i="1"/>
  <c r="B3513" i="1"/>
  <c r="C3513" i="1"/>
  <c r="D3513" i="1"/>
  <c r="E3513" i="1"/>
  <c r="A3514" i="1"/>
  <c r="B3514" i="1"/>
  <c r="C3514" i="1"/>
  <c r="D3514" i="1"/>
  <c r="E3514" i="1"/>
  <c r="A3515" i="1"/>
  <c r="B3515" i="1"/>
  <c r="C3515" i="1"/>
  <c r="D3515" i="1"/>
  <c r="E3515" i="1"/>
  <c r="A3516" i="1"/>
  <c r="B3516" i="1"/>
  <c r="C3516" i="1"/>
  <c r="D3516" i="1"/>
  <c r="E3516" i="1"/>
  <c r="A3517" i="1"/>
  <c r="B3517" i="1"/>
  <c r="C3517" i="1"/>
  <c r="D3517" i="1"/>
  <c r="E3517" i="1"/>
  <c r="A3518" i="1"/>
  <c r="B3518" i="1"/>
  <c r="C3518" i="1"/>
  <c r="D3518" i="1"/>
  <c r="E3518" i="1"/>
  <c r="A3519" i="1"/>
  <c r="B3519" i="1"/>
  <c r="C3519" i="1"/>
  <c r="D3519" i="1"/>
  <c r="E3519" i="1"/>
  <c r="A3520" i="1"/>
  <c r="B3520" i="1"/>
  <c r="C3520" i="1"/>
  <c r="D3520" i="1"/>
  <c r="E3520" i="1"/>
  <c r="A3521" i="1"/>
  <c r="B3521" i="1"/>
  <c r="C3521" i="1"/>
  <c r="D3521" i="1"/>
  <c r="E3521" i="1"/>
  <c r="A3522" i="1"/>
  <c r="B3522" i="1"/>
  <c r="C3522" i="1"/>
  <c r="D3522" i="1"/>
  <c r="E3522" i="1"/>
  <c r="A3523" i="1"/>
  <c r="B3523" i="1"/>
  <c r="C3523" i="1"/>
  <c r="D3523" i="1"/>
  <c r="E3523" i="1"/>
  <c r="A3524" i="1"/>
  <c r="B3524" i="1"/>
  <c r="C3524" i="1"/>
  <c r="D3524" i="1"/>
  <c r="E3524" i="1"/>
  <c r="A3525" i="1"/>
  <c r="B3525" i="1"/>
  <c r="C3525" i="1"/>
  <c r="D3525" i="1"/>
  <c r="E3525" i="1"/>
  <c r="A3526" i="1"/>
  <c r="B3526" i="1"/>
  <c r="C3526" i="1"/>
  <c r="D3526" i="1"/>
  <c r="E3526" i="1"/>
  <c r="A3527" i="1"/>
  <c r="B3527" i="1"/>
  <c r="C3527" i="1"/>
  <c r="D3527" i="1"/>
  <c r="E3527" i="1"/>
  <c r="A3528" i="1"/>
  <c r="B3528" i="1"/>
  <c r="C3528" i="1"/>
  <c r="D3528" i="1"/>
  <c r="E3528" i="1"/>
  <c r="A3529" i="1"/>
  <c r="B3529" i="1"/>
  <c r="C3529" i="1"/>
  <c r="D3529" i="1"/>
  <c r="E3529" i="1"/>
  <c r="A3530" i="1"/>
  <c r="B3530" i="1"/>
  <c r="C3530" i="1"/>
  <c r="D3530" i="1"/>
  <c r="E3530" i="1"/>
  <c r="A3531" i="1"/>
  <c r="B3531" i="1"/>
  <c r="C3531" i="1"/>
  <c r="D3531" i="1"/>
  <c r="E3531" i="1"/>
  <c r="A3532" i="1"/>
  <c r="B3532" i="1"/>
  <c r="C3532" i="1"/>
  <c r="D3532" i="1"/>
  <c r="E3532" i="1"/>
  <c r="A3533" i="1"/>
  <c r="B3533" i="1"/>
  <c r="C3533" i="1"/>
  <c r="D3533" i="1"/>
  <c r="E3533" i="1"/>
  <c r="A3534" i="1"/>
  <c r="B3534" i="1"/>
  <c r="C3534" i="1"/>
  <c r="D3534" i="1"/>
  <c r="E3534" i="1"/>
  <c r="A3535" i="1"/>
  <c r="B3535" i="1"/>
  <c r="C3535" i="1"/>
  <c r="D3535" i="1"/>
  <c r="E3535" i="1"/>
  <c r="A3536" i="1"/>
  <c r="B3536" i="1"/>
  <c r="C3536" i="1"/>
  <c r="D3536" i="1"/>
  <c r="E3536" i="1"/>
  <c r="A3537" i="1"/>
  <c r="B3537" i="1"/>
  <c r="C3537" i="1"/>
  <c r="D3537" i="1"/>
  <c r="E3537" i="1"/>
  <c r="A3538" i="1"/>
  <c r="B3538" i="1"/>
  <c r="C3538" i="1"/>
  <c r="D3538" i="1"/>
  <c r="E3538" i="1"/>
  <c r="A3539" i="1"/>
  <c r="B3539" i="1"/>
  <c r="C3539" i="1"/>
  <c r="D3539" i="1"/>
  <c r="E3539" i="1"/>
  <c r="A3540" i="1"/>
  <c r="B3540" i="1"/>
  <c r="C3540" i="1"/>
  <c r="D3540" i="1"/>
  <c r="E3540" i="1"/>
  <c r="A3541" i="1"/>
  <c r="B3541" i="1"/>
  <c r="C3541" i="1"/>
  <c r="D3541" i="1"/>
  <c r="E3541" i="1"/>
  <c r="A3542" i="1"/>
  <c r="B3542" i="1"/>
  <c r="C3542" i="1"/>
  <c r="D3542" i="1"/>
  <c r="E3542" i="1"/>
  <c r="A3543" i="1"/>
  <c r="B3543" i="1"/>
  <c r="C3543" i="1"/>
  <c r="D3543" i="1"/>
  <c r="E3543" i="1"/>
  <c r="A3544" i="1"/>
  <c r="B3544" i="1"/>
  <c r="C3544" i="1"/>
  <c r="D3544" i="1"/>
  <c r="E3544" i="1"/>
  <c r="A3545" i="1"/>
  <c r="B3545" i="1"/>
  <c r="C3545" i="1"/>
  <c r="D3545" i="1"/>
  <c r="E3545" i="1"/>
  <c r="A3546" i="1"/>
  <c r="B3546" i="1"/>
  <c r="C3546" i="1"/>
  <c r="D3546" i="1"/>
  <c r="E3546" i="1"/>
  <c r="A3547" i="1"/>
  <c r="B3547" i="1"/>
  <c r="C3547" i="1"/>
  <c r="D3547" i="1"/>
  <c r="E3547" i="1"/>
  <c r="A3548" i="1"/>
  <c r="B3548" i="1"/>
  <c r="C3548" i="1"/>
  <c r="D3548" i="1"/>
  <c r="E3548" i="1"/>
  <c r="A3549" i="1"/>
  <c r="B3549" i="1"/>
  <c r="C3549" i="1"/>
  <c r="D3549" i="1"/>
  <c r="E3549" i="1"/>
  <c r="A3550" i="1"/>
  <c r="B3550" i="1"/>
  <c r="C3550" i="1"/>
  <c r="D3550" i="1"/>
  <c r="E3550" i="1"/>
  <c r="A3551" i="1"/>
  <c r="B3551" i="1"/>
  <c r="C3551" i="1"/>
  <c r="D3551" i="1"/>
  <c r="E3551" i="1"/>
  <c r="A3552" i="1"/>
  <c r="B3552" i="1"/>
  <c r="C3552" i="1"/>
  <c r="D3552" i="1"/>
  <c r="E3552" i="1"/>
  <c r="A3553" i="1"/>
  <c r="B3553" i="1"/>
  <c r="C3553" i="1"/>
  <c r="D3553" i="1"/>
  <c r="E3553" i="1"/>
  <c r="A3554" i="1"/>
  <c r="B3554" i="1"/>
  <c r="C3554" i="1"/>
  <c r="D3554" i="1"/>
  <c r="E3554" i="1"/>
  <c r="A3555" i="1"/>
  <c r="B3555" i="1"/>
  <c r="C3555" i="1"/>
  <c r="D3555" i="1"/>
  <c r="E3555" i="1"/>
  <c r="A3556" i="1"/>
  <c r="B3556" i="1"/>
  <c r="C3556" i="1"/>
  <c r="D3556" i="1"/>
  <c r="E3556" i="1"/>
  <c r="A3557" i="1"/>
  <c r="B3557" i="1"/>
  <c r="C3557" i="1"/>
  <c r="D3557" i="1"/>
  <c r="E3557" i="1"/>
  <c r="A3558" i="1"/>
  <c r="B3558" i="1"/>
  <c r="C3558" i="1"/>
  <c r="D3558" i="1"/>
  <c r="E3558" i="1"/>
  <c r="A3559" i="1"/>
  <c r="B3559" i="1"/>
  <c r="C3559" i="1"/>
  <c r="D3559" i="1"/>
  <c r="E3559" i="1"/>
  <c r="A3560" i="1"/>
  <c r="B3560" i="1"/>
  <c r="C3560" i="1"/>
  <c r="D3560" i="1"/>
  <c r="E3560" i="1"/>
  <c r="A3561" i="1"/>
  <c r="B3561" i="1"/>
  <c r="C3561" i="1"/>
  <c r="D3561" i="1"/>
  <c r="E3561" i="1"/>
  <c r="A3562" i="1"/>
  <c r="B3562" i="1"/>
  <c r="C3562" i="1"/>
  <c r="D3562" i="1"/>
  <c r="E3562" i="1"/>
  <c r="A3563" i="1"/>
  <c r="B3563" i="1"/>
  <c r="C3563" i="1"/>
  <c r="D3563" i="1"/>
  <c r="E3563" i="1"/>
  <c r="A3564" i="1"/>
  <c r="B3564" i="1"/>
  <c r="C3564" i="1"/>
  <c r="D3564" i="1"/>
  <c r="E3564" i="1"/>
  <c r="A3565" i="1"/>
  <c r="B3565" i="1"/>
  <c r="C3565" i="1"/>
  <c r="D3565" i="1"/>
  <c r="E3565" i="1"/>
  <c r="A3566" i="1"/>
  <c r="B3566" i="1"/>
  <c r="C3566" i="1"/>
  <c r="D3566" i="1"/>
  <c r="E3566" i="1"/>
  <c r="A3567" i="1"/>
  <c r="B3567" i="1"/>
  <c r="C3567" i="1"/>
  <c r="D3567" i="1"/>
  <c r="E3567" i="1"/>
  <c r="A3568" i="1"/>
  <c r="B3568" i="1"/>
  <c r="C3568" i="1"/>
  <c r="D3568" i="1"/>
  <c r="E3568" i="1"/>
  <c r="A3569" i="1"/>
  <c r="B3569" i="1"/>
  <c r="C3569" i="1"/>
  <c r="D3569" i="1"/>
  <c r="E3569" i="1"/>
  <c r="A3570" i="1"/>
  <c r="B3570" i="1"/>
  <c r="C3570" i="1"/>
  <c r="D3570" i="1"/>
  <c r="E3570" i="1"/>
  <c r="A3571" i="1"/>
  <c r="B3571" i="1"/>
  <c r="C3571" i="1"/>
  <c r="D3571" i="1"/>
  <c r="E3571" i="1"/>
  <c r="A3572" i="1"/>
  <c r="B3572" i="1"/>
  <c r="C3572" i="1"/>
  <c r="D3572" i="1"/>
  <c r="E3572" i="1"/>
  <c r="A3573" i="1"/>
  <c r="B3573" i="1"/>
  <c r="C3573" i="1"/>
  <c r="D3573" i="1"/>
  <c r="E3573" i="1"/>
  <c r="A3574" i="1"/>
  <c r="B3574" i="1"/>
  <c r="C3574" i="1"/>
  <c r="D3574" i="1"/>
  <c r="E3574" i="1"/>
  <c r="A3575" i="1"/>
  <c r="B3575" i="1"/>
  <c r="C3575" i="1"/>
  <c r="D3575" i="1"/>
  <c r="E3575" i="1"/>
  <c r="A3576" i="1"/>
  <c r="B3576" i="1"/>
  <c r="C3576" i="1"/>
  <c r="D3576" i="1"/>
  <c r="E3576" i="1"/>
  <c r="A3577" i="1"/>
  <c r="B3577" i="1"/>
  <c r="C3577" i="1"/>
  <c r="D3577" i="1"/>
  <c r="E3577" i="1"/>
  <c r="A3578" i="1"/>
  <c r="B3578" i="1"/>
  <c r="C3578" i="1"/>
  <c r="D3578" i="1"/>
  <c r="E3578" i="1"/>
  <c r="A3579" i="1"/>
  <c r="B3579" i="1"/>
  <c r="C3579" i="1"/>
  <c r="D3579" i="1"/>
  <c r="E3579" i="1"/>
  <c r="A3580" i="1"/>
  <c r="B3580" i="1"/>
  <c r="C3580" i="1"/>
  <c r="D3580" i="1"/>
  <c r="E3580" i="1"/>
  <c r="A3581" i="1"/>
  <c r="B3581" i="1"/>
  <c r="C3581" i="1"/>
  <c r="D3581" i="1"/>
  <c r="E3581" i="1"/>
  <c r="A3582" i="1"/>
  <c r="B3582" i="1"/>
  <c r="C3582" i="1"/>
  <c r="D3582" i="1"/>
  <c r="E3582" i="1"/>
  <c r="A3583" i="1"/>
  <c r="B3583" i="1"/>
  <c r="C3583" i="1"/>
  <c r="D3583" i="1"/>
  <c r="E3583" i="1"/>
  <c r="A3584" i="1"/>
  <c r="B3584" i="1"/>
  <c r="C3584" i="1"/>
  <c r="D3584" i="1"/>
  <c r="E3584" i="1"/>
  <c r="A3585" i="1"/>
  <c r="B3585" i="1"/>
  <c r="C3585" i="1"/>
  <c r="D3585" i="1"/>
  <c r="E3585" i="1"/>
  <c r="A3586" i="1"/>
  <c r="B3586" i="1"/>
  <c r="C3586" i="1"/>
  <c r="D3586" i="1"/>
  <c r="E3586" i="1"/>
  <c r="A3587" i="1"/>
  <c r="B3587" i="1"/>
  <c r="C3587" i="1"/>
  <c r="D3587" i="1"/>
  <c r="E3587" i="1"/>
  <c r="A3588" i="1"/>
  <c r="B3588" i="1"/>
  <c r="C3588" i="1"/>
  <c r="D3588" i="1"/>
  <c r="E3588" i="1"/>
  <c r="A3589" i="1"/>
  <c r="B3589" i="1"/>
  <c r="C3589" i="1"/>
  <c r="D3589" i="1"/>
  <c r="E3589" i="1"/>
  <c r="A3590" i="1"/>
  <c r="B3590" i="1"/>
  <c r="C3590" i="1"/>
  <c r="D3590" i="1"/>
  <c r="E3590" i="1"/>
  <c r="A3591" i="1"/>
  <c r="B3591" i="1"/>
  <c r="C3591" i="1"/>
  <c r="D3591" i="1"/>
  <c r="E3591" i="1"/>
  <c r="A3592" i="1"/>
  <c r="B3592" i="1"/>
  <c r="C3592" i="1"/>
  <c r="D3592" i="1"/>
  <c r="E3592" i="1"/>
  <c r="A3593" i="1"/>
  <c r="B3593" i="1"/>
  <c r="C3593" i="1"/>
  <c r="D3593" i="1"/>
  <c r="E3593" i="1"/>
  <c r="A3594" i="1"/>
  <c r="B3594" i="1"/>
  <c r="C3594" i="1"/>
  <c r="D3594" i="1"/>
  <c r="E3594" i="1"/>
  <c r="A3595" i="1"/>
  <c r="B3595" i="1"/>
  <c r="C3595" i="1"/>
  <c r="D3595" i="1"/>
  <c r="E3595" i="1"/>
  <c r="A3596" i="1"/>
  <c r="B3596" i="1"/>
  <c r="C3596" i="1"/>
  <c r="D3596" i="1"/>
  <c r="E3596" i="1"/>
  <c r="A3597" i="1"/>
  <c r="B3597" i="1"/>
  <c r="C3597" i="1"/>
  <c r="D3597" i="1"/>
  <c r="E3597" i="1"/>
  <c r="A3598" i="1"/>
  <c r="B3598" i="1"/>
  <c r="C3598" i="1"/>
  <c r="D3598" i="1"/>
  <c r="E3598" i="1"/>
  <c r="A3599" i="1"/>
  <c r="B3599" i="1"/>
  <c r="C3599" i="1"/>
  <c r="D3599" i="1"/>
  <c r="E3599" i="1"/>
  <c r="A3600" i="1"/>
  <c r="B3600" i="1"/>
  <c r="C3600" i="1"/>
  <c r="D3600" i="1"/>
  <c r="E3600" i="1"/>
  <c r="A3601" i="1"/>
  <c r="B3601" i="1"/>
  <c r="C3601" i="1"/>
  <c r="D3601" i="1"/>
  <c r="E3601" i="1"/>
  <c r="A3602" i="1"/>
  <c r="B3602" i="1"/>
  <c r="C3602" i="1"/>
  <c r="D3602" i="1"/>
  <c r="E3602" i="1"/>
  <c r="A3603" i="1"/>
  <c r="B3603" i="1"/>
  <c r="C3603" i="1"/>
  <c r="D3603" i="1"/>
  <c r="E3603" i="1"/>
  <c r="A3604" i="1"/>
  <c r="B3604" i="1"/>
  <c r="C3604" i="1"/>
  <c r="D3604" i="1"/>
  <c r="E3604" i="1"/>
  <c r="A3605" i="1"/>
  <c r="B3605" i="1"/>
  <c r="C3605" i="1"/>
  <c r="D3605" i="1"/>
  <c r="E3605" i="1"/>
  <c r="A3606" i="1"/>
  <c r="B3606" i="1"/>
  <c r="C3606" i="1"/>
  <c r="D3606" i="1"/>
  <c r="E3606" i="1"/>
  <c r="A3607" i="1"/>
  <c r="B3607" i="1"/>
  <c r="C3607" i="1"/>
  <c r="D3607" i="1"/>
  <c r="E3607" i="1"/>
  <c r="A3608" i="1"/>
  <c r="B3608" i="1"/>
  <c r="C3608" i="1"/>
  <c r="D3608" i="1"/>
  <c r="E3608" i="1"/>
  <c r="A3609" i="1"/>
  <c r="B3609" i="1"/>
  <c r="C3609" i="1"/>
  <c r="D3609" i="1"/>
  <c r="E3609" i="1"/>
  <c r="A3610" i="1"/>
  <c r="B3610" i="1"/>
  <c r="C3610" i="1"/>
  <c r="D3610" i="1"/>
  <c r="E3610" i="1"/>
  <c r="A3611" i="1"/>
  <c r="B3611" i="1"/>
  <c r="C3611" i="1"/>
  <c r="D3611" i="1"/>
  <c r="E3611" i="1"/>
  <c r="A3612" i="1"/>
  <c r="B3612" i="1"/>
  <c r="C3612" i="1"/>
  <c r="D3612" i="1"/>
  <c r="E3612" i="1"/>
  <c r="A3613" i="1"/>
  <c r="B3613" i="1"/>
  <c r="C3613" i="1"/>
  <c r="D3613" i="1"/>
  <c r="E3613" i="1"/>
  <c r="A3614" i="1"/>
  <c r="B3614" i="1"/>
  <c r="C3614" i="1"/>
  <c r="D3614" i="1"/>
  <c r="E3614" i="1"/>
  <c r="A3615" i="1"/>
  <c r="B3615" i="1"/>
  <c r="C3615" i="1"/>
  <c r="D3615" i="1"/>
  <c r="E3615" i="1"/>
  <c r="A3616" i="1"/>
  <c r="B3616" i="1"/>
  <c r="C3616" i="1"/>
  <c r="D3616" i="1"/>
  <c r="E3616" i="1"/>
  <c r="A3617" i="1"/>
  <c r="B3617" i="1"/>
  <c r="C3617" i="1"/>
  <c r="D3617" i="1"/>
  <c r="E3617" i="1"/>
  <c r="A3618" i="1"/>
  <c r="B3618" i="1"/>
  <c r="C3618" i="1"/>
  <c r="D3618" i="1"/>
  <c r="E3618" i="1"/>
  <c r="A3619" i="1"/>
  <c r="B3619" i="1"/>
  <c r="C3619" i="1"/>
  <c r="D3619" i="1"/>
  <c r="E3619" i="1"/>
  <c r="A3620" i="1"/>
  <c r="B3620" i="1"/>
  <c r="C3620" i="1"/>
  <c r="D3620" i="1"/>
  <c r="E3620" i="1"/>
  <c r="A3621" i="1"/>
  <c r="B3621" i="1"/>
  <c r="C3621" i="1"/>
  <c r="D3621" i="1"/>
  <c r="E3621" i="1"/>
  <c r="A3622" i="1"/>
  <c r="B3622" i="1"/>
  <c r="C3622" i="1"/>
  <c r="D3622" i="1"/>
  <c r="E3622" i="1"/>
  <c r="A3623" i="1"/>
  <c r="B3623" i="1"/>
  <c r="C3623" i="1"/>
  <c r="D3623" i="1"/>
  <c r="E3623" i="1"/>
  <c r="A3624" i="1"/>
  <c r="B3624" i="1"/>
  <c r="C3624" i="1"/>
  <c r="D3624" i="1"/>
  <c r="E3624" i="1"/>
  <c r="A3625" i="1"/>
  <c r="B3625" i="1"/>
  <c r="C3625" i="1"/>
  <c r="D3625" i="1"/>
  <c r="E3625" i="1"/>
  <c r="A3626" i="1"/>
  <c r="B3626" i="1"/>
  <c r="C3626" i="1"/>
  <c r="D3626" i="1"/>
  <c r="E3626" i="1"/>
  <c r="A3627" i="1"/>
  <c r="B3627" i="1"/>
  <c r="C3627" i="1"/>
  <c r="D3627" i="1"/>
  <c r="E3627" i="1"/>
  <c r="A3628" i="1"/>
  <c r="B3628" i="1"/>
  <c r="C3628" i="1"/>
  <c r="D3628" i="1"/>
  <c r="E3628" i="1"/>
  <c r="A3629" i="1"/>
  <c r="B3629" i="1"/>
  <c r="C3629" i="1"/>
  <c r="D3629" i="1"/>
  <c r="E3629" i="1"/>
  <c r="A3630" i="1"/>
  <c r="B3630" i="1"/>
  <c r="C3630" i="1"/>
  <c r="D3630" i="1"/>
  <c r="E3630" i="1"/>
  <c r="A3631" i="1"/>
  <c r="B3631" i="1"/>
  <c r="C3631" i="1"/>
  <c r="D3631" i="1"/>
  <c r="E3631" i="1"/>
  <c r="A3632" i="1"/>
  <c r="B3632" i="1"/>
  <c r="C3632" i="1"/>
  <c r="D3632" i="1"/>
  <c r="E3632" i="1"/>
  <c r="A3633" i="1"/>
  <c r="B3633" i="1"/>
  <c r="C3633" i="1"/>
  <c r="D3633" i="1"/>
  <c r="E3633" i="1"/>
  <c r="A3634" i="1"/>
  <c r="B3634" i="1"/>
  <c r="C3634" i="1"/>
  <c r="D3634" i="1"/>
  <c r="E3634" i="1"/>
  <c r="A3635" i="1"/>
  <c r="B3635" i="1"/>
  <c r="C3635" i="1"/>
  <c r="D3635" i="1"/>
  <c r="E3635" i="1"/>
  <c r="A3636" i="1"/>
  <c r="B3636" i="1"/>
  <c r="C3636" i="1"/>
  <c r="D3636" i="1"/>
  <c r="E3636" i="1"/>
  <c r="A3637" i="1"/>
  <c r="B3637" i="1"/>
  <c r="C3637" i="1"/>
  <c r="D3637" i="1"/>
  <c r="E3637" i="1"/>
  <c r="A3638" i="1"/>
  <c r="B3638" i="1"/>
  <c r="C3638" i="1"/>
  <c r="D3638" i="1"/>
  <c r="E3638" i="1"/>
  <c r="A3639" i="1"/>
  <c r="B3639" i="1"/>
  <c r="C3639" i="1"/>
  <c r="D3639" i="1"/>
  <c r="E3639" i="1"/>
  <c r="A3640" i="1"/>
  <c r="B3640" i="1"/>
  <c r="C3640" i="1"/>
  <c r="D3640" i="1"/>
  <c r="E3640" i="1"/>
  <c r="A3641" i="1"/>
  <c r="B3641" i="1"/>
  <c r="C3641" i="1"/>
  <c r="D3641" i="1"/>
  <c r="E3641" i="1"/>
  <c r="A3642" i="1"/>
  <c r="B3642" i="1"/>
  <c r="C3642" i="1"/>
  <c r="D3642" i="1"/>
  <c r="E3642" i="1"/>
  <c r="A3643" i="1"/>
  <c r="B3643" i="1"/>
  <c r="C3643" i="1"/>
  <c r="D3643" i="1"/>
  <c r="E3643" i="1"/>
  <c r="A3644" i="1"/>
  <c r="B3644" i="1"/>
  <c r="C3644" i="1"/>
  <c r="D3644" i="1"/>
  <c r="E3644" i="1"/>
  <c r="A3645" i="1"/>
  <c r="B3645" i="1"/>
  <c r="C3645" i="1"/>
  <c r="D3645" i="1"/>
  <c r="E3645" i="1"/>
  <c r="A3646" i="1"/>
  <c r="B3646" i="1"/>
  <c r="C3646" i="1"/>
  <c r="D3646" i="1"/>
  <c r="E3646" i="1"/>
  <c r="A3647" i="1"/>
  <c r="B3647" i="1"/>
  <c r="C3647" i="1"/>
  <c r="D3647" i="1"/>
  <c r="E3647" i="1"/>
  <c r="A3648" i="1"/>
  <c r="B3648" i="1"/>
  <c r="C3648" i="1"/>
  <c r="D3648" i="1"/>
  <c r="E3648" i="1"/>
  <c r="A3649" i="1"/>
  <c r="B3649" i="1"/>
  <c r="C3649" i="1"/>
  <c r="D3649" i="1"/>
  <c r="E3649" i="1"/>
  <c r="A3650" i="1"/>
  <c r="B3650" i="1"/>
  <c r="C3650" i="1"/>
  <c r="D3650" i="1"/>
  <c r="E3650" i="1"/>
  <c r="A3651" i="1"/>
  <c r="B3651" i="1"/>
  <c r="C3651" i="1"/>
  <c r="D3651" i="1"/>
  <c r="E3651" i="1"/>
  <c r="A3652" i="1"/>
  <c r="B3652" i="1"/>
  <c r="C3652" i="1"/>
  <c r="D3652" i="1"/>
  <c r="E3652" i="1"/>
  <c r="A3653" i="1"/>
  <c r="B3653" i="1"/>
  <c r="C3653" i="1"/>
  <c r="D3653" i="1"/>
  <c r="E3653" i="1"/>
  <c r="A3654" i="1"/>
  <c r="B3654" i="1"/>
  <c r="C3654" i="1"/>
  <c r="D3654" i="1"/>
  <c r="E3654" i="1"/>
  <c r="A3655" i="1"/>
  <c r="B3655" i="1"/>
  <c r="C3655" i="1"/>
  <c r="D3655" i="1"/>
  <c r="E3655" i="1"/>
  <c r="A3656" i="1"/>
  <c r="B3656" i="1"/>
  <c r="C3656" i="1"/>
  <c r="D3656" i="1"/>
  <c r="E3656" i="1"/>
  <c r="A3657" i="1"/>
  <c r="B3657" i="1"/>
  <c r="C3657" i="1"/>
  <c r="D3657" i="1"/>
  <c r="E3657" i="1"/>
  <c r="A3658" i="1"/>
  <c r="B3658" i="1"/>
  <c r="C3658" i="1"/>
  <c r="D3658" i="1"/>
  <c r="E3658" i="1"/>
  <c r="A3659" i="1"/>
  <c r="B3659" i="1"/>
  <c r="C3659" i="1"/>
  <c r="D3659" i="1"/>
  <c r="E3659" i="1"/>
  <c r="A3660" i="1"/>
  <c r="B3660" i="1"/>
  <c r="C3660" i="1"/>
  <c r="D3660" i="1"/>
  <c r="E3660" i="1"/>
  <c r="A3661" i="1"/>
  <c r="B3661" i="1"/>
  <c r="C3661" i="1"/>
  <c r="D3661" i="1"/>
  <c r="E3661" i="1"/>
  <c r="A3662" i="1"/>
  <c r="B3662" i="1"/>
  <c r="C3662" i="1"/>
  <c r="D3662" i="1"/>
  <c r="E3662" i="1"/>
  <c r="A3663" i="1"/>
  <c r="B3663" i="1"/>
  <c r="C3663" i="1"/>
  <c r="D3663" i="1"/>
  <c r="E3663" i="1"/>
  <c r="A3664" i="1"/>
  <c r="B3664" i="1"/>
  <c r="C3664" i="1"/>
  <c r="D3664" i="1"/>
  <c r="E3664" i="1"/>
  <c r="A3665" i="1"/>
  <c r="B3665" i="1"/>
  <c r="C3665" i="1"/>
  <c r="D3665" i="1"/>
  <c r="E3665" i="1"/>
  <c r="A3666" i="1"/>
  <c r="B3666" i="1"/>
  <c r="C3666" i="1"/>
  <c r="D3666" i="1"/>
  <c r="E3666" i="1"/>
  <c r="A3667" i="1"/>
  <c r="B3667" i="1"/>
  <c r="C3667" i="1"/>
  <c r="D3667" i="1"/>
  <c r="E3667" i="1"/>
  <c r="A3668" i="1"/>
  <c r="B3668" i="1"/>
  <c r="C3668" i="1"/>
  <c r="D3668" i="1"/>
  <c r="E3668" i="1"/>
  <c r="A3669" i="1"/>
  <c r="B3669" i="1"/>
  <c r="C3669" i="1"/>
  <c r="D3669" i="1"/>
  <c r="E3669" i="1"/>
  <c r="A3670" i="1"/>
  <c r="B3670" i="1"/>
  <c r="C3670" i="1"/>
  <c r="D3670" i="1"/>
  <c r="E3670" i="1"/>
  <c r="A3671" i="1"/>
  <c r="B3671" i="1"/>
  <c r="C3671" i="1"/>
  <c r="D3671" i="1"/>
  <c r="E3671" i="1"/>
  <c r="A3672" i="1"/>
  <c r="B3672" i="1"/>
  <c r="C3672" i="1"/>
  <c r="D3672" i="1"/>
  <c r="E3672" i="1"/>
  <c r="A3673" i="1"/>
  <c r="B3673" i="1"/>
  <c r="C3673" i="1"/>
  <c r="D3673" i="1"/>
  <c r="E3673" i="1"/>
  <c r="A3674" i="1"/>
  <c r="B3674" i="1"/>
  <c r="C3674" i="1"/>
  <c r="D3674" i="1"/>
  <c r="E3674" i="1"/>
  <c r="A3675" i="1"/>
  <c r="B3675" i="1"/>
  <c r="C3675" i="1"/>
  <c r="D3675" i="1"/>
  <c r="E3675" i="1"/>
  <c r="A3676" i="1"/>
  <c r="B3676" i="1"/>
  <c r="C3676" i="1"/>
  <c r="D3676" i="1"/>
  <c r="E3676" i="1"/>
  <c r="A3677" i="1"/>
  <c r="B3677" i="1"/>
  <c r="C3677" i="1"/>
  <c r="D3677" i="1"/>
  <c r="E3677" i="1"/>
  <c r="A3678" i="1"/>
  <c r="B3678" i="1"/>
  <c r="C3678" i="1"/>
  <c r="D3678" i="1"/>
  <c r="E3678" i="1"/>
  <c r="A3679" i="1"/>
  <c r="B3679" i="1"/>
  <c r="C3679" i="1"/>
  <c r="D3679" i="1"/>
  <c r="E3679" i="1"/>
  <c r="A3680" i="1"/>
  <c r="B3680" i="1"/>
  <c r="C3680" i="1"/>
  <c r="D3680" i="1"/>
  <c r="E3680" i="1"/>
  <c r="A3681" i="1"/>
  <c r="B3681" i="1"/>
  <c r="C3681" i="1"/>
  <c r="D3681" i="1"/>
  <c r="E3681" i="1"/>
  <c r="A3682" i="1"/>
  <c r="B3682" i="1"/>
  <c r="C3682" i="1"/>
  <c r="D3682" i="1"/>
  <c r="E3682" i="1"/>
  <c r="A3683" i="1"/>
  <c r="B3683" i="1"/>
  <c r="C3683" i="1"/>
  <c r="D3683" i="1"/>
  <c r="E3683" i="1"/>
  <c r="A3684" i="1"/>
  <c r="B3684" i="1"/>
  <c r="C3684" i="1"/>
  <c r="D3684" i="1"/>
  <c r="E3684" i="1"/>
  <c r="A3685" i="1"/>
  <c r="B3685" i="1"/>
  <c r="C3685" i="1"/>
  <c r="D3685" i="1"/>
  <c r="E3685" i="1"/>
  <c r="A3686" i="1"/>
  <c r="B3686" i="1"/>
  <c r="C3686" i="1"/>
  <c r="D3686" i="1"/>
  <c r="E3686" i="1"/>
  <c r="A3687" i="1"/>
  <c r="B3687" i="1"/>
  <c r="C3687" i="1"/>
  <c r="D3687" i="1"/>
  <c r="E3687" i="1"/>
  <c r="A3688" i="1"/>
  <c r="B3688" i="1"/>
  <c r="C3688" i="1"/>
  <c r="D3688" i="1"/>
  <c r="E3688" i="1"/>
  <c r="A3689" i="1"/>
  <c r="B3689" i="1"/>
  <c r="C3689" i="1"/>
  <c r="D3689" i="1"/>
  <c r="E3689" i="1"/>
  <c r="A3690" i="1"/>
  <c r="B3690" i="1"/>
  <c r="C3690" i="1"/>
  <c r="D3690" i="1"/>
  <c r="E3690" i="1"/>
  <c r="A3691" i="1"/>
  <c r="B3691" i="1"/>
  <c r="C3691" i="1"/>
  <c r="D3691" i="1"/>
  <c r="E3691" i="1"/>
  <c r="A3692" i="1"/>
  <c r="B3692" i="1"/>
  <c r="C3692" i="1"/>
  <c r="D3692" i="1"/>
  <c r="E3692" i="1"/>
  <c r="A3693" i="1"/>
  <c r="B3693" i="1"/>
  <c r="C3693" i="1"/>
  <c r="D3693" i="1"/>
  <c r="E3693" i="1"/>
  <c r="A3694" i="1"/>
  <c r="B3694" i="1"/>
  <c r="C3694" i="1"/>
  <c r="D3694" i="1"/>
  <c r="E3694" i="1"/>
  <c r="A3695" i="1"/>
  <c r="B3695" i="1"/>
  <c r="C3695" i="1"/>
  <c r="D3695" i="1"/>
  <c r="E3695" i="1"/>
  <c r="A3696" i="1"/>
  <c r="B3696" i="1"/>
  <c r="C3696" i="1"/>
  <c r="D3696" i="1"/>
  <c r="E3696" i="1"/>
  <c r="A3697" i="1"/>
  <c r="B3697" i="1"/>
  <c r="C3697" i="1"/>
  <c r="D3697" i="1"/>
  <c r="E3697" i="1"/>
  <c r="A3698" i="1"/>
  <c r="B3698" i="1"/>
  <c r="C3698" i="1"/>
  <c r="D3698" i="1"/>
  <c r="E3698" i="1"/>
  <c r="A3699" i="1"/>
  <c r="B3699" i="1"/>
  <c r="C3699" i="1"/>
  <c r="D3699" i="1"/>
  <c r="E3699" i="1"/>
  <c r="A3700" i="1"/>
  <c r="B3700" i="1"/>
  <c r="C3700" i="1"/>
  <c r="D3700" i="1"/>
  <c r="E3700" i="1"/>
  <c r="A3701" i="1"/>
  <c r="B3701" i="1"/>
  <c r="C3701" i="1"/>
  <c r="D3701" i="1"/>
  <c r="E3701" i="1"/>
  <c r="A3702" i="1"/>
  <c r="B3702" i="1"/>
  <c r="C3702" i="1"/>
  <c r="D3702" i="1"/>
  <c r="E3702" i="1"/>
  <c r="A3703" i="1"/>
  <c r="B3703" i="1"/>
  <c r="C3703" i="1"/>
  <c r="D3703" i="1"/>
  <c r="E3703" i="1"/>
  <c r="A3704" i="1"/>
  <c r="B3704" i="1"/>
  <c r="C3704" i="1"/>
  <c r="D3704" i="1"/>
  <c r="E3704" i="1"/>
  <c r="A3705" i="1"/>
  <c r="B3705" i="1"/>
  <c r="C3705" i="1"/>
  <c r="D3705" i="1"/>
  <c r="E3705" i="1"/>
  <c r="A3706" i="1"/>
  <c r="B3706" i="1"/>
  <c r="C3706" i="1"/>
  <c r="D3706" i="1"/>
  <c r="E3706" i="1"/>
  <c r="A3707" i="1"/>
  <c r="B3707" i="1"/>
  <c r="C3707" i="1"/>
  <c r="D3707" i="1"/>
  <c r="E3707" i="1"/>
  <c r="A3708" i="1"/>
  <c r="B3708" i="1"/>
  <c r="C3708" i="1"/>
  <c r="D3708" i="1"/>
  <c r="E3708" i="1"/>
  <c r="A3709" i="1"/>
  <c r="B3709" i="1"/>
  <c r="C3709" i="1"/>
  <c r="D3709" i="1"/>
  <c r="E3709" i="1"/>
  <c r="A3710" i="1"/>
  <c r="B3710" i="1"/>
  <c r="C3710" i="1"/>
  <c r="D3710" i="1"/>
  <c r="E3710" i="1"/>
  <c r="A3711" i="1"/>
  <c r="B3711" i="1"/>
  <c r="C3711" i="1"/>
  <c r="D3711" i="1"/>
  <c r="E3711" i="1"/>
  <c r="A3712" i="1"/>
  <c r="B3712" i="1"/>
  <c r="C3712" i="1"/>
  <c r="D3712" i="1"/>
  <c r="E3712" i="1"/>
  <c r="A3713" i="1"/>
  <c r="B3713" i="1"/>
  <c r="C3713" i="1"/>
  <c r="D3713" i="1"/>
  <c r="E3713" i="1"/>
  <c r="A3714" i="1"/>
  <c r="B3714" i="1"/>
  <c r="C3714" i="1"/>
  <c r="D3714" i="1"/>
  <c r="E3714" i="1"/>
  <c r="A3715" i="1"/>
  <c r="B3715" i="1"/>
  <c r="C3715" i="1"/>
  <c r="D3715" i="1"/>
  <c r="E3715" i="1"/>
  <c r="A3716" i="1"/>
  <c r="B3716" i="1"/>
  <c r="C3716" i="1"/>
  <c r="D3716" i="1"/>
  <c r="E3716" i="1"/>
  <c r="A3717" i="1"/>
  <c r="B3717" i="1"/>
  <c r="C3717" i="1"/>
  <c r="D3717" i="1"/>
  <c r="E3717" i="1"/>
  <c r="A3718" i="1"/>
  <c r="B3718" i="1"/>
  <c r="C3718" i="1"/>
  <c r="D3718" i="1"/>
  <c r="E3718" i="1"/>
  <c r="A3719" i="1"/>
  <c r="B3719" i="1"/>
  <c r="C3719" i="1"/>
  <c r="D3719" i="1"/>
  <c r="E3719" i="1"/>
  <c r="A3720" i="1"/>
  <c r="B3720" i="1"/>
  <c r="C3720" i="1"/>
  <c r="D3720" i="1"/>
  <c r="E3720" i="1"/>
  <c r="A3721" i="1"/>
  <c r="B3721" i="1"/>
  <c r="C3721" i="1"/>
  <c r="D3721" i="1"/>
  <c r="E3721" i="1"/>
  <c r="A3722" i="1"/>
  <c r="B3722" i="1"/>
  <c r="C3722" i="1"/>
  <c r="D3722" i="1"/>
  <c r="E3722" i="1"/>
  <c r="A3723" i="1"/>
  <c r="B3723" i="1"/>
  <c r="C3723" i="1"/>
  <c r="D3723" i="1"/>
  <c r="E3723" i="1"/>
  <c r="A3724" i="1"/>
  <c r="B3724" i="1"/>
  <c r="C3724" i="1"/>
  <c r="D3724" i="1"/>
  <c r="E3724" i="1"/>
  <c r="A3725" i="1"/>
  <c r="B3725" i="1"/>
  <c r="C3725" i="1"/>
  <c r="D3725" i="1"/>
  <c r="E3725" i="1"/>
  <c r="A3726" i="1"/>
  <c r="B3726" i="1"/>
  <c r="C3726" i="1"/>
  <c r="D3726" i="1"/>
  <c r="E3726" i="1"/>
  <c r="A3727" i="1"/>
  <c r="B3727" i="1"/>
  <c r="C3727" i="1"/>
  <c r="D3727" i="1"/>
  <c r="E3727" i="1"/>
  <c r="A3728" i="1"/>
  <c r="B3728" i="1"/>
  <c r="C3728" i="1"/>
  <c r="D3728" i="1"/>
  <c r="E3728" i="1"/>
  <c r="A3729" i="1"/>
  <c r="B3729" i="1"/>
  <c r="C3729" i="1"/>
  <c r="D3729" i="1"/>
  <c r="E3729" i="1"/>
  <c r="A3730" i="1"/>
  <c r="B3730" i="1"/>
  <c r="C3730" i="1"/>
  <c r="D3730" i="1"/>
  <c r="E3730" i="1"/>
  <c r="A3731" i="1"/>
  <c r="B3731" i="1"/>
  <c r="C3731" i="1"/>
  <c r="D3731" i="1"/>
  <c r="E3731" i="1"/>
  <c r="A3732" i="1"/>
  <c r="B3732" i="1"/>
  <c r="C3732" i="1"/>
  <c r="D3732" i="1"/>
  <c r="E3732" i="1"/>
  <c r="A3733" i="1"/>
  <c r="B3733" i="1"/>
  <c r="C3733" i="1"/>
  <c r="D3733" i="1"/>
  <c r="E3733" i="1"/>
  <c r="A3734" i="1"/>
  <c r="B3734" i="1"/>
  <c r="C3734" i="1"/>
  <c r="D3734" i="1"/>
  <c r="E3734" i="1"/>
  <c r="A3735" i="1"/>
  <c r="B3735" i="1"/>
  <c r="C3735" i="1"/>
  <c r="D3735" i="1"/>
  <c r="E3735" i="1"/>
  <c r="A3736" i="1"/>
  <c r="B3736" i="1"/>
  <c r="C3736" i="1"/>
  <c r="D3736" i="1"/>
  <c r="E3736" i="1"/>
  <c r="A3737" i="1"/>
  <c r="B3737" i="1"/>
  <c r="C3737" i="1"/>
  <c r="D3737" i="1"/>
  <c r="E3737" i="1"/>
  <c r="A3738" i="1"/>
  <c r="B3738" i="1"/>
  <c r="C3738" i="1"/>
  <c r="D3738" i="1"/>
  <c r="E3738" i="1"/>
  <c r="A3739" i="1"/>
  <c r="B3739" i="1"/>
  <c r="C3739" i="1"/>
  <c r="D3739" i="1"/>
  <c r="E3739" i="1"/>
  <c r="A3740" i="1"/>
  <c r="B3740" i="1"/>
  <c r="C3740" i="1"/>
  <c r="D3740" i="1"/>
  <c r="E3740" i="1"/>
  <c r="A3741" i="1"/>
  <c r="B3741" i="1"/>
  <c r="C3741" i="1"/>
  <c r="D3741" i="1"/>
  <c r="E3741" i="1"/>
  <c r="A3742" i="1"/>
  <c r="B3742" i="1"/>
  <c r="C3742" i="1"/>
  <c r="D3742" i="1"/>
  <c r="E3742" i="1"/>
  <c r="A3743" i="1"/>
  <c r="B3743" i="1"/>
  <c r="C3743" i="1"/>
  <c r="D3743" i="1"/>
  <c r="E3743" i="1"/>
  <c r="A3744" i="1"/>
  <c r="B3744" i="1"/>
  <c r="C3744" i="1"/>
  <c r="D3744" i="1"/>
  <c r="E3744" i="1"/>
  <c r="A3745" i="1"/>
  <c r="B3745" i="1"/>
  <c r="C3745" i="1"/>
  <c r="D3745" i="1"/>
  <c r="E3745" i="1"/>
  <c r="A3746" i="1"/>
  <c r="B3746" i="1"/>
  <c r="C3746" i="1"/>
  <c r="D3746" i="1"/>
  <c r="E3746" i="1"/>
  <c r="A3747" i="1"/>
  <c r="B3747" i="1"/>
  <c r="C3747" i="1"/>
  <c r="D3747" i="1"/>
  <c r="E3747" i="1"/>
  <c r="A3748" i="1"/>
  <c r="B3748" i="1"/>
  <c r="C3748" i="1"/>
  <c r="D3748" i="1"/>
  <c r="E3748" i="1"/>
  <c r="A3749" i="1"/>
  <c r="B3749" i="1"/>
  <c r="C3749" i="1"/>
  <c r="D3749" i="1"/>
  <c r="E3749" i="1"/>
  <c r="A3750" i="1"/>
  <c r="B3750" i="1"/>
  <c r="C3750" i="1"/>
  <c r="D3750" i="1"/>
  <c r="E3750" i="1"/>
  <c r="A3751" i="1"/>
  <c r="B3751" i="1"/>
  <c r="C3751" i="1"/>
  <c r="D3751" i="1"/>
  <c r="E3751" i="1"/>
  <c r="A3752" i="1"/>
  <c r="B3752" i="1"/>
  <c r="C3752" i="1"/>
  <c r="D3752" i="1"/>
  <c r="E3752" i="1"/>
  <c r="A3753" i="1"/>
  <c r="B3753" i="1"/>
  <c r="C3753" i="1"/>
  <c r="D3753" i="1"/>
  <c r="E3753" i="1"/>
  <c r="A3754" i="1"/>
  <c r="B3754" i="1"/>
  <c r="C3754" i="1"/>
  <c r="D3754" i="1"/>
  <c r="E3754" i="1"/>
  <c r="A3755" i="1"/>
  <c r="B3755" i="1"/>
  <c r="C3755" i="1"/>
  <c r="D3755" i="1"/>
  <c r="E3755" i="1"/>
  <c r="A3756" i="1"/>
  <c r="B3756" i="1"/>
  <c r="C3756" i="1"/>
  <c r="D3756" i="1"/>
  <c r="E3756" i="1"/>
  <c r="A3757" i="1"/>
  <c r="B3757" i="1"/>
  <c r="C3757" i="1"/>
  <c r="D3757" i="1"/>
  <c r="E3757" i="1"/>
  <c r="A3758" i="1"/>
  <c r="B3758" i="1"/>
  <c r="C3758" i="1"/>
  <c r="D3758" i="1"/>
  <c r="E3758" i="1"/>
  <c r="A3759" i="1"/>
  <c r="B3759" i="1"/>
  <c r="C3759" i="1"/>
  <c r="D3759" i="1"/>
  <c r="E3759" i="1"/>
  <c r="A3760" i="1"/>
  <c r="B3760" i="1"/>
  <c r="C3760" i="1"/>
  <c r="D3760" i="1"/>
  <c r="E3760" i="1"/>
  <c r="A3761" i="1"/>
  <c r="B3761" i="1"/>
  <c r="C3761" i="1"/>
  <c r="D3761" i="1"/>
  <c r="E3761" i="1"/>
  <c r="A3762" i="1"/>
  <c r="B3762" i="1"/>
  <c r="C3762" i="1"/>
  <c r="D3762" i="1"/>
  <c r="E3762" i="1"/>
  <c r="A3763" i="1"/>
  <c r="B3763" i="1"/>
  <c r="C3763" i="1"/>
  <c r="D3763" i="1"/>
  <c r="E3763" i="1"/>
  <c r="A3764" i="1"/>
  <c r="B3764" i="1"/>
  <c r="C3764" i="1"/>
  <c r="D3764" i="1"/>
  <c r="E3764" i="1"/>
  <c r="A3765" i="1"/>
  <c r="B3765" i="1"/>
  <c r="C3765" i="1"/>
  <c r="D3765" i="1"/>
  <c r="E3765" i="1"/>
  <c r="A3766" i="1"/>
  <c r="B3766" i="1"/>
  <c r="C3766" i="1"/>
  <c r="D3766" i="1"/>
  <c r="E3766" i="1"/>
  <c r="A3767" i="1"/>
  <c r="B3767" i="1"/>
  <c r="C3767" i="1"/>
  <c r="D3767" i="1"/>
  <c r="E3767" i="1"/>
  <c r="A3768" i="1"/>
  <c r="B3768" i="1"/>
  <c r="C3768" i="1"/>
  <c r="D3768" i="1"/>
  <c r="E3768" i="1"/>
  <c r="A3769" i="1"/>
  <c r="B3769" i="1"/>
  <c r="C3769" i="1"/>
  <c r="D3769" i="1"/>
  <c r="E3769" i="1"/>
  <c r="A3770" i="1"/>
  <c r="B3770" i="1"/>
  <c r="C3770" i="1"/>
  <c r="D3770" i="1"/>
  <c r="E3770" i="1"/>
  <c r="A3771" i="1"/>
  <c r="B3771" i="1"/>
  <c r="C3771" i="1"/>
  <c r="D3771" i="1"/>
  <c r="E3771" i="1"/>
  <c r="A3772" i="1"/>
  <c r="B3772" i="1"/>
  <c r="C3772" i="1"/>
  <c r="D3772" i="1"/>
  <c r="E3772" i="1"/>
  <c r="A3773" i="1"/>
  <c r="B3773" i="1"/>
  <c r="C3773" i="1"/>
  <c r="D3773" i="1"/>
  <c r="E3773" i="1"/>
  <c r="A3774" i="1"/>
  <c r="B3774" i="1"/>
  <c r="C3774" i="1"/>
  <c r="D3774" i="1"/>
  <c r="E3774" i="1"/>
  <c r="A3775" i="1"/>
  <c r="B3775" i="1"/>
  <c r="C3775" i="1"/>
  <c r="D3775" i="1"/>
  <c r="E3775" i="1"/>
  <c r="A3776" i="1"/>
  <c r="B3776" i="1"/>
  <c r="C3776" i="1"/>
  <c r="D3776" i="1"/>
  <c r="E3776" i="1"/>
  <c r="A3777" i="1"/>
  <c r="B3777" i="1"/>
  <c r="C3777" i="1"/>
  <c r="D3777" i="1"/>
  <c r="E3777" i="1"/>
  <c r="A3778" i="1"/>
  <c r="B3778" i="1"/>
  <c r="C3778" i="1"/>
  <c r="D3778" i="1"/>
  <c r="E3778" i="1"/>
  <c r="A3779" i="1"/>
  <c r="B3779" i="1"/>
  <c r="C3779" i="1"/>
  <c r="D3779" i="1"/>
  <c r="E3779" i="1"/>
  <c r="A3780" i="1"/>
  <c r="B3780" i="1"/>
  <c r="C3780" i="1"/>
  <c r="D3780" i="1"/>
  <c r="E3780" i="1"/>
  <c r="A3781" i="1"/>
  <c r="B3781" i="1"/>
  <c r="C3781" i="1"/>
  <c r="D3781" i="1"/>
  <c r="E3781" i="1"/>
  <c r="A3782" i="1"/>
  <c r="B3782" i="1"/>
  <c r="C3782" i="1"/>
  <c r="D3782" i="1"/>
  <c r="E3782" i="1"/>
  <c r="A3783" i="1"/>
  <c r="B3783" i="1"/>
  <c r="C3783" i="1"/>
  <c r="D3783" i="1"/>
  <c r="E3783" i="1"/>
  <c r="A3784" i="1"/>
  <c r="B3784" i="1"/>
  <c r="C3784" i="1"/>
  <c r="D3784" i="1"/>
  <c r="E3784" i="1"/>
  <c r="A3785" i="1"/>
  <c r="B3785" i="1"/>
  <c r="C3785" i="1"/>
  <c r="D3785" i="1"/>
  <c r="E3785" i="1"/>
  <c r="A3786" i="1"/>
  <c r="B3786" i="1"/>
  <c r="C3786" i="1"/>
  <c r="D3786" i="1"/>
  <c r="E3786" i="1"/>
  <c r="A3787" i="1"/>
  <c r="B3787" i="1"/>
  <c r="C3787" i="1"/>
  <c r="D3787" i="1"/>
  <c r="E3787" i="1"/>
  <c r="A3788" i="1"/>
  <c r="B3788" i="1"/>
  <c r="C3788" i="1"/>
  <c r="D3788" i="1"/>
  <c r="E3788" i="1"/>
  <c r="A3789" i="1"/>
  <c r="B3789" i="1"/>
  <c r="C3789" i="1"/>
  <c r="D3789" i="1"/>
  <c r="E3789" i="1"/>
  <c r="A3790" i="1"/>
  <c r="B3790" i="1"/>
  <c r="C3790" i="1"/>
  <c r="D3790" i="1"/>
  <c r="E3790" i="1"/>
  <c r="A3791" i="1"/>
  <c r="B3791" i="1"/>
  <c r="C3791" i="1"/>
  <c r="D3791" i="1"/>
  <c r="E3791" i="1"/>
  <c r="A3792" i="1"/>
  <c r="B3792" i="1"/>
  <c r="C3792" i="1"/>
  <c r="D3792" i="1"/>
  <c r="E3792" i="1"/>
  <c r="A3793" i="1"/>
  <c r="B3793" i="1"/>
  <c r="C3793" i="1"/>
  <c r="D3793" i="1"/>
  <c r="E3793" i="1"/>
  <c r="A3794" i="1"/>
  <c r="B3794" i="1"/>
  <c r="C3794" i="1"/>
  <c r="D3794" i="1"/>
  <c r="E3794" i="1"/>
  <c r="A3795" i="1"/>
  <c r="B3795" i="1"/>
  <c r="C3795" i="1"/>
  <c r="D3795" i="1"/>
  <c r="E3795" i="1"/>
  <c r="A3796" i="1"/>
  <c r="B3796" i="1"/>
  <c r="C3796" i="1"/>
  <c r="D3796" i="1"/>
  <c r="E3796" i="1"/>
  <c r="A3797" i="1"/>
  <c r="B3797" i="1"/>
  <c r="C3797" i="1"/>
  <c r="D3797" i="1"/>
  <c r="E3797" i="1"/>
  <c r="A3798" i="1"/>
  <c r="B3798" i="1"/>
  <c r="C3798" i="1"/>
  <c r="D3798" i="1"/>
  <c r="E3798" i="1"/>
  <c r="A3799" i="1"/>
  <c r="B3799" i="1"/>
  <c r="C3799" i="1"/>
  <c r="D3799" i="1"/>
  <c r="E3799" i="1"/>
  <c r="A3800" i="1"/>
  <c r="B3800" i="1"/>
  <c r="C3800" i="1"/>
  <c r="D3800" i="1"/>
  <c r="E3800" i="1"/>
  <c r="A3801" i="1"/>
  <c r="B3801" i="1"/>
  <c r="C3801" i="1"/>
  <c r="D3801" i="1"/>
  <c r="E3801" i="1"/>
  <c r="A3802" i="1"/>
  <c r="B3802" i="1"/>
  <c r="C3802" i="1"/>
  <c r="D3802" i="1"/>
  <c r="E3802" i="1"/>
  <c r="A3803" i="1"/>
  <c r="B3803" i="1"/>
  <c r="C3803" i="1"/>
  <c r="D3803" i="1"/>
  <c r="E3803" i="1"/>
  <c r="A3804" i="1"/>
  <c r="B3804" i="1"/>
  <c r="C3804" i="1"/>
  <c r="D3804" i="1"/>
  <c r="E3804" i="1"/>
  <c r="A3805" i="1"/>
  <c r="B3805" i="1"/>
  <c r="C3805" i="1"/>
  <c r="D3805" i="1"/>
  <c r="E3805" i="1"/>
  <c r="A3806" i="1"/>
  <c r="B3806" i="1"/>
  <c r="C3806" i="1"/>
  <c r="D3806" i="1"/>
  <c r="E3806" i="1"/>
  <c r="A3807" i="1"/>
  <c r="B3807" i="1"/>
  <c r="C3807" i="1"/>
  <c r="D3807" i="1"/>
  <c r="E3807" i="1"/>
  <c r="A3808" i="1"/>
  <c r="B3808" i="1"/>
  <c r="C3808" i="1"/>
  <c r="D3808" i="1"/>
  <c r="E3808" i="1"/>
  <c r="A3809" i="1"/>
  <c r="B3809" i="1"/>
  <c r="C3809" i="1"/>
  <c r="D3809" i="1"/>
  <c r="E3809" i="1"/>
  <c r="A3810" i="1"/>
  <c r="B3810" i="1"/>
  <c r="C3810" i="1"/>
  <c r="D3810" i="1"/>
  <c r="E3810" i="1"/>
  <c r="A3811" i="1"/>
  <c r="B3811" i="1"/>
  <c r="C3811" i="1"/>
  <c r="D3811" i="1"/>
  <c r="E3811" i="1"/>
  <c r="A3812" i="1"/>
  <c r="B3812" i="1"/>
  <c r="C3812" i="1"/>
  <c r="D3812" i="1"/>
  <c r="E3812" i="1"/>
  <c r="A3813" i="1"/>
  <c r="B3813" i="1"/>
  <c r="C3813" i="1"/>
  <c r="D3813" i="1"/>
  <c r="E3813" i="1"/>
  <c r="A3814" i="1"/>
  <c r="B3814" i="1"/>
  <c r="C3814" i="1"/>
  <c r="D3814" i="1"/>
  <c r="E3814" i="1"/>
  <c r="A3815" i="1"/>
  <c r="B3815" i="1"/>
  <c r="C3815" i="1"/>
  <c r="D3815" i="1"/>
  <c r="E3815" i="1"/>
  <c r="A3816" i="1"/>
  <c r="B3816" i="1"/>
  <c r="C3816" i="1"/>
  <c r="D3816" i="1"/>
  <c r="E3816" i="1"/>
  <c r="A3817" i="1"/>
  <c r="B3817" i="1"/>
  <c r="C3817" i="1"/>
  <c r="D3817" i="1"/>
  <c r="E3817" i="1"/>
  <c r="A3818" i="1"/>
  <c r="B3818" i="1"/>
  <c r="C3818" i="1"/>
  <c r="D3818" i="1"/>
  <c r="E3818" i="1"/>
  <c r="A3819" i="1"/>
  <c r="B3819" i="1"/>
  <c r="C3819" i="1"/>
  <c r="D3819" i="1"/>
  <c r="E3819" i="1"/>
  <c r="A3820" i="1"/>
  <c r="B3820" i="1"/>
  <c r="C3820" i="1"/>
  <c r="D3820" i="1"/>
  <c r="E3820" i="1"/>
  <c r="A3821" i="1"/>
  <c r="B3821" i="1"/>
  <c r="C3821" i="1"/>
  <c r="D3821" i="1"/>
  <c r="E3821" i="1"/>
  <c r="A3822" i="1"/>
  <c r="B3822" i="1"/>
  <c r="C3822" i="1"/>
  <c r="D3822" i="1"/>
  <c r="E3822" i="1"/>
  <c r="A3823" i="1"/>
  <c r="B3823" i="1"/>
  <c r="C3823" i="1"/>
  <c r="D3823" i="1"/>
  <c r="E3823" i="1"/>
  <c r="A3824" i="1"/>
  <c r="B3824" i="1"/>
  <c r="C3824" i="1"/>
  <c r="D3824" i="1"/>
  <c r="E3824" i="1"/>
  <c r="A3825" i="1"/>
  <c r="B3825" i="1"/>
  <c r="C3825" i="1"/>
  <c r="D3825" i="1"/>
  <c r="E3825" i="1"/>
  <c r="A3826" i="1"/>
  <c r="B3826" i="1"/>
  <c r="C3826" i="1"/>
  <c r="D3826" i="1"/>
  <c r="E3826" i="1"/>
  <c r="A3827" i="1"/>
  <c r="B3827" i="1"/>
  <c r="C3827" i="1"/>
  <c r="D3827" i="1"/>
  <c r="E3827" i="1"/>
  <c r="A3828" i="1"/>
  <c r="B3828" i="1"/>
  <c r="C3828" i="1"/>
  <c r="D3828" i="1"/>
  <c r="E3828" i="1"/>
  <c r="A3829" i="1"/>
  <c r="B3829" i="1"/>
  <c r="C3829" i="1"/>
  <c r="D3829" i="1"/>
  <c r="E3829" i="1"/>
  <c r="A3830" i="1"/>
  <c r="B3830" i="1"/>
  <c r="C3830" i="1"/>
  <c r="D3830" i="1"/>
  <c r="E3830" i="1"/>
  <c r="A3831" i="1"/>
  <c r="B3831" i="1"/>
  <c r="C3831" i="1"/>
  <c r="D3831" i="1"/>
  <c r="E3831" i="1"/>
  <c r="A3832" i="1"/>
  <c r="B3832" i="1"/>
  <c r="C3832" i="1"/>
  <c r="D3832" i="1"/>
  <c r="E3832" i="1"/>
  <c r="A3833" i="1"/>
  <c r="B3833" i="1"/>
  <c r="C3833" i="1"/>
  <c r="D3833" i="1"/>
  <c r="E3833" i="1"/>
  <c r="A3834" i="1"/>
  <c r="B3834" i="1"/>
  <c r="C3834" i="1"/>
  <c r="D3834" i="1"/>
  <c r="E3834" i="1"/>
  <c r="A3835" i="1"/>
  <c r="B3835" i="1"/>
  <c r="C3835" i="1"/>
  <c r="D3835" i="1"/>
  <c r="E3835" i="1"/>
  <c r="A3836" i="1"/>
  <c r="B3836" i="1"/>
  <c r="C3836" i="1"/>
  <c r="D3836" i="1"/>
  <c r="E3836" i="1"/>
  <c r="A3837" i="1"/>
  <c r="B3837" i="1"/>
  <c r="C3837" i="1"/>
  <c r="D3837" i="1"/>
  <c r="E3837" i="1"/>
  <c r="A3838" i="1"/>
  <c r="B3838" i="1"/>
  <c r="C3838" i="1"/>
  <c r="D3838" i="1"/>
  <c r="E3838" i="1"/>
  <c r="A3839" i="1"/>
  <c r="B3839" i="1"/>
  <c r="C3839" i="1"/>
  <c r="D3839" i="1"/>
  <c r="E3839" i="1"/>
  <c r="A3840" i="1"/>
  <c r="B3840" i="1"/>
  <c r="C3840" i="1"/>
  <c r="D3840" i="1"/>
  <c r="E3840" i="1"/>
  <c r="A3841" i="1"/>
  <c r="B3841" i="1"/>
  <c r="C3841" i="1"/>
  <c r="D3841" i="1"/>
  <c r="E3841" i="1"/>
  <c r="A3842" i="1"/>
  <c r="B3842" i="1"/>
  <c r="C3842" i="1"/>
  <c r="D3842" i="1"/>
  <c r="E3842" i="1"/>
  <c r="A3843" i="1"/>
  <c r="B3843" i="1"/>
  <c r="C3843" i="1"/>
  <c r="D3843" i="1"/>
  <c r="E3843" i="1"/>
  <c r="A3844" i="1"/>
  <c r="B3844" i="1"/>
  <c r="C3844" i="1"/>
  <c r="D3844" i="1"/>
  <c r="E3844" i="1"/>
  <c r="A3845" i="1"/>
  <c r="B3845" i="1"/>
  <c r="C3845" i="1"/>
  <c r="D3845" i="1"/>
  <c r="E3845" i="1"/>
  <c r="A3846" i="1"/>
  <c r="B3846" i="1"/>
  <c r="C3846" i="1"/>
  <c r="D3846" i="1"/>
  <c r="E3846" i="1"/>
  <c r="A3847" i="1"/>
  <c r="B3847" i="1"/>
  <c r="C3847" i="1"/>
  <c r="D3847" i="1"/>
  <c r="E3847" i="1"/>
  <c r="A3848" i="1"/>
  <c r="B3848" i="1"/>
  <c r="C3848" i="1"/>
  <c r="D3848" i="1"/>
  <c r="E3848" i="1"/>
  <c r="A3849" i="1"/>
  <c r="B3849" i="1"/>
  <c r="C3849" i="1"/>
  <c r="D3849" i="1"/>
  <c r="E3849" i="1"/>
  <c r="A3850" i="1"/>
  <c r="B3850" i="1"/>
  <c r="C3850" i="1"/>
  <c r="D3850" i="1"/>
  <c r="E3850" i="1"/>
  <c r="A3851" i="1"/>
  <c r="B3851" i="1"/>
  <c r="C3851" i="1"/>
  <c r="D3851" i="1"/>
  <c r="E3851" i="1"/>
  <c r="A3852" i="1"/>
  <c r="B3852" i="1"/>
  <c r="C3852" i="1"/>
  <c r="D3852" i="1"/>
  <c r="E3852" i="1"/>
  <c r="A3853" i="1"/>
  <c r="B3853" i="1"/>
  <c r="C3853" i="1"/>
  <c r="D3853" i="1"/>
  <c r="E3853" i="1"/>
  <c r="A3854" i="1"/>
  <c r="B3854" i="1"/>
  <c r="C3854" i="1"/>
  <c r="D3854" i="1"/>
  <c r="E3854" i="1"/>
  <c r="A3855" i="1"/>
  <c r="B3855" i="1"/>
  <c r="C3855" i="1"/>
  <c r="D3855" i="1"/>
  <c r="E3855" i="1"/>
  <c r="A3856" i="1"/>
  <c r="B3856" i="1"/>
  <c r="C3856" i="1"/>
  <c r="D3856" i="1"/>
  <c r="E3856" i="1"/>
  <c r="A3857" i="1"/>
  <c r="B3857" i="1"/>
  <c r="C3857" i="1"/>
  <c r="D3857" i="1"/>
  <c r="E3857" i="1"/>
  <c r="A3858" i="1"/>
  <c r="B3858" i="1"/>
  <c r="C3858" i="1"/>
  <c r="D3858" i="1"/>
  <c r="E3858" i="1"/>
  <c r="A3859" i="1"/>
  <c r="B3859" i="1"/>
  <c r="C3859" i="1"/>
  <c r="D3859" i="1"/>
  <c r="E3859" i="1"/>
  <c r="A3860" i="1"/>
  <c r="B3860" i="1"/>
  <c r="C3860" i="1"/>
  <c r="D3860" i="1"/>
  <c r="E3860" i="1"/>
  <c r="A3861" i="1"/>
  <c r="B3861" i="1"/>
  <c r="C3861" i="1"/>
  <c r="D3861" i="1"/>
  <c r="E3861" i="1"/>
  <c r="A3862" i="1"/>
  <c r="B3862" i="1"/>
  <c r="C3862" i="1"/>
  <c r="D3862" i="1"/>
  <c r="E3862" i="1"/>
  <c r="A3863" i="1"/>
  <c r="B3863" i="1"/>
  <c r="C3863" i="1"/>
  <c r="D3863" i="1"/>
  <c r="E3863" i="1"/>
  <c r="A3864" i="1"/>
  <c r="B3864" i="1"/>
  <c r="C3864" i="1"/>
  <c r="D3864" i="1"/>
  <c r="E3864" i="1"/>
  <c r="A3865" i="1"/>
  <c r="B3865" i="1"/>
  <c r="C3865" i="1"/>
  <c r="D3865" i="1"/>
  <c r="E3865" i="1"/>
  <c r="A3866" i="1"/>
  <c r="B3866" i="1"/>
  <c r="C3866" i="1"/>
  <c r="D3866" i="1"/>
  <c r="E3866" i="1"/>
  <c r="A3867" i="1"/>
  <c r="B3867" i="1"/>
  <c r="C3867" i="1"/>
  <c r="D3867" i="1"/>
  <c r="E3867" i="1"/>
  <c r="A3868" i="1"/>
  <c r="B3868" i="1"/>
  <c r="C3868" i="1"/>
  <c r="D3868" i="1"/>
  <c r="E3868" i="1"/>
  <c r="A3869" i="1"/>
  <c r="B3869" i="1"/>
  <c r="C3869" i="1"/>
  <c r="D3869" i="1"/>
  <c r="E3869" i="1"/>
  <c r="A3870" i="1"/>
  <c r="B3870" i="1"/>
  <c r="C3870" i="1"/>
  <c r="D3870" i="1"/>
  <c r="E3870" i="1"/>
  <c r="A3871" i="1"/>
  <c r="B3871" i="1"/>
  <c r="C3871" i="1"/>
  <c r="D3871" i="1"/>
  <c r="E3871" i="1"/>
  <c r="A3872" i="1"/>
  <c r="B3872" i="1"/>
  <c r="C3872" i="1"/>
  <c r="D3872" i="1"/>
  <c r="E3872" i="1"/>
  <c r="A3873" i="1"/>
  <c r="B3873" i="1"/>
  <c r="C3873" i="1"/>
  <c r="D3873" i="1"/>
  <c r="E3873" i="1"/>
  <c r="A3874" i="1"/>
  <c r="B3874" i="1"/>
  <c r="C3874" i="1"/>
  <c r="D3874" i="1"/>
  <c r="E3874" i="1"/>
  <c r="A3875" i="1"/>
  <c r="B3875" i="1"/>
  <c r="C3875" i="1"/>
  <c r="D3875" i="1"/>
  <c r="E3875" i="1"/>
  <c r="A3876" i="1"/>
  <c r="B3876" i="1"/>
  <c r="C3876" i="1"/>
  <c r="D3876" i="1"/>
  <c r="E3876" i="1"/>
  <c r="A3877" i="1"/>
  <c r="B3877" i="1"/>
  <c r="C3877" i="1"/>
  <c r="D3877" i="1"/>
  <c r="E3877" i="1"/>
  <c r="A3878" i="1"/>
  <c r="B3878" i="1"/>
  <c r="C3878" i="1"/>
  <c r="D3878" i="1"/>
  <c r="E3878" i="1"/>
  <c r="A3879" i="1"/>
  <c r="B3879" i="1"/>
  <c r="C3879" i="1"/>
  <c r="D3879" i="1"/>
  <c r="E3879" i="1"/>
  <c r="A3880" i="1"/>
  <c r="B3880" i="1"/>
  <c r="C3880" i="1"/>
  <c r="D3880" i="1"/>
  <c r="E3880" i="1"/>
  <c r="A3881" i="1"/>
  <c r="B3881" i="1"/>
  <c r="C3881" i="1"/>
  <c r="D3881" i="1"/>
  <c r="E3881" i="1"/>
  <c r="A3882" i="1"/>
  <c r="B3882" i="1"/>
  <c r="C3882" i="1"/>
  <c r="D3882" i="1"/>
  <c r="E3882" i="1"/>
  <c r="A3883" i="1"/>
  <c r="B3883" i="1"/>
  <c r="C3883" i="1"/>
  <c r="D3883" i="1"/>
  <c r="E3883" i="1"/>
  <c r="A3884" i="1"/>
  <c r="B3884" i="1"/>
  <c r="C3884" i="1"/>
  <c r="D3884" i="1"/>
  <c r="E3884" i="1"/>
  <c r="A3885" i="1"/>
  <c r="B3885" i="1"/>
  <c r="C3885" i="1"/>
  <c r="D3885" i="1"/>
  <c r="E3885" i="1"/>
  <c r="A3886" i="1"/>
  <c r="B3886" i="1"/>
  <c r="C3886" i="1"/>
  <c r="D3886" i="1"/>
  <c r="E3886" i="1"/>
  <c r="A3887" i="1"/>
  <c r="B3887" i="1"/>
  <c r="C3887" i="1"/>
  <c r="D3887" i="1"/>
  <c r="E3887" i="1"/>
  <c r="A3888" i="1"/>
  <c r="B3888" i="1"/>
  <c r="C3888" i="1"/>
  <c r="D3888" i="1"/>
  <c r="E3888" i="1"/>
  <c r="A3889" i="1"/>
  <c r="B3889" i="1"/>
  <c r="C3889" i="1"/>
  <c r="D3889" i="1"/>
  <c r="E3889" i="1"/>
  <c r="A3890" i="1"/>
  <c r="B3890" i="1"/>
  <c r="C3890" i="1"/>
  <c r="D3890" i="1"/>
  <c r="E3890" i="1"/>
  <c r="A3891" i="1"/>
  <c r="B3891" i="1"/>
  <c r="C3891" i="1"/>
  <c r="D3891" i="1"/>
  <c r="E3891" i="1"/>
  <c r="A3892" i="1"/>
  <c r="B3892" i="1"/>
  <c r="C3892" i="1"/>
  <c r="D3892" i="1"/>
  <c r="E3892" i="1"/>
  <c r="A3893" i="1"/>
  <c r="B3893" i="1"/>
  <c r="C3893" i="1"/>
  <c r="D3893" i="1"/>
  <c r="E3893" i="1"/>
  <c r="A3894" i="1"/>
  <c r="B3894" i="1"/>
  <c r="C3894" i="1"/>
  <c r="D3894" i="1"/>
  <c r="E3894" i="1"/>
  <c r="A3895" i="1"/>
  <c r="B3895" i="1"/>
  <c r="C3895" i="1"/>
  <c r="D3895" i="1"/>
  <c r="E3895" i="1"/>
  <c r="A3896" i="1"/>
  <c r="B3896" i="1"/>
  <c r="C3896" i="1"/>
  <c r="D3896" i="1"/>
  <c r="E3896" i="1"/>
  <c r="A3897" i="1"/>
  <c r="B3897" i="1"/>
  <c r="C3897" i="1"/>
  <c r="D3897" i="1"/>
  <c r="E3897" i="1"/>
  <c r="A3898" i="1"/>
  <c r="B3898" i="1"/>
  <c r="C3898" i="1"/>
  <c r="D3898" i="1"/>
  <c r="E3898" i="1"/>
  <c r="A3899" i="1"/>
  <c r="B3899" i="1"/>
  <c r="C3899" i="1"/>
  <c r="D3899" i="1"/>
  <c r="E3899" i="1"/>
  <c r="A3900" i="1"/>
  <c r="B3900" i="1"/>
  <c r="C3900" i="1"/>
  <c r="D3900" i="1"/>
  <c r="E3900" i="1"/>
  <c r="A3901" i="1"/>
  <c r="B3901" i="1"/>
  <c r="C3901" i="1"/>
  <c r="D3901" i="1"/>
  <c r="E3901" i="1"/>
  <c r="A3902" i="1"/>
  <c r="B3902" i="1"/>
  <c r="C3902" i="1"/>
  <c r="D3902" i="1"/>
  <c r="E3902" i="1"/>
  <c r="A3903" i="1"/>
  <c r="B3903" i="1"/>
  <c r="C3903" i="1"/>
  <c r="D3903" i="1"/>
  <c r="E3903" i="1"/>
  <c r="A3904" i="1"/>
  <c r="B3904" i="1"/>
  <c r="C3904" i="1"/>
  <c r="D3904" i="1"/>
  <c r="E3904" i="1"/>
  <c r="A3905" i="1"/>
  <c r="B3905" i="1"/>
  <c r="C3905" i="1"/>
  <c r="D3905" i="1"/>
  <c r="E3905" i="1"/>
  <c r="A3906" i="1"/>
  <c r="B3906" i="1"/>
  <c r="C3906" i="1"/>
  <c r="D3906" i="1"/>
  <c r="E3906" i="1"/>
  <c r="A3907" i="1"/>
  <c r="B3907" i="1"/>
  <c r="C3907" i="1"/>
  <c r="D3907" i="1"/>
  <c r="E3907" i="1"/>
  <c r="A3908" i="1"/>
  <c r="B3908" i="1"/>
  <c r="C3908" i="1"/>
  <c r="D3908" i="1"/>
  <c r="E3908" i="1"/>
  <c r="A3909" i="1"/>
  <c r="B3909" i="1"/>
  <c r="C3909" i="1"/>
  <c r="D3909" i="1"/>
  <c r="E3909" i="1"/>
  <c r="A3910" i="1"/>
  <c r="B3910" i="1"/>
  <c r="C3910" i="1"/>
  <c r="D3910" i="1"/>
  <c r="E3910" i="1"/>
  <c r="A3911" i="1"/>
  <c r="B3911" i="1"/>
  <c r="C3911" i="1"/>
  <c r="D3911" i="1"/>
  <c r="E3911" i="1"/>
  <c r="A3912" i="1"/>
  <c r="B3912" i="1"/>
  <c r="C3912" i="1"/>
  <c r="D3912" i="1"/>
  <c r="E3912" i="1"/>
  <c r="A3913" i="1"/>
  <c r="B3913" i="1"/>
  <c r="C3913" i="1"/>
  <c r="D3913" i="1"/>
  <c r="E3913" i="1"/>
  <c r="A3914" i="1"/>
  <c r="B3914" i="1"/>
  <c r="C3914" i="1"/>
  <c r="D3914" i="1"/>
  <c r="E3914" i="1"/>
  <c r="A3915" i="1"/>
  <c r="B3915" i="1"/>
  <c r="C3915" i="1"/>
  <c r="D3915" i="1"/>
  <c r="E3915" i="1"/>
  <c r="A3916" i="1"/>
  <c r="B3916" i="1"/>
  <c r="C3916" i="1"/>
  <c r="D3916" i="1"/>
  <c r="E3916" i="1"/>
  <c r="A3917" i="1"/>
  <c r="B3917" i="1"/>
  <c r="C3917" i="1"/>
  <c r="D3917" i="1"/>
  <c r="E3917" i="1"/>
  <c r="A3918" i="1"/>
  <c r="B3918" i="1"/>
  <c r="C3918" i="1"/>
  <c r="D3918" i="1"/>
  <c r="E3918" i="1"/>
  <c r="A3919" i="1"/>
  <c r="B3919" i="1"/>
  <c r="C3919" i="1"/>
  <c r="D3919" i="1"/>
  <c r="E3919" i="1"/>
  <c r="A3920" i="1"/>
  <c r="B3920" i="1"/>
  <c r="C3920" i="1"/>
  <c r="D3920" i="1"/>
  <c r="E3920" i="1"/>
  <c r="A3921" i="1"/>
  <c r="B3921" i="1"/>
  <c r="C3921" i="1"/>
  <c r="D3921" i="1"/>
  <c r="E3921" i="1"/>
  <c r="A3922" i="1"/>
  <c r="B3922" i="1"/>
  <c r="C3922" i="1"/>
  <c r="D3922" i="1"/>
  <c r="E3922" i="1"/>
  <c r="A3923" i="1"/>
  <c r="B3923" i="1"/>
  <c r="C3923" i="1"/>
  <c r="D3923" i="1"/>
  <c r="E3923" i="1"/>
  <c r="A3924" i="1"/>
  <c r="B3924" i="1"/>
  <c r="C3924" i="1"/>
  <c r="D3924" i="1"/>
  <c r="E3924" i="1"/>
  <c r="A3925" i="1"/>
  <c r="B3925" i="1"/>
  <c r="C3925" i="1"/>
  <c r="D3925" i="1"/>
  <c r="E3925" i="1"/>
  <c r="A3926" i="1"/>
  <c r="B3926" i="1"/>
  <c r="C3926" i="1"/>
  <c r="D3926" i="1"/>
  <c r="E3926" i="1"/>
  <c r="A3927" i="1"/>
  <c r="B3927" i="1"/>
  <c r="C3927" i="1"/>
  <c r="D3927" i="1"/>
  <c r="E3927" i="1"/>
  <c r="A3928" i="1"/>
  <c r="B3928" i="1"/>
  <c r="C3928" i="1"/>
  <c r="D3928" i="1"/>
  <c r="E3928" i="1"/>
  <c r="A3929" i="1"/>
  <c r="B3929" i="1"/>
  <c r="C3929" i="1"/>
  <c r="D3929" i="1"/>
  <c r="E3929" i="1"/>
  <c r="A3930" i="1"/>
  <c r="B3930" i="1"/>
  <c r="C3930" i="1"/>
  <c r="D3930" i="1"/>
  <c r="E3930" i="1"/>
  <c r="A3931" i="1"/>
  <c r="B3931" i="1"/>
  <c r="C3931" i="1"/>
  <c r="D3931" i="1"/>
  <c r="E3931" i="1"/>
  <c r="A3932" i="1"/>
  <c r="B3932" i="1"/>
  <c r="C3932" i="1"/>
  <c r="D3932" i="1"/>
  <c r="E3932" i="1"/>
  <c r="A3933" i="1"/>
  <c r="B3933" i="1"/>
  <c r="C3933" i="1"/>
  <c r="D3933" i="1"/>
  <c r="E3933" i="1"/>
  <c r="A3934" i="1"/>
  <c r="B3934" i="1"/>
  <c r="C3934" i="1"/>
  <c r="D3934" i="1"/>
  <c r="E3934" i="1"/>
  <c r="A3935" i="1"/>
  <c r="B3935" i="1"/>
  <c r="C3935" i="1"/>
  <c r="D3935" i="1"/>
  <c r="E3935" i="1"/>
  <c r="A3936" i="1"/>
  <c r="B3936" i="1"/>
  <c r="C3936" i="1"/>
  <c r="D3936" i="1"/>
  <c r="E3936" i="1"/>
  <c r="A3937" i="1"/>
  <c r="B3937" i="1"/>
  <c r="C3937" i="1"/>
  <c r="D3937" i="1"/>
  <c r="E3937" i="1"/>
  <c r="A3938" i="1"/>
  <c r="B3938" i="1"/>
  <c r="C3938" i="1"/>
  <c r="D3938" i="1"/>
  <c r="E3938" i="1"/>
  <c r="A3939" i="1"/>
  <c r="B3939" i="1"/>
  <c r="C3939" i="1"/>
  <c r="D3939" i="1"/>
  <c r="E3939" i="1"/>
  <c r="A3940" i="1"/>
  <c r="B3940" i="1"/>
  <c r="C3940" i="1"/>
  <c r="D3940" i="1"/>
  <c r="E3940" i="1"/>
  <c r="A3941" i="1"/>
  <c r="B3941" i="1"/>
  <c r="C3941" i="1"/>
  <c r="D3941" i="1"/>
  <c r="E3941" i="1"/>
  <c r="A3942" i="1"/>
  <c r="B3942" i="1"/>
  <c r="C3942" i="1"/>
  <c r="D3942" i="1"/>
  <c r="E3942" i="1"/>
  <c r="A3943" i="1"/>
  <c r="B3943" i="1"/>
  <c r="C3943" i="1"/>
  <c r="D3943" i="1"/>
  <c r="E3943" i="1"/>
  <c r="A3944" i="1"/>
  <c r="B3944" i="1"/>
  <c r="C3944" i="1"/>
  <c r="D3944" i="1"/>
  <c r="E3944" i="1"/>
  <c r="A3945" i="1"/>
  <c r="B3945" i="1"/>
  <c r="C3945" i="1"/>
  <c r="D3945" i="1"/>
  <c r="E3945" i="1"/>
  <c r="A3946" i="1"/>
  <c r="B3946" i="1"/>
  <c r="C3946" i="1"/>
  <c r="D3946" i="1"/>
  <c r="E3946" i="1"/>
  <c r="A3947" i="1"/>
  <c r="B3947" i="1"/>
  <c r="C3947" i="1"/>
  <c r="D3947" i="1"/>
  <c r="E3947" i="1"/>
  <c r="A3948" i="1"/>
  <c r="B3948" i="1"/>
  <c r="C3948" i="1"/>
  <c r="D3948" i="1"/>
  <c r="E3948" i="1"/>
  <c r="A3949" i="1"/>
  <c r="B3949" i="1"/>
  <c r="C3949" i="1"/>
  <c r="D3949" i="1"/>
  <c r="E3949" i="1"/>
  <c r="A3950" i="1"/>
  <c r="B3950" i="1"/>
  <c r="C3950" i="1"/>
  <c r="D3950" i="1"/>
  <c r="E3950" i="1"/>
  <c r="A3951" i="1"/>
  <c r="B3951" i="1"/>
  <c r="C3951" i="1"/>
  <c r="D3951" i="1"/>
  <c r="E3951" i="1"/>
  <c r="A3952" i="1"/>
  <c r="B3952" i="1"/>
  <c r="C3952" i="1"/>
  <c r="D3952" i="1"/>
  <c r="E3952" i="1"/>
  <c r="A3953" i="1"/>
  <c r="B3953" i="1"/>
  <c r="C3953" i="1"/>
  <c r="D3953" i="1"/>
  <c r="E3953" i="1"/>
  <c r="A3954" i="1"/>
  <c r="B3954" i="1"/>
  <c r="C3954" i="1"/>
  <c r="D3954" i="1"/>
  <c r="E3954" i="1"/>
  <c r="A3955" i="1"/>
  <c r="B3955" i="1"/>
  <c r="C3955" i="1"/>
  <c r="D3955" i="1"/>
  <c r="E3955" i="1"/>
  <c r="A3956" i="1"/>
  <c r="B3956" i="1"/>
  <c r="C3956" i="1"/>
  <c r="D3956" i="1"/>
  <c r="E3956" i="1"/>
  <c r="A3957" i="1"/>
  <c r="B3957" i="1"/>
  <c r="C3957" i="1"/>
  <c r="D3957" i="1"/>
  <c r="E3957" i="1"/>
  <c r="A3958" i="1"/>
  <c r="B3958" i="1"/>
  <c r="C3958" i="1"/>
  <c r="D3958" i="1"/>
  <c r="E3958" i="1"/>
  <c r="A3959" i="1"/>
  <c r="B3959" i="1"/>
  <c r="C3959" i="1"/>
  <c r="D3959" i="1"/>
  <c r="E3959" i="1"/>
  <c r="A3960" i="1"/>
  <c r="B3960" i="1"/>
  <c r="C3960" i="1"/>
  <c r="D3960" i="1"/>
  <c r="E3960" i="1"/>
  <c r="A3961" i="1"/>
  <c r="B3961" i="1"/>
  <c r="C3961" i="1"/>
  <c r="D3961" i="1"/>
  <c r="E3961" i="1"/>
  <c r="A3962" i="1"/>
  <c r="B3962" i="1"/>
  <c r="C3962" i="1"/>
  <c r="D3962" i="1"/>
  <c r="E3962" i="1"/>
  <c r="A3963" i="1"/>
  <c r="B3963" i="1"/>
  <c r="C3963" i="1"/>
  <c r="D3963" i="1"/>
  <c r="E3963" i="1"/>
  <c r="A3964" i="1"/>
  <c r="B3964" i="1"/>
  <c r="C3964" i="1"/>
  <c r="D3964" i="1"/>
  <c r="E3964" i="1"/>
  <c r="A3965" i="1"/>
  <c r="B3965" i="1"/>
  <c r="C3965" i="1"/>
  <c r="D3965" i="1"/>
  <c r="E3965" i="1"/>
  <c r="A3966" i="1"/>
  <c r="B3966" i="1"/>
  <c r="C3966" i="1"/>
  <c r="D3966" i="1"/>
  <c r="E3966" i="1"/>
  <c r="A3967" i="1"/>
  <c r="B3967" i="1"/>
  <c r="C3967" i="1"/>
  <c r="D3967" i="1"/>
  <c r="E3967" i="1"/>
  <c r="A3968" i="1"/>
  <c r="B3968" i="1"/>
  <c r="C3968" i="1"/>
  <c r="D3968" i="1"/>
  <c r="E3968" i="1"/>
  <c r="A3969" i="1"/>
  <c r="B3969" i="1"/>
  <c r="C3969" i="1"/>
  <c r="D3969" i="1"/>
  <c r="E3969" i="1"/>
  <c r="A3970" i="1"/>
  <c r="B3970" i="1"/>
  <c r="C3970" i="1"/>
  <c r="D3970" i="1"/>
  <c r="E3970" i="1"/>
  <c r="A3971" i="1"/>
  <c r="B3971" i="1"/>
  <c r="C3971" i="1"/>
  <c r="D3971" i="1"/>
  <c r="E3971" i="1"/>
  <c r="A3972" i="1"/>
  <c r="B3972" i="1"/>
  <c r="C3972" i="1"/>
  <c r="D3972" i="1"/>
  <c r="E3972" i="1"/>
  <c r="A3973" i="1"/>
  <c r="B3973" i="1"/>
  <c r="C3973" i="1"/>
  <c r="D3973" i="1"/>
  <c r="E3973" i="1"/>
  <c r="A3974" i="1"/>
  <c r="B3974" i="1"/>
  <c r="C3974" i="1"/>
  <c r="D3974" i="1"/>
  <c r="E3974" i="1"/>
  <c r="A3975" i="1"/>
  <c r="B3975" i="1"/>
  <c r="C3975" i="1"/>
  <c r="D3975" i="1"/>
  <c r="E3975" i="1"/>
  <c r="A3976" i="1"/>
  <c r="B3976" i="1"/>
  <c r="C3976" i="1"/>
  <c r="D3976" i="1"/>
  <c r="E3976" i="1"/>
  <c r="A3977" i="1"/>
  <c r="B3977" i="1"/>
  <c r="C3977" i="1"/>
  <c r="D3977" i="1"/>
  <c r="E3977" i="1"/>
  <c r="A3978" i="1"/>
  <c r="B3978" i="1"/>
  <c r="C3978" i="1"/>
  <c r="D3978" i="1"/>
  <c r="E3978" i="1"/>
  <c r="A3979" i="1"/>
  <c r="B3979" i="1"/>
  <c r="C3979" i="1"/>
  <c r="D3979" i="1"/>
  <c r="E3979" i="1"/>
  <c r="A3980" i="1"/>
  <c r="B3980" i="1"/>
  <c r="C3980" i="1"/>
  <c r="D3980" i="1"/>
  <c r="E3980" i="1"/>
  <c r="A3981" i="1"/>
  <c r="B3981" i="1"/>
  <c r="C3981" i="1"/>
  <c r="D3981" i="1"/>
  <c r="E3981" i="1"/>
  <c r="A3982" i="1"/>
  <c r="B3982" i="1"/>
  <c r="C3982" i="1"/>
  <c r="D3982" i="1"/>
  <c r="E3982" i="1"/>
  <c r="A3983" i="1"/>
  <c r="B3983" i="1"/>
  <c r="C3983" i="1"/>
  <c r="D3983" i="1"/>
  <c r="E3983" i="1"/>
  <c r="A3984" i="1"/>
  <c r="B3984" i="1"/>
  <c r="C3984" i="1"/>
  <c r="D3984" i="1"/>
  <c r="E3984" i="1"/>
  <c r="A3985" i="1"/>
  <c r="B3985" i="1"/>
  <c r="C3985" i="1"/>
  <c r="D3985" i="1"/>
  <c r="E3985" i="1"/>
  <c r="A3986" i="1"/>
  <c r="B3986" i="1"/>
  <c r="C3986" i="1"/>
  <c r="D3986" i="1"/>
  <c r="E3986" i="1"/>
  <c r="A3987" i="1"/>
  <c r="B3987" i="1"/>
  <c r="C3987" i="1"/>
  <c r="D3987" i="1"/>
  <c r="E3987" i="1"/>
  <c r="A3988" i="1"/>
  <c r="B3988" i="1"/>
  <c r="C3988" i="1"/>
  <c r="D3988" i="1"/>
  <c r="E3988" i="1"/>
  <c r="A3989" i="1"/>
  <c r="B3989" i="1"/>
  <c r="C3989" i="1"/>
  <c r="D3989" i="1"/>
  <c r="E3989" i="1"/>
  <c r="A3990" i="1"/>
  <c r="B3990" i="1"/>
  <c r="C3990" i="1"/>
  <c r="D3990" i="1"/>
  <c r="E3990" i="1"/>
  <c r="A3991" i="1"/>
  <c r="B3991" i="1"/>
  <c r="C3991" i="1"/>
  <c r="D3991" i="1"/>
  <c r="E3991" i="1"/>
  <c r="A3992" i="1"/>
  <c r="B3992" i="1"/>
  <c r="C3992" i="1"/>
  <c r="D3992" i="1"/>
  <c r="E3992" i="1"/>
  <c r="A3993" i="1"/>
  <c r="B3993" i="1"/>
  <c r="C3993" i="1"/>
  <c r="D3993" i="1"/>
  <c r="E3993" i="1"/>
  <c r="A3994" i="1"/>
  <c r="B3994" i="1"/>
  <c r="C3994" i="1"/>
  <c r="D3994" i="1"/>
  <c r="E3994" i="1"/>
  <c r="A3995" i="1"/>
  <c r="B3995" i="1"/>
  <c r="C3995" i="1"/>
  <c r="D3995" i="1"/>
  <c r="E3995" i="1"/>
  <c r="A3996" i="1"/>
  <c r="B3996" i="1"/>
  <c r="C3996" i="1"/>
  <c r="D3996" i="1"/>
  <c r="E3996" i="1"/>
  <c r="A3997" i="1"/>
  <c r="B3997" i="1"/>
  <c r="C3997" i="1"/>
  <c r="D3997" i="1"/>
  <c r="E3997" i="1"/>
  <c r="A3998" i="1"/>
  <c r="B3998" i="1"/>
  <c r="C3998" i="1"/>
  <c r="D3998" i="1"/>
  <c r="E3998" i="1"/>
  <c r="A3999" i="1"/>
  <c r="B3999" i="1"/>
  <c r="C3999" i="1"/>
  <c r="D3999" i="1"/>
  <c r="E3999" i="1"/>
  <c r="A4000" i="1"/>
  <c r="B4000" i="1"/>
  <c r="C4000" i="1"/>
  <c r="D4000" i="1"/>
  <c r="E4000" i="1"/>
  <c r="A4001" i="1"/>
  <c r="B4001" i="1"/>
  <c r="C4001" i="1"/>
  <c r="D4001" i="1"/>
  <c r="E4001" i="1"/>
  <c r="A4002" i="1"/>
  <c r="B4002" i="1"/>
  <c r="C4002" i="1"/>
  <c r="D4002" i="1"/>
  <c r="E4002" i="1"/>
  <c r="A4003" i="1"/>
  <c r="B4003" i="1"/>
  <c r="C4003" i="1"/>
  <c r="D4003" i="1"/>
  <c r="E4003" i="1"/>
  <c r="A4004" i="1"/>
  <c r="B4004" i="1"/>
  <c r="C4004" i="1"/>
  <c r="D4004" i="1"/>
  <c r="E4004" i="1"/>
  <c r="A4005" i="1"/>
  <c r="B4005" i="1"/>
  <c r="C4005" i="1"/>
  <c r="D4005" i="1"/>
  <c r="E4005" i="1"/>
  <c r="A4006" i="1"/>
  <c r="B4006" i="1"/>
  <c r="C4006" i="1"/>
  <c r="D4006" i="1"/>
  <c r="E4006" i="1"/>
  <c r="A4007" i="1"/>
  <c r="B4007" i="1"/>
  <c r="C4007" i="1"/>
  <c r="D4007" i="1"/>
  <c r="E4007" i="1"/>
  <c r="A4008" i="1"/>
  <c r="B4008" i="1"/>
  <c r="C4008" i="1"/>
  <c r="D4008" i="1"/>
  <c r="E4008" i="1"/>
  <c r="A4009" i="1"/>
  <c r="B4009" i="1"/>
  <c r="C4009" i="1"/>
  <c r="D4009" i="1"/>
  <c r="E4009" i="1"/>
  <c r="A4010" i="1"/>
  <c r="B4010" i="1"/>
  <c r="C4010" i="1"/>
  <c r="D4010" i="1"/>
  <c r="E4010" i="1"/>
  <c r="A4011" i="1"/>
  <c r="B4011" i="1"/>
  <c r="C4011" i="1"/>
  <c r="D4011" i="1"/>
  <c r="E4011" i="1"/>
  <c r="A4012" i="1"/>
  <c r="B4012" i="1"/>
  <c r="C4012" i="1"/>
  <c r="D4012" i="1"/>
  <c r="E4012" i="1"/>
  <c r="A4013" i="1"/>
  <c r="B4013" i="1"/>
  <c r="C4013" i="1"/>
  <c r="D4013" i="1"/>
  <c r="E4013" i="1"/>
  <c r="A4014" i="1"/>
  <c r="B4014" i="1"/>
  <c r="C4014" i="1"/>
  <c r="D4014" i="1"/>
  <c r="E4014" i="1"/>
  <c r="A4015" i="1"/>
  <c r="B4015" i="1"/>
  <c r="C4015" i="1"/>
  <c r="D4015" i="1"/>
  <c r="E4015" i="1"/>
  <c r="A4016" i="1"/>
  <c r="B4016" i="1"/>
  <c r="C4016" i="1"/>
  <c r="D4016" i="1"/>
  <c r="E4016" i="1"/>
  <c r="A4017" i="1"/>
  <c r="B4017" i="1"/>
  <c r="C4017" i="1"/>
  <c r="D4017" i="1"/>
  <c r="E4017" i="1"/>
  <c r="A4018" i="1"/>
  <c r="B4018" i="1"/>
  <c r="C4018" i="1"/>
  <c r="D4018" i="1"/>
  <c r="E4018" i="1"/>
  <c r="A4019" i="1"/>
  <c r="B4019" i="1"/>
  <c r="C4019" i="1"/>
  <c r="D4019" i="1"/>
  <c r="E4019" i="1"/>
  <c r="A4020" i="1"/>
  <c r="B4020" i="1"/>
  <c r="C4020" i="1"/>
  <c r="D4020" i="1"/>
  <c r="E4020" i="1"/>
  <c r="A4021" i="1"/>
  <c r="B4021" i="1"/>
  <c r="C4021" i="1"/>
  <c r="D4021" i="1"/>
  <c r="E4021" i="1"/>
  <c r="A4022" i="1"/>
  <c r="B4022" i="1"/>
  <c r="C4022" i="1"/>
  <c r="D4022" i="1"/>
  <c r="E4022" i="1"/>
  <c r="A4023" i="1"/>
  <c r="B4023" i="1"/>
  <c r="C4023" i="1"/>
  <c r="D4023" i="1"/>
  <c r="E4023" i="1"/>
  <c r="A4024" i="1"/>
  <c r="B4024" i="1"/>
  <c r="C4024" i="1"/>
  <c r="D4024" i="1"/>
  <c r="E4024" i="1"/>
  <c r="A4025" i="1"/>
  <c r="B4025" i="1"/>
  <c r="C4025" i="1"/>
  <c r="D4025" i="1"/>
  <c r="E4025" i="1"/>
  <c r="A4026" i="1"/>
  <c r="B4026" i="1"/>
  <c r="C4026" i="1"/>
  <c r="D4026" i="1"/>
  <c r="E4026" i="1"/>
  <c r="A4027" i="1"/>
  <c r="B4027" i="1"/>
  <c r="C4027" i="1"/>
  <c r="D4027" i="1"/>
  <c r="E4027" i="1"/>
  <c r="A4028" i="1"/>
  <c r="B4028" i="1"/>
  <c r="C4028" i="1"/>
  <c r="D4028" i="1"/>
  <c r="E4028" i="1"/>
  <c r="A4029" i="1"/>
  <c r="B4029" i="1"/>
  <c r="C4029" i="1"/>
  <c r="D4029" i="1"/>
  <c r="E4029" i="1"/>
  <c r="A4030" i="1"/>
  <c r="B4030" i="1"/>
  <c r="C4030" i="1"/>
  <c r="D4030" i="1"/>
  <c r="E4030" i="1"/>
  <c r="A4031" i="1"/>
  <c r="B4031" i="1"/>
  <c r="C4031" i="1"/>
  <c r="D4031" i="1"/>
  <c r="E4031" i="1"/>
  <c r="A4032" i="1"/>
  <c r="B4032" i="1"/>
  <c r="C4032" i="1"/>
  <c r="D4032" i="1"/>
  <c r="E4032" i="1"/>
  <c r="A4033" i="1"/>
  <c r="B4033" i="1"/>
  <c r="C4033" i="1"/>
  <c r="D4033" i="1"/>
  <c r="E4033" i="1"/>
  <c r="A4034" i="1"/>
  <c r="B4034" i="1"/>
  <c r="C4034" i="1"/>
  <c r="D4034" i="1"/>
  <c r="E4034" i="1"/>
  <c r="A4035" i="1"/>
  <c r="B4035" i="1"/>
  <c r="C4035" i="1"/>
  <c r="D4035" i="1"/>
  <c r="E4035" i="1"/>
  <c r="A4036" i="1"/>
  <c r="B4036" i="1"/>
  <c r="C4036" i="1"/>
  <c r="D4036" i="1"/>
  <c r="E4036" i="1"/>
  <c r="A4037" i="1"/>
  <c r="B4037" i="1"/>
  <c r="C4037" i="1"/>
  <c r="D4037" i="1"/>
  <c r="E4037" i="1"/>
  <c r="A4038" i="1"/>
  <c r="B4038" i="1"/>
  <c r="C4038" i="1"/>
  <c r="D4038" i="1"/>
  <c r="E4038" i="1"/>
  <c r="A4039" i="1"/>
  <c r="B4039" i="1"/>
  <c r="C4039" i="1"/>
  <c r="D4039" i="1"/>
  <c r="E4039" i="1"/>
  <c r="A4040" i="1"/>
  <c r="B4040" i="1"/>
  <c r="C4040" i="1"/>
  <c r="D4040" i="1"/>
  <c r="E4040" i="1"/>
  <c r="A4041" i="1"/>
  <c r="B4041" i="1"/>
  <c r="C4041" i="1"/>
  <c r="D4041" i="1"/>
  <c r="E4041" i="1"/>
  <c r="A4042" i="1"/>
  <c r="B4042" i="1"/>
  <c r="C4042" i="1"/>
  <c r="D4042" i="1"/>
  <c r="E4042" i="1"/>
  <c r="A4043" i="1"/>
  <c r="B4043" i="1"/>
  <c r="C4043" i="1"/>
  <c r="D4043" i="1"/>
  <c r="E4043" i="1"/>
  <c r="A4044" i="1"/>
  <c r="B4044" i="1"/>
  <c r="C4044" i="1"/>
  <c r="D4044" i="1"/>
  <c r="E4044" i="1"/>
  <c r="A4045" i="1"/>
  <c r="B4045" i="1"/>
  <c r="C4045" i="1"/>
  <c r="D4045" i="1"/>
  <c r="E4045" i="1"/>
  <c r="A4046" i="1"/>
  <c r="B4046" i="1"/>
  <c r="C4046" i="1"/>
  <c r="D4046" i="1"/>
  <c r="E4046" i="1"/>
  <c r="A4047" i="1"/>
  <c r="B4047" i="1"/>
  <c r="C4047" i="1"/>
  <c r="D4047" i="1"/>
  <c r="E4047" i="1"/>
  <c r="A4048" i="1"/>
  <c r="B4048" i="1"/>
  <c r="C4048" i="1"/>
  <c r="D4048" i="1"/>
  <c r="E4048" i="1"/>
  <c r="A4049" i="1"/>
  <c r="B4049" i="1"/>
  <c r="C4049" i="1"/>
  <c r="D4049" i="1"/>
  <c r="E4049" i="1"/>
  <c r="A4050" i="1"/>
  <c r="B4050" i="1"/>
  <c r="C4050" i="1"/>
  <c r="D4050" i="1"/>
  <c r="E4050" i="1"/>
  <c r="A4051" i="1"/>
  <c r="B4051" i="1"/>
  <c r="C4051" i="1"/>
  <c r="D4051" i="1"/>
  <c r="E4051" i="1"/>
  <c r="A4052" i="1"/>
  <c r="B4052" i="1"/>
  <c r="C4052" i="1"/>
  <c r="D4052" i="1"/>
  <c r="E4052" i="1"/>
  <c r="A4053" i="1"/>
  <c r="B4053" i="1"/>
  <c r="C4053" i="1"/>
  <c r="D4053" i="1"/>
  <c r="E4053" i="1"/>
  <c r="A4054" i="1"/>
  <c r="B4054" i="1"/>
  <c r="C4054" i="1"/>
  <c r="D4054" i="1"/>
  <c r="E4054" i="1"/>
  <c r="A4055" i="1"/>
  <c r="B4055" i="1"/>
  <c r="C4055" i="1"/>
  <c r="D4055" i="1"/>
  <c r="E4055" i="1"/>
  <c r="A4056" i="1"/>
  <c r="B4056" i="1"/>
  <c r="C4056" i="1"/>
  <c r="D4056" i="1"/>
  <c r="E4056" i="1"/>
  <c r="A4057" i="1"/>
  <c r="B4057" i="1"/>
  <c r="C4057" i="1"/>
  <c r="D4057" i="1"/>
  <c r="E4057" i="1"/>
  <c r="A4058" i="1"/>
  <c r="B4058" i="1"/>
  <c r="C4058" i="1"/>
  <c r="D4058" i="1"/>
  <c r="E4058" i="1"/>
  <c r="A4059" i="1"/>
  <c r="B4059" i="1"/>
  <c r="C4059" i="1"/>
  <c r="D4059" i="1"/>
  <c r="E4059" i="1"/>
  <c r="A4060" i="1"/>
  <c r="B4060" i="1"/>
  <c r="C4060" i="1"/>
  <c r="D4060" i="1"/>
  <c r="E4060" i="1"/>
  <c r="A4061" i="1"/>
  <c r="B4061" i="1"/>
  <c r="C4061" i="1"/>
  <c r="D4061" i="1"/>
  <c r="E4061" i="1"/>
  <c r="A4062" i="1"/>
  <c r="B4062" i="1"/>
  <c r="C4062" i="1"/>
  <c r="D4062" i="1"/>
  <c r="E4062" i="1"/>
  <c r="A4063" i="1"/>
  <c r="B4063" i="1"/>
  <c r="C4063" i="1"/>
  <c r="D4063" i="1"/>
  <c r="E4063" i="1"/>
  <c r="A4064" i="1"/>
  <c r="B4064" i="1"/>
  <c r="C4064" i="1"/>
  <c r="D4064" i="1"/>
  <c r="E4064" i="1"/>
  <c r="A4065" i="1"/>
  <c r="B4065" i="1"/>
  <c r="C4065" i="1"/>
  <c r="D4065" i="1"/>
  <c r="E4065" i="1"/>
  <c r="A4066" i="1"/>
  <c r="B4066" i="1"/>
  <c r="C4066" i="1"/>
  <c r="D4066" i="1"/>
  <c r="E4066" i="1"/>
  <c r="A4067" i="1"/>
  <c r="B4067" i="1"/>
  <c r="C4067" i="1"/>
  <c r="D4067" i="1"/>
  <c r="E4067" i="1"/>
  <c r="A4068" i="1"/>
  <c r="B4068" i="1"/>
  <c r="C4068" i="1"/>
  <c r="D4068" i="1"/>
  <c r="E4068" i="1"/>
  <c r="A4069" i="1"/>
  <c r="B4069" i="1"/>
  <c r="C4069" i="1"/>
  <c r="D4069" i="1"/>
  <c r="E4069" i="1"/>
  <c r="A4070" i="1"/>
  <c r="B4070" i="1"/>
  <c r="C4070" i="1"/>
  <c r="D4070" i="1"/>
  <c r="E4070" i="1"/>
  <c r="A4071" i="1"/>
  <c r="B4071" i="1"/>
  <c r="C4071" i="1"/>
  <c r="D4071" i="1"/>
  <c r="E4071" i="1"/>
  <c r="A4072" i="1"/>
  <c r="B4072" i="1"/>
  <c r="C4072" i="1"/>
  <c r="D4072" i="1"/>
  <c r="E4072" i="1"/>
  <c r="A4073" i="1"/>
  <c r="B4073" i="1"/>
  <c r="C4073" i="1"/>
  <c r="D4073" i="1"/>
  <c r="E4073" i="1"/>
  <c r="A4074" i="1"/>
  <c r="B4074" i="1"/>
  <c r="C4074" i="1"/>
  <c r="D4074" i="1"/>
  <c r="E4074" i="1"/>
  <c r="A4075" i="1"/>
  <c r="B4075" i="1"/>
  <c r="C4075" i="1"/>
  <c r="D4075" i="1"/>
  <c r="E4075" i="1"/>
  <c r="A4076" i="1"/>
  <c r="B4076" i="1"/>
  <c r="C4076" i="1"/>
  <c r="D4076" i="1"/>
  <c r="E4076" i="1"/>
  <c r="A4077" i="1"/>
  <c r="B4077" i="1"/>
  <c r="C4077" i="1"/>
  <c r="D4077" i="1"/>
  <c r="E4077" i="1"/>
  <c r="A4078" i="1"/>
  <c r="B4078" i="1"/>
  <c r="C4078" i="1"/>
  <c r="D4078" i="1"/>
  <c r="E4078" i="1"/>
  <c r="A4079" i="1"/>
  <c r="B4079" i="1"/>
  <c r="C4079" i="1"/>
  <c r="D4079" i="1"/>
  <c r="E4079" i="1"/>
  <c r="A4080" i="1"/>
  <c r="B4080" i="1"/>
  <c r="C4080" i="1"/>
  <c r="D4080" i="1"/>
  <c r="E4080" i="1"/>
  <c r="A4081" i="1"/>
  <c r="B4081" i="1"/>
  <c r="C4081" i="1"/>
  <c r="D4081" i="1"/>
  <c r="E4081" i="1"/>
  <c r="A4082" i="1"/>
  <c r="B4082" i="1"/>
  <c r="C4082" i="1"/>
  <c r="D4082" i="1"/>
  <c r="E4082" i="1"/>
  <c r="A4083" i="1"/>
  <c r="B4083" i="1"/>
  <c r="C4083" i="1"/>
  <c r="D4083" i="1"/>
  <c r="E4083" i="1"/>
  <c r="A4084" i="1"/>
  <c r="B4084" i="1"/>
  <c r="C4084" i="1"/>
  <c r="D4084" i="1"/>
  <c r="E4084" i="1"/>
  <c r="A4085" i="1"/>
  <c r="B4085" i="1"/>
  <c r="C4085" i="1"/>
  <c r="D4085" i="1"/>
  <c r="E4085" i="1"/>
  <c r="A4086" i="1"/>
  <c r="B4086" i="1"/>
  <c r="C4086" i="1"/>
  <c r="D4086" i="1"/>
  <c r="E4086" i="1"/>
  <c r="A4087" i="1"/>
  <c r="B4087" i="1"/>
  <c r="C4087" i="1"/>
  <c r="D4087" i="1"/>
  <c r="E4087" i="1"/>
  <c r="A4088" i="1"/>
  <c r="B4088" i="1"/>
  <c r="C4088" i="1"/>
  <c r="D4088" i="1"/>
  <c r="E4088" i="1"/>
  <c r="A4089" i="1"/>
  <c r="B4089" i="1"/>
  <c r="C4089" i="1"/>
  <c r="D4089" i="1"/>
  <c r="E4089" i="1"/>
  <c r="A4090" i="1"/>
  <c r="B4090" i="1"/>
  <c r="C4090" i="1"/>
  <c r="D4090" i="1"/>
  <c r="E4090" i="1"/>
  <c r="A4091" i="1"/>
  <c r="B4091" i="1"/>
  <c r="C4091" i="1"/>
  <c r="D4091" i="1"/>
  <c r="E4091" i="1"/>
  <c r="A4092" i="1"/>
  <c r="B4092" i="1"/>
  <c r="C4092" i="1"/>
  <c r="D4092" i="1"/>
  <c r="E4092" i="1"/>
  <c r="A4093" i="1"/>
  <c r="B4093" i="1"/>
  <c r="C4093" i="1"/>
  <c r="D4093" i="1"/>
  <c r="E4093" i="1"/>
  <c r="A4094" i="1"/>
  <c r="B4094" i="1"/>
  <c r="C4094" i="1"/>
  <c r="D4094" i="1"/>
  <c r="E4094" i="1"/>
  <c r="A4095" i="1"/>
  <c r="B4095" i="1"/>
  <c r="C4095" i="1"/>
  <c r="D4095" i="1"/>
  <c r="E4095" i="1"/>
  <c r="A4096" i="1"/>
  <c r="B4096" i="1"/>
  <c r="C4096" i="1"/>
  <c r="D4096" i="1"/>
  <c r="E4096" i="1"/>
  <c r="A4097" i="1"/>
  <c r="B4097" i="1"/>
  <c r="C4097" i="1"/>
  <c r="D4097" i="1"/>
  <c r="E4097" i="1"/>
  <c r="A4098" i="1"/>
  <c r="B4098" i="1"/>
  <c r="C4098" i="1"/>
  <c r="D4098" i="1"/>
  <c r="E4098" i="1"/>
  <c r="A4099" i="1"/>
  <c r="B4099" i="1"/>
  <c r="C4099" i="1"/>
  <c r="D4099" i="1"/>
  <c r="E4099" i="1"/>
  <c r="A4100" i="1"/>
  <c r="B4100" i="1"/>
  <c r="C4100" i="1"/>
  <c r="D4100" i="1"/>
  <c r="E4100" i="1"/>
  <c r="A4101" i="1"/>
  <c r="B4101" i="1"/>
  <c r="C4101" i="1"/>
  <c r="D4101" i="1"/>
  <c r="E4101" i="1"/>
  <c r="A4102" i="1"/>
  <c r="B4102" i="1"/>
  <c r="C4102" i="1"/>
  <c r="D4102" i="1"/>
  <c r="E4102" i="1"/>
  <c r="A4103" i="1"/>
  <c r="B4103" i="1"/>
  <c r="C4103" i="1"/>
  <c r="D4103" i="1"/>
  <c r="E4103" i="1"/>
  <c r="A4104" i="1"/>
  <c r="B4104" i="1"/>
  <c r="C4104" i="1"/>
  <c r="D4104" i="1"/>
  <c r="E4104" i="1"/>
  <c r="A4105" i="1"/>
  <c r="B4105" i="1"/>
  <c r="C4105" i="1"/>
  <c r="D4105" i="1"/>
  <c r="E4105" i="1"/>
  <c r="A4106" i="1"/>
  <c r="B4106" i="1"/>
  <c r="C4106" i="1"/>
  <c r="D4106" i="1"/>
  <c r="E4106" i="1"/>
  <c r="A4107" i="1"/>
  <c r="B4107" i="1"/>
  <c r="C4107" i="1"/>
  <c r="D4107" i="1"/>
  <c r="E4107" i="1"/>
  <c r="A4108" i="1"/>
  <c r="B4108" i="1"/>
  <c r="C4108" i="1"/>
  <c r="D4108" i="1"/>
  <c r="E4108" i="1"/>
  <c r="A4109" i="1"/>
  <c r="B4109" i="1"/>
  <c r="C4109" i="1"/>
  <c r="D4109" i="1"/>
  <c r="E4109" i="1"/>
  <c r="A4110" i="1"/>
  <c r="B4110" i="1"/>
  <c r="C4110" i="1"/>
  <c r="D4110" i="1"/>
  <c r="E4110" i="1"/>
  <c r="A4111" i="1"/>
  <c r="B4111" i="1"/>
  <c r="C4111" i="1"/>
  <c r="D4111" i="1"/>
  <c r="E4111" i="1"/>
  <c r="A4112" i="1"/>
  <c r="B4112" i="1"/>
  <c r="C4112" i="1"/>
  <c r="D4112" i="1"/>
  <c r="E4112" i="1"/>
  <c r="A4113" i="1"/>
  <c r="B4113" i="1"/>
  <c r="C4113" i="1"/>
  <c r="D4113" i="1"/>
  <c r="E4113" i="1"/>
  <c r="A4114" i="1"/>
  <c r="B4114" i="1"/>
  <c r="C4114" i="1"/>
  <c r="D4114" i="1"/>
  <c r="E4114" i="1"/>
  <c r="A4115" i="1"/>
  <c r="B4115" i="1"/>
  <c r="C4115" i="1"/>
  <c r="D4115" i="1"/>
  <c r="E4115" i="1"/>
  <c r="A4116" i="1"/>
  <c r="B4116" i="1"/>
  <c r="C4116" i="1"/>
  <c r="D4116" i="1"/>
  <c r="E4116" i="1"/>
  <c r="A4117" i="1"/>
  <c r="B4117" i="1"/>
  <c r="C4117" i="1"/>
  <c r="D4117" i="1"/>
  <c r="E4117" i="1"/>
  <c r="A4118" i="1"/>
  <c r="B4118" i="1"/>
  <c r="C4118" i="1"/>
  <c r="D4118" i="1"/>
  <c r="E4118" i="1"/>
  <c r="A4119" i="1"/>
  <c r="B4119" i="1"/>
  <c r="C4119" i="1"/>
  <c r="D4119" i="1"/>
  <c r="E4119" i="1"/>
  <c r="A4120" i="1"/>
  <c r="B4120" i="1"/>
  <c r="C4120" i="1"/>
  <c r="D4120" i="1"/>
  <c r="E4120" i="1"/>
  <c r="A4121" i="1"/>
  <c r="B4121" i="1"/>
  <c r="C4121" i="1"/>
  <c r="D4121" i="1"/>
  <c r="E4121" i="1"/>
  <c r="A4122" i="1"/>
  <c r="B4122" i="1"/>
  <c r="C4122" i="1"/>
  <c r="D4122" i="1"/>
  <c r="E4122" i="1"/>
  <c r="A4123" i="1"/>
  <c r="B4123" i="1"/>
  <c r="C4123" i="1"/>
  <c r="D4123" i="1"/>
  <c r="E4123" i="1"/>
  <c r="A4124" i="1"/>
  <c r="B4124" i="1"/>
  <c r="C4124" i="1"/>
  <c r="D4124" i="1"/>
  <c r="E4124" i="1"/>
  <c r="A4125" i="1"/>
  <c r="B4125" i="1"/>
  <c r="C4125" i="1"/>
  <c r="D4125" i="1"/>
  <c r="E4125" i="1"/>
  <c r="A4126" i="1"/>
  <c r="B4126" i="1"/>
  <c r="C4126" i="1"/>
  <c r="D4126" i="1"/>
  <c r="E4126" i="1"/>
  <c r="A4127" i="1"/>
  <c r="B4127" i="1"/>
  <c r="C4127" i="1"/>
  <c r="D4127" i="1"/>
  <c r="E4127" i="1"/>
  <c r="A4128" i="1"/>
  <c r="B4128" i="1"/>
  <c r="C4128" i="1"/>
  <c r="D4128" i="1"/>
  <c r="E4128" i="1"/>
  <c r="A4129" i="1"/>
  <c r="B4129" i="1"/>
  <c r="C4129" i="1"/>
  <c r="D4129" i="1"/>
  <c r="E4129" i="1"/>
  <c r="A4130" i="1"/>
  <c r="B4130" i="1"/>
  <c r="C4130" i="1"/>
  <c r="D4130" i="1"/>
  <c r="E4130" i="1"/>
  <c r="A4131" i="1"/>
  <c r="B4131" i="1"/>
  <c r="C4131" i="1"/>
  <c r="D4131" i="1"/>
  <c r="E4131" i="1"/>
  <c r="A4132" i="1"/>
  <c r="B4132" i="1"/>
  <c r="C4132" i="1"/>
  <c r="D4132" i="1"/>
  <c r="E4132" i="1"/>
  <c r="A4133" i="1"/>
  <c r="B4133" i="1"/>
  <c r="C4133" i="1"/>
  <c r="D4133" i="1"/>
  <c r="E4133" i="1"/>
  <c r="A4134" i="1"/>
  <c r="B4134" i="1"/>
  <c r="C4134" i="1"/>
  <c r="D4134" i="1"/>
  <c r="E4134" i="1"/>
  <c r="A4135" i="1"/>
  <c r="B4135" i="1"/>
  <c r="C4135" i="1"/>
  <c r="D4135" i="1"/>
  <c r="E4135" i="1"/>
  <c r="A4136" i="1"/>
  <c r="B4136" i="1"/>
  <c r="C4136" i="1"/>
  <c r="D4136" i="1"/>
  <c r="E4136" i="1"/>
  <c r="A4137" i="1"/>
  <c r="B4137" i="1"/>
  <c r="C4137" i="1"/>
  <c r="D4137" i="1"/>
  <c r="E4137" i="1"/>
  <c r="A4138" i="1"/>
  <c r="B4138" i="1"/>
  <c r="C4138" i="1"/>
  <c r="D4138" i="1"/>
  <c r="E4138" i="1"/>
  <c r="A4139" i="1"/>
  <c r="B4139" i="1"/>
  <c r="C4139" i="1"/>
  <c r="D4139" i="1"/>
  <c r="E4139" i="1"/>
  <c r="A4140" i="1"/>
  <c r="B4140" i="1"/>
  <c r="C4140" i="1"/>
  <c r="D4140" i="1"/>
  <c r="E4140" i="1"/>
  <c r="A4141" i="1"/>
  <c r="B4141" i="1"/>
  <c r="C4141" i="1"/>
  <c r="D4141" i="1"/>
  <c r="E4141" i="1"/>
  <c r="A4142" i="1"/>
  <c r="B4142" i="1"/>
  <c r="C4142" i="1"/>
  <c r="D4142" i="1"/>
  <c r="E4142" i="1"/>
  <c r="A4143" i="1"/>
  <c r="B4143" i="1"/>
  <c r="C4143" i="1"/>
  <c r="D4143" i="1"/>
  <c r="E4143" i="1"/>
  <c r="A4144" i="1"/>
  <c r="B4144" i="1"/>
  <c r="C4144" i="1"/>
  <c r="D4144" i="1"/>
  <c r="E4144" i="1"/>
  <c r="A4145" i="1"/>
  <c r="B4145" i="1"/>
  <c r="C4145" i="1"/>
  <c r="D4145" i="1"/>
  <c r="E4145" i="1"/>
  <c r="A4146" i="1"/>
  <c r="B4146" i="1"/>
  <c r="C4146" i="1"/>
  <c r="D4146" i="1"/>
  <c r="E4146" i="1"/>
  <c r="A4147" i="1"/>
  <c r="B4147" i="1"/>
  <c r="C4147" i="1"/>
  <c r="D4147" i="1"/>
  <c r="E4147" i="1"/>
  <c r="A4148" i="1"/>
  <c r="B4148" i="1"/>
  <c r="C4148" i="1"/>
  <c r="D4148" i="1"/>
  <c r="E4148" i="1"/>
  <c r="A4149" i="1"/>
  <c r="B4149" i="1"/>
  <c r="C4149" i="1"/>
  <c r="D4149" i="1"/>
  <c r="E4149" i="1"/>
  <c r="A4150" i="1"/>
  <c r="B4150" i="1"/>
  <c r="C4150" i="1"/>
  <c r="D4150" i="1"/>
  <c r="E4150" i="1"/>
  <c r="A4151" i="1"/>
  <c r="B4151" i="1"/>
  <c r="C4151" i="1"/>
  <c r="D4151" i="1"/>
  <c r="E4151" i="1"/>
  <c r="A4152" i="1"/>
  <c r="B4152" i="1"/>
  <c r="C4152" i="1"/>
  <c r="D4152" i="1"/>
  <c r="E4152" i="1"/>
  <c r="A4153" i="1"/>
  <c r="B4153" i="1"/>
  <c r="C4153" i="1"/>
  <c r="D4153" i="1"/>
  <c r="E4153" i="1"/>
  <c r="A4154" i="1"/>
  <c r="B4154" i="1"/>
  <c r="C4154" i="1"/>
  <c r="D4154" i="1"/>
  <c r="E4154" i="1"/>
  <c r="A4155" i="1"/>
  <c r="B4155" i="1"/>
  <c r="C4155" i="1"/>
  <c r="D4155" i="1"/>
  <c r="E4155" i="1"/>
  <c r="A4156" i="1"/>
  <c r="B4156" i="1"/>
  <c r="C4156" i="1"/>
  <c r="D4156" i="1"/>
  <c r="E4156" i="1"/>
  <c r="A4157" i="1"/>
  <c r="B4157" i="1"/>
  <c r="C4157" i="1"/>
  <c r="D4157" i="1"/>
  <c r="E4157" i="1"/>
  <c r="A4158" i="1"/>
  <c r="B4158" i="1"/>
  <c r="C4158" i="1"/>
  <c r="D4158" i="1"/>
  <c r="E4158" i="1"/>
  <c r="A4159" i="1"/>
  <c r="B4159" i="1"/>
  <c r="C4159" i="1"/>
  <c r="D4159" i="1"/>
  <c r="E4159" i="1"/>
  <c r="A4160" i="1"/>
  <c r="B4160" i="1"/>
  <c r="C4160" i="1"/>
  <c r="D4160" i="1"/>
  <c r="E4160" i="1"/>
  <c r="A4161" i="1"/>
  <c r="B4161" i="1"/>
  <c r="C4161" i="1"/>
  <c r="D4161" i="1"/>
  <c r="E4161" i="1"/>
  <c r="A4162" i="1"/>
  <c r="B4162" i="1"/>
  <c r="C4162" i="1"/>
  <c r="D4162" i="1"/>
  <c r="E4162" i="1"/>
  <c r="A4163" i="1"/>
  <c r="B4163" i="1"/>
  <c r="C4163" i="1"/>
  <c r="D4163" i="1"/>
  <c r="E4163" i="1"/>
  <c r="A4164" i="1"/>
  <c r="B4164" i="1"/>
  <c r="C4164" i="1"/>
  <c r="D4164" i="1"/>
  <c r="E4164" i="1"/>
  <c r="A4165" i="1"/>
  <c r="B4165" i="1"/>
  <c r="C4165" i="1"/>
  <c r="D4165" i="1"/>
  <c r="E4165" i="1"/>
  <c r="A4166" i="1"/>
  <c r="B4166" i="1"/>
  <c r="C4166" i="1"/>
  <c r="D4166" i="1"/>
  <c r="E4166" i="1"/>
  <c r="A4167" i="1"/>
  <c r="B4167" i="1"/>
  <c r="C4167" i="1"/>
  <c r="D4167" i="1"/>
  <c r="E4167" i="1"/>
  <c r="A4168" i="1"/>
  <c r="B4168" i="1"/>
  <c r="C4168" i="1"/>
  <c r="D4168" i="1"/>
  <c r="E4168" i="1"/>
  <c r="A4169" i="1"/>
  <c r="B4169" i="1"/>
  <c r="C4169" i="1"/>
  <c r="D4169" i="1"/>
  <c r="E4169" i="1"/>
  <c r="A4170" i="1"/>
  <c r="B4170" i="1"/>
  <c r="C4170" i="1"/>
  <c r="D4170" i="1"/>
  <c r="E4170" i="1"/>
  <c r="A4171" i="1"/>
  <c r="B4171" i="1"/>
  <c r="C4171" i="1"/>
  <c r="D4171" i="1"/>
  <c r="E4171" i="1"/>
  <c r="A4172" i="1"/>
  <c r="B4172" i="1"/>
  <c r="C4172" i="1"/>
  <c r="D4172" i="1"/>
  <c r="E4172" i="1"/>
  <c r="A4173" i="1"/>
  <c r="B4173" i="1"/>
  <c r="C4173" i="1"/>
  <c r="D4173" i="1"/>
  <c r="E4173" i="1"/>
  <c r="A4174" i="1"/>
  <c r="B4174" i="1"/>
  <c r="C4174" i="1"/>
  <c r="D4174" i="1"/>
  <c r="E4174" i="1"/>
  <c r="A4175" i="1"/>
  <c r="B4175" i="1"/>
  <c r="C4175" i="1"/>
  <c r="D4175" i="1"/>
  <c r="E4175" i="1"/>
  <c r="A4176" i="1"/>
  <c r="B4176" i="1"/>
  <c r="C4176" i="1"/>
  <c r="D4176" i="1"/>
  <c r="E4176" i="1"/>
  <c r="A4177" i="1"/>
  <c r="B4177" i="1"/>
  <c r="C4177" i="1"/>
  <c r="D4177" i="1"/>
  <c r="E4177" i="1"/>
  <c r="A4178" i="1"/>
  <c r="B4178" i="1"/>
  <c r="C4178" i="1"/>
  <c r="D4178" i="1"/>
  <c r="E4178" i="1"/>
  <c r="A4179" i="1"/>
  <c r="B4179" i="1"/>
  <c r="C4179" i="1"/>
  <c r="D4179" i="1"/>
  <c r="E4179" i="1"/>
  <c r="A4180" i="1"/>
  <c r="B4180" i="1"/>
  <c r="C4180" i="1"/>
  <c r="D4180" i="1"/>
  <c r="E4180" i="1"/>
  <c r="A4181" i="1"/>
  <c r="B4181" i="1"/>
  <c r="C4181" i="1"/>
  <c r="D4181" i="1"/>
  <c r="E4181" i="1"/>
  <c r="A4182" i="1"/>
  <c r="B4182" i="1"/>
  <c r="C4182" i="1"/>
  <c r="D4182" i="1"/>
  <c r="E4182" i="1"/>
  <c r="A4183" i="1"/>
  <c r="B4183" i="1"/>
  <c r="C4183" i="1"/>
  <c r="D4183" i="1"/>
  <c r="E4183" i="1"/>
  <c r="A4184" i="1"/>
  <c r="B4184" i="1"/>
  <c r="C4184" i="1"/>
  <c r="D4184" i="1"/>
  <c r="E4184" i="1"/>
  <c r="A4185" i="1"/>
  <c r="B4185" i="1"/>
  <c r="C4185" i="1"/>
  <c r="D4185" i="1"/>
  <c r="E4185" i="1"/>
  <c r="A4186" i="1"/>
  <c r="B4186" i="1"/>
  <c r="C4186" i="1"/>
  <c r="D4186" i="1"/>
  <c r="E4186" i="1"/>
  <c r="A4187" i="1"/>
  <c r="B4187" i="1"/>
  <c r="C4187" i="1"/>
  <c r="D4187" i="1"/>
  <c r="E4187" i="1"/>
  <c r="A4188" i="1"/>
  <c r="B4188" i="1"/>
  <c r="C4188" i="1"/>
  <c r="D4188" i="1"/>
  <c r="E4188" i="1"/>
  <c r="A4189" i="1"/>
  <c r="B4189" i="1"/>
  <c r="C4189" i="1"/>
  <c r="D4189" i="1"/>
  <c r="E4189" i="1"/>
  <c r="A4190" i="1"/>
  <c r="B4190" i="1"/>
  <c r="C4190" i="1"/>
  <c r="D4190" i="1"/>
  <c r="E4190" i="1"/>
  <c r="A4191" i="1"/>
  <c r="B4191" i="1"/>
  <c r="C4191" i="1"/>
  <c r="D4191" i="1"/>
  <c r="E4191" i="1"/>
  <c r="A4192" i="1"/>
  <c r="B4192" i="1"/>
  <c r="C4192" i="1"/>
  <c r="D4192" i="1"/>
  <c r="E4192" i="1"/>
  <c r="A4193" i="1"/>
  <c r="B4193" i="1"/>
  <c r="C4193" i="1"/>
  <c r="D4193" i="1"/>
  <c r="E4193" i="1"/>
  <c r="A4194" i="1"/>
  <c r="B4194" i="1"/>
  <c r="C4194" i="1"/>
  <c r="D4194" i="1"/>
  <c r="E4194" i="1"/>
  <c r="A4195" i="1"/>
  <c r="B4195" i="1"/>
  <c r="C4195" i="1"/>
  <c r="D4195" i="1"/>
  <c r="E4195" i="1"/>
  <c r="A4196" i="1"/>
  <c r="B4196" i="1"/>
  <c r="C4196" i="1"/>
  <c r="D4196" i="1"/>
  <c r="E4196" i="1"/>
  <c r="A4197" i="1"/>
  <c r="B4197" i="1"/>
  <c r="C4197" i="1"/>
  <c r="D4197" i="1"/>
  <c r="E4197" i="1"/>
  <c r="A4198" i="1"/>
  <c r="B4198" i="1"/>
  <c r="C4198" i="1"/>
  <c r="D4198" i="1"/>
  <c r="E4198" i="1"/>
  <c r="A4199" i="1"/>
  <c r="B4199" i="1"/>
  <c r="C4199" i="1"/>
  <c r="D4199" i="1"/>
  <c r="E4199" i="1"/>
  <c r="A4200" i="1"/>
  <c r="B4200" i="1"/>
  <c r="C4200" i="1"/>
  <c r="D4200" i="1"/>
  <c r="E4200" i="1"/>
  <c r="A4201" i="1"/>
  <c r="B4201" i="1"/>
  <c r="C4201" i="1"/>
  <c r="D4201" i="1"/>
  <c r="E4201" i="1"/>
  <c r="A4202" i="1"/>
  <c r="B4202" i="1"/>
  <c r="C4202" i="1"/>
  <c r="D4202" i="1"/>
  <c r="E4202" i="1"/>
  <c r="A4203" i="1"/>
  <c r="B4203" i="1"/>
  <c r="C4203" i="1"/>
  <c r="D4203" i="1"/>
  <c r="E4203" i="1"/>
  <c r="A4204" i="1"/>
  <c r="B4204" i="1"/>
  <c r="C4204" i="1"/>
  <c r="D4204" i="1"/>
  <c r="E4204" i="1"/>
  <c r="A4205" i="1"/>
  <c r="B4205" i="1"/>
  <c r="C4205" i="1"/>
  <c r="D4205" i="1"/>
  <c r="E4205" i="1"/>
  <c r="A4206" i="1"/>
  <c r="B4206" i="1"/>
  <c r="C4206" i="1"/>
  <c r="D4206" i="1"/>
  <c r="E4206" i="1"/>
  <c r="A4207" i="1"/>
  <c r="B4207" i="1"/>
  <c r="C4207" i="1"/>
  <c r="D4207" i="1"/>
  <c r="E4207" i="1"/>
  <c r="A4208" i="1"/>
  <c r="B4208" i="1"/>
  <c r="C4208" i="1"/>
  <c r="D4208" i="1"/>
  <c r="E4208" i="1"/>
  <c r="A4209" i="1"/>
  <c r="B4209" i="1"/>
  <c r="C4209" i="1"/>
  <c r="D4209" i="1"/>
  <c r="E4209" i="1"/>
  <c r="A4210" i="1"/>
  <c r="B4210" i="1"/>
  <c r="C4210" i="1"/>
  <c r="D4210" i="1"/>
  <c r="E4210" i="1"/>
  <c r="A4211" i="1"/>
  <c r="B4211" i="1"/>
  <c r="C4211" i="1"/>
  <c r="D4211" i="1"/>
  <c r="E4211" i="1"/>
  <c r="A4212" i="1"/>
  <c r="B4212" i="1"/>
  <c r="C4212" i="1"/>
  <c r="D4212" i="1"/>
  <c r="E4212" i="1"/>
  <c r="A4213" i="1"/>
  <c r="B4213" i="1"/>
  <c r="C4213" i="1"/>
  <c r="D4213" i="1"/>
  <c r="E4213" i="1"/>
  <c r="A4214" i="1"/>
  <c r="B4214" i="1"/>
  <c r="C4214" i="1"/>
  <c r="D4214" i="1"/>
  <c r="E4214" i="1"/>
  <c r="A4215" i="1"/>
  <c r="B4215" i="1"/>
  <c r="C4215" i="1"/>
  <c r="D4215" i="1"/>
  <c r="E4215" i="1"/>
  <c r="A4216" i="1"/>
  <c r="B4216" i="1"/>
  <c r="C4216" i="1"/>
  <c r="D4216" i="1"/>
  <c r="E4216" i="1"/>
  <c r="A4217" i="1"/>
  <c r="B4217" i="1"/>
  <c r="C4217" i="1"/>
  <c r="D4217" i="1"/>
  <c r="E4217" i="1"/>
  <c r="A4218" i="1"/>
  <c r="B4218" i="1"/>
  <c r="C4218" i="1"/>
  <c r="D4218" i="1"/>
  <c r="E4218" i="1"/>
  <c r="A4219" i="1"/>
  <c r="B4219" i="1"/>
  <c r="C4219" i="1"/>
  <c r="D4219" i="1"/>
  <c r="E4219" i="1"/>
  <c r="A4220" i="1"/>
  <c r="B4220" i="1"/>
  <c r="C4220" i="1"/>
  <c r="D4220" i="1"/>
  <c r="E4220" i="1"/>
  <c r="A4221" i="1"/>
  <c r="B4221" i="1"/>
  <c r="C4221" i="1"/>
  <c r="D4221" i="1"/>
  <c r="E4221" i="1"/>
  <c r="A4222" i="1"/>
  <c r="B4222" i="1"/>
  <c r="C4222" i="1"/>
  <c r="D4222" i="1"/>
  <c r="E4222" i="1"/>
  <c r="A4223" i="1"/>
  <c r="B4223" i="1"/>
  <c r="C4223" i="1"/>
  <c r="D4223" i="1"/>
  <c r="E4223" i="1"/>
  <c r="A4224" i="1"/>
  <c r="B4224" i="1"/>
  <c r="C4224" i="1"/>
  <c r="D4224" i="1"/>
  <c r="E4224" i="1"/>
  <c r="A4225" i="1"/>
  <c r="B4225" i="1"/>
  <c r="C4225" i="1"/>
  <c r="D4225" i="1"/>
  <c r="E4225" i="1"/>
  <c r="A4226" i="1"/>
  <c r="B4226" i="1"/>
  <c r="C4226" i="1"/>
  <c r="D4226" i="1"/>
  <c r="E4226" i="1"/>
  <c r="A4227" i="1"/>
  <c r="B4227" i="1"/>
  <c r="C4227" i="1"/>
  <c r="D4227" i="1"/>
  <c r="E4227" i="1"/>
  <c r="A4228" i="1"/>
  <c r="B4228" i="1"/>
  <c r="C4228" i="1"/>
  <c r="D4228" i="1"/>
  <c r="E4228" i="1"/>
  <c r="A4229" i="1"/>
  <c r="B4229" i="1"/>
  <c r="C4229" i="1"/>
  <c r="D4229" i="1"/>
  <c r="E4229" i="1"/>
  <c r="A4230" i="1"/>
  <c r="B4230" i="1"/>
  <c r="C4230" i="1"/>
  <c r="D4230" i="1"/>
  <c r="E4230" i="1"/>
  <c r="A4231" i="1"/>
  <c r="B4231" i="1"/>
  <c r="C4231" i="1"/>
  <c r="D4231" i="1"/>
  <c r="E4231" i="1"/>
  <c r="A4232" i="1"/>
  <c r="B4232" i="1"/>
  <c r="C4232" i="1"/>
  <c r="D4232" i="1"/>
  <c r="E4232" i="1"/>
  <c r="A4233" i="1"/>
  <c r="B4233" i="1"/>
  <c r="C4233" i="1"/>
  <c r="D4233" i="1"/>
  <c r="E4233" i="1"/>
  <c r="A4234" i="1"/>
  <c r="B4234" i="1"/>
  <c r="C4234" i="1"/>
  <c r="D4234" i="1"/>
  <c r="E4234" i="1"/>
  <c r="A4235" i="1"/>
  <c r="B4235" i="1"/>
  <c r="C4235" i="1"/>
  <c r="D4235" i="1"/>
  <c r="E4235" i="1"/>
  <c r="A4236" i="1"/>
  <c r="B4236" i="1"/>
  <c r="C4236" i="1"/>
  <c r="D4236" i="1"/>
  <c r="E4236" i="1"/>
  <c r="A4237" i="1"/>
  <c r="B4237" i="1"/>
  <c r="C4237" i="1"/>
  <c r="D4237" i="1"/>
  <c r="E4237" i="1"/>
  <c r="A4238" i="1"/>
  <c r="B4238" i="1"/>
  <c r="C4238" i="1"/>
  <c r="D4238" i="1"/>
  <c r="E4238" i="1"/>
  <c r="A4239" i="1"/>
  <c r="B4239" i="1"/>
  <c r="C4239" i="1"/>
  <c r="D4239" i="1"/>
  <c r="E4239" i="1"/>
  <c r="A4240" i="1"/>
  <c r="B4240" i="1"/>
  <c r="C4240" i="1"/>
  <c r="D4240" i="1"/>
  <c r="E4240" i="1"/>
  <c r="A4241" i="1"/>
  <c r="B4241" i="1"/>
  <c r="C4241" i="1"/>
  <c r="D4241" i="1"/>
  <c r="E4241" i="1"/>
  <c r="A4242" i="1"/>
  <c r="B4242" i="1"/>
  <c r="C4242" i="1"/>
  <c r="D4242" i="1"/>
  <c r="E4242" i="1"/>
  <c r="A4243" i="1"/>
  <c r="B4243" i="1"/>
  <c r="C4243" i="1"/>
  <c r="D4243" i="1"/>
  <c r="E4243" i="1"/>
  <c r="A4244" i="1"/>
  <c r="B4244" i="1"/>
  <c r="C4244" i="1"/>
  <c r="D4244" i="1"/>
  <c r="E4244" i="1"/>
  <c r="A4245" i="1"/>
  <c r="B4245" i="1"/>
  <c r="C4245" i="1"/>
  <c r="D4245" i="1"/>
  <c r="E4245" i="1"/>
  <c r="A4246" i="1"/>
  <c r="B4246" i="1"/>
  <c r="C4246" i="1"/>
  <c r="D4246" i="1"/>
  <c r="E4246" i="1"/>
  <c r="A4247" i="1"/>
  <c r="B4247" i="1"/>
  <c r="C4247" i="1"/>
  <c r="D4247" i="1"/>
  <c r="E4247" i="1"/>
  <c r="A4248" i="1"/>
  <c r="B4248" i="1"/>
  <c r="C4248" i="1"/>
  <c r="D4248" i="1"/>
  <c r="E4248" i="1"/>
  <c r="A4249" i="1"/>
  <c r="B4249" i="1"/>
  <c r="C4249" i="1"/>
  <c r="D4249" i="1"/>
  <c r="E4249" i="1"/>
  <c r="A4250" i="1"/>
  <c r="B4250" i="1"/>
  <c r="C4250" i="1"/>
  <c r="D4250" i="1"/>
  <c r="E4250" i="1"/>
  <c r="A4251" i="1"/>
  <c r="B4251" i="1"/>
  <c r="C4251" i="1"/>
  <c r="D4251" i="1"/>
  <c r="E4251" i="1"/>
  <c r="A4252" i="1"/>
  <c r="B4252" i="1"/>
  <c r="C4252" i="1"/>
  <c r="D4252" i="1"/>
  <c r="E4252" i="1"/>
  <c r="A4253" i="1"/>
  <c r="B4253" i="1"/>
  <c r="C4253" i="1"/>
  <c r="D4253" i="1"/>
  <c r="E4253" i="1"/>
  <c r="A4254" i="1"/>
  <c r="B4254" i="1"/>
  <c r="C4254" i="1"/>
  <c r="D4254" i="1"/>
  <c r="E4254" i="1"/>
  <c r="A4255" i="1"/>
  <c r="B4255" i="1"/>
  <c r="C4255" i="1"/>
  <c r="D4255" i="1"/>
  <c r="E4255" i="1"/>
  <c r="A4256" i="1"/>
  <c r="B4256" i="1"/>
  <c r="C4256" i="1"/>
  <c r="D4256" i="1"/>
  <c r="E4256" i="1"/>
  <c r="A4257" i="1"/>
  <c r="B4257" i="1"/>
  <c r="C4257" i="1"/>
  <c r="D4257" i="1"/>
  <c r="E4257" i="1"/>
  <c r="A4258" i="1"/>
  <c r="B4258" i="1"/>
  <c r="C4258" i="1"/>
  <c r="D4258" i="1"/>
  <c r="E4258" i="1"/>
  <c r="A4259" i="1"/>
  <c r="B4259" i="1"/>
  <c r="C4259" i="1"/>
  <c r="D4259" i="1"/>
  <c r="E4259" i="1"/>
  <c r="A4260" i="1"/>
  <c r="B4260" i="1"/>
  <c r="C4260" i="1"/>
  <c r="D4260" i="1"/>
  <c r="E4260" i="1"/>
  <c r="A4261" i="1"/>
  <c r="B4261" i="1"/>
  <c r="C4261" i="1"/>
  <c r="D4261" i="1"/>
  <c r="E4261" i="1"/>
  <c r="A4262" i="1"/>
  <c r="B4262" i="1"/>
  <c r="C4262" i="1"/>
  <c r="D4262" i="1"/>
  <c r="E4262" i="1"/>
  <c r="A4263" i="1"/>
  <c r="B4263" i="1"/>
  <c r="C4263" i="1"/>
  <c r="D4263" i="1"/>
  <c r="E4263" i="1"/>
  <c r="A4264" i="1"/>
  <c r="B4264" i="1"/>
  <c r="C4264" i="1"/>
  <c r="D4264" i="1"/>
  <c r="E4264" i="1"/>
  <c r="A4265" i="1"/>
  <c r="B4265" i="1"/>
  <c r="C4265" i="1"/>
  <c r="D4265" i="1"/>
  <c r="E4265" i="1"/>
  <c r="A4266" i="1"/>
  <c r="B4266" i="1"/>
  <c r="C4266" i="1"/>
  <c r="D4266" i="1"/>
  <c r="E4266" i="1"/>
  <c r="A4267" i="1"/>
  <c r="B4267" i="1"/>
  <c r="C4267" i="1"/>
  <c r="D4267" i="1"/>
  <c r="E4267" i="1"/>
  <c r="A4268" i="1"/>
  <c r="B4268" i="1"/>
  <c r="C4268" i="1"/>
  <c r="D4268" i="1"/>
  <c r="E4268" i="1"/>
  <c r="A4269" i="1"/>
  <c r="B4269" i="1"/>
  <c r="C4269" i="1"/>
  <c r="D4269" i="1"/>
  <c r="E4269" i="1"/>
  <c r="A4270" i="1"/>
  <c r="B4270" i="1"/>
  <c r="C4270" i="1"/>
  <c r="D4270" i="1"/>
  <c r="E4270" i="1"/>
  <c r="A4271" i="1"/>
  <c r="B4271" i="1"/>
  <c r="C4271" i="1"/>
  <c r="D4271" i="1"/>
  <c r="E4271" i="1"/>
  <c r="A4272" i="1"/>
  <c r="B4272" i="1"/>
  <c r="C4272" i="1"/>
  <c r="D4272" i="1"/>
  <c r="E4272" i="1"/>
  <c r="A4273" i="1"/>
  <c r="B4273" i="1"/>
  <c r="C4273" i="1"/>
  <c r="D4273" i="1"/>
  <c r="E4273" i="1"/>
  <c r="A4274" i="1"/>
  <c r="B4274" i="1"/>
  <c r="C4274" i="1"/>
  <c r="D4274" i="1"/>
  <c r="E4274" i="1"/>
  <c r="A4275" i="1"/>
  <c r="B4275" i="1"/>
  <c r="C4275" i="1"/>
  <c r="D4275" i="1"/>
  <c r="E4275" i="1"/>
  <c r="A4276" i="1"/>
  <c r="B4276" i="1"/>
  <c r="C4276" i="1"/>
  <c r="D4276" i="1"/>
  <c r="E4276" i="1"/>
  <c r="A4277" i="1"/>
  <c r="B4277" i="1"/>
  <c r="C4277" i="1"/>
  <c r="D4277" i="1"/>
  <c r="E4277" i="1"/>
  <c r="A4278" i="1"/>
  <c r="B4278" i="1"/>
  <c r="C4278" i="1"/>
  <c r="D4278" i="1"/>
  <c r="E4278" i="1"/>
  <c r="A4279" i="1"/>
  <c r="B4279" i="1"/>
  <c r="C4279" i="1"/>
  <c r="D4279" i="1"/>
  <c r="E4279" i="1"/>
  <c r="A4280" i="1"/>
  <c r="B4280" i="1"/>
  <c r="C4280" i="1"/>
  <c r="D4280" i="1"/>
  <c r="E4280" i="1"/>
  <c r="A4281" i="1"/>
  <c r="B4281" i="1"/>
  <c r="C4281" i="1"/>
  <c r="D4281" i="1"/>
  <c r="E4281" i="1"/>
  <c r="A4282" i="1"/>
  <c r="B4282" i="1"/>
  <c r="C4282" i="1"/>
  <c r="D4282" i="1"/>
  <c r="E4282" i="1"/>
  <c r="A4283" i="1"/>
  <c r="B4283" i="1"/>
  <c r="C4283" i="1"/>
  <c r="D4283" i="1"/>
  <c r="E4283" i="1"/>
  <c r="A4284" i="1"/>
  <c r="B4284" i="1"/>
  <c r="C4284" i="1"/>
  <c r="D4284" i="1"/>
  <c r="E4284" i="1"/>
  <c r="A4285" i="1"/>
  <c r="B4285" i="1"/>
  <c r="C4285" i="1"/>
  <c r="D4285" i="1"/>
  <c r="E4285" i="1"/>
  <c r="A4286" i="1"/>
  <c r="B4286" i="1"/>
  <c r="C4286" i="1"/>
  <c r="D4286" i="1"/>
  <c r="E4286" i="1"/>
  <c r="A4287" i="1"/>
  <c r="B4287" i="1"/>
  <c r="C4287" i="1"/>
  <c r="D4287" i="1"/>
  <c r="E4287" i="1"/>
  <c r="A4288" i="1"/>
  <c r="B4288" i="1"/>
  <c r="C4288" i="1"/>
  <c r="D4288" i="1"/>
  <c r="E4288" i="1"/>
  <c r="A4289" i="1"/>
  <c r="B4289" i="1"/>
  <c r="C4289" i="1"/>
  <c r="D4289" i="1"/>
  <c r="E4289" i="1"/>
  <c r="A4290" i="1"/>
  <c r="B4290" i="1"/>
  <c r="C4290" i="1"/>
  <c r="D4290" i="1"/>
  <c r="E4290" i="1"/>
  <c r="A4291" i="1"/>
  <c r="B4291" i="1"/>
  <c r="C4291" i="1"/>
  <c r="D4291" i="1"/>
  <c r="E4291" i="1"/>
  <c r="A4292" i="1"/>
  <c r="B4292" i="1"/>
  <c r="C4292" i="1"/>
  <c r="D4292" i="1"/>
  <c r="E4292" i="1"/>
  <c r="A4293" i="1"/>
  <c r="B4293" i="1"/>
  <c r="C4293" i="1"/>
  <c r="D4293" i="1"/>
  <c r="E4293" i="1"/>
  <c r="A4294" i="1"/>
  <c r="B4294" i="1"/>
  <c r="C4294" i="1"/>
  <c r="D4294" i="1"/>
  <c r="E4294" i="1"/>
  <c r="A4295" i="1"/>
  <c r="B4295" i="1"/>
  <c r="C4295" i="1"/>
  <c r="D4295" i="1"/>
  <c r="E4295" i="1"/>
  <c r="A4296" i="1"/>
  <c r="B4296" i="1"/>
  <c r="C4296" i="1"/>
  <c r="D4296" i="1"/>
  <c r="E4296" i="1"/>
  <c r="A4297" i="1"/>
  <c r="B4297" i="1"/>
  <c r="C4297" i="1"/>
  <c r="D4297" i="1"/>
  <c r="E4297" i="1"/>
  <c r="A4298" i="1"/>
  <c r="B4298" i="1"/>
  <c r="C4298" i="1"/>
  <c r="D4298" i="1"/>
  <c r="E4298" i="1"/>
  <c r="A4299" i="1"/>
  <c r="B4299" i="1"/>
  <c r="C4299" i="1"/>
  <c r="D4299" i="1"/>
  <c r="E4299" i="1"/>
  <c r="A4300" i="1"/>
  <c r="B4300" i="1"/>
  <c r="C4300" i="1"/>
  <c r="D4300" i="1"/>
  <c r="E4300" i="1"/>
  <c r="A4301" i="1"/>
  <c r="B4301" i="1"/>
  <c r="C4301" i="1"/>
  <c r="D4301" i="1"/>
  <c r="E4301" i="1"/>
  <c r="A4302" i="1"/>
  <c r="B4302" i="1"/>
  <c r="C4302" i="1"/>
  <c r="D4302" i="1"/>
  <c r="E4302" i="1"/>
  <c r="A4303" i="1"/>
  <c r="B4303" i="1"/>
  <c r="C4303" i="1"/>
  <c r="D4303" i="1"/>
  <c r="E4303" i="1"/>
  <c r="A4304" i="1"/>
  <c r="B4304" i="1"/>
  <c r="C4304" i="1"/>
  <c r="D4304" i="1"/>
  <c r="E4304" i="1"/>
  <c r="A4305" i="1"/>
  <c r="B4305" i="1"/>
  <c r="C4305" i="1"/>
  <c r="D4305" i="1"/>
  <c r="E4305" i="1"/>
  <c r="A4306" i="1"/>
  <c r="B4306" i="1"/>
  <c r="C4306" i="1"/>
  <c r="D4306" i="1"/>
  <c r="E4306" i="1"/>
  <c r="A4307" i="1"/>
  <c r="B4307" i="1"/>
  <c r="C4307" i="1"/>
  <c r="D4307" i="1"/>
  <c r="E4307" i="1"/>
  <c r="A4308" i="1"/>
  <c r="B4308" i="1"/>
  <c r="C4308" i="1"/>
  <c r="D4308" i="1"/>
  <c r="E4308" i="1"/>
  <c r="A4309" i="1"/>
  <c r="B4309" i="1"/>
  <c r="C4309" i="1"/>
  <c r="D4309" i="1"/>
  <c r="E4309" i="1"/>
  <c r="A4310" i="1"/>
  <c r="B4310" i="1"/>
  <c r="C4310" i="1"/>
  <c r="D4310" i="1"/>
  <c r="E4310" i="1"/>
  <c r="A4311" i="1"/>
  <c r="B4311" i="1"/>
  <c r="C4311" i="1"/>
  <c r="D4311" i="1"/>
  <c r="E4311" i="1"/>
  <c r="A4312" i="1"/>
  <c r="B4312" i="1"/>
  <c r="C4312" i="1"/>
  <c r="D4312" i="1"/>
  <c r="E4312" i="1"/>
  <c r="A4313" i="1"/>
  <c r="B4313" i="1"/>
  <c r="C4313" i="1"/>
  <c r="D4313" i="1"/>
  <c r="E4313" i="1"/>
  <c r="A4314" i="1"/>
  <c r="B4314" i="1"/>
  <c r="C4314" i="1"/>
  <c r="D4314" i="1"/>
  <c r="E4314" i="1"/>
  <c r="A4315" i="1"/>
  <c r="B4315" i="1"/>
  <c r="C4315" i="1"/>
  <c r="D4315" i="1"/>
  <c r="E4315" i="1"/>
  <c r="A4316" i="1"/>
  <c r="B4316" i="1"/>
  <c r="C4316" i="1"/>
  <c r="D4316" i="1"/>
  <c r="E4316" i="1"/>
  <c r="A4317" i="1"/>
  <c r="B4317" i="1"/>
  <c r="C4317" i="1"/>
  <c r="D4317" i="1"/>
  <c r="E4317" i="1"/>
  <c r="A4318" i="1"/>
  <c r="B4318" i="1"/>
  <c r="C4318" i="1"/>
  <c r="D4318" i="1"/>
  <c r="E4318" i="1"/>
  <c r="A4319" i="1"/>
  <c r="B4319" i="1"/>
  <c r="C4319" i="1"/>
  <c r="D4319" i="1"/>
  <c r="E4319" i="1"/>
  <c r="A4320" i="1"/>
  <c r="B4320" i="1"/>
  <c r="C4320" i="1"/>
  <c r="D4320" i="1"/>
  <c r="E4320" i="1"/>
  <c r="A4321" i="1"/>
  <c r="B4321" i="1"/>
  <c r="C4321" i="1"/>
  <c r="D4321" i="1"/>
  <c r="E4321" i="1"/>
  <c r="A4322" i="1"/>
  <c r="B4322" i="1"/>
  <c r="C4322" i="1"/>
  <c r="D4322" i="1"/>
  <c r="E4322" i="1"/>
  <c r="A4323" i="1"/>
  <c r="B4323" i="1"/>
  <c r="C4323" i="1"/>
  <c r="D4323" i="1"/>
  <c r="E4323" i="1"/>
  <c r="A4324" i="1"/>
  <c r="B4324" i="1"/>
  <c r="C4324" i="1"/>
  <c r="D4324" i="1"/>
  <c r="E4324" i="1"/>
  <c r="A4325" i="1"/>
  <c r="B4325" i="1"/>
  <c r="C4325" i="1"/>
  <c r="D4325" i="1"/>
  <c r="E4325" i="1"/>
  <c r="A4326" i="1"/>
  <c r="B4326" i="1"/>
  <c r="C4326" i="1"/>
  <c r="D4326" i="1"/>
  <c r="E4326" i="1"/>
  <c r="A4327" i="1"/>
  <c r="B4327" i="1"/>
  <c r="C4327" i="1"/>
  <c r="D4327" i="1"/>
  <c r="E4327" i="1"/>
  <c r="A4328" i="1"/>
  <c r="B4328" i="1"/>
  <c r="C4328" i="1"/>
  <c r="D4328" i="1"/>
  <c r="E4328" i="1"/>
  <c r="A4329" i="1"/>
  <c r="B4329" i="1"/>
  <c r="C4329" i="1"/>
  <c r="D4329" i="1"/>
  <c r="E4329" i="1"/>
  <c r="A4330" i="1"/>
  <c r="B4330" i="1"/>
  <c r="C4330" i="1"/>
  <c r="D4330" i="1"/>
  <c r="E4330" i="1"/>
  <c r="A4331" i="1"/>
  <c r="B4331" i="1"/>
  <c r="C4331" i="1"/>
  <c r="D4331" i="1"/>
  <c r="E4331" i="1"/>
  <c r="A4332" i="1"/>
  <c r="B4332" i="1"/>
  <c r="C4332" i="1"/>
  <c r="D4332" i="1"/>
  <c r="E4332" i="1"/>
  <c r="A4333" i="1"/>
  <c r="B4333" i="1"/>
  <c r="C4333" i="1"/>
  <c r="D4333" i="1"/>
  <c r="E4333" i="1"/>
  <c r="A4334" i="1"/>
  <c r="B4334" i="1"/>
  <c r="C4334" i="1"/>
  <c r="D4334" i="1"/>
  <c r="E4334" i="1"/>
  <c r="A4335" i="1"/>
  <c r="B4335" i="1"/>
  <c r="C4335" i="1"/>
  <c r="D4335" i="1"/>
  <c r="E4335" i="1"/>
  <c r="A4336" i="1"/>
  <c r="B4336" i="1"/>
  <c r="C4336" i="1"/>
  <c r="D4336" i="1"/>
  <c r="E4336" i="1"/>
  <c r="A4337" i="1"/>
  <c r="B4337" i="1"/>
  <c r="C4337" i="1"/>
  <c r="D4337" i="1"/>
  <c r="E4337" i="1"/>
  <c r="A4338" i="1"/>
  <c r="B4338" i="1"/>
  <c r="C4338" i="1"/>
  <c r="D4338" i="1"/>
  <c r="E4338" i="1"/>
  <c r="A4339" i="1"/>
  <c r="B4339" i="1"/>
  <c r="C4339" i="1"/>
  <c r="D4339" i="1"/>
  <c r="E4339" i="1"/>
  <c r="A4340" i="1"/>
  <c r="B4340" i="1"/>
  <c r="C4340" i="1"/>
  <c r="D4340" i="1"/>
  <c r="E4340" i="1"/>
  <c r="A4341" i="1"/>
  <c r="B4341" i="1"/>
  <c r="C4341" i="1"/>
  <c r="D4341" i="1"/>
  <c r="E4341" i="1"/>
  <c r="A4342" i="1"/>
  <c r="B4342" i="1"/>
  <c r="C4342" i="1"/>
  <c r="D4342" i="1"/>
  <c r="E4342" i="1"/>
  <c r="A4343" i="1"/>
  <c r="B4343" i="1"/>
  <c r="C4343" i="1"/>
  <c r="D4343" i="1"/>
  <c r="E4343" i="1"/>
  <c r="A4344" i="1"/>
  <c r="B4344" i="1"/>
  <c r="C4344" i="1"/>
  <c r="D4344" i="1"/>
  <c r="E4344" i="1"/>
  <c r="A4345" i="1"/>
  <c r="B4345" i="1"/>
  <c r="C4345" i="1"/>
  <c r="D4345" i="1"/>
  <c r="E4345" i="1"/>
  <c r="A4346" i="1"/>
  <c r="B4346" i="1"/>
  <c r="C4346" i="1"/>
  <c r="D4346" i="1"/>
  <c r="E4346" i="1"/>
  <c r="A4347" i="1"/>
  <c r="B4347" i="1"/>
  <c r="C4347" i="1"/>
  <c r="D4347" i="1"/>
  <c r="E4347" i="1"/>
  <c r="A4348" i="1"/>
  <c r="B4348" i="1"/>
  <c r="C4348" i="1"/>
  <c r="D4348" i="1"/>
  <c r="E4348" i="1"/>
  <c r="A4349" i="1"/>
  <c r="B4349" i="1"/>
  <c r="C4349" i="1"/>
  <c r="D4349" i="1"/>
  <c r="E4349" i="1"/>
  <c r="A4350" i="1"/>
  <c r="B4350" i="1"/>
  <c r="C4350" i="1"/>
  <c r="D4350" i="1"/>
  <c r="E4350" i="1"/>
  <c r="A4351" i="1"/>
  <c r="B4351" i="1"/>
  <c r="C4351" i="1"/>
  <c r="D4351" i="1"/>
  <c r="E4351" i="1"/>
  <c r="A4352" i="1"/>
  <c r="B4352" i="1"/>
  <c r="C4352" i="1"/>
  <c r="D4352" i="1"/>
  <c r="E4352" i="1"/>
  <c r="A4353" i="1"/>
  <c r="B4353" i="1"/>
  <c r="C4353" i="1"/>
  <c r="D4353" i="1"/>
  <c r="E4353" i="1"/>
  <c r="A4354" i="1"/>
  <c r="B4354" i="1"/>
  <c r="C4354" i="1"/>
  <c r="D4354" i="1"/>
  <c r="E4354" i="1"/>
  <c r="A4355" i="1"/>
  <c r="B4355" i="1"/>
  <c r="C4355" i="1"/>
  <c r="D4355" i="1"/>
  <c r="E4355" i="1"/>
  <c r="A4356" i="1"/>
  <c r="B4356" i="1"/>
  <c r="C4356" i="1"/>
  <c r="D4356" i="1"/>
  <c r="E4356" i="1"/>
  <c r="A4357" i="1"/>
  <c r="B4357" i="1"/>
  <c r="C4357" i="1"/>
  <c r="D4357" i="1"/>
  <c r="E4357" i="1"/>
  <c r="A4358" i="1"/>
  <c r="B4358" i="1"/>
  <c r="C4358" i="1"/>
  <c r="D4358" i="1"/>
  <c r="E4358" i="1"/>
  <c r="A4359" i="1"/>
  <c r="B4359" i="1"/>
  <c r="C4359" i="1"/>
  <c r="D4359" i="1"/>
  <c r="E4359" i="1"/>
  <c r="A4360" i="1"/>
  <c r="B4360" i="1"/>
  <c r="C4360" i="1"/>
  <c r="D4360" i="1"/>
  <c r="E4360" i="1"/>
  <c r="A4361" i="1"/>
  <c r="B4361" i="1"/>
  <c r="C4361" i="1"/>
  <c r="D4361" i="1"/>
  <c r="E4361" i="1"/>
  <c r="A4362" i="1"/>
  <c r="B4362" i="1"/>
  <c r="C4362" i="1"/>
  <c r="D4362" i="1"/>
  <c r="E4362" i="1"/>
  <c r="A4363" i="1"/>
  <c r="B4363" i="1"/>
  <c r="C4363" i="1"/>
  <c r="D4363" i="1"/>
  <c r="E4363" i="1"/>
  <c r="A4364" i="1"/>
  <c r="B4364" i="1"/>
  <c r="C4364" i="1"/>
  <c r="D4364" i="1"/>
  <c r="E4364" i="1"/>
  <c r="A4365" i="1"/>
  <c r="B4365" i="1"/>
  <c r="C4365" i="1"/>
  <c r="D4365" i="1"/>
  <c r="E4365" i="1"/>
  <c r="A4366" i="1"/>
  <c r="B4366" i="1"/>
  <c r="C4366" i="1"/>
  <c r="D4366" i="1"/>
  <c r="E4366" i="1"/>
  <c r="A4367" i="1"/>
  <c r="B4367" i="1"/>
  <c r="C4367" i="1"/>
  <c r="D4367" i="1"/>
  <c r="E4367" i="1"/>
  <c r="A4368" i="1"/>
  <c r="B4368" i="1"/>
  <c r="C4368" i="1"/>
  <c r="D4368" i="1"/>
  <c r="E4368" i="1"/>
  <c r="A4369" i="1"/>
  <c r="B4369" i="1"/>
  <c r="C4369" i="1"/>
  <c r="D4369" i="1"/>
  <c r="E4369" i="1"/>
  <c r="A4370" i="1"/>
  <c r="B4370" i="1"/>
  <c r="C4370" i="1"/>
  <c r="D4370" i="1"/>
  <c r="E4370" i="1"/>
  <c r="A4371" i="1"/>
  <c r="B4371" i="1"/>
  <c r="C4371" i="1"/>
  <c r="D4371" i="1"/>
  <c r="E4371" i="1"/>
  <c r="A4372" i="1"/>
  <c r="B4372" i="1"/>
  <c r="C4372" i="1"/>
  <c r="D4372" i="1"/>
  <c r="E4372" i="1"/>
  <c r="A4373" i="1"/>
  <c r="B4373" i="1"/>
  <c r="C4373" i="1"/>
  <c r="D4373" i="1"/>
  <c r="E4373" i="1"/>
  <c r="A4374" i="1"/>
  <c r="B4374" i="1"/>
  <c r="C4374" i="1"/>
  <c r="D4374" i="1"/>
  <c r="E4374" i="1"/>
  <c r="A4375" i="1"/>
  <c r="B4375" i="1"/>
  <c r="C4375" i="1"/>
  <c r="D4375" i="1"/>
  <c r="E4375" i="1"/>
  <c r="A4376" i="1"/>
  <c r="B4376" i="1"/>
  <c r="C4376" i="1"/>
  <c r="D4376" i="1"/>
  <c r="E4376" i="1"/>
  <c r="A4377" i="1"/>
  <c r="B4377" i="1"/>
  <c r="C4377" i="1"/>
  <c r="D4377" i="1"/>
  <c r="E4377" i="1"/>
  <c r="A4378" i="1"/>
  <c r="B4378" i="1"/>
  <c r="C4378" i="1"/>
  <c r="D4378" i="1"/>
  <c r="E4378" i="1"/>
  <c r="A4379" i="1"/>
  <c r="B4379" i="1"/>
  <c r="C4379" i="1"/>
  <c r="D4379" i="1"/>
  <c r="E4379" i="1"/>
  <c r="A4380" i="1"/>
  <c r="B4380" i="1"/>
  <c r="C4380" i="1"/>
  <c r="D4380" i="1"/>
  <c r="E4380" i="1"/>
  <c r="A4381" i="1"/>
  <c r="B4381" i="1"/>
  <c r="C4381" i="1"/>
  <c r="D4381" i="1"/>
  <c r="E4381" i="1"/>
  <c r="A4382" i="1"/>
  <c r="B4382" i="1"/>
  <c r="C4382" i="1"/>
  <c r="D4382" i="1"/>
  <c r="E4382" i="1"/>
  <c r="A4383" i="1"/>
  <c r="B4383" i="1"/>
  <c r="C4383" i="1"/>
  <c r="D4383" i="1"/>
  <c r="E4383" i="1"/>
  <c r="A4384" i="1"/>
  <c r="B4384" i="1"/>
  <c r="C4384" i="1"/>
  <c r="D4384" i="1"/>
  <c r="E4384" i="1"/>
  <c r="A4385" i="1"/>
  <c r="B4385" i="1"/>
  <c r="C4385" i="1"/>
  <c r="D4385" i="1"/>
  <c r="E4385" i="1"/>
  <c r="A4386" i="1"/>
  <c r="B4386" i="1"/>
  <c r="C4386" i="1"/>
  <c r="D4386" i="1"/>
  <c r="E4386" i="1"/>
  <c r="A4387" i="1"/>
  <c r="B4387" i="1"/>
  <c r="C4387" i="1"/>
  <c r="D4387" i="1"/>
  <c r="E4387" i="1"/>
  <c r="A4388" i="1"/>
  <c r="B4388" i="1"/>
  <c r="C4388" i="1"/>
  <c r="D4388" i="1"/>
  <c r="E4388" i="1"/>
  <c r="A4389" i="1"/>
  <c r="B4389" i="1"/>
  <c r="C4389" i="1"/>
  <c r="D4389" i="1"/>
  <c r="E4389" i="1"/>
  <c r="A4390" i="1"/>
  <c r="B4390" i="1"/>
  <c r="C4390" i="1"/>
  <c r="D4390" i="1"/>
  <c r="E4390" i="1"/>
  <c r="A4391" i="1"/>
  <c r="B4391" i="1"/>
  <c r="C4391" i="1"/>
  <c r="D4391" i="1"/>
  <c r="E4391" i="1"/>
  <c r="A4392" i="1"/>
  <c r="B4392" i="1"/>
  <c r="C4392" i="1"/>
  <c r="D4392" i="1"/>
  <c r="E4392" i="1"/>
  <c r="A4393" i="1"/>
  <c r="B4393" i="1"/>
  <c r="C4393" i="1"/>
  <c r="D4393" i="1"/>
  <c r="E4393" i="1"/>
  <c r="A4394" i="1"/>
  <c r="B4394" i="1"/>
  <c r="C4394" i="1"/>
  <c r="D4394" i="1"/>
  <c r="E4394" i="1"/>
  <c r="A4395" i="1"/>
  <c r="B4395" i="1"/>
  <c r="C4395" i="1"/>
  <c r="D4395" i="1"/>
  <c r="E4395" i="1"/>
  <c r="A4396" i="1"/>
  <c r="B4396" i="1"/>
  <c r="C4396" i="1"/>
  <c r="D4396" i="1"/>
  <c r="E4396" i="1"/>
  <c r="A4397" i="1"/>
  <c r="B4397" i="1"/>
  <c r="C4397" i="1"/>
  <c r="D4397" i="1"/>
  <c r="E4397" i="1"/>
  <c r="A4398" i="1"/>
  <c r="B4398" i="1"/>
  <c r="C4398" i="1"/>
  <c r="D4398" i="1"/>
  <c r="E4398" i="1"/>
  <c r="A4399" i="1"/>
  <c r="B4399" i="1"/>
  <c r="C4399" i="1"/>
  <c r="D4399" i="1"/>
  <c r="E4399" i="1"/>
  <c r="A4400" i="1"/>
  <c r="B4400" i="1"/>
  <c r="C4400" i="1"/>
  <c r="D4400" i="1"/>
  <c r="E4400" i="1"/>
  <c r="A4401" i="1"/>
  <c r="B4401" i="1"/>
  <c r="C4401" i="1"/>
  <c r="D4401" i="1"/>
  <c r="E4401" i="1"/>
  <c r="A4402" i="1"/>
  <c r="B4402" i="1"/>
  <c r="C4402" i="1"/>
  <c r="D4402" i="1"/>
  <c r="E4402" i="1"/>
  <c r="A4403" i="1"/>
  <c r="B4403" i="1"/>
  <c r="C4403" i="1"/>
  <c r="D4403" i="1"/>
  <c r="E4403" i="1"/>
  <c r="A4404" i="1"/>
  <c r="B4404" i="1"/>
  <c r="C4404" i="1"/>
  <c r="D4404" i="1"/>
  <c r="E4404" i="1"/>
  <c r="A4405" i="1"/>
  <c r="B4405" i="1"/>
  <c r="C4405" i="1"/>
  <c r="D4405" i="1"/>
  <c r="E4405" i="1"/>
  <c r="A4406" i="1"/>
  <c r="B4406" i="1"/>
  <c r="C4406" i="1"/>
  <c r="D4406" i="1"/>
  <c r="E4406" i="1"/>
  <c r="A4407" i="1"/>
  <c r="B4407" i="1"/>
  <c r="C4407" i="1"/>
  <c r="D4407" i="1"/>
  <c r="E4407" i="1"/>
  <c r="A4408" i="1"/>
  <c r="B4408" i="1"/>
  <c r="C4408" i="1"/>
  <c r="D4408" i="1"/>
  <c r="E4408" i="1"/>
  <c r="A4409" i="1"/>
  <c r="B4409" i="1"/>
  <c r="C4409" i="1"/>
  <c r="D4409" i="1"/>
  <c r="E4409" i="1"/>
  <c r="A4410" i="1"/>
  <c r="B4410" i="1"/>
  <c r="C4410" i="1"/>
  <c r="D4410" i="1"/>
  <c r="E4410" i="1"/>
  <c r="A4411" i="1"/>
  <c r="B4411" i="1"/>
  <c r="C4411" i="1"/>
  <c r="D4411" i="1"/>
  <c r="E4411" i="1"/>
  <c r="A4412" i="1"/>
  <c r="B4412" i="1"/>
  <c r="C4412" i="1"/>
  <c r="D4412" i="1"/>
  <c r="E4412" i="1"/>
  <c r="A4413" i="1"/>
  <c r="B4413" i="1"/>
  <c r="C4413" i="1"/>
  <c r="D4413" i="1"/>
  <c r="E4413" i="1"/>
  <c r="A4414" i="1"/>
  <c r="B4414" i="1"/>
  <c r="C4414" i="1"/>
  <c r="D4414" i="1"/>
  <c r="E4414" i="1"/>
  <c r="A4415" i="1"/>
  <c r="B4415" i="1"/>
  <c r="C4415" i="1"/>
  <c r="D4415" i="1"/>
  <c r="E4415" i="1"/>
  <c r="A4416" i="1"/>
  <c r="B4416" i="1"/>
  <c r="C4416" i="1"/>
  <c r="D4416" i="1"/>
  <c r="E4416" i="1"/>
  <c r="A4417" i="1"/>
  <c r="B4417" i="1"/>
  <c r="C4417" i="1"/>
  <c r="D4417" i="1"/>
  <c r="E4417" i="1"/>
  <c r="A4418" i="1"/>
  <c r="B4418" i="1"/>
  <c r="C4418" i="1"/>
  <c r="D4418" i="1"/>
  <c r="E4418" i="1"/>
  <c r="A4419" i="1"/>
  <c r="B4419" i="1"/>
  <c r="C4419" i="1"/>
  <c r="D4419" i="1"/>
  <c r="E4419" i="1"/>
  <c r="A4420" i="1"/>
  <c r="B4420" i="1"/>
  <c r="C4420" i="1"/>
  <c r="D4420" i="1"/>
  <c r="E4420" i="1"/>
  <c r="A4421" i="1"/>
  <c r="B4421" i="1"/>
  <c r="C4421" i="1"/>
  <c r="D4421" i="1"/>
  <c r="E4421" i="1"/>
  <c r="A4422" i="1"/>
  <c r="B4422" i="1"/>
  <c r="C4422" i="1"/>
  <c r="D4422" i="1"/>
  <c r="E4422" i="1"/>
  <c r="A4423" i="1"/>
  <c r="B4423" i="1"/>
  <c r="C4423" i="1"/>
  <c r="D4423" i="1"/>
  <c r="E4423" i="1"/>
  <c r="A4424" i="1"/>
  <c r="B4424" i="1"/>
  <c r="C4424" i="1"/>
  <c r="D4424" i="1"/>
  <c r="E4424" i="1"/>
  <c r="A4425" i="1"/>
  <c r="B4425" i="1"/>
  <c r="C4425" i="1"/>
  <c r="D4425" i="1"/>
  <c r="E4425" i="1"/>
  <c r="A4426" i="1"/>
  <c r="B4426" i="1"/>
  <c r="C4426" i="1"/>
  <c r="D4426" i="1"/>
  <c r="E4426" i="1"/>
  <c r="A4427" i="1"/>
  <c r="B4427" i="1"/>
  <c r="C4427" i="1"/>
  <c r="D4427" i="1"/>
  <c r="E4427" i="1"/>
  <c r="A4428" i="1"/>
  <c r="B4428" i="1"/>
  <c r="C4428" i="1"/>
  <c r="D4428" i="1"/>
  <c r="E4428" i="1"/>
  <c r="A4429" i="1"/>
  <c r="B4429" i="1"/>
  <c r="C4429" i="1"/>
  <c r="D4429" i="1"/>
  <c r="E4429" i="1"/>
  <c r="A4430" i="1"/>
  <c r="B4430" i="1"/>
  <c r="C4430" i="1"/>
  <c r="D4430" i="1"/>
  <c r="E4430" i="1"/>
  <c r="A4431" i="1"/>
  <c r="B4431" i="1"/>
  <c r="C4431" i="1"/>
  <c r="D4431" i="1"/>
  <c r="E4431" i="1"/>
  <c r="A4432" i="1"/>
  <c r="B4432" i="1"/>
  <c r="C4432" i="1"/>
  <c r="D4432" i="1"/>
  <c r="E4432" i="1"/>
  <c r="A4433" i="1"/>
  <c r="B4433" i="1"/>
  <c r="C4433" i="1"/>
  <c r="D4433" i="1"/>
  <c r="E4433" i="1"/>
  <c r="A4434" i="1"/>
  <c r="B4434" i="1"/>
  <c r="C4434" i="1"/>
  <c r="D4434" i="1"/>
  <c r="E4434" i="1"/>
  <c r="A4435" i="1"/>
  <c r="B4435" i="1"/>
  <c r="C4435" i="1"/>
  <c r="D4435" i="1"/>
  <c r="E4435" i="1"/>
  <c r="A4436" i="1"/>
  <c r="B4436" i="1"/>
  <c r="C4436" i="1"/>
  <c r="D4436" i="1"/>
  <c r="E4436" i="1"/>
  <c r="A4437" i="1"/>
  <c r="B4437" i="1"/>
  <c r="C4437" i="1"/>
  <c r="D4437" i="1"/>
  <c r="E4437" i="1"/>
  <c r="A4438" i="1"/>
  <c r="B4438" i="1"/>
  <c r="C4438" i="1"/>
  <c r="D4438" i="1"/>
  <c r="E4438" i="1"/>
  <c r="A4439" i="1"/>
  <c r="B4439" i="1"/>
  <c r="C4439" i="1"/>
  <c r="D4439" i="1"/>
  <c r="E4439" i="1"/>
  <c r="A4440" i="1"/>
  <c r="B4440" i="1"/>
  <c r="C4440" i="1"/>
  <c r="D4440" i="1"/>
  <c r="E4440" i="1"/>
  <c r="A4441" i="1"/>
  <c r="B4441" i="1"/>
  <c r="C4441" i="1"/>
  <c r="D4441" i="1"/>
  <c r="E4441" i="1"/>
  <c r="A4442" i="1"/>
  <c r="B4442" i="1"/>
  <c r="C4442" i="1"/>
  <c r="D4442" i="1"/>
  <c r="E4442" i="1"/>
  <c r="A4443" i="1"/>
  <c r="B4443" i="1"/>
  <c r="C4443" i="1"/>
  <c r="D4443" i="1"/>
  <c r="E4443" i="1"/>
  <c r="A4444" i="1"/>
  <c r="B4444" i="1"/>
  <c r="C4444" i="1"/>
  <c r="D4444" i="1"/>
  <c r="E4444" i="1"/>
  <c r="A4445" i="1"/>
  <c r="B4445" i="1"/>
  <c r="C4445" i="1"/>
  <c r="D4445" i="1"/>
  <c r="E4445" i="1"/>
  <c r="A4446" i="1"/>
  <c r="B4446" i="1"/>
  <c r="C4446" i="1"/>
  <c r="D4446" i="1"/>
  <c r="E4446" i="1"/>
  <c r="A4447" i="1"/>
  <c r="B4447" i="1"/>
  <c r="C4447" i="1"/>
  <c r="D4447" i="1"/>
  <c r="E4447" i="1"/>
  <c r="A4448" i="1"/>
  <c r="B4448" i="1"/>
  <c r="C4448" i="1"/>
  <c r="D4448" i="1"/>
  <c r="E4448" i="1"/>
  <c r="A4449" i="1"/>
  <c r="B4449" i="1"/>
  <c r="C4449" i="1"/>
  <c r="D4449" i="1"/>
  <c r="E4449" i="1"/>
  <c r="A4450" i="1"/>
  <c r="B4450" i="1"/>
  <c r="C4450" i="1"/>
  <c r="D4450" i="1"/>
  <c r="E4450" i="1"/>
  <c r="A4451" i="1"/>
  <c r="B4451" i="1"/>
  <c r="C4451" i="1"/>
  <c r="D4451" i="1"/>
  <c r="E4451" i="1"/>
  <c r="A4452" i="1"/>
  <c r="B4452" i="1"/>
  <c r="C4452" i="1"/>
  <c r="D4452" i="1"/>
  <c r="E4452" i="1"/>
  <c r="A4453" i="1"/>
  <c r="B4453" i="1"/>
  <c r="C4453" i="1"/>
  <c r="D4453" i="1"/>
  <c r="E4453" i="1"/>
  <c r="A4454" i="1"/>
  <c r="B4454" i="1"/>
  <c r="C4454" i="1"/>
  <c r="D4454" i="1"/>
  <c r="E4454" i="1"/>
  <c r="A4455" i="1"/>
  <c r="B4455" i="1"/>
  <c r="C4455" i="1"/>
  <c r="D4455" i="1"/>
  <c r="E4455" i="1"/>
  <c r="A4456" i="1"/>
  <c r="B4456" i="1"/>
  <c r="C4456" i="1"/>
  <c r="D4456" i="1"/>
  <c r="E4456" i="1"/>
  <c r="A4457" i="1"/>
  <c r="B4457" i="1"/>
  <c r="C4457" i="1"/>
  <c r="D4457" i="1"/>
  <c r="E4457" i="1"/>
  <c r="A4458" i="1"/>
  <c r="B4458" i="1"/>
  <c r="C4458" i="1"/>
  <c r="D4458" i="1"/>
  <c r="E4458" i="1"/>
  <c r="A4459" i="1"/>
  <c r="B4459" i="1"/>
  <c r="C4459" i="1"/>
  <c r="D4459" i="1"/>
  <c r="E4459" i="1"/>
  <c r="A4460" i="1"/>
  <c r="B4460" i="1"/>
  <c r="C4460" i="1"/>
  <c r="D4460" i="1"/>
  <c r="E4460" i="1"/>
  <c r="A4461" i="1"/>
  <c r="B4461" i="1"/>
  <c r="C4461" i="1"/>
  <c r="D4461" i="1"/>
  <c r="E4461" i="1"/>
  <c r="A4462" i="1"/>
  <c r="B4462" i="1"/>
  <c r="C4462" i="1"/>
  <c r="D4462" i="1"/>
  <c r="E4462" i="1"/>
  <c r="A4463" i="1"/>
  <c r="B4463" i="1"/>
  <c r="C4463" i="1"/>
  <c r="D4463" i="1"/>
  <c r="E4463" i="1"/>
  <c r="A4464" i="1"/>
  <c r="B4464" i="1"/>
  <c r="C4464" i="1"/>
  <c r="D4464" i="1"/>
  <c r="E4464" i="1"/>
  <c r="A4465" i="1"/>
  <c r="B4465" i="1"/>
  <c r="C4465" i="1"/>
  <c r="D4465" i="1"/>
  <c r="E4465" i="1"/>
  <c r="A4466" i="1"/>
  <c r="B4466" i="1"/>
  <c r="C4466" i="1"/>
  <c r="D4466" i="1"/>
  <c r="E4466" i="1"/>
  <c r="A4467" i="1"/>
  <c r="B4467" i="1"/>
  <c r="C4467" i="1"/>
  <c r="D4467" i="1"/>
  <c r="E4467" i="1"/>
  <c r="A4468" i="1"/>
  <c r="B4468" i="1"/>
  <c r="C4468" i="1"/>
  <c r="D4468" i="1"/>
  <c r="E4468" i="1"/>
  <c r="A4469" i="1"/>
  <c r="B4469" i="1"/>
  <c r="C4469" i="1"/>
  <c r="D4469" i="1"/>
  <c r="E4469" i="1"/>
  <c r="A4470" i="1"/>
  <c r="B4470" i="1"/>
  <c r="C4470" i="1"/>
  <c r="D4470" i="1"/>
  <c r="E4470" i="1"/>
  <c r="A4471" i="1"/>
  <c r="B4471" i="1"/>
  <c r="C4471" i="1"/>
  <c r="D4471" i="1"/>
  <c r="E4471" i="1"/>
  <c r="A4472" i="1"/>
  <c r="B4472" i="1"/>
  <c r="C4472" i="1"/>
  <c r="D4472" i="1"/>
  <c r="E4472" i="1"/>
  <c r="A4473" i="1"/>
  <c r="B4473" i="1"/>
  <c r="C4473" i="1"/>
  <c r="D4473" i="1"/>
  <c r="E4473" i="1"/>
  <c r="A4474" i="1"/>
  <c r="B4474" i="1"/>
  <c r="C4474" i="1"/>
  <c r="D4474" i="1"/>
  <c r="E4474" i="1"/>
  <c r="A4475" i="1"/>
  <c r="B4475" i="1"/>
  <c r="C4475" i="1"/>
  <c r="D4475" i="1"/>
  <c r="E4475" i="1"/>
  <c r="A4476" i="1"/>
  <c r="B4476" i="1"/>
  <c r="C4476" i="1"/>
  <c r="D4476" i="1"/>
  <c r="E4476" i="1"/>
  <c r="A4477" i="1"/>
  <c r="B4477" i="1"/>
  <c r="C4477" i="1"/>
  <c r="D4477" i="1"/>
  <c r="E4477" i="1"/>
  <c r="A4478" i="1"/>
  <c r="B4478" i="1"/>
  <c r="C4478" i="1"/>
  <c r="D4478" i="1"/>
  <c r="E4478" i="1"/>
  <c r="A4479" i="1"/>
  <c r="B4479" i="1"/>
  <c r="C4479" i="1"/>
  <c r="D4479" i="1"/>
  <c r="E4479" i="1"/>
  <c r="A4480" i="1"/>
  <c r="B4480" i="1"/>
  <c r="C4480" i="1"/>
  <c r="D4480" i="1"/>
  <c r="E4480" i="1"/>
  <c r="A4481" i="1"/>
  <c r="B4481" i="1"/>
  <c r="C4481" i="1"/>
  <c r="D4481" i="1"/>
  <c r="E4481" i="1"/>
  <c r="A4482" i="1"/>
  <c r="B4482" i="1"/>
  <c r="C4482" i="1"/>
  <c r="D4482" i="1"/>
  <c r="E4482" i="1"/>
  <c r="A4483" i="1"/>
  <c r="B4483" i="1"/>
  <c r="C4483" i="1"/>
  <c r="D4483" i="1"/>
  <c r="E4483" i="1"/>
  <c r="A4484" i="1"/>
  <c r="B4484" i="1"/>
  <c r="C4484" i="1"/>
  <c r="D4484" i="1"/>
  <c r="E4484" i="1"/>
  <c r="A4485" i="1"/>
  <c r="B4485" i="1"/>
  <c r="C4485" i="1"/>
  <c r="D4485" i="1"/>
  <c r="E4485" i="1"/>
  <c r="A4486" i="1"/>
  <c r="B4486" i="1"/>
  <c r="C4486" i="1"/>
  <c r="D4486" i="1"/>
  <c r="E4486" i="1"/>
  <c r="A4487" i="1"/>
  <c r="B4487" i="1"/>
  <c r="C4487" i="1"/>
  <c r="D4487" i="1"/>
  <c r="E4487" i="1"/>
  <c r="A4488" i="1"/>
  <c r="B4488" i="1"/>
  <c r="C4488" i="1"/>
  <c r="D4488" i="1"/>
  <c r="E4488" i="1"/>
  <c r="A4489" i="1"/>
  <c r="B4489" i="1"/>
  <c r="C4489" i="1"/>
  <c r="D4489" i="1"/>
  <c r="E4489" i="1"/>
  <c r="A4490" i="1"/>
  <c r="B4490" i="1"/>
  <c r="C4490" i="1"/>
  <c r="D4490" i="1"/>
  <c r="E4490" i="1"/>
  <c r="A4491" i="1"/>
  <c r="B4491" i="1"/>
  <c r="C4491" i="1"/>
  <c r="D4491" i="1"/>
  <c r="E4491" i="1"/>
  <c r="A4492" i="1"/>
  <c r="B4492" i="1"/>
  <c r="C4492" i="1"/>
  <c r="D4492" i="1"/>
  <c r="E4492" i="1"/>
  <c r="A4493" i="1"/>
  <c r="B4493" i="1"/>
  <c r="C4493" i="1"/>
  <c r="D4493" i="1"/>
  <c r="E4493" i="1"/>
  <c r="A4494" i="1"/>
  <c r="B4494" i="1"/>
  <c r="C4494" i="1"/>
  <c r="D4494" i="1"/>
  <c r="E4494" i="1"/>
  <c r="A4495" i="1"/>
  <c r="B4495" i="1"/>
  <c r="C4495" i="1"/>
  <c r="D4495" i="1"/>
  <c r="E4495" i="1"/>
  <c r="A4496" i="1"/>
  <c r="B4496" i="1"/>
  <c r="C4496" i="1"/>
  <c r="D4496" i="1"/>
  <c r="E4496" i="1"/>
  <c r="A4497" i="1"/>
  <c r="B4497" i="1"/>
  <c r="C4497" i="1"/>
  <c r="D4497" i="1"/>
  <c r="E4497" i="1"/>
  <c r="A4498" i="1"/>
  <c r="B4498" i="1"/>
  <c r="C4498" i="1"/>
  <c r="D4498" i="1"/>
  <c r="E4498" i="1"/>
  <c r="A4499" i="1"/>
  <c r="B4499" i="1"/>
  <c r="C4499" i="1"/>
  <c r="D4499" i="1"/>
  <c r="E4499" i="1"/>
  <c r="A4500" i="1"/>
  <c r="B4500" i="1"/>
  <c r="C4500" i="1"/>
  <c r="D4500" i="1"/>
  <c r="E4500" i="1"/>
  <c r="A4501" i="1"/>
  <c r="B4501" i="1"/>
  <c r="C4501" i="1"/>
  <c r="D4501" i="1"/>
  <c r="E4501" i="1"/>
  <c r="A4502" i="1"/>
  <c r="B4502" i="1"/>
  <c r="C4502" i="1"/>
  <c r="D4502" i="1"/>
  <c r="E4502" i="1"/>
  <c r="A4503" i="1"/>
  <c r="B4503" i="1"/>
  <c r="C4503" i="1"/>
  <c r="D4503" i="1"/>
  <c r="E4503" i="1"/>
  <c r="A4504" i="1"/>
  <c r="B4504" i="1"/>
  <c r="C4504" i="1"/>
  <c r="D4504" i="1"/>
  <c r="E4504" i="1"/>
  <c r="A4505" i="1"/>
  <c r="B4505" i="1"/>
  <c r="C4505" i="1"/>
  <c r="D4505" i="1"/>
  <c r="E4505" i="1"/>
  <c r="A4506" i="1"/>
  <c r="B4506" i="1"/>
  <c r="C4506" i="1"/>
  <c r="D4506" i="1"/>
  <c r="E4506" i="1"/>
  <c r="A4507" i="1"/>
  <c r="B4507" i="1"/>
  <c r="C4507" i="1"/>
  <c r="D4507" i="1"/>
  <c r="E4507" i="1"/>
  <c r="A4508" i="1"/>
  <c r="B4508" i="1"/>
  <c r="C4508" i="1"/>
  <c r="D4508" i="1"/>
  <c r="E4508" i="1"/>
  <c r="A4509" i="1"/>
  <c r="B4509" i="1"/>
  <c r="C4509" i="1"/>
  <c r="D4509" i="1"/>
  <c r="E4509" i="1"/>
  <c r="A4510" i="1"/>
  <c r="B4510" i="1"/>
  <c r="C4510" i="1"/>
  <c r="D4510" i="1"/>
  <c r="E4510" i="1"/>
  <c r="A4511" i="1"/>
  <c r="B4511" i="1"/>
  <c r="C4511" i="1"/>
  <c r="D4511" i="1"/>
  <c r="E4511" i="1"/>
  <c r="A4512" i="1"/>
  <c r="B4512" i="1"/>
  <c r="C4512" i="1"/>
  <c r="D4512" i="1"/>
  <c r="E4512" i="1"/>
  <c r="A4513" i="1"/>
  <c r="B4513" i="1"/>
  <c r="C4513" i="1"/>
  <c r="D4513" i="1"/>
  <c r="E4513" i="1"/>
  <c r="A4514" i="1"/>
  <c r="B4514" i="1"/>
  <c r="C4514" i="1"/>
  <c r="D4514" i="1"/>
  <c r="E4514" i="1"/>
  <c r="A4515" i="1"/>
  <c r="B4515" i="1"/>
  <c r="C4515" i="1"/>
  <c r="D4515" i="1"/>
  <c r="E4515" i="1"/>
  <c r="A4516" i="1"/>
  <c r="B4516" i="1"/>
  <c r="C4516" i="1"/>
  <c r="D4516" i="1"/>
  <c r="E4516" i="1"/>
  <c r="A4517" i="1"/>
  <c r="B4517" i="1"/>
  <c r="C4517" i="1"/>
  <c r="D4517" i="1"/>
  <c r="E4517" i="1"/>
  <c r="A4518" i="1"/>
  <c r="B4518" i="1"/>
  <c r="C4518" i="1"/>
  <c r="D4518" i="1"/>
  <c r="E4518" i="1"/>
  <c r="A4519" i="1"/>
  <c r="B4519" i="1"/>
  <c r="C4519" i="1"/>
  <c r="D4519" i="1"/>
  <c r="E4519" i="1"/>
  <c r="A4520" i="1"/>
  <c r="B4520" i="1"/>
  <c r="C4520" i="1"/>
  <c r="D4520" i="1"/>
  <c r="E4520" i="1"/>
  <c r="A4521" i="1"/>
  <c r="B4521" i="1"/>
  <c r="C4521" i="1"/>
  <c r="D4521" i="1"/>
  <c r="E4521" i="1"/>
  <c r="A4522" i="1"/>
  <c r="B4522" i="1"/>
  <c r="C4522" i="1"/>
  <c r="D4522" i="1"/>
  <c r="E4522" i="1"/>
  <c r="A4523" i="1"/>
  <c r="B4523" i="1"/>
  <c r="C4523" i="1"/>
  <c r="D4523" i="1"/>
  <c r="E4523" i="1"/>
  <c r="A4524" i="1"/>
  <c r="B4524" i="1"/>
  <c r="C4524" i="1"/>
  <c r="D4524" i="1"/>
  <c r="E4524" i="1"/>
  <c r="A4525" i="1"/>
  <c r="B4525" i="1"/>
  <c r="C4525" i="1"/>
  <c r="D4525" i="1"/>
  <c r="E4525" i="1"/>
  <c r="A4526" i="1"/>
  <c r="B4526" i="1"/>
  <c r="C4526" i="1"/>
  <c r="D4526" i="1"/>
  <c r="E4526" i="1"/>
  <c r="A4527" i="1"/>
  <c r="B4527" i="1"/>
  <c r="C4527" i="1"/>
  <c r="D4527" i="1"/>
  <c r="E4527" i="1"/>
  <c r="A4528" i="1"/>
  <c r="B4528" i="1"/>
  <c r="C4528" i="1"/>
  <c r="D4528" i="1"/>
  <c r="E4528" i="1"/>
  <c r="A4529" i="1"/>
  <c r="B4529" i="1"/>
  <c r="C4529" i="1"/>
  <c r="D4529" i="1"/>
  <c r="E4529" i="1"/>
  <c r="A4530" i="1"/>
  <c r="B4530" i="1"/>
  <c r="C4530" i="1"/>
  <c r="D4530" i="1"/>
  <c r="E4530" i="1"/>
  <c r="A4531" i="1"/>
  <c r="B4531" i="1"/>
  <c r="C4531" i="1"/>
  <c r="D4531" i="1"/>
  <c r="E4531" i="1"/>
  <c r="A4532" i="1"/>
  <c r="B4532" i="1"/>
  <c r="C4532" i="1"/>
  <c r="D4532" i="1"/>
  <c r="E4532" i="1"/>
  <c r="A4533" i="1"/>
  <c r="B4533" i="1"/>
  <c r="C4533" i="1"/>
  <c r="D4533" i="1"/>
  <c r="E4533" i="1"/>
  <c r="A4534" i="1"/>
  <c r="B4534" i="1"/>
  <c r="C4534" i="1"/>
  <c r="D4534" i="1"/>
  <c r="E4534" i="1"/>
  <c r="A4535" i="1"/>
  <c r="B4535" i="1"/>
  <c r="C4535" i="1"/>
  <c r="D4535" i="1"/>
  <c r="E4535" i="1"/>
  <c r="A4536" i="1"/>
  <c r="B4536" i="1"/>
  <c r="C4536" i="1"/>
  <c r="D4536" i="1"/>
  <c r="E4536" i="1"/>
  <c r="A4537" i="1"/>
  <c r="B4537" i="1"/>
  <c r="C4537" i="1"/>
  <c r="D4537" i="1"/>
  <c r="E4537" i="1"/>
  <c r="A4538" i="1"/>
  <c r="B4538" i="1"/>
  <c r="C4538" i="1"/>
  <c r="D4538" i="1"/>
  <c r="E4538" i="1"/>
  <c r="A4539" i="1"/>
  <c r="B4539" i="1"/>
  <c r="C4539" i="1"/>
  <c r="D4539" i="1"/>
  <c r="E4539" i="1"/>
  <c r="A4540" i="1"/>
  <c r="B4540" i="1"/>
  <c r="C4540" i="1"/>
  <c r="D4540" i="1"/>
  <c r="E4540" i="1"/>
  <c r="A4541" i="1"/>
  <c r="B4541" i="1"/>
  <c r="C4541" i="1"/>
  <c r="D4541" i="1"/>
  <c r="E4541" i="1"/>
  <c r="A4542" i="1"/>
  <c r="B4542" i="1"/>
  <c r="C4542" i="1"/>
  <c r="D4542" i="1"/>
  <c r="E4542" i="1"/>
  <c r="A4543" i="1"/>
  <c r="B4543" i="1"/>
  <c r="C4543" i="1"/>
  <c r="D4543" i="1"/>
  <c r="E4543" i="1"/>
  <c r="A4544" i="1"/>
  <c r="B4544" i="1"/>
  <c r="C4544" i="1"/>
  <c r="D4544" i="1"/>
  <c r="E4544" i="1"/>
  <c r="A4545" i="1"/>
  <c r="B4545" i="1"/>
  <c r="C4545" i="1"/>
  <c r="D4545" i="1"/>
  <c r="E4545" i="1"/>
  <c r="A4546" i="1"/>
  <c r="B4546" i="1"/>
  <c r="C4546" i="1"/>
  <c r="D4546" i="1"/>
  <c r="E4546" i="1"/>
  <c r="A4547" i="1"/>
  <c r="B4547" i="1"/>
  <c r="C4547" i="1"/>
  <c r="D4547" i="1"/>
  <c r="E4547" i="1"/>
  <c r="A4548" i="1"/>
  <c r="B4548" i="1"/>
  <c r="C4548" i="1"/>
  <c r="D4548" i="1"/>
  <c r="E4548" i="1"/>
  <c r="A4549" i="1"/>
  <c r="B4549" i="1"/>
  <c r="C4549" i="1"/>
  <c r="D4549" i="1"/>
  <c r="E4549" i="1"/>
  <c r="A4550" i="1"/>
  <c r="B4550" i="1"/>
  <c r="C4550" i="1"/>
  <c r="D4550" i="1"/>
  <c r="E4550" i="1"/>
  <c r="A4551" i="1"/>
  <c r="B4551" i="1"/>
  <c r="C4551" i="1"/>
  <c r="D4551" i="1"/>
  <c r="E4551" i="1"/>
  <c r="A4552" i="1"/>
  <c r="B4552" i="1"/>
  <c r="C4552" i="1"/>
  <c r="D4552" i="1"/>
  <c r="E4552" i="1"/>
  <c r="A4553" i="1"/>
  <c r="B4553" i="1"/>
  <c r="C4553" i="1"/>
  <c r="D4553" i="1"/>
  <c r="E4553" i="1"/>
  <c r="A4554" i="1"/>
  <c r="B4554" i="1"/>
  <c r="C4554" i="1"/>
  <c r="D4554" i="1"/>
  <c r="E4554" i="1"/>
  <c r="A4555" i="1"/>
  <c r="B4555" i="1"/>
  <c r="C4555" i="1"/>
  <c r="D4555" i="1"/>
  <c r="E4555" i="1"/>
  <c r="A4556" i="1"/>
  <c r="B4556" i="1"/>
  <c r="C4556" i="1"/>
  <c r="D4556" i="1"/>
  <c r="E4556" i="1"/>
  <c r="A4557" i="1"/>
  <c r="B4557" i="1"/>
  <c r="C4557" i="1"/>
  <c r="D4557" i="1"/>
  <c r="E4557" i="1"/>
  <c r="A4558" i="1"/>
  <c r="B4558" i="1"/>
  <c r="C4558" i="1"/>
  <c r="D4558" i="1"/>
  <c r="E4558" i="1"/>
  <c r="A4559" i="1"/>
  <c r="B4559" i="1"/>
  <c r="C4559" i="1"/>
  <c r="D4559" i="1"/>
  <c r="E4559" i="1"/>
  <c r="A4560" i="1"/>
  <c r="B4560" i="1"/>
  <c r="C4560" i="1"/>
  <c r="D4560" i="1"/>
  <c r="E4560" i="1"/>
  <c r="A4561" i="1"/>
  <c r="B4561" i="1"/>
  <c r="C4561" i="1"/>
  <c r="D4561" i="1"/>
  <c r="E4561" i="1"/>
  <c r="A4562" i="1"/>
  <c r="B4562" i="1"/>
  <c r="C4562" i="1"/>
  <c r="D4562" i="1"/>
  <c r="E4562" i="1"/>
  <c r="A4563" i="1"/>
  <c r="B4563" i="1"/>
  <c r="C4563" i="1"/>
  <c r="D4563" i="1"/>
  <c r="E4563" i="1"/>
  <c r="A4564" i="1"/>
  <c r="B4564" i="1"/>
  <c r="C4564" i="1"/>
  <c r="D4564" i="1"/>
  <c r="E4564" i="1"/>
  <c r="A4565" i="1"/>
  <c r="B4565" i="1"/>
  <c r="C4565" i="1"/>
  <c r="D4565" i="1"/>
  <c r="E4565" i="1"/>
  <c r="A4566" i="1"/>
  <c r="B4566" i="1"/>
  <c r="C4566" i="1"/>
  <c r="D4566" i="1"/>
  <c r="E4566" i="1"/>
  <c r="A4567" i="1"/>
  <c r="B4567" i="1"/>
  <c r="C4567" i="1"/>
  <c r="D4567" i="1"/>
  <c r="E4567" i="1"/>
  <c r="A4568" i="1"/>
  <c r="B4568" i="1"/>
  <c r="C4568" i="1"/>
  <c r="D4568" i="1"/>
  <c r="E4568" i="1"/>
  <c r="A4569" i="1"/>
  <c r="B4569" i="1"/>
  <c r="C4569" i="1"/>
  <c r="D4569" i="1"/>
  <c r="E4569" i="1"/>
  <c r="A4570" i="1"/>
  <c r="B4570" i="1"/>
  <c r="C4570" i="1"/>
  <c r="D4570" i="1"/>
  <c r="E4570" i="1"/>
  <c r="A4571" i="1"/>
  <c r="B4571" i="1"/>
  <c r="C4571" i="1"/>
  <c r="D4571" i="1"/>
  <c r="E4571" i="1"/>
  <c r="A4572" i="1"/>
  <c r="B4572" i="1"/>
  <c r="C4572" i="1"/>
  <c r="D4572" i="1"/>
  <c r="E4572" i="1"/>
  <c r="A4573" i="1"/>
  <c r="B4573" i="1"/>
  <c r="C4573" i="1"/>
  <c r="D4573" i="1"/>
  <c r="E4573" i="1"/>
  <c r="A4574" i="1"/>
  <c r="B4574" i="1"/>
  <c r="C4574" i="1"/>
  <c r="D4574" i="1"/>
  <c r="E4574" i="1"/>
  <c r="A4575" i="1"/>
  <c r="B4575" i="1"/>
  <c r="C4575" i="1"/>
  <c r="D4575" i="1"/>
  <c r="E4575" i="1"/>
  <c r="A4576" i="1"/>
  <c r="B4576" i="1"/>
  <c r="C4576" i="1"/>
  <c r="D4576" i="1"/>
  <c r="E4576" i="1"/>
  <c r="A4577" i="1"/>
  <c r="B4577" i="1"/>
  <c r="C4577" i="1"/>
  <c r="D4577" i="1"/>
  <c r="E4577" i="1"/>
  <c r="A4578" i="1"/>
  <c r="B4578" i="1"/>
  <c r="C4578" i="1"/>
  <c r="D4578" i="1"/>
  <c r="E4578" i="1"/>
  <c r="A4579" i="1"/>
  <c r="B4579" i="1"/>
  <c r="C4579" i="1"/>
  <c r="D4579" i="1"/>
  <c r="E4579" i="1"/>
  <c r="A4580" i="1"/>
  <c r="B4580" i="1"/>
  <c r="C4580" i="1"/>
  <c r="D4580" i="1"/>
  <c r="E4580" i="1"/>
  <c r="A4581" i="1"/>
  <c r="B4581" i="1"/>
  <c r="C4581" i="1"/>
  <c r="D4581" i="1"/>
  <c r="E4581" i="1"/>
  <c r="A4582" i="1"/>
  <c r="B4582" i="1"/>
  <c r="C4582" i="1"/>
  <c r="D4582" i="1"/>
  <c r="E4582" i="1"/>
  <c r="A4583" i="1"/>
  <c r="B4583" i="1"/>
  <c r="C4583" i="1"/>
  <c r="D4583" i="1"/>
  <c r="E4583" i="1"/>
  <c r="A4584" i="1"/>
  <c r="B4584" i="1"/>
  <c r="C4584" i="1"/>
  <c r="D4584" i="1"/>
  <c r="E4584" i="1"/>
  <c r="A4585" i="1"/>
  <c r="B4585" i="1"/>
  <c r="C4585" i="1"/>
  <c r="D4585" i="1"/>
  <c r="E4585" i="1"/>
  <c r="A4586" i="1"/>
  <c r="B4586" i="1"/>
  <c r="C4586" i="1"/>
  <c r="D4586" i="1"/>
  <c r="E4586" i="1"/>
  <c r="A4587" i="1"/>
  <c r="B4587" i="1"/>
  <c r="C4587" i="1"/>
  <c r="D4587" i="1"/>
  <c r="E4587" i="1"/>
  <c r="A4588" i="1"/>
  <c r="B4588" i="1"/>
  <c r="C4588" i="1"/>
  <c r="D4588" i="1"/>
  <c r="E4588" i="1"/>
  <c r="A4589" i="1"/>
  <c r="B4589" i="1"/>
  <c r="C4589" i="1"/>
  <c r="D4589" i="1"/>
  <c r="E4589" i="1"/>
  <c r="A4590" i="1"/>
  <c r="B4590" i="1"/>
  <c r="C4590" i="1"/>
  <c r="D4590" i="1"/>
  <c r="E4590" i="1"/>
  <c r="A4591" i="1"/>
  <c r="B4591" i="1"/>
  <c r="C4591" i="1"/>
  <c r="D4591" i="1"/>
  <c r="E4591" i="1"/>
  <c r="A4592" i="1"/>
  <c r="B4592" i="1"/>
  <c r="C4592" i="1"/>
  <c r="D4592" i="1"/>
  <c r="E4592" i="1"/>
  <c r="A4593" i="1"/>
  <c r="B4593" i="1"/>
  <c r="C4593" i="1"/>
  <c r="D4593" i="1"/>
  <c r="E4593" i="1"/>
  <c r="A4594" i="1"/>
  <c r="B4594" i="1"/>
  <c r="C4594" i="1"/>
  <c r="D4594" i="1"/>
  <c r="E4594" i="1"/>
  <c r="A4595" i="1"/>
  <c r="B4595" i="1"/>
  <c r="C4595" i="1"/>
  <c r="D4595" i="1"/>
  <c r="E4595" i="1"/>
  <c r="A4596" i="1"/>
  <c r="B4596" i="1"/>
  <c r="C4596" i="1"/>
  <c r="D4596" i="1"/>
  <c r="E4596" i="1"/>
  <c r="A4597" i="1"/>
  <c r="B4597" i="1"/>
  <c r="C4597" i="1"/>
  <c r="D4597" i="1"/>
  <c r="E4597" i="1"/>
  <c r="A4598" i="1"/>
  <c r="B4598" i="1"/>
  <c r="C4598" i="1"/>
  <c r="D4598" i="1"/>
  <c r="E4598" i="1"/>
  <c r="A4599" i="1"/>
  <c r="B4599" i="1"/>
  <c r="C4599" i="1"/>
  <c r="D4599" i="1"/>
  <c r="E4599" i="1"/>
  <c r="A4600" i="1"/>
  <c r="B4600" i="1"/>
  <c r="C4600" i="1"/>
  <c r="D4600" i="1"/>
  <c r="E4600" i="1"/>
  <c r="A4601" i="1"/>
  <c r="B4601" i="1"/>
  <c r="C4601" i="1"/>
  <c r="D4601" i="1"/>
  <c r="E4601" i="1"/>
  <c r="A4602" i="1"/>
  <c r="B4602" i="1"/>
  <c r="C4602" i="1"/>
  <c r="D4602" i="1"/>
  <c r="E4602" i="1"/>
  <c r="A4603" i="1"/>
  <c r="B4603" i="1"/>
  <c r="C4603" i="1"/>
  <c r="D4603" i="1"/>
  <c r="E4603" i="1"/>
  <c r="A4604" i="1"/>
  <c r="B4604" i="1"/>
  <c r="C4604" i="1"/>
  <c r="D4604" i="1"/>
  <c r="E4604" i="1"/>
  <c r="A4605" i="1"/>
  <c r="B4605" i="1"/>
  <c r="C4605" i="1"/>
  <c r="D4605" i="1"/>
  <c r="E4605" i="1"/>
  <c r="A4606" i="1"/>
  <c r="B4606" i="1"/>
  <c r="C4606" i="1"/>
  <c r="D4606" i="1"/>
  <c r="E4606" i="1"/>
  <c r="A4607" i="1"/>
  <c r="B4607" i="1"/>
  <c r="C4607" i="1"/>
  <c r="D4607" i="1"/>
  <c r="E4607" i="1"/>
  <c r="A4608" i="1"/>
  <c r="B4608" i="1"/>
  <c r="C4608" i="1"/>
  <c r="D4608" i="1"/>
  <c r="E4608" i="1"/>
  <c r="A4609" i="1"/>
  <c r="B4609" i="1"/>
  <c r="C4609" i="1"/>
  <c r="D4609" i="1"/>
  <c r="E4609" i="1"/>
  <c r="A4610" i="1"/>
  <c r="B4610" i="1"/>
  <c r="C4610" i="1"/>
  <c r="D4610" i="1"/>
  <c r="E4610" i="1"/>
  <c r="A4611" i="1"/>
  <c r="B4611" i="1"/>
  <c r="C4611" i="1"/>
  <c r="D4611" i="1"/>
  <c r="E4611" i="1"/>
  <c r="A4612" i="1"/>
  <c r="B4612" i="1"/>
  <c r="C4612" i="1"/>
  <c r="D4612" i="1"/>
  <c r="E4612" i="1"/>
  <c r="A4613" i="1"/>
  <c r="B4613" i="1"/>
  <c r="C4613" i="1"/>
  <c r="D4613" i="1"/>
  <c r="E4613" i="1"/>
  <c r="A4614" i="1"/>
  <c r="B4614" i="1"/>
  <c r="C4614" i="1"/>
  <c r="D4614" i="1"/>
  <c r="E4614" i="1"/>
  <c r="A4615" i="1"/>
  <c r="B4615" i="1"/>
  <c r="C4615" i="1"/>
  <c r="D4615" i="1"/>
  <c r="E4615" i="1"/>
  <c r="A4616" i="1"/>
  <c r="B4616" i="1"/>
  <c r="C4616" i="1"/>
  <c r="D4616" i="1"/>
  <c r="E4616" i="1"/>
  <c r="A4617" i="1"/>
  <c r="B4617" i="1"/>
  <c r="C4617" i="1"/>
  <c r="D4617" i="1"/>
  <c r="E4617" i="1"/>
  <c r="A4618" i="1"/>
  <c r="B4618" i="1"/>
  <c r="C4618" i="1"/>
  <c r="D4618" i="1"/>
  <c r="E4618" i="1"/>
  <c r="A4619" i="1"/>
  <c r="B4619" i="1"/>
  <c r="C4619" i="1"/>
  <c r="D4619" i="1"/>
  <c r="E4619" i="1"/>
  <c r="A4620" i="1"/>
  <c r="B4620" i="1"/>
  <c r="C4620" i="1"/>
  <c r="D4620" i="1"/>
  <c r="E4620" i="1"/>
  <c r="A4621" i="1"/>
  <c r="B4621" i="1"/>
  <c r="C4621" i="1"/>
  <c r="D4621" i="1"/>
  <c r="E4621" i="1"/>
  <c r="A4622" i="1"/>
  <c r="B4622" i="1"/>
  <c r="C4622" i="1"/>
  <c r="D4622" i="1"/>
  <c r="E4622" i="1"/>
  <c r="A4623" i="1"/>
  <c r="B4623" i="1"/>
  <c r="C4623" i="1"/>
  <c r="D4623" i="1"/>
  <c r="E4623" i="1"/>
  <c r="A4624" i="1"/>
  <c r="B4624" i="1"/>
  <c r="C4624" i="1"/>
  <c r="D4624" i="1"/>
  <c r="E4624" i="1"/>
  <c r="A4625" i="1"/>
  <c r="B4625" i="1"/>
  <c r="C4625" i="1"/>
  <c r="D4625" i="1"/>
  <c r="E4625" i="1"/>
  <c r="A4626" i="1"/>
  <c r="B4626" i="1"/>
  <c r="C4626" i="1"/>
  <c r="D4626" i="1"/>
  <c r="E4626" i="1"/>
  <c r="A4627" i="1"/>
  <c r="B4627" i="1"/>
  <c r="C4627" i="1"/>
  <c r="D4627" i="1"/>
  <c r="E4627" i="1"/>
  <c r="A4628" i="1"/>
  <c r="B4628" i="1"/>
  <c r="C4628" i="1"/>
  <c r="D4628" i="1"/>
  <c r="E4628" i="1"/>
  <c r="A4629" i="1"/>
  <c r="B4629" i="1"/>
  <c r="C4629" i="1"/>
  <c r="D4629" i="1"/>
  <c r="E4629" i="1"/>
  <c r="A4630" i="1"/>
  <c r="B4630" i="1"/>
  <c r="C4630" i="1"/>
  <c r="D4630" i="1"/>
  <c r="E4630" i="1"/>
  <c r="A4631" i="1"/>
  <c r="B4631" i="1"/>
  <c r="C4631" i="1"/>
  <c r="D4631" i="1"/>
  <c r="E4631" i="1"/>
  <c r="A4632" i="1"/>
  <c r="B4632" i="1"/>
  <c r="C4632" i="1"/>
  <c r="D4632" i="1"/>
  <c r="E4632" i="1"/>
  <c r="A4633" i="1"/>
  <c r="B4633" i="1"/>
  <c r="C4633" i="1"/>
  <c r="D4633" i="1"/>
  <c r="E4633" i="1"/>
  <c r="A4634" i="1"/>
  <c r="B4634" i="1"/>
  <c r="C4634" i="1"/>
  <c r="D4634" i="1"/>
  <c r="E4634" i="1"/>
  <c r="A4635" i="1"/>
  <c r="B4635" i="1"/>
  <c r="C4635" i="1"/>
  <c r="D4635" i="1"/>
  <c r="E4635" i="1"/>
  <c r="A4636" i="1"/>
  <c r="B4636" i="1"/>
  <c r="C4636" i="1"/>
  <c r="D4636" i="1"/>
  <c r="E4636" i="1"/>
  <c r="A4637" i="1"/>
  <c r="B4637" i="1"/>
  <c r="C4637" i="1"/>
  <c r="D4637" i="1"/>
  <c r="E4637" i="1"/>
  <c r="A4638" i="1"/>
  <c r="B4638" i="1"/>
  <c r="C4638" i="1"/>
  <c r="D4638" i="1"/>
  <c r="E4638" i="1"/>
  <c r="A4639" i="1"/>
  <c r="B4639" i="1"/>
  <c r="C4639" i="1"/>
  <c r="D4639" i="1"/>
  <c r="E4639" i="1"/>
  <c r="A4640" i="1"/>
  <c r="B4640" i="1"/>
  <c r="C4640" i="1"/>
  <c r="D4640" i="1"/>
  <c r="E4640" i="1"/>
  <c r="A4641" i="1"/>
  <c r="B4641" i="1"/>
  <c r="C4641" i="1"/>
  <c r="D4641" i="1"/>
  <c r="E4641" i="1"/>
  <c r="A4642" i="1"/>
  <c r="B4642" i="1"/>
  <c r="C4642" i="1"/>
  <c r="D4642" i="1"/>
  <c r="E4642" i="1"/>
  <c r="A4643" i="1"/>
  <c r="B4643" i="1"/>
  <c r="C4643" i="1"/>
  <c r="D4643" i="1"/>
  <c r="E4643" i="1"/>
  <c r="A4644" i="1"/>
  <c r="B4644" i="1"/>
  <c r="C4644" i="1"/>
  <c r="D4644" i="1"/>
  <c r="E4644" i="1"/>
  <c r="A4645" i="1"/>
  <c r="B4645" i="1"/>
  <c r="C4645" i="1"/>
  <c r="D4645" i="1"/>
  <c r="E4645" i="1"/>
  <c r="A4646" i="1"/>
  <c r="B4646" i="1"/>
  <c r="C4646" i="1"/>
  <c r="D4646" i="1"/>
  <c r="E4646" i="1"/>
  <c r="A4647" i="1"/>
  <c r="B4647" i="1"/>
  <c r="C4647" i="1"/>
  <c r="D4647" i="1"/>
  <c r="E4647" i="1"/>
  <c r="A4648" i="1"/>
  <c r="B4648" i="1"/>
  <c r="C4648" i="1"/>
  <c r="D4648" i="1"/>
  <c r="E4648" i="1"/>
  <c r="A4649" i="1"/>
  <c r="B4649" i="1"/>
  <c r="C4649" i="1"/>
  <c r="D4649" i="1"/>
  <c r="E4649" i="1"/>
  <c r="A4650" i="1"/>
  <c r="B4650" i="1"/>
  <c r="C4650" i="1"/>
  <c r="D4650" i="1"/>
  <c r="E4650" i="1"/>
  <c r="A4651" i="1"/>
  <c r="B4651" i="1"/>
  <c r="C4651" i="1"/>
  <c r="D4651" i="1"/>
  <c r="E4651" i="1"/>
  <c r="A4652" i="1"/>
  <c r="B4652" i="1"/>
  <c r="C4652" i="1"/>
  <c r="D4652" i="1"/>
  <c r="E4652" i="1"/>
  <c r="A4653" i="1"/>
  <c r="B4653" i="1"/>
  <c r="C4653" i="1"/>
  <c r="D4653" i="1"/>
  <c r="E4653" i="1"/>
  <c r="A4654" i="1"/>
  <c r="B4654" i="1"/>
  <c r="C4654" i="1"/>
  <c r="D4654" i="1"/>
  <c r="E4654" i="1"/>
  <c r="A4655" i="1"/>
  <c r="B4655" i="1"/>
  <c r="C4655" i="1"/>
  <c r="D4655" i="1"/>
  <c r="E4655" i="1"/>
  <c r="A4656" i="1"/>
  <c r="B4656" i="1"/>
  <c r="C4656" i="1"/>
  <c r="D4656" i="1"/>
  <c r="E4656" i="1"/>
  <c r="A4657" i="1"/>
  <c r="B4657" i="1"/>
  <c r="C4657" i="1"/>
  <c r="D4657" i="1"/>
  <c r="E4657" i="1"/>
  <c r="A4658" i="1"/>
  <c r="B4658" i="1"/>
  <c r="C4658" i="1"/>
  <c r="D4658" i="1"/>
  <c r="E4658" i="1"/>
  <c r="A4659" i="1"/>
  <c r="B4659" i="1"/>
  <c r="C4659" i="1"/>
  <c r="D4659" i="1"/>
  <c r="E4659" i="1"/>
  <c r="A4660" i="1"/>
  <c r="B4660" i="1"/>
  <c r="C4660" i="1"/>
  <c r="D4660" i="1"/>
  <c r="E4660" i="1"/>
  <c r="A4661" i="1"/>
  <c r="B4661" i="1"/>
  <c r="C4661" i="1"/>
  <c r="D4661" i="1"/>
  <c r="E4661" i="1"/>
  <c r="A4662" i="1"/>
  <c r="B4662" i="1"/>
  <c r="C4662" i="1"/>
  <c r="D4662" i="1"/>
  <c r="E4662" i="1"/>
  <c r="A4663" i="1"/>
  <c r="B4663" i="1"/>
  <c r="C4663" i="1"/>
  <c r="D4663" i="1"/>
  <c r="E4663" i="1"/>
  <c r="A4664" i="1"/>
  <c r="B4664" i="1"/>
  <c r="C4664" i="1"/>
  <c r="D4664" i="1"/>
  <c r="E4664" i="1"/>
  <c r="A4665" i="1"/>
  <c r="B4665" i="1"/>
  <c r="C4665" i="1"/>
  <c r="D4665" i="1"/>
  <c r="E4665" i="1"/>
  <c r="A4666" i="1"/>
  <c r="B4666" i="1"/>
  <c r="C4666" i="1"/>
  <c r="D4666" i="1"/>
  <c r="E4666" i="1"/>
  <c r="A4667" i="1"/>
  <c r="B4667" i="1"/>
  <c r="C4667" i="1"/>
  <c r="D4667" i="1"/>
  <c r="E4667" i="1"/>
  <c r="A4668" i="1"/>
  <c r="B4668" i="1"/>
  <c r="C4668" i="1"/>
  <c r="D4668" i="1"/>
  <c r="E4668" i="1"/>
  <c r="A4669" i="1"/>
  <c r="B4669" i="1"/>
  <c r="C4669" i="1"/>
  <c r="D4669" i="1"/>
  <c r="E4669" i="1"/>
  <c r="A4670" i="1"/>
  <c r="B4670" i="1"/>
  <c r="C4670" i="1"/>
  <c r="D4670" i="1"/>
  <c r="E4670" i="1"/>
  <c r="A4671" i="1"/>
  <c r="B4671" i="1"/>
  <c r="C4671" i="1"/>
  <c r="D4671" i="1"/>
  <c r="E4671" i="1"/>
  <c r="A4672" i="1"/>
  <c r="B4672" i="1"/>
  <c r="C4672" i="1"/>
  <c r="D4672" i="1"/>
  <c r="E4672" i="1"/>
  <c r="A4673" i="1"/>
  <c r="B4673" i="1"/>
  <c r="C4673" i="1"/>
  <c r="D4673" i="1"/>
  <c r="E4673" i="1"/>
  <c r="A4674" i="1"/>
  <c r="B4674" i="1"/>
  <c r="C4674" i="1"/>
  <c r="D4674" i="1"/>
  <c r="E4674" i="1"/>
  <c r="A4675" i="1"/>
  <c r="B4675" i="1"/>
  <c r="C4675" i="1"/>
  <c r="D4675" i="1"/>
  <c r="E4675" i="1"/>
  <c r="A4676" i="1"/>
  <c r="B4676" i="1"/>
  <c r="C4676" i="1"/>
  <c r="D4676" i="1"/>
  <c r="E4676" i="1"/>
  <c r="A4677" i="1"/>
  <c r="B4677" i="1"/>
  <c r="C4677" i="1"/>
  <c r="D4677" i="1"/>
  <c r="E4677" i="1"/>
  <c r="A4678" i="1"/>
  <c r="B4678" i="1"/>
  <c r="C4678" i="1"/>
  <c r="D4678" i="1"/>
  <c r="E4678" i="1"/>
  <c r="A4679" i="1"/>
  <c r="B4679" i="1"/>
  <c r="C4679" i="1"/>
  <c r="D4679" i="1"/>
  <c r="E4679" i="1"/>
  <c r="A4680" i="1"/>
  <c r="B4680" i="1"/>
  <c r="C4680" i="1"/>
  <c r="D4680" i="1"/>
  <c r="E4680" i="1"/>
  <c r="A4681" i="1"/>
  <c r="B4681" i="1"/>
  <c r="C4681" i="1"/>
  <c r="D4681" i="1"/>
  <c r="E4681" i="1"/>
  <c r="A4682" i="1"/>
  <c r="B4682" i="1"/>
  <c r="C4682" i="1"/>
  <c r="D4682" i="1"/>
  <c r="E4682" i="1"/>
  <c r="A4683" i="1"/>
  <c r="B4683" i="1"/>
  <c r="C4683" i="1"/>
  <c r="D4683" i="1"/>
  <c r="E4683" i="1"/>
  <c r="A4684" i="1"/>
  <c r="B4684" i="1"/>
  <c r="C4684" i="1"/>
  <c r="D4684" i="1"/>
  <c r="E4684" i="1"/>
  <c r="A4685" i="1"/>
  <c r="B4685" i="1"/>
  <c r="C4685" i="1"/>
  <c r="D4685" i="1"/>
  <c r="E4685" i="1"/>
  <c r="A4686" i="1"/>
  <c r="B4686" i="1"/>
  <c r="C4686" i="1"/>
  <c r="D4686" i="1"/>
  <c r="E4686" i="1"/>
  <c r="A4687" i="1"/>
  <c r="B4687" i="1"/>
  <c r="C4687" i="1"/>
  <c r="D4687" i="1"/>
  <c r="E4687" i="1"/>
  <c r="A4688" i="1"/>
  <c r="B4688" i="1"/>
  <c r="C4688" i="1"/>
  <c r="D4688" i="1"/>
  <c r="E4688" i="1"/>
  <c r="A4689" i="1"/>
  <c r="B4689" i="1"/>
  <c r="C4689" i="1"/>
  <c r="D4689" i="1"/>
  <c r="E4689" i="1"/>
  <c r="A4690" i="1"/>
  <c r="B4690" i="1"/>
  <c r="C4690" i="1"/>
  <c r="D4690" i="1"/>
  <c r="E4690" i="1"/>
  <c r="A4691" i="1"/>
  <c r="B4691" i="1"/>
  <c r="C4691" i="1"/>
  <c r="D4691" i="1"/>
  <c r="E4691" i="1"/>
  <c r="A4692" i="1"/>
  <c r="B4692" i="1"/>
  <c r="C4692" i="1"/>
  <c r="D4692" i="1"/>
  <c r="E4692" i="1"/>
  <c r="A4693" i="1"/>
  <c r="B4693" i="1"/>
  <c r="C4693" i="1"/>
  <c r="D4693" i="1"/>
  <c r="E4693" i="1"/>
  <c r="A4694" i="1"/>
  <c r="B4694" i="1"/>
  <c r="C4694" i="1"/>
  <c r="D4694" i="1"/>
  <c r="E4694" i="1"/>
  <c r="A4695" i="1"/>
  <c r="B4695" i="1"/>
  <c r="C4695" i="1"/>
  <c r="D4695" i="1"/>
  <c r="E4695" i="1"/>
  <c r="A4696" i="1"/>
  <c r="B4696" i="1"/>
  <c r="C4696" i="1"/>
  <c r="D4696" i="1"/>
  <c r="E4696" i="1"/>
  <c r="A4697" i="1"/>
  <c r="B4697" i="1"/>
  <c r="C4697" i="1"/>
  <c r="D4697" i="1"/>
  <c r="E4697" i="1"/>
  <c r="A4698" i="1"/>
  <c r="B4698" i="1"/>
  <c r="C4698" i="1"/>
  <c r="D4698" i="1"/>
  <c r="E4698" i="1"/>
  <c r="A4699" i="1"/>
  <c r="B4699" i="1"/>
  <c r="C4699" i="1"/>
  <c r="D4699" i="1"/>
  <c r="E4699" i="1"/>
  <c r="A4700" i="1"/>
  <c r="B4700" i="1"/>
  <c r="C4700" i="1"/>
  <c r="D4700" i="1"/>
  <c r="E4700" i="1"/>
  <c r="A4701" i="1"/>
  <c r="B4701" i="1"/>
  <c r="C4701" i="1"/>
  <c r="D4701" i="1"/>
  <c r="E4701" i="1"/>
  <c r="A4702" i="1"/>
  <c r="B4702" i="1"/>
  <c r="C4702" i="1"/>
  <c r="D4702" i="1"/>
  <c r="E4702" i="1"/>
  <c r="A4703" i="1"/>
  <c r="B4703" i="1"/>
  <c r="C4703" i="1"/>
  <c r="D4703" i="1"/>
  <c r="E4703" i="1"/>
  <c r="A4704" i="1"/>
  <c r="B4704" i="1"/>
  <c r="C4704" i="1"/>
  <c r="D4704" i="1"/>
  <c r="E4704" i="1"/>
  <c r="A4705" i="1"/>
  <c r="B4705" i="1"/>
  <c r="C4705" i="1"/>
  <c r="D4705" i="1"/>
  <c r="E4705" i="1"/>
  <c r="A4706" i="1"/>
  <c r="B4706" i="1"/>
  <c r="C4706" i="1"/>
  <c r="D4706" i="1"/>
  <c r="E4706" i="1"/>
  <c r="A4707" i="1"/>
  <c r="B4707" i="1"/>
  <c r="C4707" i="1"/>
  <c r="D4707" i="1"/>
  <c r="E4707" i="1"/>
  <c r="A4708" i="1"/>
  <c r="B4708" i="1"/>
  <c r="C4708" i="1"/>
  <c r="D4708" i="1"/>
  <c r="E4708" i="1"/>
  <c r="A4709" i="1"/>
  <c r="B4709" i="1"/>
  <c r="C4709" i="1"/>
  <c r="D4709" i="1"/>
  <c r="E4709" i="1"/>
  <c r="A4710" i="1"/>
  <c r="B4710" i="1"/>
  <c r="C4710" i="1"/>
  <c r="D4710" i="1"/>
  <c r="E4710" i="1"/>
  <c r="A4711" i="1"/>
  <c r="B4711" i="1"/>
  <c r="C4711" i="1"/>
  <c r="D4711" i="1"/>
  <c r="E4711" i="1"/>
  <c r="A4712" i="1"/>
  <c r="B4712" i="1"/>
  <c r="C4712" i="1"/>
  <c r="D4712" i="1"/>
  <c r="E4712" i="1"/>
  <c r="A4713" i="1"/>
  <c r="B4713" i="1"/>
  <c r="C4713" i="1"/>
  <c r="D4713" i="1"/>
  <c r="E4713" i="1"/>
  <c r="A4714" i="1"/>
  <c r="B4714" i="1"/>
  <c r="C4714" i="1"/>
  <c r="D4714" i="1"/>
  <c r="E4714" i="1"/>
  <c r="A4715" i="1"/>
  <c r="B4715" i="1"/>
  <c r="C4715" i="1"/>
  <c r="D4715" i="1"/>
  <c r="E4715" i="1"/>
  <c r="A4716" i="1"/>
  <c r="B4716" i="1"/>
  <c r="C4716" i="1"/>
  <c r="D4716" i="1"/>
  <c r="E4716" i="1"/>
  <c r="A4717" i="1"/>
  <c r="B4717" i="1"/>
  <c r="C4717" i="1"/>
  <c r="D4717" i="1"/>
  <c r="E4717" i="1"/>
  <c r="A4718" i="1"/>
  <c r="B4718" i="1"/>
  <c r="C4718" i="1"/>
  <c r="D4718" i="1"/>
  <c r="E4718" i="1"/>
  <c r="A4719" i="1"/>
  <c r="B4719" i="1"/>
  <c r="C4719" i="1"/>
  <c r="D4719" i="1"/>
  <c r="E4719" i="1"/>
  <c r="A4720" i="1"/>
  <c r="B4720" i="1"/>
  <c r="C4720" i="1"/>
  <c r="D4720" i="1"/>
  <c r="E4720" i="1"/>
  <c r="A4721" i="1"/>
  <c r="B4721" i="1"/>
  <c r="C4721" i="1"/>
  <c r="D4721" i="1"/>
  <c r="E4721" i="1"/>
  <c r="A4722" i="1"/>
  <c r="B4722" i="1"/>
  <c r="C4722" i="1"/>
  <c r="D4722" i="1"/>
  <c r="E4722" i="1"/>
  <c r="A4723" i="1"/>
  <c r="B4723" i="1"/>
  <c r="C4723" i="1"/>
  <c r="D4723" i="1"/>
  <c r="E4723" i="1"/>
  <c r="A4724" i="1"/>
  <c r="B4724" i="1"/>
  <c r="C4724" i="1"/>
  <c r="D4724" i="1"/>
  <c r="E4724" i="1"/>
  <c r="A4725" i="1"/>
  <c r="B4725" i="1"/>
  <c r="C4725" i="1"/>
  <c r="D4725" i="1"/>
  <c r="E4725" i="1"/>
  <c r="A4726" i="1"/>
  <c r="B4726" i="1"/>
  <c r="C4726" i="1"/>
  <c r="D4726" i="1"/>
  <c r="E4726" i="1"/>
  <c r="A4727" i="1"/>
  <c r="B4727" i="1"/>
  <c r="C4727" i="1"/>
  <c r="D4727" i="1"/>
  <c r="E4727" i="1"/>
  <c r="A4728" i="1"/>
  <c r="B4728" i="1"/>
  <c r="C4728" i="1"/>
  <c r="D4728" i="1"/>
  <c r="E4728" i="1"/>
  <c r="A4729" i="1"/>
  <c r="B4729" i="1"/>
  <c r="C4729" i="1"/>
  <c r="D4729" i="1"/>
  <c r="E4729" i="1"/>
  <c r="A4730" i="1"/>
  <c r="B4730" i="1"/>
  <c r="C4730" i="1"/>
  <c r="D4730" i="1"/>
  <c r="E4730" i="1"/>
  <c r="A4731" i="1"/>
  <c r="B4731" i="1"/>
  <c r="C4731" i="1"/>
  <c r="D4731" i="1"/>
  <c r="E4731" i="1"/>
  <c r="A4732" i="1"/>
  <c r="B4732" i="1"/>
  <c r="C4732" i="1"/>
  <c r="D4732" i="1"/>
  <c r="E4732" i="1"/>
  <c r="A4733" i="1"/>
  <c r="B4733" i="1"/>
  <c r="C4733" i="1"/>
  <c r="D4733" i="1"/>
  <c r="E4733" i="1"/>
  <c r="A4734" i="1"/>
  <c r="B4734" i="1"/>
  <c r="C4734" i="1"/>
  <c r="D4734" i="1"/>
  <c r="E4734" i="1"/>
  <c r="A4735" i="1"/>
  <c r="B4735" i="1"/>
  <c r="C4735" i="1"/>
  <c r="D4735" i="1"/>
  <c r="E4735" i="1"/>
  <c r="A4736" i="1"/>
  <c r="B4736" i="1"/>
  <c r="C4736" i="1"/>
  <c r="D4736" i="1"/>
  <c r="E4736" i="1"/>
  <c r="A4737" i="1"/>
  <c r="B4737" i="1"/>
  <c r="C4737" i="1"/>
  <c r="D4737" i="1"/>
  <c r="E4737" i="1"/>
  <c r="A4738" i="1"/>
  <c r="B4738" i="1"/>
  <c r="C4738" i="1"/>
  <c r="D4738" i="1"/>
  <c r="E4738" i="1"/>
  <c r="A4739" i="1"/>
  <c r="B4739" i="1"/>
  <c r="C4739" i="1"/>
  <c r="D4739" i="1"/>
  <c r="E4739" i="1"/>
  <c r="A4740" i="1"/>
  <c r="B4740" i="1"/>
  <c r="C4740" i="1"/>
  <c r="D4740" i="1"/>
  <c r="E4740" i="1"/>
  <c r="A4741" i="1"/>
  <c r="B4741" i="1"/>
  <c r="C4741" i="1"/>
  <c r="D4741" i="1"/>
  <c r="E4741" i="1"/>
  <c r="A4742" i="1"/>
  <c r="B4742" i="1"/>
  <c r="C4742" i="1"/>
  <c r="D4742" i="1"/>
  <c r="E4742" i="1"/>
  <c r="A4743" i="1"/>
  <c r="B4743" i="1"/>
  <c r="C4743" i="1"/>
  <c r="D4743" i="1"/>
  <c r="E4743" i="1"/>
  <c r="A4744" i="1"/>
  <c r="B4744" i="1"/>
  <c r="C4744" i="1"/>
  <c r="D4744" i="1"/>
  <c r="E4744" i="1"/>
  <c r="A4745" i="1"/>
  <c r="B4745" i="1"/>
  <c r="C4745" i="1"/>
  <c r="D4745" i="1"/>
  <c r="E4745" i="1"/>
  <c r="A4746" i="1"/>
  <c r="B4746" i="1"/>
  <c r="C4746" i="1"/>
  <c r="D4746" i="1"/>
  <c r="E4746" i="1"/>
  <c r="A4747" i="1"/>
  <c r="B4747" i="1"/>
  <c r="C4747" i="1"/>
  <c r="D4747" i="1"/>
  <c r="E4747" i="1"/>
  <c r="A4748" i="1"/>
  <c r="B4748" i="1"/>
  <c r="C4748" i="1"/>
  <c r="D4748" i="1"/>
  <c r="E4748" i="1"/>
  <c r="A4749" i="1"/>
  <c r="B4749" i="1"/>
  <c r="C4749" i="1"/>
  <c r="D4749" i="1"/>
  <c r="E4749" i="1"/>
  <c r="A4750" i="1"/>
  <c r="B4750" i="1"/>
  <c r="C4750" i="1"/>
  <c r="D4750" i="1"/>
  <c r="E4750" i="1"/>
  <c r="A4751" i="1"/>
  <c r="B4751" i="1"/>
  <c r="C4751" i="1"/>
  <c r="D4751" i="1"/>
  <c r="E4751" i="1"/>
  <c r="A4752" i="1"/>
  <c r="B4752" i="1"/>
  <c r="C4752" i="1"/>
  <c r="D4752" i="1"/>
  <c r="E4752" i="1"/>
  <c r="A4753" i="1"/>
  <c r="B4753" i="1"/>
  <c r="C4753" i="1"/>
  <c r="D4753" i="1"/>
  <c r="E4753" i="1"/>
  <c r="A4754" i="1"/>
  <c r="B4754" i="1"/>
  <c r="C4754" i="1"/>
  <c r="D4754" i="1"/>
  <c r="E4754" i="1"/>
  <c r="A4755" i="1"/>
  <c r="B4755" i="1"/>
  <c r="C4755" i="1"/>
  <c r="D4755" i="1"/>
  <c r="E4755" i="1"/>
  <c r="A4756" i="1"/>
  <c r="B4756" i="1"/>
  <c r="C4756" i="1"/>
  <c r="D4756" i="1"/>
  <c r="E4756" i="1"/>
  <c r="A4757" i="1"/>
  <c r="B4757" i="1"/>
  <c r="C4757" i="1"/>
  <c r="D4757" i="1"/>
  <c r="E4757" i="1"/>
  <c r="A4758" i="1"/>
  <c r="B4758" i="1"/>
  <c r="C4758" i="1"/>
  <c r="D4758" i="1"/>
  <c r="E4758" i="1"/>
  <c r="A4759" i="1"/>
  <c r="B4759" i="1"/>
  <c r="C4759" i="1"/>
  <c r="D4759" i="1"/>
  <c r="E4759" i="1"/>
  <c r="A4760" i="1"/>
  <c r="B4760" i="1"/>
  <c r="C4760" i="1"/>
  <c r="D4760" i="1"/>
  <c r="E4760" i="1"/>
  <c r="A4761" i="1"/>
  <c r="B4761" i="1"/>
  <c r="C4761" i="1"/>
  <c r="D4761" i="1"/>
  <c r="E4761" i="1"/>
  <c r="A4762" i="1"/>
  <c r="B4762" i="1"/>
  <c r="C4762" i="1"/>
  <c r="D4762" i="1"/>
  <c r="E4762" i="1"/>
  <c r="A4763" i="1"/>
  <c r="B4763" i="1"/>
  <c r="C4763" i="1"/>
  <c r="D4763" i="1"/>
  <c r="E4763" i="1"/>
  <c r="A4764" i="1"/>
  <c r="B4764" i="1"/>
  <c r="C4764" i="1"/>
  <c r="D4764" i="1"/>
  <c r="E4764" i="1"/>
  <c r="A4765" i="1"/>
  <c r="B4765" i="1"/>
  <c r="C4765" i="1"/>
  <c r="D4765" i="1"/>
  <c r="E4765" i="1"/>
  <c r="A4766" i="1"/>
  <c r="B4766" i="1"/>
  <c r="C4766" i="1"/>
  <c r="D4766" i="1"/>
  <c r="E4766" i="1"/>
  <c r="A4767" i="1"/>
  <c r="B4767" i="1"/>
  <c r="C4767" i="1"/>
  <c r="D4767" i="1"/>
  <c r="E4767" i="1"/>
  <c r="A4768" i="1"/>
  <c r="B4768" i="1"/>
  <c r="C4768" i="1"/>
  <c r="D4768" i="1"/>
  <c r="E4768" i="1"/>
  <c r="A4769" i="1"/>
  <c r="B4769" i="1"/>
  <c r="C4769" i="1"/>
  <c r="D4769" i="1"/>
  <c r="E4769" i="1"/>
  <c r="A4770" i="1"/>
  <c r="B4770" i="1"/>
  <c r="C4770" i="1"/>
  <c r="D4770" i="1"/>
  <c r="E4770" i="1"/>
  <c r="A4771" i="1"/>
  <c r="B4771" i="1"/>
  <c r="C4771" i="1"/>
  <c r="D4771" i="1"/>
  <c r="E4771" i="1"/>
  <c r="A4772" i="1"/>
  <c r="B4772" i="1"/>
  <c r="C4772" i="1"/>
  <c r="D4772" i="1"/>
  <c r="E4772" i="1"/>
  <c r="A4773" i="1"/>
  <c r="B4773" i="1"/>
  <c r="C4773" i="1"/>
  <c r="D4773" i="1"/>
  <c r="E4773" i="1"/>
  <c r="A4774" i="1"/>
  <c r="B4774" i="1"/>
  <c r="C4774" i="1"/>
  <c r="D4774" i="1"/>
  <c r="E4774" i="1"/>
  <c r="A4775" i="1"/>
  <c r="B4775" i="1"/>
  <c r="C4775" i="1"/>
  <c r="D4775" i="1"/>
  <c r="E4775" i="1"/>
  <c r="A4776" i="1"/>
  <c r="B4776" i="1"/>
  <c r="C4776" i="1"/>
  <c r="D4776" i="1"/>
  <c r="E4776" i="1"/>
  <c r="A4777" i="1"/>
  <c r="B4777" i="1"/>
  <c r="C4777" i="1"/>
  <c r="D4777" i="1"/>
  <c r="E4777" i="1"/>
  <c r="A4778" i="1"/>
  <c r="B4778" i="1"/>
  <c r="C4778" i="1"/>
  <c r="D4778" i="1"/>
  <c r="E4778" i="1"/>
  <c r="A4779" i="1"/>
  <c r="B4779" i="1"/>
  <c r="C4779" i="1"/>
  <c r="D4779" i="1"/>
  <c r="E4779" i="1"/>
  <c r="A4780" i="1"/>
  <c r="B4780" i="1"/>
  <c r="C4780" i="1"/>
  <c r="D4780" i="1"/>
  <c r="E4780" i="1"/>
  <c r="A4781" i="1"/>
  <c r="B4781" i="1"/>
  <c r="C4781" i="1"/>
  <c r="D4781" i="1"/>
  <c r="E4781" i="1"/>
  <c r="A4782" i="1"/>
  <c r="B4782" i="1"/>
  <c r="C4782" i="1"/>
  <c r="D4782" i="1"/>
  <c r="E4782" i="1"/>
  <c r="A4783" i="1"/>
  <c r="B4783" i="1"/>
  <c r="C4783" i="1"/>
  <c r="D4783" i="1"/>
  <c r="E4783" i="1"/>
  <c r="A4784" i="1"/>
  <c r="B4784" i="1"/>
  <c r="C4784" i="1"/>
  <c r="D4784" i="1"/>
  <c r="E4784" i="1"/>
  <c r="A4785" i="1"/>
  <c r="B4785" i="1"/>
  <c r="C4785" i="1"/>
  <c r="D4785" i="1"/>
  <c r="E4785" i="1"/>
  <c r="A4786" i="1"/>
  <c r="B4786" i="1"/>
  <c r="C4786" i="1"/>
  <c r="D4786" i="1"/>
  <c r="E4786" i="1"/>
  <c r="A4787" i="1"/>
  <c r="B4787" i="1"/>
  <c r="C4787" i="1"/>
  <c r="D4787" i="1"/>
  <c r="E4787" i="1"/>
  <c r="A4788" i="1"/>
  <c r="B4788" i="1"/>
  <c r="C4788" i="1"/>
  <c r="D4788" i="1"/>
  <c r="E4788" i="1"/>
  <c r="A4789" i="1"/>
  <c r="B4789" i="1"/>
  <c r="C4789" i="1"/>
  <c r="D4789" i="1"/>
  <c r="E4789" i="1"/>
  <c r="A4790" i="1"/>
  <c r="B4790" i="1"/>
  <c r="C4790" i="1"/>
  <c r="D4790" i="1"/>
  <c r="E4790" i="1"/>
  <c r="A4791" i="1"/>
  <c r="B4791" i="1"/>
  <c r="C4791" i="1"/>
  <c r="D4791" i="1"/>
  <c r="E4791" i="1"/>
  <c r="A4792" i="1"/>
  <c r="B4792" i="1"/>
  <c r="C4792" i="1"/>
  <c r="D4792" i="1"/>
  <c r="E4792" i="1"/>
  <c r="A4793" i="1"/>
  <c r="B4793" i="1"/>
  <c r="C4793" i="1"/>
  <c r="D4793" i="1"/>
  <c r="E4793" i="1"/>
  <c r="A4794" i="1"/>
  <c r="B4794" i="1"/>
  <c r="C4794" i="1"/>
  <c r="D4794" i="1"/>
  <c r="E4794" i="1"/>
  <c r="A4795" i="1"/>
  <c r="B4795" i="1"/>
  <c r="C4795" i="1"/>
  <c r="D4795" i="1"/>
  <c r="E4795" i="1"/>
  <c r="A4796" i="1"/>
  <c r="B4796" i="1"/>
  <c r="C4796" i="1"/>
  <c r="D4796" i="1"/>
  <c r="E4796" i="1"/>
  <c r="A4797" i="1"/>
  <c r="B4797" i="1"/>
  <c r="C4797" i="1"/>
  <c r="D4797" i="1"/>
  <c r="E4797" i="1"/>
  <c r="A4798" i="1"/>
  <c r="B4798" i="1"/>
  <c r="C4798" i="1"/>
  <c r="D4798" i="1"/>
  <c r="E4798" i="1"/>
  <c r="A4799" i="1"/>
  <c r="B4799" i="1"/>
  <c r="C4799" i="1"/>
  <c r="D4799" i="1"/>
  <c r="E4799" i="1"/>
  <c r="A4800" i="1"/>
  <c r="B4800" i="1"/>
  <c r="C4800" i="1"/>
  <c r="D4800" i="1"/>
  <c r="E4800" i="1"/>
  <c r="A4801" i="1"/>
  <c r="B4801" i="1"/>
  <c r="C4801" i="1"/>
  <c r="D4801" i="1"/>
  <c r="E4801" i="1"/>
  <c r="A4802" i="1"/>
  <c r="B4802" i="1"/>
  <c r="C4802" i="1"/>
  <c r="D4802" i="1"/>
  <c r="E4802" i="1"/>
  <c r="A4803" i="1"/>
  <c r="B4803" i="1"/>
  <c r="C4803" i="1"/>
  <c r="D4803" i="1"/>
  <c r="E4803" i="1"/>
  <c r="A4804" i="1"/>
  <c r="B4804" i="1"/>
  <c r="C4804" i="1"/>
  <c r="D4804" i="1"/>
  <c r="E4804" i="1"/>
  <c r="A4805" i="1"/>
  <c r="B4805" i="1"/>
  <c r="C4805" i="1"/>
  <c r="D4805" i="1"/>
  <c r="E4805" i="1"/>
  <c r="A4806" i="1"/>
  <c r="B4806" i="1"/>
  <c r="C4806" i="1"/>
  <c r="D4806" i="1"/>
  <c r="E4806" i="1"/>
  <c r="A4807" i="1"/>
  <c r="B4807" i="1"/>
  <c r="C4807" i="1"/>
  <c r="D4807" i="1"/>
  <c r="E4807" i="1"/>
  <c r="A4808" i="1"/>
  <c r="B4808" i="1"/>
  <c r="C4808" i="1"/>
  <c r="D4808" i="1"/>
  <c r="E4808" i="1"/>
  <c r="A4809" i="1"/>
  <c r="B4809" i="1"/>
  <c r="C4809" i="1"/>
  <c r="D4809" i="1"/>
  <c r="E4809" i="1"/>
  <c r="A4810" i="1"/>
  <c r="B4810" i="1"/>
  <c r="C4810" i="1"/>
  <c r="D4810" i="1"/>
  <c r="E4810" i="1"/>
  <c r="A4811" i="1"/>
  <c r="B4811" i="1"/>
  <c r="C4811" i="1"/>
  <c r="D4811" i="1"/>
  <c r="E4811" i="1"/>
  <c r="A4812" i="1"/>
  <c r="B4812" i="1"/>
  <c r="C4812" i="1"/>
  <c r="D4812" i="1"/>
  <c r="E4812" i="1"/>
  <c r="A4813" i="1"/>
  <c r="B4813" i="1"/>
  <c r="C4813" i="1"/>
  <c r="D4813" i="1"/>
  <c r="E4813" i="1"/>
  <c r="A4814" i="1"/>
  <c r="B4814" i="1"/>
  <c r="C4814" i="1"/>
  <c r="D4814" i="1"/>
  <c r="E4814" i="1"/>
  <c r="A4815" i="1"/>
  <c r="B4815" i="1"/>
  <c r="C4815" i="1"/>
  <c r="D4815" i="1"/>
  <c r="E4815" i="1"/>
  <c r="A4816" i="1"/>
  <c r="B4816" i="1"/>
  <c r="C4816" i="1"/>
  <c r="D4816" i="1"/>
  <c r="E4816" i="1"/>
  <c r="A4817" i="1"/>
  <c r="B4817" i="1"/>
  <c r="C4817" i="1"/>
  <c r="D4817" i="1"/>
  <c r="E4817" i="1"/>
  <c r="A4818" i="1"/>
  <c r="B4818" i="1"/>
  <c r="C4818" i="1"/>
  <c r="D4818" i="1"/>
  <c r="E4818" i="1"/>
  <c r="A4819" i="1"/>
  <c r="B4819" i="1"/>
  <c r="C4819" i="1"/>
  <c r="D4819" i="1"/>
  <c r="E4819" i="1"/>
  <c r="A4820" i="1"/>
  <c r="B4820" i="1"/>
  <c r="C4820" i="1"/>
  <c r="D4820" i="1"/>
  <c r="E4820" i="1"/>
  <c r="A4821" i="1"/>
  <c r="B4821" i="1"/>
  <c r="C4821" i="1"/>
  <c r="D4821" i="1"/>
  <c r="E4821" i="1"/>
  <c r="A4822" i="1"/>
  <c r="B4822" i="1"/>
  <c r="C4822" i="1"/>
  <c r="D4822" i="1"/>
  <c r="E4822" i="1"/>
  <c r="A4823" i="1"/>
  <c r="B4823" i="1"/>
  <c r="C4823" i="1"/>
  <c r="D4823" i="1"/>
  <c r="E4823" i="1"/>
  <c r="A4824" i="1"/>
  <c r="B4824" i="1"/>
  <c r="C4824" i="1"/>
  <c r="D4824" i="1"/>
  <c r="E4824" i="1"/>
  <c r="A4825" i="1"/>
  <c r="B4825" i="1"/>
  <c r="C4825" i="1"/>
  <c r="D4825" i="1"/>
  <c r="E4825" i="1"/>
  <c r="A4826" i="1"/>
  <c r="B4826" i="1"/>
  <c r="C4826" i="1"/>
  <c r="D4826" i="1"/>
  <c r="E4826" i="1"/>
  <c r="A4827" i="1"/>
  <c r="B4827" i="1"/>
  <c r="C4827" i="1"/>
  <c r="D4827" i="1"/>
  <c r="E4827" i="1"/>
  <c r="A4828" i="1"/>
  <c r="B4828" i="1"/>
  <c r="C4828" i="1"/>
  <c r="D4828" i="1"/>
  <c r="E4828" i="1"/>
  <c r="A4829" i="1"/>
  <c r="B4829" i="1"/>
  <c r="C4829" i="1"/>
  <c r="D4829" i="1"/>
  <c r="E4829" i="1"/>
  <c r="A4830" i="1"/>
  <c r="B4830" i="1"/>
  <c r="C4830" i="1"/>
  <c r="D4830" i="1"/>
  <c r="E4830" i="1"/>
  <c r="A4831" i="1"/>
  <c r="B4831" i="1"/>
  <c r="C4831" i="1"/>
  <c r="D4831" i="1"/>
  <c r="E4831" i="1"/>
  <c r="A4832" i="1"/>
  <c r="B4832" i="1"/>
  <c r="C4832" i="1"/>
  <c r="D4832" i="1"/>
  <c r="E4832" i="1"/>
  <c r="A4833" i="1"/>
  <c r="B4833" i="1"/>
  <c r="C4833" i="1"/>
  <c r="D4833" i="1"/>
  <c r="E4833" i="1"/>
  <c r="A4834" i="1"/>
  <c r="B4834" i="1"/>
  <c r="C4834" i="1"/>
  <c r="D4834" i="1"/>
  <c r="E4834" i="1"/>
  <c r="A4835" i="1"/>
  <c r="B4835" i="1"/>
  <c r="C4835" i="1"/>
  <c r="D4835" i="1"/>
  <c r="E4835" i="1"/>
  <c r="A4836" i="1"/>
  <c r="B4836" i="1"/>
  <c r="C4836" i="1"/>
  <c r="D4836" i="1"/>
  <c r="E4836" i="1"/>
  <c r="A4837" i="1"/>
  <c r="B4837" i="1"/>
  <c r="C4837" i="1"/>
  <c r="D4837" i="1"/>
  <c r="E4837" i="1"/>
  <c r="A4838" i="1"/>
  <c r="B4838" i="1"/>
  <c r="C4838" i="1"/>
  <c r="D4838" i="1"/>
  <c r="E4838" i="1"/>
  <c r="A4839" i="1"/>
  <c r="B4839" i="1"/>
  <c r="C4839" i="1"/>
  <c r="D4839" i="1"/>
  <c r="E4839" i="1"/>
  <c r="A4840" i="1"/>
  <c r="B4840" i="1"/>
  <c r="C4840" i="1"/>
  <c r="D4840" i="1"/>
  <c r="E4840" i="1"/>
  <c r="A4841" i="1"/>
  <c r="B4841" i="1"/>
  <c r="C4841" i="1"/>
  <c r="D4841" i="1"/>
  <c r="E4841" i="1"/>
  <c r="A4842" i="1"/>
  <c r="B4842" i="1"/>
  <c r="C4842" i="1"/>
  <c r="D4842" i="1"/>
  <c r="E4842" i="1"/>
  <c r="A4843" i="1"/>
  <c r="B4843" i="1"/>
  <c r="C4843" i="1"/>
  <c r="D4843" i="1"/>
  <c r="E4843" i="1"/>
  <c r="A4844" i="1"/>
  <c r="B4844" i="1"/>
  <c r="C4844" i="1"/>
  <c r="D4844" i="1"/>
  <c r="E4844" i="1"/>
  <c r="A4845" i="1"/>
  <c r="B4845" i="1"/>
  <c r="C4845" i="1"/>
  <c r="D4845" i="1"/>
  <c r="E4845" i="1"/>
  <c r="A4846" i="1"/>
  <c r="B4846" i="1"/>
  <c r="C4846" i="1"/>
  <c r="D4846" i="1"/>
  <c r="E4846" i="1"/>
  <c r="A4847" i="1"/>
  <c r="B4847" i="1"/>
  <c r="C4847" i="1"/>
  <c r="D4847" i="1"/>
  <c r="E4847" i="1"/>
  <c r="A4848" i="1"/>
  <c r="B4848" i="1"/>
  <c r="C4848" i="1"/>
  <c r="D4848" i="1"/>
  <c r="E4848" i="1"/>
  <c r="A4849" i="1"/>
  <c r="B4849" i="1"/>
  <c r="C4849" i="1"/>
  <c r="D4849" i="1"/>
  <c r="E4849" i="1"/>
  <c r="A4850" i="1"/>
  <c r="B4850" i="1"/>
  <c r="C4850" i="1"/>
  <c r="D4850" i="1"/>
  <c r="E4850" i="1"/>
  <c r="A4851" i="1"/>
  <c r="B4851" i="1"/>
  <c r="C4851" i="1"/>
  <c r="D4851" i="1"/>
  <c r="E4851" i="1"/>
  <c r="A4852" i="1"/>
  <c r="B4852" i="1"/>
  <c r="C4852" i="1"/>
  <c r="D4852" i="1"/>
  <c r="E4852" i="1"/>
  <c r="A4853" i="1"/>
  <c r="B4853" i="1"/>
  <c r="C4853" i="1"/>
  <c r="D4853" i="1"/>
  <c r="E4853" i="1"/>
  <c r="A4854" i="1"/>
  <c r="B4854" i="1"/>
  <c r="C4854" i="1"/>
  <c r="D4854" i="1"/>
  <c r="E4854" i="1"/>
  <c r="A4855" i="1"/>
  <c r="B4855" i="1"/>
  <c r="C4855" i="1"/>
  <c r="D4855" i="1"/>
  <c r="E4855" i="1"/>
  <c r="A4856" i="1"/>
  <c r="B4856" i="1"/>
  <c r="C4856" i="1"/>
  <c r="D4856" i="1"/>
  <c r="E4856" i="1"/>
  <c r="A4857" i="1"/>
  <c r="B4857" i="1"/>
  <c r="C4857" i="1"/>
  <c r="D4857" i="1"/>
  <c r="E4857" i="1"/>
  <c r="A4858" i="1"/>
  <c r="B4858" i="1"/>
  <c r="C4858" i="1"/>
  <c r="D4858" i="1"/>
  <c r="E4858" i="1"/>
  <c r="A4859" i="1"/>
  <c r="B4859" i="1"/>
  <c r="C4859" i="1"/>
  <c r="D4859" i="1"/>
  <c r="E4859" i="1"/>
  <c r="A4860" i="1"/>
  <c r="B4860" i="1"/>
  <c r="C4860" i="1"/>
  <c r="D4860" i="1"/>
  <c r="E4860" i="1"/>
  <c r="A4861" i="1"/>
  <c r="B4861" i="1"/>
  <c r="C4861" i="1"/>
  <c r="D4861" i="1"/>
  <c r="E4861" i="1"/>
  <c r="A4862" i="1"/>
  <c r="B4862" i="1"/>
  <c r="C4862" i="1"/>
  <c r="D4862" i="1"/>
  <c r="E4862" i="1"/>
  <c r="A4863" i="1"/>
  <c r="B4863" i="1"/>
  <c r="C4863" i="1"/>
  <c r="D4863" i="1"/>
  <c r="E4863" i="1"/>
  <c r="A4864" i="1"/>
  <c r="B4864" i="1"/>
  <c r="C4864" i="1"/>
  <c r="D4864" i="1"/>
  <c r="E4864" i="1"/>
  <c r="A4865" i="1"/>
  <c r="B4865" i="1"/>
  <c r="C4865" i="1"/>
  <c r="D4865" i="1"/>
  <c r="E4865" i="1"/>
  <c r="A4866" i="1"/>
  <c r="B4866" i="1"/>
  <c r="C4866" i="1"/>
  <c r="D4866" i="1"/>
  <c r="E4866" i="1"/>
  <c r="A4867" i="1"/>
  <c r="B4867" i="1"/>
  <c r="C4867" i="1"/>
  <c r="D4867" i="1"/>
  <c r="E4867" i="1"/>
  <c r="A4868" i="1"/>
  <c r="B4868" i="1"/>
  <c r="C4868" i="1"/>
  <c r="D4868" i="1"/>
  <c r="E4868" i="1"/>
  <c r="A4869" i="1"/>
  <c r="B4869" i="1"/>
  <c r="C4869" i="1"/>
  <c r="D4869" i="1"/>
  <c r="E4869" i="1"/>
  <c r="A4870" i="1"/>
  <c r="B4870" i="1"/>
  <c r="C4870" i="1"/>
  <c r="D4870" i="1"/>
  <c r="E4870" i="1"/>
  <c r="A4871" i="1"/>
  <c r="B4871" i="1"/>
  <c r="C4871" i="1"/>
  <c r="D4871" i="1"/>
  <c r="E4871" i="1"/>
  <c r="A4872" i="1"/>
  <c r="B4872" i="1"/>
  <c r="C4872" i="1"/>
  <c r="D4872" i="1"/>
  <c r="E4872" i="1"/>
  <c r="A4873" i="1"/>
  <c r="B4873" i="1"/>
  <c r="C4873" i="1"/>
  <c r="D4873" i="1"/>
  <c r="E4873" i="1"/>
  <c r="A4874" i="1"/>
  <c r="B4874" i="1"/>
  <c r="C4874" i="1"/>
  <c r="D4874" i="1"/>
  <c r="E4874" i="1"/>
  <c r="A4875" i="1"/>
  <c r="B4875" i="1"/>
  <c r="C4875" i="1"/>
  <c r="D4875" i="1"/>
  <c r="E4875" i="1"/>
  <c r="A4876" i="1"/>
  <c r="B4876" i="1"/>
  <c r="C4876" i="1"/>
  <c r="D4876" i="1"/>
  <c r="E4876" i="1"/>
  <c r="A4877" i="1"/>
  <c r="B4877" i="1"/>
  <c r="C4877" i="1"/>
  <c r="D4877" i="1"/>
  <c r="E4877" i="1"/>
  <c r="A4878" i="1"/>
  <c r="B4878" i="1"/>
  <c r="C4878" i="1"/>
  <c r="D4878" i="1"/>
  <c r="E4878" i="1"/>
  <c r="A4879" i="1"/>
  <c r="B4879" i="1"/>
  <c r="C4879" i="1"/>
  <c r="D4879" i="1"/>
  <c r="E4879" i="1"/>
  <c r="A4880" i="1"/>
  <c r="B4880" i="1"/>
  <c r="C4880" i="1"/>
  <c r="D4880" i="1"/>
  <c r="E4880" i="1"/>
  <c r="A4881" i="1"/>
  <c r="B4881" i="1"/>
  <c r="C4881" i="1"/>
  <c r="D4881" i="1"/>
  <c r="E4881" i="1"/>
  <c r="A4882" i="1"/>
  <c r="B4882" i="1"/>
  <c r="C4882" i="1"/>
  <c r="D4882" i="1"/>
  <c r="E4882" i="1"/>
  <c r="A4883" i="1"/>
  <c r="B4883" i="1"/>
  <c r="C4883" i="1"/>
  <c r="D4883" i="1"/>
  <c r="E4883" i="1"/>
  <c r="A4884" i="1"/>
  <c r="B4884" i="1"/>
  <c r="C4884" i="1"/>
  <c r="D4884" i="1"/>
  <c r="E4884" i="1"/>
  <c r="A4885" i="1"/>
  <c r="B4885" i="1"/>
  <c r="C4885" i="1"/>
  <c r="D4885" i="1"/>
  <c r="E4885" i="1"/>
  <c r="A4886" i="1"/>
  <c r="B4886" i="1"/>
  <c r="C4886" i="1"/>
  <c r="D4886" i="1"/>
  <c r="E4886" i="1"/>
  <c r="A4887" i="1"/>
  <c r="B4887" i="1"/>
  <c r="C4887" i="1"/>
  <c r="D4887" i="1"/>
  <c r="E4887" i="1"/>
  <c r="A4888" i="1"/>
  <c r="B4888" i="1"/>
  <c r="C4888" i="1"/>
  <c r="D4888" i="1"/>
  <c r="E4888" i="1"/>
  <c r="A4889" i="1"/>
  <c r="B4889" i="1"/>
  <c r="C4889" i="1"/>
  <c r="D4889" i="1"/>
  <c r="E4889" i="1"/>
  <c r="A4890" i="1"/>
  <c r="B4890" i="1"/>
  <c r="C4890" i="1"/>
  <c r="D4890" i="1"/>
  <c r="E4890" i="1"/>
  <c r="A4891" i="1"/>
  <c r="B4891" i="1"/>
  <c r="C4891" i="1"/>
  <c r="D4891" i="1"/>
  <c r="E4891" i="1"/>
  <c r="A4892" i="1"/>
  <c r="B4892" i="1"/>
  <c r="C4892" i="1"/>
  <c r="D4892" i="1"/>
  <c r="E4892" i="1"/>
  <c r="A4893" i="1"/>
  <c r="B4893" i="1"/>
  <c r="C4893" i="1"/>
  <c r="D4893" i="1"/>
  <c r="E4893" i="1"/>
  <c r="A4894" i="1"/>
  <c r="B4894" i="1"/>
  <c r="C4894" i="1"/>
  <c r="D4894" i="1"/>
  <c r="E4894" i="1"/>
  <c r="A4895" i="1"/>
  <c r="B4895" i="1"/>
  <c r="C4895" i="1"/>
  <c r="D4895" i="1"/>
  <c r="E4895" i="1"/>
  <c r="A4896" i="1"/>
  <c r="B4896" i="1"/>
  <c r="C4896" i="1"/>
  <c r="D4896" i="1"/>
  <c r="E4896" i="1"/>
  <c r="A4897" i="1"/>
  <c r="B4897" i="1"/>
  <c r="C4897" i="1"/>
  <c r="D4897" i="1"/>
  <c r="E4897" i="1"/>
  <c r="A4898" i="1"/>
  <c r="B4898" i="1"/>
  <c r="C4898" i="1"/>
  <c r="D4898" i="1"/>
  <c r="E4898" i="1"/>
  <c r="A4899" i="1"/>
  <c r="B4899" i="1"/>
  <c r="C4899" i="1"/>
  <c r="D4899" i="1"/>
  <c r="E4899" i="1"/>
  <c r="A4900" i="1"/>
  <c r="B4900" i="1"/>
  <c r="C4900" i="1"/>
  <c r="D4900" i="1"/>
  <c r="E4900" i="1"/>
  <c r="A4901" i="1"/>
  <c r="B4901" i="1"/>
  <c r="C4901" i="1"/>
  <c r="D4901" i="1"/>
  <c r="E4901" i="1"/>
  <c r="A4902" i="1"/>
  <c r="B4902" i="1"/>
  <c r="C4902" i="1"/>
  <c r="D4902" i="1"/>
  <c r="E4902" i="1"/>
  <c r="A4903" i="1"/>
  <c r="B4903" i="1"/>
  <c r="C4903" i="1"/>
  <c r="D4903" i="1"/>
  <c r="E4903" i="1"/>
  <c r="A4904" i="1"/>
  <c r="B4904" i="1"/>
  <c r="C4904" i="1"/>
  <c r="D4904" i="1"/>
  <c r="E4904" i="1"/>
  <c r="A4905" i="1"/>
  <c r="B4905" i="1"/>
  <c r="C4905" i="1"/>
  <c r="D4905" i="1"/>
  <c r="E4905" i="1"/>
  <c r="A4906" i="1"/>
  <c r="B4906" i="1"/>
  <c r="C4906" i="1"/>
  <c r="D4906" i="1"/>
  <c r="E4906" i="1"/>
  <c r="A4907" i="1"/>
  <c r="B4907" i="1"/>
  <c r="C4907" i="1"/>
  <c r="D4907" i="1"/>
  <c r="E4907" i="1"/>
  <c r="A4908" i="1"/>
  <c r="B4908" i="1"/>
  <c r="C4908" i="1"/>
  <c r="D4908" i="1"/>
  <c r="E4908" i="1"/>
  <c r="A4909" i="1"/>
  <c r="B4909" i="1"/>
  <c r="C4909" i="1"/>
  <c r="D4909" i="1"/>
  <c r="E4909" i="1"/>
  <c r="A4910" i="1"/>
  <c r="B4910" i="1"/>
  <c r="C4910" i="1"/>
  <c r="D4910" i="1"/>
  <c r="E4910" i="1"/>
  <c r="A4911" i="1"/>
  <c r="B4911" i="1"/>
  <c r="C4911" i="1"/>
  <c r="D4911" i="1"/>
  <c r="E4911" i="1"/>
  <c r="A4912" i="1"/>
  <c r="B4912" i="1"/>
  <c r="C4912" i="1"/>
  <c r="D4912" i="1"/>
  <c r="E4912" i="1"/>
  <c r="A4913" i="1"/>
  <c r="B4913" i="1"/>
  <c r="C4913" i="1"/>
  <c r="D4913" i="1"/>
  <c r="E4913" i="1"/>
  <c r="A4914" i="1"/>
  <c r="B4914" i="1"/>
  <c r="C4914" i="1"/>
  <c r="D4914" i="1"/>
  <c r="E4914" i="1"/>
  <c r="A4915" i="1"/>
  <c r="B4915" i="1"/>
  <c r="C4915" i="1"/>
  <c r="D4915" i="1"/>
  <c r="E4915" i="1"/>
  <c r="A4916" i="1"/>
  <c r="B4916" i="1"/>
  <c r="C4916" i="1"/>
  <c r="D4916" i="1"/>
  <c r="E4916" i="1"/>
  <c r="A4917" i="1"/>
  <c r="B4917" i="1"/>
  <c r="C4917" i="1"/>
  <c r="D4917" i="1"/>
  <c r="E4917" i="1"/>
  <c r="A4918" i="1"/>
  <c r="B4918" i="1"/>
  <c r="C4918" i="1"/>
  <c r="D4918" i="1"/>
  <c r="E4918" i="1"/>
  <c r="A4919" i="1"/>
  <c r="B4919" i="1"/>
  <c r="C4919" i="1"/>
  <c r="D4919" i="1"/>
  <c r="E4919" i="1"/>
  <c r="A4920" i="1"/>
  <c r="B4920" i="1"/>
  <c r="C4920" i="1"/>
  <c r="D4920" i="1"/>
  <c r="E4920" i="1"/>
  <c r="A4921" i="1"/>
  <c r="B4921" i="1"/>
  <c r="C4921" i="1"/>
  <c r="D4921" i="1"/>
  <c r="E4921" i="1"/>
  <c r="A4922" i="1"/>
  <c r="B4922" i="1"/>
  <c r="C4922" i="1"/>
  <c r="D4922" i="1"/>
  <c r="E4922" i="1"/>
  <c r="A4923" i="1"/>
  <c r="B4923" i="1"/>
  <c r="C4923" i="1"/>
  <c r="D4923" i="1"/>
  <c r="E4923" i="1"/>
  <c r="A4924" i="1"/>
  <c r="B4924" i="1"/>
  <c r="C4924" i="1"/>
  <c r="D4924" i="1"/>
  <c r="E4924" i="1"/>
  <c r="A4925" i="1"/>
  <c r="B4925" i="1"/>
  <c r="C4925" i="1"/>
  <c r="D4925" i="1"/>
  <c r="E4925" i="1"/>
  <c r="A4926" i="1"/>
  <c r="B4926" i="1"/>
  <c r="C4926" i="1"/>
  <c r="D4926" i="1"/>
  <c r="E4926" i="1"/>
  <c r="A4927" i="1"/>
  <c r="B4927" i="1"/>
  <c r="C4927" i="1"/>
  <c r="D4927" i="1"/>
  <c r="E4927" i="1"/>
  <c r="A4928" i="1"/>
  <c r="B4928" i="1"/>
  <c r="C4928" i="1"/>
  <c r="D4928" i="1"/>
  <c r="E4928" i="1"/>
  <c r="A4929" i="1"/>
  <c r="B4929" i="1"/>
  <c r="C4929" i="1"/>
  <c r="D4929" i="1"/>
  <c r="E4929" i="1"/>
  <c r="A4930" i="1"/>
  <c r="B4930" i="1"/>
  <c r="C4930" i="1"/>
  <c r="D4930" i="1"/>
  <c r="E4930" i="1"/>
  <c r="A4931" i="1"/>
  <c r="B4931" i="1"/>
  <c r="C4931" i="1"/>
  <c r="D4931" i="1"/>
  <c r="E4931" i="1"/>
  <c r="A4932" i="1"/>
  <c r="B4932" i="1"/>
  <c r="C4932" i="1"/>
  <c r="D4932" i="1"/>
  <c r="E4932" i="1"/>
  <c r="A4933" i="1"/>
  <c r="B4933" i="1"/>
  <c r="C4933" i="1"/>
  <c r="D4933" i="1"/>
  <c r="E4933" i="1"/>
  <c r="A4934" i="1"/>
  <c r="B4934" i="1"/>
  <c r="C4934" i="1"/>
  <c r="D4934" i="1"/>
  <c r="E4934" i="1"/>
  <c r="A4935" i="1"/>
  <c r="B4935" i="1"/>
  <c r="C4935" i="1"/>
  <c r="D4935" i="1"/>
  <c r="E4935" i="1"/>
  <c r="A4936" i="1"/>
  <c r="B4936" i="1"/>
  <c r="C4936" i="1"/>
  <c r="D4936" i="1"/>
  <c r="E4936" i="1"/>
  <c r="A4937" i="1"/>
  <c r="B4937" i="1"/>
  <c r="C4937" i="1"/>
  <c r="D4937" i="1"/>
  <c r="E4937" i="1"/>
  <c r="A4938" i="1"/>
  <c r="B4938" i="1"/>
  <c r="C4938" i="1"/>
  <c r="D4938" i="1"/>
  <c r="E4938" i="1"/>
  <c r="A4939" i="1"/>
  <c r="B4939" i="1"/>
  <c r="C4939" i="1"/>
  <c r="D4939" i="1"/>
  <c r="E4939" i="1"/>
  <c r="A4940" i="1"/>
  <c r="B4940" i="1"/>
  <c r="C4940" i="1"/>
  <c r="D4940" i="1"/>
  <c r="E4940" i="1"/>
  <c r="A4941" i="1"/>
  <c r="B4941" i="1"/>
  <c r="C4941" i="1"/>
  <c r="D4941" i="1"/>
  <c r="E4941" i="1"/>
  <c r="A4942" i="1"/>
  <c r="B4942" i="1"/>
  <c r="C4942" i="1"/>
  <c r="D4942" i="1"/>
  <c r="E4942" i="1"/>
  <c r="A4943" i="1"/>
  <c r="B4943" i="1"/>
  <c r="C4943" i="1"/>
  <c r="D4943" i="1"/>
  <c r="E4943" i="1"/>
  <c r="A4944" i="1"/>
  <c r="B4944" i="1"/>
  <c r="C4944" i="1"/>
  <c r="D4944" i="1"/>
  <c r="E4944" i="1"/>
  <c r="A4945" i="1"/>
  <c r="B4945" i="1"/>
  <c r="C4945" i="1"/>
  <c r="D4945" i="1"/>
  <c r="E4945" i="1"/>
  <c r="A4946" i="1"/>
  <c r="B4946" i="1"/>
  <c r="C4946" i="1"/>
  <c r="D4946" i="1"/>
  <c r="E4946" i="1"/>
  <c r="A4947" i="1"/>
  <c r="B4947" i="1"/>
  <c r="C4947" i="1"/>
  <c r="D4947" i="1"/>
  <c r="E4947" i="1"/>
  <c r="A4948" i="1"/>
  <c r="B4948" i="1"/>
  <c r="C4948" i="1"/>
  <c r="D4948" i="1"/>
  <c r="E4948" i="1"/>
  <c r="A4949" i="1"/>
  <c r="B4949" i="1"/>
  <c r="C4949" i="1"/>
  <c r="D4949" i="1"/>
  <c r="E4949" i="1"/>
  <c r="A4950" i="1"/>
  <c r="B4950" i="1"/>
  <c r="C4950" i="1"/>
  <c r="D4950" i="1"/>
  <c r="E4950" i="1"/>
  <c r="A4951" i="1"/>
  <c r="B4951" i="1"/>
  <c r="C4951" i="1"/>
  <c r="D4951" i="1"/>
  <c r="E4951" i="1"/>
  <c r="A4952" i="1"/>
  <c r="B4952" i="1"/>
  <c r="C4952" i="1"/>
  <c r="D4952" i="1"/>
  <c r="E4952" i="1"/>
  <c r="A4953" i="1"/>
  <c r="B4953" i="1"/>
  <c r="C4953" i="1"/>
  <c r="D4953" i="1"/>
  <c r="E4953" i="1"/>
  <c r="A4954" i="1"/>
  <c r="B4954" i="1"/>
  <c r="C4954" i="1"/>
  <c r="D4954" i="1"/>
  <c r="E4954" i="1"/>
  <c r="A4955" i="1"/>
  <c r="B4955" i="1"/>
  <c r="C4955" i="1"/>
  <c r="D4955" i="1"/>
  <c r="E4955" i="1"/>
  <c r="A4956" i="1"/>
  <c r="B4956" i="1"/>
  <c r="C4956" i="1"/>
  <c r="D4956" i="1"/>
  <c r="E4956" i="1"/>
  <c r="A4957" i="1"/>
  <c r="B4957" i="1"/>
  <c r="C4957" i="1"/>
  <c r="D4957" i="1"/>
  <c r="E4957" i="1"/>
  <c r="A4958" i="1"/>
  <c r="B4958" i="1"/>
  <c r="C4958" i="1"/>
  <c r="D4958" i="1"/>
  <c r="E4958" i="1"/>
  <c r="A4959" i="1"/>
  <c r="B4959" i="1"/>
  <c r="C4959" i="1"/>
  <c r="D4959" i="1"/>
  <c r="E4959" i="1"/>
  <c r="A4960" i="1"/>
  <c r="B4960" i="1"/>
  <c r="C4960" i="1"/>
  <c r="D4960" i="1"/>
  <c r="E4960" i="1"/>
  <c r="A4961" i="1"/>
  <c r="B4961" i="1"/>
  <c r="C4961" i="1"/>
  <c r="D4961" i="1"/>
  <c r="E4961" i="1"/>
  <c r="A4962" i="1"/>
  <c r="B4962" i="1"/>
  <c r="C4962" i="1"/>
  <c r="D4962" i="1"/>
  <c r="E4962" i="1"/>
  <c r="A4963" i="1"/>
  <c r="B4963" i="1"/>
  <c r="C4963" i="1"/>
  <c r="D4963" i="1"/>
  <c r="E4963" i="1"/>
  <c r="A4964" i="1"/>
  <c r="B4964" i="1"/>
  <c r="C4964" i="1"/>
  <c r="D4964" i="1"/>
  <c r="E4964" i="1"/>
  <c r="A4965" i="1"/>
  <c r="B4965" i="1"/>
  <c r="C4965" i="1"/>
  <c r="D4965" i="1"/>
  <c r="E4965" i="1"/>
  <c r="A4966" i="1"/>
  <c r="B4966" i="1"/>
  <c r="C4966" i="1"/>
  <c r="D4966" i="1"/>
  <c r="E4966" i="1"/>
  <c r="A4967" i="1"/>
  <c r="B4967" i="1"/>
  <c r="C4967" i="1"/>
  <c r="D4967" i="1"/>
  <c r="E4967" i="1"/>
  <c r="A4968" i="1"/>
  <c r="B4968" i="1"/>
  <c r="C4968" i="1"/>
  <c r="D4968" i="1"/>
  <c r="E4968" i="1"/>
  <c r="A4969" i="1"/>
  <c r="B4969" i="1"/>
  <c r="C4969" i="1"/>
  <c r="D4969" i="1"/>
  <c r="E4969" i="1"/>
  <c r="A4970" i="1"/>
  <c r="B4970" i="1"/>
  <c r="C4970" i="1"/>
  <c r="D4970" i="1"/>
  <c r="E4970" i="1"/>
  <c r="A4971" i="1"/>
  <c r="B4971" i="1"/>
  <c r="C4971" i="1"/>
  <c r="D4971" i="1"/>
  <c r="E4971" i="1"/>
  <c r="A4972" i="1"/>
  <c r="B4972" i="1"/>
  <c r="C4972" i="1"/>
  <c r="D4972" i="1"/>
  <c r="E4972" i="1"/>
  <c r="A4973" i="1"/>
  <c r="B4973" i="1"/>
  <c r="C4973" i="1"/>
  <c r="D4973" i="1"/>
  <c r="E4973" i="1"/>
  <c r="A4974" i="1"/>
  <c r="B4974" i="1"/>
  <c r="C4974" i="1"/>
  <c r="D4974" i="1"/>
  <c r="E4974" i="1"/>
  <c r="A4975" i="1"/>
  <c r="B4975" i="1"/>
  <c r="C4975" i="1"/>
  <c r="D4975" i="1"/>
  <c r="E4975" i="1"/>
  <c r="A4976" i="1"/>
  <c r="B4976" i="1"/>
  <c r="C4976" i="1"/>
  <c r="D4976" i="1"/>
  <c r="E4976" i="1"/>
  <c r="A4977" i="1"/>
  <c r="B4977" i="1"/>
  <c r="C4977" i="1"/>
  <c r="D4977" i="1"/>
  <c r="E4977" i="1"/>
  <c r="A4978" i="1"/>
  <c r="B4978" i="1"/>
  <c r="C4978" i="1"/>
  <c r="D4978" i="1"/>
  <c r="E4978" i="1"/>
  <c r="A4979" i="1"/>
  <c r="B4979" i="1"/>
  <c r="C4979" i="1"/>
  <c r="D4979" i="1"/>
  <c r="E4979" i="1"/>
  <c r="A4980" i="1"/>
  <c r="B4980" i="1"/>
  <c r="C4980" i="1"/>
  <c r="D4980" i="1"/>
  <c r="E4980" i="1"/>
  <c r="A4981" i="1"/>
  <c r="B4981" i="1"/>
  <c r="C4981" i="1"/>
  <c r="D4981" i="1"/>
  <c r="E4981" i="1"/>
  <c r="A4982" i="1"/>
  <c r="B4982" i="1"/>
  <c r="C4982" i="1"/>
  <c r="D4982" i="1"/>
  <c r="E4982" i="1"/>
  <c r="A4983" i="1"/>
  <c r="B4983" i="1"/>
  <c r="C4983" i="1"/>
  <c r="D4983" i="1"/>
  <c r="E4983" i="1"/>
  <c r="A4984" i="1"/>
  <c r="B4984" i="1"/>
  <c r="C4984" i="1"/>
  <c r="D4984" i="1"/>
  <c r="E4984" i="1"/>
  <c r="A4985" i="1"/>
  <c r="B4985" i="1"/>
  <c r="C4985" i="1"/>
  <c r="D4985" i="1"/>
  <c r="E4985" i="1"/>
  <c r="A4986" i="1"/>
  <c r="B4986" i="1"/>
  <c r="C4986" i="1"/>
  <c r="D4986" i="1"/>
  <c r="E4986" i="1"/>
  <c r="A4987" i="1"/>
  <c r="B4987" i="1"/>
  <c r="C4987" i="1"/>
  <c r="D4987" i="1"/>
  <c r="E4987" i="1"/>
  <c r="A4988" i="1"/>
  <c r="B4988" i="1"/>
  <c r="C4988" i="1"/>
  <c r="D4988" i="1"/>
  <c r="E4988" i="1"/>
  <c r="A4989" i="1"/>
  <c r="B4989" i="1"/>
  <c r="C4989" i="1"/>
  <c r="D4989" i="1"/>
  <c r="E4989" i="1"/>
  <c r="A4990" i="1"/>
  <c r="B4990" i="1"/>
  <c r="C4990" i="1"/>
  <c r="D4990" i="1"/>
  <c r="E4990" i="1"/>
  <c r="A4991" i="1"/>
  <c r="B4991" i="1"/>
  <c r="C4991" i="1"/>
  <c r="D4991" i="1"/>
  <c r="E4991" i="1"/>
  <c r="A4992" i="1"/>
  <c r="B4992" i="1"/>
  <c r="C4992" i="1"/>
  <c r="D4992" i="1"/>
  <c r="E4992" i="1"/>
  <c r="A4993" i="1"/>
  <c r="B4993" i="1"/>
  <c r="C4993" i="1"/>
  <c r="D4993" i="1"/>
  <c r="E4993" i="1"/>
  <c r="A4994" i="1"/>
  <c r="B4994" i="1"/>
  <c r="C4994" i="1"/>
  <c r="D4994" i="1"/>
  <c r="E4994" i="1"/>
  <c r="A4995" i="1"/>
  <c r="B4995" i="1"/>
  <c r="C4995" i="1"/>
  <c r="D4995" i="1"/>
  <c r="E4995" i="1"/>
  <c r="A4996" i="1"/>
  <c r="B4996" i="1"/>
  <c r="C4996" i="1"/>
  <c r="D4996" i="1"/>
  <c r="E4996" i="1"/>
  <c r="A4997" i="1"/>
  <c r="B4997" i="1"/>
  <c r="C4997" i="1"/>
  <c r="D4997" i="1"/>
  <c r="E4997" i="1"/>
  <c r="A4998" i="1"/>
  <c r="B4998" i="1"/>
  <c r="C4998" i="1"/>
  <c r="D4998" i="1"/>
  <c r="E4998" i="1"/>
  <c r="A4999" i="1"/>
  <c r="B4999" i="1"/>
  <c r="C4999" i="1"/>
  <c r="D4999" i="1"/>
  <c r="E4999" i="1"/>
  <c r="A5000" i="1"/>
  <c r="B5000" i="1"/>
  <c r="C5000" i="1"/>
  <c r="D5000" i="1"/>
  <c r="E5000" i="1"/>
  <c r="A5001" i="1"/>
  <c r="B5001" i="1"/>
  <c r="C5001" i="1"/>
  <c r="D5001" i="1"/>
  <c r="E5001" i="1"/>
  <c r="A5002" i="1"/>
  <c r="B5002" i="1"/>
  <c r="C5002" i="1"/>
  <c r="D5002" i="1"/>
  <c r="E5002" i="1"/>
  <c r="A5003" i="1"/>
  <c r="B5003" i="1"/>
  <c r="C5003" i="1"/>
  <c r="D5003" i="1"/>
  <c r="E5003" i="1"/>
  <c r="A5004" i="1"/>
  <c r="B5004" i="1"/>
  <c r="C5004" i="1"/>
  <c r="D5004" i="1"/>
  <c r="E5004" i="1"/>
  <c r="A5005" i="1"/>
  <c r="B5005" i="1"/>
  <c r="C5005" i="1"/>
  <c r="D5005" i="1"/>
  <c r="E5005" i="1"/>
  <c r="A5006" i="1"/>
  <c r="B5006" i="1"/>
  <c r="C5006" i="1"/>
  <c r="D5006" i="1"/>
  <c r="E5006" i="1"/>
  <c r="A5007" i="1"/>
  <c r="B5007" i="1"/>
  <c r="C5007" i="1"/>
  <c r="D5007" i="1"/>
  <c r="E5007" i="1"/>
  <c r="A5008" i="1"/>
  <c r="B5008" i="1"/>
  <c r="C5008" i="1"/>
  <c r="D5008" i="1"/>
  <c r="E5008" i="1"/>
  <c r="A5009" i="1"/>
  <c r="B5009" i="1"/>
  <c r="C5009" i="1"/>
  <c r="D5009" i="1"/>
  <c r="E5009" i="1"/>
  <c r="A5010" i="1"/>
  <c r="B5010" i="1"/>
  <c r="C5010" i="1"/>
  <c r="D5010" i="1"/>
  <c r="E5010" i="1"/>
  <c r="A5011" i="1"/>
  <c r="B5011" i="1"/>
  <c r="C5011" i="1"/>
  <c r="D5011" i="1"/>
  <c r="E5011" i="1"/>
  <c r="A5012" i="1"/>
  <c r="B5012" i="1"/>
  <c r="C5012" i="1"/>
  <c r="D5012" i="1"/>
  <c r="E5012" i="1"/>
  <c r="A5013" i="1"/>
  <c r="B5013" i="1"/>
  <c r="C5013" i="1"/>
  <c r="D5013" i="1"/>
  <c r="E5013" i="1"/>
  <c r="A5014" i="1"/>
  <c r="B5014" i="1"/>
  <c r="C5014" i="1"/>
  <c r="D5014" i="1"/>
  <c r="E5014" i="1"/>
  <c r="A5015" i="1"/>
  <c r="B5015" i="1"/>
  <c r="C5015" i="1"/>
  <c r="D5015" i="1"/>
  <c r="E5015" i="1"/>
  <c r="A5016" i="1"/>
  <c r="B5016" i="1"/>
  <c r="C5016" i="1"/>
  <c r="D5016" i="1"/>
  <c r="E5016" i="1"/>
  <c r="A5017" i="1"/>
  <c r="B5017" i="1"/>
  <c r="C5017" i="1"/>
  <c r="D5017" i="1"/>
  <c r="E5017" i="1"/>
  <c r="A5018" i="1"/>
  <c r="B5018" i="1"/>
  <c r="C5018" i="1"/>
  <c r="D5018" i="1"/>
  <c r="E5018" i="1"/>
  <c r="A5019" i="1"/>
  <c r="B5019" i="1"/>
  <c r="C5019" i="1"/>
  <c r="D5019" i="1"/>
  <c r="E5019" i="1"/>
  <c r="A5020" i="1"/>
  <c r="B5020" i="1"/>
  <c r="C5020" i="1"/>
  <c r="D5020" i="1"/>
  <c r="E5020" i="1"/>
  <c r="A5021" i="1"/>
  <c r="B5021" i="1"/>
  <c r="C5021" i="1"/>
  <c r="D5021" i="1"/>
  <c r="E5021" i="1"/>
  <c r="A5022" i="1"/>
  <c r="B5022" i="1"/>
  <c r="C5022" i="1"/>
  <c r="D5022" i="1"/>
  <c r="E5022" i="1"/>
  <c r="A5023" i="1"/>
  <c r="B5023" i="1"/>
  <c r="C5023" i="1"/>
  <c r="D5023" i="1"/>
  <c r="E5023" i="1"/>
  <c r="A5024" i="1"/>
  <c r="B5024" i="1"/>
  <c r="C5024" i="1"/>
  <c r="D5024" i="1"/>
  <c r="E5024" i="1"/>
  <c r="A5025" i="1"/>
  <c r="B5025" i="1"/>
  <c r="C5025" i="1"/>
  <c r="D5025" i="1"/>
  <c r="E5025" i="1"/>
  <c r="A5026" i="1"/>
  <c r="B5026" i="1"/>
  <c r="C5026" i="1"/>
  <c r="D5026" i="1"/>
  <c r="E5026" i="1"/>
  <c r="A5027" i="1"/>
  <c r="B5027" i="1"/>
  <c r="C5027" i="1"/>
  <c r="D5027" i="1"/>
  <c r="E5027" i="1"/>
  <c r="A5028" i="1"/>
  <c r="B5028" i="1"/>
  <c r="C5028" i="1"/>
  <c r="D5028" i="1"/>
  <c r="E5028" i="1"/>
  <c r="A5029" i="1"/>
  <c r="B5029" i="1"/>
  <c r="C5029" i="1"/>
  <c r="D5029" i="1"/>
  <c r="E5029" i="1"/>
  <c r="A5030" i="1"/>
  <c r="B5030" i="1"/>
  <c r="C5030" i="1"/>
  <c r="D5030" i="1"/>
  <c r="E5030" i="1"/>
  <c r="A5031" i="1"/>
  <c r="B5031" i="1"/>
  <c r="C5031" i="1"/>
  <c r="D5031" i="1"/>
  <c r="E5031" i="1"/>
  <c r="A5032" i="1"/>
  <c r="B5032" i="1"/>
  <c r="C5032" i="1"/>
  <c r="D5032" i="1"/>
  <c r="E5032" i="1"/>
  <c r="A5033" i="1"/>
  <c r="B5033" i="1"/>
  <c r="C5033" i="1"/>
  <c r="D5033" i="1"/>
  <c r="E5033" i="1"/>
  <c r="A5034" i="1"/>
  <c r="B5034" i="1"/>
  <c r="C5034" i="1"/>
  <c r="D5034" i="1"/>
  <c r="E5034" i="1"/>
  <c r="A5035" i="1"/>
  <c r="B5035" i="1"/>
  <c r="C5035" i="1"/>
  <c r="D5035" i="1"/>
  <c r="E5035" i="1"/>
  <c r="A5036" i="1"/>
  <c r="B5036" i="1"/>
  <c r="C5036" i="1"/>
  <c r="D5036" i="1"/>
  <c r="E5036" i="1"/>
  <c r="A5037" i="1"/>
  <c r="B5037" i="1"/>
  <c r="C5037" i="1"/>
  <c r="D5037" i="1"/>
  <c r="E5037" i="1"/>
  <c r="A5038" i="1"/>
  <c r="B5038" i="1"/>
  <c r="C5038" i="1"/>
  <c r="D5038" i="1"/>
  <c r="E5038" i="1"/>
  <c r="A5039" i="1"/>
  <c r="B5039" i="1"/>
  <c r="C5039" i="1"/>
  <c r="D5039" i="1"/>
  <c r="E5039" i="1"/>
  <c r="A5040" i="1"/>
  <c r="B5040" i="1"/>
  <c r="C5040" i="1"/>
  <c r="D5040" i="1"/>
  <c r="E5040" i="1"/>
  <c r="A5041" i="1"/>
  <c r="B5041" i="1"/>
  <c r="C5041" i="1"/>
  <c r="D5041" i="1"/>
  <c r="E5041" i="1"/>
  <c r="A5042" i="1"/>
  <c r="B5042" i="1"/>
  <c r="C5042" i="1"/>
  <c r="D5042" i="1"/>
  <c r="E5042" i="1"/>
  <c r="A5043" i="1"/>
  <c r="B5043" i="1"/>
  <c r="C5043" i="1"/>
  <c r="D5043" i="1"/>
  <c r="E5043" i="1"/>
  <c r="A5044" i="1"/>
  <c r="B5044" i="1"/>
  <c r="C5044" i="1"/>
  <c r="D5044" i="1"/>
  <c r="E5044" i="1"/>
  <c r="A5045" i="1"/>
  <c r="B5045" i="1"/>
  <c r="C5045" i="1"/>
  <c r="D5045" i="1"/>
  <c r="E5045" i="1"/>
  <c r="A5046" i="1"/>
  <c r="B5046" i="1"/>
  <c r="C5046" i="1"/>
  <c r="D5046" i="1"/>
  <c r="E5046" i="1"/>
  <c r="A5047" i="1"/>
  <c r="B5047" i="1"/>
  <c r="C5047" i="1"/>
  <c r="D5047" i="1"/>
  <c r="E5047" i="1"/>
  <c r="A5048" i="1"/>
  <c r="B5048" i="1"/>
  <c r="C5048" i="1"/>
  <c r="D5048" i="1"/>
  <c r="E5048" i="1"/>
  <c r="A5049" i="1"/>
  <c r="B5049" i="1"/>
  <c r="C5049" i="1"/>
  <c r="D5049" i="1"/>
  <c r="E5049" i="1"/>
  <c r="A5050" i="1"/>
  <c r="B5050" i="1"/>
  <c r="C5050" i="1"/>
  <c r="D5050" i="1"/>
  <c r="E5050" i="1"/>
  <c r="A5051" i="1"/>
  <c r="B5051" i="1"/>
  <c r="C5051" i="1"/>
  <c r="D5051" i="1"/>
  <c r="E5051" i="1"/>
  <c r="A5052" i="1"/>
  <c r="B5052" i="1"/>
  <c r="C5052" i="1"/>
  <c r="D5052" i="1"/>
  <c r="E5052" i="1"/>
  <c r="A5053" i="1"/>
  <c r="B5053" i="1"/>
  <c r="C5053" i="1"/>
  <c r="D5053" i="1"/>
  <c r="E5053" i="1"/>
  <c r="A5054" i="1"/>
  <c r="B5054" i="1"/>
  <c r="C5054" i="1"/>
  <c r="D5054" i="1"/>
  <c r="E5054" i="1"/>
  <c r="A5055" i="1"/>
  <c r="B5055" i="1"/>
  <c r="C5055" i="1"/>
  <c r="D5055" i="1"/>
  <c r="E5055" i="1"/>
  <c r="A5056" i="1"/>
  <c r="B5056" i="1"/>
  <c r="C5056" i="1"/>
  <c r="D5056" i="1"/>
  <c r="E5056" i="1"/>
  <c r="A5057" i="1"/>
  <c r="B5057" i="1"/>
  <c r="C5057" i="1"/>
  <c r="D5057" i="1"/>
  <c r="E5057" i="1"/>
  <c r="A5058" i="1"/>
  <c r="B5058" i="1"/>
  <c r="C5058" i="1"/>
  <c r="D5058" i="1"/>
  <c r="E5058" i="1"/>
  <c r="A5059" i="1"/>
  <c r="B5059" i="1"/>
  <c r="C5059" i="1"/>
  <c r="D5059" i="1"/>
  <c r="E5059" i="1"/>
  <c r="A5060" i="1"/>
  <c r="B5060" i="1"/>
  <c r="C5060" i="1"/>
  <c r="D5060" i="1"/>
  <c r="E5060" i="1"/>
  <c r="A5061" i="1"/>
  <c r="B5061" i="1"/>
  <c r="C5061" i="1"/>
  <c r="D5061" i="1"/>
  <c r="E5061" i="1"/>
  <c r="A5062" i="1"/>
  <c r="B5062" i="1"/>
  <c r="C5062" i="1"/>
  <c r="D5062" i="1"/>
  <c r="E5062" i="1"/>
  <c r="A5063" i="1"/>
  <c r="B5063" i="1"/>
  <c r="C5063" i="1"/>
  <c r="D5063" i="1"/>
  <c r="E5063" i="1"/>
  <c r="A5064" i="1"/>
  <c r="B5064" i="1"/>
  <c r="C5064" i="1"/>
  <c r="D5064" i="1"/>
  <c r="E5064" i="1"/>
  <c r="A5065" i="1"/>
  <c r="B5065" i="1"/>
  <c r="C5065" i="1"/>
  <c r="D5065" i="1"/>
  <c r="E5065" i="1"/>
  <c r="A5066" i="1"/>
  <c r="B5066" i="1"/>
  <c r="C5066" i="1"/>
  <c r="D5066" i="1"/>
  <c r="E5066" i="1"/>
  <c r="A5067" i="1"/>
  <c r="B5067" i="1"/>
  <c r="C5067" i="1"/>
  <c r="D5067" i="1"/>
  <c r="E5067" i="1"/>
  <c r="A5068" i="1"/>
  <c r="B5068" i="1"/>
  <c r="C5068" i="1"/>
  <c r="D5068" i="1"/>
  <c r="E5068" i="1"/>
  <c r="A5069" i="1"/>
  <c r="B5069" i="1"/>
  <c r="C5069" i="1"/>
  <c r="D5069" i="1"/>
  <c r="E5069" i="1"/>
  <c r="A5070" i="1"/>
  <c r="B5070" i="1"/>
  <c r="C5070" i="1"/>
  <c r="D5070" i="1"/>
  <c r="E5070" i="1"/>
  <c r="A5071" i="1"/>
  <c r="B5071" i="1"/>
  <c r="C5071" i="1"/>
  <c r="D5071" i="1"/>
  <c r="E5071" i="1"/>
  <c r="A5072" i="1"/>
  <c r="B5072" i="1"/>
  <c r="C5072" i="1"/>
  <c r="D5072" i="1"/>
  <c r="E5072" i="1"/>
  <c r="A5073" i="1"/>
  <c r="B5073" i="1"/>
  <c r="C5073" i="1"/>
  <c r="D5073" i="1"/>
  <c r="E5073" i="1"/>
  <c r="A5074" i="1"/>
  <c r="B5074" i="1"/>
  <c r="C5074" i="1"/>
  <c r="D5074" i="1"/>
  <c r="E5074" i="1"/>
  <c r="A5075" i="1"/>
  <c r="B5075" i="1"/>
  <c r="C5075" i="1"/>
  <c r="D5075" i="1"/>
  <c r="E5075" i="1"/>
  <c r="A5076" i="1"/>
  <c r="B5076" i="1"/>
  <c r="C5076" i="1"/>
  <c r="D5076" i="1"/>
  <c r="E5076" i="1"/>
  <c r="A5077" i="1"/>
  <c r="B5077" i="1"/>
  <c r="C5077" i="1"/>
  <c r="D5077" i="1"/>
  <c r="E5077" i="1"/>
  <c r="A5078" i="1"/>
  <c r="B5078" i="1"/>
  <c r="C5078" i="1"/>
  <c r="D5078" i="1"/>
  <c r="E5078" i="1"/>
  <c r="A5079" i="1"/>
  <c r="B5079" i="1"/>
  <c r="C5079" i="1"/>
  <c r="D5079" i="1"/>
  <c r="E5079" i="1"/>
  <c r="A5080" i="1"/>
  <c r="B5080" i="1"/>
  <c r="C5080" i="1"/>
  <c r="D5080" i="1"/>
  <c r="E5080" i="1"/>
  <c r="A5081" i="1"/>
  <c r="B5081" i="1"/>
  <c r="C5081" i="1"/>
  <c r="D5081" i="1"/>
  <c r="E5081" i="1"/>
  <c r="A5082" i="1"/>
  <c r="B5082" i="1"/>
  <c r="C5082" i="1"/>
  <c r="D5082" i="1"/>
  <c r="E5082" i="1"/>
  <c r="A5083" i="1"/>
  <c r="B5083" i="1"/>
  <c r="C5083" i="1"/>
  <c r="D5083" i="1"/>
  <c r="E5083" i="1"/>
  <c r="A5084" i="1"/>
  <c r="B5084" i="1"/>
  <c r="C5084" i="1"/>
  <c r="D5084" i="1"/>
  <c r="E5084" i="1"/>
  <c r="A5085" i="1"/>
  <c r="B5085" i="1"/>
  <c r="C5085" i="1"/>
  <c r="D5085" i="1"/>
  <c r="E5085" i="1"/>
  <c r="A5086" i="1"/>
  <c r="B5086" i="1"/>
  <c r="C5086" i="1"/>
  <c r="D5086" i="1"/>
  <c r="E5086" i="1"/>
  <c r="A5087" i="1"/>
  <c r="B5087" i="1"/>
  <c r="C5087" i="1"/>
  <c r="D5087" i="1"/>
  <c r="E5087" i="1"/>
  <c r="A5088" i="1"/>
  <c r="B5088" i="1"/>
  <c r="C5088" i="1"/>
  <c r="D5088" i="1"/>
  <c r="E5088" i="1"/>
  <c r="A5089" i="1"/>
  <c r="B5089" i="1"/>
  <c r="C5089" i="1"/>
  <c r="D5089" i="1"/>
  <c r="E5089" i="1"/>
  <c r="A5090" i="1"/>
  <c r="B5090" i="1"/>
  <c r="C5090" i="1"/>
  <c r="D5090" i="1"/>
  <c r="E5090" i="1"/>
  <c r="A5091" i="1"/>
  <c r="B5091" i="1"/>
  <c r="C5091" i="1"/>
  <c r="D5091" i="1"/>
  <c r="E5091" i="1"/>
  <c r="A5092" i="1"/>
  <c r="B5092" i="1"/>
  <c r="C5092" i="1"/>
  <c r="D5092" i="1"/>
  <c r="E5092" i="1"/>
  <c r="A5093" i="1"/>
  <c r="B5093" i="1"/>
  <c r="C5093" i="1"/>
  <c r="D5093" i="1"/>
  <c r="E5093" i="1"/>
  <c r="A5094" i="1"/>
  <c r="B5094" i="1"/>
  <c r="C5094" i="1"/>
  <c r="D5094" i="1"/>
  <c r="E5094" i="1"/>
  <c r="A5095" i="1"/>
  <c r="B5095" i="1"/>
  <c r="C5095" i="1"/>
  <c r="D5095" i="1"/>
  <c r="E5095" i="1"/>
  <c r="A5096" i="1"/>
  <c r="B5096" i="1"/>
  <c r="C5096" i="1"/>
  <c r="D5096" i="1"/>
  <c r="E5096" i="1"/>
  <c r="A5097" i="1"/>
  <c r="B5097" i="1"/>
  <c r="C5097" i="1"/>
  <c r="D5097" i="1"/>
  <c r="E5097" i="1"/>
  <c r="A5098" i="1"/>
  <c r="B5098" i="1"/>
  <c r="C5098" i="1"/>
  <c r="D5098" i="1"/>
  <c r="E5098" i="1"/>
  <c r="A5099" i="1"/>
  <c r="B5099" i="1"/>
  <c r="C5099" i="1"/>
  <c r="D5099" i="1"/>
  <c r="E5099" i="1"/>
  <c r="A5100" i="1"/>
  <c r="B5100" i="1"/>
  <c r="C5100" i="1"/>
  <c r="D5100" i="1"/>
  <c r="E5100" i="1"/>
  <c r="A5101" i="1"/>
  <c r="B5101" i="1"/>
  <c r="C5101" i="1"/>
  <c r="D5101" i="1"/>
  <c r="E5101" i="1"/>
  <c r="A5102" i="1"/>
  <c r="B5102" i="1"/>
  <c r="C5102" i="1"/>
  <c r="D5102" i="1"/>
  <c r="E5102" i="1"/>
  <c r="A5103" i="1"/>
  <c r="B5103" i="1"/>
  <c r="C5103" i="1"/>
  <c r="D5103" i="1"/>
  <c r="E5103" i="1"/>
  <c r="A5104" i="1"/>
  <c r="B5104" i="1"/>
  <c r="C5104" i="1"/>
  <c r="D5104" i="1"/>
  <c r="E5104" i="1"/>
  <c r="A5105" i="1"/>
  <c r="B5105" i="1"/>
  <c r="C5105" i="1"/>
  <c r="D5105" i="1"/>
  <c r="E5105" i="1"/>
  <c r="A5106" i="1"/>
  <c r="B5106" i="1"/>
  <c r="C5106" i="1"/>
  <c r="D5106" i="1"/>
  <c r="E5106" i="1"/>
  <c r="A5107" i="1"/>
  <c r="B5107" i="1"/>
  <c r="C5107" i="1"/>
  <c r="D5107" i="1"/>
  <c r="E5107" i="1"/>
  <c r="A5108" i="1"/>
  <c r="B5108" i="1"/>
  <c r="C5108" i="1"/>
  <c r="D5108" i="1"/>
  <c r="E5108" i="1"/>
  <c r="A5109" i="1"/>
  <c r="B5109" i="1"/>
  <c r="C5109" i="1"/>
  <c r="D5109" i="1"/>
  <c r="E5109" i="1"/>
  <c r="A5110" i="1"/>
  <c r="B5110" i="1"/>
  <c r="C5110" i="1"/>
  <c r="D5110" i="1"/>
  <c r="E5110" i="1"/>
  <c r="A5111" i="1"/>
  <c r="B5111" i="1"/>
  <c r="C5111" i="1"/>
  <c r="D5111" i="1"/>
  <c r="E5111" i="1"/>
  <c r="A5112" i="1"/>
  <c r="B5112" i="1"/>
  <c r="C5112" i="1"/>
  <c r="D5112" i="1"/>
  <c r="E5112" i="1"/>
  <c r="A5113" i="1"/>
  <c r="B5113" i="1"/>
  <c r="C5113" i="1"/>
  <c r="D5113" i="1"/>
  <c r="E5113" i="1"/>
  <c r="A5114" i="1"/>
  <c r="B5114" i="1"/>
  <c r="C5114" i="1"/>
  <c r="D5114" i="1"/>
  <c r="E5114" i="1"/>
  <c r="A5115" i="1"/>
  <c r="B5115" i="1"/>
  <c r="C5115" i="1"/>
  <c r="D5115" i="1"/>
  <c r="E5115" i="1"/>
  <c r="A5116" i="1"/>
  <c r="B5116" i="1"/>
  <c r="C5116" i="1"/>
  <c r="D5116" i="1"/>
  <c r="E5116" i="1"/>
  <c r="A5117" i="1"/>
  <c r="B5117" i="1"/>
  <c r="C5117" i="1"/>
  <c r="D5117" i="1"/>
  <c r="E5117" i="1"/>
  <c r="A5118" i="1"/>
  <c r="B5118" i="1"/>
  <c r="C5118" i="1"/>
  <c r="D5118" i="1"/>
  <c r="E5118" i="1"/>
  <c r="A5119" i="1"/>
  <c r="B5119" i="1"/>
  <c r="C5119" i="1"/>
  <c r="D5119" i="1"/>
  <c r="E5119" i="1"/>
  <c r="A5120" i="1"/>
  <c r="B5120" i="1"/>
  <c r="C5120" i="1"/>
  <c r="D5120" i="1"/>
  <c r="E5120" i="1"/>
  <c r="A5121" i="1"/>
  <c r="B5121" i="1"/>
  <c r="C5121" i="1"/>
  <c r="D5121" i="1"/>
  <c r="E5121" i="1"/>
  <c r="A5122" i="1"/>
  <c r="B5122" i="1"/>
  <c r="C5122" i="1"/>
  <c r="D5122" i="1"/>
  <c r="E5122" i="1"/>
  <c r="A5123" i="1"/>
  <c r="B5123" i="1"/>
  <c r="C5123" i="1"/>
  <c r="D5123" i="1"/>
  <c r="E5123" i="1"/>
  <c r="A5124" i="1"/>
  <c r="B5124" i="1"/>
  <c r="C5124" i="1"/>
  <c r="D5124" i="1"/>
  <c r="E5124" i="1"/>
  <c r="A5125" i="1"/>
  <c r="B5125" i="1"/>
  <c r="C5125" i="1"/>
  <c r="D5125" i="1"/>
  <c r="E5125" i="1"/>
  <c r="A5126" i="1"/>
  <c r="B5126" i="1"/>
  <c r="C5126" i="1"/>
  <c r="D5126" i="1"/>
  <c r="E5126" i="1"/>
  <c r="A5127" i="1"/>
  <c r="B5127" i="1"/>
  <c r="C5127" i="1"/>
  <c r="D5127" i="1"/>
  <c r="E5127" i="1"/>
  <c r="A5128" i="1"/>
  <c r="B5128" i="1"/>
  <c r="C5128" i="1"/>
  <c r="D5128" i="1"/>
  <c r="E5128" i="1"/>
  <c r="A5129" i="1"/>
  <c r="B5129" i="1"/>
  <c r="C5129" i="1"/>
  <c r="D5129" i="1"/>
  <c r="E5129" i="1"/>
  <c r="A5130" i="1"/>
  <c r="B5130" i="1"/>
  <c r="C5130" i="1"/>
  <c r="D5130" i="1"/>
  <c r="E5130" i="1"/>
  <c r="A5131" i="1"/>
  <c r="B5131" i="1"/>
  <c r="C5131" i="1"/>
  <c r="D5131" i="1"/>
  <c r="E5131" i="1"/>
  <c r="A5132" i="1"/>
  <c r="B5132" i="1"/>
  <c r="C5132" i="1"/>
  <c r="D5132" i="1"/>
  <c r="E5132" i="1"/>
  <c r="A5133" i="1"/>
  <c r="B5133" i="1"/>
  <c r="C5133" i="1"/>
  <c r="D5133" i="1"/>
  <c r="E5133" i="1"/>
  <c r="A5134" i="1"/>
  <c r="B5134" i="1"/>
  <c r="C5134" i="1"/>
  <c r="D5134" i="1"/>
  <c r="E5134" i="1"/>
  <c r="A5135" i="1"/>
  <c r="B5135" i="1"/>
  <c r="C5135" i="1"/>
  <c r="D5135" i="1"/>
  <c r="E5135" i="1"/>
  <c r="A5136" i="1"/>
  <c r="B5136" i="1"/>
  <c r="C5136" i="1"/>
  <c r="D5136" i="1"/>
  <c r="E5136" i="1"/>
  <c r="A5137" i="1"/>
  <c r="B5137" i="1"/>
  <c r="C5137" i="1"/>
  <c r="D5137" i="1"/>
  <c r="E5137" i="1"/>
  <c r="A5138" i="1"/>
  <c r="B5138" i="1"/>
  <c r="C5138" i="1"/>
  <c r="D5138" i="1"/>
  <c r="E5138" i="1"/>
  <c r="A5139" i="1"/>
  <c r="B5139" i="1"/>
  <c r="C5139" i="1"/>
  <c r="D5139" i="1"/>
  <c r="E5139" i="1"/>
  <c r="A5140" i="1"/>
  <c r="B5140" i="1"/>
  <c r="C5140" i="1"/>
  <c r="D5140" i="1"/>
  <c r="E5140" i="1"/>
  <c r="A5141" i="1"/>
  <c r="B5141" i="1"/>
  <c r="C5141" i="1"/>
  <c r="D5141" i="1"/>
  <c r="E5141" i="1"/>
  <c r="A5142" i="1"/>
  <c r="B5142" i="1"/>
  <c r="C5142" i="1"/>
  <c r="D5142" i="1"/>
  <c r="E5142" i="1"/>
  <c r="A5143" i="1"/>
  <c r="B5143" i="1"/>
  <c r="C5143" i="1"/>
  <c r="D5143" i="1"/>
  <c r="E5143" i="1"/>
  <c r="A5144" i="1"/>
  <c r="B5144" i="1"/>
  <c r="C5144" i="1"/>
  <c r="D5144" i="1"/>
  <c r="E5144" i="1"/>
  <c r="A5145" i="1"/>
  <c r="B5145" i="1"/>
  <c r="C5145" i="1"/>
  <c r="D5145" i="1"/>
  <c r="E5145" i="1"/>
  <c r="A5146" i="1"/>
  <c r="B5146" i="1"/>
  <c r="C5146" i="1"/>
  <c r="D5146" i="1"/>
  <c r="E5146" i="1"/>
  <c r="A5147" i="1"/>
  <c r="B5147" i="1"/>
  <c r="C5147" i="1"/>
  <c r="D5147" i="1"/>
  <c r="E5147" i="1"/>
  <c r="A5148" i="1"/>
  <c r="B5148" i="1"/>
  <c r="C5148" i="1"/>
  <c r="D5148" i="1"/>
  <c r="E5148" i="1"/>
  <c r="A5149" i="1"/>
  <c r="B5149" i="1"/>
  <c r="C5149" i="1"/>
  <c r="D5149" i="1"/>
  <c r="E5149" i="1"/>
  <c r="A5150" i="1"/>
  <c r="B5150" i="1"/>
  <c r="C5150" i="1"/>
  <c r="D5150" i="1"/>
  <c r="E5150" i="1"/>
  <c r="A5151" i="1"/>
  <c r="B5151" i="1"/>
  <c r="C5151" i="1"/>
  <c r="D5151" i="1"/>
  <c r="E5151" i="1"/>
  <c r="A5152" i="1"/>
  <c r="B5152" i="1"/>
  <c r="C5152" i="1"/>
  <c r="D5152" i="1"/>
  <c r="E5152" i="1"/>
  <c r="A5153" i="1"/>
  <c r="B5153" i="1"/>
  <c r="C5153" i="1"/>
  <c r="D5153" i="1"/>
  <c r="E5153" i="1"/>
  <c r="A5154" i="1"/>
  <c r="B5154" i="1"/>
  <c r="C5154" i="1"/>
  <c r="D5154" i="1"/>
  <c r="E5154" i="1"/>
  <c r="A5155" i="1"/>
  <c r="B5155" i="1"/>
  <c r="C5155" i="1"/>
  <c r="D5155" i="1"/>
  <c r="E5155" i="1"/>
  <c r="A5156" i="1"/>
  <c r="B5156" i="1"/>
  <c r="C5156" i="1"/>
  <c r="D5156" i="1"/>
  <c r="E5156" i="1"/>
  <c r="A5157" i="1"/>
  <c r="B5157" i="1"/>
  <c r="C5157" i="1"/>
  <c r="D5157" i="1"/>
  <c r="E5157" i="1"/>
  <c r="A5158" i="1"/>
  <c r="B5158" i="1"/>
  <c r="C5158" i="1"/>
  <c r="D5158" i="1"/>
  <c r="E5158" i="1"/>
  <c r="A5159" i="1"/>
  <c r="B5159" i="1"/>
  <c r="C5159" i="1"/>
  <c r="D5159" i="1"/>
  <c r="E5159" i="1"/>
  <c r="A5160" i="1"/>
  <c r="B5160" i="1"/>
  <c r="C5160" i="1"/>
  <c r="D5160" i="1"/>
  <c r="E5160" i="1"/>
  <c r="A5161" i="1"/>
  <c r="B5161" i="1"/>
  <c r="C5161" i="1"/>
  <c r="D5161" i="1"/>
  <c r="E5161" i="1"/>
  <c r="A5162" i="1"/>
  <c r="B5162" i="1"/>
  <c r="C5162" i="1"/>
  <c r="D5162" i="1"/>
  <c r="E5162" i="1"/>
  <c r="A5163" i="1"/>
  <c r="B5163" i="1"/>
  <c r="C5163" i="1"/>
  <c r="D5163" i="1"/>
  <c r="E5163" i="1"/>
  <c r="A5164" i="1"/>
  <c r="B5164" i="1"/>
  <c r="C5164" i="1"/>
  <c r="D5164" i="1"/>
  <c r="E5164" i="1"/>
  <c r="A5165" i="1"/>
  <c r="B5165" i="1"/>
  <c r="C5165" i="1"/>
  <c r="D5165" i="1"/>
  <c r="E5165" i="1"/>
  <c r="A5166" i="1"/>
  <c r="B5166" i="1"/>
  <c r="C5166" i="1"/>
  <c r="D5166" i="1"/>
  <c r="E5166" i="1"/>
  <c r="A5167" i="1"/>
  <c r="B5167" i="1"/>
  <c r="C5167" i="1"/>
  <c r="D5167" i="1"/>
  <c r="E5167" i="1"/>
  <c r="A5168" i="1"/>
  <c r="B5168" i="1"/>
  <c r="C5168" i="1"/>
  <c r="D5168" i="1"/>
  <c r="E5168" i="1"/>
  <c r="A5169" i="1"/>
  <c r="B5169" i="1"/>
  <c r="C5169" i="1"/>
  <c r="D5169" i="1"/>
  <c r="E5169" i="1"/>
  <c r="A5170" i="1"/>
  <c r="B5170" i="1"/>
  <c r="C5170" i="1"/>
  <c r="D5170" i="1"/>
  <c r="E5170" i="1"/>
  <c r="A5171" i="1"/>
  <c r="B5171" i="1"/>
  <c r="C5171" i="1"/>
  <c r="D5171" i="1"/>
  <c r="E5171" i="1"/>
  <c r="A5172" i="1"/>
  <c r="B5172" i="1"/>
  <c r="C5172" i="1"/>
  <c r="D5172" i="1"/>
  <c r="E5172" i="1"/>
  <c r="A5173" i="1"/>
  <c r="B5173" i="1"/>
  <c r="C5173" i="1"/>
  <c r="D5173" i="1"/>
  <c r="E5173" i="1"/>
  <c r="A5174" i="1"/>
  <c r="B5174" i="1"/>
  <c r="C5174" i="1"/>
  <c r="D5174" i="1"/>
  <c r="E5174" i="1"/>
  <c r="A5175" i="1"/>
  <c r="B5175" i="1"/>
  <c r="C5175" i="1"/>
  <c r="D5175" i="1"/>
  <c r="E5175" i="1"/>
  <c r="A5176" i="1"/>
  <c r="B5176" i="1"/>
  <c r="C5176" i="1"/>
  <c r="D5176" i="1"/>
  <c r="E5176" i="1"/>
  <c r="A5177" i="1"/>
  <c r="B5177" i="1"/>
  <c r="C5177" i="1"/>
  <c r="D5177" i="1"/>
  <c r="E5177" i="1"/>
  <c r="A5178" i="1"/>
  <c r="B5178" i="1"/>
  <c r="C5178" i="1"/>
  <c r="D5178" i="1"/>
  <c r="E5178" i="1"/>
  <c r="A5179" i="1"/>
  <c r="B5179" i="1"/>
  <c r="C5179" i="1"/>
  <c r="D5179" i="1"/>
  <c r="E5179" i="1"/>
  <c r="A5180" i="1"/>
  <c r="B5180" i="1"/>
  <c r="C5180" i="1"/>
  <c r="D5180" i="1"/>
  <c r="E5180" i="1"/>
  <c r="A5181" i="1"/>
  <c r="B5181" i="1"/>
  <c r="C5181" i="1"/>
  <c r="D5181" i="1"/>
  <c r="E5181" i="1"/>
  <c r="A5182" i="1"/>
  <c r="B5182" i="1"/>
  <c r="C5182" i="1"/>
  <c r="D5182" i="1"/>
  <c r="E5182" i="1"/>
  <c r="A5183" i="1"/>
  <c r="B5183" i="1"/>
  <c r="C5183" i="1"/>
  <c r="D5183" i="1"/>
  <c r="E5183" i="1"/>
  <c r="A5184" i="1"/>
  <c r="B5184" i="1"/>
  <c r="C5184" i="1"/>
  <c r="D5184" i="1"/>
  <c r="E5184" i="1"/>
  <c r="A5185" i="1"/>
  <c r="B5185" i="1"/>
  <c r="C5185" i="1"/>
  <c r="D5185" i="1"/>
  <c r="E5185" i="1"/>
  <c r="A5186" i="1"/>
  <c r="B5186" i="1"/>
  <c r="C5186" i="1"/>
  <c r="D5186" i="1"/>
  <c r="E5186" i="1"/>
  <c r="A5187" i="1"/>
  <c r="B5187" i="1"/>
  <c r="C5187" i="1"/>
  <c r="D5187" i="1"/>
  <c r="E5187" i="1"/>
  <c r="A5188" i="1"/>
  <c r="B5188" i="1"/>
  <c r="C5188" i="1"/>
  <c r="D5188" i="1"/>
  <c r="E5188" i="1"/>
  <c r="A5189" i="1"/>
  <c r="B5189" i="1"/>
  <c r="C5189" i="1"/>
  <c r="D5189" i="1"/>
  <c r="E5189" i="1"/>
  <c r="A5190" i="1"/>
  <c r="B5190" i="1"/>
  <c r="C5190" i="1"/>
  <c r="D5190" i="1"/>
  <c r="E5190" i="1"/>
  <c r="A5191" i="1"/>
  <c r="B5191" i="1"/>
  <c r="C5191" i="1"/>
  <c r="D5191" i="1"/>
  <c r="E5191" i="1"/>
  <c r="A5192" i="1"/>
  <c r="B5192" i="1"/>
  <c r="C5192" i="1"/>
  <c r="D5192" i="1"/>
  <c r="E5192" i="1"/>
  <c r="A5193" i="1"/>
  <c r="B5193" i="1"/>
  <c r="C5193" i="1"/>
  <c r="D5193" i="1"/>
  <c r="E5193" i="1"/>
  <c r="A5194" i="1"/>
  <c r="B5194" i="1"/>
  <c r="C5194" i="1"/>
  <c r="D5194" i="1"/>
  <c r="E5194" i="1"/>
  <c r="A5195" i="1"/>
  <c r="B5195" i="1"/>
  <c r="C5195" i="1"/>
  <c r="D5195" i="1"/>
  <c r="E5195" i="1"/>
  <c r="A5196" i="1"/>
  <c r="B5196" i="1"/>
  <c r="C5196" i="1"/>
  <c r="D5196" i="1"/>
  <c r="E5196" i="1"/>
  <c r="A5197" i="1"/>
  <c r="B5197" i="1"/>
  <c r="C5197" i="1"/>
  <c r="D5197" i="1"/>
  <c r="E5197" i="1"/>
  <c r="A5198" i="1"/>
  <c r="B5198" i="1"/>
  <c r="C5198" i="1"/>
  <c r="D5198" i="1"/>
  <c r="E5198" i="1"/>
  <c r="A5199" i="1"/>
  <c r="B5199" i="1"/>
  <c r="C5199" i="1"/>
  <c r="D5199" i="1"/>
  <c r="E5199" i="1"/>
  <c r="A5200" i="1"/>
  <c r="B5200" i="1"/>
  <c r="C5200" i="1"/>
  <c r="D5200" i="1"/>
  <c r="E5200" i="1"/>
  <c r="A5201" i="1"/>
  <c r="B5201" i="1"/>
  <c r="C5201" i="1"/>
  <c r="D5201" i="1"/>
  <c r="E5201" i="1"/>
  <c r="A5202" i="1"/>
  <c r="B5202" i="1"/>
  <c r="C5202" i="1"/>
  <c r="D5202" i="1"/>
  <c r="E5202" i="1"/>
  <c r="A5203" i="1"/>
  <c r="B5203" i="1"/>
  <c r="C5203" i="1"/>
  <c r="D5203" i="1"/>
  <c r="E5203" i="1"/>
  <c r="A5204" i="1"/>
  <c r="B5204" i="1"/>
  <c r="C5204" i="1"/>
  <c r="D5204" i="1"/>
  <c r="E5204" i="1"/>
  <c r="A5205" i="1"/>
  <c r="B5205" i="1"/>
  <c r="C5205" i="1"/>
  <c r="D5205" i="1"/>
  <c r="E5205" i="1"/>
  <c r="A5206" i="1"/>
  <c r="B5206" i="1"/>
  <c r="C5206" i="1"/>
  <c r="D5206" i="1"/>
  <c r="E5206" i="1"/>
  <c r="A5207" i="1"/>
  <c r="B5207" i="1"/>
  <c r="C5207" i="1"/>
  <c r="D5207" i="1"/>
  <c r="E5207" i="1"/>
  <c r="A5208" i="1"/>
  <c r="B5208" i="1"/>
  <c r="C5208" i="1"/>
  <c r="D5208" i="1"/>
  <c r="E5208" i="1"/>
  <c r="A5209" i="1"/>
  <c r="B5209" i="1"/>
  <c r="C5209" i="1"/>
  <c r="D5209" i="1"/>
  <c r="E5209" i="1"/>
  <c r="A5210" i="1"/>
  <c r="B5210" i="1"/>
  <c r="C5210" i="1"/>
  <c r="D5210" i="1"/>
  <c r="E5210" i="1"/>
  <c r="A5211" i="1"/>
  <c r="B5211" i="1"/>
  <c r="C5211" i="1"/>
  <c r="D5211" i="1"/>
  <c r="E5211" i="1"/>
  <c r="A5212" i="1"/>
  <c r="B5212" i="1"/>
  <c r="C5212" i="1"/>
  <c r="D5212" i="1"/>
  <c r="E5212" i="1"/>
  <c r="A5213" i="1"/>
  <c r="B5213" i="1"/>
  <c r="C5213" i="1"/>
  <c r="D5213" i="1"/>
  <c r="E5213" i="1"/>
  <c r="A5214" i="1"/>
  <c r="B5214" i="1"/>
  <c r="C5214" i="1"/>
  <c r="D5214" i="1"/>
  <c r="E5214" i="1"/>
  <c r="A5215" i="1"/>
  <c r="B5215" i="1"/>
  <c r="C5215" i="1"/>
  <c r="D5215" i="1"/>
  <c r="E5215" i="1"/>
  <c r="A5216" i="1"/>
  <c r="B5216" i="1"/>
  <c r="C5216" i="1"/>
  <c r="D5216" i="1"/>
  <c r="E5216" i="1"/>
  <c r="A5217" i="1"/>
  <c r="B5217" i="1"/>
  <c r="C5217" i="1"/>
  <c r="D5217" i="1"/>
  <c r="E5217" i="1"/>
  <c r="A5218" i="1"/>
  <c r="B5218" i="1"/>
  <c r="C5218" i="1"/>
  <c r="D5218" i="1"/>
  <c r="E5218" i="1"/>
  <c r="A5219" i="1"/>
  <c r="B5219" i="1"/>
  <c r="C5219" i="1"/>
  <c r="D5219" i="1"/>
  <c r="E5219" i="1"/>
  <c r="A5220" i="1"/>
  <c r="B5220" i="1"/>
  <c r="C5220" i="1"/>
  <c r="D5220" i="1"/>
  <c r="E5220" i="1"/>
  <c r="A5221" i="1"/>
  <c r="B5221" i="1"/>
  <c r="C5221" i="1"/>
  <c r="D5221" i="1"/>
  <c r="E5221" i="1"/>
  <c r="A5222" i="1"/>
  <c r="B5222" i="1"/>
  <c r="C5222" i="1"/>
  <c r="D5222" i="1"/>
  <c r="E5222" i="1"/>
  <c r="A5223" i="1"/>
  <c r="B5223" i="1"/>
  <c r="C5223" i="1"/>
  <c r="D5223" i="1"/>
  <c r="E5223" i="1"/>
  <c r="A5224" i="1"/>
  <c r="B5224" i="1"/>
  <c r="C5224" i="1"/>
  <c r="D5224" i="1"/>
  <c r="E5224" i="1"/>
  <c r="A5225" i="1"/>
  <c r="B5225" i="1"/>
  <c r="C5225" i="1"/>
  <c r="D5225" i="1"/>
  <c r="E5225" i="1"/>
  <c r="A5226" i="1"/>
  <c r="B5226" i="1"/>
  <c r="C5226" i="1"/>
  <c r="D5226" i="1"/>
  <c r="E5226" i="1"/>
  <c r="A5227" i="1"/>
  <c r="B5227" i="1"/>
  <c r="C5227" i="1"/>
  <c r="D5227" i="1"/>
  <c r="E5227" i="1"/>
  <c r="A5228" i="1"/>
  <c r="B5228" i="1"/>
  <c r="C5228" i="1"/>
  <c r="D5228" i="1"/>
  <c r="E5228" i="1"/>
  <c r="A5229" i="1"/>
  <c r="B5229" i="1"/>
  <c r="C5229" i="1"/>
  <c r="D5229" i="1"/>
  <c r="E5229" i="1"/>
  <c r="A5230" i="1"/>
  <c r="B5230" i="1"/>
  <c r="C5230" i="1"/>
  <c r="D5230" i="1"/>
  <c r="E5230" i="1"/>
  <c r="A5231" i="1"/>
  <c r="B5231" i="1"/>
  <c r="C5231" i="1"/>
  <c r="D5231" i="1"/>
  <c r="E5231" i="1"/>
  <c r="A5232" i="1"/>
  <c r="B5232" i="1"/>
  <c r="C5232" i="1"/>
  <c r="D5232" i="1"/>
  <c r="E5232" i="1"/>
  <c r="A5233" i="1"/>
  <c r="B5233" i="1"/>
  <c r="C5233" i="1"/>
  <c r="D5233" i="1"/>
  <c r="E5233" i="1"/>
  <c r="A5234" i="1"/>
  <c r="B5234" i="1"/>
  <c r="C5234" i="1"/>
  <c r="D5234" i="1"/>
  <c r="E5234" i="1"/>
  <c r="A5235" i="1"/>
  <c r="B5235" i="1"/>
  <c r="C5235" i="1"/>
  <c r="D5235" i="1"/>
  <c r="E5235" i="1"/>
  <c r="A5236" i="1"/>
  <c r="B5236" i="1"/>
  <c r="C5236" i="1"/>
  <c r="D5236" i="1"/>
  <c r="E5236" i="1"/>
  <c r="A5237" i="1"/>
  <c r="B5237" i="1"/>
  <c r="C5237" i="1"/>
  <c r="D5237" i="1"/>
  <c r="E5237" i="1"/>
  <c r="A5238" i="1"/>
  <c r="B5238" i="1"/>
  <c r="C5238" i="1"/>
  <c r="D5238" i="1"/>
  <c r="E5238" i="1"/>
  <c r="A5239" i="1"/>
  <c r="B5239" i="1"/>
  <c r="C5239" i="1"/>
  <c r="D5239" i="1"/>
  <c r="E5239" i="1"/>
  <c r="A5240" i="1"/>
  <c r="B5240" i="1"/>
  <c r="C5240" i="1"/>
  <c r="D5240" i="1"/>
  <c r="E5240" i="1"/>
  <c r="A5241" i="1"/>
  <c r="B5241" i="1"/>
  <c r="C5241" i="1"/>
  <c r="D5241" i="1"/>
  <c r="E5241" i="1"/>
  <c r="A5242" i="1"/>
  <c r="B5242" i="1"/>
  <c r="C5242" i="1"/>
  <c r="D5242" i="1"/>
  <c r="E5242" i="1"/>
  <c r="A5243" i="1"/>
  <c r="B5243" i="1"/>
  <c r="C5243" i="1"/>
  <c r="D5243" i="1"/>
  <c r="E5243" i="1"/>
  <c r="A5244" i="1"/>
  <c r="B5244" i="1"/>
  <c r="C5244" i="1"/>
  <c r="D5244" i="1"/>
  <c r="E5244" i="1"/>
  <c r="A5245" i="1"/>
  <c r="B5245" i="1"/>
  <c r="C5245" i="1"/>
  <c r="D5245" i="1"/>
  <c r="E5245" i="1"/>
  <c r="A5246" i="1"/>
  <c r="B5246" i="1"/>
  <c r="C5246" i="1"/>
  <c r="D5246" i="1"/>
  <c r="E5246" i="1"/>
  <c r="A5247" i="1"/>
  <c r="B5247" i="1"/>
  <c r="C5247" i="1"/>
  <c r="D5247" i="1"/>
  <c r="E5247" i="1"/>
  <c r="A5248" i="1"/>
  <c r="B5248" i="1"/>
  <c r="C5248" i="1"/>
  <c r="D5248" i="1"/>
  <c r="E5248" i="1"/>
  <c r="A5249" i="1"/>
  <c r="B5249" i="1"/>
  <c r="C5249" i="1"/>
  <c r="D5249" i="1"/>
  <c r="E5249" i="1"/>
  <c r="A5250" i="1"/>
  <c r="B5250" i="1"/>
  <c r="C5250" i="1"/>
  <c r="D5250" i="1"/>
  <c r="E5250" i="1"/>
  <c r="A5251" i="1"/>
  <c r="B5251" i="1"/>
  <c r="C5251" i="1"/>
  <c r="D5251" i="1"/>
  <c r="E5251" i="1"/>
  <c r="A5252" i="1"/>
  <c r="B5252" i="1"/>
  <c r="C5252" i="1"/>
  <c r="D5252" i="1"/>
  <c r="E5252" i="1"/>
  <c r="A5253" i="1"/>
  <c r="B5253" i="1"/>
  <c r="C5253" i="1"/>
  <c r="D5253" i="1"/>
  <c r="E5253" i="1"/>
  <c r="A5254" i="1"/>
  <c r="B5254" i="1"/>
  <c r="C5254" i="1"/>
  <c r="D5254" i="1"/>
  <c r="E5254" i="1"/>
  <c r="A5255" i="1"/>
  <c r="B5255" i="1"/>
  <c r="C5255" i="1"/>
  <c r="D5255" i="1"/>
  <c r="E5255" i="1"/>
  <c r="A5256" i="1"/>
  <c r="B5256" i="1"/>
  <c r="C5256" i="1"/>
  <c r="D5256" i="1"/>
  <c r="E5256" i="1"/>
  <c r="A5257" i="1"/>
  <c r="B5257" i="1"/>
  <c r="C5257" i="1"/>
  <c r="D5257" i="1"/>
  <c r="E5257" i="1"/>
  <c r="A5258" i="1"/>
  <c r="B5258" i="1"/>
  <c r="C5258" i="1"/>
  <c r="D5258" i="1"/>
  <c r="E5258" i="1"/>
  <c r="A5259" i="1"/>
  <c r="B5259" i="1"/>
  <c r="C5259" i="1"/>
  <c r="D5259" i="1"/>
  <c r="E5259" i="1"/>
  <c r="A5260" i="1"/>
  <c r="B5260" i="1"/>
  <c r="C5260" i="1"/>
  <c r="D5260" i="1"/>
  <c r="E5260" i="1"/>
  <c r="A5261" i="1"/>
  <c r="B5261" i="1"/>
  <c r="C5261" i="1"/>
  <c r="D5261" i="1"/>
  <c r="E5261" i="1"/>
  <c r="A5262" i="1"/>
  <c r="B5262" i="1"/>
  <c r="C5262" i="1"/>
  <c r="D5262" i="1"/>
  <c r="E5262" i="1"/>
  <c r="A5263" i="1"/>
  <c r="B5263" i="1"/>
  <c r="C5263" i="1"/>
  <c r="D5263" i="1"/>
  <c r="E5263" i="1"/>
  <c r="A5264" i="1"/>
  <c r="B5264" i="1"/>
  <c r="C5264" i="1"/>
  <c r="D5264" i="1"/>
  <c r="E5264" i="1"/>
  <c r="A5265" i="1"/>
  <c r="B5265" i="1"/>
  <c r="C5265" i="1"/>
  <c r="D5265" i="1"/>
  <c r="E5265" i="1"/>
  <c r="A5266" i="1"/>
  <c r="B5266" i="1"/>
  <c r="C5266" i="1"/>
  <c r="D5266" i="1"/>
  <c r="E5266" i="1"/>
  <c r="A5267" i="1"/>
  <c r="B5267" i="1"/>
  <c r="C5267" i="1"/>
  <c r="D5267" i="1"/>
  <c r="E5267" i="1"/>
  <c r="A5268" i="1"/>
  <c r="B5268" i="1"/>
  <c r="C5268" i="1"/>
  <c r="D5268" i="1"/>
  <c r="E5268" i="1"/>
  <c r="A5269" i="1"/>
  <c r="B5269" i="1"/>
  <c r="C5269" i="1"/>
  <c r="D5269" i="1"/>
  <c r="E5269" i="1"/>
  <c r="A5270" i="1"/>
  <c r="B5270" i="1"/>
  <c r="C5270" i="1"/>
  <c r="D5270" i="1"/>
  <c r="E5270" i="1"/>
  <c r="A5271" i="1"/>
  <c r="B5271" i="1"/>
  <c r="C5271" i="1"/>
  <c r="D5271" i="1"/>
  <c r="E5271" i="1"/>
  <c r="A5272" i="1"/>
  <c r="B5272" i="1"/>
  <c r="C5272" i="1"/>
  <c r="D5272" i="1"/>
  <c r="E5272" i="1"/>
  <c r="A5273" i="1"/>
  <c r="B5273" i="1"/>
  <c r="C5273" i="1"/>
  <c r="D5273" i="1"/>
  <c r="E5273" i="1"/>
  <c r="A5274" i="1"/>
  <c r="B5274" i="1"/>
  <c r="C5274" i="1"/>
  <c r="D5274" i="1"/>
  <c r="E5274" i="1"/>
  <c r="A5275" i="1"/>
  <c r="B5275" i="1"/>
  <c r="C5275" i="1"/>
  <c r="D5275" i="1"/>
  <c r="E5275" i="1"/>
  <c r="A5276" i="1"/>
  <c r="B5276" i="1"/>
  <c r="C5276" i="1"/>
  <c r="D5276" i="1"/>
  <c r="E5276" i="1"/>
  <c r="A5277" i="1"/>
  <c r="B5277" i="1"/>
  <c r="C5277" i="1"/>
  <c r="D5277" i="1"/>
  <c r="E5277" i="1"/>
  <c r="A5278" i="1"/>
  <c r="B5278" i="1"/>
  <c r="C5278" i="1"/>
  <c r="D5278" i="1"/>
  <c r="E5278" i="1"/>
  <c r="A5279" i="1"/>
  <c r="B5279" i="1"/>
  <c r="C5279" i="1"/>
  <c r="D5279" i="1"/>
  <c r="E5279" i="1"/>
  <c r="A5280" i="1"/>
  <c r="B5280" i="1"/>
  <c r="C5280" i="1"/>
  <c r="D5280" i="1"/>
  <c r="E5280" i="1"/>
  <c r="A5281" i="1"/>
  <c r="B5281" i="1"/>
  <c r="C5281" i="1"/>
  <c r="D5281" i="1"/>
  <c r="E5281" i="1"/>
  <c r="A5282" i="1"/>
  <c r="B5282" i="1"/>
  <c r="C5282" i="1"/>
  <c r="D5282" i="1"/>
  <c r="E5282" i="1"/>
  <c r="A5283" i="1"/>
  <c r="B5283" i="1"/>
  <c r="C5283" i="1"/>
  <c r="D5283" i="1"/>
  <c r="E5283" i="1"/>
  <c r="A5284" i="1"/>
  <c r="B5284" i="1"/>
  <c r="C5284" i="1"/>
  <c r="D5284" i="1"/>
  <c r="E5284" i="1"/>
  <c r="A5285" i="1"/>
  <c r="B5285" i="1"/>
  <c r="C5285" i="1"/>
  <c r="D5285" i="1"/>
  <c r="E5285" i="1"/>
  <c r="A5286" i="1"/>
  <c r="B5286" i="1"/>
  <c r="C5286" i="1"/>
  <c r="D5286" i="1"/>
  <c r="E5286" i="1"/>
  <c r="A5287" i="1"/>
  <c r="B5287" i="1"/>
  <c r="C5287" i="1"/>
  <c r="D5287" i="1"/>
  <c r="E5287" i="1"/>
  <c r="A5288" i="1"/>
  <c r="B5288" i="1"/>
  <c r="C5288" i="1"/>
  <c r="D5288" i="1"/>
  <c r="E5288" i="1"/>
  <c r="A5289" i="1"/>
  <c r="B5289" i="1"/>
  <c r="C5289" i="1"/>
  <c r="D5289" i="1"/>
  <c r="E5289" i="1"/>
  <c r="A5290" i="1"/>
  <c r="B5290" i="1"/>
  <c r="C5290" i="1"/>
  <c r="D5290" i="1"/>
  <c r="E5290" i="1"/>
  <c r="A5291" i="1"/>
  <c r="B5291" i="1"/>
  <c r="C5291" i="1"/>
  <c r="D5291" i="1"/>
  <c r="E5291" i="1"/>
  <c r="A5292" i="1"/>
  <c r="B5292" i="1"/>
  <c r="C5292" i="1"/>
  <c r="D5292" i="1"/>
  <c r="E5292" i="1"/>
  <c r="A5293" i="1"/>
  <c r="B5293" i="1"/>
  <c r="C5293" i="1"/>
  <c r="D5293" i="1"/>
  <c r="E5293" i="1"/>
  <c r="A5294" i="1"/>
  <c r="B5294" i="1"/>
  <c r="C5294" i="1"/>
  <c r="D5294" i="1"/>
  <c r="E5294" i="1"/>
  <c r="A5295" i="1"/>
  <c r="B5295" i="1"/>
  <c r="C5295" i="1"/>
  <c r="D5295" i="1"/>
  <c r="E5295" i="1"/>
  <c r="A5296" i="1"/>
  <c r="B5296" i="1"/>
  <c r="C5296" i="1"/>
  <c r="D5296" i="1"/>
  <c r="E5296" i="1"/>
  <c r="A5297" i="1"/>
  <c r="B5297" i="1"/>
  <c r="C5297" i="1"/>
  <c r="D5297" i="1"/>
  <c r="E5297" i="1"/>
  <c r="A5298" i="1"/>
  <c r="B5298" i="1"/>
  <c r="C5298" i="1"/>
  <c r="D5298" i="1"/>
  <c r="E5298" i="1"/>
  <c r="A5299" i="1"/>
  <c r="B5299" i="1"/>
  <c r="C5299" i="1"/>
  <c r="D5299" i="1"/>
  <c r="E5299" i="1"/>
  <c r="A5300" i="1"/>
  <c r="B5300" i="1"/>
  <c r="C5300" i="1"/>
  <c r="D5300" i="1"/>
  <c r="E5300" i="1"/>
  <c r="A5301" i="1"/>
  <c r="B5301" i="1"/>
  <c r="C5301" i="1"/>
  <c r="D5301" i="1"/>
  <c r="E5301" i="1"/>
  <c r="A5302" i="1"/>
  <c r="B5302" i="1"/>
  <c r="C5302" i="1"/>
  <c r="D5302" i="1"/>
  <c r="E5302" i="1"/>
  <c r="A5303" i="1"/>
  <c r="B5303" i="1"/>
  <c r="C5303" i="1"/>
  <c r="D5303" i="1"/>
  <c r="E5303" i="1"/>
  <c r="A5304" i="1"/>
  <c r="B5304" i="1"/>
  <c r="C5304" i="1"/>
  <c r="D5304" i="1"/>
  <c r="E5304" i="1"/>
  <c r="A5305" i="1"/>
  <c r="B5305" i="1"/>
  <c r="C5305" i="1"/>
  <c r="D5305" i="1"/>
  <c r="E5305" i="1"/>
  <c r="A5306" i="1"/>
  <c r="B5306" i="1"/>
  <c r="C5306" i="1"/>
  <c r="D5306" i="1"/>
  <c r="E5306" i="1"/>
  <c r="A5307" i="1"/>
  <c r="B5307" i="1"/>
  <c r="C5307" i="1"/>
  <c r="D5307" i="1"/>
  <c r="E5307" i="1"/>
  <c r="A5308" i="1"/>
  <c r="B5308" i="1"/>
  <c r="C5308" i="1"/>
  <c r="D5308" i="1"/>
  <c r="E5308" i="1"/>
  <c r="A5309" i="1"/>
  <c r="B5309" i="1"/>
  <c r="C5309" i="1"/>
  <c r="D5309" i="1"/>
  <c r="E5309" i="1"/>
  <c r="A5310" i="1"/>
  <c r="B5310" i="1"/>
  <c r="C5310" i="1"/>
  <c r="D5310" i="1"/>
  <c r="E5310" i="1"/>
  <c r="A5311" i="1"/>
  <c r="B5311" i="1"/>
  <c r="C5311" i="1"/>
  <c r="D5311" i="1"/>
  <c r="E5311" i="1"/>
  <c r="A5312" i="1"/>
  <c r="B5312" i="1"/>
  <c r="C5312" i="1"/>
  <c r="D5312" i="1"/>
  <c r="E5312" i="1"/>
  <c r="A5313" i="1"/>
  <c r="B5313" i="1"/>
  <c r="C5313" i="1"/>
  <c r="D5313" i="1"/>
  <c r="E5313" i="1"/>
  <c r="A5314" i="1"/>
  <c r="B5314" i="1"/>
  <c r="C5314" i="1"/>
  <c r="D5314" i="1"/>
  <c r="E5314" i="1"/>
  <c r="A5315" i="1"/>
  <c r="B5315" i="1"/>
  <c r="C5315" i="1"/>
  <c r="D5315" i="1"/>
  <c r="E5315" i="1"/>
  <c r="A5316" i="1"/>
  <c r="B5316" i="1"/>
  <c r="C5316" i="1"/>
  <c r="D5316" i="1"/>
  <c r="E5316" i="1"/>
  <c r="A5317" i="1"/>
  <c r="B5317" i="1"/>
  <c r="C5317" i="1"/>
  <c r="D5317" i="1"/>
  <c r="E5317" i="1"/>
  <c r="A5318" i="1"/>
  <c r="B5318" i="1"/>
  <c r="C5318" i="1"/>
  <c r="D5318" i="1"/>
  <c r="E5318" i="1"/>
  <c r="A5319" i="1"/>
  <c r="B5319" i="1"/>
  <c r="C5319" i="1"/>
  <c r="D5319" i="1"/>
  <c r="E5319" i="1"/>
  <c r="A5320" i="1"/>
  <c r="B5320" i="1"/>
  <c r="C5320" i="1"/>
  <c r="D5320" i="1"/>
  <c r="E5320" i="1"/>
  <c r="A5321" i="1"/>
  <c r="B5321" i="1"/>
  <c r="C5321" i="1"/>
  <c r="D5321" i="1"/>
  <c r="E5321" i="1"/>
  <c r="A5322" i="1"/>
  <c r="B5322" i="1"/>
  <c r="C5322" i="1"/>
  <c r="D5322" i="1"/>
  <c r="E5322" i="1"/>
  <c r="A5323" i="1"/>
  <c r="B5323" i="1"/>
  <c r="C5323" i="1"/>
  <c r="D5323" i="1"/>
  <c r="E5323" i="1"/>
  <c r="A5324" i="1"/>
  <c r="B5324" i="1"/>
  <c r="C5324" i="1"/>
  <c r="D5324" i="1"/>
  <c r="E5324" i="1"/>
  <c r="A5325" i="1"/>
  <c r="B5325" i="1"/>
  <c r="C5325" i="1"/>
  <c r="D5325" i="1"/>
  <c r="E5325" i="1"/>
  <c r="A5326" i="1"/>
  <c r="B5326" i="1"/>
  <c r="C5326" i="1"/>
  <c r="D5326" i="1"/>
  <c r="E5326" i="1"/>
  <c r="A5327" i="1"/>
  <c r="B5327" i="1"/>
  <c r="C5327" i="1"/>
  <c r="D5327" i="1"/>
  <c r="E5327" i="1"/>
  <c r="A5328" i="1"/>
  <c r="B5328" i="1"/>
  <c r="C5328" i="1"/>
  <c r="D5328" i="1"/>
  <c r="E5328" i="1"/>
  <c r="A5329" i="1"/>
  <c r="B5329" i="1"/>
  <c r="C5329" i="1"/>
  <c r="D5329" i="1"/>
  <c r="E5329" i="1"/>
  <c r="A5330" i="1"/>
  <c r="B5330" i="1"/>
  <c r="C5330" i="1"/>
  <c r="D5330" i="1"/>
  <c r="E5330" i="1"/>
  <c r="A5331" i="1"/>
  <c r="B5331" i="1"/>
  <c r="C5331" i="1"/>
  <c r="D5331" i="1"/>
  <c r="E5331" i="1"/>
  <c r="A5332" i="1"/>
  <c r="B5332" i="1"/>
  <c r="C5332" i="1"/>
  <c r="D5332" i="1"/>
  <c r="E5332" i="1"/>
  <c r="A5333" i="1"/>
  <c r="B5333" i="1"/>
  <c r="C5333" i="1"/>
  <c r="D5333" i="1"/>
  <c r="E5333" i="1"/>
  <c r="A5334" i="1"/>
  <c r="B5334" i="1"/>
  <c r="C5334" i="1"/>
  <c r="D5334" i="1"/>
  <c r="E5334" i="1"/>
  <c r="A5335" i="1"/>
  <c r="B5335" i="1"/>
  <c r="C5335" i="1"/>
  <c r="D5335" i="1"/>
  <c r="E5335" i="1"/>
  <c r="A5336" i="1"/>
  <c r="B5336" i="1"/>
  <c r="C5336" i="1"/>
  <c r="D5336" i="1"/>
  <c r="E5336" i="1"/>
  <c r="A5337" i="1"/>
  <c r="B5337" i="1"/>
  <c r="C5337" i="1"/>
  <c r="D5337" i="1"/>
  <c r="E5337" i="1"/>
  <c r="A5338" i="1"/>
  <c r="B5338" i="1"/>
  <c r="C5338" i="1"/>
  <c r="D5338" i="1"/>
  <c r="E5338" i="1"/>
  <c r="A5339" i="1"/>
  <c r="B5339" i="1"/>
  <c r="C5339" i="1"/>
  <c r="D5339" i="1"/>
  <c r="E5339" i="1"/>
  <c r="A5340" i="1"/>
  <c r="B5340" i="1"/>
  <c r="C5340" i="1"/>
  <c r="D5340" i="1"/>
  <c r="E5340" i="1"/>
  <c r="A5341" i="1"/>
  <c r="B5341" i="1"/>
  <c r="C5341" i="1"/>
  <c r="D5341" i="1"/>
  <c r="E5341" i="1"/>
  <c r="A5342" i="1"/>
  <c r="B5342" i="1"/>
  <c r="C5342" i="1"/>
  <c r="D5342" i="1"/>
  <c r="E5342" i="1"/>
  <c r="A5343" i="1"/>
  <c r="B5343" i="1"/>
  <c r="C5343" i="1"/>
  <c r="D5343" i="1"/>
  <c r="E5343" i="1"/>
  <c r="A5344" i="1"/>
  <c r="B5344" i="1"/>
  <c r="C5344" i="1"/>
  <c r="D5344" i="1"/>
  <c r="E5344" i="1"/>
  <c r="A5345" i="1"/>
  <c r="B5345" i="1"/>
  <c r="C5345" i="1"/>
  <c r="D5345" i="1"/>
  <c r="E5345" i="1"/>
  <c r="A5346" i="1"/>
  <c r="B5346" i="1"/>
  <c r="C5346" i="1"/>
  <c r="D5346" i="1"/>
  <c r="E5346" i="1"/>
  <c r="A5347" i="1"/>
  <c r="B5347" i="1"/>
  <c r="C5347" i="1"/>
  <c r="D5347" i="1"/>
  <c r="E5347" i="1"/>
  <c r="A5348" i="1"/>
  <c r="B5348" i="1"/>
  <c r="C5348" i="1"/>
  <c r="D5348" i="1"/>
  <c r="E5348" i="1"/>
  <c r="A5349" i="1"/>
  <c r="B5349" i="1"/>
  <c r="C5349" i="1"/>
  <c r="D5349" i="1"/>
  <c r="E5349" i="1"/>
  <c r="A5350" i="1"/>
  <c r="B5350" i="1"/>
  <c r="C5350" i="1"/>
  <c r="D5350" i="1"/>
  <c r="E5350" i="1"/>
  <c r="A5351" i="1"/>
  <c r="B5351" i="1"/>
  <c r="C5351" i="1"/>
  <c r="D5351" i="1"/>
  <c r="E5351" i="1"/>
  <c r="A5352" i="1"/>
  <c r="B5352" i="1"/>
  <c r="C5352" i="1"/>
  <c r="D5352" i="1"/>
  <c r="E5352" i="1"/>
  <c r="A5353" i="1"/>
  <c r="B5353" i="1"/>
  <c r="C5353" i="1"/>
  <c r="D5353" i="1"/>
  <c r="E5353" i="1"/>
  <c r="A5354" i="1"/>
  <c r="B5354" i="1"/>
  <c r="C5354" i="1"/>
  <c r="D5354" i="1"/>
  <c r="E5354" i="1"/>
  <c r="A5355" i="1"/>
  <c r="B5355" i="1"/>
  <c r="C5355" i="1"/>
  <c r="D5355" i="1"/>
  <c r="E5355" i="1"/>
  <c r="A5356" i="1"/>
  <c r="B5356" i="1"/>
  <c r="C5356" i="1"/>
  <c r="D5356" i="1"/>
  <c r="E5356" i="1"/>
  <c r="A5357" i="1"/>
  <c r="B5357" i="1"/>
  <c r="C5357" i="1"/>
  <c r="D5357" i="1"/>
  <c r="E5357" i="1"/>
  <c r="A5358" i="1"/>
  <c r="B5358" i="1"/>
  <c r="C5358" i="1"/>
  <c r="D5358" i="1"/>
  <c r="E5358" i="1"/>
  <c r="A5359" i="1"/>
  <c r="B5359" i="1"/>
  <c r="C5359" i="1"/>
  <c r="D5359" i="1"/>
  <c r="E5359" i="1"/>
  <c r="A5360" i="1"/>
  <c r="B5360" i="1"/>
  <c r="C5360" i="1"/>
  <c r="D5360" i="1"/>
  <c r="E5360" i="1"/>
  <c r="A5361" i="1"/>
  <c r="B5361" i="1"/>
  <c r="C5361" i="1"/>
  <c r="D5361" i="1"/>
  <c r="E5361" i="1"/>
  <c r="A5362" i="1"/>
  <c r="B5362" i="1"/>
  <c r="C5362" i="1"/>
  <c r="D5362" i="1"/>
  <c r="E5362" i="1"/>
  <c r="A5363" i="1"/>
  <c r="B5363" i="1"/>
  <c r="C5363" i="1"/>
  <c r="D5363" i="1"/>
  <c r="E5363" i="1"/>
  <c r="A5364" i="1"/>
  <c r="B5364" i="1"/>
  <c r="C5364" i="1"/>
  <c r="D5364" i="1"/>
  <c r="E5364" i="1"/>
  <c r="A5365" i="1"/>
  <c r="B5365" i="1"/>
  <c r="C5365" i="1"/>
  <c r="D5365" i="1"/>
  <c r="E5365" i="1"/>
  <c r="A5366" i="1"/>
  <c r="B5366" i="1"/>
  <c r="C5366" i="1"/>
  <c r="D5366" i="1"/>
  <c r="E5366" i="1"/>
  <c r="A5367" i="1"/>
  <c r="B5367" i="1"/>
  <c r="C5367" i="1"/>
  <c r="D5367" i="1"/>
  <c r="E5367" i="1"/>
  <c r="A5368" i="1"/>
  <c r="B5368" i="1"/>
  <c r="C5368" i="1"/>
  <c r="D5368" i="1"/>
  <c r="E5368" i="1"/>
  <c r="A5369" i="1"/>
  <c r="B5369" i="1"/>
  <c r="C5369" i="1"/>
  <c r="D5369" i="1"/>
  <c r="E5369" i="1"/>
  <c r="A5370" i="1"/>
  <c r="B5370" i="1"/>
  <c r="C5370" i="1"/>
  <c r="D5370" i="1"/>
  <c r="E5370" i="1"/>
  <c r="A5371" i="1"/>
  <c r="B5371" i="1"/>
  <c r="C5371" i="1"/>
  <c r="D5371" i="1"/>
  <c r="E5371" i="1"/>
  <c r="A5372" i="1"/>
  <c r="B5372" i="1"/>
  <c r="C5372" i="1"/>
  <c r="D5372" i="1"/>
  <c r="E5372" i="1"/>
  <c r="A5373" i="1"/>
  <c r="B5373" i="1"/>
  <c r="C5373" i="1"/>
  <c r="D5373" i="1"/>
  <c r="E5373" i="1"/>
  <c r="A5374" i="1"/>
  <c r="B5374" i="1"/>
  <c r="C5374" i="1"/>
  <c r="D5374" i="1"/>
  <c r="E5374" i="1"/>
  <c r="A5375" i="1"/>
  <c r="B5375" i="1"/>
  <c r="C5375" i="1"/>
  <c r="D5375" i="1"/>
  <c r="E5375" i="1"/>
  <c r="A5376" i="1"/>
  <c r="B5376" i="1"/>
  <c r="C5376" i="1"/>
  <c r="D5376" i="1"/>
  <c r="E5376" i="1"/>
  <c r="A5377" i="1"/>
  <c r="B5377" i="1"/>
  <c r="C5377" i="1"/>
  <c r="D5377" i="1"/>
  <c r="E5377" i="1"/>
  <c r="A5378" i="1"/>
  <c r="B5378" i="1"/>
  <c r="C5378" i="1"/>
  <c r="D5378" i="1"/>
  <c r="E5378" i="1"/>
  <c r="A5379" i="1"/>
  <c r="B5379" i="1"/>
  <c r="C5379" i="1"/>
  <c r="D5379" i="1"/>
  <c r="E5379" i="1"/>
  <c r="A5380" i="1"/>
  <c r="B5380" i="1"/>
  <c r="C5380" i="1"/>
  <c r="D5380" i="1"/>
  <c r="E5380" i="1"/>
  <c r="A5381" i="1"/>
  <c r="B5381" i="1"/>
  <c r="C5381" i="1"/>
  <c r="D5381" i="1"/>
  <c r="E5381" i="1"/>
  <c r="A5382" i="1"/>
  <c r="B5382" i="1"/>
  <c r="C5382" i="1"/>
  <c r="D5382" i="1"/>
  <c r="E5382" i="1"/>
  <c r="A5383" i="1"/>
  <c r="B5383" i="1"/>
  <c r="C5383" i="1"/>
  <c r="D5383" i="1"/>
  <c r="E5383" i="1"/>
  <c r="A5384" i="1"/>
  <c r="B5384" i="1"/>
  <c r="C5384" i="1"/>
  <c r="D5384" i="1"/>
  <c r="E5384" i="1"/>
  <c r="A5385" i="1"/>
  <c r="B5385" i="1"/>
  <c r="C5385" i="1"/>
  <c r="D5385" i="1"/>
  <c r="E5385" i="1"/>
  <c r="A5386" i="1"/>
  <c r="B5386" i="1"/>
  <c r="C5386" i="1"/>
  <c r="D5386" i="1"/>
  <c r="E5386" i="1"/>
  <c r="A5387" i="1"/>
  <c r="B5387" i="1"/>
  <c r="C5387" i="1"/>
  <c r="D5387" i="1"/>
  <c r="E5387" i="1"/>
  <c r="A5388" i="1"/>
  <c r="B5388" i="1"/>
  <c r="C5388" i="1"/>
  <c r="D5388" i="1"/>
  <c r="E5388" i="1"/>
  <c r="A5389" i="1"/>
  <c r="B5389" i="1"/>
  <c r="C5389" i="1"/>
  <c r="D5389" i="1"/>
  <c r="E5389" i="1"/>
  <c r="A5390" i="1"/>
  <c r="B5390" i="1"/>
  <c r="C5390" i="1"/>
  <c r="D5390" i="1"/>
  <c r="E5390" i="1"/>
  <c r="A5391" i="1"/>
  <c r="B5391" i="1"/>
  <c r="C5391" i="1"/>
  <c r="D5391" i="1"/>
  <c r="E5391" i="1"/>
  <c r="A5392" i="1"/>
  <c r="B5392" i="1"/>
  <c r="C5392" i="1"/>
  <c r="D5392" i="1"/>
  <c r="E5392" i="1"/>
  <c r="A5393" i="1"/>
  <c r="B5393" i="1"/>
  <c r="C5393" i="1"/>
  <c r="D5393" i="1"/>
  <c r="E5393" i="1"/>
  <c r="A5394" i="1"/>
  <c r="B5394" i="1"/>
  <c r="C5394" i="1"/>
  <c r="D5394" i="1"/>
  <c r="E5394" i="1"/>
  <c r="A5395" i="1"/>
  <c r="B5395" i="1"/>
  <c r="C5395" i="1"/>
  <c r="D5395" i="1"/>
  <c r="E5395" i="1"/>
  <c r="A5396" i="1"/>
  <c r="B5396" i="1"/>
  <c r="C5396" i="1"/>
  <c r="D5396" i="1"/>
  <c r="E5396" i="1"/>
  <c r="A5397" i="1"/>
  <c r="B5397" i="1"/>
  <c r="C5397" i="1"/>
  <c r="D5397" i="1"/>
  <c r="E5397" i="1"/>
  <c r="A5398" i="1"/>
  <c r="B5398" i="1"/>
  <c r="C5398" i="1"/>
  <c r="D5398" i="1"/>
  <c r="E5398" i="1"/>
  <c r="A5399" i="1"/>
  <c r="B5399" i="1"/>
  <c r="C5399" i="1"/>
  <c r="D5399" i="1"/>
  <c r="E5399" i="1"/>
  <c r="A5400" i="1"/>
  <c r="B5400" i="1"/>
  <c r="C5400" i="1"/>
  <c r="D5400" i="1"/>
  <c r="E5400" i="1"/>
  <c r="A5401" i="1"/>
  <c r="B5401" i="1"/>
  <c r="C5401" i="1"/>
  <c r="D5401" i="1"/>
  <c r="E5401" i="1"/>
  <c r="A5402" i="1"/>
  <c r="B5402" i="1"/>
  <c r="C5402" i="1"/>
  <c r="D5402" i="1"/>
  <c r="E5402" i="1"/>
  <c r="A5403" i="1"/>
  <c r="B5403" i="1"/>
  <c r="C5403" i="1"/>
  <c r="D5403" i="1"/>
  <c r="E5403" i="1"/>
  <c r="A5404" i="1"/>
  <c r="B5404" i="1"/>
  <c r="C5404" i="1"/>
  <c r="D5404" i="1"/>
  <c r="E5404" i="1"/>
  <c r="A5405" i="1"/>
  <c r="B5405" i="1"/>
  <c r="C5405" i="1"/>
  <c r="D5405" i="1"/>
  <c r="E5405" i="1"/>
  <c r="A5406" i="1"/>
  <c r="B5406" i="1"/>
  <c r="C5406" i="1"/>
  <c r="D5406" i="1"/>
  <c r="E5406" i="1"/>
  <c r="A5407" i="1"/>
  <c r="B5407" i="1"/>
  <c r="C5407" i="1"/>
  <c r="D5407" i="1"/>
  <c r="E5407" i="1"/>
  <c r="A5408" i="1"/>
  <c r="B5408" i="1"/>
  <c r="C5408" i="1"/>
  <c r="D5408" i="1"/>
  <c r="E5408" i="1"/>
  <c r="A5409" i="1"/>
  <c r="B5409" i="1"/>
  <c r="C5409" i="1"/>
  <c r="D5409" i="1"/>
  <c r="E5409" i="1"/>
  <c r="A5410" i="1"/>
  <c r="B5410" i="1"/>
  <c r="C5410" i="1"/>
  <c r="D5410" i="1"/>
  <c r="E5410" i="1"/>
  <c r="A5411" i="1"/>
  <c r="B5411" i="1"/>
  <c r="C5411" i="1"/>
  <c r="D5411" i="1"/>
  <c r="E5411" i="1"/>
  <c r="A5412" i="1"/>
  <c r="B5412" i="1"/>
  <c r="C5412" i="1"/>
  <c r="D5412" i="1"/>
  <c r="E5412" i="1"/>
  <c r="A5413" i="1"/>
  <c r="B5413" i="1"/>
  <c r="C5413" i="1"/>
  <c r="D5413" i="1"/>
  <c r="E5413" i="1"/>
  <c r="A5414" i="1"/>
  <c r="B5414" i="1"/>
  <c r="C5414" i="1"/>
  <c r="D5414" i="1"/>
  <c r="E5414" i="1"/>
  <c r="A5415" i="1"/>
  <c r="B5415" i="1"/>
  <c r="C5415" i="1"/>
  <c r="D5415" i="1"/>
  <c r="E5415" i="1"/>
  <c r="A5416" i="1"/>
  <c r="B5416" i="1"/>
  <c r="C5416" i="1"/>
  <c r="D5416" i="1"/>
  <c r="E5416" i="1"/>
  <c r="A5417" i="1"/>
  <c r="B5417" i="1"/>
  <c r="C5417" i="1"/>
  <c r="D5417" i="1"/>
  <c r="E5417" i="1"/>
  <c r="A5418" i="1"/>
  <c r="B5418" i="1"/>
  <c r="C5418" i="1"/>
  <c r="D5418" i="1"/>
  <c r="E5418" i="1"/>
  <c r="A5419" i="1"/>
  <c r="B5419" i="1"/>
  <c r="C5419" i="1"/>
  <c r="D5419" i="1"/>
  <c r="E5419" i="1"/>
  <c r="A5420" i="1"/>
  <c r="B5420" i="1"/>
  <c r="C5420" i="1"/>
  <c r="D5420" i="1"/>
  <c r="E5420" i="1"/>
  <c r="A5421" i="1"/>
  <c r="B5421" i="1"/>
  <c r="C5421" i="1"/>
  <c r="D5421" i="1"/>
  <c r="E5421" i="1"/>
  <c r="A5422" i="1"/>
  <c r="B5422" i="1"/>
  <c r="C5422" i="1"/>
  <c r="D5422" i="1"/>
  <c r="E5422" i="1"/>
  <c r="A5423" i="1"/>
  <c r="B5423" i="1"/>
  <c r="C5423" i="1"/>
  <c r="D5423" i="1"/>
  <c r="E5423" i="1"/>
  <c r="A5424" i="1"/>
  <c r="B5424" i="1"/>
  <c r="C5424" i="1"/>
  <c r="D5424" i="1"/>
  <c r="E5424" i="1"/>
  <c r="A5425" i="1"/>
  <c r="B5425" i="1"/>
  <c r="C5425" i="1"/>
  <c r="D5425" i="1"/>
  <c r="E5425" i="1"/>
  <c r="A5426" i="1"/>
  <c r="B5426" i="1"/>
  <c r="C5426" i="1"/>
  <c r="D5426" i="1"/>
  <c r="E5426" i="1"/>
  <c r="A5427" i="1"/>
  <c r="B5427" i="1"/>
  <c r="C5427" i="1"/>
  <c r="D5427" i="1"/>
  <c r="E5427" i="1"/>
  <c r="A5428" i="1"/>
  <c r="B5428" i="1"/>
  <c r="C5428" i="1"/>
  <c r="D5428" i="1"/>
  <c r="E5428" i="1"/>
  <c r="A5429" i="1"/>
  <c r="B5429" i="1"/>
  <c r="C5429" i="1"/>
  <c r="D5429" i="1"/>
  <c r="E5429" i="1"/>
  <c r="A5430" i="1"/>
  <c r="B5430" i="1"/>
  <c r="C5430" i="1"/>
  <c r="D5430" i="1"/>
  <c r="E5430" i="1"/>
  <c r="A5431" i="1"/>
  <c r="B5431" i="1"/>
  <c r="C5431" i="1"/>
  <c r="D5431" i="1"/>
  <c r="E5431" i="1"/>
  <c r="A5432" i="1"/>
  <c r="B5432" i="1"/>
  <c r="C5432" i="1"/>
  <c r="D5432" i="1"/>
  <c r="E5432" i="1"/>
  <c r="A5433" i="1"/>
  <c r="B5433" i="1"/>
  <c r="C5433" i="1"/>
  <c r="D5433" i="1"/>
  <c r="E5433" i="1"/>
  <c r="A5434" i="1"/>
  <c r="B5434" i="1"/>
  <c r="C5434" i="1"/>
  <c r="D5434" i="1"/>
  <c r="E5434" i="1"/>
  <c r="A5435" i="1"/>
  <c r="B5435" i="1"/>
  <c r="C5435" i="1"/>
  <c r="D5435" i="1"/>
  <c r="E5435" i="1"/>
  <c r="A5436" i="1"/>
  <c r="B5436" i="1"/>
  <c r="C5436" i="1"/>
  <c r="D5436" i="1"/>
  <c r="E5436" i="1"/>
  <c r="A5437" i="1"/>
  <c r="B5437" i="1"/>
  <c r="C5437" i="1"/>
  <c r="D5437" i="1"/>
  <c r="E5437" i="1"/>
  <c r="A5438" i="1"/>
  <c r="B5438" i="1"/>
  <c r="C5438" i="1"/>
  <c r="D5438" i="1"/>
  <c r="E5438" i="1"/>
  <c r="A5439" i="1"/>
  <c r="B5439" i="1"/>
  <c r="C5439" i="1"/>
  <c r="D5439" i="1"/>
  <c r="E5439" i="1"/>
  <c r="A5440" i="1"/>
  <c r="B5440" i="1"/>
  <c r="C5440" i="1"/>
  <c r="D5440" i="1"/>
  <c r="E5440" i="1"/>
  <c r="A5441" i="1"/>
  <c r="B5441" i="1"/>
  <c r="C5441" i="1"/>
  <c r="D5441" i="1"/>
  <c r="E5441" i="1"/>
  <c r="A5442" i="1"/>
  <c r="B5442" i="1"/>
  <c r="C5442" i="1"/>
  <c r="D5442" i="1"/>
  <c r="E5442" i="1"/>
  <c r="A5443" i="1"/>
  <c r="B5443" i="1"/>
  <c r="C5443" i="1"/>
  <c r="D5443" i="1"/>
  <c r="E5443" i="1"/>
  <c r="A5444" i="1"/>
  <c r="B5444" i="1"/>
  <c r="C5444" i="1"/>
  <c r="D5444" i="1"/>
  <c r="E5444" i="1"/>
  <c r="A5445" i="1"/>
  <c r="B5445" i="1"/>
  <c r="C5445" i="1"/>
  <c r="D5445" i="1"/>
  <c r="E5445" i="1"/>
  <c r="A5446" i="1"/>
  <c r="B5446" i="1"/>
  <c r="C5446" i="1"/>
  <c r="D5446" i="1"/>
  <c r="E5446" i="1"/>
  <c r="A5447" i="1"/>
  <c r="B5447" i="1"/>
  <c r="C5447" i="1"/>
  <c r="D5447" i="1"/>
  <c r="E5447" i="1"/>
  <c r="A5448" i="1"/>
  <c r="B5448" i="1"/>
  <c r="C5448" i="1"/>
  <c r="D5448" i="1"/>
  <c r="E5448" i="1"/>
  <c r="A5449" i="1"/>
  <c r="B5449" i="1"/>
  <c r="C5449" i="1"/>
  <c r="D5449" i="1"/>
  <c r="E5449" i="1"/>
  <c r="A5450" i="1"/>
  <c r="B5450" i="1"/>
  <c r="C5450" i="1"/>
  <c r="D5450" i="1"/>
  <c r="E5450" i="1"/>
  <c r="A5451" i="1"/>
  <c r="B5451" i="1"/>
  <c r="C5451" i="1"/>
  <c r="D5451" i="1"/>
  <c r="E5451" i="1"/>
  <c r="A5452" i="1"/>
  <c r="B5452" i="1"/>
  <c r="C5452" i="1"/>
  <c r="D5452" i="1"/>
  <c r="E5452" i="1"/>
  <c r="A5453" i="1"/>
  <c r="B5453" i="1"/>
  <c r="C5453" i="1"/>
  <c r="D5453" i="1"/>
  <c r="E5453" i="1"/>
  <c r="A5454" i="1"/>
  <c r="B5454" i="1"/>
  <c r="C5454" i="1"/>
  <c r="D5454" i="1"/>
  <c r="E5454" i="1"/>
  <c r="A5455" i="1"/>
  <c r="B5455" i="1"/>
  <c r="C5455" i="1"/>
  <c r="D5455" i="1"/>
  <c r="E5455" i="1"/>
  <c r="A5456" i="1"/>
  <c r="B5456" i="1"/>
  <c r="C5456" i="1"/>
  <c r="D5456" i="1"/>
  <c r="E5456" i="1"/>
  <c r="A5457" i="1"/>
  <c r="B5457" i="1"/>
  <c r="C5457" i="1"/>
  <c r="D5457" i="1"/>
  <c r="E5457" i="1"/>
  <c r="A5458" i="1"/>
  <c r="B5458" i="1"/>
  <c r="C5458" i="1"/>
  <c r="D5458" i="1"/>
  <c r="E5458" i="1"/>
  <c r="A5459" i="1"/>
  <c r="B5459" i="1"/>
  <c r="C5459" i="1"/>
  <c r="D5459" i="1"/>
  <c r="E5459" i="1"/>
  <c r="A5460" i="1"/>
  <c r="B5460" i="1"/>
  <c r="C5460" i="1"/>
  <c r="D5460" i="1"/>
  <c r="E5460" i="1"/>
  <c r="A5461" i="1"/>
  <c r="B5461" i="1"/>
  <c r="C5461" i="1"/>
  <c r="D5461" i="1"/>
  <c r="E5461" i="1"/>
  <c r="A5462" i="1"/>
  <c r="B5462" i="1"/>
  <c r="C5462" i="1"/>
  <c r="D5462" i="1"/>
  <c r="E5462" i="1"/>
  <c r="A5463" i="1"/>
  <c r="B5463" i="1"/>
  <c r="C5463" i="1"/>
  <c r="D5463" i="1"/>
  <c r="E5463" i="1"/>
  <c r="A5464" i="1"/>
  <c r="B5464" i="1"/>
  <c r="C5464" i="1"/>
  <c r="D5464" i="1"/>
  <c r="E5464" i="1"/>
  <c r="A5465" i="1"/>
  <c r="B5465" i="1"/>
  <c r="C5465" i="1"/>
  <c r="D5465" i="1"/>
  <c r="E5465" i="1"/>
  <c r="A5466" i="1"/>
  <c r="B5466" i="1"/>
  <c r="C5466" i="1"/>
  <c r="D5466" i="1"/>
  <c r="E5466" i="1"/>
  <c r="A5467" i="1"/>
  <c r="B5467" i="1"/>
  <c r="C5467" i="1"/>
  <c r="D5467" i="1"/>
  <c r="E5467" i="1"/>
  <c r="A5468" i="1"/>
  <c r="B5468" i="1"/>
  <c r="C5468" i="1"/>
  <c r="D5468" i="1"/>
  <c r="E5468" i="1"/>
  <c r="A5469" i="1"/>
  <c r="B5469" i="1"/>
  <c r="C5469" i="1"/>
  <c r="D5469" i="1"/>
  <c r="E5469" i="1"/>
  <c r="A5470" i="1"/>
  <c r="B5470" i="1"/>
  <c r="C5470" i="1"/>
  <c r="D5470" i="1"/>
  <c r="E5470" i="1"/>
  <c r="A5471" i="1"/>
  <c r="B5471" i="1"/>
  <c r="C5471" i="1"/>
  <c r="D5471" i="1"/>
  <c r="E5471" i="1"/>
  <c r="A5472" i="1"/>
  <c r="B5472" i="1"/>
  <c r="C5472" i="1"/>
  <c r="D5472" i="1"/>
  <c r="E5472" i="1"/>
  <c r="A5473" i="1"/>
  <c r="B5473" i="1"/>
  <c r="C5473" i="1"/>
  <c r="D5473" i="1"/>
  <c r="E5473" i="1"/>
  <c r="A5474" i="1"/>
  <c r="B5474" i="1"/>
  <c r="C5474" i="1"/>
  <c r="D5474" i="1"/>
  <c r="E5474" i="1"/>
  <c r="A5475" i="1"/>
  <c r="B5475" i="1"/>
  <c r="C5475" i="1"/>
  <c r="D5475" i="1"/>
  <c r="E5475" i="1"/>
  <c r="A5476" i="1"/>
  <c r="B5476" i="1"/>
  <c r="C5476" i="1"/>
  <c r="D5476" i="1"/>
  <c r="E5476" i="1"/>
  <c r="A5477" i="1"/>
  <c r="B5477" i="1"/>
  <c r="C5477" i="1"/>
  <c r="D5477" i="1"/>
  <c r="E5477" i="1"/>
  <c r="A5478" i="1"/>
  <c r="B5478" i="1"/>
  <c r="C5478" i="1"/>
  <c r="D5478" i="1"/>
  <c r="E5478" i="1"/>
  <c r="A5479" i="1"/>
  <c r="B5479" i="1"/>
  <c r="C5479" i="1"/>
  <c r="D5479" i="1"/>
  <c r="E5479" i="1"/>
  <c r="A5480" i="1"/>
  <c r="B5480" i="1"/>
  <c r="C5480" i="1"/>
  <c r="D5480" i="1"/>
  <c r="E5480" i="1"/>
  <c r="A5481" i="1"/>
  <c r="B5481" i="1"/>
  <c r="C5481" i="1"/>
  <c r="D5481" i="1"/>
  <c r="E5481" i="1"/>
  <c r="A5482" i="1"/>
  <c r="B5482" i="1"/>
  <c r="C5482" i="1"/>
  <c r="D5482" i="1"/>
  <c r="E5482" i="1"/>
  <c r="A5483" i="1"/>
  <c r="B5483" i="1"/>
  <c r="C5483" i="1"/>
  <c r="D5483" i="1"/>
  <c r="E5483" i="1"/>
  <c r="A5484" i="1"/>
  <c r="B5484" i="1"/>
  <c r="C5484" i="1"/>
  <c r="D5484" i="1"/>
  <c r="E5484" i="1"/>
  <c r="A5485" i="1"/>
  <c r="B5485" i="1"/>
  <c r="C5485" i="1"/>
  <c r="D5485" i="1"/>
  <c r="E5485" i="1"/>
  <c r="A5486" i="1"/>
  <c r="B5486" i="1"/>
  <c r="C5486" i="1"/>
  <c r="D5486" i="1"/>
  <c r="E5486" i="1"/>
  <c r="A5487" i="1"/>
  <c r="B5487" i="1"/>
  <c r="C5487" i="1"/>
  <c r="D5487" i="1"/>
  <c r="E5487" i="1"/>
  <c r="A5488" i="1"/>
  <c r="B5488" i="1"/>
  <c r="C5488" i="1"/>
  <c r="D5488" i="1"/>
  <c r="E5488" i="1"/>
  <c r="A5489" i="1"/>
  <c r="B5489" i="1"/>
  <c r="C5489" i="1"/>
  <c r="D5489" i="1"/>
  <c r="E5489" i="1"/>
  <c r="A5490" i="1"/>
  <c r="B5490" i="1"/>
  <c r="C5490" i="1"/>
  <c r="D5490" i="1"/>
  <c r="E5490" i="1"/>
  <c r="A5491" i="1"/>
  <c r="B5491" i="1"/>
  <c r="C5491" i="1"/>
  <c r="D5491" i="1"/>
  <c r="E5491" i="1"/>
  <c r="A5492" i="1"/>
  <c r="B5492" i="1"/>
  <c r="C5492" i="1"/>
  <c r="D5492" i="1"/>
  <c r="E5492" i="1"/>
  <c r="A5493" i="1"/>
  <c r="B5493" i="1"/>
  <c r="C5493" i="1"/>
  <c r="D5493" i="1"/>
  <c r="E5493" i="1"/>
  <c r="A5494" i="1"/>
  <c r="B5494" i="1"/>
  <c r="C5494" i="1"/>
  <c r="D5494" i="1"/>
  <c r="E5494" i="1"/>
  <c r="A5495" i="1"/>
  <c r="B5495" i="1"/>
  <c r="C5495" i="1"/>
  <c r="D5495" i="1"/>
  <c r="E5495" i="1"/>
  <c r="A5496" i="1"/>
  <c r="B5496" i="1"/>
  <c r="C5496" i="1"/>
  <c r="D5496" i="1"/>
  <c r="E5496" i="1"/>
  <c r="A5497" i="1"/>
  <c r="B5497" i="1"/>
  <c r="C5497" i="1"/>
  <c r="D5497" i="1"/>
  <c r="E5497" i="1"/>
  <c r="A5498" i="1"/>
  <c r="B5498" i="1"/>
  <c r="C5498" i="1"/>
  <c r="D5498" i="1"/>
  <c r="E5498" i="1"/>
  <c r="A5499" i="1"/>
  <c r="B5499" i="1"/>
  <c r="C5499" i="1"/>
  <c r="D5499" i="1"/>
  <c r="E5499" i="1"/>
  <c r="A5500" i="1"/>
  <c r="B5500" i="1"/>
  <c r="C5500" i="1"/>
  <c r="D5500" i="1"/>
  <c r="E5500" i="1"/>
  <c r="A5501" i="1"/>
  <c r="B5501" i="1"/>
  <c r="C5501" i="1"/>
  <c r="D5501" i="1"/>
  <c r="E5501" i="1"/>
  <c r="A5502" i="1"/>
  <c r="B5502" i="1"/>
  <c r="C5502" i="1"/>
  <c r="D5502" i="1"/>
  <c r="E5502" i="1"/>
  <c r="A5503" i="1"/>
  <c r="B5503" i="1"/>
  <c r="C5503" i="1"/>
  <c r="D5503" i="1"/>
  <c r="E5503" i="1"/>
  <c r="A5504" i="1"/>
  <c r="B5504" i="1"/>
  <c r="C5504" i="1"/>
  <c r="D5504" i="1"/>
  <c r="E5504" i="1"/>
  <c r="A5505" i="1"/>
  <c r="B5505" i="1"/>
  <c r="C5505" i="1"/>
  <c r="D5505" i="1"/>
  <c r="E5505" i="1"/>
  <c r="A5506" i="1"/>
  <c r="B5506" i="1"/>
  <c r="C5506" i="1"/>
  <c r="D5506" i="1"/>
  <c r="E5506" i="1"/>
  <c r="A5507" i="1"/>
  <c r="B5507" i="1"/>
  <c r="C5507" i="1"/>
  <c r="D5507" i="1"/>
  <c r="E5507" i="1"/>
  <c r="A5508" i="1"/>
  <c r="B5508" i="1"/>
  <c r="C5508" i="1"/>
  <c r="D5508" i="1"/>
  <c r="E5508" i="1"/>
  <c r="A5509" i="1"/>
  <c r="B5509" i="1"/>
  <c r="C5509" i="1"/>
  <c r="D5509" i="1"/>
  <c r="E5509" i="1"/>
  <c r="A5510" i="1"/>
  <c r="B5510" i="1"/>
  <c r="C5510" i="1"/>
  <c r="D5510" i="1"/>
  <c r="E5510" i="1"/>
  <c r="A5511" i="1"/>
  <c r="B5511" i="1"/>
  <c r="C5511" i="1"/>
  <c r="D5511" i="1"/>
  <c r="E5511" i="1"/>
  <c r="A5512" i="1"/>
  <c r="B5512" i="1"/>
  <c r="C5512" i="1"/>
  <c r="D5512" i="1"/>
  <c r="E5512" i="1"/>
  <c r="A5513" i="1"/>
  <c r="B5513" i="1"/>
  <c r="C5513" i="1"/>
  <c r="D5513" i="1"/>
  <c r="E5513" i="1"/>
  <c r="A5514" i="1"/>
  <c r="B5514" i="1"/>
  <c r="C5514" i="1"/>
  <c r="D5514" i="1"/>
  <c r="E5514" i="1"/>
  <c r="A5515" i="1"/>
  <c r="B5515" i="1"/>
  <c r="C5515" i="1"/>
  <c r="D5515" i="1"/>
  <c r="E5515" i="1"/>
  <c r="A5516" i="1"/>
  <c r="B5516" i="1"/>
  <c r="C5516" i="1"/>
  <c r="D5516" i="1"/>
  <c r="E5516" i="1"/>
  <c r="A5517" i="1"/>
  <c r="B5517" i="1"/>
  <c r="C5517" i="1"/>
  <c r="D5517" i="1"/>
  <c r="E5517" i="1"/>
  <c r="A5518" i="1"/>
  <c r="B5518" i="1"/>
  <c r="C5518" i="1"/>
  <c r="D5518" i="1"/>
  <c r="E5518" i="1"/>
  <c r="A5519" i="1"/>
  <c r="B5519" i="1"/>
  <c r="C5519" i="1"/>
  <c r="D5519" i="1"/>
  <c r="E5519" i="1"/>
  <c r="A5520" i="1"/>
  <c r="B5520" i="1"/>
  <c r="C5520" i="1"/>
  <c r="D5520" i="1"/>
  <c r="E5520" i="1"/>
  <c r="A5521" i="1"/>
  <c r="B5521" i="1"/>
  <c r="C5521" i="1"/>
  <c r="D5521" i="1"/>
  <c r="E5521" i="1"/>
  <c r="A5522" i="1"/>
  <c r="B5522" i="1"/>
  <c r="C5522" i="1"/>
  <c r="D5522" i="1"/>
  <c r="E5522" i="1"/>
  <c r="A5523" i="1"/>
  <c r="B5523" i="1"/>
  <c r="C5523" i="1"/>
  <c r="D5523" i="1"/>
  <c r="E5523" i="1"/>
  <c r="A5524" i="1"/>
  <c r="B5524" i="1"/>
  <c r="C5524" i="1"/>
  <c r="D5524" i="1"/>
  <c r="E5524" i="1"/>
  <c r="A5525" i="1"/>
  <c r="B5525" i="1"/>
  <c r="C5525" i="1"/>
  <c r="D5525" i="1"/>
  <c r="E5525" i="1"/>
  <c r="A5526" i="1"/>
  <c r="B5526" i="1"/>
  <c r="C5526" i="1"/>
  <c r="D5526" i="1"/>
  <c r="E5526" i="1"/>
  <c r="A5527" i="1"/>
  <c r="B5527" i="1"/>
  <c r="C5527" i="1"/>
  <c r="D5527" i="1"/>
  <c r="E5527" i="1"/>
  <c r="A5528" i="1"/>
  <c r="B5528" i="1"/>
  <c r="C5528" i="1"/>
  <c r="D5528" i="1"/>
  <c r="E5528" i="1"/>
  <c r="A5529" i="1"/>
  <c r="B5529" i="1"/>
  <c r="C5529" i="1"/>
  <c r="D5529" i="1"/>
  <c r="E5529" i="1"/>
  <c r="A5530" i="1"/>
  <c r="B5530" i="1"/>
  <c r="C5530" i="1"/>
  <c r="D5530" i="1"/>
  <c r="E5530" i="1"/>
  <c r="A5531" i="1"/>
  <c r="B5531" i="1"/>
  <c r="C5531" i="1"/>
  <c r="D5531" i="1"/>
  <c r="E5531" i="1"/>
  <c r="A5532" i="1"/>
  <c r="B5532" i="1"/>
  <c r="C5532" i="1"/>
  <c r="D5532" i="1"/>
  <c r="E5532" i="1"/>
  <c r="A5533" i="1"/>
  <c r="B5533" i="1"/>
  <c r="C5533" i="1"/>
  <c r="D5533" i="1"/>
  <c r="E5533" i="1"/>
  <c r="A5534" i="1"/>
  <c r="B5534" i="1"/>
  <c r="C5534" i="1"/>
  <c r="D5534" i="1"/>
  <c r="E5534" i="1"/>
  <c r="A5535" i="1"/>
  <c r="B5535" i="1"/>
  <c r="C5535" i="1"/>
  <c r="D5535" i="1"/>
  <c r="E5535" i="1"/>
  <c r="A5536" i="1"/>
  <c r="B5536" i="1"/>
  <c r="C5536" i="1"/>
  <c r="D5536" i="1"/>
  <c r="E5536" i="1"/>
  <c r="A5537" i="1"/>
  <c r="B5537" i="1"/>
  <c r="C5537" i="1"/>
  <c r="D5537" i="1"/>
  <c r="E5537" i="1"/>
  <c r="A5538" i="1"/>
  <c r="B5538" i="1"/>
  <c r="C5538" i="1"/>
  <c r="D5538" i="1"/>
  <c r="E5538" i="1"/>
  <c r="A5539" i="1"/>
  <c r="B5539" i="1"/>
  <c r="C5539" i="1"/>
  <c r="D5539" i="1"/>
  <c r="E5539" i="1"/>
  <c r="A5540" i="1"/>
  <c r="B5540" i="1"/>
  <c r="C5540" i="1"/>
  <c r="D5540" i="1"/>
  <c r="E5540" i="1"/>
  <c r="A5541" i="1"/>
  <c r="B5541" i="1"/>
  <c r="C5541" i="1"/>
  <c r="D5541" i="1"/>
  <c r="E5541" i="1"/>
  <c r="A5542" i="1"/>
  <c r="B5542" i="1"/>
  <c r="C5542" i="1"/>
  <c r="D5542" i="1"/>
  <c r="E5542" i="1"/>
  <c r="A5543" i="1"/>
  <c r="B5543" i="1"/>
  <c r="C5543" i="1"/>
  <c r="D5543" i="1"/>
  <c r="E5543" i="1"/>
  <c r="A5544" i="1"/>
  <c r="B5544" i="1"/>
  <c r="C5544" i="1"/>
  <c r="D5544" i="1"/>
  <c r="E5544" i="1"/>
  <c r="A5545" i="1"/>
  <c r="B5545" i="1"/>
  <c r="C5545" i="1"/>
  <c r="D5545" i="1"/>
  <c r="E5545" i="1"/>
  <c r="A5546" i="1"/>
  <c r="B5546" i="1"/>
  <c r="C5546" i="1"/>
  <c r="D5546" i="1"/>
  <c r="E5546" i="1"/>
  <c r="A5547" i="1"/>
  <c r="B5547" i="1"/>
  <c r="C5547" i="1"/>
  <c r="D5547" i="1"/>
  <c r="E5547" i="1"/>
  <c r="A5548" i="1"/>
  <c r="B5548" i="1"/>
  <c r="C5548" i="1"/>
  <c r="D5548" i="1"/>
  <c r="E5548" i="1"/>
  <c r="A5549" i="1"/>
  <c r="B5549" i="1"/>
  <c r="C5549" i="1"/>
  <c r="D5549" i="1"/>
  <c r="E5549" i="1"/>
  <c r="A5550" i="1"/>
  <c r="B5550" i="1"/>
  <c r="C5550" i="1"/>
  <c r="D5550" i="1"/>
  <c r="E5550" i="1"/>
  <c r="A5551" i="1"/>
  <c r="B5551" i="1"/>
  <c r="C5551" i="1"/>
  <c r="D5551" i="1"/>
  <c r="E5551" i="1"/>
  <c r="A5552" i="1"/>
  <c r="B5552" i="1"/>
  <c r="C5552" i="1"/>
  <c r="D5552" i="1"/>
  <c r="E5552" i="1"/>
  <c r="A5553" i="1"/>
  <c r="B5553" i="1"/>
  <c r="C5553" i="1"/>
  <c r="D5553" i="1"/>
  <c r="E5553" i="1"/>
  <c r="A5554" i="1"/>
  <c r="B5554" i="1"/>
  <c r="C5554" i="1"/>
  <c r="D5554" i="1"/>
  <c r="E5554" i="1"/>
  <c r="A5555" i="1"/>
  <c r="B5555" i="1"/>
  <c r="C5555" i="1"/>
  <c r="D5555" i="1"/>
  <c r="E5555" i="1"/>
  <c r="A5556" i="1"/>
  <c r="B5556" i="1"/>
  <c r="C5556" i="1"/>
  <c r="D5556" i="1"/>
  <c r="E5556" i="1"/>
  <c r="A5557" i="1"/>
  <c r="B5557" i="1"/>
  <c r="C5557" i="1"/>
  <c r="D5557" i="1"/>
  <c r="E5557" i="1"/>
  <c r="A5558" i="1"/>
  <c r="B5558" i="1"/>
  <c r="C5558" i="1"/>
  <c r="D5558" i="1"/>
  <c r="E5558" i="1"/>
  <c r="A5559" i="1"/>
  <c r="B5559" i="1"/>
  <c r="C5559" i="1"/>
  <c r="D5559" i="1"/>
  <c r="E5559" i="1"/>
  <c r="A5560" i="1"/>
  <c r="B5560" i="1"/>
  <c r="C5560" i="1"/>
  <c r="D5560" i="1"/>
  <c r="E5560" i="1"/>
  <c r="A5561" i="1"/>
  <c r="B5561" i="1"/>
  <c r="C5561" i="1"/>
  <c r="D5561" i="1"/>
  <c r="E5561" i="1"/>
  <c r="A5562" i="1"/>
  <c r="B5562" i="1"/>
  <c r="C5562" i="1"/>
  <c r="D5562" i="1"/>
  <c r="E5562" i="1"/>
  <c r="A5563" i="1"/>
  <c r="B5563" i="1"/>
  <c r="C5563" i="1"/>
  <c r="D5563" i="1"/>
  <c r="E5563" i="1"/>
  <c r="A5564" i="1"/>
  <c r="B5564" i="1"/>
  <c r="C5564" i="1"/>
  <c r="D5564" i="1"/>
  <c r="E5564" i="1"/>
  <c r="A5565" i="1"/>
  <c r="B5565" i="1"/>
  <c r="C5565" i="1"/>
  <c r="D5565" i="1"/>
  <c r="E5565" i="1"/>
  <c r="A5566" i="1"/>
  <c r="B5566" i="1"/>
  <c r="C5566" i="1"/>
  <c r="D5566" i="1"/>
  <c r="E5566" i="1"/>
  <c r="A5567" i="1"/>
  <c r="B5567" i="1"/>
  <c r="C5567" i="1"/>
  <c r="D5567" i="1"/>
  <c r="E5567" i="1"/>
  <c r="A5568" i="1"/>
  <c r="B5568" i="1"/>
  <c r="C5568" i="1"/>
  <c r="D5568" i="1"/>
  <c r="E5568" i="1"/>
  <c r="A5569" i="1"/>
  <c r="B5569" i="1"/>
  <c r="C5569" i="1"/>
  <c r="D5569" i="1"/>
  <c r="E5569" i="1"/>
  <c r="A5570" i="1"/>
  <c r="B5570" i="1"/>
  <c r="C5570" i="1"/>
  <c r="D5570" i="1"/>
  <c r="E5570" i="1"/>
  <c r="A5571" i="1"/>
  <c r="B5571" i="1"/>
  <c r="C5571" i="1"/>
  <c r="D5571" i="1"/>
  <c r="E5571" i="1"/>
  <c r="A5572" i="1"/>
  <c r="B5572" i="1"/>
  <c r="C5572" i="1"/>
  <c r="D5572" i="1"/>
  <c r="E5572" i="1"/>
  <c r="A5573" i="1"/>
  <c r="B5573" i="1"/>
  <c r="C5573" i="1"/>
  <c r="D5573" i="1"/>
  <c r="E5573" i="1"/>
  <c r="A5574" i="1"/>
  <c r="B5574" i="1"/>
  <c r="C5574" i="1"/>
  <c r="D5574" i="1"/>
  <c r="E5574" i="1"/>
  <c r="A5575" i="1"/>
  <c r="B5575" i="1"/>
  <c r="C5575" i="1"/>
  <c r="D5575" i="1"/>
  <c r="E5575" i="1"/>
  <c r="A5576" i="1"/>
  <c r="B5576" i="1"/>
  <c r="C5576" i="1"/>
  <c r="D5576" i="1"/>
  <c r="E5576" i="1"/>
  <c r="A5577" i="1"/>
  <c r="B5577" i="1"/>
  <c r="C5577" i="1"/>
  <c r="D5577" i="1"/>
  <c r="E5577" i="1"/>
  <c r="A5578" i="1"/>
  <c r="B5578" i="1"/>
  <c r="C5578" i="1"/>
  <c r="D5578" i="1"/>
  <c r="E5578" i="1"/>
  <c r="A5579" i="1"/>
  <c r="B5579" i="1"/>
  <c r="C5579" i="1"/>
  <c r="D5579" i="1"/>
  <c r="E5579" i="1"/>
  <c r="A5580" i="1"/>
  <c r="B5580" i="1"/>
  <c r="C5580" i="1"/>
  <c r="D5580" i="1"/>
  <c r="E5580" i="1"/>
  <c r="A5581" i="1"/>
  <c r="B5581" i="1"/>
  <c r="C5581" i="1"/>
  <c r="D5581" i="1"/>
  <c r="E5581" i="1"/>
  <c r="A5582" i="1"/>
  <c r="B5582" i="1"/>
  <c r="C5582" i="1"/>
  <c r="D5582" i="1"/>
  <c r="E5582" i="1"/>
  <c r="A5583" i="1"/>
  <c r="B5583" i="1"/>
  <c r="C5583" i="1"/>
  <c r="D5583" i="1"/>
  <c r="E5583" i="1"/>
  <c r="A5584" i="1"/>
  <c r="B5584" i="1"/>
  <c r="C5584" i="1"/>
  <c r="D5584" i="1"/>
  <c r="E5584" i="1"/>
  <c r="A5585" i="1"/>
  <c r="B5585" i="1"/>
  <c r="C5585" i="1"/>
  <c r="D5585" i="1"/>
  <c r="E5585" i="1"/>
  <c r="A5586" i="1"/>
  <c r="B5586" i="1"/>
  <c r="C5586" i="1"/>
  <c r="D5586" i="1"/>
  <c r="E5586" i="1"/>
  <c r="A5587" i="1"/>
  <c r="B5587" i="1"/>
  <c r="C5587" i="1"/>
  <c r="D5587" i="1"/>
  <c r="E5587" i="1"/>
  <c r="A5588" i="1"/>
  <c r="B5588" i="1"/>
  <c r="C5588" i="1"/>
  <c r="D5588" i="1"/>
  <c r="E5588" i="1"/>
  <c r="A5589" i="1"/>
  <c r="B5589" i="1"/>
  <c r="C5589" i="1"/>
  <c r="D5589" i="1"/>
  <c r="E5589" i="1"/>
  <c r="A5590" i="1"/>
  <c r="B5590" i="1"/>
  <c r="C5590" i="1"/>
  <c r="D5590" i="1"/>
  <c r="E5590" i="1"/>
  <c r="A5591" i="1"/>
  <c r="B5591" i="1"/>
  <c r="C5591" i="1"/>
  <c r="D5591" i="1"/>
  <c r="E5591" i="1"/>
  <c r="A5592" i="1"/>
  <c r="B5592" i="1"/>
  <c r="C5592" i="1"/>
  <c r="D5592" i="1"/>
  <c r="E5592" i="1"/>
  <c r="A5593" i="1"/>
  <c r="B5593" i="1"/>
  <c r="C5593" i="1"/>
  <c r="D5593" i="1"/>
  <c r="E5593" i="1"/>
  <c r="A5594" i="1"/>
  <c r="B5594" i="1"/>
  <c r="C5594" i="1"/>
  <c r="D5594" i="1"/>
  <c r="E5594" i="1"/>
  <c r="A5595" i="1"/>
  <c r="B5595" i="1"/>
  <c r="C5595" i="1"/>
  <c r="D5595" i="1"/>
  <c r="E5595" i="1"/>
  <c r="A5596" i="1"/>
  <c r="B5596" i="1"/>
  <c r="C5596" i="1"/>
  <c r="D5596" i="1"/>
  <c r="E5596" i="1"/>
  <c r="A5597" i="1"/>
  <c r="B5597" i="1"/>
  <c r="C5597" i="1"/>
  <c r="D5597" i="1"/>
  <c r="E5597" i="1"/>
  <c r="A5598" i="1"/>
  <c r="B5598" i="1"/>
  <c r="C5598" i="1"/>
  <c r="D5598" i="1"/>
  <c r="E5598" i="1"/>
  <c r="A5599" i="1"/>
  <c r="B5599" i="1"/>
  <c r="C5599" i="1"/>
  <c r="D5599" i="1"/>
  <c r="E5599" i="1"/>
  <c r="A5600" i="1"/>
  <c r="B5600" i="1"/>
  <c r="C5600" i="1"/>
  <c r="D5600" i="1"/>
  <c r="E5600" i="1"/>
  <c r="A5601" i="1"/>
  <c r="B5601" i="1"/>
  <c r="C5601" i="1"/>
  <c r="D5601" i="1"/>
  <c r="E5601" i="1"/>
  <c r="A5602" i="1"/>
  <c r="B5602" i="1"/>
  <c r="C5602" i="1"/>
  <c r="D5602" i="1"/>
  <c r="E5602" i="1"/>
  <c r="A5603" i="1"/>
  <c r="B5603" i="1"/>
  <c r="C5603" i="1"/>
  <c r="D5603" i="1"/>
  <c r="E5603" i="1"/>
  <c r="A5604" i="1"/>
  <c r="B5604" i="1"/>
  <c r="C5604" i="1"/>
  <c r="D5604" i="1"/>
  <c r="E5604" i="1"/>
  <c r="A5605" i="1"/>
  <c r="B5605" i="1"/>
  <c r="C5605" i="1"/>
  <c r="D5605" i="1"/>
  <c r="E5605" i="1"/>
  <c r="A5606" i="1"/>
  <c r="B5606" i="1"/>
  <c r="C5606" i="1"/>
  <c r="D5606" i="1"/>
  <c r="E5606" i="1"/>
  <c r="A5607" i="1"/>
  <c r="B5607" i="1"/>
  <c r="C5607" i="1"/>
  <c r="D5607" i="1"/>
  <c r="E5607" i="1"/>
  <c r="A5608" i="1"/>
  <c r="B5608" i="1"/>
  <c r="C5608" i="1"/>
  <c r="D5608" i="1"/>
  <c r="E5608" i="1"/>
  <c r="A5609" i="1"/>
  <c r="B5609" i="1"/>
  <c r="C5609" i="1"/>
  <c r="D5609" i="1"/>
  <c r="E5609" i="1"/>
  <c r="A5610" i="1"/>
  <c r="B5610" i="1"/>
  <c r="C5610" i="1"/>
  <c r="D5610" i="1"/>
  <c r="E5610" i="1"/>
  <c r="A5611" i="1"/>
  <c r="B5611" i="1"/>
  <c r="C5611" i="1"/>
  <c r="D5611" i="1"/>
  <c r="E5611" i="1"/>
  <c r="A5612" i="1"/>
  <c r="B5612" i="1"/>
  <c r="C5612" i="1"/>
  <c r="D5612" i="1"/>
  <c r="E5612" i="1"/>
  <c r="A5613" i="1"/>
  <c r="B5613" i="1"/>
  <c r="C5613" i="1"/>
  <c r="D5613" i="1"/>
  <c r="E5613" i="1"/>
  <c r="A5614" i="1"/>
  <c r="B5614" i="1"/>
  <c r="C5614" i="1"/>
  <c r="D5614" i="1"/>
  <c r="E5614" i="1"/>
  <c r="A5615" i="1"/>
  <c r="B5615" i="1"/>
  <c r="C5615" i="1"/>
  <c r="D5615" i="1"/>
  <c r="E5615" i="1"/>
  <c r="A5616" i="1"/>
  <c r="B5616" i="1"/>
  <c r="C5616" i="1"/>
  <c r="D5616" i="1"/>
  <c r="E5616" i="1"/>
  <c r="A5617" i="1"/>
  <c r="B5617" i="1"/>
  <c r="C5617" i="1"/>
  <c r="D5617" i="1"/>
  <c r="E5617" i="1"/>
  <c r="A5618" i="1"/>
  <c r="B5618" i="1"/>
  <c r="C5618" i="1"/>
  <c r="D5618" i="1"/>
  <c r="E5618" i="1"/>
  <c r="A5619" i="1"/>
  <c r="B5619" i="1"/>
  <c r="C5619" i="1"/>
  <c r="D5619" i="1"/>
  <c r="E5619" i="1"/>
  <c r="A5620" i="1"/>
  <c r="B5620" i="1"/>
  <c r="C5620" i="1"/>
  <c r="D5620" i="1"/>
  <c r="E5620" i="1"/>
  <c r="A5621" i="1"/>
  <c r="B5621" i="1"/>
  <c r="C5621" i="1"/>
  <c r="D5621" i="1"/>
  <c r="E5621" i="1"/>
  <c r="A5622" i="1"/>
  <c r="B5622" i="1"/>
  <c r="C5622" i="1"/>
  <c r="D5622" i="1"/>
  <c r="E5622" i="1"/>
  <c r="A5623" i="1"/>
  <c r="B5623" i="1"/>
  <c r="C5623" i="1"/>
  <c r="D5623" i="1"/>
  <c r="E5623" i="1"/>
  <c r="A5624" i="1"/>
  <c r="B5624" i="1"/>
  <c r="C5624" i="1"/>
  <c r="D5624" i="1"/>
  <c r="E5624" i="1"/>
  <c r="A5625" i="1"/>
  <c r="B5625" i="1"/>
  <c r="C5625" i="1"/>
  <c r="D5625" i="1"/>
  <c r="E5625" i="1"/>
  <c r="A5626" i="1"/>
  <c r="B5626" i="1"/>
  <c r="C5626" i="1"/>
  <c r="D5626" i="1"/>
  <c r="E5626" i="1"/>
  <c r="A5627" i="1"/>
  <c r="B5627" i="1"/>
  <c r="C5627" i="1"/>
  <c r="D5627" i="1"/>
  <c r="E5627" i="1"/>
  <c r="A5628" i="1"/>
  <c r="B5628" i="1"/>
  <c r="C5628" i="1"/>
  <c r="D5628" i="1"/>
  <c r="E5628" i="1"/>
  <c r="A5629" i="1"/>
  <c r="B5629" i="1"/>
  <c r="C5629" i="1"/>
  <c r="D5629" i="1"/>
  <c r="E5629" i="1"/>
  <c r="A5630" i="1"/>
  <c r="B5630" i="1"/>
  <c r="C5630" i="1"/>
  <c r="D5630" i="1"/>
  <c r="E5630" i="1"/>
  <c r="A5631" i="1"/>
  <c r="B5631" i="1"/>
  <c r="C5631" i="1"/>
  <c r="D5631" i="1"/>
  <c r="E5631" i="1"/>
  <c r="A5632" i="1"/>
  <c r="B5632" i="1"/>
  <c r="C5632" i="1"/>
  <c r="D5632" i="1"/>
  <c r="E5632" i="1"/>
  <c r="A5633" i="1"/>
  <c r="B5633" i="1"/>
  <c r="C5633" i="1"/>
  <c r="D5633" i="1"/>
  <c r="E5633" i="1"/>
  <c r="A5634" i="1"/>
  <c r="B5634" i="1"/>
  <c r="C5634" i="1"/>
  <c r="D5634" i="1"/>
  <c r="E5634" i="1"/>
  <c r="A5635" i="1"/>
  <c r="B5635" i="1"/>
  <c r="C5635" i="1"/>
  <c r="D5635" i="1"/>
  <c r="E5635" i="1"/>
  <c r="A5636" i="1"/>
  <c r="B5636" i="1"/>
  <c r="C5636" i="1"/>
  <c r="D5636" i="1"/>
  <c r="E5636" i="1"/>
  <c r="A5637" i="1"/>
  <c r="B5637" i="1"/>
  <c r="C5637" i="1"/>
  <c r="D5637" i="1"/>
  <c r="E5637" i="1"/>
  <c r="A5638" i="1"/>
  <c r="B5638" i="1"/>
  <c r="C5638" i="1"/>
  <c r="D5638" i="1"/>
  <c r="E5638" i="1"/>
  <c r="A5639" i="1"/>
  <c r="B5639" i="1"/>
  <c r="C5639" i="1"/>
  <c r="D5639" i="1"/>
  <c r="E5639" i="1"/>
  <c r="A5640" i="1"/>
  <c r="B5640" i="1"/>
  <c r="C5640" i="1"/>
  <c r="D5640" i="1"/>
  <c r="E5640" i="1"/>
  <c r="A5641" i="1"/>
  <c r="B5641" i="1"/>
  <c r="C5641" i="1"/>
  <c r="D5641" i="1"/>
  <c r="E5641" i="1"/>
  <c r="A5642" i="1"/>
  <c r="B5642" i="1"/>
  <c r="C5642" i="1"/>
  <c r="D5642" i="1"/>
  <c r="E5642" i="1"/>
  <c r="A5643" i="1"/>
  <c r="B5643" i="1"/>
  <c r="C5643" i="1"/>
  <c r="D5643" i="1"/>
  <c r="E5643" i="1"/>
  <c r="A5644" i="1"/>
  <c r="B5644" i="1"/>
  <c r="C5644" i="1"/>
  <c r="D5644" i="1"/>
  <c r="E5644" i="1"/>
  <c r="A5645" i="1"/>
  <c r="B5645" i="1"/>
  <c r="C5645" i="1"/>
  <c r="D5645" i="1"/>
  <c r="E5645" i="1"/>
  <c r="A5646" i="1"/>
  <c r="B5646" i="1"/>
  <c r="C5646" i="1"/>
  <c r="D5646" i="1"/>
  <c r="E5646" i="1"/>
  <c r="A5647" i="1"/>
  <c r="B5647" i="1"/>
  <c r="C5647" i="1"/>
  <c r="D5647" i="1"/>
  <c r="E5647" i="1"/>
  <c r="A5648" i="1"/>
  <c r="B5648" i="1"/>
  <c r="C5648" i="1"/>
  <c r="D5648" i="1"/>
  <c r="E5648" i="1"/>
  <c r="A5649" i="1"/>
  <c r="B5649" i="1"/>
  <c r="C5649" i="1"/>
  <c r="D5649" i="1"/>
  <c r="E5649" i="1"/>
  <c r="A5650" i="1"/>
  <c r="B5650" i="1"/>
  <c r="C5650" i="1"/>
  <c r="D5650" i="1"/>
  <c r="E5650" i="1"/>
  <c r="A5651" i="1"/>
  <c r="B5651" i="1"/>
  <c r="C5651" i="1"/>
  <c r="D5651" i="1"/>
  <c r="E5651" i="1"/>
  <c r="A5652" i="1"/>
  <c r="B5652" i="1"/>
  <c r="C5652" i="1"/>
  <c r="D5652" i="1"/>
  <c r="E5652" i="1"/>
  <c r="A5653" i="1"/>
  <c r="B5653" i="1"/>
  <c r="C5653" i="1"/>
  <c r="D5653" i="1"/>
  <c r="E5653" i="1"/>
  <c r="A5654" i="1"/>
  <c r="B5654" i="1"/>
  <c r="C5654" i="1"/>
  <c r="D5654" i="1"/>
  <c r="E5654" i="1"/>
  <c r="A5655" i="1"/>
  <c r="B5655" i="1"/>
  <c r="C5655" i="1"/>
  <c r="D5655" i="1"/>
  <c r="E5655" i="1"/>
  <c r="A5656" i="1"/>
  <c r="B5656" i="1"/>
  <c r="C5656" i="1"/>
  <c r="D5656" i="1"/>
  <c r="E5656" i="1"/>
  <c r="A5657" i="1"/>
  <c r="B5657" i="1"/>
  <c r="C5657" i="1"/>
  <c r="D5657" i="1"/>
  <c r="E5657" i="1"/>
  <c r="A5658" i="1"/>
  <c r="B5658" i="1"/>
  <c r="C5658" i="1"/>
  <c r="D5658" i="1"/>
  <c r="E5658" i="1"/>
  <c r="A5659" i="1"/>
  <c r="B5659" i="1"/>
  <c r="C5659" i="1"/>
  <c r="D5659" i="1"/>
  <c r="E5659" i="1"/>
  <c r="A5660" i="1"/>
  <c r="B5660" i="1"/>
  <c r="C5660" i="1"/>
  <c r="D5660" i="1"/>
  <c r="E5660" i="1"/>
  <c r="A5661" i="1"/>
  <c r="B5661" i="1"/>
  <c r="C5661" i="1"/>
  <c r="D5661" i="1"/>
  <c r="E5661" i="1"/>
  <c r="A5662" i="1"/>
  <c r="B5662" i="1"/>
  <c r="C5662" i="1"/>
  <c r="D5662" i="1"/>
  <c r="E5662" i="1"/>
  <c r="A5663" i="1"/>
  <c r="B5663" i="1"/>
  <c r="C5663" i="1"/>
  <c r="D5663" i="1"/>
  <c r="E5663" i="1"/>
  <c r="A5664" i="1"/>
  <c r="B5664" i="1"/>
  <c r="C5664" i="1"/>
  <c r="D5664" i="1"/>
  <c r="E5664" i="1"/>
  <c r="A5665" i="1"/>
  <c r="B5665" i="1"/>
  <c r="C5665" i="1"/>
  <c r="D5665" i="1"/>
  <c r="E5665" i="1"/>
  <c r="A5666" i="1"/>
  <c r="B5666" i="1"/>
  <c r="C5666" i="1"/>
  <c r="D5666" i="1"/>
  <c r="E5666" i="1"/>
  <c r="A5667" i="1"/>
  <c r="B5667" i="1"/>
  <c r="C5667" i="1"/>
  <c r="D5667" i="1"/>
  <c r="E5667" i="1"/>
  <c r="A5668" i="1"/>
  <c r="B5668" i="1"/>
  <c r="C5668" i="1"/>
  <c r="D5668" i="1"/>
  <c r="E5668" i="1"/>
  <c r="A5669" i="1"/>
  <c r="B5669" i="1"/>
  <c r="C5669" i="1"/>
  <c r="D5669" i="1"/>
  <c r="E5669" i="1"/>
  <c r="A5670" i="1"/>
  <c r="B5670" i="1"/>
  <c r="C5670" i="1"/>
  <c r="D5670" i="1"/>
  <c r="E5670" i="1"/>
  <c r="A5671" i="1"/>
  <c r="B5671" i="1"/>
  <c r="C5671" i="1"/>
  <c r="D5671" i="1"/>
  <c r="E5671" i="1"/>
  <c r="A5672" i="1"/>
  <c r="B5672" i="1"/>
  <c r="C5672" i="1"/>
  <c r="D5672" i="1"/>
  <c r="E5672" i="1"/>
  <c r="A5673" i="1"/>
  <c r="B5673" i="1"/>
  <c r="C5673" i="1"/>
  <c r="D5673" i="1"/>
  <c r="E5673" i="1"/>
  <c r="A5674" i="1"/>
  <c r="B5674" i="1"/>
  <c r="C5674" i="1"/>
  <c r="D5674" i="1"/>
  <c r="E5674" i="1"/>
  <c r="A5675" i="1"/>
  <c r="B5675" i="1"/>
  <c r="C5675" i="1"/>
  <c r="D5675" i="1"/>
  <c r="E5675" i="1"/>
  <c r="A5676" i="1"/>
  <c r="B5676" i="1"/>
  <c r="C5676" i="1"/>
  <c r="D5676" i="1"/>
  <c r="E5676" i="1"/>
  <c r="A5677" i="1"/>
  <c r="B5677" i="1"/>
  <c r="C5677" i="1"/>
  <c r="D5677" i="1"/>
  <c r="E5677" i="1"/>
  <c r="A5678" i="1"/>
  <c r="B5678" i="1"/>
  <c r="C5678" i="1"/>
  <c r="D5678" i="1"/>
  <c r="E5678" i="1"/>
  <c r="A5679" i="1"/>
  <c r="B5679" i="1"/>
  <c r="C5679" i="1"/>
  <c r="D5679" i="1"/>
  <c r="E5679" i="1"/>
  <c r="A5680" i="1"/>
  <c r="B5680" i="1"/>
  <c r="C5680" i="1"/>
  <c r="D5680" i="1"/>
  <c r="E5680" i="1"/>
  <c r="A5681" i="1"/>
  <c r="B5681" i="1"/>
  <c r="C5681" i="1"/>
  <c r="D5681" i="1"/>
  <c r="E5681" i="1"/>
  <c r="A5682" i="1"/>
  <c r="B5682" i="1"/>
  <c r="C5682" i="1"/>
  <c r="D5682" i="1"/>
  <c r="E5682" i="1"/>
  <c r="A5683" i="1"/>
  <c r="B5683" i="1"/>
  <c r="C5683" i="1"/>
  <c r="D5683" i="1"/>
  <c r="E5683" i="1"/>
  <c r="A5684" i="1"/>
  <c r="B5684" i="1"/>
  <c r="C5684" i="1"/>
  <c r="D5684" i="1"/>
  <c r="E5684" i="1"/>
  <c r="A5685" i="1"/>
  <c r="B5685" i="1"/>
  <c r="C5685" i="1"/>
  <c r="D5685" i="1"/>
  <c r="E5685" i="1"/>
  <c r="A5686" i="1"/>
  <c r="B5686" i="1"/>
  <c r="C5686" i="1"/>
  <c r="D5686" i="1"/>
  <c r="E5686" i="1"/>
  <c r="A5687" i="1"/>
  <c r="B5687" i="1"/>
  <c r="C5687" i="1"/>
  <c r="D5687" i="1"/>
  <c r="E5687" i="1"/>
  <c r="A5688" i="1"/>
  <c r="B5688" i="1"/>
  <c r="C5688" i="1"/>
  <c r="D5688" i="1"/>
  <c r="E5688" i="1"/>
  <c r="A5689" i="1"/>
  <c r="B5689" i="1"/>
  <c r="C5689" i="1"/>
  <c r="D5689" i="1"/>
  <c r="E5689" i="1"/>
  <c r="A5690" i="1"/>
  <c r="B5690" i="1"/>
  <c r="C5690" i="1"/>
  <c r="D5690" i="1"/>
  <c r="E5690" i="1"/>
  <c r="A5691" i="1"/>
  <c r="B5691" i="1"/>
  <c r="C5691" i="1"/>
  <c r="D5691" i="1"/>
  <c r="E5691" i="1"/>
  <c r="A5692" i="1"/>
  <c r="B5692" i="1"/>
  <c r="C5692" i="1"/>
  <c r="D5692" i="1"/>
  <c r="E5692" i="1"/>
  <c r="A5693" i="1"/>
  <c r="B5693" i="1"/>
  <c r="C5693" i="1"/>
  <c r="D5693" i="1"/>
  <c r="E5693" i="1"/>
  <c r="A5694" i="1"/>
  <c r="B5694" i="1"/>
  <c r="C5694" i="1"/>
  <c r="D5694" i="1"/>
  <c r="E5694" i="1"/>
  <c r="A5695" i="1"/>
  <c r="B5695" i="1"/>
  <c r="C5695" i="1"/>
  <c r="D5695" i="1"/>
  <c r="E5695" i="1"/>
  <c r="A5696" i="1"/>
  <c r="B5696" i="1"/>
  <c r="C5696" i="1"/>
  <c r="D5696" i="1"/>
  <c r="E5696" i="1"/>
  <c r="A5697" i="1"/>
  <c r="B5697" i="1"/>
  <c r="C5697" i="1"/>
  <c r="D5697" i="1"/>
  <c r="E5697" i="1"/>
  <c r="A5698" i="1"/>
  <c r="B5698" i="1"/>
  <c r="C5698" i="1"/>
  <c r="D5698" i="1"/>
  <c r="E5698" i="1"/>
  <c r="A5699" i="1"/>
  <c r="B5699" i="1"/>
  <c r="C5699" i="1"/>
  <c r="D5699" i="1"/>
  <c r="E5699" i="1"/>
  <c r="A5700" i="1"/>
  <c r="B5700" i="1"/>
  <c r="C5700" i="1"/>
  <c r="D5700" i="1"/>
  <c r="E5700" i="1"/>
  <c r="A5701" i="1"/>
  <c r="B5701" i="1"/>
  <c r="C5701" i="1"/>
  <c r="D5701" i="1"/>
  <c r="E5701" i="1"/>
  <c r="A5702" i="1"/>
  <c r="B5702" i="1"/>
  <c r="C5702" i="1"/>
  <c r="D5702" i="1"/>
  <c r="E5702" i="1"/>
  <c r="A5703" i="1"/>
  <c r="B5703" i="1"/>
  <c r="C5703" i="1"/>
  <c r="D5703" i="1"/>
  <c r="E5703" i="1"/>
  <c r="A5704" i="1"/>
  <c r="B5704" i="1"/>
  <c r="C5704" i="1"/>
  <c r="D5704" i="1"/>
  <c r="E5704" i="1"/>
  <c r="A5705" i="1"/>
  <c r="B5705" i="1"/>
  <c r="C5705" i="1"/>
  <c r="D5705" i="1"/>
  <c r="E5705" i="1"/>
  <c r="A5706" i="1"/>
  <c r="B5706" i="1"/>
  <c r="C5706" i="1"/>
  <c r="D5706" i="1"/>
  <c r="E5706" i="1"/>
  <c r="A5707" i="1"/>
  <c r="B5707" i="1"/>
  <c r="C5707" i="1"/>
  <c r="D5707" i="1"/>
  <c r="E5707" i="1"/>
  <c r="A5708" i="1"/>
  <c r="B5708" i="1"/>
  <c r="C5708" i="1"/>
  <c r="D5708" i="1"/>
  <c r="E5708" i="1"/>
  <c r="A5709" i="1"/>
  <c r="B5709" i="1"/>
  <c r="C5709" i="1"/>
  <c r="D5709" i="1"/>
  <c r="E5709" i="1"/>
  <c r="A5710" i="1"/>
  <c r="B5710" i="1"/>
  <c r="C5710" i="1"/>
  <c r="D5710" i="1"/>
  <c r="E5710" i="1"/>
  <c r="A5711" i="1"/>
  <c r="B5711" i="1"/>
  <c r="C5711" i="1"/>
  <c r="D5711" i="1"/>
  <c r="E5711" i="1"/>
  <c r="A5712" i="1"/>
  <c r="B5712" i="1"/>
  <c r="C5712" i="1"/>
  <c r="D5712" i="1"/>
  <c r="E5712" i="1"/>
  <c r="A5713" i="1"/>
  <c r="B5713" i="1"/>
  <c r="C5713" i="1"/>
  <c r="D5713" i="1"/>
  <c r="E5713" i="1"/>
  <c r="A5714" i="1"/>
  <c r="B5714" i="1"/>
  <c r="C5714" i="1"/>
  <c r="D5714" i="1"/>
  <c r="E5714" i="1"/>
  <c r="A5715" i="1"/>
  <c r="B5715" i="1"/>
  <c r="C5715" i="1"/>
  <c r="D5715" i="1"/>
  <c r="E5715" i="1"/>
  <c r="A5716" i="1"/>
  <c r="B5716" i="1"/>
  <c r="C5716" i="1"/>
  <c r="D5716" i="1"/>
  <c r="E5716" i="1"/>
  <c r="A5717" i="1"/>
  <c r="B5717" i="1"/>
  <c r="C5717" i="1"/>
  <c r="D5717" i="1"/>
  <c r="E5717" i="1"/>
  <c r="A5718" i="1"/>
  <c r="B5718" i="1"/>
  <c r="C5718" i="1"/>
  <c r="D5718" i="1"/>
  <c r="E5718" i="1"/>
  <c r="A5719" i="1"/>
  <c r="B5719" i="1"/>
  <c r="C5719" i="1"/>
  <c r="D5719" i="1"/>
  <c r="E5719" i="1"/>
  <c r="A5720" i="1"/>
  <c r="B5720" i="1"/>
  <c r="C5720" i="1"/>
  <c r="D5720" i="1"/>
  <c r="E5720" i="1"/>
  <c r="A5721" i="1"/>
  <c r="B5721" i="1"/>
  <c r="C5721" i="1"/>
  <c r="D5721" i="1"/>
  <c r="E5721" i="1"/>
  <c r="A5722" i="1"/>
  <c r="B5722" i="1"/>
  <c r="C5722" i="1"/>
  <c r="D5722" i="1"/>
  <c r="E5722" i="1"/>
  <c r="A5723" i="1"/>
  <c r="B5723" i="1"/>
  <c r="C5723" i="1"/>
  <c r="D5723" i="1"/>
  <c r="E5723" i="1"/>
  <c r="A5724" i="1"/>
  <c r="B5724" i="1"/>
  <c r="C5724" i="1"/>
  <c r="D5724" i="1"/>
  <c r="E5724" i="1"/>
  <c r="A5725" i="1"/>
  <c r="B5725" i="1"/>
  <c r="C5725" i="1"/>
  <c r="D5725" i="1"/>
  <c r="E5725" i="1"/>
  <c r="A5726" i="1"/>
  <c r="B5726" i="1"/>
  <c r="C5726" i="1"/>
  <c r="D5726" i="1"/>
  <c r="E5726" i="1"/>
  <c r="A5727" i="1"/>
  <c r="B5727" i="1"/>
  <c r="C5727" i="1"/>
  <c r="D5727" i="1"/>
  <c r="E5727" i="1"/>
  <c r="A5728" i="1"/>
  <c r="B5728" i="1"/>
  <c r="C5728" i="1"/>
  <c r="D5728" i="1"/>
  <c r="E5728" i="1"/>
  <c r="A5729" i="1"/>
  <c r="B5729" i="1"/>
  <c r="C5729" i="1"/>
  <c r="D5729" i="1"/>
  <c r="E5729" i="1"/>
  <c r="A5730" i="1"/>
  <c r="B5730" i="1"/>
  <c r="C5730" i="1"/>
  <c r="D5730" i="1"/>
  <c r="E5730" i="1"/>
  <c r="A5731" i="1"/>
  <c r="B5731" i="1"/>
  <c r="C5731" i="1"/>
  <c r="D5731" i="1"/>
  <c r="E5731" i="1"/>
  <c r="A5732" i="1"/>
  <c r="B5732" i="1"/>
  <c r="C5732" i="1"/>
  <c r="D5732" i="1"/>
  <c r="E5732" i="1"/>
  <c r="A5733" i="1"/>
  <c r="B5733" i="1"/>
  <c r="C5733" i="1"/>
  <c r="D5733" i="1"/>
  <c r="E5733" i="1"/>
  <c r="A5734" i="1"/>
  <c r="B5734" i="1"/>
  <c r="C5734" i="1"/>
  <c r="D5734" i="1"/>
  <c r="E5734" i="1"/>
  <c r="A5735" i="1"/>
  <c r="B5735" i="1"/>
  <c r="C5735" i="1"/>
  <c r="D5735" i="1"/>
  <c r="E5735" i="1"/>
  <c r="A5736" i="1"/>
  <c r="B5736" i="1"/>
  <c r="C5736" i="1"/>
  <c r="D5736" i="1"/>
  <c r="E5736" i="1"/>
  <c r="A5737" i="1"/>
  <c r="B5737" i="1"/>
  <c r="C5737" i="1"/>
  <c r="D5737" i="1"/>
  <c r="E5737" i="1"/>
  <c r="A5738" i="1"/>
  <c r="B5738" i="1"/>
  <c r="C5738" i="1"/>
  <c r="D5738" i="1"/>
  <c r="E5738" i="1"/>
  <c r="A5739" i="1"/>
  <c r="B5739" i="1"/>
  <c r="C5739" i="1"/>
  <c r="D5739" i="1"/>
  <c r="E5739" i="1"/>
  <c r="A5740" i="1"/>
  <c r="B5740" i="1"/>
  <c r="C5740" i="1"/>
  <c r="D5740" i="1"/>
  <c r="E5740" i="1"/>
  <c r="A5741" i="1"/>
  <c r="B5741" i="1"/>
  <c r="C5741" i="1"/>
  <c r="D5741" i="1"/>
  <c r="E5741" i="1"/>
  <c r="A5742" i="1"/>
  <c r="B5742" i="1"/>
  <c r="C5742" i="1"/>
  <c r="D5742" i="1"/>
  <c r="E5742" i="1"/>
  <c r="A5743" i="1"/>
  <c r="B5743" i="1"/>
  <c r="C5743" i="1"/>
  <c r="D5743" i="1"/>
  <c r="E5743" i="1"/>
  <c r="A5744" i="1"/>
  <c r="B5744" i="1"/>
  <c r="C5744" i="1"/>
  <c r="D5744" i="1"/>
  <c r="E5744" i="1"/>
  <c r="A5745" i="1"/>
  <c r="B5745" i="1"/>
  <c r="C5745" i="1"/>
  <c r="D5745" i="1"/>
  <c r="E5745" i="1"/>
  <c r="A5746" i="1"/>
  <c r="B5746" i="1"/>
  <c r="C5746" i="1"/>
  <c r="D5746" i="1"/>
  <c r="E5746" i="1"/>
  <c r="A5747" i="1"/>
  <c r="B5747" i="1"/>
  <c r="C5747" i="1"/>
  <c r="D5747" i="1"/>
  <c r="E5747" i="1"/>
  <c r="A5748" i="1"/>
  <c r="B5748" i="1"/>
  <c r="C5748" i="1"/>
  <c r="D5748" i="1"/>
  <c r="E5748" i="1"/>
  <c r="A5749" i="1"/>
  <c r="B5749" i="1"/>
  <c r="C5749" i="1"/>
  <c r="D5749" i="1"/>
  <c r="E5749" i="1"/>
  <c r="A5750" i="1"/>
  <c r="B5750" i="1"/>
  <c r="C5750" i="1"/>
  <c r="D5750" i="1"/>
  <c r="E5750" i="1"/>
  <c r="A5751" i="1"/>
  <c r="B5751" i="1"/>
  <c r="C5751" i="1"/>
  <c r="D5751" i="1"/>
  <c r="E5751" i="1"/>
  <c r="A5752" i="1"/>
  <c r="B5752" i="1"/>
  <c r="C5752" i="1"/>
  <c r="D5752" i="1"/>
  <c r="E5752" i="1"/>
  <c r="A5753" i="1"/>
  <c r="B5753" i="1"/>
  <c r="C5753" i="1"/>
  <c r="D5753" i="1"/>
  <c r="E5753" i="1"/>
  <c r="A5754" i="1"/>
  <c r="B5754" i="1"/>
  <c r="C5754" i="1"/>
  <c r="D5754" i="1"/>
  <c r="E5754" i="1"/>
  <c r="A5755" i="1"/>
  <c r="B5755" i="1"/>
  <c r="C5755" i="1"/>
  <c r="D5755" i="1"/>
  <c r="E5755" i="1"/>
  <c r="A5756" i="1"/>
  <c r="B5756" i="1"/>
  <c r="C5756" i="1"/>
  <c r="D5756" i="1"/>
  <c r="E5756" i="1"/>
  <c r="A5757" i="1"/>
  <c r="B5757" i="1"/>
  <c r="C5757" i="1"/>
  <c r="D5757" i="1"/>
  <c r="E5757" i="1"/>
  <c r="A5758" i="1"/>
  <c r="B5758" i="1"/>
  <c r="C5758" i="1"/>
  <c r="D5758" i="1"/>
  <c r="E5758" i="1"/>
  <c r="A5759" i="1"/>
  <c r="B5759" i="1"/>
  <c r="C5759" i="1"/>
  <c r="D5759" i="1"/>
  <c r="E5759" i="1"/>
  <c r="A5760" i="1"/>
  <c r="B5760" i="1"/>
  <c r="C5760" i="1"/>
  <c r="D5760" i="1"/>
  <c r="E5760" i="1"/>
  <c r="A5761" i="1"/>
  <c r="B5761" i="1"/>
  <c r="C5761" i="1"/>
  <c r="D5761" i="1"/>
  <c r="E5761" i="1"/>
  <c r="A5762" i="1"/>
  <c r="B5762" i="1"/>
  <c r="C5762" i="1"/>
  <c r="D5762" i="1"/>
  <c r="E5762" i="1"/>
  <c r="A5763" i="1"/>
  <c r="B5763" i="1"/>
  <c r="C5763" i="1"/>
  <c r="D5763" i="1"/>
  <c r="E5763" i="1"/>
  <c r="A5764" i="1"/>
  <c r="B5764" i="1"/>
  <c r="C5764" i="1"/>
  <c r="D5764" i="1"/>
  <c r="E5764" i="1"/>
  <c r="A5765" i="1"/>
  <c r="B5765" i="1"/>
  <c r="C5765" i="1"/>
  <c r="D5765" i="1"/>
  <c r="E5765" i="1"/>
  <c r="A5766" i="1"/>
  <c r="B5766" i="1"/>
  <c r="C5766" i="1"/>
  <c r="D5766" i="1"/>
  <c r="E5766" i="1"/>
  <c r="A5767" i="1"/>
  <c r="B5767" i="1"/>
  <c r="C5767" i="1"/>
  <c r="D5767" i="1"/>
  <c r="E5767" i="1"/>
  <c r="A5768" i="1"/>
  <c r="B5768" i="1"/>
  <c r="C5768" i="1"/>
  <c r="D5768" i="1"/>
  <c r="E5768" i="1"/>
  <c r="A5769" i="1"/>
  <c r="B5769" i="1"/>
  <c r="C5769" i="1"/>
  <c r="D5769" i="1"/>
  <c r="E5769" i="1"/>
  <c r="A5770" i="1"/>
  <c r="B5770" i="1"/>
  <c r="C5770" i="1"/>
  <c r="D5770" i="1"/>
  <c r="E5770" i="1"/>
  <c r="A5771" i="1"/>
  <c r="B5771" i="1"/>
  <c r="C5771" i="1"/>
  <c r="D5771" i="1"/>
  <c r="E5771" i="1"/>
  <c r="A5772" i="1"/>
  <c r="B5772" i="1"/>
  <c r="C5772" i="1"/>
  <c r="D5772" i="1"/>
  <c r="E5772" i="1"/>
  <c r="A5773" i="1"/>
  <c r="B5773" i="1"/>
  <c r="C5773" i="1"/>
  <c r="D5773" i="1"/>
  <c r="E5773" i="1"/>
  <c r="A5774" i="1"/>
  <c r="B5774" i="1"/>
  <c r="C5774" i="1"/>
  <c r="D5774" i="1"/>
  <c r="E5774" i="1"/>
  <c r="A5775" i="1"/>
  <c r="B5775" i="1"/>
  <c r="C5775" i="1"/>
  <c r="D5775" i="1"/>
  <c r="E5775" i="1"/>
  <c r="A5776" i="1"/>
  <c r="B5776" i="1"/>
  <c r="C5776" i="1"/>
  <c r="D5776" i="1"/>
  <c r="E5776" i="1"/>
  <c r="A5777" i="1"/>
  <c r="B5777" i="1"/>
  <c r="C5777" i="1"/>
  <c r="D5777" i="1"/>
  <c r="E5777" i="1"/>
  <c r="A5778" i="1"/>
  <c r="B5778" i="1"/>
  <c r="C5778" i="1"/>
  <c r="D5778" i="1"/>
  <c r="E5778" i="1"/>
  <c r="A5779" i="1"/>
  <c r="B5779" i="1"/>
  <c r="C5779" i="1"/>
  <c r="D5779" i="1"/>
  <c r="E5779" i="1"/>
  <c r="A5780" i="1"/>
  <c r="B5780" i="1"/>
  <c r="C5780" i="1"/>
  <c r="D5780" i="1"/>
  <c r="E5780" i="1"/>
  <c r="A5781" i="1"/>
  <c r="B5781" i="1"/>
  <c r="C5781" i="1"/>
  <c r="D5781" i="1"/>
  <c r="E5781" i="1"/>
  <c r="A5782" i="1"/>
  <c r="B5782" i="1"/>
  <c r="C5782" i="1"/>
  <c r="D5782" i="1"/>
  <c r="E5782" i="1"/>
  <c r="A5783" i="1"/>
  <c r="B5783" i="1"/>
  <c r="C5783" i="1"/>
  <c r="D5783" i="1"/>
  <c r="E5783" i="1"/>
  <c r="A5784" i="1"/>
  <c r="B5784" i="1"/>
  <c r="C5784" i="1"/>
  <c r="D5784" i="1"/>
  <c r="E5784" i="1"/>
  <c r="A5785" i="1"/>
  <c r="B5785" i="1"/>
  <c r="C5785" i="1"/>
  <c r="D5785" i="1"/>
  <c r="E5785" i="1"/>
  <c r="A5786" i="1"/>
  <c r="B5786" i="1"/>
  <c r="C5786" i="1"/>
  <c r="D5786" i="1"/>
  <c r="E5786" i="1"/>
  <c r="A5787" i="1"/>
  <c r="B5787" i="1"/>
  <c r="C5787" i="1"/>
  <c r="D5787" i="1"/>
  <c r="E5787" i="1"/>
  <c r="A5788" i="1"/>
  <c r="B5788" i="1"/>
  <c r="C5788" i="1"/>
  <c r="D5788" i="1"/>
  <c r="E5788" i="1"/>
  <c r="A5789" i="1"/>
  <c r="B5789" i="1"/>
  <c r="C5789" i="1"/>
  <c r="D5789" i="1"/>
  <c r="E5789" i="1"/>
  <c r="A5790" i="1"/>
  <c r="B5790" i="1"/>
  <c r="C5790" i="1"/>
  <c r="D5790" i="1"/>
  <c r="E5790" i="1"/>
  <c r="A5791" i="1"/>
  <c r="B5791" i="1"/>
  <c r="C5791" i="1"/>
  <c r="D5791" i="1"/>
  <c r="E5791" i="1"/>
  <c r="A5792" i="1"/>
  <c r="B5792" i="1"/>
  <c r="C5792" i="1"/>
  <c r="D5792" i="1"/>
  <c r="E5792" i="1"/>
  <c r="A5793" i="1"/>
  <c r="B5793" i="1"/>
  <c r="C5793" i="1"/>
  <c r="D5793" i="1"/>
  <c r="E5793" i="1"/>
  <c r="A5794" i="1"/>
  <c r="B5794" i="1"/>
  <c r="C5794" i="1"/>
  <c r="D5794" i="1"/>
  <c r="E5794" i="1"/>
  <c r="A5795" i="1"/>
  <c r="B5795" i="1"/>
  <c r="C5795" i="1"/>
  <c r="D5795" i="1"/>
  <c r="E5795" i="1"/>
  <c r="A5796" i="1"/>
  <c r="B5796" i="1"/>
  <c r="C5796" i="1"/>
  <c r="D5796" i="1"/>
  <c r="E5796" i="1"/>
  <c r="A5797" i="1"/>
  <c r="B5797" i="1"/>
  <c r="C5797" i="1"/>
  <c r="D5797" i="1"/>
  <c r="E5797" i="1"/>
  <c r="A5798" i="1"/>
  <c r="B5798" i="1"/>
  <c r="C5798" i="1"/>
  <c r="D5798" i="1"/>
  <c r="E5798" i="1"/>
  <c r="A5799" i="1"/>
  <c r="B5799" i="1"/>
  <c r="C5799" i="1"/>
  <c r="D5799" i="1"/>
  <c r="E5799" i="1"/>
  <c r="A5800" i="1"/>
  <c r="B5800" i="1"/>
  <c r="C5800" i="1"/>
  <c r="D5800" i="1"/>
  <c r="E5800" i="1"/>
  <c r="A5801" i="1"/>
  <c r="B5801" i="1"/>
  <c r="C5801" i="1"/>
  <c r="D5801" i="1"/>
  <c r="E5801" i="1"/>
  <c r="A5802" i="1"/>
  <c r="B5802" i="1"/>
  <c r="C5802" i="1"/>
  <c r="D5802" i="1"/>
  <c r="E5802" i="1"/>
  <c r="A5803" i="1"/>
  <c r="B5803" i="1"/>
  <c r="C5803" i="1"/>
  <c r="D5803" i="1"/>
  <c r="E5803" i="1"/>
  <c r="A5804" i="1"/>
  <c r="B5804" i="1"/>
  <c r="C5804" i="1"/>
  <c r="D5804" i="1"/>
  <c r="E5804" i="1"/>
  <c r="A5805" i="1"/>
  <c r="B5805" i="1"/>
  <c r="C5805" i="1"/>
  <c r="D5805" i="1"/>
  <c r="E5805" i="1"/>
  <c r="A5806" i="1"/>
  <c r="B5806" i="1"/>
  <c r="C5806" i="1"/>
  <c r="D5806" i="1"/>
  <c r="E5806" i="1"/>
  <c r="A5807" i="1"/>
  <c r="B5807" i="1"/>
  <c r="C5807" i="1"/>
  <c r="D5807" i="1"/>
  <c r="E5807" i="1"/>
  <c r="A5808" i="1"/>
  <c r="B5808" i="1"/>
  <c r="C5808" i="1"/>
  <c r="D5808" i="1"/>
  <c r="E5808" i="1"/>
  <c r="A5809" i="1"/>
  <c r="B5809" i="1"/>
  <c r="C5809" i="1"/>
  <c r="D5809" i="1"/>
  <c r="E5809" i="1"/>
  <c r="A5810" i="1"/>
  <c r="B5810" i="1"/>
  <c r="C5810" i="1"/>
  <c r="D5810" i="1"/>
  <c r="E5810" i="1"/>
  <c r="A5811" i="1"/>
  <c r="B5811" i="1"/>
  <c r="C5811" i="1"/>
  <c r="D5811" i="1"/>
  <c r="E5811" i="1"/>
  <c r="A5812" i="1"/>
  <c r="B5812" i="1"/>
  <c r="C5812" i="1"/>
  <c r="D5812" i="1"/>
  <c r="E5812" i="1"/>
  <c r="A5813" i="1"/>
  <c r="B5813" i="1"/>
  <c r="C5813" i="1"/>
  <c r="D5813" i="1"/>
  <c r="E5813" i="1"/>
  <c r="A5814" i="1"/>
  <c r="B5814" i="1"/>
  <c r="C5814" i="1"/>
  <c r="D5814" i="1"/>
  <c r="E5814" i="1"/>
  <c r="A5815" i="1"/>
  <c r="B5815" i="1"/>
  <c r="C5815" i="1"/>
  <c r="D5815" i="1"/>
  <c r="E5815" i="1"/>
  <c r="A5816" i="1"/>
  <c r="B5816" i="1"/>
  <c r="C5816" i="1"/>
  <c r="D5816" i="1"/>
  <c r="E5816" i="1"/>
  <c r="A5817" i="1"/>
  <c r="B5817" i="1"/>
  <c r="C5817" i="1"/>
  <c r="D5817" i="1"/>
  <c r="E5817" i="1"/>
  <c r="A5818" i="1"/>
  <c r="B5818" i="1"/>
  <c r="C5818" i="1"/>
  <c r="D5818" i="1"/>
  <c r="E5818" i="1"/>
  <c r="A5819" i="1"/>
  <c r="B5819" i="1"/>
  <c r="C5819" i="1"/>
  <c r="D5819" i="1"/>
  <c r="E5819" i="1"/>
  <c r="A5820" i="1"/>
  <c r="B5820" i="1"/>
  <c r="C5820" i="1"/>
  <c r="D5820" i="1"/>
  <c r="E5820" i="1"/>
  <c r="A5821" i="1"/>
  <c r="B5821" i="1"/>
  <c r="C5821" i="1"/>
  <c r="D5821" i="1"/>
  <c r="E5821" i="1"/>
  <c r="A5822" i="1"/>
  <c r="B5822" i="1"/>
  <c r="C5822" i="1"/>
  <c r="D5822" i="1"/>
  <c r="E5822" i="1"/>
  <c r="A5823" i="1"/>
  <c r="B5823" i="1"/>
  <c r="C5823" i="1"/>
  <c r="D5823" i="1"/>
  <c r="E5823" i="1"/>
  <c r="A5824" i="1"/>
  <c r="B5824" i="1"/>
  <c r="C5824" i="1"/>
  <c r="D5824" i="1"/>
  <c r="E5824" i="1"/>
  <c r="A5825" i="1"/>
  <c r="B5825" i="1"/>
  <c r="C5825" i="1"/>
  <c r="D5825" i="1"/>
  <c r="E5825" i="1"/>
  <c r="A5826" i="1"/>
  <c r="B5826" i="1"/>
  <c r="C5826" i="1"/>
  <c r="D5826" i="1"/>
  <c r="E5826" i="1"/>
  <c r="A5827" i="1"/>
  <c r="B5827" i="1"/>
  <c r="C5827" i="1"/>
  <c r="D5827" i="1"/>
  <c r="E5827" i="1"/>
  <c r="A5828" i="1"/>
  <c r="B5828" i="1"/>
  <c r="C5828" i="1"/>
  <c r="D5828" i="1"/>
  <c r="E5828" i="1"/>
  <c r="A5829" i="1"/>
  <c r="B5829" i="1"/>
  <c r="C5829" i="1"/>
  <c r="D5829" i="1"/>
  <c r="E5829" i="1"/>
  <c r="A5830" i="1"/>
  <c r="B5830" i="1"/>
  <c r="C5830" i="1"/>
  <c r="D5830" i="1"/>
  <c r="E5830" i="1"/>
  <c r="A5831" i="1"/>
  <c r="B5831" i="1"/>
  <c r="C5831" i="1"/>
  <c r="D5831" i="1"/>
  <c r="E5831" i="1"/>
  <c r="A5832" i="1"/>
  <c r="B5832" i="1"/>
  <c r="C5832" i="1"/>
  <c r="D5832" i="1"/>
  <c r="E5832" i="1"/>
  <c r="A5833" i="1"/>
  <c r="B5833" i="1"/>
  <c r="C5833" i="1"/>
  <c r="D5833" i="1"/>
  <c r="E5833" i="1"/>
  <c r="A5834" i="1"/>
  <c r="B5834" i="1"/>
  <c r="C5834" i="1"/>
  <c r="D5834" i="1"/>
  <c r="E5834" i="1"/>
  <c r="A5835" i="1"/>
  <c r="B5835" i="1"/>
  <c r="C5835" i="1"/>
  <c r="D5835" i="1"/>
  <c r="E5835" i="1"/>
  <c r="A5836" i="1"/>
  <c r="B5836" i="1"/>
  <c r="C5836" i="1"/>
  <c r="D5836" i="1"/>
  <c r="E5836" i="1"/>
  <c r="A5837" i="1"/>
  <c r="B5837" i="1"/>
  <c r="C5837" i="1"/>
  <c r="D5837" i="1"/>
  <c r="E5837" i="1"/>
  <c r="A5838" i="1"/>
  <c r="B5838" i="1"/>
  <c r="C5838" i="1"/>
  <c r="D5838" i="1"/>
  <c r="E5838" i="1"/>
  <c r="A5839" i="1"/>
  <c r="B5839" i="1"/>
  <c r="C5839" i="1"/>
  <c r="D5839" i="1"/>
  <c r="E5839" i="1"/>
  <c r="A5840" i="1"/>
  <c r="B5840" i="1"/>
  <c r="C5840" i="1"/>
  <c r="D5840" i="1"/>
  <c r="E5840" i="1"/>
  <c r="A5841" i="1"/>
  <c r="B5841" i="1"/>
  <c r="C5841" i="1"/>
  <c r="D5841" i="1"/>
  <c r="E5841" i="1"/>
  <c r="A5842" i="1"/>
  <c r="B5842" i="1"/>
  <c r="C5842" i="1"/>
  <c r="D5842" i="1"/>
  <c r="E5842" i="1"/>
  <c r="A5843" i="1"/>
  <c r="B5843" i="1"/>
  <c r="C5843" i="1"/>
  <c r="D5843" i="1"/>
  <c r="E5843" i="1"/>
  <c r="A5844" i="1"/>
  <c r="B5844" i="1"/>
  <c r="C5844" i="1"/>
  <c r="D5844" i="1"/>
  <c r="E5844" i="1"/>
  <c r="A5845" i="1"/>
  <c r="B5845" i="1"/>
  <c r="C5845" i="1"/>
  <c r="D5845" i="1"/>
  <c r="E5845" i="1"/>
  <c r="A5846" i="1"/>
  <c r="B5846" i="1"/>
  <c r="C5846" i="1"/>
  <c r="D5846" i="1"/>
  <c r="E5846" i="1"/>
  <c r="A5847" i="1"/>
  <c r="B5847" i="1"/>
  <c r="C5847" i="1"/>
  <c r="D5847" i="1"/>
  <c r="E5847" i="1"/>
  <c r="A5848" i="1"/>
  <c r="B5848" i="1"/>
  <c r="C5848" i="1"/>
  <c r="D5848" i="1"/>
  <c r="E5848" i="1"/>
  <c r="A5849" i="1"/>
  <c r="B5849" i="1"/>
  <c r="C5849" i="1"/>
  <c r="D5849" i="1"/>
  <c r="E5849" i="1"/>
  <c r="A5850" i="1"/>
  <c r="B5850" i="1"/>
  <c r="C5850" i="1"/>
  <c r="D5850" i="1"/>
  <c r="E5850" i="1"/>
  <c r="A5851" i="1"/>
  <c r="B5851" i="1"/>
  <c r="C5851" i="1"/>
  <c r="D5851" i="1"/>
  <c r="E5851" i="1"/>
  <c r="A5852" i="1"/>
  <c r="B5852" i="1"/>
  <c r="C5852" i="1"/>
  <c r="D5852" i="1"/>
  <c r="E5852" i="1"/>
  <c r="A5853" i="1"/>
  <c r="B5853" i="1"/>
  <c r="C5853" i="1"/>
  <c r="D5853" i="1"/>
  <c r="E5853" i="1"/>
  <c r="A5854" i="1"/>
  <c r="B5854" i="1"/>
  <c r="C5854" i="1"/>
  <c r="D5854" i="1"/>
  <c r="E5854" i="1"/>
  <c r="A5855" i="1"/>
  <c r="B5855" i="1"/>
  <c r="C5855" i="1"/>
  <c r="D5855" i="1"/>
  <c r="E5855" i="1"/>
  <c r="A5856" i="1"/>
  <c r="B5856" i="1"/>
  <c r="C5856" i="1"/>
  <c r="D5856" i="1"/>
  <c r="E5856" i="1"/>
  <c r="A5857" i="1"/>
  <c r="B5857" i="1"/>
  <c r="C5857" i="1"/>
  <c r="D5857" i="1"/>
  <c r="E5857" i="1"/>
  <c r="A5858" i="1"/>
  <c r="B5858" i="1"/>
  <c r="C5858" i="1"/>
  <c r="D5858" i="1"/>
  <c r="E5858" i="1"/>
  <c r="A5859" i="1"/>
  <c r="B5859" i="1"/>
  <c r="C5859" i="1"/>
  <c r="D5859" i="1"/>
  <c r="E5859" i="1"/>
  <c r="A5860" i="1"/>
  <c r="B5860" i="1"/>
  <c r="C5860" i="1"/>
  <c r="D5860" i="1"/>
  <c r="E5860" i="1"/>
  <c r="A5861" i="1"/>
  <c r="B5861" i="1"/>
  <c r="C5861" i="1"/>
  <c r="D5861" i="1"/>
  <c r="E5861" i="1"/>
  <c r="A5862" i="1"/>
  <c r="B5862" i="1"/>
  <c r="C5862" i="1"/>
  <c r="D5862" i="1"/>
  <c r="E5862" i="1"/>
  <c r="A5863" i="1"/>
  <c r="B5863" i="1"/>
  <c r="C5863" i="1"/>
  <c r="D5863" i="1"/>
  <c r="E5863" i="1"/>
  <c r="A5864" i="1"/>
  <c r="B5864" i="1"/>
  <c r="C5864" i="1"/>
  <c r="D5864" i="1"/>
  <c r="E5864" i="1"/>
  <c r="A5865" i="1"/>
  <c r="B5865" i="1"/>
  <c r="C5865" i="1"/>
  <c r="D5865" i="1"/>
  <c r="E5865" i="1"/>
  <c r="A5866" i="1"/>
  <c r="B5866" i="1"/>
  <c r="C5866" i="1"/>
  <c r="D5866" i="1"/>
  <c r="E5866" i="1"/>
  <c r="A5867" i="1"/>
  <c r="B5867" i="1"/>
  <c r="C5867" i="1"/>
  <c r="D5867" i="1"/>
  <c r="E5867" i="1"/>
  <c r="A5868" i="1"/>
  <c r="B5868" i="1"/>
  <c r="C5868" i="1"/>
  <c r="D5868" i="1"/>
  <c r="E5868" i="1"/>
  <c r="A5869" i="1"/>
  <c r="B5869" i="1"/>
  <c r="C5869" i="1"/>
  <c r="D5869" i="1"/>
  <c r="E5869" i="1"/>
  <c r="A5870" i="1"/>
  <c r="B5870" i="1"/>
  <c r="C5870" i="1"/>
  <c r="D5870" i="1"/>
  <c r="E5870" i="1"/>
  <c r="A5871" i="1"/>
  <c r="B5871" i="1"/>
  <c r="C5871" i="1"/>
  <c r="D5871" i="1"/>
  <c r="E5871" i="1"/>
  <c r="A5872" i="1"/>
  <c r="B5872" i="1"/>
  <c r="C5872" i="1"/>
  <c r="D5872" i="1"/>
  <c r="E5872" i="1"/>
  <c r="A5873" i="1"/>
  <c r="B5873" i="1"/>
  <c r="C5873" i="1"/>
  <c r="D5873" i="1"/>
  <c r="E5873" i="1"/>
  <c r="A5874" i="1"/>
  <c r="B5874" i="1"/>
  <c r="C5874" i="1"/>
  <c r="D5874" i="1"/>
  <c r="E5874" i="1"/>
  <c r="A5875" i="1"/>
  <c r="B5875" i="1"/>
  <c r="C5875" i="1"/>
  <c r="D5875" i="1"/>
  <c r="E5875" i="1"/>
  <c r="A5876" i="1"/>
  <c r="B5876" i="1"/>
  <c r="C5876" i="1"/>
  <c r="D5876" i="1"/>
  <c r="E5876" i="1"/>
  <c r="A5877" i="1"/>
  <c r="B5877" i="1"/>
  <c r="C5877" i="1"/>
  <c r="D5877" i="1"/>
  <c r="E5877" i="1"/>
  <c r="A5878" i="1"/>
  <c r="B5878" i="1"/>
  <c r="C5878" i="1"/>
  <c r="D5878" i="1"/>
  <c r="E5878" i="1"/>
  <c r="A5879" i="1"/>
  <c r="B5879" i="1"/>
  <c r="C5879" i="1"/>
  <c r="D5879" i="1"/>
  <c r="E5879" i="1"/>
  <c r="A5880" i="1"/>
  <c r="B5880" i="1"/>
  <c r="C5880" i="1"/>
  <c r="D5880" i="1"/>
  <c r="E5880" i="1"/>
  <c r="A5881" i="1"/>
  <c r="B5881" i="1"/>
  <c r="C5881" i="1"/>
  <c r="D5881" i="1"/>
  <c r="E5881" i="1"/>
  <c r="A5882" i="1"/>
  <c r="B5882" i="1"/>
  <c r="C5882" i="1"/>
  <c r="D5882" i="1"/>
  <c r="E5882" i="1"/>
  <c r="A5883" i="1"/>
  <c r="B5883" i="1"/>
  <c r="C5883" i="1"/>
  <c r="D5883" i="1"/>
  <c r="E5883" i="1"/>
  <c r="A5884" i="1"/>
  <c r="B5884" i="1"/>
  <c r="C5884" i="1"/>
  <c r="D5884" i="1"/>
  <c r="E5884" i="1"/>
  <c r="A5885" i="1"/>
  <c r="B5885" i="1"/>
  <c r="C5885" i="1"/>
  <c r="D5885" i="1"/>
  <c r="E5885" i="1"/>
  <c r="A5886" i="1"/>
  <c r="B5886" i="1"/>
  <c r="C5886" i="1"/>
  <c r="D5886" i="1"/>
  <c r="E5886" i="1"/>
  <c r="A5887" i="1"/>
  <c r="B5887" i="1"/>
  <c r="C5887" i="1"/>
  <c r="D5887" i="1"/>
  <c r="E5887" i="1"/>
  <c r="A5888" i="1"/>
  <c r="B5888" i="1"/>
  <c r="C5888" i="1"/>
  <c r="D5888" i="1"/>
  <c r="E5888" i="1"/>
  <c r="A5889" i="1"/>
  <c r="B5889" i="1"/>
  <c r="C5889" i="1"/>
  <c r="D5889" i="1"/>
  <c r="E5889" i="1"/>
  <c r="A5890" i="1"/>
  <c r="B5890" i="1"/>
  <c r="C5890" i="1"/>
  <c r="D5890" i="1"/>
  <c r="E5890" i="1"/>
  <c r="A5891" i="1"/>
  <c r="B5891" i="1"/>
  <c r="C5891" i="1"/>
  <c r="D5891" i="1"/>
  <c r="E5891" i="1"/>
  <c r="A5892" i="1"/>
  <c r="B5892" i="1"/>
  <c r="C5892" i="1"/>
  <c r="D5892" i="1"/>
  <c r="E5892" i="1"/>
  <c r="A5893" i="1"/>
  <c r="B5893" i="1"/>
  <c r="C5893" i="1"/>
  <c r="D5893" i="1"/>
  <c r="E5893" i="1"/>
  <c r="A5894" i="1"/>
  <c r="B5894" i="1"/>
  <c r="C5894" i="1"/>
  <c r="D5894" i="1"/>
  <c r="E5894" i="1"/>
  <c r="A5895" i="1"/>
  <c r="B5895" i="1"/>
  <c r="C5895" i="1"/>
  <c r="D5895" i="1"/>
  <c r="E5895" i="1"/>
  <c r="A5896" i="1"/>
  <c r="B5896" i="1"/>
  <c r="C5896" i="1"/>
  <c r="D5896" i="1"/>
  <c r="E5896" i="1"/>
  <c r="A5897" i="1"/>
  <c r="B5897" i="1"/>
  <c r="C5897" i="1"/>
  <c r="D5897" i="1"/>
  <c r="E5897" i="1"/>
  <c r="A5898" i="1"/>
  <c r="B5898" i="1"/>
  <c r="C5898" i="1"/>
  <c r="D5898" i="1"/>
  <c r="E5898" i="1"/>
  <c r="A5899" i="1"/>
  <c r="B5899" i="1"/>
  <c r="C5899" i="1"/>
  <c r="D5899" i="1"/>
  <c r="E5899" i="1"/>
  <c r="A5900" i="1"/>
  <c r="B5900" i="1"/>
  <c r="C5900" i="1"/>
  <c r="D5900" i="1"/>
  <c r="E5900" i="1"/>
  <c r="A5901" i="1"/>
  <c r="B5901" i="1"/>
  <c r="C5901" i="1"/>
  <c r="D5901" i="1"/>
  <c r="E5901" i="1"/>
  <c r="A5902" i="1"/>
  <c r="B5902" i="1"/>
  <c r="C5902" i="1"/>
  <c r="D5902" i="1"/>
  <c r="E5902" i="1"/>
  <c r="A5903" i="1"/>
  <c r="B5903" i="1"/>
  <c r="C5903" i="1"/>
  <c r="D5903" i="1"/>
  <c r="E5903" i="1"/>
  <c r="A5904" i="1"/>
  <c r="B5904" i="1"/>
  <c r="C5904" i="1"/>
  <c r="D5904" i="1"/>
  <c r="E5904" i="1"/>
  <c r="A5905" i="1"/>
  <c r="B5905" i="1"/>
  <c r="C5905" i="1"/>
  <c r="D5905" i="1"/>
  <c r="E5905" i="1"/>
  <c r="A5906" i="1"/>
  <c r="B5906" i="1"/>
  <c r="C5906" i="1"/>
  <c r="D5906" i="1"/>
  <c r="E5906" i="1"/>
  <c r="A5907" i="1"/>
  <c r="B5907" i="1"/>
  <c r="C5907" i="1"/>
  <c r="D5907" i="1"/>
  <c r="E5907" i="1"/>
  <c r="A5908" i="1"/>
  <c r="B5908" i="1"/>
  <c r="C5908" i="1"/>
  <c r="D5908" i="1"/>
  <c r="E5908" i="1"/>
  <c r="A5909" i="1"/>
  <c r="B5909" i="1"/>
  <c r="C5909" i="1"/>
  <c r="D5909" i="1"/>
  <c r="E5909" i="1"/>
  <c r="A5910" i="1"/>
  <c r="B5910" i="1"/>
  <c r="C5910" i="1"/>
  <c r="D5910" i="1"/>
  <c r="E5910" i="1"/>
  <c r="A5911" i="1"/>
  <c r="B5911" i="1"/>
  <c r="C5911" i="1"/>
  <c r="D5911" i="1"/>
  <c r="E5911" i="1"/>
  <c r="A5912" i="1"/>
  <c r="B5912" i="1"/>
  <c r="C5912" i="1"/>
  <c r="D5912" i="1"/>
  <c r="E5912" i="1"/>
  <c r="A5913" i="1"/>
  <c r="B5913" i="1"/>
  <c r="C5913" i="1"/>
  <c r="D5913" i="1"/>
  <c r="E5913" i="1"/>
  <c r="A5914" i="1"/>
  <c r="B5914" i="1"/>
  <c r="C5914" i="1"/>
  <c r="D5914" i="1"/>
  <c r="E5914" i="1"/>
  <c r="A5915" i="1"/>
  <c r="B5915" i="1"/>
  <c r="C5915" i="1"/>
  <c r="D5915" i="1"/>
  <c r="E5915" i="1"/>
  <c r="A5916" i="1"/>
  <c r="B5916" i="1"/>
  <c r="C5916" i="1"/>
  <c r="D5916" i="1"/>
  <c r="E5916" i="1"/>
  <c r="A5917" i="1"/>
  <c r="B5917" i="1"/>
  <c r="C5917" i="1"/>
  <c r="D5917" i="1"/>
  <c r="E5917" i="1"/>
  <c r="A5918" i="1"/>
  <c r="B5918" i="1"/>
  <c r="C5918" i="1"/>
  <c r="D5918" i="1"/>
  <c r="E5918" i="1"/>
  <c r="A5919" i="1"/>
  <c r="B5919" i="1"/>
  <c r="C5919" i="1"/>
  <c r="D5919" i="1"/>
  <c r="E5919" i="1"/>
  <c r="A5920" i="1"/>
  <c r="B5920" i="1"/>
  <c r="C5920" i="1"/>
  <c r="D5920" i="1"/>
  <c r="E5920" i="1"/>
  <c r="A5921" i="1"/>
  <c r="B5921" i="1"/>
  <c r="C5921" i="1"/>
  <c r="D5921" i="1"/>
  <c r="E5921" i="1"/>
  <c r="A5922" i="1"/>
  <c r="B5922" i="1"/>
  <c r="C5922" i="1"/>
  <c r="D5922" i="1"/>
  <c r="E5922" i="1"/>
  <c r="A5923" i="1"/>
  <c r="B5923" i="1"/>
  <c r="C5923" i="1"/>
  <c r="D5923" i="1"/>
  <c r="E5923" i="1"/>
  <c r="A5924" i="1"/>
  <c r="B5924" i="1"/>
  <c r="C5924" i="1"/>
  <c r="D5924" i="1"/>
  <c r="E5924" i="1"/>
  <c r="A5925" i="1"/>
  <c r="B5925" i="1"/>
  <c r="C5925" i="1"/>
  <c r="D5925" i="1"/>
  <c r="E5925" i="1"/>
  <c r="A5926" i="1"/>
  <c r="B5926" i="1"/>
  <c r="C5926" i="1"/>
  <c r="D5926" i="1"/>
  <c r="E5926" i="1"/>
  <c r="A5927" i="1"/>
  <c r="B5927" i="1"/>
  <c r="C5927" i="1"/>
  <c r="D5927" i="1"/>
  <c r="E5927" i="1"/>
  <c r="A5928" i="1"/>
  <c r="B5928" i="1"/>
  <c r="C5928" i="1"/>
  <c r="D5928" i="1"/>
  <c r="E5928" i="1"/>
  <c r="A5929" i="1"/>
  <c r="B5929" i="1"/>
  <c r="C5929" i="1"/>
  <c r="D5929" i="1"/>
  <c r="E5929" i="1"/>
  <c r="A5930" i="1"/>
  <c r="B5930" i="1"/>
  <c r="C5930" i="1"/>
  <c r="D5930" i="1"/>
  <c r="E5930" i="1"/>
  <c r="A5931" i="1"/>
  <c r="B5931" i="1"/>
  <c r="C5931" i="1"/>
  <c r="D5931" i="1"/>
  <c r="E5931" i="1"/>
  <c r="A5932" i="1"/>
  <c r="B5932" i="1"/>
  <c r="C5932" i="1"/>
  <c r="D5932" i="1"/>
  <c r="E5932" i="1"/>
  <c r="A5933" i="1"/>
  <c r="B5933" i="1"/>
  <c r="C5933" i="1"/>
  <c r="D5933" i="1"/>
  <c r="E5933" i="1"/>
  <c r="A5934" i="1"/>
  <c r="B5934" i="1"/>
  <c r="C5934" i="1"/>
  <c r="D5934" i="1"/>
  <c r="E5934" i="1"/>
  <c r="A5935" i="1"/>
  <c r="B5935" i="1"/>
  <c r="C5935" i="1"/>
  <c r="D5935" i="1"/>
  <c r="E5935" i="1"/>
  <c r="A5936" i="1"/>
  <c r="B5936" i="1"/>
  <c r="C5936" i="1"/>
  <c r="D5936" i="1"/>
  <c r="E5936" i="1"/>
  <c r="A5937" i="1"/>
  <c r="B5937" i="1"/>
  <c r="C5937" i="1"/>
  <c r="D5937" i="1"/>
  <c r="E5937" i="1"/>
  <c r="A5938" i="1"/>
  <c r="B5938" i="1"/>
  <c r="C5938" i="1"/>
  <c r="D5938" i="1"/>
  <c r="E5938" i="1"/>
  <c r="A5939" i="1"/>
  <c r="B5939" i="1"/>
  <c r="C5939" i="1"/>
  <c r="D5939" i="1"/>
  <c r="E5939" i="1"/>
  <c r="A5940" i="1"/>
  <c r="B5940" i="1"/>
  <c r="C5940" i="1"/>
  <c r="D5940" i="1"/>
  <c r="E5940" i="1"/>
  <c r="A5941" i="1"/>
  <c r="B5941" i="1"/>
  <c r="C5941" i="1"/>
  <c r="D5941" i="1"/>
  <c r="E5941" i="1"/>
  <c r="A5942" i="1"/>
  <c r="B5942" i="1"/>
  <c r="C5942" i="1"/>
  <c r="D5942" i="1"/>
  <c r="E5942" i="1"/>
  <c r="A5943" i="1"/>
  <c r="B5943" i="1"/>
  <c r="C5943" i="1"/>
  <c r="D5943" i="1"/>
  <c r="E5943" i="1"/>
  <c r="A5944" i="1"/>
  <c r="B5944" i="1"/>
  <c r="C5944" i="1"/>
  <c r="D5944" i="1"/>
  <c r="E5944" i="1"/>
  <c r="A5945" i="1"/>
  <c r="B5945" i="1"/>
  <c r="C5945" i="1"/>
  <c r="D5945" i="1"/>
  <c r="E5945" i="1"/>
  <c r="A5946" i="1"/>
  <c r="B5946" i="1"/>
  <c r="C5946" i="1"/>
  <c r="D5946" i="1"/>
  <c r="E5946" i="1"/>
  <c r="A5947" i="1"/>
  <c r="B5947" i="1"/>
  <c r="C5947" i="1"/>
  <c r="D5947" i="1"/>
  <c r="E5947" i="1"/>
  <c r="A5948" i="1"/>
  <c r="B5948" i="1"/>
  <c r="C5948" i="1"/>
  <c r="D5948" i="1"/>
  <c r="E5948" i="1"/>
  <c r="A5949" i="1"/>
  <c r="B5949" i="1"/>
  <c r="C5949" i="1"/>
  <c r="D5949" i="1"/>
  <c r="E5949" i="1"/>
  <c r="A5950" i="1"/>
  <c r="B5950" i="1"/>
  <c r="C5950" i="1"/>
  <c r="D5950" i="1"/>
  <c r="E5950" i="1"/>
  <c r="A5951" i="1"/>
  <c r="B5951" i="1"/>
  <c r="C5951" i="1"/>
  <c r="D5951" i="1"/>
  <c r="E5951" i="1"/>
  <c r="A5952" i="1"/>
  <c r="B5952" i="1"/>
  <c r="C5952" i="1"/>
  <c r="D5952" i="1"/>
  <c r="E5952" i="1"/>
  <c r="A5953" i="1"/>
  <c r="B5953" i="1"/>
  <c r="C5953" i="1"/>
  <c r="D5953" i="1"/>
  <c r="E5953" i="1"/>
  <c r="A5954" i="1"/>
  <c r="B5954" i="1"/>
  <c r="C5954" i="1"/>
  <c r="D5954" i="1"/>
  <c r="E5954" i="1"/>
  <c r="A5955" i="1"/>
  <c r="B5955" i="1"/>
  <c r="C5955" i="1"/>
  <c r="D5955" i="1"/>
  <c r="E5955" i="1"/>
  <c r="A5956" i="1"/>
  <c r="B5956" i="1"/>
  <c r="C5956" i="1"/>
  <c r="D5956" i="1"/>
  <c r="E5956" i="1"/>
  <c r="A5957" i="1"/>
  <c r="B5957" i="1"/>
  <c r="C5957" i="1"/>
  <c r="D5957" i="1"/>
  <c r="E5957" i="1"/>
  <c r="A5958" i="1"/>
  <c r="B5958" i="1"/>
  <c r="C5958" i="1"/>
  <c r="D5958" i="1"/>
  <c r="E5958" i="1"/>
  <c r="A5959" i="1"/>
  <c r="B5959" i="1"/>
  <c r="C5959" i="1"/>
  <c r="D5959" i="1"/>
  <c r="E5959" i="1"/>
  <c r="A5960" i="1"/>
  <c r="B5960" i="1"/>
  <c r="C5960" i="1"/>
  <c r="D5960" i="1"/>
  <c r="E5960" i="1"/>
  <c r="A5961" i="1"/>
  <c r="B5961" i="1"/>
  <c r="C5961" i="1"/>
  <c r="D5961" i="1"/>
  <c r="E5961" i="1"/>
  <c r="A5962" i="1"/>
  <c r="B5962" i="1"/>
  <c r="C5962" i="1"/>
  <c r="D5962" i="1"/>
  <c r="E5962" i="1"/>
  <c r="A5963" i="1"/>
  <c r="B5963" i="1"/>
  <c r="C5963" i="1"/>
  <c r="D5963" i="1"/>
  <c r="E5963" i="1"/>
  <c r="A5964" i="1"/>
  <c r="B5964" i="1"/>
  <c r="C5964" i="1"/>
  <c r="D5964" i="1"/>
  <c r="E5964" i="1"/>
  <c r="A5965" i="1"/>
  <c r="B5965" i="1"/>
  <c r="C5965" i="1"/>
  <c r="D5965" i="1"/>
  <c r="E5965" i="1"/>
  <c r="A5966" i="1"/>
  <c r="B5966" i="1"/>
  <c r="C5966" i="1"/>
  <c r="D5966" i="1"/>
  <c r="E5966" i="1"/>
  <c r="A5967" i="1"/>
  <c r="B5967" i="1"/>
  <c r="C5967" i="1"/>
  <c r="D5967" i="1"/>
  <c r="E5967" i="1"/>
  <c r="A5968" i="1"/>
  <c r="B5968" i="1"/>
  <c r="C5968" i="1"/>
  <c r="D5968" i="1"/>
  <c r="E5968" i="1"/>
  <c r="A5969" i="1"/>
  <c r="B5969" i="1"/>
  <c r="C5969" i="1"/>
  <c r="D5969" i="1"/>
  <c r="E5969" i="1"/>
  <c r="A5970" i="1"/>
  <c r="B5970" i="1"/>
  <c r="C5970" i="1"/>
  <c r="D5970" i="1"/>
  <c r="E5970" i="1"/>
  <c r="A5971" i="1"/>
  <c r="B5971" i="1"/>
  <c r="C5971" i="1"/>
  <c r="D5971" i="1"/>
  <c r="E5971" i="1"/>
  <c r="A5972" i="1"/>
  <c r="B5972" i="1"/>
  <c r="C5972" i="1"/>
  <c r="D5972" i="1"/>
  <c r="E5972" i="1"/>
  <c r="A5973" i="1"/>
  <c r="B5973" i="1"/>
  <c r="C5973" i="1"/>
  <c r="D5973" i="1"/>
  <c r="E5973" i="1"/>
  <c r="A5974" i="1"/>
  <c r="B5974" i="1"/>
  <c r="C5974" i="1"/>
  <c r="D5974" i="1"/>
  <c r="E5974" i="1"/>
  <c r="A5975" i="1"/>
  <c r="B5975" i="1"/>
  <c r="C5975" i="1"/>
  <c r="D5975" i="1"/>
  <c r="E5975" i="1"/>
  <c r="A5976" i="1"/>
  <c r="B5976" i="1"/>
  <c r="C5976" i="1"/>
  <c r="D5976" i="1"/>
  <c r="E5976" i="1"/>
  <c r="A5977" i="1"/>
  <c r="B5977" i="1"/>
  <c r="C5977" i="1"/>
  <c r="D5977" i="1"/>
  <c r="E5977" i="1"/>
  <c r="A5978" i="1"/>
  <c r="B5978" i="1"/>
  <c r="C5978" i="1"/>
  <c r="D5978" i="1"/>
  <c r="E5978" i="1"/>
  <c r="A5979" i="1"/>
  <c r="B5979" i="1"/>
  <c r="C5979" i="1"/>
  <c r="D5979" i="1"/>
  <c r="E5979" i="1"/>
  <c r="A5980" i="1"/>
  <c r="B5980" i="1"/>
  <c r="C5980" i="1"/>
  <c r="D5980" i="1"/>
  <c r="E5980" i="1"/>
  <c r="A5981" i="1"/>
  <c r="B5981" i="1"/>
  <c r="C5981" i="1"/>
  <c r="D5981" i="1"/>
  <c r="E5981" i="1"/>
  <c r="A5982" i="1"/>
  <c r="B5982" i="1"/>
  <c r="C5982" i="1"/>
  <c r="D5982" i="1"/>
  <c r="E5982" i="1"/>
  <c r="A5983" i="1"/>
  <c r="B5983" i="1"/>
  <c r="C5983" i="1"/>
  <c r="D5983" i="1"/>
  <c r="E5983" i="1"/>
  <c r="A5984" i="1"/>
  <c r="B5984" i="1"/>
  <c r="C5984" i="1"/>
  <c r="D5984" i="1"/>
  <c r="E5984" i="1"/>
  <c r="A5985" i="1"/>
  <c r="B5985" i="1"/>
  <c r="C5985" i="1"/>
  <c r="D5985" i="1"/>
  <c r="E5985" i="1"/>
  <c r="A5986" i="1"/>
  <c r="B5986" i="1"/>
  <c r="C5986" i="1"/>
  <c r="D5986" i="1"/>
  <c r="E5986" i="1"/>
  <c r="A5987" i="1"/>
  <c r="B5987" i="1"/>
  <c r="C5987" i="1"/>
  <c r="D5987" i="1"/>
  <c r="E5987" i="1"/>
  <c r="A5988" i="1"/>
  <c r="B5988" i="1"/>
  <c r="C5988" i="1"/>
  <c r="D5988" i="1"/>
  <c r="E5988" i="1"/>
  <c r="A5989" i="1"/>
  <c r="B5989" i="1"/>
  <c r="C5989" i="1"/>
  <c r="D5989" i="1"/>
  <c r="E5989" i="1"/>
  <c r="A5990" i="1"/>
  <c r="B5990" i="1"/>
  <c r="C5990" i="1"/>
  <c r="D5990" i="1"/>
  <c r="E5990" i="1"/>
  <c r="A5991" i="1"/>
  <c r="B5991" i="1"/>
  <c r="C5991" i="1"/>
  <c r="D5991" i="1"/>
  <c r="E5991" i="1"/>
  <c r="A5992" i="1"/>
  <c r="B5992" i="1"/>
  <c r="C5992" i="1"/>
  <c r="D5992" i="1"/>
  <c r="E5992" i="1"/>
  <c r="A5993" i="1"/>
  <c r="B5993" i="1"/>
  <c r="C5993" i="1"/>
  <c r="D5993" i="1"/>
  <c r="E5993" i="1"/>
  <c r="A5994" i="1"/>
  <c r="B5994" i="1"/>
  <c r="C5994" i="1"/>
  <c r="D5994" i="1"/>
  <c r="E5994" i="1"/>
  <c r="A5995" i="1"/>
  <c r="B5995" i="1"/>
  <c r="C5995" i="1"/>
  <c r="D5995" i="1"/>
  <c r="E5995" i="1"/>
  <c r="A5996" i="1"/>
  <c r="B5996" i="1"/>
  <c r="C5996" i="1"/>
  <c r="D5996" i="1"/>
  <c r="E5996" i="1"/>
  <c r="A5997" i="1"/>
  <c r="B5997" i="1"/>
  <c r="C5997" i="1"/>
  <c r="D5997" i="1"/>
  <c r="E5997" i="1"/>
  <c r="A5998" i="1"/>
  <c r="B5998" i="1"/>
  <c r="C5998" i="1"/>
  <c r="D5998" i="1"/>
  <c r="E5998" i="1"/>
  <c r="A5999" i="1"/>
  <c r="B5999" i="1"/>
  <c r="C5999" i="1"/>
  <c r="D5999" i="1"/>
  <c r="E5999" i="1"/>
  <c r="A6000" i="1"/>
  <c r="B6000" i="1"/>
  <c r="C6000" i="1"/>
  <c r="D6000" i="1"/>
  <c r="E6000" i="1"/>
  <c r="A6001" i="1"/>
  <c r="B6001" i="1"/>
  <c r="C6001" i="1"/>
  <c r="D6001" i="1"/>
  <c r="E6001" i="1"/>
  <c r="A6002" i="1"/>
  <c r="B6002" i="1"/>
  <c r="C6002" i="1"/>
  <c r="D6002" i="1"/>
  <c r="E6002" i="1"/>
  <c r="A6003" i="1"/>
  <c r="B6003" i="1"/>
  <c r="C6003" i="1"/>
  <c r="D6003" i="1"/>
  <c r="E6003" i="1"/>
  <c r="A6004" i="1"/>
  <c r="B6004" i="1"/>
  <c r="C6004" i="1"/>
  <c r="D6004" i="1"/>
  <c r="E6004" i="1"/>
  <c r="A6005" i="1"/>
  <c r="B6005" i="1"/>
  <c r="C6005" i="1"/>
  <c r="D6005" i="1"/>
  <c r="E6005" i="1"/>
  <c r="A6006" i="1"/>
  <c r="B6006" i="1"/>
  <c r="C6006" i="1"/>
  <c r="D6006" i="1"/>
  <c r="E6006" i="1"/>
  <c r="A6007" i="1"/>
  <c r="B6007" i="1"/>
  <c r="C6007" i="1"/>
  <c r="D6007" i="1"/>
  <c r="E6007" i="1"/>
  <c r="A6008" i="1"/>
  <c r="B6008" i="1"/>
  <c r="C6008" i="1"/>
  <c r="D6008" i="1"/>
  <c r="E6008" i="1"/>
  <c r="A6009" i="1"/>
  <c r="B6009" i="1"/>
  <c r="C6009" i="1"/>
  <c r="D6009" i="1"/>
  <c r="E6009" i="1"/>
  <c r="A6010" i="1"/>
  <c r="B6010" i="1"/>
  <c r="C6010" i="1"/>
  <c r="D6010" i="1"/>
  <c r="E6010" i="1"/>
  <c r="A6011" i="1"/>
  <c r="B6011" i="1"/>
  <c r="C6011" i="1"/>
  <c r="D6011" i="1"/>
  <c r="E6011" i="1"/>
  <c r="A6012" i="1"/>
  <c r="B6012" i="1"/>
  <c r="C6012" i="1"/>
  <c r="D6012" i="1"/>
  <c r="E6012" i="1"/>
  <c r="A6013" i="1"/>
  <c r="B6013" i="1"/>
  <c r="C6013" i="1"/>
  <c r="D6013" i="1"/>
  <c r="E6013" i="1"/>
  <c r="A6014" i="1"/>
  <c r="B6014" i="1"/>
  <c r="C6014" i="1"/>
  <c r="D6014" i="1"/>
  <c r="E6014" i="1"/>
  <c r="A6015" i="1"/>
  <c r="B6015" i="1"/>
  <c r="C6015" i="1"/>
  <c r="D6015" i="1"/>
  <c r="E6015" i="1"/>
  <c r="A6016" i="1"/>
  <c r="B6016" i="1"/>
  <c r="C6016" i="1"/>
  <c r="D6016" i="1"/>
  <c r="E6016" i="1"/>
  <c r="A6017" i="1"/>
  <c r="B6017" i="1"/>
  <c r="C6017" i="1"/>
  <c r="D6017" i="1"/>
  <c r="E6017" i="1"/>
  <c r="A6018" i="1"/>
  <c r="B6018" i="1"/>
  <c r="C6018" i="1"/>
  <c r="D6018" i="1"/>
  <c r="E6018" i="1"/>
  <c r="A6019" i="1"/>
  <c r="B6019" i="1"/>
  <c r="C6019" i="1"/>
  <c r="D6019" i="1"/>
  <c r="E6019" i="1"/>
  <c r="A6020" i="1"/>
  <c r="B6020" i="1"/>
  <c r="C6020" i="1"/>
  <c r="D6020" i="1"/>
  <c r="E6020" i="1"/>
  <c r="A6021" i="1"/>
  <c r="B6021" i="1"/>
  <c r="C6021" i="1"/>
  <c r="D6021" i="1"/>
  <c r="E6021" i="1"/>
  <c r="A6022" i="1"/>
  <c r="B6022" i="1"/>
  <c r="C6022" i="1"/>
  <c r="D6022" i="1"/>
  <c r="E6022" i="1"/>
  <c r="A6023" i="1"/>
  <c r="B6023" i="1"/>
  <c r="C6023" i="1"/>
  <c r="D6023" i="1"/>
  <c r="E6023" i="1"/>
  <c r="A6024" i="1"/>
  <c r="B6024" i="1"/>
  <c r="C6024" i="1"/>
  <c r="D6024" i="1"/>
  <c r="E6024" i="1"/>
  <c r="A6025" i="1"/>
  <c r="B6025" i="1"/>
  <c r="C6025" i="1"/>
  <c r="D6025" i="1"/>
  <c r="E6025" i="1"/>
  <c r="A6026" i="1"/>
  <c r="B6026" i="1"/>
  <c r="C6026" i="1"/>
  <c r="D6026" i="1"/>
  <c r="E6026" i="1"/>
  <c r="A6027" i="1"/>
  <c r="B6027" i="1"/>
  <c r="C6027" i="1"/>
  <c r="D6027" i="1"/>
  <c r="E6027" i="1"/>
  <c r="A6028" i="1"/>
  <c r="B6028" i="1"/>
  <c r="C6028" i="1"/>
  <c r="D6028" i="1"/>
  <c r="E6028" i="1"/>
  <c r="A6029" i="1"/>
  <c r="B6029" i="1"/>
  <c r="C6029" i="1"/>
  <c r="D6029" i="1"/>
  <c r="E6029" i="1"/>
  <c r="A6030" i="1"/>
  <c r="B6030" i="1"/>
  <c r="C6030" i="1"/>
  <c r="D6030" i="1"/>
  <c r="E6030" i="1"/>
  <c r="A6031" i="1"/>
  <c r="B6031" i="1"/>
  <c r="C6031" i="1"/>
  <c r="D6031" i="1"/>
  <c r="E6031" i="1"/>
  <c r="A6032" i="1"/>
  <c r="B6032" i="1"/>
  <c r="C6032" i="1"/>
  <c r="D6032" i="1"/>
  <c r="E6032" i="1"/>
  <c r="A6033" i="1"/>
  <c r="B6033" i="1"/>
  <c r="C6033" i="1"/>
  <c r="D6033" i="1"/>
  <c r="E6033" i="1"/>
  <c r="A6034" i="1"/>
  <c r="B6034" i="1"/>
  <c r="C6034" i="1"/>
  <c r="D6034" i="1"/>
  <c r="E6034" i="1"/>
  <c r="A6035" i="1"/>
  <c r="B6035" i="1"/>
  <c r="C6035" i="1"/>
  <c r="D6035" i="1"/>
  <c r="E6035" i="1"/>
  <c r="A6036" i="1"/>
  <c r="B6036" i="1"/>
  <c r="C6036" i="1"/>
  <c r="D6036" i="1"/>
  <c r="E6036" i="1"/>
  <c r="A6037" i="1"/>
  <c r="B6037" i="1"/>
  <c r="C6037" i="1"/>
  <c r="D6037" i="1"/>
  <c r="E6037" i="1"/>
  <c r="A6038" i="1"/>
  <c r="B6038" i="1"/>
  <c r="C6038" i="1"/>
  <c r="D6038" i="1"/>
  <c r="E6038" i="1"/>
  <c r="A6039" i="1"/>
  <c r="B6039" i="1"/>
  <c r="C6039" i="1"/>
  <c r="D6039" i="1"/>
  <c r="E6039" i="1"/>
  <c r="A6040" i="1"/>
  <c r="B6040" i="1"/>
  <c r="C6040" i="1"/>
  <c r="D6040" i="1"/>
  <c r="E6040" i="1"/>
  <c r="A6041" i="1"/>
  <c r="B6041" i="1"/>
  <c r="C6041" i="1"/>
  <c r="D6041" i="1"/>
  <c r="E6041" i="1"/>
  <c r="A6042" i="1"/>
  <c r="B6042" i="1"/>
  <c r="C6042" i="1"/>
  <c r="D6042" i="1"/>
  <c r="E6042" i="1"/>
  <c r="A6043" i="1"/>
  <c r="B6043" i="1"/>
  <c r="C6043" i="1"/>
  <c r="D6043" i="1"/>
  <c r="E6043" i="1"/>
  <c r="A6044" i="1"/>
  <c r="B6044" i="1"/>
  <c r="C6044" i="1"/>
  <c r="D6044" i="1"/>
  <c r="E6044" i="1"/>
  <c r="A6045" i="1"/>
  <c r="B6045" i="1"/>
  <c r="C6045" i="1"/>
  <c r="D6045" i="1"/>
  <c r="E6045" i="1"/>
  <c r="A6046" i="1"/>
  <c r="B6046" i="1"/>
  <c r="C6046" i="1"/>
  <c r="D6046" i="1"/>
  <c r="E6046" i="1"/>
  <c r="A6047" i="1"/>
  <c r="B6047" i="1"/>
  <c r="C6047" i="1"/>
  <c r="D6047" i="1"/>
  <c r="E6047" i="1"/>
  <c r="A6048" i="1"/>
  <c r="B6048" i="1"/>
  <c r="C6048" i="1"/>
  <c r="D6048" i="1"/>
  <c r="E6048" i="1"/>
  <c r="A6049" i="1"/>
  <c r="B6049" i="1"/>
  <c r="C6049" i="1"/>
  <c r="D6049" i="1"/>
  <c r="E6049" i="1"/>
  <c r="A6050" i="1"/>
  <c r="B6050" i="1"/>
  <c r="C6050" i="1"/>
  <c r="D6050" i="1"/>
  <c r="E6050" i="1"/>
  <c r="A6051" i="1"/>
  <c r="B6051" i="1"/>
  <c r="C6051" i="1"/>
  <c r="D6051" i="1"/>
  <c r="E6051" i="1"/>
  <c r="A6052" i="1"/>
  <c r="B6052" i="1"/>
  <c r="C6052" i="1"/>
  <c r="D6052" i="1"/>
  <c r="E6052" i="1"/>
  <c r="A6053" i="1"/>
  <c r="B6053" i="1"/>
  <c r="C6053" i="1"/>
  <c r="D6053" i="1"/>
  <c r="E6053" i="1"/>
  <c r="A6054" i="1"/>
  <c r="B6054" i="1"/>
  <c r="C6054" i="1"/>
  <c r="D6054" i="1"/>
  <c r="E6054" i="1"/>
  <c r="A6055" i="1"/>
  <c r="B6055" i="1"/>
  <c r="C6055" i="1"/>
  <c r="D6055" i="1"/>
  <c r="E6055" i="1"/>
  <c r="A6056" i="1"/>
  <c r="B6056" i="1"/>
  <c r="C6056" i="1"/>
  <c r="D6056" i="1"/>
  <c r="E6056" i="1"/>
  <c r="A6057" i="1"/>
  <c r="B6057" i="1"/>
  <c r="C6057" i="1"/>
  <c r="D6057" i="1"/>
  <c r="E6057" i="1"/>
  <c r="A6058" i="1"/>
  <c r="B6058" i="1"/>
  <c r="C6058" i="1"/>
  <c r="D6058" i="1"/>
  <c r="E6058" i="1"/>
  <c r="A6059" i="1"/>
  <c r="B6059" i="1"/>
  <c r="C6059" i="1"/>
  <c r="D6059" i="1"/>
  <c r="E6059" i="1"/>
  <c r="A6060" i="1"/>
  <c r="B6060" i="1"/>
  <c r="C6060" i="1"/>
  <c r="D6060" i="1"/>
  <c r="E6060" i="1"/>
  <c r="A6061" i="1"/>
  <c r="B6061" i="1"/>
  <c r="C6061" i="1"/>
  <c r="D6061" i="1"/>
  <c r="E6061" i="1"/>
  <c r="A6062" i="1"/>
  <c r="B6062" i="1"/>
  <c r="C6062" i="1"/>
  <c r="D6062" i="1"/>
  <c r="E6062" i="1"/>
  <c r="A6063" i="1"/>
  <c r="B6063" i="1"/>
  <c r="C6063" i="1"/>
  <c r="D6063" i="1"/>
  <c r="E6063" i="1"/>
  <c r="A6064" i="1"/>
  <c r="B6064" i="1"/>
  <c r="C6064" i="1"/>
  <c r="D6064" i="1"/>
  <c r="E6064" i="1"/>
  <c r="A6065" i="1"/>
  <c r="B6065" i="1"/>
  <c r="C6065" i="1"/>
  <c r="D6065" i="1"/>
  <c r="E6065" i="1"/>
  <c r="A6066" i="1"/>
  <c r="B6066" i="1"/>
  <c r="C6066" i="1"/>
  <c r="D6066" i="1"/>
  <c r="E6066" i="1"/>
  <c r="A6067" i="1"/>
  <c r="B6067" i="1"/>
  <c r="C6067" i="1"/>
  <c r="D6067" i="1"/>
  <c r="E6067" i="1"/>
  <c r="A6068" i="1"/>
  <c r="B6068" i="1"/>
  <c r="C6068" i="1"/>
  <c r="D6068" i="1"/>
  <c r="E6068" i="1"/>
  <c r="A6069" i="1"/>
  <c r="B6069" i="1"/>
  <c r="C6069" i="1"/>
  <c r="D6069" i="1"/>
  <c r="E6069" i="1"/>
  <c r="A6070" i="1"/>
  <c r="B6070" i="1"/>
  <c r="C6070" i="1"/>
  <c r="D6070" i="1"/>
  <c r="E6070" i="1"/>
  <c r="A6071" i="1"/>
  <c r="B6071" i="1"/>
  <c r="C6071" i="1"/>
  <c r="D6071" i="1"/>
  <c r="E6071" i="1"/>
  <c r="A6072" i="1"/>
  <c r="B6072" i="1"/>
  <c r="C6072" i="1"/>
  <c r="D6072" i="1"/>
  <c r="E6072" i="1"/>
  <c r="A6073" i="1"/>
  <c r="B6073" i="1"/>
  <c r="C6073" i="1"/>
  <c r="D6073" i="1"/>
  <c r="E6073" i="1"/>
  <c r="A6074" i="1"/>
  <c r="B6074" i="1"/>
  <c r="C6074" i="1"/>
  <c r="D6074" i="1"/>
  <c r="E6074" i="1"/>
  <c r="A6075" i="1"/>
  <c r="B6075" i="1"/>
  <c r="C6075" i="1"/>
  <c r="D6075" i="1"/>
  <c r="E6075" i="1"/>
  <c r="A6076" i="1"/>
  <c r="B6076" i="1"/>
  <c r="C6076" i="1"/>
  <c r="D6076" i="1"/>
  <c r="E6076" i="1"/>
  <c r="A6077" i="1"/>
  <c r="B6077" i="1"/>
  <c r="C6077" i="1"/>
  <c r="D6077" i="1"/>
  <c r="E6077" i="1"/>
  <c r="A6078" i="1"/>
  <c r="B6078" i="1"/>
  <c r="C6078" i="1"/>
  <c r="D6078" i="1"/>
  <c r="E6078" i="1"/>
  <c r="A6079" i="1"/>
  <c r="B6079" i="1"/>
  <c r="C6079" i="1"/>
  <c r="D6079" i="1"/>
  <c r="E6079" i="1"/>
  <c r="A6080" i="1"/>
  <c r="B6080" i="1"/>
  <c r="C6080" i="1"/>
  <c r="D6080" i="1"/>
  <c r="E6080" i="1"/>
  <c r="A6081" i="1"/>
  <c r="B6081" i="1"/>
  <c r="C6081" i="1"/>
  <c r="D6081" i="1"/>
  <c r="E6081" i="1"/>
  <c r="A6082" i="1"/>
  <c r="B6082" i="1"/>
  <c r="C6082" i="1"/>
  <c r="D6082" i="1"/>
  <c r="E6082" i="1"/>
  <c r="A6083" i="1"/>
  <c r="B6083" i="1"/>
  <c r="C6083" i="1"/>
  <c r="D6083" i="1"/>
  <c r="E6083" i="1"/>
  <c r="A6084" i="1"/>
  <c r="B6084" i="1"/>
  <c r="C6084" i="1"/>
  <c r="D6084" i="1"/>
  <c r="E6084" i="1"/>
  <c r="A6085" i="1"/>
  <c r="B6085" i="1"/>
  <c r="C6085" i="1"/>
  <c r="D6085" i="1"/>
  <c r="E6085" i="1"/>
  <c r="A6086" i="1"/>
  <c r="B6086" i="1"/>
  <c r="C6086" i="1"/>
  <c r="D6086" i="1"/>
  <c r="E6086" i="1"/>
  <c r="A6087" i="1"/>
  <c r="B6087" i="1"/>
  <c r="C6087" i="1"/>
  <c r="D6087" i="1"/>
  <c r="E6087" i="1"/>
  <c r="A6088" i="1"/>
  <c r="B6088" i="1"/>
  <c r="C6088" i="1"/>
  <c r="D6088" i="1"/>
  <c r="E6088" i="1"/>
  <c r="A6089" i="1"/>
  <c r="B6089" i="1"/>
  <c r="C6089" i="1"/>
  <c r="D6089" i="1"/>
  <c r="E6089" i="1"/>
  <c r="A6090" i="1"/>
  <c r="B6090" i="1"/>
  <c r="C6090" i="1"/>
  <c r="D6090" i="1"/>
  <c r="E6090" i="1"/>
  <c r="A6091" i="1"/>
  <c r="B6091" i="1"/>
  <c r="C6091" i="1"/>
  <c r="D6091" i="1"/>
  <c r="E6091" i="1"/>
  <c r="A6092" i="1"/>
  <c r="B6092" i="1"/>
  <c r="C6092" i="1"/>
  <c r="D6092" i="1"/>
  <c r="E6092" i="1"/>
  <c r="A6093" i="1"/>
  <c r="B6093" i="1"/>
  <c r="C6093" i="1"/>
  <c r="D6093" i="1"/>
  <c r="E6093" i="1"/>
  <c r="A6094" i="1"/>
  <c r="B6094" i="1"/>
  <c r="C6094" i="1"/>
  <c r="D6094" i="1"/>
  <c r="E6094" i="1"/>
  <c r="A6095" i="1"/>
  <c r="B6095" i="1"/>
  <c r="C6095" i="1"/>
  <c r="D6095" i="1"/>
  <c r="E6095" i="1"/>
  <c r="A6096" i="1"/>
  <c r="B6096" i="1"/>
  <c r="C6096" i="1"/>
  <c r="D6096" i="1"/>
  <c r="E6096" i="1"/>
  <c r="A6097" i="1"/>
  <c r="B6097" i="1"/>
  <c r="C6097" i="1"/>
  <c r="D6097" i="1"/>
  <c r="E6097" i="1"/>
  <c r="A6098" i="1"/>
  <c r="B6098" i="1"/>
  <c r="C6098" i="1"/>
  <c r="D6098" i="1"/>
  <c r="E6098" i="1"/>
  <c r="A6099" i="1"/>
  <c r="B6099" i="1"/>
  <c r="C6099" i="1"/>
  <c r="D6099" i="1"/>
  <c r="E6099" i="1"/>
  <c r="A6100" i="1"/>
  <c r="B6100" i="1"/>
  <c r="C6100" i="1"/>
  <c r="D6100" i="1"/>
  <c r="E6100" i="1"/>
  <c r="A6101" i="1"/>
  <c r="B6101" i="1"/>
  <c r="C6101" i="1"/>
  <c r="D6101" i="1"/>
  <c r="E6101" i="1"/>
  <c r="A6102" i="1"/>
  <c r="B6102" i="1"/>
  <c r="C6102" i="1"/>
  <c r="D6102" i="1"/>
  <c r="E6102" i="1"/>
  <c r="A6103" i="1"/>
  <c r="B6103" i="1"/>
  <c r="C6103" i="1"/>
  <c r="D6103" i="1"/>
  <c r="E6103" i="1"/>
  <c r="A6104" i="1"/>
  <c r="B6104" i="1"/>
  <c r="C6104" i="1"/>
  <c r="D6104" i="1"/>
  <c r="E6104" i="1"/>
  <c r="A6105" i="1"/>
  <c r="B6105" i="1"/>
  <c r="C6105" i="1"/>
  <c r="D6105" i="1"/>
  <c r="E6105" i="1"/>
  <c r="A6106" i="1"/>
  <c r="B6106" i="1"/>
  <c r="C6106" i="1"/>
  <c r="D6106" i="1"/>
  <c r="E6106" i="1"/>
  <c r="A6107" i="1"/>
  <c r="B6107" i="1"/>
  <c r="C6107" i="1"/>
  <c r="D6107" i="1"/>
  <c r="E6107" i="1"/>
  <c r="A6108" i="1"/>
  <c r="B6108" i="1"/>
  <c r="C6108" i="1"/>
  <c r="D6108" i="1"/>
  <c r="E6108" i="1"/>
  <c r="A6109" i="1"/>
  <c r="B6109" i="1"/>
  <c r="C6109" i="1"/>
  <c r="D6109" i="1"/>
  <c r="E6109" i="1"/>
  <c r="A6110" i="1"/>
  <c r="B6110" i="1"/>
  <c r="C6110" i="1"/>
  <c r="D6110" i="1"/>
  <c r="E6110" i="1"/>
  <c r="A6111" i="1"/>
  <c r="B6111" i="1"/>
  <c r="C6111" i="1"/>
  <c r="D6111" i="1"/>
  <c r="E6111" i="1"/>
  <c r="A6112" i="1"/>
  <c r="B6112" i="1"/>
  <c r="C6112" i="1"/>
  <c r="D6112" i="1"/>
  <c r="E6112" i="1"/>
  <c r="A6113" i="1"/>
  <c r="B6113" i="1"/>
  <c r="C6113" i="1"/>
  <c r="D6113" i="1"/>
  <c r="E6113" i="1"/>
  <c r="A6114" i="1"/>
  <c r="B6114" i="1"/>
  <c r="C6114" i="1"/>
  <c r="D6114" i="1"/>
  <c r="E6114" i="1"/>
  <c r="A6115" i="1"/>
  <c r="B6115" i="1"/>
  <c r="C6115" i="1"/>
  <c r="D6115" i="1"/>
  <c r="E6115" i="1"/>
  <c r="A6116" i="1"/>
  <c r="B6116" i="1"/>
  <c r="C6116" i="1"/>
  <c r="D6116" i="1"/>
  <c r="E6116" i="1"/>
  <c r="A6117" i="1"/>
  <c r="B6117" i="1"/>
  <c r="C6117" i="1"/>
  <c r="D6117" i="1"/>
  <c r="E6117" i="1"/>
  <c r="A6118" i="1"/>
  <c r="B6118" i="1"/>
  <c r="C6118" i="1"/>
  <c r="D6118" i="1"/>
  <c r="E6118" i="1"/>
  <c r="A6119" i="1"/>
  <c r="B6119" i="1"/>
  <c r="C6119" i="1"/>
  <c r="D6119" i="1"/>
  <c r="E6119" i="1"/>
  <c r="A6120" i="1"/>
  <c r="B6120" i="1"/>
  <c r="C6120" i="1"/>
  <c r="D6120" i="1"/>
  <c r="E6120" i="1"/>
  <c r="A6121" i="1"/>
  <c r="B6121" i="1"/>
  <c r="C6121" i="1"/>
  <c r="D6121" i="1"/>
  <c r="E6121" i="1"/>
  <c r="A6122" i="1"/>
  <c r="B6122" i="1"/>
  <c r="C6122" i="1"/>
  <c r="D6122" i="1"/>
  <c r="E6122" i="1"/>
  <c r="A6123" i="1"/>
  <c r="B6123" i="1"/>
  <c r="C6123" i="1"/>
  <c r="D6123" i="1"/>
  <c r="E6123" i="1"/>
  <c r="A6124" i="1"/>
  <c r="B6124" i="1"/>
  <c r="C6124" i="1"/>
  <c r="D6124" i="1"/>
  <c r="E6124" i="1"/>
  <c r="A6125" i="1"/>
  <c r="B6125" i="1"/>
  <c r="C6125" i="1"/>
  <c r="D6125" i="1"/>
  <c r="E6125" i="1"/>
  <c r="A6126" i="1"/>
  <c r="B6126" i="1"/>
  <c r="C6126" i="1"/>
  <c r="D6126" i="1"/>
  <c r="E6126" i="1"/>
  <c r="A6127" i="1"/>
  <c r="B6127" i="1"/>
  <c r="C6127" i="1"/>
  <c r="D6127" i="1"/>
  <c r="E6127" i="1"/>
  <c r="A6128" i="1"/>
  <c r="B6128" i="1"/>
  <c r="C6128" i="1"/>
  <c r="D6128" i="1"/>
  <c r="E6128" i="1"/>
  <c r="A6129" i="1"/>
  <c r="B6129" i="1"/>
  <c r="C6129" i="1"/>
  <c r="D6129" i="1"/>
  <c r="E6129" i="1"/>
  <c r="A6130" i="1"/>
  <c r="B6130" i="1"/>
  <c r="C6130" i="1"/>
  <c r="D6130" i="1"/>
  <c r="E6130" i="1"/>
  <c r="A6131" i="1"/>
  <c r="B6131" i="1"/>
  <c r="C6131" i="1"/>
  <c r="D6131" i="1"/>
  <c r="E6131" i="1"/>
  <c r="A6132" i="1"/>
  <c r="B6132" i="1"/>
  <c r="C6132" i="1"/>
  <c r="D6132" i="1"/>
  <c r="E6132" i="1"/>
  <c r="A6133" i="1"/>
  <c r="B6133" i="1"/>
  <c r="C6133" i="1"/>
  <c r="D6133" i="1"/>
  <c r="E6133" i="1"/>
  <c r="A6134" i="1"/>
  <c r="B6134" i="1"/>
  <c r="C6134" i="1"/>
  <c r="D6134" i="1"/>
  <c r="E6134" i="1"/>
  <c r="A6135" i="1"/>
  <c r="B6135" i="1"/>
  <c r="C6135" i="1"/>
  <c r="D6135" i="1"/>
  <c r="E6135" i="1"/>
  <c r="A6136" i="1"/>
  <c r="B6136" i="1"/>
  <c r="C6136" i="1"/>
  <c r="D6136" i="1"/>
  <c r="E6136" i="1"/>
  <c r="A6137" i="1"/>
  <c r="B6137" i="1"/>
  <c r="C6137" i="1"/>
  <c r="D6137" i="1"/>
  <c r="E6137" i="1"/>
  <c r="A6138" i="1"/>
  <c r="B6138" i="1"/>
  <c r="C6138" i="1"/>
  <c r="D6138" i="1"/>
  <c r="E6138" i="1"/>
  <c r="A6139" i="1"/>
  <c r="B6139" i="1"/>
  <c r="C6139" i="1"/>
  <c r="D6139" i="1"/>
  <c r="E6139" i="1"/>
  <c r="A6140" i="1"/>
  <c r="B6140" i="1"/>
  <c r="C6140" i="1"/>
  <c r="D6140" i="1"/>
  <c r="E6140" i="1"/>
  <c r="A6141" i="1"/>
  <c r="B6141" i="1"/>
  <c r="C6141" i="1"/>
  <c r="D6141" i="1"/>
  <c r="E6141" i="1"/>
  <c r="A6142" i="1"/>
  <c r="B6142" i="1"/>
  <c r="C6142" i="1"/>
  <c r="D6142" i="1"/>
  <c r="E6142" i="1"/>
  <c r="A6143" i="1"/>
  <c r="B6143" i="1"/>
  <c r="C6143" i="1"/>
  <c r="D6143" i="1"/>
  <c r="E6143" i="1"/>
  <c r="A6144" i="1"/>
  <c r="B6144" i="1"/>
  <c r="C6144" i="1"/>
  <c r="D6144" i="1"/>
  <c r="E6144" i="1"/>
  <c r="A6145" i="1"/>
  <c r="B6145" i="1"/>
  <c r="C6145" i="1"/>
  <c r="D6145" i="1"/>
  <c r="E6145" i="1"/>
  <c r="A6146" i="1"/>
  <c r="B6146" i="1"/>
  <c r="C6146" i="1"/>
  <c r="D6146" i="1"/>
  <c r="E6146" i="1"/>
  <c r="A6147" i="1"/>
  <c r="B6147" i="1"/>
  <c r="C6147" i="1"/>
  <c r="D6147" i="1"/>
  <c r="E6147" i="1"/>
  <c r="A6148" i="1"/>
  <c r="B6148" i="1"/>
  <c r="C6148" i="1"/>
  <c r="D6148" i="1"/>
  <c r="E6148" i="1"/>
  <c r="A6149" i="1"/>
  <c r="B6149" i="1"/>
  <c r="C6149" i="1"/>
  <c r="D6149" i="1"/>
  <c r="E6149" i="1"/>
  <c r="A6150" i="1"/>
  <c r="B6150" i="1"/>
  <c r="C6150" i="1"/>
  <c r="D6150" i="1"/>
  <c r="E6150" i="1"/>
  <c r="A6151" i="1"/>
  <c r="B6151" i="1"/>
  <c r="C6151" i="1"/>
  <c r="D6151" i="1"/>
  <c r="E6151" i="1"/>
  <c r="A6152" i="1"/>
  <c r="B6152" i="1"/>
  <c r="C6152" i="1"/>
  <c r="D6152" i="1"/>
  <c r="E6152" i="1"/>
  <c r="A6153" i="1"/>
  <c r="B6153" i="1"/>
  <c r="C6153" i="1"/>
  <c r="D6153" i="1"/>
  <c r="E6153" i="1"/>
  <c r="A6154" i="1"/>
  <c r="B6154" i="1"/>
  <c r="C6154" i="1"/>
  <c r="D6154" i="1"/>
  <c r="E6154" i="1"/>
  <c r="A6155" i="1"/>
  <c r="B6155" i="1"/>
  <c r="C6155" i="1"/>
  <c r="D6155" i="1"/>
  <c r="E6155" i="1"/>
  <c r="A6156" i="1"/>
  <c r="B6156" i="1"/>
  <c r="C6156" i="1"/>
  <c r="D6156" i="1"/>
  <c r="E6156" i="1"/>
  <c r="A6157" i="1"/>
  <c r="B6157" i="1"/>
  <c r="C6157" i="1"/>
  <c r="D6157" i="1"/>
  <c r="E6157" i="1"/>
  <c r="A6158" i="1"/>
  <c r="B6158" i="1"/>
  <c r="C6158" i="1"/>
  <c r="D6158" i="1"/>
  <c r="E6158" i="1"/>
  <c r="A6159" i="1"/>
  <c r="B6159" i="1"/>
  <c r="C6159" i="1"/>
  <c r="D6159" i="1"/>
  <c r="E6159" i="1"/>
  <c r="A6160" i="1"/>
  <c r="B6160" i="1"/>
  <c r="C6160" i="1"/>
  <c r="D6160" i="1"/>
  <c r="E6160" i="1"/>
  <c r="A6161" i="1"/>
  <c r="B6161" i="1"/>
  <c r="C6161" i="1"/>
  <c r="D6161" i="1"/>
  <c r="E6161" i="1"/>
  <c r="A6162" i="1"/>
  <c r="B6162" i="1"/>
  <c r="C6162" i="1"/>
  <c r="D6162" i="1"/>
  <c r="E6162" i="1"/>
  <c r="A6163" i="1"/>
  <c r="B6163" i="1"/>
  <c r="C6163" i="1"/>
  <c r="D6163" i="1"/>
  <c r="E6163" i="1"/>
  <c r="A6164" i="1"/>
  <c r="B6164" i="1"/>
  <c r="C6164" i="1"/>
  <c r="D6164" i="1"/>
  <c r="E6164" i="1"/>
  <c r="A6165" i="1"/>
  <c r="B6165" i="1"/>
  <c r="C6165" i="1"/>
  <c r="D6165" i="1"/>
  <c r="E6165" i="1"/>
  <c r="A6166" i="1"/>
  <c r="B6166" i="1"/>
  <c r="C6166" i="1"/>
  <c r="D6166" i="1"/>
  <c r="E6166" i="1"/>
  <c r="A6167" i="1"/>
  <c r="B6167" i="1"/>
  <c r="C6167" i="1"/>
  <c r="D6167" i="1"/>
  <c r="E6167" i="1"/>
  <c r="A6168" i="1"/>
  <c r="B6168" i="1"/>
  <c r="C6168" i="1"/>
  <c r="D6168" i="1"/>
  <c r="E6168" i="1"/>
  <c r="A6169" i="1"/>
  <c r="B6169" i="1"/>
  <c r="C6169" i="1"/>
  <c r="D6169" i="1"/>
  <c r="E6169" i="1"/>
  <c r="A6170" i="1"/>
  <c r="B6170" i="1"/>
  <c r="C6170" i="1"/>
  <c r="D6170" i="1"/>
  <c r="E6170" i="1"/>
  <c r="A6171" i="1"/>
  <c r="B6171" i="1"/>
  <c r="C6171" i="1"/>
  <c r="D6171" i="1"/>
  <c r="E6171" i="1"/>
  <c r="A6172" i="1"/>
  <c r="B6172" i="1"/>
  <c r="C6172" i="1"/>
  <c r="D6172" i="1"/>
  <c r="E6172" i="1"/>
  <c r="A6173" i="1"/>
  <c r="B6173" i="1"/>
  <c r="C6173" i="1"/>
  <c r="D6173" i="1"/>
  <c r="E6173" i="1"/>
  <c r="A6174" i="1"/>
  <c r="B6174" i="1"/>
  <c r="C6174" i="1"/>
  <c r="D6174" i="1"/>
  <c r="E6174" i="1"/>
  <c r="A6175" i="1"/>
  <c r="B6175" i="1"/>
  <c r="C6175" i="1"/>
  <c r="D6175" i="1"/>
  <c r="E6175" i="1"/>
  <c r="A6176" i="1"/>
  <c r="B6176" i="1"/>
  <c r="C6176" i="1"/>
  <c r="D6176" i="1"/>
  <c r="E6176" i="1"/>
  <c r="A6177" i="1"/>
  <c r="B6177" i="1"/>
  <c r="C6177" i="1"/>
  <c r="D6177" i="1"/>
  <c r="E6177" i="1"/>
  <c r="A6178" i="1"/>
  <c r="B6178" i="1"/>
  <c r="C6178" i="1"/>
  <c r="D6178" i="1"/>
  <c r="E6178" i="1"/>
  <c r="A6179" i="1"/>
  <c r="B6179" i="1"/>
  <c r="C6179" i="1"/>
  <c r="D6179" i="1"/>
  <c r="E6179" i="1"/>
  <c r="A6180" i="1"/>
  <c r="B6180" i="1"/>
  <c r="C6180" i="1"/>
  <c r="D6180" i="1"/>
  <c r="E6180" i="1"/>
  <c r="A6181" i="1"/>
  <c r="B6181" i="1"/>
  <c r="C6181" i="1"/>
  <c r="D6181" i="1"/>
  <c r="E6181" i="1"/>
  <c r="A6182" i="1"/>
  <c r="B6182" i="1"/>
  <c r="C6182" i="1"/>
  <c r="D6182" i="1"/>
  <c r="E6182" i="1"/>
  <c r="A6183" i="1"/>
  <c r="B6183" i="1"/>
  <c r="C6183" i="1"/>
  <c r="D6183" i="1"/>
  <c r="E6183" i="1"/>
  <c r="A6184" i="1"/>
  <c r="B6184" i="1"/>
  <c r="C6184" i="1"/>
  <c r="D6184" i="1"/>
  <c r="E6184" i="1"/>
  <c r="A6185" i="1"/>
  <c r="B6185" i="1"/>
  <c r="C6185" i="1"/>
  <c r="D6185" i="1"/>
  <c r="E6185" i="1"/>
  <c r="A6186" i="1"/>
  <c r="B6186" i="1"/>
  <c r="C6186" i="1"/>
  <c r="D6186" i="1"/>
  <c r="E6186" i="1"/>
  <c r="A6187" i="1"/>
  <c r="B6187" i="1"/>
  <c r="C6187" i="1"/>
  <c r="D6187" i="1"/>
  <c r="E6187" i="1"/>
  <c r="A6188" i="1"/>
  <c r="B6188" i="1"/>
  <c r="C6188" i="1"/>
  <c r="D6188" i="1"/>
  <c r="E6188" i="1"/>
  <c r="A6189" i="1"/>
  <c r="B6189" i="1"/>
  <c r="C6189" i="1"/>
  <c r="D6189" i="1"/>
  <c r="E6189" i="1"/>
  <c r="A6190" i="1"/>
  <c r="B6190" i="1"/>
  <c r="C6190" i="1"/>
  <c r="D6190" i="1"/>
  <c r="E6190" i="1"/>
  <c r="A6191" i="1"/>
  <c r="B6191" i="1"/>
  <c r="C6191" i="1"/>
  <c r="D6191" i="1"/>
  <c r="E6191" i="1"/>
  <c r="A6192" i="1"/>
  <c r="B6192" i="1"/>
  <c r="C6192" i="1"/>
  <c r="D6192" i="1"/>
  <c r="E6192" i="1"/>
  <c r="A6193" i="1"/>
  <c r="B6193" i="1"/>
  <c r="C6193" i="1"/>
  <c r="D6193" i="1"/>
  <c r="E6193" i="1"/>
  <c r="A6194" i="1"/>
  <c r="B6194" i="1"/>
  <c r="C6194" i="1"/>
  <c r="D6194" i="1"/>
  <c r="E6194" i="1"/>
  <c r="A6195" i="1"/>
  <c r="B6195" i="1"/>
  <c r="C6195" i="1"/>
  <c r="D6195" i="1"/>
  <c r="E6195" i="1"/>
  <c r="A6196" i="1"/>
  <c r="B6196" i="1"/>
  <c r="C6196" i="1"/>
  <c r="D6196" i="1"/>
  <c r="E6196" i="1"/>
  <c r="A6197" i="1"/>
  <c r="B6197" i="1"/>
  <c r="C6197" i="1"/>
  <c r="D6197" i="1"/>
  <c r="E6197" i="1"/>
  <c r="A6198" i="1"/>
  <c r="B6198" i="1"/>
  <c r="C6198" i="1"/>
  <c r="D6198" i="1"/>
  <c r="E6198" i="1"/>
  <c r="A6199" i="1"/>
  <c r="B6199" i="1"/>
  <c r="C6199" i="1"/>
  <c r="D6199" i="1"/>
  <c r="E6199" i="1"/>
  <c r="A6200" i="1"/>
  <c r="B6200" i="1"/>
  <c r="C6200" i="1"/>
  <c r="D6200" i="1"/>
  <c r="E6200" i="1"/>
  <c r="A6201" i="1"/>
  <c r="B6201" i="1"/>
  <c r="C6201" i="1"/>
  <c r="D6201" i="1"/>
  <c r="E6201" i="1"/>
  <c r="A6202" i="1"/>
  <c r="B6202" i="1"/>
  <c r="C6202" i="1"/>
  <c r="D6202" i="1"/>
  <c r="E6202" i="1"/>
  <c r="A6203" i="1"/>
  <c r="B6203" i="1"/>
  <c r="C6203" i="1"/>
  <c r="D6203" i="1"/>
  <c r="E6203" i="1"/>
  <c r="A6204" i="1"/>
  <c r="B6204" i="1"/>
  <c r="C6204" i="1"/>
  <c r="D6204" i="1"/>
  <c r="E6204" i="1"/>
  <c r="A6205" i="1"/>
  <c r="B6205" i="1"/>
  <c r="C6205" i="1"/>
  <c r="D6205" i="1"/>
  <c r="E6205" i="1"/>
  <c r="A6206" i="1"/>
  <c r="B6206" i="1"/>
  <c r="C6206" i="1"/>
  <c r="D6206" i="1"/>
  <c r="E6206" i="1"/>
  <c r="A6207" i="1"/>
  <c r="B6207" i="1"/>
  <c r="C6207" i="1"/>
  <c r="D6207" i="1"/>
  <c r="E6207" i="1"/>
  <c r="A6208" i="1"/>
  <c r="B6208" i="1"/>
  <c r="C6208" i="1"/>
  <c r="D6208" i="1"/>
  <c r="E6208" i="1"/>
  <c r="A6209" i="1"/>
  <c r="B6209" i="1"/>
  <c r="C6209" i="1"/>
  <c r="D6209" i="1"/>
  <c r="E6209" i="1"/>
  <c r="A6210" i="1"/>
  <c r="B6210" i="1"/>
  <c r="C6210" i="1"/>
  <c r="D6210" i="1"/>
  <c r="E6210" i="1"/>
  <c r="A6211" i="1"/>
  <c r="B6211" i="1"/>
  <c r="C6211" i="1"/>
  <c r="D6211" i="1"/>
  <c r="E6211" i="1"/>
  <c r="A6212" i="1"/>
  <c r="B6212" i="1"/>
  <c r="C6212" i="1"/>
  <c r="D6212" i="1"/>
  <c r="E6212" i="1"/>
  <c r="A6213" i="1"/>
  <c r="B6213" i="1"/>
  <c r="C6213" i="1"/>
  <c r="D6213" i="1"/>
  <c r="E6213" i="1"/>
  <c r="A6214" i="1"/>
  <c r="B6214" i="1"/>
  <c r="C6214" i="1"/>
  <c r="D6214" i="1"/>
  <c r="E6214" i="1"/>
  <c r="A6215" i="1"/>
  <c r="B6215" i="1"/>
  <c r="C6215" i="1"/>
  <c r="D6215" i="1"/>
  <c r="E6215" i="1"/>
  <c r="A6216" i="1"/>
  <c r="B6216" i="1"/>
  <c r="C6216" i="1"/>
  <c r="D6216" i="1"/>
  <c r="E6216" i="1"/>
  <c r="A6217" i="1"/>
  <c r="B6217" i="1"/>
  <c r="C6217" i="1"/>
  <c r="D6217" i="1"/>
  <c r="E6217" i="1"/>
  <c r="A6218" i="1"/>
  <c r="B6218" i="1"/>
  <c r="C6218" i="1"/>
  <c r="D6218" i="1"/>
  <c r="E6218" i="1"/>
  <c r="A6219" i="1"/>
  <c r="B6219" i="1"/>
  <c r="C6219" i="1"/>
  <c r="D6219" i="1"/>
  <c r="E6219" i="1"/>
  <c r="A6220" i="1"/>
  <c r="B6220" i="1"/>
  <c r="C6220" i="1"/>
  <c r="D6220" i="1"/>
  <c r="E6220" i="1"/>
  <c r="A6221" i="1"/>
  <c r="B6221" i="1"/>
  <c r="C6221" i="1"/>
  <c r="D6221" i="1"/>
  <c r="E6221" i="1"/>
  <c r="A6222" i="1"/>
  <c r="B6222" i="1"/>
  <c r="C6222" i="1"/>
  <c r="D6222" i="1"/>
  <c r="E6222" i="1"/>
  <c r="A6223" i="1"/>
  <c r="B6223" i="1"/>
  <c r="C6223" i="1"/>
  <c r="D6223" i="1"/>
  <c r="E6223" i="1"/>
  <c r="A6224" i="1"/>
  <c r="B6224" i="1"/>
  <c r="C6224" i="1"/>
  <c r="D6224" i="1"/>
  <c r="E6224" i="1"/>
  <c r="A6225" i="1"/>
  <c r="B6225" i="1"/>
  <c r="C6225" i="1"/>
  <c r="D6225" i="1"/>
  <c r="E6225" i="1"/>
  <c r="A6226" i="1"/>
  <c r="B6226" i="1"/>
  <c r="C6226" i="1"/>
  <c r="D6226" i="1"/>
  <c r="E6226" i="1"/>
  <c r="A6227" i="1"/>
  <c r="B6227" i="1"/>
  <c r="C6227" i="1"/>
  <c r="D6227" i="1"/>
  <c r="E6227" i="1"/>
  <c r="A6228" i="1"/>
  <c r="B6228" i="1"/>
  <c r="C6228" i="1"/>
  <c r="D6228" i="1"/>
  <c r="E6228" i="1"/>
  <c r="A6229" i="1"/>
  <c r="B6229" i="1"/>
  <c r="C6229" i="1"/>
  <c r="D6229" i="1"/>
  <c r="E6229" i="1"/>
  <c r="A6230" i="1"/>
  <c r="B6230" i="1"/>
  <c r="C6230" i="1"/>
  <c r="D6230" i="1"/>
  <c r="E6230" i="1"/>
  <c r="A6231" i="1"/>
  <c r="B6231" i="1"/>
  <c r="C6231" i="1"/>
  <c r="D6231" i="1"/>
  <c r="E6231" i="1"/>
  <c r="A6232" i="1"/>
  <c r="B6232" i="1"/>
  <c r="C6232" i="1"/>
  <c r="D6232" i="1"/>
  <c r="E6232" i="1"/>
  <c r="A6233" i="1"/>
  <c r="B6233" i="1"/>
  <c r="C6233" i="1"/>
  <c r="D6233" i="1"/>
  <c r="E6233" i="1"/>
  <c r="A6234" i="1"/>
  <c r="B6234" i="1"/>
  <c r="C6234" i="1"/>
  <c r="D6234" i="1"/>
  <c r="E6234" i="1"/>
  <c r="A6235" i="1"/>
  <c r="B6235" i="1"/>
  <c r="C6235" i="1"/>
  <c r="D6235" i="1"/>
  <c r="E6235" i="1"/>
  <c r="A6236" i="1"/>
  <c r="B6236" i="1"/>
  <c r="C6236" i="1"/>
  <c r="D6236" i="1"/>
  <c r="E6236" i="1"/>
  <c r="A6237" i="1"/>
  <c r="B6237" i="1"/>
  <c r="C6237" i="1"/>
  <c r="D6237" i="1"/>
  <c r="E6237" i="1"/>
  <c r="A6238" i="1"/>
  <c r="B6238" i="1"/>
  <c r="C6238" i="1"/>
  <c r="D6238" i="1"/>
  <c r="E6238" i="1"/>
  <c r="A6239" i="1"/>
  <c r="B6239" i="1"/>
  <c r="C6239" i="1"/>
  <c r="D6239" i="1"/>
  <c r="E6239" i="1"/>
  <c r="A6240" i="1"/>
  <c r="B6240" i="1"/>
  <c r="C6240" i="1"/>
  <c r="D6240" i="1"/>
  <c r="E6240" i="1"/>
  <c r="A6241" i="1"/>
  <c r="B6241" i="1"/>
  <c r="C6241" i="1"/>
  <c r="D6241" i="1"/>
  <c r="E6241" i="1"/>
  <c r="A6242" i="1"/>
  <c r="B6242" i="1"/>
  <c r="C6242" i="1"/>
  <c r="D6242" i="1"/>
  <c r="E6242" i="1"/>
  <c r="A6243" i="1"/>
  <c r="B6243" i="1"/>
  <c r="C6243" i="1"/>
  <c r="D6243" i="1"/>
  <c r="E6243" i="1"/>
  <c r="A6244" i="1"/>
  <c r="B6244" i="1"/>
  <c r="C6244" i="1"/>
  <c r="D6244" i="1"/>
  <c r="E6244" i="1"/>
  <c r="A6245" i="1"/>
  <c r="B6245" i="1"/>
  <c r="C6245" i="1"/>
  <c r="D6245" i="1"/>
  <c r="E6245" i="1"/>
  <c r="A6246" i="1"/>
  <c r="B6246" i="1"/>
  <c r="C6246" i="1"/>
  <c r="D6246" i="1"/>
  <c r="E6246" i="1"/>
  <c r="A6247" i="1"/>
  <c r="B6247" i="1"/>
  <c r="C6247" i="1"/>
  <c r="D6247" i="1"/>
  <c r="E6247" i="1"/>
  <c r="A6248" i="1"/>
  <c r="B6248" i="1"/>
  <c r="C6248" i="1"/>
  <c r="D6248" i="1"/>
  <c r="E6248" i="1"/>
  <c r="A6249" i="1"/>
  <c r="B6249" i="1"/>
  <c r="C6249" i="1"/>
  <c r="D6249" i="1"/>
  <c r="E6249" i="1"/>
  <c r="A6250" i="1"/>
  <c r="B6250" i="1"/>
  <c r="C6250" i="1"/>
  <c r="D6250" i="1"/>
  <c r="E6250" i="1"/>
  <c r="A6251" i="1"/>
  <c r="B6251" i="1"/>
  <c r="C6251" i="1"/>
  <c r="D6251" i="1"/>
  <c r="E6251" i="1"/>
  <c r="A6252" i="1"/>
  <c r="B6252" i="1"/>
  <c r="C6252" i="1"/>
  <c r="D6252" i="1"/>
  <c r="E6252" i="1"/>
  <c r="A6253" i="1"/>
  <c r="B6253" i="1"/>
  <c r="C6253" i="1"/>
  <c r="D6253" i="1"/>
  <c r="E6253" i="1"/>
  <c r="A6254" i="1"/>
  <c r="B6254" i="1"/>
  <c r="C6254" i="1"/>
  <c r="D6254" i="1"/>
  <c r="E6254" i="1"/>
  <c r="A6255" i="1"/>
  <c r="B6255" i="1"/>
  <c r="C6255" i="1"/>
  <c r="D6255" i="1"/>
  <c r="E6255" i="1"/>
  <c r="A6256" i="1"/>
  <c r="B6256" i="1"/>
  <c r="C6256" i="1"/>
  <c r="D6256" i="1"/>
  <c r="E6256" i="1"/>
  <c r="A6257" i="1"/>
  <c r="B6257" i="1"/>
  <c r="C6257" i="1"/>
  <c r="D6257" i="1"/>
  <c r="E6257" i="1"/>
  <c r="A6258" i="1"/>
  <c r="B6258" i="1"/>
  <c r="C6258" i="1"/>
  <c r="D6258" i="1"/>
  <c r="E6258" i="1"/>
  <c r="A6259" i="1"/>
  <c r="B6259" i="1"/>
  <c r="C6259" i="1"/>
  <c r="D6259" i="1"/>
  <c r="E6259" i="1"/>
  <c r="A6260" i="1"/>
  <c r="B6260" i="1"/>
  <c r="C6260" i="1"/>
  <c r="D6260" i="1"/>
  <c r="E6260" i="1"/>
  <c r="A6261" i="1"/>
  <c r="B6261" i="1"/>
  <c r="C6261" i="1"/>
  <c r="D6261" i="1"/>
  <c r="E6261" i="1"/>
  <c r="A6262" i="1"/>
  <c r="B6262" i="1"/>
  <c r="C6262" i="1"/>
  <c r="D6262" i="1"/>
  <c r="E6262" i="1"/>
  <c r="A6263" i="1"/>
  <c r="B6263" i="1"/>
  <c r="C6263" i="1"/>
  <c r="D6263" i="1"/>
  <c r="E6263" i="1"/>
  <c r="A6264" i="1"/>
  <c r="B6264" i="1"/>
  <c r="C6264" i="1"/>
  <c r="D6264" i="1"/>
  <c r="E6264" i="1"/>
  <c r="A6265" i="1"/>
  <c r="B6265" i="1"/>
  <c r="C6265" i="1"/>
  <c r="D6265" i="1"/>
  <c r="E6265" i="1"/>
  <c r="A6266" i="1"/>
  <c r="B6266" i="1"/>
  <c r="C6266" i="1"/>
  <c r="D6266" i="1"/>
  <c r="E6266" i="1"/>
  <c r="A6267" i="1"/>
  <c r="B6267" i="1"/>
  <c r="C6267" i="1"/>
  <c r="D6267" i="1"/>
  <c r="E6267" i="1"/>
  <c r="A6268" i="1"/>
  <c r="B6268" i="1"/>
  <c r="C6268" i="1"/>
  <c r="D6268" i="1"/>
  <c r="E6268" i="1"/>
  <c r="A6269" i="1"/>
  <c r="B6269" i="1"/>
  <c r="C6269" i="1"/>
  <c r="D6269" i="1"/>
  <c r="E6269" i="1"/>
  <c r="A6270" i="1"/>
  <c r="B6270" i="1"/>
  <c r="C6270" i="1"/>
  <c r="D6270" i="1"/>
  <c r="E6270" i="1"/>
  <c r="A6271" i="1"/>
  <c r="B6271" i="1"/>
  <c r="C6271" i="1"/>
  <c r="D6271" i="1"/>
  <c r="E6271" i="1"/>
  <c r="A6272" i="1"/>
  <c r="B6272" i="1"/>
  <c r="C6272" i="1"/>
  <c r="D6272" i="1"/>
  <c r="E6272" i="1"/>
  <c r="A6273" i="1"/>
  <c r="B6273" i="1"/>
  <c r="C6273" i="1"/>
  <c r="D6273" i="1"/>
  <c r="E6273" i="1"/>
  <c r="A6274" i="1"/>
  <c r="B6274" i="1"/>
  <c r="C6274" i="1"/>
  <c r="D6274" i="1"/>
  <c r="E6274" i="1"/>
  <c r="A6275" i="1"/>
  <c r="B6275" i="1"/>
  <c r="C6275" i="1"/>
  <c r="D6275" i="1"/>
  <c r="E6275" i="1"/>
  <c r="A6276" i="1"/>
  <c r="B6276" i="1"/>
  <c r="C6276" i="1"/>
  <c r="D6276" i="1"/>
  <c r="E6276" i="1"/>
  <c r="A6277" i="1"/>
  <c r="B6277" i="1"/>
  <c r="C6277" i="1"/>
  <c r="D6277" i="1"/>
  <c r="E6277" i="1"/>
  <c r="A6278" i="1"/>
  <c r="B6278" i="1"/>
  <c r="C6278" i="1"/>
  <c r="D6278" i="1"/>
  <c r="E6278" i="1"/>
  <c r="A6279" i="1"/>
  <c r="B6279" i="1"/>
  <c r="C6279" i="1"/>
  <c r="D6279" i="1"/>
  <c r="E6279" i="1"/>
  <c r="A6280" i="1"/>
  <c r="B6280" i="1"/>
  <c r="C6280" i="1"/>
  <c r="D6280" i="1"/>
  <c r="E6280" i="1"/>
  <c r="A6281" i="1"/>
  <c r="B6281" i="1"/>
  <c r="C6281" i="1"/>
  <c r="D6281" i="1"/>
  <c r="E6281" i="1"/>
  <c r="A6282" i="1"/>
  <c r="B6282" i="1"/>
  <c r="C6282" i="1"/>
  <c r="D6282" i="1"/>
  <c r="E6282" i="1"/>
  <c r="A6283" i="1"/>
  <c r="B6283" i="1"/>
  <c r="C6283" i="1"/>
  <c r="D6283" i="1"/>
  <c r="E6283" i="1"/>
  <c r="A6284" i="1"/>
  <c r="B6284" i="1"/>
  <c r="C6284" i="1"/>
  <c r="D6284" i="1"/>
  <c r="E6284" i="1"/>
  <c r="A6285" i="1"/>
  <c r="B6285" i="1"/>
  <c r="C6285" i="1"/>
  <c r="D6285" i="1"/>
  <c r="E6285" i="1"/>
  <c r="A6286" i="1"/>
  <c r="B6286" i="1"/>
  <c r="C6286" i="1"/>
  <c r="D6286" i="1"/>
  <c r="E6286" i="1"/>
  <c r="A6287" i="1"/>
  <c r="B6287" i="1"/>
  <c r="C6287" i="1"/>
  <c r="D6287" i="1"/>
  <c r="E6287" i="1"/>
  <c r="A6288" i="1"/>
  <c r="B6288" i="1"/>
  <c r="C6288" i="1"/>
  <c r="D6288" i="1"/>
  <c r="E6288" i="1"/>
  <c r="A6289" i="1"/>
  <c r="B6289" i="1"/>
  <c r="C6289" i="1"/>
  <c r="D6289" i="1"/>
  <c r="E6289" i="1"/>
  <c r="A6290" i="1"/>
  <c r="B6290" i="1"/>
  <c r="C6290" i="1"/>
  <c r="D6290" i="1"/>
  <c r="E6290" i="1"/>
  <c r="A6291" i="1"/>
  <c r="B6291" i="1"/>
  <c r="C6291" i="1"/>
  <c r="D6291" i="1"/>
  <c r="E6291" i="1"/>
  <c r="A6292" i="1"/>
  <c r="B6292" i="1"/>
  <c r="C6292" i="1"/>
  <c r="D6292" i="1"/>
  <c r="E6292" i="1"/>
  <c r="A6293" i="1"/>
  <c r="B6293" i="1"/>
  <c r="C6293" i="1"/>
  <c r="D6293" i="1"/>
  <c r="E6293" i="1"/>
  <c r="A6294" i="1"/>
  <c r="B6294" i="1"/>
  <c r="C6294" i="1"/>
  <c r="D6294" i="1"/>
  <c r="E6294" i="1"/>
  <c r="A6295" i="1"/>
  <c r="B6295" i="1"/>
  <c r="C6295" i="1"/>
  <c r="D6295" i="1"/>
  <c r="E6295" i="1"/>
  <c r="A6296" i="1"/>
  <c r="B6296" i="1"/>
  <c r="C6296" i="1"/>
  <c r="D6296" i="1"/>
  <c r="E6296" i="1"/>
  <c r="A6297" i="1"/>
  <c r="B6297" i="1"/>
  <c r="C6297" i="1"/>
  <c r="D6297" i="1"/>
  <c r="E6297" i="1"/>
  <c r="A6298" i="1"/>
  <c r="B6298" i="1"/>
  <c r="C6298" i="1"/>
  <c r="D6298" i="1"/>
  <c r="E6298" i="1"/>
  <c r="A6299" i="1"/>
  <c r="B6299" i="1"/>
  <c r="C6299" i="1"/>
  <c r="D6299" i="1"/>
  <c r="E6299" i="1"/>
  <c r="A6300" i="1"/>
  <c r="B6300" i="1"/>
  <c r="C6300" i="1"/>
  <c r="D6300" i="1"/>
  <c r="E6300" i="1"/>
  <c r="A6301" i="1"/>
  <c r="B6301" i="1"/>
  <c r="C6301" i="1"/>
  <c r="D6301" i="1"/>
  <c r="E6301" i="1"/>
  <c r="A6302" i="1"/>
  <c r="B6302" i="1"/>
  <c r="C6302" i="1"/>
  <c r="D6302" i="1"/>
  <c r="E6302" i="1"/>
  <c r="A6303" i="1"/>
  <c r="B6303" i="1"/>
  <c r="C6303" i="1"/>
  <c r="D6303" i="1"/>
  <c r="E6303" i="1"/>
  <c r="A6304" i="1"/>
  <c r="B6304" i="1"/>
  <c r="C6304" i="1"/>
  <c r="D6304" i="1"/>
  <c r="E6304" i="1"/>
  <c r="A6305" i="1"/>
  <c r="B6305" i="1"/>
  <c r="C6305" i="1"/>
  <c r="D6305" i="1"/>
  <c r="E6305" i="1"/>
  <c r="A6306" i="1"/>
  <c r="B6306" i="1"/>
  <c r="C6306" i="1"/>
  <c r="D6306" i="1"/>
  <c r="E6306" i="1"/>
  <c r="A6307" i="1"/>
  <c r="B6307" i="1"/>
  <c r="C6307" i="1"/>
  <c r="D6307" i="1"/>
  <c r="E6307" i="1"/>
  <c r="A6308" i="1"/>
  <c r="B6308" i="1"/>
  <c r="C6308" i="1"/>
  <c r="D6308" i="1"/>
  <c r="E6308" i="1"/>
  <c r="A6309" i="1"/>
  <c r="B6309" i="1"/>
  <c r="C6309" i="1"/>
  <c r="D6309" i="1"/>
  <c r="E6309" i="1"/>
  <c r="A6310" i="1"/>
  <c r="B6310" i="1"/>
  <c r="C6310" i="1"/>
  <c r="D6310" i="1"/>
  <c r="E6310" i="1"/>
  <c r="A6311" i="1"/>
  <c r="B6311" i="1"/>
  <c r="C6311" i="1"/>
  <c r="D6311" i="1"/>
  <c r="E6311" i="1"/>
  <c r="A6312" i="1"/>
  <c r="B6312" i="1"/>
  <c r="C6312" i="1"/>
  <c r="D6312" i="1"/>
  <c r="E6312" i="1"/>
  <c r="A6313" i="1"/>
  <c r="B6313" i="1"/>
  <c r="C6313" i="1"/>
  <c r="D6313" i="1"/>
  <c r="E6313" i="1"/>
  <c r="A6314" i="1"/>
  <c r="B6314" i="1"/>
  <c r="C6314" i="1"/>
  <c r="D6314" i="1"/>
  <c r="E6314" i="1"/>
  <c r="A6315" i="1"/>
  <c r="B6315" i="1"/>
  <c r="C6315" i="1"/>
  <c r="D6315" i="1"/>
  <c r="E6315" i="1"/>
  <c r="A6316" i="1"/>
  <c r="B6316" i="1"/>
  <c r="C6316" i="1"/>
  <c r="D6316" i="1"/>
  <c r="E6316" i="1"/>
  <c r="A6317" i="1"/>
  <c r="B6317" i="1"/>
  <c r="C6317" i="1"/>
  <c r="D6317" i="1"/>
  <c r="E6317" i="1"/>
  <c r="A6318" i="1"/>
  <c r="B6318" i="1"/>
  <c r="C6318" i="1"/>
  <c r="D6318" i="1"/>
  <c r="E6318" i="1"/>
  <c r="A6319" i="1"/>
  <c r="B6319" i="1"/>
  <c r="C6319" i="1"/>
  <c r="D6319" i="1"/>
  <c r="E6319" i="1"/>
  <c r="A6320" i="1"/>
  <c r="B6320" i="1"/>
  <c r="C6320" i="1"/>
  <c r="D6320" i="1"/>
  <c r="E6320" i="1"/>
  <c r="A6321" i="1"/>
  <c r="B6321" i="1"/>
  <c r="C6321" i="1"/>
  <c r="D6321" i="1"/>
  <c r="E6321" i="1"/>
  <c r="A6322" i="1"/>
  <c r="B6322" i="1"/>
  <c r="C6322" i="1"/>
  <c r="D6322" i="1"/>
  <c r="E6322" i="1"/>
  <c r="A6323" i="1"/>
  <c r="B6323" i="1"/>
  <c r="C6323" i="1"/>
  <c r="D6323" i="1"/>
  <c r="E6323" i="1"/>
  <c r="A6324" i="1"/>
  <c r="B6324" i="1"/>
  <c r="C6324" i="1"/>
  <c r="D6324" i="1"/>
  <c r="E6324" i="1"/>
  <c r="A6325" i="1"/>
  <c r="B6325" i="1"/>
  <c r="C6325" i="1"/>
  <c r="D6325" i="1"/>
  <c r="E6325" i="1"/>
  <c r="A6326" i="1"/>
  <c r="B6326" i="1"/>
  <c r="C6326" i="1"/>
  <c r="D6326" i="1"/>
  <c r="E6326" i="1"/>
  <c r="A6327" i="1"/>
  <c r="B6327" i="1"/>
  <c r="C6327" i="1"/>
  <c r="D6327" i="1"/>
  <c r="E6327" i="1"/>
  <c r="A6328" i="1"/>
  <c r="B6328" i="1"/>
  <c r="C6328" i="1"/>
  <c r="D6328" i="1"/>
  <c r="E6328" i="1"/>
  <c r="A6329" i="1"/>
  <c r="B6329" i="1"/>
  <c r="C6329" i="1"/>
  <c r="D6329" i="1"/>
  <c r="E6329" i="1"/>
  <c r="A6330" i="1"/>
  <c r="B6330" i="1"/>
  <c r="C6330" i="1"/>
  <c r="D6330" i="1"/>
  <c r="E6330" i="1"/>
  <c r="A6331" i="1"/>
  <c r="B6331" i="1"/>
  <c r="C6331" i="1"/>
  <c r="D6331" i="1"/>
  <c r="E6331" i="1"/>
  <c r="A6332" i="1"/>
  <c r="B6332" i="1"/>
  <c r="C6332" i="1"/>
  <c r="D6332" i="1"/>
  <c r="E6332" i="1"/>
  <c r="A6333" i="1"/>
  <c r="B6333" i="1"/>
  <c r="C6333" i="1"/>
  <c r="D6333" i="1"/>
  <c r="E6333" i="1"/>
  <c r="A6334" i="1"/>
  <c r="B6334" i="1"/>
  <c r="C6334" i="1"/>
  <c r="D6334" i="1"/>
  <c r="E6334" i="1"/>
  <c r="A6335" i="1"/>
  <c r="B6335" i="1"/>
  <c r="C6335" i="1"/>
  <c r="D6335" i="1"/>
  <c r="E6335" i="1"/>
  <c r="A6336" i="1"/>
  <c r="B6336" i="1"/>
  <c r="C6336" i="1"/>
  <c r="D6336" i="1"/>
  <c r="E6336" i="1"/>
  <c r="A6337" i="1"/>
  <c r="B6337" i="1"/>
  <c r="C6337" i="1"/>
  <c r="D6337" i="1"/>
  <c r="E6337" i="1"/>
  <c r="A6338" i="1"/>
  <c r="B6338" i="1"/>
  <c r="C6338" i="1"/>
  <c r="D6338" i="1"/>
  <c r="E6338" i="1"/>
  <c r="A6339" i="1"/>
  <c r="B6339" i="1"/>
  <c r="C6339" i="1"/>
  <c r="D6339" i="1"/>
  <c r="E6339" i="1"/>
  <c r="A6340" i="1"/>
  <c r="B6340" i="1"/>
  <c r="C6340" i="1"/>
  <c r="D6340" i="1"/>
  <c r="E6340" i="1"/>
  <c r="A6341" i="1"/>
  <c r="B6341" i="1"/>
  <c r="C6341" i="1"/>
  <c r="D6341" i="1"/>
  <c r="E6341" i="1"/>
  <c r="A6342" i="1"/>
  <c r="B6342" i="1"/>
  <c r="C6342" i="1"/>
  <c r="D6342" i="1"/>
  <c r="E6342" i="1"/>
  <c r="A6343" i="1"/>
  <c r="B6343" i="1"/>
  <c r="C6343" i="1"/>
  <c r="D6343" i="1"/>
  <c r="E6343" i="1"/>
  <c r="A6344" i="1"/>
  <c r="B6344" i="1"/>
  <c r="C6344" i="1"/>
  <c r="D6344" i="1"/>
  <c r="E6344" i="1"/>
  <c r="A6345" i="1"/>
  <c r="B6345" i="1"/>
  <c r="C6345" i="1"/>
  <c r="D6345" i="1"/>
  <c r="E6345" i="1"/>
  <c r="A6346" i="1"/>
  <c r="B6346" i="1"/>
  <c r="C6346" i="1"/>
  <c r="D6346" i="1"/>
  <c r="E6346" i="1"/>
  <c r="A6347" i="1"/>
  <c r="B6347" i="1"/>
  <c r="C6347" i="1"/>
  <c r="D6347" i="1"/>
  <c r="E6347" i="1"/>
  <c r="A6348" i="1"/>
  <c r="B6348" i="1"/>
  <c r="C6348" i="1"/>
  <c r="D6348" i="1"/>
  <c r="E6348" i="1"/>
  <c r="A6349" i="1"/>
  <c r="B6349" i="1"/>
  <c r="C6349" i="1"/>
  <c r="D6349" i="1"/>
  <c r="E6349" i="1"/>
  <c r="A6350" i="1"/>
  <c r="B6350" i="1"/>
  <c r="C6350" i="1"/>
  <c r="D6350" i="1"/>
  <c r="E6350" i="1"/>
  <c r="A6351" i="1"/>
  <c r="B6351" i="1"/>
  <c r="C6351" i="1"/>
  <c r="D6351" i="1"/>
  <c r="E6351" i="1"/>
  <c r="A6352" i="1"/>
  <c r="B6352" i="1"/>
  <c r="C6352" i="1"/>
  <c r="D6352" i="1"/>
  <c r="E6352" i="1"/>
  <c r="A6353" i="1"/>
  <c r="B6353" i="1"/>
  <c r="C6353" i="1"/>
  <c r="D6353" i="1"/>
  <c r="E6353" i="1"/>
  <c r="A6354" i="1"/>
  <c r="B6354" i="1"/>
  <c r="C6354" i="1"/>
  <c r="D6354" i="1"/>
  <c r="E6354" i="1"/>
  <c r="A6355" i="1"/>
  <c r="B6355" i="1"/>
  <c r="C6355" i="1"/>
  <c r="D6355" i="1"/>
  <c r="E6355" i="1"/>
  <c r="A6356" i="1"/>
  <c r="B6356" i="1"/>
  <c r="C6356" i="1"/>
  <c r="D6356" i="1"/>
  <c r="E6356" i="1"/>
  <c r="A6357" i="1"/>
  <c r="B6357" i="1"/>
  <c r="C6357" i="1"/>
  <c r="D6357" i="1"/>
  <c r="E6357" i="1"/>
  <c r="A6358" i="1"/>
  <c r="B6358" i="1"/>
  <c r="C6358" i="1"/>
  <c r="D6358" i="1"/>
  <c r="E6358" i="1"/>
  <c r="A6359" i="1"/>
  <c r="B6359" i="1"/>
  <c r="C6359" i="1"/>
  <c r="D6359" i="1"/>
  <c r="E6359" i="1"/>
  <c r="A6360" i="1"/>
  <c r="B6360" i="1"/>
  <c r="C6360" i="1"/>
  <c r="D6360" i="1"/>
  <c r="E6360" i="1"/>
  <c r="A6361" i="1"/>
  <c r="B6361" i="1"/>
  <c r="C6361" i="1"/>
  <c r="D6361" i="1"/>
  <c r="E6361" i="1"/>
  <c r="A6362" i="1"/>
  <c r="B6362" i="1"/>
  <c r="C6362" i="1"/>
  <c r="D6362" i="1"/>
  <c r="E6362" i="1"/>
  <c r="A6363" i="1"/>
  <c r="B6363" i="1"/>
  <c r="C6363" i="1"/>
  <c r="D6363" i="1"/>
  <c r="E6363" i="1"/>
  <c r="A6364" i="1"/>
  <c r="B6364" i="1"/>
  <c r="C6364" i="1"/>
  <c r="D6364" i="1"/>
  <c r="E6364" i="1"/>
  <c r="A6365" i="1"/>
  <c r="B6365" i="1"/>
  <c r="C6365" i="1"/>
  <c r="D6365" i="1"/>
  <c r="E6365" i="1"/>
  <c r="A6366" i="1"/>
  <c r="B6366" i="1"/>
  <c r="C6366" i="1"/>
  <c r="D6366" i="1"/>
  <c r="E6366" i="1"/>
  <c r="A6367" i="1"/>
  <c r="B6367" i="1"/>
  <c r="C6367" i="1"/>
  <c r="D6367" i="1"/>
  <c r="E6367" i="1"/>
  <c r="A6368" i="1"/>
  <c r="B6368" i="1"/>
  <c r="C6368" i="1"/>
  <c r="D6368" i="1"/>
  <c r="E6368" i="1"/>
  <c r="A6369" i="1"/>
  <c r="B6369" i="1"/>
  <c r="C6369" i="1"/>
  <c r="D6369" i="1"/>
  <c r="E6369" i="1"/>
  <c r="A6370" i="1"/>
  <c r="B6370" i="1"/>
  <c r="C6370" i="1"/>
  <c r="D6370" i="1"/>
  <c r="E6370" i="1"/>
  <c r="A6371" i="1"/>
  <c r="B6371" i="1"/>
  <c r="C6371" i="1"/>
  <c r="D6371" i="1"/>
  <c r="E6371" i="1"/>
  <c r="A6372" i="1"/>
  <c r="B6372" i="1"/>
  <c r="C6372" i="1"/>
  <c r="D6372" i="1"/>
  <c r="E6372" i="1"/>
  <c r="A6373" i="1"/>
  <c r="B6373" i="1"/>
  <c r="C6373" i="1"/>
  <c r="D6373" i="1"/>
  <c r="E6373" i="1"/>
  <c r="A6374" i="1"/>
  <c r="B6374" i="1"/>
  <c r="C6374" i="1"/>
  <c r="D6374" i="1"/>
  <c r="E6374" i="1"/>
  <c r="A6375" i="1"/>
  <c r="B6375" i="1"/>
  <c r="C6375" i="1"/>
  <c r="D6375" i="1"/>
  <c r="E6375" i="1"/>
  <c r="A6376" i="1"/>
  <c r="B6376" i="1"/>
  <c r="C6376" i="1"/>
  <c r="D6376" i="1"/>
  <c r="E6376" i="1"/>
  <c r="A6377" i="1"/>
  <c r="B6377" i="1"/>
  <c r="C6377" i="1"/>
  <c r="D6377" i="1"/>
  <c r="E6377" i="1"/>
  <c r="A6378" i="1"/>
  <c r="B6378" i="1"/>
  <c r="C6378" i="1"/>
  <c r="D6378" i="1"/>
  <c r="E6378" i="1"/>
  <c r="A6379" i="1"/>
  <c r="B6379" i="1"/>
  <c r="C6379" i="1"/>
  <c r="D6379" i="1"/>
  <c r="E6379" i="1"/>
  <c r="A6380" i="1"/>
  <c r="B6380" i="1"/>
  <c r="C6380" i="1"/>
  <c r="D6380" i="1"/>
  <c r="E6380" i="1"/>
  <c r="A6381" i="1"/>
  <c r="B6381" i="1"/>
  <c r="C6381" i="1"/>
  <c r="D6381" i="1"/>
  <c r="E6381" i="1"/>
  <c r="A6382" i="1"/>
  <c r="B6382" i="1"/>
  <c r="C6382" i="1"/>
  <c r="D6382" i="1"/>
  <c r="E6382" i="1"/>
  <c r="A6383" i="1"/>
  <c r="B6383" i="1"/>
  <c r="C6383" i="1"/>
  <c r="D6383" i="1"/>
  <c r="E6383" i="1"/>
  <c r="A6384" i="1"/>
  <c r="B6384" i="1"/>
  <c r="C6384" i="1"/>
  <c r="D6384" i="1"/>
  <c r="E6384" i="1"/>
  <c r="A6385" i="1"/>
  <c r="B6385" i="1"/>
  <c r="C6385" i="1"/>
  <c r="D6385" i="1"/>
  <c r="E6385" i="1"/>
  <c r="A6386" i="1"/>
  <c r="B6386" i="1"/>
  <c r="C6386" i="1"/>
  <c r="D6386" i="1"/>
  <c r="E6386" i="1"/>
  <c r="A6387" i="1"/>
  <c r="B6387" i="1"/>
  <c r="C6387" i="1"/>
  <c r="D6387" i="1"/>
  <c r="E6387" i="1"/>
  <c r="A6388" i="1"/>
  <c r="B6388" i="1"/>
  <c r="C6388" i="1"/>
  <c r="D6388" i="1"/>
  <c r="E6388" i="1"/>
  <c r="A6389" i="1"/>
  <c r="B6389" i="1"/>
  <c r="C6389" i="1"/>
  <c r="D6389" i="1"/>
  <c r="E6389" i="1"/>
  <c r="A6390" i="1"/>
  <c r="B6390" i="1"/>
  <c r="C6390" i="1"/>
  <c r="D6390" i="1"/>
  <c r="E6390" i="1"/>
  <c r="A6391" i="1"/>
  <c r="B6391" i="1"/>
  <c r="C6391" i="1"/>
  <c r="D6391" i="1"/>
  <c r="E6391" i="1"/>
  <c r="A6392" i="1"/>
  <c r="B6392" i="1"/>
  <c r="C6392" i="1"/>
  <c r="D6392" i="1"/>
  <c r="E6392" i="1"/>
  <c r="A6393" i="1"/>
  <c r="B6393" i="1"/>
  <c r="C6393" i="1"/>
  <c r="D6393" i="1"/>
  <c r="E6393" i="1"/>
  <c r="A6394" i="1"/>
  <c r="B6394" i="1"/>
  <c r="C6394" i="1"/>
  <c r="D6394" i="1"/>
  <c r="E6394" i="1"/>
  <c r="A6395" i="1"/>
  <c r="B6395" i="1"/>
  <c r="C6395" i="1"/>
  <c r="D6395" i="1"/>
  <c r="E6395" i="1"/>
  <c r="A6396" i="1"/>
  <c r="B6396" i="1"/>
  <c r="C6396" i="1"/>
  <c r="D6396" i="1"/>
  <c r="E6396" i="1"/>
  <c r="A6397" i="1"/>
  <c r="B6397" i="1"/>
  <c r="C6397" i="1"/>
  <c r="D6397" i="1"/>
  <c r="E6397" i="1"/>
  <c r="A6398" i="1"/>
  <c r="B6398" i="1"/>
  <c r="C6398" i="1"/>
  <c r="D6398" i="1"/>
  <c r="E6398" i="1"/>
  <c r="A6399" i="1"/>
  <c r="B6399" i="1"/>
  <c r="C6399" i="1"/>
  <c r="D6399" i="1"/>
  <c r="E6399" i="1"/>
  <c r="A6400" i="1"/>
  <c r="B6400" i="1"/>
  <c r="C6400" i="1"/>
  <c r="D6400" i="1"/>
  <c r="E6400" i="1"/>
  <c r="A6401" i="1"/>
  <c r="B6401" i="1"/>
  <c r="C6401" i="1"/>
  <c r="D6401" i="1"/>
  <c r="E6401" i="1"/>
  <c r="A6402" i="1"/>
  <c r="B6402" i="1"/>
  <c r="C6402" i="1"/>
  <c r="D6402" i="1"/>
  <c r="E6402" i="1"/>
  <c r="A6403" i="1"/>
  <c r="B6403" i="1"/>
  <c r="C6403" i="1"/>
  <c r="D6403" i="1"/>
  <c r="E6403" i="1"/>
  <c r="A6404" i="1"/>
  <c r="B6404" i="1"/>
  <c r="C6404" i="1"/>
  <c r="D6404" i="1"/>
  <c r="E6404" i="1"/>
  <c r="A6405" i="1"/>
  <c r="B6405" i="1"/>
  <c r="C6405" i="1"/>
  <c r="D6405" i="1"/>
  <c r="E6405" i="1"/>
  <c r="A6406" i="1"/>
  <c r="B6406" i="1"/>
  <c r="C6406" i="1"/>
  <c r="D6406" i="1"/>
  <c r="E6406" i="1"/>
  <c r="A6407" i="1"/>
  <c r="B6407" i="1"/>
  <c r="C6407" i="1"/>
  <c r="D6407" i="1"/>
  <c r="E6407" i="1"/>
  <c r="A6408" i="1"/>
  <c r="B6408" i="1"/>
  <c r="C6408" i="1"/>
  <c r="D6408" i="1"/>
  <c r="E6408" i="1"/>
  <c r="A6409" i="1"/>
  <c r="B6409" i="1"/>
  <c r="C6409" i="1"/>
  <c r="D6409" i="1"/>
  <c r="E6409" i="1"/>
  <c r="A6410" i="1"/>
  <c r="B6410" i="1"/>
  <c r="C6410" i="1"/>
  <c r="D6410" i="1"/>
  <c r="E6410" i="1"/>
  <c r="A6411" i="1"/>
  <c r="B6411" i="1"/>
  <c r="C6411" i="1"/>
  <c r="D6411" i="1"/>
  <c r="E6411" i="1"/>
  <c r="A6412" i="1"/>
  <c r="B6412" i="1"/>
  <c r="C6412" i="1"/>
  <c r="D6412" i="1"/>
  <c r="E6412" i="1"/>
  <c r="A6413" i="1"/>
  <c r="B6413" i="1"/>
  <c r="C6413" i="1"/>
  <c r="D6413" i="1"/>
  <c r="E6413" i="1"/>
  <c r="A6414" i="1"/>
  <c r="B6414" i="1"/>
  <c r="C6414" i="1"/>
  <c r="D6414" i="1"/>
  <c r="E6414" i="1"/>
  <c r="A6415" i="1"/>
  <c r="B6415" i="1"/>
  <c r="C6415" i="1"/>
  <c r="D6415" i="1"/>
  <c r="E6415" i="1"/>
  <c r="A6416" i="1"/>
  <c r="B6416" i="1"/>
  <c r="C6416" i="1"/>
  <c r="D6416" i="1"/>
  <c r="E6416" i="1"/>
  <c r="A6417" i="1"/>
  <c r="B6417" i="1"/>
  <c r="C6417" i="1"/>
  <c r="D6417" i="1"/>
  <c r="E6417" i="1"/>
  <c r="A6418" i="1"/>
  <c r="B6418" i="1"/>
  <c r="C6418" i="1"/>
  <c r="D6418" i="1"/>
  <c r="E6418" i="1"/>
  <c r="A6419" i="1"/>
  <c r="B6419" i="1"/>
  <c r="C6419" i="1"/>
  <c r="D6419" i="1"/>
  <c r="E6419" i="1"/>
  <c r="A6420" i="1"/>
  <c r="B6420" i="1"/>
  <c r="C6420" i="1"/>
  <c r="D6420" i="1"/>
  <c r="E6420" i="1"/>
  <c r="A6421" i="1"/>
  <c r="B6421" i="1"/>
  <c r="C6421" i="1"/>
  <c r="D6421" i="1"/>
  <c r="E6421" i="1"/>
  <c r="A6422" i="1"/>
  <c r="B6422" i="1"/>
  <c r="C6422" i="1"/>
  <c r="D6422" i="1"/>
  <c r="E6422" i="1"/>
  <c r="A6423" i="1"/>
  <c r="B6423" i="1"/>
  <c r="C6423" i="1"/>
  <c r="D6423" i="1"/>
  <c r="E6423" i="1"/>
  <c r="A6424" i="1"/>
  <c r="B6424" i="1"/>
  <c r="C6424" i="1"/>
  <c r="D6424" i="1"/>
  <c r="E6424" i="1"/>
  <c r="A6425" i="1"/>
  <c r="B6425" i="1"/>
  <c r="C6425" i="1"/>
  <c r="D6425" i="1"/>
  <c r="E6425" i="1"/>
  <c r="A6426" i="1"/>
  <c r="B6426" i="1"/>
  <c r="C6426" i="1"/>
  <c r="D6426" i="1"/>
  <c r="E6426" i="1"/>
  <c r="A6427" i="1"/>
  <c r="B6427" i="1"/>
  <c r="C6427" i="1"/>
  <c r="D6427" i="1"/>
  <c r="E6427" i="1"/>
  <c r="A6428" i="1"/>
  <c r="B6428" i="1"/>
  <c r="C6428" i="1"/>
  <c r="D6428" i="1"/>
  <c r="E6428" i="1"/>
  <c r="A6429" i="1"/>
  <c r="B6429" i="1"/>
  <c r="C6429" i="1"/>
  <c r="D6429" i="1"/>
  <c r="E6429" i="1"/>
  <c r="A6430" i="1"/>
  <c r="B6430" i="1"/>
  <c r="C6430" i="1"/>
  <c r="D6430" i="1"/>
  <c r="E6430" i="1"/>
  <c r="A6431" i="1"/>
  <c r="B6431" i="1"/>
  <c r="C6431" i="1"/>
  <c r="D6431" i="1"/>
  <c r="E6431" i="1"/>
  <c r="A6432" i="1"/>
  <c r="B6432" i="1"/>
  <c r="C6432" i="1"/>
  <c r="D6432" i="1"/>
  <c r="E6432" i="1"/>
  <c r="A6433" i="1"/>
  <c r="B6433" i="1"/>
  <c r="C6433" i="1"/>
  <c r="D6433" i="1"/>
  <c r="E6433" i="1"/>
  <c r="A6434" i="1"/>
  <c r="B6434" i="1"/>
  <c r="C6434" i="1"/>
  <c r="D6434" i="1"/>
  <c r="E6434" i="1"/>
  <c r="A6435" i="1"/>
  <c r="B6435" i="1"/>
  <c r="C6435" i="1"/>
  <c r="D6435" i="1"/>
  <c r="E6435" i="1"/>
  <c r="A6436" i="1"/>
  <c r="B6436" i="1"/>
  <c r="C6436" i="1"/>
  <c r="D6436" i="1"/>
  <c r="E6436" i="1"/>
  <c r="A6437" i="1"/>
  <c r="B6437" i="1"/>
  <c r="C6437" i="1"/>
  <c r="D6437" i="1"/>
  <c r="E6437" i="1"/>
  <c r="A6438" i="1"/>
  <c r="B6438" i="1"/>
  <c r="C6438" i="1"/>
  <c r="D6438" i="1"/>
  <c r="E6438" i="1"/>
  <c r="A6439" i="1"/>
  <c r="B6439" i="1"/>
  <c r="C6439" i="1"/>
  <c r="D6439" i="1"/>
  <c r="E6439" i="1"/>
  <c r="A6440" i="1"/>
  <c r="B6440" i="1"/>
  <c r="C6440" i="1"/>
  <c r="D6440" i="1"/>
  <c r="E6440" i="1"/>
  <c r="A6441" i="1"/>
  <c r="B6441" i="1"/>
  <c r="C6441" i="1"/>
  <c r="D6441" i="1"/>
  <c r="E6441" i="1"/>
  <c r="A6442" i="1"/>
  <c r="B6442" i="1"/>
  <c r="C6442" i="1"/>
  <c r="D6442" i="1"/>
  <c r="E6442" i="1"/>
  <c r="A6443" i="1"/>
  <c r="B6443" i="1"/>
  <c r="C6443" i="1"/>
  <c r="D6443" i="1"/>
  <c r="E6443" i="1"/>
  <c r="A6444" i="1"/>
  <c r="B6444" i="1"/>
  <c r="C6444" i="1"/>
  <c r="D6444" i="1"/>
  <c r="E6444" i="1"/>
  <c r="A6445" i="1"/>
  <c r="B6445" i="1"/>
  <c r="C6445" i="1"/>
  <c r="D6445" i="1"/>
  <c r="E6445" i="1"/>
  <c r="A6446" i="1"/>
  <c r="B6446" i="1"/>
  <c r="C6446" i="1"/>
  <c r="D6446" i="1"/>
  <c r="E6446" i="1"/>
  <c r="A6447" i="1"/>
  <c r="B6447" i="1"/>
  <c r="C6447" i="1"/>
  <c r="D6447" i="1"/>
  <c r="E6447" i="1"/>
  <c r="A6448" i="1"/>
  <c r="B6448" i="1"/>
  <c r="C6448" i="1"/>
  <c r="D6448" i="1"/>
  <c r="E6448" i="1"/>
  <c r="A6449" i="1"/>
  <c r="B6449" i="1"/>
  <c r="C6449" i="1"/>
  <c r="D6449" i="1"/>
  <c r="E6449" i="1"/>
  <c r="A6450" i="1"/>
  <c r="B6450" i="1"/>
  <c r="C6450" i="1"/>
  <c r="D6450" i="1"/>
  <c r="E6450" i="1"/>
  <c r="A6451" i="1"/>
  <c r="B6451" i="1"/>
  <c r="C6451" i="1"/>
  <c r="D6451" i="1"/>
  <c r="E6451" i="1"/>
  <c r="A6452" i="1"/>
  <c r="B6452" i="1"/>
  <c r="C6452" i="1"/>
  <c r="D6452" i="1"/>
  <c r="E6452" i="1"/>
  <c r="A6453" i="1"/>
  <c r="B6453" i="1"/>
  <c r="C6453" i="1"/>
  <c r="D6453" i="1"/>
  <c r="E6453" i="1"/>
  <c r="A6454" i="1"/>
  <c r="B6454" i="1"/>
  <c r="C6454" i="1"/>
  <c r="D6454" i="1"/>
  <c r="E6454" i="1"/>
  <c r="A6455" i="1"/>
  <c r="B6455" i="1"/>
  <c r="C6455" i="1"/>
  <c r="D6455" i="1"/>
  <c r="E6455" i="1"/>
  <c r="A6456" i="1"/>
  <c r="B6456" i="1"/>
  <c r="C6456" i="1"/>
  <c r="D6456" i="1"/>
  <c r="E6456" i="1"/>
  <c r="A6457" i="1"/>
  <c r="B6457" i="1"/>
  <c r="C6457" i="1"/>
  <c r="D6457" i="1"/>
  <c r="E6457" i="1"/>
  <c r="A6458" i="1"/>
  <c r="B6458" i="1"/>
  <c r="C6458" i="1"/>
  <c r="D6458" i="1"/>
  <c r="E6458" i="1"/>
  <c r="A6459" i="1"/>
  <c r="B6459" i="1"/>
  <c r="C6459" i="1"/>
  <c r="D6459" i="1"/>
  <c r="E6459" i="1"/>
  <c r="A6460" i="1"/>
  <c r="B6460" i="1"/>
  <c r="C6460" i="1"/>
  <c r="D6460" i="1"/>
  <c r="E6460" i="1"/>
  <c r="A6461" i="1"/>
  <c r="B6461" i="1"/>
  <c r="C6461" i="1"/>
  <c r="D6461" i="1"/>
  <c r="E6461" i="1"/>
  <c r="A6462" i="1"/>
  <c r="B6462" i="1"/>
  <c r="C6462" i="1"/>
  <c r="D6462" i="1"/>
  <c r="E6462" i="1"/>
  <c r="A6463" i="1"/>
  <c r="B6463" i="1"/>
  <c r="C6463" i="1"/>
  <c r="D6463" i="1"/>
  <c r="E6463" i="1"/>
  <c r="A6464" i="1"/>
  <c r="B6464" i="1"/>
  <c r="C6464" i="1"/>
  <c r="D6464" i="1"/>
  <c r="E6464" i="1"/>
  <c r="A6465" i="1"/>
  <c r="B6465" i="1"/>
  <c r="C6465" i="1"/>
  <c r="D6465" i="1"/>
  <c r="E6465" i="1"/>
  <c r="A6466" i="1"/>
  <c r="B6466" i="1"/>
  <c r="C6466" i="1"/>
  <c r="D6466" i="1"/>
  <c r="E6466" i="1"/>
  <c r="A6467" i="1"/>
  <c r="B6467" i="1"/>
  <c r="C6467" i="1"/>
  <c r="D6467" i="1"/>
  <c r="E6467" i="1"/>
  <c r="A6468" i="1"/>
  <c r="B6468" i="1"/>
  <c r="C6468" i="1"/>
  <c r="D6468" i="1"/>
  <c r="E6468" i="1"/>
  <c r="A6469" i="1"/>
  <c r="B6469" i="1"/>
  <c r="C6469" i="1"/>
  <c r="D6469" i="1"/>
  <c r="E6469" i="1"/>
  <c r="A6470" i="1"/>
  <c r="B6470" i="1"/>
  <c r="C6470" i="1"/>
  <c r="D6470" i="1"/>
  <c r="E6470" i="1"/>
  <c r="A6471" i="1"/>
  <c r="B6471" i="1"/>
  <c r="C6471" i="1"/>
  <c r="D6471" i="1"/>
  <c r="E6471" i="1"/>
  <c r="A6472" i="1"/>
  <c r="B6472" i="1"/>
  <c r="C6472" i="1"/>
  <c r="D6472" i="1"/>
  <c r="E6472" i="1"/>
  <c r="A6473" i="1"/>
  <c r="B6473" i="1"/>
  <c r="C6473" i="1"/>
  <c r="D6473" i="1"/>
  <c r="E6473" i="1"/>
  <c r="A6474" i="1"/>
  <c r="B6474" i="1"/>
  <c r="C6474" i="1"/>
  <c r="D6474" i="1"/>
  <c r="E6474" i="1"/>
  <c r="A6475" i="1"/>
  <c r="B6475" i="1"/>
  <c r="C6475" i="1"/>
  <c r="D6475" i="1"/>
  <c r="E6475" i="1"/>
  <c r="A6476" i="1"/>
  <c r="B6476" i="1"/>
  <c r="C6476" i="1"/>
  <c r="D6476" i="1"/>
  <c r="E6476" i="1"/>
  <c r="A6477" i="1"/>
  <c r="B6477" i="1"/>
  <c r="C6477" i="1"/>
  <c r="D6477" i="1"/>
  <c r="E6477" i="1"/>
  <c r="A6478" i="1"/>
  <c r="B6478" i="1"/>
  <c r="C6478" i="1"/>
  <c r="D6478" i="1"/>
  <c r="E6478" i="1"/>
  <c r="A6479" i="1"/>
  <c r="B6479" i="1"/>
  <c r="C6479" i="1"/>
  <c r="D6479" i="1"/>
  <c r="E6479" i="1"/>
  <c r="A6480" i="1"/>
  <c r="B6480" i="1"/>
  <c r="C6480" i="1"/>
  <c r="D6480" i="1"/>
  <c r="E6480" i="1"/>
  <c r="A6481" i="1"/>
  <c r="B6481" i="1"/>
  <c r="C6481" i="1"/>
  <c r="D6481" i="1"/>
  <c r="E6481" i="1"/>
  <c r="A6482" i="1"/>
  <c r="B6482" i="1"/>
  <c r="C6482" i="1"/>
  <c r="D6482" i="1"/>
  <c r="E6482" i="1"/>
  <c r="A6483" i="1"/>
  <c r="B6483" i="1"/>
  <c r="C6483" i="1"/>
  <c r="D6483" i="1"/>
  <c r="E6483" i="1"/>
  <c r="A6484" i="1"/>
  <c r="B6484" i="1"/>
  <c r="C6484" i="1"/>
  <c r="D6484" i="1"/>
  <c r="E6484" i="1"/>
  <c r="A6485" i="1"/>
  <c r="B6485" i="1"/>
  <c r="C6485" i="1"/>
  <c r="D6485" i="1"/>
  <c r="E6485" i="1"/>
  <c r="A6486" i="1"/>
  <c r="B6486" i="1"/>
  <c r="C6486" i="1"/>
  <c r="D6486" i="1"/>
  <c r="E6486" i="1"/>
  <c r="A6487" i="1"/>
  <c r="B6487" i="1"/>
  <c r="C6487" i="1"/>
  <c r="D6487" i="1"/>
  <c r="E6487" i="1"/>
  <c r="A6488" i="1"/>
  <c r="B6488" i="1"/>
  <c r="C6488" i="1"/>
  <c r="D6488" i="1"/>
  <c r="E6488" i="1"/>
  <c r="A6489" i="1"/>
  <c r="B6489" i="1"/>
  <c r="C6489" i="1"/>
  <c r="D6489" i="1"/>
  <c r="E6489" i="1"/>
  <c r="A6490" i="1"/>
  <c r="B6490" i="1"/>
  <c r="C6490" i="1"/>
  <c r="D6490" i="1"/>
  <c r="E6490" i="1"/>
  <c r="A6491" i="1"/>
  <c r="B6491" i="1"/>
  <c r="C6491" i="1"/>
  <c r="D6491" i="1"/>
  <c r="E6491" i="1"/>
  <c r="A6492" i="1"/>
  <c r="B6492" i="1"/>
  <c r="C6492" i="1"/>
  <c r="D6492" i="1"/>
  <c r="E6492" i="1"/>
  <c r="A6493" i="1"/>
  <c r="B6493" i="1"/>
  <c r="C6493" i="1"/>
  <c r="D6493" i="1"/>
  <c r="E6493" i="1"/>
  <c r="A6494" i="1"/>
  <c r="B6494" i="1"/>
  <c r="C6494" i="1"/>
  <c r="D6494" i="1"/>
  <c r="E6494" i="1"/>
  <c r="A6495" i="1"/>
  <c r="B6495" i="1"/>
  <c r="C6495" i="1"/>
  <c r="D6495" i="1"/>
  <c r="E6495" i="1"/>
  <c r="A6496" i="1"/>
  <c r="B6496" i="1"/>
  <c r="C6496" i="1"/>
  <c r="D6496" i="1"/>
  <c r="E6496" i="1"/>
  <c r="A6497" i="1"/>
  <c r="B6497" i="1"/>
  <c r="C6497" i="1"/>
  <c r="D6497" i="1"/>
  <c r="E6497" i="1"/>
  <c r="A6498" i="1"/>
  <c r="B6498" i="1"/>
  <c r="C6498" i="1"/>
  <c r="D6498" i="1"/>
  <c r="E6498" i="1"/>
  <c r="A6499" i="1"/>
  <c r="B6499" i="1"/>
  <c r="C6499" i="1"/>
  <c r="D6499" i="1"/>
  <c r="E6499" i="1"/>
  <c r="A6500" i="1"/>
  <c r="B6500" i="1"/>
  <c r="C6500" i="1"/>
  <c r="D6500" i="1"/>
  <c r="E6500" i="1"/>
  <c r="A6501" i="1"/>
  <c r="B6501" i="1"/>
  <c r="C6501" i="1"/>
  <c r="D6501" i="1"/>
  <c r="E6501" i="1"/>
  <c r="A6502" i="1"/>
  <c r="B6502" i="1"/>
  <c r="C6502" i="1"/>
  <c r="D6502" i="1"/>
  <c r="E6502" i="1"/>
  <c r="A6503" i="1"/>
  <c r="B6503" i="1"/>
  <c r="C6503" i="1"/>
  <c r="D6503" i="1"/>
  <c r="E6503" i="1"/>
  <c r="A6504" i="1"/>
  <c r="B6504" i="1"/>
  <c r="C6504" i="1"/>
  <c r="D6504" i="1"/>
  <c r="E6504" i="1"/>
  <c r="A6505" i="1"/>
  <c r="B6505" i="1"/>
  <c r="C6505" i="1"/>
  <c r="D6505" i="1"/>
  <c r="E6505" i="1"/>
  <c r="A6506" i="1"/>
  <c r="B6506" i="1"/>
  <c r="C6506" i="1"/>
  <c r="D6506" i="1"/>
  <c r="E6506" i="1"/>
  <c r="A6507" i="1"/>
  <c r="B6507" i="1"/>
  <c r="C6507" i="1"/>
  <c r="D6507" i="1"/>
  <c r="E6507" i="1"/>
  <c r="A6508" i="1"/>
  <c r="B6508" i="1"/>
  <c r="C6508" i="1"/>
  <c r="D6508" i="1"/>
  <c r="E6508" i="1"/>
  <c r="A6509" i="1"/>
  <c r="B6509" i="1"/>
  <c r="C6509" i="1"/>
  <c r="D6509" i="1"/>
  <c r="E6509" i="1"/>
  <c r="A6510" i="1"/>
  <c r="B6510" i="1"/>
  <c r="C6510" i="1"/>
  <c r="D6510" i="1"/>
  <c r="E6510" i="1"/>
  <c r="A6511" i="1"/>
  <c r="B6511" i="1"/>
  <c r="C6511" i="1"/>
  <c r="D6511" i="1"/>
  <c r="E6511" i="1"/>
  <c r="A6512" i="1"/>
  <c r="B6512" i="1"/>
  <c r="C6512" i="1"/>
  <c r="D6512" i="1"/>
  <c r="E6512" i="1"/>
  <c r="A6513" i="1"/>
  <c r="B6513" i="1"/>
  <c r="C6513" i="1"/>
  <c r="D6513" i="1"/>
  <c r="E6513" i="1"/>
  <c r="A6514" i="1"/>
  <c r="B6514" i="1"/>
  <c r="C6514" i="1"/>
  <c r="D6514" i="1"/>
  <c r="E6514" i="1"/>
  <c r="A6515" i="1"/>
  <c r="B6515" i="1"/>
  <c r="C6515" i="1"/>
  <c r="D6515" i="1"/>
  <c r="E6515" i="1"/>
  <c r="A6516" i="1"/>
  <c r="B6516" i="1"/>
  <c r="C6516" i="1"/>
  <c r="D6516" i="1"/>
  <c r="E6516" i="1"/>
  <c r="A6517" i="1"/>
  <c r="B6517" i="1"/>
  <c r="C6517" i="1"/>
  <c r="D6517" i="1"/>
  <c r="E6517" i="1"/>
  <c r="A6518" i="1"/>
  <c r="B6518" i="1"/>
  <c r="C6518" i="1"/>
  <c r="D6518" i="1"/>
  <c r="E6518" i="1"/>
  <c r="A6519" i="1"/>
  <c r="B6519" i="1"/>
  <c r="C6519" i="1"/>
  <c r="D6519" i="1"/>
  <c r="E6519" i="1"/>
  <c r="A6520" i="1"/>
  <c r="B6520" i="1"/>
  <c r="C6520" i="1"/>
  <c r="D6520" i="1"/>
  <c r="E6520" i="1"/>
  <c r="A6521" i="1"/>
  <c r="B6521" i="1"/>
  <c r="C6521" i="1"/>
  <c r="D6521" i="1"/>
  <c r="E6521" i="1"/>
  <c r="A6522" i="1"/>
  <c r="B6522" i="1"/>
  <c r="C6522" i="1"/>
  <c r="D6522" i="1"/>
  <c r="E6522" i="1"/>
  <c r="A6523" i="1"/>
  <c r="B6523" i="1"/>
  <c r="C6523" i="1"/>
  <c r="D6523" i="1"/>
  <c r="E6523" i="1"/>
  <c r="A6524" i="1"/>
  <c r="B6524" i="1"/>
  <c r="C6524" i="1"/>
  <c r="D6524" i="1"/>
  <c r="E6524" i="1"/>
  <c r="A6525" i="1"/>
  <c r="B6525" i="1"/>
  <c r="C6525" i="1"/>
  <c r="D6525" i="1"/>
  <c r="E6525" i="1"/>
  <c r="A6526" i="1"/>
  <c r="B6526" i="1"/>
  <c r="C6526" i="1"/>
  <c r="D6526" i="1"/>
  <c r="E6526" i="1"/>
  <c r="A6527" i="1"/>
  <c r="B6527" i="1"/>
  <c r="C6527" i="1"/>
  <c r="D6527" i="1"/>
  <c r="E6527" i="1"/>
  <c r="A6528" i="1"/>
  <c r="B6528" i="1"/>
  <c r="C6528" i="1"/>
  <c r="D6528" i="1"/>
  <c r="E6528" i="1"/>
  <c r="A6529" i="1"/>
  <c r="B6529" i="1"/>
  <c r="C6529" i="1"/>
  <c r="D6529" i="1"/>
  <c r="E6529" i="1"/>
  <c r="A6530" i="1"/>
  <c r="B6530" i="1"/>
  <c r="C6530" i="1"/>
  <c r="D6530" i="1"/>
  <c r="E6530" i="1"/>
  <c r="A6531" i="1"/>
  <c r="B6531" i="1"/>
  <c r="C6531" i="1"/>
  <c r="D6531" i="1"/>
  <c r="E6531" i="1"/>
  <c r="A6532" i="1"/>
  <c r="B6532" i="1"/>
  <c r="C6532" i="1"/>
  <c r="D6532" i="1"/>
  <c r="E6532" i="1"/>
  <c r="A6533" i="1"/>
  <c r="B6533" i="1"/>
  <c r="C6533" i="1"/>
  <c r="D6533" i="1"/>
  <c r="E6533" i="1"/>
  <c r="A6534" i="1"/>
  <c r="B6534" i="1"/>
  <c r="C6534" i="1"/>
  <c r="D6534" i="1"/>
  <c r="E6534" i="1"/>
  <c r="A6535" i="1"/>
  <c r="B6535" i="1"/>
  <c r="C6535" i="1"/>
  <c r="D6535" i="1"/>
  <c r="E6535" i="1"/>
  <c r="A6536" i="1"/>
  <c r="B6536" i="1"/>
  <c r="C6536" i="1"/>
  <c r="D6536" i="1"/>
  <c r="E6536" i="1"/>
  <c r="A6537" i="1"/>
  <c r="B6537" i="1"/>
  <c r="C6537" i="1"/>
  <c r="D6537" i="1"/>
  <c r="E6537" i="1"/>
  <c r="A6538" i="1"/>
  <c r="B6538" i="1"/>
  <c r="C6538" i="1"/>
  <c r="D6538" i="1"/>
  <c r="E6538" i="1"/>
  <c r="A6539" i="1"/>
  <c r="B6539" i="1"/>
  <c r="C6539" i="1"/>
  <c r="D6539" i="1"/>
  <c r="E6539" i="1"/>
  <c r="A6540" i="1"/>
  <c r="B6540" i="1"/>
  <c r="C6540" i="1"/>
  <c r="D6540" i="1"/>
  <c r="E6540" i="1"/>
  <c r="A6541" i="1"/>
  <c r="B6541" i="1"/>
  <c r="C6541" i="1"/>
  <c r="D6541" i="1"/>
  <c r="E6541" i="1"/>
  <c r="A6542" i="1"/>
  <c r="B6542" i="1"/>
  <c r="C6542" i="1"/>
  <c r="D6542" i="1"/>
  <c r="E6542" i="1"/>
  <c r="A6543" i="1"/>
  <c r="B6543" i="1"/>
  <c r="C6543" i="1"/>
  <c r="D6543" i="1"/>
  <c r="E6543" i="1"/>
  <c r="A6544" i="1"/>
  <c r="B6544" i="1"/>
  <c r="C6544" i="1"/>
  <c r="D6544" i="1"/>
  <c r="E6544" i="1"/>
  <c r="A6545" i="1"/>
  <c r="B6545" i="1"/>
  <c r="C6545" i="1"/>
  <c r="D6545" i="1"/>
  <c r="E6545" i="1"/>
  <c r="A6546" i="1"/>
  <c r="B6546" i="1"/>
  <c r="C6546" i="1"/>
  <c r="D6546" i="1"/>
  <c r="E6546" i="1"/>
  <c r="A6547" i="1"/>
  <c r="B6547" i="1"/>
  <c r="C6547" i="1"/>
  <c r="D6547" i="1"/>
  <c r="E6547" i="1"/>
  <c r="A6548" i="1"/>
  <c r="B6548" i="1"/>
  <c r="C6548" i="1"/>
  <c r="D6548" i="1"/>
  <c r="E6548" i="1"/>
  <c r="A6549" i="1"/>
  <c r="B6549" i="1"/>
  <c r="C6549" i="1"/>
  <c r="D6549" i="1"/>
  <c r="E6549" i="1"/>
  <c r="A6550" i="1"/>
  <c r="B6550" i="1"/>
  <c r="C6550" i="1"/>
  <c r="D6550" i="1"/>
  <c r="E6550" i="1"/>
  <c r="A6551" i="1"/>
  <c r="B6551" i="1"/>
  <c r="C6551" i="1"/>
  <c r="D6551" i="1"/>
  <c r="E6551" i="1"/>
  <c r="A6552" i="1"/>
  <c r="B6552" i="1"/>
  <c r="C6552" i="1"/>
  <c r="D6552" i="1"/>
  <c r="E6552" i="1"/>
  <c r="A6553" i="1"/>
  <c r="B6553" i="1"/>
  <c r="C6553" i="1"/>
  <c r="D6553" i="1"/>
  <c r="E6553" i="1"/>
  <c r="A6554" i="1"/>
  <c r="B6554" i="1"/>
  <c r="C6554" i="1"/>
  <c r="D6554" i="1"/>
  <c r="E6554" i="1"/>
  <c r="A6555" i="1"/>
  <c r="B6555" i="1"/>
  <c r="C6555" i="1"/>
  <c r="D6555" i="1"/>
  <c r="E6555" i="1"/>
  <c r="A6556" i="1"/>
  <c r="B6556" i="1"/>
  <c r="C6556" i="1"/>
  <c r="D6556" i="1"/>
  <c r="E6556" i="1"/>
  <c r="A6557" i="1"/>
  <c r="B6557" i="1"/>
  <c r="C6557" i="1"/>
  <c r="D6557" i="1"/>
  <c r="E6557" i="1"/>
  <c r="A6558" i="1"/>
  <c r="B6558" i="1"/>
  <c r="C6558" i="1"/>
  <c r="D6558" i="1"/>
  <c r="E6558" i="1"/>
  <c r="A6559" i="1"/>
  <c r="B6559" i="1"/>
  <c r="C6559" i="1"/>
  <c r="D6559" i="1"/>
  <c r="E6559" i="1"/>
  <c r="A6560" i="1"/>
  <c r="B6560" i="1"/>
  <c r="C6560" i="1"/>
  <c r="D6560" i="1"/>
  <c r="E6560" i="1"/>
  <c r="A6561" i="1"/>
  <c r="B6561" i="1"/>
  <c r="C6561" i="1"/>
  <c r="D6561" i="1"/>
  <c r="E6561" i="1"/>
  <c r="A6562" i="1"/>
  <c r="B6562" i="1"/>
  <c r="C6562" i="1"/>
  <c r="D6562" i="1"/>
  <c r="E6562" i="1"/>
  <c r="A6563" i="1"/>
  <c r="B6563" i="1"/>
  <c r="C6563" i="1"/>
  <c r="D6563" i="1"/>
  <c r="E6563" i="1"/>
  <c r="A6564" i="1"/>
  <c r="B6564" i="1"/>
  <c r="C6564" i="1"/>
  <c r="D6564" i="1"/>
  <c r="E6564" i="1"/>
  <c r="A6565" i="1"/>
  <c r="B6565" i="1"/>
  <c r="C6565" i="1"/>
  <c r="D6565" i="1"/>
  <c r="E6565" i="1"/>
  <c r="A6566" i="1"/>
  <c r="B6566" i="1"/>
  <c r="C6566" i="1"/>
  <c r="D6566" i="1"/>
  <c r="E6566" i="1"/>
  <c r="A6567" i="1"/>
  <c r="B6567" i="1"/>
  <c r="C6567" i="1"/>
  <c r="D6567" i="1"/>
  <c r="E6567" i="1"/>
  <c r="A6568" i="1"/>
  <c r="B6568" i="1"/>
  <c r="C6568" i="1"/>
  <c r="D6568" i="1"/>
  <c r="E6568" i="1"/>
  <c r="A6569" i="1"/>
  <c r="B6569" i="1"/>
  <c r="C6569" i="1"/>
  <c r="D6569" i="1"/>
  <c r="E6569" i="1"/>
  <c r="A6570" i="1"/>
  <c r="B6570" i="1"/>
  <c r="C6570" i="1"/>
  <c r="D6570" i="1"/>
  <c r="E6570" i="1"/>
  <c r="A6571" i="1"/>
  <c r="B6571" i="1"/>
  <c r="C6571" i="1"/>
  <c r="D6571" i="1"/>
  <c r="E6571" i="1"/>
  <c r="A6572" i="1"/>
  <c r="B6572" i="1"/>
  <c r="C6572" i="1"/>
  <c r="D6572" i="1"/>
  <c r="E6572" i="1"/>
  <c r="A6573" i="1"/>
  <c r="B6573" i="1"/>
  <c r="C6573" i="1"/>
  <c r="D6573" i="1"/>
  <c r="E6573" i="1"/>
  <c r="A6574" i="1"/>
  <c r="B6574" i="1"/>
  <c r="C6574" i="1"/>
  <c r="D6574" i="1"/>
  <c r="E6574" i="1"/>
  <c r="A6575" i="1"/>
  <c r="B6575" i="1"/>
  <c r="C6575" i="1"/>
  <c r="D6575" i="1"/>
  <c r="E6575" i="1"/>
  <c r="A6576" i="1"/>
  <c r="B6576" i="1"/>
  <c r="C6576" i="1"/>
  <c r="D6576" i="1"/>
  <c r="E6576" i="1"/>
  <c r="A6577" i="1"/>
  <c r="B6577" i="1"/>
  <c r="C6577" i="1"/>
  <c r="D6577" i="1"/>
  <c r="E6577" i="1"/>
  <c r="A6578" i="1"/>
  <c r="B6578" i="1"/>
  <c r="C6578" i="1"/>
  <c r="D6578" i="1"/>
  <c r="E6578" i="1"/>
  <c r="A6579" i="1"/>
  <c r="B6579" i="1"/>
  <c r="C6579" i="1"/>
  <c r="D6579" i="1"/>
  <c r="E6579" i="1"/>
  <c r="A6580" i="1"/>
  <c r="B6580" i="1"/>
  <c r="C6580" i="1"/>
  <c r="D6580" i="1"/>
  <c r="E6580" i="1"/>
  <c r="A6581" i="1"/>
  <c r="B6581" i="1"/>
  <c r="C6581" i="1"/>
  <c r="D6581" i="1"/>
  <c r="E6581" i="1"/>
  <c r="A6582" i="1"/>
  <c r="B6582" i="1"/>
  <c r="C6582" i="1"/>
  <c r="D6582" i="1"/>
  <c r="E6582" i="1"/>
  <c r="A6583" i="1"/>
  <c r="B6583" i="1"/>
  <c r="C6583" i="1"/>
  <c r="D6583" i="1"/>
  <c r="E6583" i="1"/>
  <c r="A6584" i="1"/>
  <c r="B6584" i="1"/>
  <c r="C6584" i="1"/>
  <c r="D6584" i="1"/>
  <c r="E6584" i="1"/>
  <c r="A6585" i="1"/>
  <c r="B6585" i="1"/>
  <c r="C6585" i="1"/>
  <c r="D6585" i="1"/>
  <c r="E6585" i="1"/>
  <c r="A6586" i="1"/>
  <c r="B6586" i="1"/>
  <c r="C6586" i="1"/>
  <c r="D6586" i="1"/>
  <c r="E6586" i="1"/>
  <c r="A6587" i="1"/>
  <c r="B6587" i="1"/>
  <c r="C6587" i="1"/>
  <c r="D6587" i="1"/>
  <c r="E6587" i="1"/>
  <c r="A6588" i="1"/>
  <c r="B6588" i="1"/>
  <c r="C6588" i="1"/>
  <c r="D6588" i="1"/>
  <c r="E6588" i="1"/>
  <c r="A6589" i="1"/>
  <c r="B6589" i="1"/>
  <c r="C6589" i="1"/>
  <c r="D6589" i="1"/>
  <c r="E6589" i="1"/>
  <c r="A6590" i="1"/>
  <c r="B6590" i="1"/>
  <c r="C6590" i="1"/>
  <c r="D6590" i="1"/>
  <c r="E6590" i="1"/>
  <c r="A6591" i="1"/>
  <c r="B6591" i="1"/>
  <c r="C6591" i="1"/>
  <c r="D6591" i="1"/>
  <c r="E6591" i="1"/>
  <c r="A6592" i="1"/>
  <c r="B6592" i="1"/>
  <c r="C6592" i="1"/>
  <c r="D6592" i="1"/>
  <c r="E6592" i="1"/>
  <c r="A6593" i="1"/>
  <c r="B6593" i="1"/>
  <c r="C6593" i="1"/>
  <c r="D6593" i="1"/>
  <c r="E6593" i="1"/>
  <c r="A6594" i="1"/>
  <c r="B6594" i="1"/>
  <c r="C6594" i="1"/>
  <c r="D6594" i="1"/>
  <c r="E6594" i="1"/>
  <c r="A6595" i="1"/>
  <c r="B6595" i="1"/>
  <c r="C6595" i="1"/>
  <c r="D6595" i="1"/>
  <c r="E6595" i="1"/>
  <c r="A6596" i="1"/>
  <c r="B6596" i="1"/>
  <c r="C6596" i="1"/>
  <c r="D6596" i="1"/>
  <c r="E6596" i="1"/>
  <c r="A6597" i="1"/>
  <c r="B6597" i="1"/>
  <c r="C6597" i="1"/>
  <c r="D6597" i="1"/>
  <c r="E6597" i="1"/>
  <c r="A6598" i="1"/>
  <c r="B6598" i="1"/>
  <c r="C6598" i="1"/>
  <c r="D6598" i="1"/>
  <c r="E6598" i="1"/>
  <c r="A6599" i="1"/>
  <c r="B6599" i="1"/>
  <c r="C6599" i="1"/>
  <c r="D6599" i="1"/>
  <c r="E6599" i="1"/>
  <c r="A6600" i="1"/>
  <c r="B6600" i="1"/>
  <c r="C6600" i="1"/>
  <c r="D6600" i="1"/>
  <c r="E6600" i="1"/>
  <c r="A6601" i="1"/>
  <c r="B6601" i="1"/>
  <c r="C6601" i="1"/>
  <c r="D6601" i="1"/>
  <c r="E6601" i="1"/>
  <c r="A6602" i="1"/>
  <c r="B6602" i="1"/>
  <c r="C6602" i="1"/>
  <c r="D6602" i="1"/>
  <c r="E6602" i="1"/>
  <c r="A6603" i="1"/>
  <c r="B6603" i="1"/>
  <c r="C6603" i="1"/>
  <c r="D6603" i="1"/>
  <c r="E6603" i="1"/>
  <c r="A6604" i="1"/>
  <c r="B6604" i="1"/>
  <c r="C6604" i="1"/>
  <c r="D6604" i="1"/>
  <c r="E6604" i="1"/>
  <c r="A6605" i="1"/>
  <c r="B6605" i="1"/>
  <c r="C6605" i="1"/>
  <c r="D6605" i="1"/>
  <c r="E6605" i="1"/>
  <c r="A6606" i="1"/>
  <c r="B6606" i="1"/>
  <c r="C6606" i="1"/>
  <c r="D6606" i="1"/>
  <c r="E6606" i="1"/>
  <c r="A6607" i="1"/>
  <c r="B6607" i="1"/>
  <c r="C6607" i="1"/>
  <c r="D6607" i="1"/>
  <c r="E6607" i="1"/>
  <c r="A6608" i="1"/>
  <c r="B6608" i="1"/>
  <c r="C6608" i="1"/>
  <c r="D6608" i="1"/>
  <c r="E6608" i="1"/>
  <c r="A6609" i="1"/>
  <c r="B6609" i="1"/>
  <c r="C6609" i="1"/>
  <c r="D6609" i="1"/>
  <c r="E6609" i="1"/>
  <c r="A6610" i="1"/>
  <c r="B6610" i="1"/>
  <c r="C6610" i="1"/>
  <c r="D6610" i="1"/>
  <c r="E6610" i="1"/>
  <c r="A6611" i="1"/>
  <c r="B6611" i="1"/>
  <c r="C6611" i="1"/>
  <c r="D6611" i="1"/>
  <c r="E6611" i="1"/>
  <c r="A6612" i="1"/>
  <c r="B6612" i="1"/>
  <c r="C6612" i="1"/>
  <c r="D6612" i="1"/>
  <c r="E6612" i="1"/>
  <c r="A6613" i="1"/>
  <c r="B6613" i="1"/>
  <c r="C6613" i="1"/>
  <c r="D6613" i="1"/>
  <c r="E6613" i="1"/>
  <c r="A6614" i="1"/>
  <c r="B6614" i="1"/>
  <c r="C6614" i="1"/>
  <c r="D6614" i="1"/>
  <c r="E6614" i="1"/>
  <c r="A6615" i="1"/>
  <c r="B6615" i="1"/>
  <c r="C6615" i="1"/>
  <c r="D6615" i="1"/>
  <c r="E6615" i="1"/>
  <c r="A6616" i="1"/>
  <c r="B6616" i="1"/>
  <c r="C6616" i="1"/>
  <c r="D6616" i="1"/>
  <c r="E6616" i="1"/>
  <c r="A6617" i="1"/>
  <c r="B6617" i="1"/>
  <c r="C6617" i="1"/>
  <c r="D6617" i="1"/>
  <c r="E6617" i="1"/>
  <c r="A6618" i="1"/>
  <c r="B6618" i="1"/>
  <c r="C6618" i="1"/>
  <c r="D6618" i="1"/>
  <c r="E6618" i="1"/>
  <c r="A6619" i="1"/>
  <c r="B6619" i="1"/>
  <c r="C6619" i="1"/>
  <c r="D6619" i="1"/>
  <c r="E6619" i="1"/>
  <c r="A6620" i="1"/>
  <c r="B6620" i="1"/>
  <c r="C6620" i="1"/>
  <c r="D6620" i="1"/>
  <c r="E6620" i="1"/>
  <c r="A6621" i="1"/>
  <c r="B6621" i="1"/>
  <c r="C6621" i="1"/>
  <c r="D6621" i="1"/>
  <c r="E6621" i="1"/>
  <c r="A6622" i="1"/>
  <c r="B6622" i="1"/>
  <c r="C6622" i="1"/>
  <c r="D6622" i="1"/>
  <c r="E6622" i="1"/>
  <c r="A6623" i="1"/>
  <c r="B6623" i="1"/>
  <c r="C6623" i="1"/>
  <c r="D6623" i="1"/>
  <c r="E6623" i="1"/>
  <c r="A6624" i="1"/>
  <c r="B6624" i="1"/>
  <c r="C6624" i="1"/>
  <c r="D6624" i="1"/>
  <c r="E6624" i="1"/>
  <c r="A6625" i="1"/>
  <c r="B6625" i="1"/>
  <c r="C6625" i="1"/>
  <c r="D6625" i="1"/>
  <c r="E6625" i="1"/>
  <c r="A6626" i="1"/>
  <c r="B6626" i="1"/>
  <c r="C6626" i="1"/>
  <c r="D6626" i="1"/>
  <c r="E6626" i="1"/>
  <c r="A6627" i="1"/>
  <c r="B6627" i="1"/>
  <c r="C6627" i="1"/>
  <c r="D6627" i="1"/>
  <c r="E6627" i="1"/>
  <c r="A6628" i="1"/>
  <c r="B6628" i="1"/>
  <c r="C6628" i="1"/>
  <c r="D6628" i="1"/>
  <c r="E6628" i="1"/>
  <c r="A6629" i="1"/>
  <c r="B6629" i="1"/>
  <c r="C6629" i="1"/>
  <c r="D6629" i="1"/>
  <c r="E6629" i="1"/>
  <c r="A6630" i="1"/>
  <c r="B6630" i="1"/>
  <c r="C6630" i="1"/>
  <c r="D6630" i="1"/>
  <c r="E6630" i="1"/>
  <c r="A6631" i="1"/>
  <c r="B6631" i="1"/>
  <c r="C6631" i="1"/>
  <c r="D6631" i="1"/>
  <c r="E6631" i="1"/>
  <c r="A6632" i="1"/>
  <c r="B6632" i="1"/>
  <c r="C6632" i="1"/>
  <c r="D6632" i="1"/>
  <c r="E6632" i="1"/>
  <c r="A6633" i="1"/>
  <c r="B6633" i="1"/>
  <c r="C6633" i="1"/>
  <c r="D6633" i="1"/>
  <c r="E6633" i="1"/>
  <c r="A6634" i="1"/>
  <c r="B6634" i="1"/>
  <c r="C6634" i="1"/>
  <c r="D6634" i="1"/>
  <c r="E6634" i="1"/>
  <c r="A6635" i="1"/>
  <c r="B6635" i="1"/>
  <c r="C6635" i="1"/>
  <c r="D6635" i="1"/>
  <c r="E6635" i="1"/>
  <c r="A6636" i="1"/>
  <c r="B6636" i="1"/>
  <c r="C6636" i="1"/>
  <c r="D6636" i="1"/>
  <c r="E6636" i="1"/>
  <c r="A6637" i="1"/>
  <c r="B6637" i="1"/>
  <c r="C6637" i="1"/>
  <c r="D6637" i="1"/>
  <c r="E6637" i="1"/>
  <c r="A6638" i="1"/>
  <c r="B6638" i="1"/>
  <c r="C6638" i="1"/>
  <c r="D6638" i="1"/>
  <c r="E6638" i="1"/>
  <c r="A6639" i="1"/>
  <c r="B6639" i="1"/>
  <c r="C6639" i="1"/>
  <c r="D6639" i="1"/>
  <c r="E6639" i="1"/>
  <c r="A6640" i="1"/>
  <c r="B6640" i="1"/>
  <c r="C6640" i="1"/>
  <c r="D6640" i="1"/>
  <c r="E6640" i="1"/>
  <c r="A6641" i="1"/>
  <c r="B6641" i="1"/>
  <c r="C6641" i="1"/>
  <c r="D6641" i="1"/>
  <c r="E6641" i="1"/>
  <c r="A6642" i="1"/>
  <c r="B6642" i="1"/>
  <c r="C6642" i="1"/>
  <c r="D6642" i="1"/>
  <c r="E6642" i="1"/>
  <c r="A6643" i="1"/>
  <c r="B6643" i="1"/>
  <c r="C6643" i="1"/>
  <c r="D6643" i="1"/>
  <c r="E6643" i="1"/>
  <c r="A6644" i="1"/>
  <c r="B6644" i="1"/>
  <c r="C6644" i="1"/>
  <c r="D6644" i="1"/>
  <c r="E6644" i="1"/>
  <c r="A6645" i="1"/>
  <c r="B6645" i="1"/>
  <c r="C6645" i="1"/>
  <c r="D6645" i="1"/>
  <c r="E6645" i="1"/>
  <c r="A6646" i="1"/>
  <c r="B6646" i="1"/>
  <c r="C6646" i="1"/>
  <c r="D6646" i="1"/>
  <c r="E6646" i="1"/>
  <c r="A6647" i="1"/>
  <c r="B6647" i="1"/>
  <c r="C6647" i="1"/>
  <c r="D6647" i="1"/>
  <c r="E6647" i="1"/>
  <c r="A6648" i="1"/>
  <c r="B6648" i="1"/>
  <c r="C6648" i="1"/>
  <c r="D6648" i="1"/>
  <c r="E6648" i="1"/>
  <c r="A6649" i="1"/>
  <c r="B6649" i="1"/>
  <c r="C6649" i="1"/>
  <c r="D6649" i="1"/>
  <c r="E6649" i="1"/>
  <c r="A6650" i="1"/>
  <c r="B6650" i="1"/>
  <c r="C6650" i="1"/>
  <c r="D6650" i="1"/>
  <c r="E6650" i="1"/>
  <c r="A6651" i="1"/>
  <c r="B6651" i="1"/>
  <c r="C6651" i="1"/>
  <c r="D6651" i="1"/>
  <c r="E6651" i="1"/>
  <c r="A6652" i="1"/>
  <c r="B6652" i="1"/>
  <c r="C6652" i="1"/>
  <c r="D6652" i="1"/>
  <c r="E6652" i="1"/>
  <c r="A6653" i="1"/>
  <c r="B6653" i="1"/>
  <c r="C6653" i="1"/>
  <c r="D6653" i="1"/>
  <c r="E6653" i="1"/>
  <c r="A6654" i="1"/>
  <c r="B6654" i="1"/>
  <c r="C6654" i="1"/>
  <c r="D6654" i="1"/>
  <c r="E6654" i="1"/>
  <c r="A6655" i="1"/>
  <c r="B6655" i="1"/>
  <c r="C6655" i="1"/>
  <c r="D6655" i="1"/>
  <c r="E6655" i="1"/>
  <c r="A6656" i="1"/>
  <c r="B6656" i="1"/>
  <c r="C6656" i="1"/>
  <c r="D6656" i="1"/>
  <c r="E6656" i="1"/>
  <c r="A6657" i="1"/>
  <c r="B6657" i="1"/>
  <c r="C6657" i="1"/>
  <c r="D6657" i="1"/>
  <c r="E6657" i="1"/>
  <c r="A6658" i="1"/>
  <c r="B6658" i="1"/>
  <c r="C6658" i="1"/>
  <c r="D6658" i="1"/>
  <c r="E6658" i="1"/>
  <c r="A6659" i="1"/>
  <c r="B6659" i="1"/>
  <c r="C6659" i="1"/>
  <c r="D6659" i="1"/>
  <c r="E6659" i="1"/>
  <c r="A6660" i="1"/>
  <c r="B6660" i="1"/>
  <c r="C6660" i="1"/>
  <c r="D6660" i="1"/>
  <c r="E6660" i="1"/>
  <c r="A6661" i="1"/>
  <c r="B6661" i="1"/>
  <c r="C6661" i="1"/>
  <c r="D6661" i="1"/>
  <c r="E6661" i="1"/>
  <c r="A6662" i="1"/>
  <c r="B6662" i="1"/>
  <c r="C6662" i="1"/>
  <c r="D6662" i="1"/>
  <c r="E6662" i="1"/>
  <c r="A6663" i="1"/>
  <c r="B6663" i="1"/>
  <c r="C6663" i="1"/>
  <c r="D6663" i="1"/>
  <c r="E6663" i="1"/>
  <c r="A6664" i="1"/>
  <c r="B6664" i="1"/>
  <c r="C6664" i="1"/>
  <c r="D6664" i="1"/>
  <c r="E6664" i="1"/>
  <c r="A6665" i="1"/>
  <c r="B6665" i="1"/>
  <c r="C6665" i="1"/>
  <c r="D6665" i="1"/>
  <c r="E6665" i="1"/>
  <c r="A6666" i="1"/>
  <c r="B6666" i="1"/>
  <c r="C6666" i="1"/>
  <c r="D6666" i="1"/>
  <c r="E6666" i="1"/>
  <c r="A6667" i="1"/>
  <c r="B6667" i="1"/>
  <c r="C6667" i="1"/>
  <c r="D6667" i="1"/>
  <c r="E6667" i="1"/>
  <c r="A6668" i="1"/>
  <c r="B6668" i="1"/>
  <c r="C6668" i="1"/>
  <c r="D6668" i="1"/>
  <c r="E6668" i="1"/>
  <c r="A6669" i="1"/>
  <c r="B6669" i="1"/>
  <c r="C6669" i="1"/>
  <c r="D6669" i="1"/>
  <c r="E6669" i="1"/>
  <c r="A6670" i="1"/>
  <c r="B6670" i="1"/>
  <c r="C6670" i="1"/>
  <c r="D6670" i="1"/>
  <c r="E6670" i="1"/>
  <c r="A6671" i="1"/>
  <c r="B6671" i="1"/>
  <c r="C6671" i="1"/>
  <c r="D6671" i="1"/>
  <c r="E6671" i="1"/>
  <c r="A6672" i="1"/>
  <c r="B6672" i="1"/>
  <c r="C6672" i="1"/>
  <c r="D6672" i="1"/>
  <c r="E6672" i="1"/>
  <c r="A6673" i="1"/>
  <c r="B6673" i="1"/>
  <c r="C6673" i="1"/>
  <c r="D6673" i="1"/>
  <c r="E6673" i="1"/>
  <c r="A6674" i="1"/>
  <c r="B6674" i="1"/>
  <c r="C6674" i="1"/>
  <c r="D6674" i="1"/>
  <c r="E6674" i="1"/>
  <c r="A6675" i="1"/>
  <c r="B6675" i="1"/>
  <c r="C6675" i="1"/>
  <c r="D6675" i="1"/>
  <c r="E6675" i="1"/>
  <c r="A6676" i="1"/>
  <c r="B6676" i="1"/>
  <c r="C6676" i="1"/>
  <c r="D6676" i="1"/>
  <c r="E6676" i="1"/>
  <c r="A6677" i="1"/>
  <c r="B6677" i="1"/>
  <c r="C6677" i="1"/>
  <c r="D6677" i="1"/>
  <c r="E6677" i="1"/>
  <c r="A6678" i="1"/>
  <c r="B6678" i="1"/>
  <c r="C6678" i="1"/>
  <c r="D6678" i="1"/>
  <c r="E6678" i="1"/>
  <c r="A6679" i="1"/>
  <c r="B6679" i="1"/>
  <c r="C6679" i="1"/>
  <c r="D6679" i="1"/>
  <c r="E6679" i="1"/>
  <c r="A6680" i="1"/>
  <c r="B6680" i="1"/>
  <c r="C6680" i="1"/>
  <c r="D6680" i="1"/>
  <c r="E6680" i="1"/>
  <c r="A6681" i="1"/>
  <c r="B6681" i="1"/>
  <c r="C6681" i="1"/>
  <c r="D6681" i="1"/>
  <c r="E6681" i="1"/>
  <c r="A6682" i="1"/>
  <c r="B6682" i="1"/>
  <c r="C6682" i="1"/>
  <c r="D6682" i="1"/>
  <c r="E6682" i="1"/>
  <c r="A6683" i="1"/>
  <c r="B6683" i="1"/>
  <c r="C6683" i="1"/>
  <c r="D6683" i="1"/>
  <c r="E6683" i="1"/>
  <c r="A6684" i="1"/>
  <c r="B6684" i="1"/>
  <c r="C6684" i="1"/>
  <c r="D6684" i="1"/>
  <c r="E6684" i="1"/>
  <c r="A6685" i="1"/>
  <c r="B6685" i="1"/>
  <c r="C6685" i="1"/>
  <c r="D6685" i="1"/>
  <c r="E6685" i="1"/>
  <c r="A6686" i="1"/>
  <c r="B6686" i="1"/>
  <c r="C6686" i="1"/>
  <c r="D6686" i="1"/>
  <c r="E6686" i="1"/>
  <c r="A6687" i="1"/>
  <c r="B6687" i="1"/>
  <c r="C6687" i="1"/>
  <c r="D6687" i="1"/>
  <c r="E6687" i="1"/>
  <c r="A6688" i="1"/>
  <c r="B6688" i="1"/>
  <c r="C6688" i="1"/>
  <c r="D6688" i="1"/>
  <c r="E6688" i="1"/>
  <c r="A6689" i="1"/>
  <c r="B6689" i="1"/>
  <c r="C6689" i="1"/>
  <c r="D6689" i="1"/>
  <c r="E6689" i="1"/>
  <c r="A6690" i="1"/>
  <c r="B6690" i="1"/>
  <c r="C6690" i="1"/>
  <c r="D6690" i="1"/>
  <c r="E6690" i="1"/>
  <c r="A6691" i="1"/>
  <c r="B6691" i="1"/>
  <c r="C6691" i="1"/>
  <c r="D6691" i="1"/>
  <c r="E6691" i="1"/>
  <c r="A6692" i="1"/>
  <c r="B6692" i="1"/>
  <c r="C6692" i="1"/>
  <c r="D6692" i="1"/>
  <c r="E6692" i="1"/>
  <c r="A6693" i="1"/>
  <c r="B6693" i="1"/>
  <c r="C6693" i="1"/>
  <c r="D6693" i="1"/>
  <c r="E6693" i="1"/>
  <c r="A6694" i="1"/>
  <c r="B6694" i="1"/>
  <c r="C6694" i="1"/>
  <c r="D6694" i="1"/>
  <c r="E6694" i="1"/>
  <c r="A6695" i="1"/>
  <c r="B6695" i="1"/>
  <c r="C6695" i="1"/>
  <c r="D6695" i="1"/>
  <c r="E6695" i="1"/>
  <c r="A6696" i="1"/>
  <c r="B6696" i="1"/>
  <c r="C6696" i="1"/>
  <c r="D6696" i="1"/>
  <c r="E6696" i="1"/>
  <c r="A6697" i="1"/>
  <c r="B6697" i="1"/>
  <c r="C6697" i="1"/>
  <c r="D6697" i="1"/>
  <c r="E6697" i="1"/>
  <c r="A6698" i="1"/>
  <c r="B6698" i="1"/>
  <c r="C6698" i="1"/>
  <c r="D6698" i="1"/>
  <c r="E6698" i="1"/>
  <c r="A6699" i="1"/>
  <c r="B6699" i="1"/>
  <c r="C6699" i="1"/>
  <c r="D6699" i="1"/>
  <c r="E6699" i="1"/>
  <c r="A6700" i="1"/>
  <c r="B6700" i="1"/>
  <c r="C6700" i="1"/>
  <c r="D6700" i="1"/>
  <c r="E6700" i="1"/>
  <c r="A6701" i="1"/>
  <c r="B6701" i="1"/>
  <c r="C6701" i="1"/>
  <c r="D6701" i="1"/>
  <c r="E6701" i="1"/>
  <c r="A6702" i="1"/>
  <c r="B6702" i="1"/>
  <c r="C6702" i="1"/>
  <c r="D6702" i="1"/>
  <c r="E6702" i="1"/>
  <c r="A6703" i="1"/>
  <c r="B6703" i="1"/>
  <c r="C6703" i="1"/>
  <c r="D6703" i="1"/>
  <c r="E6703" i="1"/>
  <c r="A6704" i="1"/>
  <c r="B6704" i="1"/>
  <c r="C6704" i="1"/>
  <c r="D6704" i="1"/>
  <c r="E6704" i="1"/>
  <c r="A6705" i="1"/>
  <c r="B6705" i="1"/>
  <c r="C6705" i="1"/>
  <c r="D6705" i="1"/>
  <c r="E6705" i="1"/>
  <c r="A6706" i="1"/>
  <c r="B6706" i="1"/>
  <c r="C6706" i="1"/>
  <c r="D6706" i="1"/>
  <c r="E6706" i="1"/>
  <c r="A6707" i="1"/>
  <c r="B6707" i="1"/>
  <c r="C6707" i="1"/>
  <c r="D6707" i="1"/>
  <c r="E6707" i="1"/>
  <c r="A6708" i="1"/>
  <c r="B6708" i="1"/>
  <c r="C6708" i="1"/>
  <c r="D6708" i="1"/>
  <c r="E6708" i="1"/>
  <c r="A6709" i="1"/>
  <c r="B6709" i="1"/>
  <c r="C6709" i="1"/>
  <c r="D6709" i="1"/>
  <c r="E6709" i="1"/>
  <c r="A6710" i="1"/>
  <c r="B6710" i="1"/>
  <c r="C6710" i="1"/>
  <c r="D6710" i="1"/>
  <c r="E6710" i="1"/>
  <c r="A6711" i="1"/>
  <c r="B6711" i="1"/>
  <c r="C6711" i="1"/>
  <c r="D6711" i="1"/>
  <c r="E6711" i="1"/>
  <c r="A6712" i="1"/>
  <c r="B6712" i="1"/>
  <c r="C6712" i="1"/>
  <c r="D6712" i="1"/>
  <c r="E6712" i="1"/>
  <c r="A6713" i="1"/>
  <c r="B6713" i="1"/>
  <c r="C6713" i="1"/>
  <c r="D6713" i="1"/>
  <c r="E6713" i="1"/>
  <c r="A6714" i="1"/>
  <c r="B6714" i="1"/>
  <c r="C6714" i="1"/>
  <c r="D6714" i="1"/>
  <c r="E6714" i="1"/>
  <c r="A6715" i="1"/>
  <c r="B6715" i="1"/>
  <c r="C6715" i="1"/>
  <c r="D6715" i="1"/>
  <c r="E6715" i="1"/>
  <c r="A6716" i="1"/>
  <c r="B6716" i="1"/>
  <c r="C6716" i="1"/>
  <c r="D6716" i="1"/>
  <c r="E6716" i="1"/>
  <c r="A6717" i="1"/>
  <c r="B6717" i="1"/>
  <c r="C6717" i="1"/>
  <c r="D6717" i="1"/>
  <c r="E6717" i="1"/>
  <c r="A6718" i="1"/>
  <c r="B6718" i="1"/>
  <c r="C6718" i="1"/>
  <c r="D6718" i="1"/>
  <c r="E6718" i="1"/>
  <c r="A6719" i="1"/>
  <c r="B6719" i="1"/>
  <c r="C6719" i="1"/>
  <c r="D6719" i="1"/>
  <c r="E6719" i="1"/>
  <c r="A6720" i="1"/>
  <c r="B6720" i="1"/>
  <c r="C6720" i="1"/>
  <c r="D6720" i="1"/>
  <c r="E6720" i="1"/>
  <c r="A6721" i="1"/>
  <c r="B6721" i="1"/>
  <c r="C6721" i="1"/>
  <c r="D6721" i="1"/>
  <c r="E6721" i="1"/>
  <c r="A6722" i="1"/>
  <c r="B6722" i="1"/>
  <c r="C6722" i="1"/>
  <c r="D6722" i="1"/>
  <c r="E6722" i="1"/>
  <c r="A6723" i="1"/>
  <c r="B6723" i="1"/>
  <c r="C6723" i="1"/>
  <c r="D6723" i="1"/>
  <c r="E6723" i="1"/>
  <c r="A6724" i="1"/>
  <c r="B6724" i="1"/>
  <c r="C6724" i="1"/>
  <c r="D6724" i="1"/>
  <c r="E6724" i="1"/>
  <c r="A6725" i="1"/>
  <c r="B6725" i="1"/>
  <c r="C6725" i="1"/>
  <c r="D6725" i="1"/>
  <c r="E6725" i="1"/>
  <c r="A6726" i="1"/>
  <c r="B6726" i="1"/>
  <c r="C6726" i="1"/>
  <c r="D6726" i="1"/>
  <c r="E6726" i="1"/>
  <c r="A6727" i="1"/>
  <c r="B6727" i="1"/>
  <c r="C6727" i="1"/>
  <c r="D6727" i="1"/>
  <c r="E6727" i="1"/>
  <c r="A6728" i="1"/>
  <c r="B6728" i="1"/>
  <c r="C6728" i="1"/>
  <c r="D6728" i="1"/>
  <c r="E6728" i="1"/>
  <c r="A6729" i="1"/>
  <c r="B6729" i="1"/>
  <c r="C6729" i="1"/>
  <c r="D6729" i="1"/>
  <c r="E6729" i="1"/>
  <c r="A6730" i="1"/>
  <c r="B6730" i="1"/>
  <c r="C6730" i="1"/>
  <c r="D6730" i="1"/>
  <c r="E6730" i="1"/>
  <c r="A6731" i="1"/>
  <c r="B6731" i="1"/>
  <c r="C6731" i="1"/>
  <c r="D6731" i="1"/>
  <c r="E6731" i="1"/>
  <c r="A6732" i="1"/>
  <c r="B6732" i="1"/>
  <c r="C6732" i="1"/>
  <c r="D6732" i="1"/>
  <c r="E6732" i="1"/>
  <c r="A6733" i="1"/>
  <c r="B6733" i="1"/>
  <c r="C6733" i="1"/>
  <c r="D6733" i="1"/>
  <c r="E6733" i="1"/>
  <c r="A6734" i="1"/>
  <c r="B6734" i="1"/>
  <c r="C6734" i="1"/>
  <c r="D6734" i="1"/>
  <c r="E6734" i="1"/>
  <c r="A6735" i="1"/>
  <c r="B6735" i="1"/>
  <c r="C6735" i="1"/>
  <c r="D6735" i="1"/>
  <c r="E6735" i="1"/>
  <c r="A6736" i="1"/>
  <c r="B6736" i="1"/>
  <c r="C6736" i="1"/>
  <c r="D6736" i="1"/>
  <c r="E6736" i="1"/>
  <c r="A6737" i="1"/>
  <c r="B6737" i="1"/>
  <c r="C6737" i="1"/>
  <c r="D6737" i="1"/>
  <c r="E6737" i="1"/>
  <c r="A6738" i="1"/>
  <c r="B6738" i="1"/>
  <c r="C6738" i="1"/>
  <c r="D6738" i="1"/>
  <c r="E6738" i="1"/>
  <c r="A6739" i="1"/>
  <c r="B6739" i="1"/>
  <c r="C6739" i="1"/>
  <c r="D6739" i="1"/>
  <c r="E6739" i="1"/>
  <c r="A6740" i="1"/>
  <c r="B6740" i="1"/>
  <c r="C6740" i="1"/>
  <c r="D6740" i="1"/>
  <c r="E6740" i="1"/>
  <c r="A6741" i="1"/>
  <c r="B6741" i="1"/>
  <c r="C6741" i="1"/>
  <c r="D6741" i="1"/>
  <c r="E6741" i="1"/>
  <c r="A6742" i="1"/>
  <c r="B6742" i="1"/>
  <c r="C6742" i="1"/>
  <c r="D6742" i="1"/>
  <c r="E6742" i="1"/>
  <c r="A6743" i="1"/>
  <c r="B6743" i="1"/>
  <c r="C6743" i="1"/>
  <c r="D6743" i="1"/>
  <c r="E6743" i="1"/>
  <c r="A6744" i="1"/>
  <c r="B6744" i="1"/>
  <c r="C6744" i="1"/>
  <c r="D6744" i="1"/>
  <c r="E6744" i="1"/>
  <c r="A6745" i="1"/>
  <c r="B6745" i="1"/>
  <c r="C6745" i="1"/>
  <c r="D6745" i="1"/>
  <c r="E6745" i="1"/>
  <c r="A6746" i="1"/>
  <c r="B6746" i="1"/>
  <c r="C6746" i="1"/>
  <c r="D6746" i="1"/>
  <c r="E6746" i="1"/>
  <c r="A6747" i="1"/>
  <c r="B6747" i="1"/>
  <c r="C6747" i="1"/>
  <c r="D6747" i="1"/>
  <c r="E6747" i="1"/>
  <c r="A6748" i="1"/>
  <c r="B6748" i="1"/>
  <c r="C6748" i="1"/>
  <c r="D6748" i="1"/>
  <c r="E6748" i="1"/>
  <c r="A6749" i="1"/>
  <c r="B6749" i="1"/>
  <c r="C6749" i="1"/>
  <c r="D6749" i="1"/>
  <c r="E6749" i="1"/>
  <c r="A6750" i="1"/>
  <c r="B6750" i="1"/>
  <c r="C6750" i="1"/>
  <c r="D6750" i="1"/>
  <c r="E6750" i="1"/>
  <c r="A6751" i="1"/>
  <c r="B6751" i="1"/>
  <c r="C6751" i="1"/>
  <c r="D6751" i="1"/>
  <c r="E6751" i="1"/>
  <c r="A6752" i="1"/>
  <c r="B6752" i="1"/>
  <c r="C6752" i="1"/>
  <c r="D6752" i="1"/>
  <c r="E6752" i="1"/>
  <c r="A6753" i="1"/>
  <c r="B6753" i="1"/>
  <c r="C6753" i="1"/>
  <c r="D6753" i="1"/>
  <c r="E6753" i="1"/>
  <c r="A6754" i="1"/>
  <c r="B6754" i="1"/>
  <c r="C6754" i="1"/>
  <c r="D6754" i="1"/>
  <c r="E6754" i="1"/>
  <c r="A6755" i="1"/>
  <c r="B6755" i="1"/>
  <c r="C6755" i="1"/>
  <c r="D6755" i="1"/>
  <c r="E6755" i="1"/>
  <c r="A6756" i="1"/>
  <c r="B6756" i="1"/>
  <c r="C6756" i="1"/>
  <c r="D6756" i="1"/>
  <c r="E6756" i="1"/>
  <c r="A6757" i="1"/>
  <c r="B6757" i="1"/>
  <c r="C6757" i="1"/>
  <c r="D6757" i="1"/>
  <c r="E6757" i="1"/>
  <c r="A6758" i="1"/>
  <c r="B6758" i="1"/>
  <c r="C6758" i="1"/>
  <c r="D6758" i="1"/>
  <c r="E6758" i="1"/>
  <c r="A6759" i="1"/>
  <c r="B6759" i="1"/>
  <c r="C6759" i="1"/>
  <c r="D6759" i="1"/>
  <c r="E6759" i="1"/>
  <c r="A6760" i="1"/>
  <c r="B6760" i="1"/>
  <c r="C6760" i="1"/>
  <c r="D6760" i="1"/>
  <c r="E6760" i="1"/>
  <c r="A6761" i="1"/>
  <c r="B6761" i="1"/>
  <c r="C6761" i="1"/>
  <c r="D6761" i="1"/>
  <c r="E6761" i="1"/>
  <c r="A6762" i="1"/>
  <c r="B6762" i="1"/>
  <c r="C6762" i="1"/>
  <c r="D6762" i="1"/>
  <c r="E6762" i="1"/>
  <c r="A6763" i="1"/>
  <c r="B6763" i="1"/>
  <c r="C6763" i="1"/>
  <c r="D6763" i="1"/>
  <c r="E6763" i="1"/>
  <c r="A6764" i="1"/>
  <c r="B6764" i="1"/>
  <c r="C6764" i="1"/>
  <c r="D6764" i="1"/>
  <c r="E6764" i="1"/>
  <c r="A6765" i="1"/>
  <c r="B6765" i="1"/>
  <c r="C6765" i="1"/>
  <c r="D6765" i="1"/>
  <c r="E6765" i="1"/>
  <c r="A6766" i="1"/>
  <c r="B6766" i="1"/>
  <c r="C6766" i="1"/>
  <c r="D6766" i="1"/>
  <c r="E6766" i="1"/>
  <c r="A6767" i="1"/>
  <c r="B6767" i="1"/>
  <c r="C6767" i="1"/>
  <c r="D6767" i="1"/>
  <c r="E6767" i="1"/>
  <c r="A6768" i="1"/>
  <c r="B6768" i="1"/>
  <c r="C6768" i="1"/>
  <c r="D6768" i="1"/>
  <c r="E6768" i="1"/>
  <c r="A6769" i="1"/>
  <c r="B6769" i="1"/>
  <c r="C6769" i="1"/>
  <c r="D6769" i="1"/>
  <c r="E6769" i="1"/>
  <c r="A6770" i="1"/>
  <c r="B6770" i="1"/>
  <c r="C6770" i="1"/>
  <c r="D6770" i="1"/>
  <c r="E6770" i="1"/>
  <c r="A6771" i="1"/>
  <c r="B6771" i="1"/>
  <c r="C6771" i="1"/>
  <c r="D6771" i="1"/>
  <c r="E6771" i="1"/>
  <c r="A6772" i="1"/>
  <c r="B6772" i="1"/>
  <c r="C6772" i="1"/>
  <c r="D6772" i="1"/>
  <c r="E6772" i="1"/>
  <c r="A6773" i="1"/>
  <c r="B6773" i="1"/>
  <c r="C6773" i="1"/>
  <c r="D6773" i="1"/>
  <c r="E6773" i="1"/>
  <c r="A6774" i="1"/>
  <c r="B6774" i="1"/>
  <c r="C6774" i="1"/>
  <c r="D6774" i="1"/>
  <c r="E6774" i="1"/>
  <c r="A6775" i="1"/>
  <c r="B6775" i="1"/>
  <c r="C6775" i="1"/>
  <c r="D6775" i="1"/>
  <c r="E6775" i="1"/>
  <c r="A6776" i="1"/>
  <c r="B6776" i="1"/>
  <c r="C6776" i="1"/>
  <c r="D6776" i="1"/>
  <c r="E6776" i="1"/>
  <c r="A6777" i="1"/>
  <c r="B6777" i="1"/>
  <c r="C6777" i="1"/>
  <c r="D6777" i="1"/>
  <c r="E6777" i="1"/>
  <c r="A6778" i="1"/>
  <c r="B6778" i="1"/>
  <c r="C6778" i="1"/>
  <c r="D6778" i="1"/>
  <c r="E6778" i="1"/>
  <c r="A6779" i="1"/>
  <c r="B6779" i="1"/>
  <c r="C6779" i="1"/>
  <c r="D6779" i="1"/>
  <c r="E6779" i="1"/>
  <c r="A6780" i="1"/>
  <c r="B6780" i="1"/>
  <c r="C6780" i="1"/>
  <c r="D6780" i="1"/>
  <c r="E6780" i="1"/>
  <c r="A6781" i="1"/>
  <c r="B6781" i="1"/>
  <c r="C6781" i="1"/>
  <c r="D6781" i="1"/>
  <c r="E6781" i="1"/>
  <c r="A6782" i="1"/>
  <c r="B6782" i="1"/>
  <c r="C6782" i="1"/>
  <c r="D6782" i="1"/>
  <c r="E6782" i="1"/>
  <c r="A6783" i="1"/>
  <c r="B6783" i="1"/>
  <c r="C6783" i="1"/>
  <c r="D6783" i="1"/>
  <c r="E6783" i="1"/>
  <c r="A6784" i="1"/>
  <c r="B6784" i="1"/>
  <c r="C6784" i="1"/>
  <c r="D6784" i="1"/>
  <c r="E6784" i="1"/>
  <c r="A6785" i="1"/>
  <c r="B6785" i="1"/>
  <c r="C6785" i="1"/>
  <c r="D6785" i="1"/>
  <c r="E6785" i="1"/>
  <c r="A6786" i="1"/>
  <c r="B6786" i="1"/>
  <c r="C6786" i="1"/>
  <c r="D6786" i="1"/>
  <c r="E6786" i="1"/>
  <c r="A6787" i="1"/>
  <c r="B6787" i="1"/>
  <c r="C6787" i="1"/>
  <c r="D6787" i="1"/>
  <c r="E6787" i="1"/>
  <c r="A6788" i="1"/>
  <c r="B6788" i="1"/>
  <c r="C6788" i="1"/>
  <c r="D6788" i="1"/>
  <c r="E6788" i="1"/>
  <c r="A6789" i="1"/>
  <c r="B6789" i="1"/>
  <c r="C6789" i="1"/>
  <c r="D6789" i="1"/>
  <c r="E6789" i="1"/>
  <c r="A6790" i="1"/>
  <c r="B6790" i="1"/>
  <c r="C6790" i="1"/>
  <c r="D6790" i="1"/>
  <c r="E6790" i="1"/>
  <c r="A6791" i="1"/>
  <c r="B6791" i="1"/>
  <c r="C6791" i="1"/>
  <c r="D6791" i="1"/>
  <c r="E6791" i="1"/>
  <c r="A6792" i="1"/>
  <c r="B6792" i="1"/>
  <c r="C6792" i="1"/>
  <c r="D6792" i="1"/>
  <c r="E6792" i="1"/>
  <c r="A6793" i="1"/>
  <c r="B6793" i="1"/>
  <c r="C6793" i="1"/>
  <c r="D6793" i="1"/>
  <c r="E6793" i="1"/>
  <c r="A6794" i="1"/>
  <c r="B6794" i="1"/>
  <c r="C6794" i="1"/>
  <c r="D6794" i="1"/>
  <c r="E6794" i="1"/>
  <c r="A6795" i="1"/>
  <c r="B6795" i="1"/>
  <c r="C6795" i="1"/>
  <c r="D6795" i="1"/>
  <c r="E6795" i="1"/>
  <c r="A6796" i="1"/>
  <c r="B6796" i="1"/>
  <c r="C6796" i="1"/>
  <c r="D6796" i="1"/>
  <c r="E6796" i="1"/>
  <c r="A6797" i="1"/>
  <c r="B6797" i="1"/>
  <c r="C6797" i="1"/>
  <c r="D6797" i="1"/>
  <c r="E6797" i="1"/>
  <c r="A6798" i="1"/>
  <c r="B6798" i="1"/>
  <c r="C6798" i="1"/>
  <c r="D6798" i="1"/>
  <c r="E6798" i="1"/>
  <c r="A6799" i="1"/>
  <c r="B6799" i="1"/>
  <c r="C6799" i="1"/>
  <c r="D6799" i="1"/>
  <c r="E6799" i="1"/>
  <c r="A6800" i="1"/>
  <c r="B6800" i="1"/>
  <c r="C6800" i="1"/>
  <c r="D6800" i="1"/>
  <c r="E6800" i="1"/>
  <c r="A6801" i="1"/>
  <c r="B6801" i="1"/>
  <c r="C6801" i="1"/>
  <c r="D6801" i="1"/>
  <c r="E6801" i="1"/>
  <c r="A6802" i="1"/>
  <c r="B6802" i="1"/>
  <c r="C6802" i="1"/>
  <c r="D6802" i="1"/>
  <c r="E6802" i="1"/>
  <c r="A6803" i="1"/>
  <c r="B6803" i="1"/>
  <c r="C6803" i="1"/>
  <c r="D6803" i="1"/>
  <c r="E6803" i="1"/>
  <c r="A6804" i="1"/>
  <c r="B6804" i="1"/>
  <c r="C6804" i="1"/>
  <c r="D6804" i="1"/>
  <c r="E6804" i="1"/>
  <c r="A6805" i="1"/>
  <c r="B6805" i="1"/>
  <c r="C6805" i="1"/>
  <c r="D6805" i="1"/>
  <c r="E6805" i="1"/>
  <c r="A6806" i="1"/>
  <c r="B6806" i="1"/>
  <c r="C6806" i="1"/>
  <c r="D6806" i="1"/>
  <c r="E6806" i="1"/>
  <c r="A6807" i="1"/>
  <c r="B6807" i="1"/>
  <c r="C6807" i="1"/>
  <c r="D6807" i="1"/>
  <c r="E6807" i="1"/>
  <c r="A6808" i="1"/>
  <c r="B6808" i="1"/>
  <c r="C6808" i="1"/>
  <c r="D6808" i="1"/>
  <c r="E6808" i="1"/>
  <c r="A6809" i="1"/>
  <c r="B6809" i="1"/>
  <c r="C6809" i="1"/>
  <c r="D6809" i="1"/>
  <c r="E6809" i="1"/>
  <c r="A6810" i="1"/>
  <c r="B6810" i="1"/>
  <c r="C6810" i="1"/>
  <c r="D6810" i="1"/>
  <c r="E6810" i="1"/>
  <c r="A6811" i="1"/>
  <c r="B6811" i="1"/>
  <c r="C6811" i="1"/>
  <c r="D6811" i="1"/>
  <c r="E6811" i="1"/>
  <c r="A6812" i="1"/>
  <c r="B6812" i="1"/>
  <c r="C6812" i="1"/>
  <c r="D6812" i="1"/>
  <c r="E6812" i="1"/>
  <c r="A6813" i="1"/>
  <c r="B6813" i="1"/>
  <c r="C6813" i="1"/>
  <c r="D6813" i="1"/>
  <c r="E6813" i="1"/>
  <c r="A6814" i="1"/>
  <c r="B6814" i="1"/>
  <c r="C6814" i="1"/>
  <c r="D6814" i="1"/>
  <c r="E6814" i="1"/>
  <c r="A6815" i="1"/>
  <c r="B6815" i="1"/>
  <c r="C6815" i="1"/>
  <c r="D6815" i="1"/>
  <c r="E6815" i="1"/>
  <c r="A6816" i="1"/>
  <c r="B6816" i="1"/>
  <c r="C6816" i="1"/>
  <c r="D6816" i="1"/>
  <c r="E6816" i="1"/>
  <c r="A6817" i="1"/>
  <c r="B6817" i="1"/>
  <c r="C6817" i="1"/>
  <c r="D6817" i="1"/>
  <c r="E6817" i="1"/>
  <c r="A6818" i="1"/>
  <c r="B6818" i="1"/>
  <c r="C6818" i="1"/>
  <c r="D6818" i="1"/>
  <c r="E6818" i="1"/>
  <c r="A6819" i="1"/>
  <c r="B6819" i="1"/>
  <c r="C6819" i="1"/>
  <c r="D6819" i="1"/>
  <c r="E6819" i="1"/>
  <c r="A6820" i="1"/>
  <c r="B6820" i="1"/>
  <c r="C6820" i="1"/>
  <c r="D6820" i="1"/>
  <c r="E6820" i="1"/>
  <c r="A6821" i="1"/>
  <c r="B6821" i="1"/>
  <c r="C6821" i="1"/>
  <c r="D6821" i="1"/>
  <c r="E6821" i="1"/>
  <c r="A6822" i="1"/>
  <c r="B6822" i="1"/>
  <c r="C6822" i="1"/>
  <c r="D6822" i="1"/>
  <c r="E6822" i="1"/>
  <c r="A6823" i="1"/>
  <c r="B6823" i="1"/>
  <c r="C6823" i="1"/>
  <c r="D6823" i="1"/>
  <c r="E6823" i="1"/>
  <c r="A6824" i="1"/>
  <c r="B6824" i="1"/>
  <c r="C6824" i="1"/>
  <c r="D6824" i="1"/>
  <c r="E6824" i="1"/>
  <c r="A6825" i="1"/>
  <c r="B6825" i="1"/>
  <c r="C6825" i="1"/>
  <c r="D6825" i="1"/>
  <c r="E6825" i="1"/>
  <c r="A6826" i="1"/>
  <c r="B6826" i="1"/>
  <c r="C6826" i="1"/>
  <c r="D6826" i="1"/>
  <c r="E6826" i="1"/>
  <c r="A6827" i="1"/>
  <c r="B6827" i="1"/>
  <c r="C6827" i="1"/>
  <c r="D6827" i="1"/>
  <c r="E6827" i="1"/>
  <c r="A6828" i="1"/>
  <c r="B6828" i="1"/>
  <c r="C6828" i="1"/>
  <c r="D6828" i="1"/>
  <c r="E6828" i="1"/>
  <c r="A6829" i="1"/>
  <c r="B6829" i="1"/>
  <c r="C6829" i="1"/>
  <c r="D6829" i="1"/>
  <c r="E6829" i="1"/>
  <c r="A6830" i="1"/>
  <c r="B6830" i="1"/>
  <c r="C6830" i="1"/>
  <c r="D6830" i="1"/>
  <c r="E6830" i="1"/>
  <c r="A6831" i="1"/>
  <c r="B6831" i="1"/>
  <c r="C6831" i="1"/>
  <c r="D6831" i="1"/>
  <c r="E6831" i="1"/>
  <c r="A6832" i="1"/>
  <c r="B6832" i="1"/>
  <c r="C6832" i="1"/>
  <c r="D6832" i="1"/>
  <c r="E6832" i="1"/>
  <c r="A6833" i="1"/>
  <c r="B6833" i="1"/>
  <c r="C6833" i="1"/>
  <c r="D6833" i="1"/>
  <c r="E6833" i="1"/>
  <c r="A6834" i="1"/>
  <c r="B6834" i="1"/>
  <c r="C6834" i="1"/>
  <c r="D6834" i="1"/>
  <c r="E6834" i="1"/>
  <c r="A6835" i="1"/>
  <c r="B6835" i="1"/>
  <c r="C6835" i="1"/>
  <c r="D6835" i="1"/>
  <c r="E6835" i="1"/>
  <c r="A6836" i="1"/>
  <c r="B6836" i="1"/>
  <c r="C6836" i="1"/>
  <c r="D6836" i="1"/>
  <c r="E6836" i="1"/>
  <c r="A6837" i="1"/>
  <c r="B6837" i="1"/>
  <c r="C6837" i="1"/>
  <c r="D6837" i="1"/>
  <c r="E6837" i="1"/>
  <c r="A6838" i="1"/>
  <c r="B6838" i="1"/>
  <c r="C6838" i="1"/>
  <c r="D6838" i="1"/>
  <c r="E6838" i="1"/>
  <c r="A6839" i="1"/>
  <c r="B6839" i="1"/>
  <c r="C6839" i="1"/>
  <c r="D6839" i="1"/>
  <c r="E6839" i="1"/>
  <c r="A6840" i="1"/>
  <c r="B6840" i="1"/>
  <c r="C6840" i="1"/>
  <c r="D6840" i="1"/>
  <c r="E6840" i="1"/>
  <c r="A6841" i="1"/>
  <c r="B6841" i="1"/>
  <c r="C6841" i="1"/>
  <c r="D6841" i="1"/>
  <c r="E6841" i="1"/>
  <c r="A6842" i="1"/>
  <c r="B6842" i="1"/>
  <c r="C6842" i="1"/>
  <c r="D6842" i="1"/>
  <c r="E6842" i="1"/>
  <c r="A6843" i="1"/>
  <c r="B6843" i="1"/>
  <c r="C6843" i="1"/>
  <c r="D6843" i="1"/>
  <c r="E6843" i="1"/>
  <c r="A6844" i="1"/>
  <c r="B6844" i="1"/>
  <c r="C6844" i="1"/>
  <c r="D6844" i="1"/>
  <c r="E6844" i="1"/>
  <c r="A6845" i="1"/>
  <c r="B6845" i="1"/>
  <c r="C6845" i="1"/>
  <c r="D6845" i="1"/>
  <c r="E6845" i="1"/>
  <c r="A6846" i="1"/>
  <c r="B6846" i="1"/>
  <c r="C6846" i="1"/>
  <c r="D6846" i="1"/>
  <c r="E6846" i="1"/>
  <c r="A6847" i="1"/>
  <c r="B6847" i="1"/>
  <c r="C6847" i="1"/>
  <c r="D6847" i="1"/>
  <c r="E6847" i="1"/>
  <c r="A6848" i="1"/>
  <c r="B6848" i="1"/>
  <c r="C6848" i="1"/>
  <c r="D6848" i="1"/>
  <c r="E6848" i="1"/>
  <c r="A6849" i="1"/>
  <c r="B6849" i="1"/>
  <c r="C6849" i="1"/>
  <c r="D6849" i="1"/>
  <c r="E6849" i="1"/>
  <c r="A6850" i="1"/>
  <c r="B6850" i="1"/>
  <c r="C6850" i="1"/>
  <c r="D6850" i="1"/>
  <c r="E6850" i="1"/>
  <c r="A6851" i="1"/>
  <c r="B6851" i="1"/>
  <c r="C6851" i="1"/>
  <c r="D6851" i="1"/>
  <c r="E6851" i="1"/>
  <c r="A6852" i="1"/>
  <c r="B6852" i="1"/>
  <c r="C6852" i="1"/>
  <c r="D6852" i="1"/>
  <c r="E6852" i="1"/>
  <c r="A6853" i="1"/>
  <c r="B6853" i="1"/>
  <c r="C6853" i="1"/>
  <c r="D6853" i="1"/>
  <c r="E6853" i="1"/>
  <c r="A6854" i="1"/>
  <c r="B6854" i="1"/>
  <c r="C6854" i="1"/>
  <c r="D6854" i="1"/>
  <c r="E6854" i="1"/>
  <c r="A6855" i="1"/>
  <c r="B6855" i="1"/>
  <c r="C6855" i="1"/>
  <c r="D6855" i="1"/>
  <c r="E6855" i="1"/>
  <c r="A6856" i="1"/>
  <c r="B6856" i="1"/>
  <c r="C6856" i="1"/>
  <c r="D6856" i="1"/>
  <c r="E6856" i="1"/>
  <c r="A6857" i="1"/>
  <c r="B6857" i="1"/>
  <c r="C6857" i="1"/>
  <c r="D6857" i="1"/>
  <c r="E6857" i="1"/>
  <c r="A6858" i="1"/>
  <c r="B6858" i="1"/>
  <c r="C6858" i="1"/>
  <c r="D6858" i="1"/>
  <c r="E6858" i="1"/>
  <c r="A6859" i="1"/>
  <c r="B6859" i="1"/>
  <c r="C6859" i="1"/>
  <c r="D6859" i="1"/>
  <c r="E6859" i="1"/>
  <c r="A6860" i="1"/>
  <c r="B6860" i="1"/>
  <c r="C6860" i="1"/>
  <c r="D6860" i="1"/>
  <c r="E6860" i="1"/>
  <c r="A6861" i="1"/>
  <c r="B6861" i="1"/>
  <c r="C6861" i="1"/>
  <c r="D6861" i="1"/>
  <c r="E6861" i="1"/>
  <c r="A6862" i="1"/>
  <c r="B6862" i="1"/>
  <c r="C6862" i="1"/>
  <c r="D6862" i="1"/>
  <c r="E6862" i="1"/>
  <c r="A6863" i="1"/>
  <c r="B6863" i="1"/>
  <c r="C6863" i="1"/>
  <c r="D6863" i="1"/>
  <c r="E6863" i="1"/>
  <c r="A6864" i="1"/>
  <c r="B6864" i="1"/>
  <c r="C6864" i="1"/>
  <c r="D6864" i="1"/>
  <c r="E6864" i="1"/>
  <c r="A6865" i="1"/>
  <c r="B6865" i="1"/>
  <c r="C6865" i="1"/>
  <c r="D6865" i="1"/>
  <c r="E6865" i="1"/>
  <c r="A6866" i="1"/>
  <c r="B6866" i="1"/>
  <c r="C6866" i="1"/>
  <c r="D6866" i="1"/>
  <c r="E6866" i="1"/>
  <c r="A6867" i="1"/>
  <c r="B6867" i="1"/>
  <c r="C6867" i="1"/>
  <c r="D6867" i="1"/>
  <c r="E6867" i="1"/>
  <c r="A6868" i="1"/>
  <c r="B6868" i="1"/>
  <c r="C6868" i="1"/>
  <c r="D6868" i="1"/>
  <c r="E6868" i="1"/>
  <c r="A6869" i="1"/>
  <c r="B6869" i="1"/>
  <c r="C6869" i="1"/>
  <c r="D6869" i="1"/>
  <c r="E6869" i="1"/>
  <c r="A6870" i="1"/>
  <c r="B6870" i="1"/>
  <c r="C6870" i="1"/>
  <c r="D6870" i="1"/>
  <c r="E6870" i="1"/>
  <c r="A6871" i="1"/>
  <c r="B6871" i="1"/>
  <c r="C6871" i="1"/>
  <c r="D6871" i="1"/>
  <c r="E6871" i="1"/>
  <c r="A6872" i="1"/>
  <c r="B6872" i="1"/>
  <c r="C6872" i="1"/>
  <c r="D6872" i="1"/>
  <c r="E6872" i="1"/>
  <c r="A6873" i="1"/>
  <c r="B6873" i="1"/>
  <c r="C6873" i="1"/>
  <c r="D6873" i="1"/>
  <c r="E6873" i="1"/>
  <c r="A6874" i="1"/>
  <c r="B6874" i="1"/>
  <c r="C6874" i="1"/>
  <c r="D6874" i="1"/>
  <c r="E6874" i="1"/>
  <c r="A6875" i="1"/>
  <c r="B6875" i="1"/>
  <c r="C6875" i="1"/>
  <c r="D6875" i="1"/>
  <c r="E6875" i="1"/>
  <c r="A6876" i="1"/>
  <c r="B6876" i="1"/>
  <c r="C6876" i="1"/>
  <c r="D6876" i="1"/>
  <c r="E6876" i="1"/>
  <c r="A6877" i="1"/>
  <c r="B6877" i="1"/>
  <c r="C6877" i="1"/>
  <c r="D6877" i="1"/>
  <c r="E6877" i="1"/>
  <c r="A6878" i="1"/>
  <c r="B6878" i="1"/>
  <c r="C6878" i="1"/>
  <c r="D6878" i="1"/>
  <c r="E6878" i="1"/>
  <c r="A6879" i="1"/>
  <c r="B6879" i="1"/>
  <c r="C6879" i="1"/>
  <c r="D6879" i="1"/>
  <c r="E6879" i="1"/>
  <c r="A6880" i="1"/>
  <c r="B6880" i="1"/>
  <c r="C6880" i="1"/>
  <c r="D6880" i="1"/>
  <c r="E6880" i="1"/>
  <c r="A6881" i="1"/>
  <c r="B6881" i="1"/>
  <c r="C6881" i="1"/>
  <c r="D6881" i="1"/>
  <c r="E6881" i="1"/>
  <c r="A6882" i="1"/>
  <c r="B6882" i="1"/>
  <c r="C6882" i="1"/>
  <c r="D6882" i="1"/>
  <c r="E6882" i="1"/>
  <c r="A6883" i="1"/>
  <c r="B6883" i="1"/>
  <c r="C6883" i="1"/>
  <c r="D6883" i="1"/>
  <c r="E6883" i="1"/>
  <c r="A6884" i="1"/>
  <c r="B6884" i="1"/>
  <c r="C6884" i="1"/>
  <c r="D6884" i="1"/>
  <c r="E6884" i="1"/>
  <c r="A6885" i="1"/>
  <c r="B6885" i="1"/>
  <c r="C6885" i="1"/>
  <c r="D6885" i="1"/>
  <c r="E6885" i="1"/>
  <c r="A6886" i="1"/>
  <c r="B6886" i="1"/>
  <c r="C6886" i="1"/>
  <c r="D6886" i="1"/>
  <c r="E6886" i="1"/>
  <c r="A6887" i="1"/>
  <c r="B6887" i="1"/>
  <c r="C6887" i="1"/>
  <c r="D6887" i="1"/>
  <c r="E6887" i="1"/>
  <c r="A6888" i="1"/>
  <c r="B6888" i="1"/>
  <c r="C6888" i="1"/>
  <c r="D6888" i="1"/>
  <c r="E6888" i="1"/>
  <c r="A6889" i="1"/>
  <c r="B6889" i="1"/>
  <c r="C6889" i="1"/>
  <c r="D6889" i="1"/>
  <c r="E6889" i="1"/>
  <c r="A6890" i="1"/>
  <c r="B6890" i="1"/>
  <c r="C6890" i="1"/>
  <c r="D6890" i="1"/>
  <c r="E6890" i="1"/>
  <c r="A6891" i="1"/>
  <c r="B6891" i="1"/>
  <c r="C6891" i="1"/>
  <c r="D6891" i="1"/>
  <c r="E6891" i="1"/>
  <c r="A6892" i="1"/>
  <c r="B6892" i="1"/>
  <c r="C6892" i="1"/>
  <c r="D6892" i="1"/>
  <c r="E6892" i="1"/>
  <c r="A6893" i="1"/>
  <c r="B6893" i="1"/>
  <c r="C6893" i="1"/>
  <c r="D6893" i="1"/>
  <c r="E6893" i="1"/>
  <c r="A6894" i="1"/>
  <c r="B6894" i="1"/>
  <c r="C6894" i="1"/>
  <c r="D6894" i="1"/>
  <c r="E6894" i="1"/>
  <c r="A6895" i="1"/>
  <c r="B6895" i="1"/>
  <c r="C6895" i="1"/>
  <c r="D6895" i="1"/>
  <c r="E6895" i="1"/>
  <c r="A6896" i="1"/>
  <c r="B6896" i="1"/>
  <c r="C6896" i="1"/>
  <c r="D6896" i="1"/>
  <c r="E6896" i="1"/>
  <c r="A6897" i="1"/>
  <c r="B6897" i="1"/>
  <c r="C6897" i="1"/>
  <c r="D6897" i="1"/>
  <c r="E6897" i="1"/>
  <c r="A6898" i="1"/>
  <c r="B6898" i="1"/>
  <c r="C6898" i="1"/>
  <c r="D6898" i="1"/>
  <c r="E6898" i="1"/>
  <c r="A6899" i="1"/>
  <c r="B6899" i="1"/>
  <c r="C6899" i="1"/>
  <c r="D6899" i="1"/>
  <c r="E6899" i="1"/>
  <c r="A6900" i="1"/>
  <c r="B6900" i="1"/>
  <c r="C6900" i="1"/>
  <c r="D6900" i="1"/>
  <c r="E6900" i="1"/>
  <c r="A6901" i="1"/>
  <c r="B6901" i="1"/>
  <c r="C6901" i="1"/>
  <c r="D6901" i="1"/>
  <c r="E6901" i="1"/>
  <c r="A6902" i="1"/>
  <c r="B6902" i="1"/>
  <c r="C6902" i="1"/>
  <c r="D6902" i="1"/>
  <c r="E6902" i="1"/>
  <c r="A6903" i="1"/>
  <c r="B6903" i="1"/>
  <c r="C6903" i="1"/>
  <c r="D6903" i="1"/>
  <c r="E6903" i="1"/>
  <c r="A6904" i="1"/>
  <c r="B6904" i="1"/>
  <c r="C6904" i="1"/>
  <c r="D6904" i="1"/>
  <c r="E6904" i="1"/>
  <c r="A6905" i="1"/>
  <c r="B6905" i="1"/>
  <c r="C6905" i="1"/>
  <c r="D6905" i="1"/>
  <c r="E6905" i="1"/>
  <c r="A6906" i="1"/>
  <c r="B6906" i="1"/>
  <c r="C6906" i="1"/>
  <c r="D6906" i="1"/>
  <c r="E6906" i="1"/>
  <c r="A6907" i="1"/>
  <c r="B6907" i="1"/>
  <c r="C6907" i="1"/>
  <c r="D6907" i="1"/>
  <c r="E6907" i="1"/>
  <c r="A6908" i="1"/>
  <c r="B6908" i="1"/>
  <c r="C6908" i="1"/>
  <c r="D6908" i="1"/>
  <c r="E6908" i="1"/>
  <c r="A6909" i="1"/>
  <c r="B6909" i="1"/>
  <c r="C6909" i="1"/>
  <c r="D6909" i="1"/>
  <c r="E6909" i="1"/>
  <c r="A6910" i="1"/>
  <c r="B6910" i="1"/>
  <c r="C6910" i="1"/>
  <c r="D6910" i="1"/>
  <c r="E6910" i="1"/>
  <c r="A6911" i="1"/>
  <c r="B6911" i="1"/>
  <c r="C6911" i="1"/>
  <c r="D6911" i="1"/>
  <c r="E6911" i="1"/>
  <c r="A6912" i="1"/>
  <c r="B6912" i="1"/>
  <c r="C6912" i="1"/>
  <c r="D6912" i="1"/>
  <c r="E6912" i="1"/>
  <c r="A6913" i="1"/>
  <c r="B6913" i="1"/>
  <c r="C6913" i="1"/>
  <c r="D6913" i="1"/>
  <c r="E6913" i="1"/>
  <c r="A6914" i="1"/>
  <c r="B6914" i="1"/>
  <c r="C6914" i="1"/>
  <c r="D6914" i="1"/>
  <c r="E6914" i="1"/>
  <c r="A6915" i="1"/>
  <c r="B6915" i="1"/>
  <c r="C6915" i="1"/>
  <c r="D6915" i="1"/>
  <c r="E6915" i="1"/>
  <c r="A6916" i="1"/>
  <c r="B6916" i="1"/>
  <c r="C6916" i="1"/>
  <c r="D6916" i="1"/>
  <c r="E6916" i="1"/>
  <c r="A6917" i="1"/>
  <c r="B6917" i="1"/>
  <c r="C6917" i="1"/>
  <c r="D6917" i="1"/>
  <c r="E6917" i="1"/>
  <c r="A6918" i="1"/>
  <c r="B6918" i="1"/>
  <c r="C6918" i="1"/>
  <c r="D6918" i="1"/>
  <c r="E6918" i="1"/>
  <c r="A6919" i="1"/>
  <c r="B6919" i="1"/>
  <c r="C6919" i="1"/>
  <c r="D6919" i="1"/>
  <c r="E6919" i="1"/>
  <c r="A6920" i="1"/>
  <c r="B6920" i="1"/>
  <c r="C6920" i="1"/>
  <c r="D6920" i="1"/>
  <c r="E6920" i="1"/>
  <c r="A6921" i="1"/>
  <c r="B6921" i="1"/>
  <c r="C6921" i="1"/>
  <c r="D6921" i="1"/>
  <c r="E6921" i="1"/>
  <c r="A6922" i="1"/>
  <c r="B6922" i="1"/>
  <c r="C6922" i="1"/>
  <c r="D6922" i="1"/>
  <c r="E6922" i="1"/>
  <c r="A6923" i="1"/>
  <c r="B6923" i="1"/>
  <c r="C6923" i="1"/>
  <c r="D6923" i="1"/>
  <c r="E6923" i="1"/>
  <c r="A6924" i="1"/>
  <c r="B6924" i="1"/>
  <c r="C6924" i="1"/>
  <c r="D6924" i="1"/>
  <c r="E6924" i="1"/>
  <c r="A6925" i="1"/>
  <c r="B6925" i="1"/>
  <c r="C6925" i="1"/>
  <c r="D6925" i="1"/>
  <c r="E6925" i="1"/>
  <c r="A6926" i="1"/>
  <c r="B6926" i="1"/>
  <c r="C6926" i="1"/>
  <c r="D6926" i="1"/>
  <c r="E6926" i="1"/>
  <c r="A6927" i="1"/>
  <c r="B6927" i="1"/>
  <c r="C6927" i="1"/>
  <c r="D6927" i="1"/>
  <c r="E6927" i="1"/>
  <c r="A6928" i="1"/>
  <c r="B6928" i="1"/>
  <c r="C6928" i="1"/>
  <c r="D6928" i="1"/>
  <c r="E6928" i="1"/>
  <c r="A6929" i="1"/>
  <c r="B6929" i="1"/>
  <c r="C6929" i="1"/>
  <c r="D6929" i="1"/>
  <c r="E6929" i="1"/>
  <c r="A6930" i="1"/>
  <c r="B6930" i="1"/>
  <c r="C6930" i="1"/>
  <c r="D6930" i="1"/>
  <c r="E6930" i="1"/>
  <c r="A6931" i="1"/>
  <c r="B6931" i="1"/>
  <c r="C6931" i="1"/>
  <c r="D6931" i="1"/>
  <c r="E6931" i="1"/>
  <c r="A6932" i="1"/>
  <c r="B6932" i="1"/>
  <c r="C6932" i="1"/>
  <c r="D6932" i="1"/>
  <c r="E6932" i="1"/>
  <c r="A6933" i="1"/>
  <c r="B6933" i="1"/>
  <c r="C6933" i="1"/>
  <c r="D6933" i="1"/>
  <c r="E6933" i="1"/>
  <c r="A6934" i="1"/>
  <c r="B6934" i="1"/>
  <c r="C6934" i="1"/>
  <c r="D6934" i="1"/>
  <c r="E6934" i="1"/>
  <c r="A6935" i="1"/>
  <c r="B6935" i="1"/>
  <c r="C6935" i="1"/>
  <c r="D6935" i="1"/>
  <c r="E6935" i="1"/>
  <c r="A6936" i="1"/>
  <c r="B6936" i="1"/>
  <c r="C6936" i="1"/>
  <c r="D6936" i="1"/>
  <c r="E6936" i="1"/>
  <c r="A6937" i="1"/>
  <c r="B6937" i="1"/>
  <c r="C6937" i="1"/>
  <c r="D6937" i="1"/>
  <c r="E6937" i="1"/>
  <c r="A6938" i="1"/>
  <c r="B6938" i="1"/>
  <c r="C6938" i="1"/>
  <c r="D6938" i="1"/>
  <c r="E6938" i="1"/>
  <c r="A6939" i="1"/>
  <c r="B6939" i="1"/>
  <c r="C6939" i="1"/>
  <c r="D6939" i="1"/>
  <c r="E6939" i="1"/>
  <c r="A6940" i="1"/>
  <c r="B6940" i="1"/>
  <c r="C6940" i="1"/>
  <c r="D6940" i="1"/>
  <c r="E6940" i="1"/>
  <c r="A6941" i="1"/>
  <c r="B6941" i="1"/>
  <c r="C6941" i="1"/>
  <c r="D6941" i="1"/>
  <c r="E6941" i="1"/>
  <c r="A6942" i="1"/>
  <c r="B6942" i="1"/>
  <c r="C6942" i="1"/>
  <c r="D6942" i="1"/>
  <c r="E6942" i="1"/>
  <c r="A6943" i="1"/>
  <c r="B6943" i="1"/>
  <c r="C6943" i="1"/>
  <c r="D6943" i="1"/>
  <c r="E6943" i="1"/>
  <c r="A6944" i="1"/>
  <c r="B6944" i="1"/>
  <c r="C6944" i="1"/>
  <c r="D6944" i="1"/>
  <c r="E6944" i="1"/>
  <c r="A6945" i="1"/>
  <c r="B6945" i="1"/>
  <c r="C6945" i="1"/>
  <c r="D6945" i="1"/>
  <c r="E6945" i="1"/>
  <c r="A6946" i="1"/>
  <c r="B6946" i="1"/>
  <c r="C6946" i="1"/>
  <c r="D6946" i="1"/>
  <c r="E6946" i="1"/>
  <c r="A6947" i="1"/>
  <c r="B6947" i="1"/>
  <c r="C6947" i="1"/>
  <c r="D6947" i="1"/>
  <c r="E6947" i="1"/>
  <c r="A6948" i="1"/>
  <c r="B6948" i="1"/>
  <c r="C6948" i="1"/>
  <c r="D6948" i="1"/>
  <c r="E6948" i="1"/>
  <c r="A6949" i="1"/>
  <c r="B6949" i="1"/>
  <c r="C6949" i="1"/>
  <c r="D6949" i="1"/>
  <c r="E6949" i="1"/>
  <c r="A6950" i="1"/>
  <c r="B6950" i="1"/>
  <c r="C6950" i="1"/>
  <c r="D6950" i="1"/>
  <c r="E6950" i="1"/>
  <c r="A6951" i="1"/>
  <c r="B6951" i="1"/>
  <c r="C6951" i="1"/>
  <c r="D6951" i="1"/>
  <c r="E6951" i="1"/>
  <c r="A6952" i="1"/>
  <c r="B6952" i="1"/>
  <c r="C6952" i="1"/>
  <c r="D6952" i="1"/>
  <c r="E6952" i="1"/>
  <c r="A6953" i="1"/>
  <c r="B6953" i="1"/>
  <c r="C6953" i="1"/>
  <c r="D6953" i="1"/>
  <c r="E6953" i="1"/>
  <c r="A6954" i="1"/>
  <c r="B6954" i="1"/>
  <c r="C6954" i="1"/>
  <c r="D6954" i="1"/>
  <c r="E6954" i="1"/>
  <c r="A6955" i="1"/>
  <c r="B6955" i="1"/>
  <c r="C6955" i="1"/>
  <c r="D6955" i="1"/>
  <c r="E6955" i="1"/>
  <c r="A6956" i="1"/>
  <c r="B6956" i="1"/>
  <c r="C6956" i="1"/>
  <c r="D6956" i="1"/>
  <c r="E6956" i="1"/>
  <c r="A6957" i="1"/>
  <c r="B6957" i="1"/>
  <c r="C6957" i="1"/>
  <c r="D6957" i="1"/>
  <c r="E6957" i="1"/>
  <c r="A6958" i="1"/>
  <c r="B6958" i="1"/>
  <c r="C6958" i="1"/>
  <c r="D6958" i="1"/>
  <c r="E6958" i="1"/>
  <c r="A6959" i="1"/>
  <c r="B6959" i="1"/>
  <c r="C6959" i="1"/>
  <c r="D6959" i="1"/>
  <c r="E6959" i="1"/>
  <c r="A6960" i="1"/>
  <c r="B6960" i="1"/>
  <c r="C6960" i="1"/>
  <c r="D6960" i="1"/>
  <c r="E6960" i="1"/>
  <c r="A6961" i="1"/>
  <c r="B6961" i="1"/>
  <c r="C6961" i="1"/>
  <c r="D6961" i="1"/>
  <c r="E6961" i="1"/>
  <c r="A6962" i="1"/>
  <c r="B6962" i="1"/>
  <c r="C6962" i="1"/>
  <c r="D6962" i="1"/>
  <c r="E6962" i="1"/>
  <c r="A6963" i="1"/>
  <c r="B6963" i="1"/>
  <c r="C6963" i="1"/>
  <c r="D6963" i="1"/>
  <c r="E6963" i="1"/>
  <c r="A6964" i="1"/>
  <c r="B6964" i="1"/>
  <c r="C6964" i="1"/>
  <c r="D6964" i="1"/>
  <c r="E6964" i="1"/>
  <c r="A6965" i="1"/>
  <c r="B6965" i="1"/>
  <c r="C6965" i="1"/>
  <c r="D6965" i="1"/>
  <c r="E6965" i="1"/>
  <c r="A6966" i="1"/>
  <c r="B6966" i="1"/>
  <c r="C6966" i="1"/>
  <c r="D6966" i="1"/>
  <c r="E6966" i="1"/>
  <c r="A6967" i="1"/>
  <c r="B6967" i="1"/>
  <c r="C6967" i="1"/>
  <c r="D6967" i="1"/>
  <c r="E6967" i="1"/>
  <c r="A6968" i="1"/>
  <c r="B6968" i="1"/>
  <c r="C6968" i="1"/>
  <c r="D6968" i="1"/>
  <c r="E6968" i="1"/>
  <c r="A6969" i="1"/>
  <c r="B6969" i="1"/>
  <c r="C6969" i="1"/>
  <c r="D6969" i="1"/>
  <c r="E6969" i="1"/>
  <c r="A6970" i="1"/>
  <c r="B6970" i="1"/>
  <c r="C6970" i="1"/>
  <c r="D6970" i="1"/>
  <c r="E6970" i="1"/>
  <c r="A6971" i="1"/>
  <c r="B6971" i="1"/>
  <c r="C6971" i="1"/>
  <c r="D6971" i="1"/>
  <c r="E6971" i="1"/>
  <c r="A6972" i="1"/>
  <c r="B6972" i="1"/>
  <c r="C6972" i="1"/>
  <c r="D6972" i="1"/>
  <c r="E6972" i="1"/>
  <c r="A6973" i="1"/>
  <c r="B6973" i="1"/>
  <c r="C6973" i="1"/>
  <c r="D6973" i="1"/>
  <c r="E6973" i="1"/>
  <c r="A6974" i="1"/>
  <c r="B6974" i="1"/>
  <c r="C6974" i="1"/>
  <c r="D6974" i="1"/>
  <c r="E6974" i="1"/>
  <c r="A6975" i="1"/>
  <c r="B6975" i="1"/>
  <c r="C6975" i="1"/>
  <c r="D6975" i="1"/>
  <c r="E6975" i="1"/>
  <c r="A6976" i="1"/>
  <c r="B6976" i="1"/>
  <c r="C6976" i="1"/>
  <c r="D6976" i="1"/>
  <c r="E6976" i="1"/>
  <c r="A6977" i="1"/>
  <c r="B6977" i="1"/>
  <c r="C6977" i="1"/>
  <c r="D6977" i="1"/>
  <c r="E6977" i="1"/>
  <c r="A6978" i="1"/>
  <c r="B6978" i="1"/>
  <c r="C6978" i="1"/>
  <c r="D6978" i="1"/>
  <c r="E6978" i="1"/>
  <c r="A6979" i="1"/>
  <c r="B6979" i="1"/>
  <c r="C6979" i="1"/>
  <c r="D6979" i="1"/>
  <c r="E6979" i="1"/>
  <c r="A6980" i="1"/>
  <c r="B6980" i="1"/>
  <c r="C6980" i="1"/>
  <c r="D6980" i="1"/>
  <c r="E6980" i="1"/>
  <c r="A6981" i="1"/>
  <c r="B6981" i="1"/>
  <c r="C6981" i="1"/>
  <c r="D6981" i="1"/>
  <c r="E6981" i="1"/>
  <c r="A6982" i="1"/>
  <c r="B6982" i="1"/>
  <c r="C6982" i="1"/>
  <c r="D6982" i="1"/>
  <c r="E6982" i="1"/>
  <c r="A6983" i="1"/>
  <c r="B6983" i="1"/>
  <c r="C6983" i="1"/>
  <c r="D6983" i="1"/>
  <c r="E6983" i="1"/>
  <c r="A6984" i="1"/>
  <c r="B6984" i="1"/>
  <c r="C6984" i="1"/>
  <c r="D6984" i="1"/>
  <c r="E6984" i="1"/>
  <c r="A6985" i="1"/>
  <c r="B6985" i="1"/>
  <c r="C6985" i="1"/>
  <c r="D6985" i="1"/>
  <c r="E6985" i="1"/>
  <c r="A6986" i="1"/>
  <c r="B6986" i="1"/>
  <c r="C6986" i="1"/>
  <c r="D6986" i="1"/>
  <c r="E6986" i="1"/>
  <c r="A6987" i="1"/>
  <c r="B6987" i="1"/>
  <c r="C6987" i="1"/>
  <c r="D6987" i="1"/>
  <c r="E6987" i="1"/>
  <c r="A6988" i="1"/>
  <c r="B6988" i="1"/>
  <c r="C6988" i="1"/>
  <c r="D6988" i="1"/>
  <c r="E6988" i="1"/>
  <c r="A6989" i="1"/>
  <c r="B6989" i="1"/>
  <c r="C6989" i="1"/>
  <c r="D6989" i="1"/>
  <c r="E6989" i="1"/>
  <c r="A6990" i="1"/>
  <c r="B6990" i="1"/>
  <c r="C6990" i="1"/>
  <c r="D6990" i="1"/>
  <c r="E6990" i="1"/>
  <c r="A6991" i="1"/>
  <c r="B6991" i="1"/>
  <c r="C6991" i="1"/>
  <c r="D6991" i="1"/>
  <c r="E6991" i="1"/>
  <c r="A6992" i="1"/>
  <c r="B6992" i="1"/>
  <c r="C6992" i="1"/>
  <c r="D6992" i="1"/>
  <c r="E6992" i="1"/>
  <c r="A6993" i="1"/>
  <c r="B6993" i="1"/>
  <c r="C6993" i="1"/>
  <c r="D6993" i="1"/>
  <c r="E6993" i="1"/>
  <c r="A6994" i="1"/>
  <c r="B6994" i="1"/>
  <c r="C6994" i="1"/>
  <c r="D6994" i="1"/>
  <c r="E6994" i="1"/>
  <c r="A6995" i="1"/>
  <c r="B6995" i="1"/>
  <c r="C6995" i="1"/>
  <c r="D6995" i="1"/>
  <c r="E6995" i="1"/>
  <c r="A6996" i="1"/>
  <c r="B6996" i="1"/>
  <c r="C6996" i="1"/>
  <c r="D6996" i="1"/>
  <c r="E6996" i="1"/>
  <c r="A6997" i="1"/>
  <c r="B6997" i="1"/>
  <c r="C6997" i="1"/>
  <c r="D6997" i="1"/>
  <c r="E6997" i="1"/>
  <c r="A6998" i="1"/>
  <c r="B6998" i="1"/>
  <c r="C6998" i="1"/>
  <c r="D6998" i="1"/>
  <c r="E6998" i="1"/>
  <c r="A6999" i="1"/>
  <c r="B6999" i="1"/>
  <c r="C6999" i="1"/>
  <c r="D6999" i="1"/>
  <c r="E6999" i="1"/>
  <c r="A7000" i="1"/>
  <c r="B7000" i="1"/>
  <c r="C7000" i="1"/>
  <c r="D7000" i="1"/>
  <c r="E7000" i="1"/>
  <c r="A7001" i="1"/>
  <c r="B7001" i="1"/>
  <c r="C7001" i="1"/>
  <c r="D7001" i="1"/>
  <c r="E7001" i="1"/>
  <c r="A7002" i="1"/>
  <c r="B7002" i="1"/>
  <c r="C7002" i="1"/>
  <c r="D7002" i="1"/>
  <c r="E7002" i="1"/>
  <c r="A7003" i="1"/>
  <c r="B7003" i="1"/>
  <c r="C7003" i="1"/>
  <c r="D7003" i="1"/>
  <c r="E7003" i="1"/>
  <c r="A7004" i="1"/>
  <c r="B7004" i="1"/>
  <c r="C7004" i="1"/>
  <c r="D7004" i="1"/>
  <c r="E7004" i="1"/>
  <c r="A7005" i="1"/>
  <c r="B7005" i="1"/>
  <c r="C7005" i="1"/>
  <c r="D7005" i="1"/>
  <c r="E7005" i="1"/>
  <c r="A7006" i="1"/>
  <c r="B7006" i="1"/>
  <c r="C7006" i="1"/>
  <c r="D7006" i="1"/>
  <c r="E7006" i="1"/>
  <c r="A7007" i="1"/>
  <c r="B7007" i="1"/>
  <c r="C7007" i="1"/>
  <c r="D7007" i="1"/>
  <c r="E7007" i="1"/>
  <c r="A7008" i="1"/>
  <c r="B7008" i="1"/>
  <c r="C7008" i="1"/>
  <c r="D7008" i="1"/>
  <c r="E7008" i="1"/>
  <c r="A7009" i="1"/>
  <c r="B7009" i="1"/>
  <c r="C7009" i="1"/>
  <c r="D7009" i="1"/>
  <c r="E7009" i="1"/>
  <c r="A7010" i="1"/>
  <c r="B7010" i="1"/>
  <c r="C7010" i="1"/>
  <c r="D7010" i="1"/>
  <c r="E7010" i="1"/>
  <c r="A7011" i="1"/>
  <c r="B7011" i="1"/>
  <c r="C7011" i="1"/>
  <c r="D7011" i="1"/>
  <c r="E7011" i="1"/>
  <c r="A7012" i="1"/>
  <c r="B7012" i="1"/>
  <c r="C7012" i="1"/>
  <c r="D7012" i="1"/>
  <c r="E7012" i="1"/>
  <c r="A7013" i="1"/>
  <c r="B7013" i="1"/>
  <c r="C7013" i="1"/>
  <c r="D7013" i="1"/>
  <c r="E7013" i="1"/>
  <c r="A7014" i="1"/>
  <c r="B7014" i="1"/>
  <c r="C7014" i="1"/>
  <c r="D7014" i="1"/>
  <c r="E7014" i="1"/>
  <c r="A7015" i="1"/>
  <c r="B7015" i="1"/>
  <c r="C7015" i="1"/>
  <c r="D7015" i="1"/>
  <c r="E7015" i="1"/>
  <c r="A7016" i="1"/>
  <c r="B7016" i="1"/>
  <c r="C7016" i="1"/>
  <c r="D7016" i="1"/>
  <c r="E7016" i="1"/>
  <c r="A7017" i="1"/>
  <c r="B7017" i="1"/>
  <c r="C7017" i="1"/>
  <c r="D7017" i="1"/>
  <c r="E7017" i="1"/>
  <c r="A7018" i="1"/>
  <c r="B7018" i="1"/>
  <c r="C7018" i="1"/>
  <c r="D7018" i="1"/>
  <c r="E7018" i="1"/>
  <c r="A7019" i="1"/>
  <c r="B7019" i="1"/>
  <c r="C7019" i="1"/>
  <c r="D7019" i="1"/>
  <c r="E7019" i="1"/>
  <c r="A7020" i="1"/>
  <c r="B7020" i="1"/>
  <c r="C7020" i="1"/>
  <c r="D7020" i="1"/>
  <c r="E7020" i="1"/>
  <c r="A7021" i="1"/>
  <c r="B7021" i="1"/>
  <c r="C7021" i="1"/>
  <c r="D7021" i="1"/>
  <c r="E7021" i="1"/>
  <c r="A7022" i="1"/>
  <c r="B7022" i="1"/>
  <c r="C7022" i="1"/>
  <c r="D7022" i="1"/>
  <c r="E7022" i="1"/>
  <c r="A7023" i="1"/>
  <c r="B7023" i="1"/>
  <c r="C7023" i="1"/>
  <c r="D7023" i="1"/>
  <c r="E7023" i="1"/>
  <c r="A7024" i="1"/>
  <c r="B7024" i="1"/>
  <c r="C7024" i="1"/>
  <c r="D7024" i="1"/>
  <c r="E7024" i="1"/>
  <c r="A7025" i="1"/>
  <c r="B7025" i="1"/>
  <c r="C7025" i="1"/>
  <c r="D7025" i="1"/>
  <c r="E7025" i="1"/>
  <c r="A7026" i="1"/>
  <c r="B7026" i="1"/>
  <c r="C7026" i="1"/>
  <c r="D7026" i="1"/>
  <c r="E7026" i="1"/>
  <c r="A7027" i="1"/>
  <c r="B7027" i="1"/>
  <c r="C7027" i="1"/>
  <c r="D7027" i="1"/>
  <c r="E7027" i="1"/>
  <c r="A7028" i="1"/>
  <c r="B7028" i="1"/>
  <c r="C7028" i="1"/>
  <c r="D7028" i="1"/>
  <c r="E7028" i="1"/>
  <c r="A7029" i="1"/>
  <c r="B7029" i="1"/>
  <c r="C7029" i="1"/>
  <c r="D7029" i="1"/>
  <c r="E7029" i="1"/>
  <c r="A7030" i="1"/>
  <c r="B7030" i="1"/>
  <c r="C7030" i="1"/>
  <c r="D7030" i="1"/>
  <c r="E7030" i="1"/>
  <c r="A7031" i="1"/>
  <c r="B7031" i="1"/>
  <c r="C7031" i="1"/>
  <c r="D7031" i="1"/>
  <c r="E7031" i="1"/>
  <c r="A7032" i="1"/>
  <c r="B7032" i="1"/>
  <c r="C7032" i="1"/>
  <c r="D7032" i="1"/>
  <c r="E7032" i="1"/>
  <c r="A7033" i="1"/>
  <c r="B7033" i="1"/>
  <c r="C7033" i="1"/>
  <c r="D7033" i="1"/>
  <c r="E7033" i="1"/>
  <c r="A7034" i="1"/>
  <c r="B7034" i="1"/>
  <c r="C7034" i="1"/>
  <c r="D7034" i="1"/>
  <c r="E7034" i="1"/>
  <c r="A7035" i="1"/>
  <c r="B7035" i="1"/>
  <c r="C7035" i="1"/>
  <c r="D7035" i="1"/>
  <c r="E7035" i="1"/>
  <c r="A7036" i="1"/>
  <c r="B7036" i="1"/>
  <c r="C7036" i="1"/>
  <c r="D7036" i="1"/>
  <c r="E7036" i="1"/>
  <c r="A7037" i="1"/>
  <c r="B7037" i="1"/>
  <c r="C7037" i="1"/>
  <c r="D7037" i="1"/>
  <c r="E7037" i="1"/>
  <c r="A7038" i="1"/>
  <c r="B7038" i="1"/>
  <c r="C7038" i="1"/>
  <c r="D7038" i="1"/>
  <c r="E7038" i="1"/>
  <c r="A7039" i="1"/>
  <c r="B7039" i="1"/>
  <c r="C7039" i="1"/>
  <c r="D7039" i="1"/>
  <c r="E7039" i="1"/>
  <c r="A7040" i="1"/>
  <c r="B7040" i="1"/>
  <c r="C7040" i="1"/>
  <c r="D7040" i="1"/>
  <c r="E7040" i="1"/>
  <c r="A7041" i="1"/>
  <c r="B7041" i="1"/>
  <c r="C7041" i="1"/>
  <c r="D7041" i="1"/>
  <c r="E7041" i="1"/>
  <c r="A7042" i="1"/>
  <c r="B7042" i="1"/>
  <c r="C7042" i="1"/>
  <c r="D7042" i="1"/>
  <c r="E7042" i="1"/>
  <c r="A7043" i="1"/>
  <c r="B7043" i="1"/>
  <c r="C7043" i="1"/>
  <c r="D7043" i="1"/>
  <c r="E7043" i="1"/>
  <c r="A7044" i="1"/>
  <c r="B7044" i="1"/>
  <c r="C7044" i="1"/>
  <c r="D7044" i="1"/>
  <c r="E7044" i="1"/>
  <c r="A7045" i="1"/>
  <c r="B7045" i="1"/>
  <c r="C7045" i="1"/>
  <c r="D7045" i="1"/>
  <c r="E7045" i="1"/>
  <c r="A7046" i="1"/>
  <c r="B7046" i="1"/>
  <c r="C7046" i="1"/>
  <c r="D7046" i="1"/>
  <c r="E7046" i="1"/>
  <c r="A7047" i="1"/>
  <c r="B7047" i="1"/>
  <c r="C7047" i="1"/>
  <c r="D7047" i="1"/>
  <c r="E7047" i="1"/>
  <c r="A7048" i="1"/>
  <c r="B7048" i="1"/>
  <c r="C7048" i="1"/>
  <c r="D7048" i="1"/>
  <c r="E7048" i="1"/>
  <c r="A7049" i="1"/>
  <c r="B7049" i="1"/>
  <c r="C7049" i="1"/>
  <c r="D7049" i="1"/>
  <c r="E7049" i="1"/>
  <c r="A7050" i="1"/>
  <c r="B7050" i="1"/>
  <c r="C7050" i="1"/>
  <c r="D7050" i="1"/>
  <c r="E7050" i="1"/>
  <c r="A7051" i="1"/>
  <c r="B7051" i="1"/>
  <c r="C7051" i="1"/>
  <c r="D7051" i="1"/>
  <c r="E7051" i="1"/>
  <c r="A7052" i="1"/>
  <c r="B7052" i="1"/>
  <c r="C7052" i="1"/>
  <c r="D7052" i="1"/>
  <c r="E7052" i="1"/>
  <c r="A7053" i="1"/>
  <c r="B7053" i="1"/>
  <c r="C7053" i="1"/>
  <c r="D7053" i="1"/>
  <c r="E7053" i="1"/>
  <c r="A7054" i="1"/>
  <c r="B7054" i="1"/>
  <c r="C7054" i="1"/>
  <c r="D7054" i="1"/>
  <c r="E7054" i="1"/>
  <c r="A7055" i="1"/>
  <c r="B7055" i="1"/>
  <c r="C7055" i="1"/>
  <c r="D7055" i="1"/>
  <c r="E7055" i="1"/>
  <c r="A7056" i="1"/>
  <c r="B7056" i="1"/>
  <c r="C7056" i="1"/>
  <c r="D7056" i="1"/>
  <c r="E7056" i="1"/>
  <c r="A7057" i="1"/>
  <c r="B7057" i="1"/>
  <c r="C7057" i="1"/>
  <c r="D7057" i="1"/>
  <c r="E7057" i="1"/>
  <c r="A7058" i="1"/>
  <c r="B7058" i="1"/>
  <c r="C7058" i="1"/>
  <c r="D7058" i="1"/>
  <c r="E7058" i="1"/>
  <c r="A7059" i="1"/>
  <c r="B7059" i="1"/>
  <c r="C7059" i="1"/>
  <c r="D7059" i="1"/>
  <c r="E7059" i="1"/>
  <c r="A7060" i="1"/>
  <c r="B7060" i="1"/>
  <c r="C7060" i="1"/>
  <c r="D7060" i="1"/>
  <c r="E7060" i="1"/>
  <c r="A7061" i="1"/>
  <c r="B7061" i="1"/>
  <c r="C7061" i="1"/>
  <c r="D7061" i="1"/>
  <c r="E7061" i="1"/>
  <c r="A7062" i="1"/>
  <c r="B7062" i="1"/>
  <c r="C7062" i="1"/>
  <c r="D7062" i="1"/>
  <c r="E7062" i="1"/>
  <c r="A7063" i="1"/>
  <c r="B7063" i="1"/>
  <c r="C7063" i="1"/>
  <c r="D7063" i="1"/>
  <c r="E7063" i="1"/>
  <c r="A7064" i="1"/>
  <c r="B7064" i="1"/>
  <c r="C7064" i="1"/>
  <c r="D7064" i="1"/>
  <c r="E7064" i="1"/>
  <c r="A7065" i="1"/>
  <c r="B7065" i="1"/>
  <c r="C7065" i="1"/>
  <c r="D7065" i="1"/>
  <c r="E7065" i="1"/>
  <c r="A7066" i="1"/>
  <c r="B7066" i="1"/>
  <c r="C7066" i="1"/>
  <c r="D7066" i="1"/>
  <c r="E7066" i="1"/>
  <c r="A7067" i="1"/>
  <c r="B7067" i="1"/>
  <c r="C7067" i="1"/>
  <c r="D7067" i="1"/>
  <c r="E7067" i="1"/>
  <c r="A7068" i="1"/>
  <c r="B7068" i="1"/>
  <c r="C7068" i="1"/>
  <c r="D7068" i="1"/>
  <c r="E7068" i="1"/>
  <c r="A7069" i="1"/>
  <c r="B7069" i="1"/>
  <c r="C7069" i="1"/>
  <c r="D7069" i="1"/>
  <c r="E7069" i="1"/>
  <c r="A7070" i="1"/>
  <c r="B7070" i="1"/>
  <c r="C7070" i="1"/>
  <c r="D7070" i="1"/>
  <c r="E7070" i="1"/>
  <c r="A7071" i="1"/>
  <c r="B7071" i="1"/>
  <c r="C7071" i="1"/>
  <c r="D7071" i="1"/>
  <c r="E7071" i="1"/>
  <c r="A7072" i="1"/>
  <c r="B7072" i="1"/>
  <c r="C7072" i="1"/>
  <c r="D7072" i="1"/>
  <c r="E7072" i="1"/>
  <c r="A7073" i="1"/>
  <c r="B7073" i="1"/>
  <c r="C7073" i="1"/>
  <c r="D7073" i="1"/>
  <c r="E7073" i="1"/>
  <c r="A7074" i="1"/>
  <c r="B7074" i="1"/>
  <c r="C7074" i="1"/>
  <c r="D7074" i="1"/>
  <c r="E7074" i="1"/>
  <c r="A7075" i="1"/>
  <c r="B7075" i="1"/>
  <c r="C7075" i="1"/>
  <c r="D7075" i="1"/>
  <c r="E7075" i="1"/>
  <c r="A7076" i="1"/>
  <c r="B7076" i="1"/>
  <c r="C7076" i="1"/>
  <c r="D7076" i="1"/>
  <c r="E7076" i="1"/>
  <c r="A7077" i="1"/>
  <c r="B7077" i="1"/>
  <c r="C7077" i="1"/>
  <c r="D7077" i="1"/>
  <c r="E7077" i="1"/>
  <c r="A7078" i="1"/>
  <c r="B7078" i="1"/>
  <c r="C7078" i="1"/>
  <c r="D7078" i="1"/>
  <c r="E7078" i="1"/>
  <c r="A7079" i="1"/>
  <c r="B7079" i="1"/>
  <c r="C7079" i="1"/>
  <c r="D7079" i="1"/>
  <c r="E7079" i="1"/>
  <c r="A7080" i="1"/>
  <c r="B7080" i="1"/>
  <c r="C7080" i="1"/>
  <c r="D7080" i="1"/>
  <c r="E7080" i="1"/>
  <c r="A7081" i="1"/>
  <c r="B7081" i="1"/>
  <c r="C7081" i="1"/>
  <c r="D7081" i="1"/>
  <c r="E7081" i="1"/>
  <c r="A7082" i="1"/>
  <c r="B7082" i="1"/>
  <c r="C7082" i="1"/>
  <c r="D7082" i="1"/>
  <c r="E7082" i="1"/>
  <c r="A7083" i="1"/>
  <c r="B7083" i="1"/>
  <c r="C7083" i="1"/>
  <c r="D7083" i="1"/>
  <c r="E7083" i="1"/>
  <c r="A7084" i="1"/>
  <c r="B7084" i="1"/>
  <c r="C7084" i="1"/>
  <c r="D7084" i="1"/>
  <c r="E7084" i="1"/>
  <c r="A7085" i="1"/>
  <c r="B7085" i="1"/>
  <c r="C7085" i="1"/>
  <c r="D7085" i="1"/>
  <c r="E7085" i="1"/>
  <c r="A7086" i="1"/>
  <c r="B7086" i="1"/>
  <c r="C7086" i="1"/>
  <c r="D7086" i="1"/>
  <c r="E7086" i="1"/>
  <c r="A7087" i="1"/>
  <c r="B7087" i="1"/>
  <c r="C7087" i="1"/>
  <c r="D7087" i="1"/>
  <c r="E7087" i="1"/>
  <c r="A7088" i="1"/>
  <c r="B7088" i="1"/>
  <c r="C7088" i="1"/>
  <c r="D7088" i="1"/>
  <c r="E7088" i="1"/>
  <c r="A7089" i="1"/>
  <c r="B7089" i="1"/>
  <c r="C7089" i="1"/>
  <c r="D7089" i="1"/>
  <c r="E7089" i="1"/>
  <c r="A7090" i="1"/>
  <c r="B7090" i="1"/>
  <c r="C7090" i="1"/>
  <c r="D7090" i="1"/>
  <c r="E7090" i="1"/>
  <c r="A7091" i="1"/>
  <c r="B7091" i="1"/>
  <c r="C7091" i="1"/>
  <c r="D7091" i="1"/>
  <c r="E7091" i="1"/>
  <c r="A7092" i="1"/>
  <c r="B7092" i="1"/>
  <c r="C7092" i="1"/>
  <c r="D7092" i="1"/>
  <c r="E7092" i="1"/>
  <c r="A7093" i="1"/>
  <c r="B7093" i="1"/>
  <c r="C7093" i="1"/>
  <c r="D7093" i="1"/>
  <c r="E7093" i="1"/>
  <c r="A7094" i="1"/>
  <c r="B7094" i="1"/>
  <c r="C7094" i="1"/>
  <c r="D7094" i="1"/>
  <c r="E7094" i="1"/>
  <c r="A7095" i="1"/>
  <c r="B7095" i="1"/>
  <c r="C7095" i="1"/>
  <c r="D7095" i="1"/>
  <c r="E7095" i="1"/>
  <c r="A7096" i="1"/>
  <c r="B7096" i="1"/>
  <c r="C7096" i="1"/>
  <c r="D7096" i="1"/>
  <c r="E7096" i="1"/>
  <c r="A7097" i="1"/>
  <c r="B7097" i="1"/>
  <c r="C7097" i="1"/>
  <c r="D7097" i="1"/>
  <c r="E7097" i="1"/>
  <c r="A7098" i="1"/>
  <c r="B7098" i="1"/>
  <c r="C7098" i="1"/>
  <c r="D7098" i="1"/>
  <c r="E7098" i="1"/>
  <c r="A7099" i="1"/>
  <c r="B7099" i="1"/>
  <c r="C7099" i="1"/>
  <c r="D7099" i="1"/>
  <c r="E7099" i="1"/>
  <c r="A7100" i="1"/>
  <c r="B7100" i="1"/>
  <c r="C7100" i="1"/>
  <c r="D7100" i="1"/>
  <c r="E7100" i="1"/>
  <c r="A7101" i="1"/>
  <c r="B7101" i="1"/>
  <c r="C7101" i="1"/>
  <c r="D7101" i="1"/>
  <c r="E7101" i="1"/>
  <c r="A7102" i="1"/>
  <c r="B7102" i="1"/>
  <c r="C7102" i="1"/>
  <c r="D7102" i="1"/>
  <c r="E7102" i="1"/>
  <c r="A7103" i="1"/>
  <c r="B7103" i="1"/>
  <c r="C7103" i="1"/>
  <c r="D7103" i="1"/>
  <c r="E7103" i="1"/>
  <c r="A7104" i="1"/>
  <c r="B7104" i="1"/>
  <c r="C7104" i="1"/>
  <c r="D7104" i="1"/>
  <c r="E7104" i="1"/>
  <c r="A7105" i="1"/>
  <c r="B7105" i="1"/>
  <c r="C7105" i="1"/>
  <c r="D7105" i="1"/>
  <c r="E7105" i="1"/>
  <c r="A7106" i="1"/>
  <c r="B7106" i="1"/>
  <c r="C7106" i="1"/>
  <c r="D7106" i="1"/>
  <c r="E7106" i="1"/>
  <c r="A7107" i="1"/>
  <c r="B7107" i="1"/>
  <c r="C7107" i="1"/>
  <c r="D7107" i="1"/>
  <c r="E7107" i="1"/>
  <c r="A7108" i="1"/>
  <c r="B7108" i="1"/>
  <c r="C7108" i="1"/>
  <c r="D7108" i="1"/>
  <c r="E7108" i="1"/>
  <c r="A7109" i="1"/>
  <c r="B7109" i="1"/>
  <c r="C7109" i="1"/>
  <c r="D7109" i="1"/>
  <c r="E7109" i="1"/>
  <c r="A7110" i="1"/>
  <c r="B7110" i="1"/>
  <c r="C7110" i="1"/>
  <c r="D7110" i="1"/>
  <c r="E7110" i="1"/>
  <c r="A7111" i="1"/>
  <c r="B7111" i="1"/>
  <c r="C7111" i="1"/>
  <c r="D7111" i="1"/>
  <c r="E7111" i="1"/>
  <c r="A7112" i="1"/>
  <c r="B7112" i="1"/>
  <c r="C7112" i="1"/>
  <c r="D7112" i="1"/>
  <c r="E7112" i="1"/>
  <c r="A7113" i="1"/>
  <c r="B7113" i="1"/>
  <c r="C7113" i="1"/>
  <c r="D7113" i="1"/>
  <c r="E7113" i="1"/>
  <c r="A7114" i="1"/>
  <c r="B7114" i="1"/>
  <c r="C7114" i="1"/>
  <c r="D7114" i="1"/>
  <c r="E7114" i="1"/>
  <c r="A7115" i="1"/>
  <c r="B7115" i="1"/>
  <c r="C7115" i="1"/>
  <c r="D7115" i="1"/>
  <c r="E7115" i="1"/>
  <c r="A7116" i="1"/>
  <c r="B7116" i="1"/>
  <c r="C7116" i="1"/>
  <c r="D7116" i="1"/>
  <c r="E7116" i="1"/>
  <c r="A7117" i="1"/>
  <c r="B7117" i="1"/>
  <c r="C7117" i="1"/>
  <c r="D7117" i="1"/>
  <c r="E7117" i="1"/>
  <c r="A7118" i="1"/>
  <c r="B7118" i="1"/>
  <c r="C7118" i="1"/>
  <c r="D7118" i="1"/>
  <c r="E7118" i="1"/>
  <c r="A7119" i="1"/>
  <c r="B7119" i="1"/>
  <c r="C7119" i="1"/>
  <c r="D7119" i="1"/>
  <c r="E7119" i="1"/>
  <c r="A7120" i="1"/>
  <c r="B7120" i="1"/>
  <c r="C7120" i="1"/>
  <c r="D7120" i="1"/>
  <c r="E7120" i="1"/>
  <c r="A7121" i="1"/>
  <c r="B7121" i="1"/>
  <c r="C7121" i="1"/>
  <c r="D7121" i="1"/>
  <c r="E7121" i="1"/>
  <c r="A7122" i="1"/>
  <c r="B7122" i="1"/>
  <c r="C7122" i="1"/>
  <c r="D7122" i="1"/>
  <c r="E7122" i="1"/>
  <c r="A7123" i="1"/>
  <c r="B7123" i="1"/>
  <c r="C7123" i="1"/>
  <c r="D7123" i="1"/>
  <c r="E7123" i="1"/>
  <c r="A7124" i="1"/>
  <c r="B7124" i="1"/>
  <c r="C7124" i="1"/>
  <c r="D7124" i="1"/>
  <c r="E7124" i="1"/>
  <c r="A7125" i="1"/>
  <c r="B7125" i="1"/>
  <c r="C7125" i="1"/>
  <c r="D7125" i="1"/>
  <c r="E7125" i="1"/>
  <c r="A7126" i="1"/>
  <c r="B7126" i="1"/>
  <c r="C7126" i="1"/>
  <c r="D7126" i="1"/>
  <c r="E7126" i="1"/>
  <c r="A7127" i="1"/>
  <c r="B7127" i="1"/>
  <c r="C7127" i="1"/>
  <c r="D7127" i="1"/>
  <c r="E7127" i="1"/>
  <c r="A7128" i="1"/>
  <c r="B7128" i="1"/>
  <c r="C7128" i="1"/>
  <c r="D7128" i="1"/>
  <c r="E7128" i="1"/>
  <c r="A7129" i="1"/>
  <c r="B7129" i="1"/>
  <c r="C7129" i="1"/>
  <c r="D7129" i="1"/>
  <c r="E7129" i="1"/>
  <c r="A7130" i="1"/>
  <c r="B7130" i="1"/>
  <c r="C7130" i="1"/>
  <c r="D7130" i="1"/>
  <c r="E7130" i="1"/>
  <c r="A7131" i="1"/>
  <c r="B7131" i="1"/>
  <c r="C7131" i="1"/>
  <c r="D7131" i="1"/>
  <c r="E7131" i="1"/>
  <c r="A7132" i="1"/>
  <c r="B7132" i="1"/>
  <c r="C7132" i="1"/>
  <c r="D7132" i="1"/>
  <c r="E7132" i="1"/>
  <c r="A7133" i="1"/>
  <c r="B7133" i="1"/>
  <c r="C7133" i="1"/>
  <c r="D7133" i="1"/>
  <c r="E7133" i="1"/>
  <c r="A7134" i="1"/>
  <c r="B7134" i="1"/>
  <c r="C7134" i="1"/>
  <c r="D7134" i="1"/>
  <c r="E7134" i="1"/>
  <c r="A7135" i="1"/>
  <c r="B7135" i="1"/>
  <c r="C7135" i="1"/>
  <c r="D7135" i="1"/>
  <c r="E7135" i="1"/>
  <c r="A7136" i="1"/>
  <c r="B7136" i="1"/>
  <c r="C7136" i="1"/>
  <c r="D7136" i="1"/>
  <c r="E7136" i="1"/>
  <c r="A7137" i="1"/>
  <c r="B7137" i="1"/>
  <c r="C7137" i="1"/>
  <c r="D7137" i="1"/>
  <c r="E7137" i="1"/>
  <c r="A7138" i="1"/>
  <c r="B7138" i="1"/>
  <c r="C7138" i="1"/>
  <c r="D7138" i="1"/>
  <c r="E7138" i="1"/>
  <c r="A7139" i="1"/>
  <c r="B7139" i="1"/>
  <c r="C7139" i="1"/>
  <c r="D7139" i="1"/>
  <c r="E7139" i="1"/>
  <c r="A7140" i="1"/>
  <c r="B7140" i="1"/>
  <c r="C7140" i="1"/>
  <c r="D7140" i="1"/>
  <c r="E7140" i="1"/>
  <c r="A7141" i="1"/>
  <c r="B7141" i="1"/>
  <c r="C7141" i="1"/>
  <c r="D7141" i="1"/>
  <c r="E7141" i="1"/>
  <c r="A7142" i="1"/>
  <c r="B7142" i="1"/>
  <c r="C7142" i="1"/>
  <c r="D7142" i="1"/>
  <c r="E7142" i="1"/>
  <c r="A7143" i="1"/>
  <c r="B7143" i="1"/>
  <c r="C7143" i="1"/>
  <c r="D7143" i="1"/>
  <c r="E7143" i="1"/>
  <c r="A7144" i="1"/>
  <c r="B7144" i="1"/>
  <c r="C7144" i="1"/>
  <c r="D7144" i="1"/>
  <c r="E7144" i="1"/>
  <c r="A7145" i="1"/>
  <c r="B7145" i="1"/>
  <c r="C7145" i="1"/>
  <c r="D7145" i="1"/>
  <c r="E7145" i="1"/>
  <c r="A7146" i="1"/>
  <c r="B7146" i="1"/>
  <c r="C7146" i="1"/>
  <c r="D7146" i="1"/>
  <c r="E7146" i="1"/>
  <c r="A7147" i="1"/>
  <c r="B7147" i="1"/>
  <c r="C7147" i="1"/>
  <c r="D7147" i="1"/>
  <c r="E7147" i="1"/>
  <c r="A7148" i="1"/>
  <c r="B7148" i="1"/>
  <c r="C7148" i="1"/>
  <c r="D7148" i="1"/>
  <c r="E7148" i="1"/>
  <c r="A7149" i="1"/>
  <c r="B7149" i="1"/>
  <c r="C7149" i="1"/>
  <c r="D7149" i="1"/>
  <c r="E7149" i="1"/>
  <c r="A7150" i="1"/>
  <c r="B7150" i="1"/>
  <c r="C7150" i="1"/>
  <c r="D7150" i="1"/>
  <c r="E7150" i="1"/>
  <c r="A7151" i="1"/>
  <c r="B7151" i="1"/>
  <c r="C7151" i="1"/>
  <c r="D7151" i="1"/>
  <c r="E7151" i="1"/>
  <c r="A7152" i="1"/>
  <c r="B7152" i="1"/>
  <c r="C7152" i="1"/>
  <c r="D7152" i="1"/>
  <c r="E7152" i="1"/>
  <c r="A7153" i="1"/>
  <c r="B7153" i="1"/>
  <c r="C7153" i="1"/>
  <c r="D7153" i="1"/>
  <c r="E7153" i="1"/>
  <c r="A7154" i="1"/>
  <c r="B7154" i="1"/>
  <c r="C7154" i="1"/>
  <c r="D7154" i="1"/>
  <c r="E7154" i="1"/>
  <c r="A7155" i="1"/>
  <c r="B7155" i="1"/>
  <c r="C7155" i="1"/>
  <c r="D7155" i="1"/>
  <c r="E7155" i="1"/>
  <c r="A7156" i="1"/>
  <c r="B7156" i="1"/>
  <c r="C7156" i="1"/>
  <c r="D7156" i="1"/>
  <c r="E7156" i="1"/>
  <c r="A7157" i="1"/>
  <c r="B7157" i="1"/>
  <c r="C7157" i="1"/>
  <c r="D7157" i="1"/>
  <c r="E7157" i="1"/>
  <c r="A7158" i="1"/>
  <c r="B7158" i="1"/>
  <c r="C7158" i="1"/>
  <c r="D7158" i="1"/>
  <c r="E7158" i="1"/>
  <c r="A7159" i="1"/>
  <c r="B7159" i="1"/>
  <c r="C7159" i="1"/>
  <c r="D7159" i="1"/>
  <c r="E7159" i="1"/>
  <c r="A7160" i="1"/>
  <c r="B7160" i="1"/>
  <c r="C7160" i="1"/>
  <c r="D7160" i="1"/>
  <c r="E7160" i="1"/>
  <c r="A7161" i="1"/>
  <c r="B7161" i="1"/>
  <c r="C7161" i="1"/>
  <c r="D7161" i="1"/>
  <c r="E7161" i="1"/>
  <c r="A7162" i="1"/>
  <c r="B7162" i="1"/>
  <c r="C7162" i="1"/>
  <c r="D7162" i="1"/>
  <c r="E7162" i="1"/>
  <c r="A7163" i="1"/>
  <c r="B7163" i="1"/>
  <c r="C7163" i="1"/>
  <c r="D7163" i="1"/>
  <c r="E7163" i="1"/>
  <c r="A7164" i="1"/>
  <c r="B7164" i="1"/>
  <c r="C7164" i="1"/>
  <c r="D7164" i="1"/>
  <c r="E7164" i="1"/>
  <c r="A7165" i="1"/>
  <c r="B7165" i="1"/>
  <c r="C7165" i="1"/>
  <c r="D7165" i="1"/>
  <c r="E7165" i="1"/>
  <c r="A7166" i="1"/>
  <c r="B7166" i="1"/>
  <c r="C7166" i="1"/>
  <c r="D7166" i="1"/>
  <c r="E7166" i="1"/>
  <c r="A7167" i="1"/>
  <c r="B7167" i="1"/>
  <c r="C7167" i="1"/>
  <c r="D7167" i="1"/>
  <c r="E7167" i="1"/>
  <c r="A7168" i="1"/>
  <c r="B7168" i="1"/>
  <c r="C7168" i="1"/>
  <c r="D7168" i="1"/>
  <c r="E7168" i="1"/>
  <c r="A7169" i="1"/>
  <c r="B7169" i="1"/>
  <c r="C7169" i="1"/>
  <c r="D7169" i="1"/>
  <c r="E7169" i="1"/>
  <c r="A7170" i="1"/>
  <c r="B7170" i="1"/>
  <c r="C7170" i="1"/>
  <c r="D7170" i="1"/>
  <c r="E7170" i="1"/>
  <c r="A7171" i="1"/>
  <c r="B7171" i="1"/>
  <c r="C7171" i="1"/>
  <c r="D7171" i="1"/>
  <c r="E7171" i="1"/>
  <c r="A7172" i="1"/>
  <c r="B7172" i="1"/>
  <c r="C7172" i="1"/>
  <c r="D7172" i="1"/>
  <c r="E7172" i="1"/>
  <c r="A7173" i="1"/>
  <c r="B7173" i="1"/>
  <c r="C7173" i="1"/>
  <c r="D7173" i="1"/>
  <c r="E7173" i="1"/>
  <c r="A7174" i="1"/>
  <c r="B7174" i="1"/>
  <c r="C7174" i="1"/>
  <c r="D7174" i="1"/>
  <c r="E7174" i="1"/>
  <c r="A7175" i="1"/>
  <c r="B7175" i="1"/>
  <c r="C7175" i="1"/>
  <c r="D7175" i="1"/>
  <c r="E7175" i="1"/>
  <c r="A7176" i="1"/>
  <c r="B7176" i="1"/>
  <c r="C7176" i="1"/>
  <c r="D7176" i="1"/>
  <c r="E7176" i="1"/>
  <c r="A7177" i="1"/>
  <c r="B7177" i="1"/>
  <c r="C7177" i="1"/>
  <c r="D7177" i="1"/>
  <c r="E7177" i="1"/>
  <c r="A7178" i="1"/>
  <c r="B7178" i="1"/>
  <c r="C7178" i="1"/>
  <c r="D7178" i="1"/>
  <c r="E7178" i="1"/>
  <c r="A7179" i="1"/>
  <c r="B7179" i="1"/>
  <c r="C7179" i="1"/>
  <c r="D7179" i="1"/>
  <c r="E7179" i="1"/>
  <c r="A7180" i="1"/>
  <c r="B7180" i="1"/>
  <c r="C7180" i="1"/>
  <c r="D7180" i="1"/>
  <c r="E7180" i="1"/>
  <c r="A7181" i="1"/>
  <c r="B7181" i="1"/>
  <c r="C7181" i="1"/>
  <c r="D7181" i="1"/>
  <c r="E7181" i="1"/>
  <c r="A7182" i="1"/>
  <c r="B7182" i="1"/>
  <c r="C7182" i="1"/>
  <c r="D7182" i="1"/>
  <c r="E7182" i="1"/>
  <c r="A7183" i="1"/>
  <c r="B7183" i="1"/>
  <c r="C7183" i="1"/>
  <c r="D7183" i="1"/>
  <c r="E7183" i="1"/>
  <c r="A7184" i="1"/>
  <c r="B7184" i="1"/>
  <c r="C7184" i="1"/>
  <c r="D7184" i="1"/>
  <c r="E7184" i="1"/>
  <c r="A7185" i="1"/>
  <c r="B7185" i="1"/>
  <c r="C7185" i="1"/>
  <c r="D7185" i="1"/>
  <c r="E7185" i="1"/>
  <c r="A7186" i="1"/>
  <c r="B7186" i="1"/>
  <c r="C7186" i="1"/>
  <c r="D7186" i="1"/>
  <c r="E7186" i="1"/>
  <c r="A7187" i="1"/>
  <c r="B7187" i="1"/>
  <c r="C7187" i="1"/>
  <c r="D7187" i="1"/>
  <c r="E7187" i="1"/>
  <c r="A7188" i="1"/>
  <c r="B7188" i="1"/>
  <c r="C7188" i="1"/>
  <c r="D7188" i="1"/>
  <c r="E7188" i="1"/>
  <c r="A7189" i="1"/>
  <c r="B7189" i="1"/>
  <c r="C7189" i="1"/>
  <c r="D7189" i="1"/>
  <c r="E7189" i="1"/>
  <c r="A7190" i="1"/>
  <c r="B7190" i="1"/>
  <c r="C7190" i="1"/>
  <c r="D7190" i="1"/>
  <c r="E7190" i="1"/>
  <c r="A7191" i="1"/>
  <c r="B7191" i="1"/>
  <c r="C7191" i="1"/>
  <c r="D7191" i="1"/>
  <c r="E7191" i="1"/>
  <c r="A7192" i="1"/>
  <c r="B7192" i="1"/>
  <c r="C7192" i="1"/>
  <c r="D7192" i="1"/>
  <c r="E7192" i="1"/>
  <c r="A7193" i="1"/>
  <c r="B7193" i="1"/>
  <c r="C7193" i="1"/>
  <c r="D7193" i="1"/>
  <c r="E7193" i="1"/>
  <c r="A7194" i="1"/>
  <c r="B7194" i="1"/>
  <c r="C7194" i="1"/>
  <c r="D7194" i="1"/>
  <c r="E7194" i="1"/>
  <c r="A7195" i="1"/>
  <c r="B7195" i="1"/>
  <c r="C7195" i="1"/>
  <c r="D7195" i="1"/>
  <c r="E7195" i="1"/>
  <c r="A7196" i="1"/>
  <c r="B7196" i="1"/>
  <c r="C7196" i="1"/>
  <c r="D7196" i="1"/>
  <c r="E7196" i="1"/>
  <c r="A7197" i="1"/>
  <c r="B7197" i="1"/>
  <c r="C7197" i="1"/>
  <c r="D7197" i="1"/>
  <c r="E7197" i="1"/>
  <c r="A7198" i="1"/>
  <c r="B7198" i="1"/>
  <c r="C7198" i="1"/>
  <c r="D7198" i="1"/>
  <c r="E7198" i="1"/>
  <c r="A7199" i="1"/>
  <c r="B7199" i="1"/>
  <c r="C7199" i="1"/>
  <c r="D7199" i="1"/>
  <c r="E7199" i="1"/>
  <c r="A7200" i="1"/>
  <c r="B7200" i="1"/>
  <c r="C7200" i="1"/>
  <c r="D7200" i="1"/>
  <c r="E7200" i="1"/>
  <c r="A7201" i="1"/>
  <c r="B7201" i="1"/>
  <c r="C7201" i="1"/>
  <c r="D7201" i="1"/>
  <c r="E7201" i="1"/>
  <c r="A7202" i="1"/>
  <c r="B7202" i="1"/>
  <c r="C7202" i="1"/>
  <c r="D7202" i="1"/>
  <c r="E7202" i="1"/>
  <c r="A7203" i="1"/>
  <c r="B7203" i="1"/>
  <c r="C7203" i="1"/>
  <c r="D7203" i="1"/>
  <c r="E7203" i="1"/>
  <c r="A7204" i="1"/>
  <c r="B7204" i="1"/>
  <c r="C7204" i="1"/>
  <c r="D7204" i="1"/>
  <c r="E7204" i="1"/>
  <c r="A7205" i="1"/>
  <c r="B7205" i="1"/>
  <c r="C7205" i="1"/>
  <c r="D7205" i="1"/>
  <c r="E7205" i="1"/>
  <c r="A7206" i="1"/>
  <c r="B7206" i="1"/>
  <c r="C7206" i="1"/>
  <c r="D7206" i="1"/>
  <c r="E7206" i="1"/>
  <c r="A7207" i="1"/>
  <c r="B7207" i="1"/>
  <c r="C7207" i="1"/>
  <c r="D7207" i="1"/>
  <c r="E7207" i="1"/>
  <c r="A7208" i="1"/>
  <c r="B7208" i="1"/>
  <c r="C7208" i="1"/>
  <c r="D7208" i="1"/>
  <c r="E7208" i="1"/>
  <c r="A7209" i="1"/>
  <c r="B7209" i="1"/>
  <c r="C7209" i="1"/>
  <c r="D7209" i="1"/>
  <c r="E7209" i="1"/>
  <c r="A7210" i="1"/>
  <c r="B7210" i="1"/>
  <c r="C7210" i="1"/>
  <c r="D7210" i="1"/>
  <c r="E7210" i="1"/>
  <c r="A7211" i="1"/>
  <c r="B7211" i="1"/>
  <c r="C7211" i="1"/>
  <c r="D7211" i="1"/>
  <c r="E7211" i="1"/>
  <c r="A7212" i="1"/>
  <c r="B7212" i="1"/>
  <c r="C7212" i="1"/>
  <c r="D7212" i="1"/>
  <c r="E7212" i="1"/>
  <c r="A7213" i="1"/>
  <c r="B7213" i="1"/>
  <c r="C7213" i="1"/>
  <c r="D7213" i="1"/>
  <c r="E7213" i="1"/>
  <c r="A7214" i="1"/>
  <c r="B7214" i="1"/>
  <c r="C7214" i="1"/>
  <c r="D7214" i="1"/>
  <c r="E7214" i="1"/>
  <c r="A7215" i="1"/>
  <c r="B7215" i="1"/>
  <c r="C7215" i="1"/>
  <c r="D7215" i="1"/>
  <c r="E7215" i="1"/>
  <c r="A7216" i="1"/>
  <c r="B7216" i="1"/>
  <c r="C7216" i="1"/>
  <c r="D7216" i="1"/>
  <c r="E7216" i="1"/>
  <c r="A7217" i="1"/>
  <c r="B7217" i="1"/>
  <c r="C7217" i="1"/>
  <c r="D7217" i="1"/>
  <c r="E7217" i="1"/>
  <c r="A7218" i="1"/>
  <c r="B7218" i="1"/>
  <c r="C7218" i="1"/>
  <c r="D7218" i="1"/>
  <c r="E7218" i="1"/>
  <c r="A7219" i="1"/>
  <c r="B7219" i="1"/>
  <c r="C7219" i="1"/>
  <c r="D7219" i="1"/>
  <c r="E7219" i="1"/>
  <c r="A7220" i="1"/>
  <c r="B7220" i="1"/>
  <c r="C7220" i="1"/>
  <c r="D7220" i="1"/>
  <c r="E7220" i="1"/>
  <c r="A7221" i="1"/>
  <c r="B7221" i="1"/>
  <c r="C7221" i="1"/>
  <c r="D7221" i="1"/>
  <c r="E7221" i="1"/>
  <c r="A7222" i="1"/>
  <c r="B7222" i="1"/>
  <c r="C7222" i="1"/>
  <c r="D7222" i="1"/>
  <c r="E7222" i="1"/>
  <c r="A7223" i="1"/>
  <c r="B7223" i="1"/>
  <c r="C7223" i="1"/>
  <c r="D7223" i="1"/>
  <c r="E7223" i="1"/>
  <c r="A7224" i="1"/>
  <c r="B7224" i="1"/>
  <c r="C7224" i="1"/>
  <c r="D7224" i="1"/>
  <c r="E7224" i="1"/>
  <c r="A7225" i="1"/>
  <c r="B7225" i="1"/>
  <c r="C7225" i="1"/>
  <c r="D7225" i="1"/>
  <c r="E7225" i="1"/>
  <c r="A7226" i="1"/>
  <c r="B7226" i="1"/>
  <c r="C7226" i="1"/>
  <c r="D7226" i="1"/>
  <c r="E7226" i="1"/>
  <c r="A7227" i="1"/>
  <c r="B7227" i="1"/>
  <c r="C7227" i="1"/>
  <c r="D7227" i="1"/>
  <c r="E7227" i="1"/>
  <c r="A7228" i="1"/>
  <c r="B7228" i="1"/>
  <c r="C7228" i="1"/>
  <c r="D7228" i="1"/>
  <c r="E7228" i="1"/>
  <c r="A7229" i="1"/>
  <c r="B7229" i="1"/>
  <c r="C7229" i="1"/>
  <c r="D7229" i="1"/>
  <c r="E7229" i="1"/>
  <c r="A7230" i="1"/>
  <c r="B7230" i="1"/>
  <c r="C7230" i="1"/>
  <c r="D7230" i="1"/>
  <c r="E7230" i="1"/>
  <c r="A7231" i="1"/>
  <c r="B7231" i="1"/>
  <c r="C7231" i="1"/>
  <c r="D7231" i="1"/>
  <c r="E7231" i="1"/>
  <c r="A7232" i="1"/>
  <c r="B7232" i="1"/>
  <c r="C7232" i="1"/>
  <c r="D7232" i="1"/>
  <c r="E7232" i="1"/>
  <c r="A7233" i="1"/>
  <c r="B7233" i="1"/>
  <c r="C7233" i="1"/>
  <c r="D7233" i="1"/>
  <c r="E7233" i="1"/>
  <c r="A7234" i="1"/>
  <c r="B7234" i="1"/>
  <c r="C7234" i="1"/>
  <c r="D7234" i="1"/>
  <c r="E7234" i="1"/>
  <c r="A7235" i="1"/>
  <c r="B7235" i="1"/>
  <c r="C7235" i="1"/>
  <c r="D7235" i="1"/>
  <c r="E7235" i="1"/>
  <c r="A7236" i="1"/>
  <c r="B7236" i="1"/>
  <c r="C7236" i="1"/>
  <c r="D7236" i="1"/>
  <c r="E7236" i="1"/>
  <c r="A7237" i="1"/>
  <c r="B7237" i="1"/>
  <c r="C7237" i="1"/>
  <c r="D7237" i="1"/>
  <c r="E7237" i="1"/>
  <c r="A7238" i="1"/>
  <c r="B7238" i="1"/>
  <c r="C7238" i="1"/>
  <c r="D7238" i="1"/>
  <c r="E7238" i="1"/>
  <c r="A7239" i="1"/>
  <c r="B7239" i="1"/>
  <c r="C7239" i="1"/>
  <c r="D7239" i="1"/>
  <c r="E7239" i="1"/>
  <c r="A7240" i="1"/>
  <c r="B7240" i="1"/>
  <c r="C7240" i="1"/>
  <c r="D7240" i="1"/>
  <c r="E7240" i="1"/>
  <c r="A7241" i="1"/>
  <c r="B7241" i="1"/>
  <c r="C7241" i="1"/>
  <c r="D7241" i="1"/>
  <c r="E7241" i="1"/>
  <c r="A7242" i="1"/>
  <c r="B7242" i="1"/>
  <c r="C7242" i="1"/>
  <c r="D7242" i="1"/>
  <c r="E7242" i="1"/>
  <c r="A7243" i="1"/>
  <c r="B7243" i="1"/>
  <c r="C7243" i="1"/>
  <c r="D7243" i="1"/>
  <c r="E7243" i="1"/>
  <c r="A7244" i="1"/>
  <c r="B7244" i="1"/>
  <c r="C7244" i="1"/>
  <c r="D7244" i="1"/>
  <c r="E7244" i="1"/>
  <c r="A7245" i="1"/>
  <c r="B7245" i="1"/>
  <c r="C7245" i="1"/>
  <c r="D7245" i="1"/>
  <c r="E7245" i="1"/>
  <c r="A7246" i="1"/>
  <c r="B7246" i="1"/>
  <c r="C7246" i="1"/>
  <c r="D7246" i="1"/>
  <c r="E7246" i="1"/>
  <c r="A7247" i="1"/>
  <c r="B7247" i="1"/>
  <c r="C7247" i="1"/>
  <c r="D7247" i="1"/>
  <c r="E7247" i="1"/>
  <c r="A7248" i="1"/>
  <c r="B7248" i="1"/>
  <c r="C7248" i="1"/>
  <c r="D7248" i="1"/>
  <c r="E7248" i="1"/>
  <c r="A7249" i="1"/>
  <c r="B7249" i="1"/>
  <c r="C7249" i="1"/>
  <c r="D7249" i="1"/>
  <c r="E7249" i="1"/>
  <c r="A7250" i="1"/>
  <c r="B7250" i="1"/>
  <c r="C7250" i="1"/>
  <c r="D7250" i="1"/>
  <c r="E7250" i="1"/>
  <c r="A7251" i="1"/>
  <c r="B7251" i="1"/>
  <c r="C7251" i="1"/>
  <c r="D7251" i="1"/>
  <c r="E7251" i="1"/>
  <c r="A7252" i="1"/>
  <c r="B7252" i="1"/>
  <c r="C7252" i="1"/>
  <c r="D7252" i="1"/>
  <c r="E7252" i="1"/>
  <c r="A7253" i="1"/>
  <c r="B7253" i="1"/>
  <c r="C7253" i="1"/>
  <c r="D7253" i="1"/>
  <c r="E7253" i="1"/>
  <c r="A7254" i="1"/>
  <c r="B7254" i="1"/>
  <c r="C7254" i="1"/>
  <c r="D7254" i="1"/>
  <c r="E7254" i="1"/>
  <c r="A7255" i="1"/>
  <c r="B7255" i="1"/>
  <c r="C7255" i="1"/>
  <c r="D7255" i="1"/>
  <c r="E7255" i="1"/>
  <c r="A7256" i="1"/>
  <c r="B7256" i="1"/>
  <c r="C7256" i="1"/>
  <c r="D7256" i="1"/>
  <c r="E7256" i="1"/>
  <c r="A7257" i="1"/>
  <c r="B7257" i="1"/>
  <c r="C7257" i="1"/>
  <c r="D7257" i="1"/>
  <c r="E7257" i="1"/>
  <c r="A7258" i="1"/>
  <c r="B7258" i="1"/>
  <c r="C7258" i="1"/>
  <c r="D7258" i="1"/>
  <c r="E7258" i="1"/>
  <c r="A7259" i="1"/>
  <c r="B7259" i="1"/>
  <c r="C7259" i="1"/>
  <c r="D7259" i="1"/>
  <c r="E7259" i="1"/>
  <c r="A7260" i="1"/>
  <c r="B7260" i="1"/>
  <c r="C7260" i="1"/>
  <c r="D7260" i="1"/>
  <c r="E7260" i="1"/>
  <c r="A7261" i="1"/>
  <c r="B7261" i="1"/>
  <c r="C7261" i="1"/>
  <c r="D7261" i="1"/>
  <c r="E7261" i="1"/>
  <c r="A7262" i="1"/>
  <c r="B7262" i="1"/>
  <c r="C7262" i="1"/>
  <c r="D7262" i="1"/>
  <c r="E7262" i="1"/>
  <c r="A7263" i="1"/>
  <c r="B7263" i="1"/>
  <c r="C7263" i="1"/>
  <c r="D7263" i="1"/>
  <c r="E7263" i="1"/>
  <c r="A7264" i="1"/>
  <c r="B7264" i="1"/>
  <c r="C7264" i="1"/>
  <c r="D7264" i="1"/>
  <c r="E7264" i="1"/>
  <c r="A7265" i="1"/>
  <c r="B7265" i="1"/>
  <c r="C7265" i="1"/>
  <c r="D7265" i="1"/>
  <c r="E7265" i="1"/>
  <c r="A7266" i="1"/>
  <c r="B7266" i="1"/>
  <c r="C7266" i="1"/>
  <c r="D7266" i="1"/>
  <c r="E7266" i="1"/>
  <c r="A7267" i="1"/>
  <c r="B7267" i="1"/>
  <c r="C7267" i="1"/>
  <c r="D7267" i="1"/>
  <c r="E7267" i="1"/>
  <c r="A7268" i="1"/>
  <c r="B7268" i="1"/>
  <c r="C7268" i="1"/>
  <c r="D7268" i="1"/>
  <c r="E7268" i="1"/>
  <c r="A7269" i="1"/>
  <c r="B7269" i="1"/>
  <c r="C7269" i="1"/>
  <c r="D7269" i="1"/>
  <c r="E7269" i="1"/>
  <c r="A7270" i="1"/>
  <c r="B7270" i="1"/>
  <c r="C7270" i="1"/>
  <c r="D7270" i="1"/>
  <c r="E7270" i="1"/>
  <c r="A7271" i="1"/>
  <c r="B7271" i="1"/>
  <c r="C7271" i="1"/>
  <c r="D7271" i="1"/>
  <c r="E7271" i="1"/>
  <c r="A7272" i="1"/>
  <c r="B7272" i="1"/>
  <c r="C7272" i="1"/>
  <c r="D7272" i="1"/>
  <c r="E7272" i="1"/>
  <c r="A7273" i="1"/>
  <c r="B7273" i="1"/>
  <c r="C7273" i="1"/>
  <c r="D7273" i="1"/>
  <c r="E7273" i="1"/>
  <c r="A7274" i="1"/>
  <c r="B7274" i="1"/>
  <c r="C7274" i="1"/>
  <c r="D7274" i="1"/>
  <c r="E7274" i="1"/>
  <c r="A7275" i="1"/>
  <c r="B7275" i="1"/>
  <c r="C7275" i="1"/>
  <c r="D7275" i="1"/>
  <c r="E7275" i="1"/>
  <c r="A7276" i="1"/>
  <c r="B7276" i="1"/>
  <c r="C7276" i="1"/>
  <c r="D7276" i="1"/>
  <c r="E7276" i="1"/>
  <c r="A7277" i="1"/>
  <c r="B7277" i="1"/>
  <c r="C7277" i="1"/>
  <c r="D7277" i="1"/>
  <c r="E7277" i="1"/>
  <c r="A7278" i="1"/>
  <c r="B7278" i="1"/>
  <c r="C7278" i="1"/>
  <c r="D7278" i="1"/>
  <c r="E7278" i="1"/>
  <c r="A7279" i="1"/>
  <c r="B7279" i="1"/>
  <c r="C7279" i="1"/>
  <c r="D7279" i="1"/>
  <c r="E7279" i="1"/>
  <c r="A7280" i="1"/>
  <c r="B7280" i="1"/>
  <c r="C7280" i="1"/>
  <c r="D7280" i="1"/>
  <c r="E7280" i="1"/>
  <c r="A7281" i="1"/>
  <c r="B7281" i="1"/>
  <c r="C7281" i="1"/>
  <c r="D7281" i="1"/>
  <c r="E7281" i="1"/>
  <c r="A7282" i="1"/>
  <c r="B7282" i="1"/>
  <c r="C7282" i="1"/>
  <c r="D7282" i="1"/>
  <c r="E7282" i="1"/>
  <c r="A7283" i="1"/>
  <c r="B7283" i="1"/>
  <c r="C7283" i="1"/>
  <c r="D7283" i="1"/>
  <c r="E7283" i="1"/>
  <c r="A7284" i="1"/>
  <c r="B7284" i="1"/>
  <c r="C7284" i="1"/>
  <c r="D7284" i="1"/>
  <c r="E7284" i="1"/>
  <c r="A7285" i="1"/>
  <c r="B7285" i="1"/>
  <c r="C7285" i="1"/>
  <c r="D7285" i="1"/>
  <c r="E7285" i="1"/>
  <c r="A7286" i="1"/>
  <c r="B7286" i="1"/>
  <c r="C7286" i="1"/>
  <c r="D7286" i="1"/>
  <c r="E7286" i="1"/>
  <c r="A7287" i="1"/>
  <c r="B7287" i="1"/>
  <c r="C7287" i="1"/>
  <c r="D7287" i="1"/>
  <c r="E7287" i="1"/>
  <c r="A7288" i="1"/>
  <c r="B7288" i="1"/>
  <c r="C7288" i="1"/>
  <c r="D7288" i="1"/>
  <c r="E7288" i="1"/>
  <c r="A7289" i="1"/>
  <c r="B7289" i="1"/>
  <c r="C7289" i="1"/>
  <c r="D7289" i="1"/>
  <c r="E7289" i="1"/>
  <c r="A7290" i="1"/>
  <c r="B7290" i="1"/>
  <c r="C7290" i="1"/>
  <c r="D7290" i="1"/>
  <c r="E7290" i="1"/>
  <c r="A7291" i="1"/>
  <c r="B7291" i="1"/>
  <c r="C7291" i="1"/>
  <c r="D7291" i="1"/>
  <c r="E7291" i="1"/>
  <c r="A7292" i="1"/>
  <c r="B7292" i="1"/>
  <c r="C7292" i="1"/>
  <c r="D7292" i="1"/>
  <c r="E7292" i="1"/>
  <c r="A7293" i="1"/>
  <c r="B7293" i="1"/>
  <c r="C7293" i="1"/>
  <c r="D7293" i="1"/>
  <c r="E7293" i="1"/>
  <c r="A7294" i="1"/>
  <c r="B7294" i="1"/>
  <c r="C7294" i="1"/>
  <c r="D7294" i="1"/>
  <c r="E7294" i="1"/>
  <c r="A7295" i="1"/>
  <c r="B7295" i="1"/>
  <c r="C7295" i="1"/>
  <c r="D7295" i="1"/>
  <c r="E7295" i="1"/>
  <c r="A7296" i="1"/>
  <c r="B7296" i="1"/>
  <c r="C7296" i="1"/>
  <c r="D7296" i="1"/>
  <c r="E7296" i="1"/>
  <c r="A7297" i="1"/>
  <c r="B7297" i="1"/>
  <c r="C7297" i="1"/>
  <c r="D7297" i="1"/>
  <c r="E7297" i="1"/>
  <c r="A7298" i="1"/>
  <c r="B7298" i="1"/>
  <c r="C7298" i="1"/>
  <c r="D7298" i="1"/>
  <c r="E7298" i="1"/>
  <c r="A7299" i="1"/>
  <c r="B7299" i="1"/>
  <c r="C7299" i="1"/>
  <c r="D7299" i="1"/>
  <c r="E7299" i="1"/>
  <c r="A7300" i="1"/>
  <c r="B7300" i="1"/>
  <c r="C7300" i="1"/>
  <c r="D7300" i="1"/>
  <c r="E7300" i="1"/>
  <c r="A7301" i="1"/>
  <c r="B7301" i="1"/>
  <c r="C7301" i="1"/>
  <c r="D7301" i="1"/>
  <c r="E7301" i="1"/>
  <c r="A7302" i="1"/>
  <c r="B7302" i="1"/>
  <c r="C7302" i="1"/>
  <c r="D7302" i="1"/>
  <c r="E7302" i="1"/>
  <c r="A7303" i="1"/>
  <c r="B7303" i="1"/>
  <c r="C7303" i="1"/>
  <c r="D7303" i="1"/>
  <c r="E7303" i="1"/>
  <c r="A7304" i="1"/>
  <c r="B7304" i="1"/>
  <c r="C7304" i="1"/>
  <c r="D7304" i="1"/>
  <c r="E7304" i="1"/>
  <c r="A7305" i="1"/>
  <c r="B7305" i="1"/>
  <c r="C7305" i="1"/>
  <c r="D7305" i="1"/>
  <c r="E7305" i="1"/>
  <c r="A7306" i="1"/>
  <c r="B7306" i="1"/>
  <c r="C7306" i="1"/>
  <c r="D7306" i="1"/>
  <c r="E7306" i="1"/>
  <c r="A7307" i="1"/>
  <c r="B7307" i="1"/>
  <c r="C7307" i="1"/>
  <c r="D7307" i="1"/>
  <c r="E7307" i="1"/>
  <c r="A7308" i="1"/>
  <c r="B7308" i="1"/>
  <c r="C7308" i="1"/>
  <c r="D7308" i="1"/>
  <c r="E7308" i="1"/>
  <c r="A7309" i="1"/>
  <c r="B7309" i="1"/>
  <c r="C7309" i="1"/>
  <c r="D7309" i="1"/>
  <c r="E7309" i="1"/>
  <c r="A7310" i="1"/>
  <c r="B7310" i="1"/>
  <c r="C7310" i="1"/>
  <c r="D7310" i="1"/>
  <c r="E7310" i="1"/>
  <c r="A7311" i="1"/>
  <c r="B7311" i="1"/>
  <c r="C7311" i="1"/>
  <c r="D7311" i="1"/>
  <c r="E7311" i="1"/>
  <c r="A7312" i="1"/>
  <c r="B7312" i="1"/>
  <c r="C7312" i="1"/>
  <c r="D7312" i="1"/>
  <c r="E7312" i="1"/>
  <c r="A7313" i="1"/>
  <c r="B7313" i="1"/>
  <c r="C7313" i="1"/>
  <c r="D7313" i="1"/>
  <c r="E7313" i="1"/>
  <c r="A7314" i="1"/>
  <c r="B7314" i="1"/>
  <c r="C7314" i="1"/>
  <c r="D7314" i="1"/>
  <c r="E7314" i="1"/>
  <c r="A7315" i="1"/>
  <c r="B7315" i="1"/>
  <c r="C7315" i="1"/>
  <c r="D7315" i="1"/>
  <c r="E7315" i="1"/>
  <c r="A7316" i="1"/>
  <c r="B7316" i="1"/>
  <c r="C7316" i="1"/>
  <c r="D7316" i="1"/>
  <c r="E7316" i="1"/>
  <c r="A7317" i="1"/>
  <c r="B7317" i="1"/>
  <c r="C7317" i="1"/>
  <c r="D7317" i="1"/>
  <c r="E7317" i="1"/>
  <c r="A7318" i="1"/>
  <c r="B7318" i="1"/>
  <c r="C7318" i="1"/>
  <c r="D7318" i="1"/>
  <c r="E7318" i="1"/>
  <c r="A7319" i="1"/>
  <c r="B7319" i="1"/>
  <c r="C7319" i="1"/>
  <c r="D7319" i="1"/>
  <c r="E7319" i="1"/>
  <c r="A7320" i="1"/>
  <c r="B7320" i="1"/>
  <c r="C7320" i="1"/>
  <c r="D7320" i="1"/>
  <c r="E7320" i="1"/>
  <c r="A7321" i="1"/>
  <c r="B7321" i="1"/>
  <c r="C7321" i="1"/>
  <c r="D7321" i="1"/>
  <c r="E7321" i="1"/>
  <c r="A7322" i="1"/>
  <c r="B7322" i="1"/>
  <c r="C7322" i="1"/>
  <c r="D7322" i="1"/>
  <c r="E7322" i="1"/>
  <c r="A7323" i="1"/>
  <c r="B7323" i="1"/>
  <c r="C7323" i="1"/>
  <c r="D7323" i="1"/>
  <c r="E7323" i="1"/>
  <c r="A7324" i="1"/>
  <c r="B7324" i="1"/>
  <c r="C7324" i="1"/>
  <c r="D7324" i="1"/>
  <c r="E7324" i="1"/>
  <c r="A7325" i="1"/>
  <c r="B7325" i="1"/>
  <c r="C7325" i="1"/>
  <c r="D7325" i="1"/>
  <c r="E7325" i="1"/>
  <c r="A7326" i="1"/>
  <c r="B7326" i="1"/>
  <c r="C7326" i="1"/>
  <c r="D7326" i="1"/>
  <c r="E7326" i="1"/>
  <c r="A7327" i="1"/>
  <c r="B7327" i="1"/>
  <c r="C7327" i="1"/>
  <c r="D7327" i="1"/>
  <c r="E7327" i="1"/>
  <c r="A7328" i="1"/>
  <c r="B7328" i="1"/>
  <c r="C7328" i="1"/>
  <c r="D7328" i="1"/>
  <c r="E7328" i="1"/>
  <c r="A7329" i="1"/>
  <c r="B7329" i="1"/>
  <c r="C7329" i="1"/>
  <c r="D7329" i="1"/>
  <c r="E7329" i="1"/>
  <c r="A7330" i="1"/>
  <c r="B7330" i="1"/>
  <c r="C7330" i="1"/>
  <c r="D7330" i="1"/>
  <c r="E7330" i="1"/>
  <c r="A7331" i="1"/>
  <c r="B7331" i="1"/>
  <c r="C7331" i="1"/>
  <c r="D7331" i="1"/>
  <c r="E7331" i="1"/>
  <c r="A7332" i="1"/>
  <c r="B7332" i="1"/>
  <c r="C7332" i="1"/>
  <c r="D7332" i="1"/>
  <c r="E7332" i="1"/>
  <c r="A7333" i="1"/>
  <c r="B7333" i="1"/>
  <c r="C7333" i="1"/>
  <c r="D7333" i="1"/>
  <c r="E7333" i="1"/>
  <c r="A7334" i="1"/>
  <c r="B7334" i="1"/>
  <c r="C7334" i="1"/>
  <c r="D7334" i="1"/>
  <c r="E7334" i="1"/>
  <c r="A7335" i="1"/>
  <c r="B7335" i="1"/>
  <c r="C7335" i="1"/>
  <c r="D7335" i="1"/>
  <c r="E7335" i="1"/>
  <c r="A7336" i="1"/>
  <c r="B7336" i="1"/>
  <c r="C7336" i="1"/>
  <c r="D7336" i="1"/>
  <c r="E7336" i="1"/>
  <c r="A7337" i="1"/>
  <c r="B7337" i="1"/>
  <c r="C7337" i="1"/>
  <c r="D7337" i="1"/>
  <c r="E7337" i="1"/>
  <c r="A7338" i="1"/>
  <c r="B7338" i="1"/>
  <c r="C7338" i="1"/>
  <c r="D7338" i="1"/>
  <c r="E7338" i="1"/>
  <c r="A7339" i="1"/>
  <c r="B7339" i="1"/>
  <c r="C7339" i="1"/>
  <c r="D7339" i="1"/>
  <c r="E7339" i="1"/>
  <c r="A7340" i="1"/>
  <c r="B7340" i="1"/>
  <c r="C7340" i="1"/>
  <c r="D7340" i="1"/>
  <c r="E7340" i="1"/>
  <c r="A7341" i="1"/>
  <c r="B7341" i="1"/>
  <c r="C7341" i="1"/>
  <c r="D7341" i="1"/>
  <c r="E7341" i="1"/>
  <c r="A7342" i="1"/>
  <c r="B7342" i="1"/>
  <c r="C7342" i="1"/>
  <c r="D7342" i="1"/>
  <c r="E7342" i="1"/>
  <c r="A7343" i="1"/>
  <c r="B7343" i="1"/>
  <c r="C7343" i="1"/>
  <c r="D7343" i="1"/>
  <c r="E7343" i="1"/>
  <c r="A7344" i="1"/>
  <c r="B7344" i="1"/>
  <c r="C7344" i="1"/>
  <c r="D7344" i="1"/>
  <c r="E7344" i="1"/>
  <c r="A7345" i="1"/>
  <c r="B7345" i="1"/>
  <c r="C7345" i="1"/>
  <c r="D7345" i="1"/>
  <c r="E7345" i="1"/>
  <c r="A7346" i="1"/>
  <c r="B7346" i="1"/>
  <c r="C7346" i="1"/>
  <c r="D7346" i="1"/>
  <c r="E7346" i="1"/>
  <c r="A7347" i="1"/>
  <c r="B7347" i="1"/>
  <c r="C7347" i="1"/>
  <c r="D7347" i="1"/>
  <c r="E7347" i="1"/>
  <c r="A7348" i="1"/>
  <c r="B7348" i="1"/>
  <c r="C7348" i="1"/>
  <c r="D7348" i="1"/>
  <c r="E7348" i="1"/>
  <c r="A7349" i="1"/>
  <c r="B7349" i="1"/>
  <c r="C7349" i="1"/>
  <c r="D7349" i="1"/>
  <c r="E7349" i="1"/>
  <c r="A7350" i="1"/>
  <c r="B7350" i="1"/>
  <c r="C7350" i="1"/>
  <c r="D7350" i="1"/>
  <c r="E7350" i="1"/>
  <c r="A7351" i="1"/>
  <c r="B7351" i="1"/>
  <c r="C7351" i="1"/>
  <c r="D7351" i="1"/>
  <c r="E7351" i="1"/>
  <c r="A7352" i="1"/>
  <c r="B7352" i="1"/>
  <c r="C7352" i="1"/>
  <c r="D7352" i="1"/>
  <c r="E7352" i="1"/>
  <c r="A7353" i="1"/>
  <c r="B7353" i="1"/>
  <c r="C7353" i="1"/>
  <c r="D7353" i="1"/>
  <c r="E7353" i="1"/>
  <c r="A7354" i="1"/>
  <c r="B7354" i="1"/>
  <c r="C7354" i="1"/>
  <c r="D7354" i="1"/>
  <c r="E7354" i="1"/>
  <c r="A7355" i="1"/>
  <c r="B7355" i="1"/>
  <c r="C7355" i="1"/>
  <c r="D7355" i="1"/>
  <c r="E7355" i="1"/>
  <c r="A7356" i="1"/>
  <c r="B7356" i="1"/>
  <c r="C7356" i="1"/>
  <c r="D7356" i="1"/>
  <c r="E7356" i="1"/>
  <c r="A7357" i="1"/>
  <c r="B7357" i="1"/>
  <c r="C7357" i="1"/>
  <c r="D7357" i="1"/>
  <c r="E7357" i="1"/>
  <c r="A7358" i="1"/>
  <c r="B7358" i="1"/>
  <c r="C7358" i="1"/>
  <c r="D7358" i="1"/>
  <c r="E7358" i="1"/>
  <c r="A7359" i="1"/>
  <c r="B7359" i="1"/>
  <c r="C7359" i="1"/>
  <c r="D7359" i="1"/>
  <c r="E7359" i="1"/>
  <c r="A7360" i="1"/>
  <c r="B7360" i="1"/>
  <c r="C7360" i="1"/>
  <c r="D7360" i="1"/>
  <c r="E7360" i="1"/>
  <c r="A7361" i="1"/>
  <c r="B7361" i="1"/>
  <c r="C7361" i="1"/>
  <c r="D7361" i="1"/>
  <c r="E7361" i="1"/>
  <c r="A7362" i="1"/>
  <c r="B7362" i="1"/>
  <c r="C7362" i="1"/>
  <c r="D7362" i="1"/>
  <c r="E7362" i="1"/>
  <c r="A7363" i="1"/>
  <c r="B7363" i="1"/>
  <c r="C7363" i="1"/>
  <c r="D7363" i="1"/>
  <c r="E7363" i="1"/>
  <c r="A7364" i="1"/>
  <c r="B7364" i="1"/>
  <c r="C7364" i="1"/>
  <c r="D7364" i="1"/>
  <c r="E7364" i="1"/>
  <c r="A7365" i="1"/>
  <c r="B7365" i="1"/>
  <c r="C7365" i="1"/>
  <c r="D7365" i="1"/>
  <c r="E7365" i="1"/>
  <c r="A7366" i="1"/>
  <c r="B7366" i="1"/>
  <c r="C7366" i="1"/>
  <c r="D7366" i="1"/>
  <c r="E7366" i="1"/>
  <c r="A7367" i="1"/>
  <c r="B7367" i="1"/>
  <c r="C7367" i="1"/>
  <c r="D7367" i="1"/>
  <c r="E7367" i="1"/>
  <c r="A7368" i="1"/>
  <c r="B7368" i="1"/>
  <c r="C7368" i="1"/>
  <c r="D7368" i="1"/>
  <c r="E7368" i="1"/>
  <c r="A7369" i="1"/>
  <c r="B7369" i="1"/>
  <c r="C7369" i="1"/>
  <c r="D7369" i="1"/>
  <c r="E7369" i="1"/>
  <c r="A7370" i="1"/>
  <c r="B7370" i="1"/>
  <c r="C7370" i="1"/>
  <c r="D7370" i="1"/>
  <c r="E7370" i="1"/>
  <c r="A7371" i="1"/>
  <c r="B7371" i="1"/>
  <c r="C7371" i="1"/>
  <c r="D7371" i="1"/>
  <c r="E7371" i="1"/>
  <c r="A7372" i="1"/>
  <c r="B7372" i="1"/>
  <c r="C7372" i="1"/>
  <c r="D7372" i="1"/>
  <c r="E7372" i="1"/>
  <c r="A7373" i="1"/>
  <c r="B7373" i="1"/>
  <c r="C7373" i="1"/>
  <c r="D7373" i="1"/>
  <c r="E7373" i="1"/>
  <c r="A7374" i="1"/>
  <c r="B7374" i="1"/>
  <c r="C7374" i="1"/>
  <c r="D7374" i="1"/>
  <c r="E7374" i="1"/>
  <c r="A7375" i="1"/>
  <c r="B7375" i="1"/>
  <c r="C7375" i="1"/>
  <c r="D7375" i="1"/>
  <c r="E7375" i="1"/>
  <c r="A7376" i="1"/>
  <c r="B7376" i="1"/>
  <c r="C7376" i="1"/>
  <c r="D7376" i="1"/>
  <c r="E7376" i="1"/>
  <c r="A7377" i="1"/>
  <c r="B7377" i="1"/>
  <c r="C7377" i="1"/>
  <c r="D7377" i="1"/>
  <c r="E7377" i="1"/>
  <c r="A7378" i="1"/>
  <c r="B7378" i="1"/>
  <c r="C7378" i="1"/>
  <c r="D7378" i="1"/>
  <c r="E7378" i="1"/>
  <c r="A7379" i="1"/>
  <c r="B7379" i="1"/>
  <c r="C7379" i="1"/>
  <c r="D7379" i="1"/>
  <c r="E7379" i="1"/>
  <c r="A7380" i="1"/>
  <c r="B7380" i="1"/>
  <c r="C7380" i="1"/>
  <c r="D7380" i="1"/>
  <c r="E7380" i="1"/>
  <c r="A7381" i="1"/>
  <c r="B7381" i="1"/>
  <c r="C7381" i="1"/>
  <c r="D7381" i="1"/>
  <c r="E7381" i="1"/>
  <c r="A7382" i="1"/>
  <c r="B7382" i="1"/>
  <c r="C7382" i="1"/>
  <c r="D7382" i="1"/>
  <c r="E7382" i="1"/>
  <c r="A7383" i="1"/>
  <c r="B7383" i="1"/>
  <c r="C7383" i="1"/>
  <c r="D7383" i="1"/>
  <c r="E7383" i="1"/>
  <c r="A7384" i="1"/>
  <c r="B7384" i="1"/>
  <c r="C7384" i="1"/>
  <c r="D7384" i="1"/>
  <c r="E7384" i="1"/>
  <c r="A7385" i="1"/>
  <c r="B7385" i="1"/>
  <c r="C7385" i="1"/>
  <c r="D7385" i="1"/>
  <c r="E7385" i="1"/>
  <c r="A7386" i="1"/>
  <c r="B7386" i="1"/>
  <c r="C7386" i="1"/>
  <c r="D7386" i="1"/>
  <c r="E7386" i="1"/>
  <c r="A7387" i="1"/>
  <c r="B7387" i="1"/>
  <c r="C7387" i="1"/>
  <c r="D7387" i="1"/>
  <c r="E7387" i="1"/>
  <c r="A7388" i="1"/>
  <c r="B7388" i="1"/>
  <c r="C7388" i="1"/>
  <c r="D7388" i="1"/>
  <c r="E7388" i="1"/>
  <c r="A7389" i="1"/>
  <c r="B7389" i="1"/>
  <c r="C7389" i="1"/>
  <c r="D7389" i="1"/>
  <c r="E7389" i="1"/>
  <c r="A7390" i="1"/>
  <c r="B7390" i="1"/>
  <c r="C7390" i="1"/>
  <c r="D7390" i="1"/>
  <c r="E7390" i="1"/>
  <c r="A7391" i="1"/>
  <c r="B7391" i="1"/>
  <c r="C7391" i="1"/>
  <c r="D7391" i="1"/>
  <c r="E7391" i="1"/>
  <c r="A7392" i="1"/>
  <c r="B7392" i="1"/>
  <c r="C7392" i="1"/>
  <c r="D7392" i="1"/>
  <c r="E7392" i="1"/>
  <c r="A7393" i="1"/>
  <c r="B7393" i="1"/>
  <c r="C7393" i="1"/>
  <c r="D7393" i="1"/>
  <c r="E7393" i="1"/>
  <c r="A7394" i="1"/>
  <c r="B7394" i="1"/>
  <c r="C7394" i="1"/>
  <c r="D7394" i="1"/>
  <c r="E7394" i="1"/>
  <c r="A7395" i="1"/>
  <c r="B7395" i="1"/>
  <c r="C7395" i="1"/>
  <c r="D7395" i="1"/>
  <c r="E7395" i="1"/>
  <c r="A7396" i="1"/>
  <c r="B7396" i="1"/>
  <c r="C7396" i="1"/>
  <c r="D7396" i="1"/>
  <c r="E7396" i="1"/>
  <c r="A7397" i="1"/>
  <c r="B7397" i="1"/>
  <c r="C7397" i="1"/>
  <c r="D7397" i="1"/>
  <c r="E7397" i="1"/>
  <c r="A7398" i="1"/>
  <c r="B7398" i="1"/>
  <c r="C7398" i="1"/>
  <c r="D7398" i="1"/>
  <c r="E7398" i="1"/>
  <c r="A7399" i="1"/>
  <c r="B7399" i="1"/>
  <c r="C7399" i="1"/>
  <c r="D7399" i="1"/>
  <c r="E7399" i="1"/>
  <c r="A7400" i="1"/>
  <c r="B7400" i="1"/>
  <c r="C7400" i="1"/>
  <c r="D7400" i="1"/>
  <c r="E7400" i="1"/>
  <c r="A7401" i="1"/>
  <c r="B7401" i="1"/>
  <c r="C7401" i="1"/>
  <c r="D7401" i="1"/>
  <c r="E7401" i="1"/>
  <c r="A7402" i="1"/>
  <c r="B7402" i="1"/>
  <c r="C7402" i="1"/>
  <c r="D7402" i="1"/>
  <c r="E7402" i="1"/>
  <c r="A7403" i="1"/>
  <c r="B7403" i="1"/>
  <c r="C7403" i="1"/>
  <c r="D7403" i="1"/>
  <c r="E7403" i="1"/>
  <c r="A7404" i="1"/>
  <c r="B7404" i="1"/>
  <c r="C7404" i="1"/>
  <c r="D7404" i="1"/>
  <c r="E7404" i="1"/>
  <c r="A7405" i="1"/>
  <c r="B7405" i="1"/>
  <c r="C7405" i="1"/>
  <c r="D7405" i="1"/>
  <c r="E7405" i="1"/>
  <c r="A7406" i="1"/>
  <c r="B7406" i="1"/>
  <c r="C7406" i="1"/>
  <c r="D7406" i="1"/>
  <c r="E7406" i="1"/>
  <c r="A7407" i="1"/>
  <c r="B7407" i="1"/>
  <c r="C7407" i="1"/>
  <c r="D7407" i="1"/>
  <c r="E7407" i="1"/>
  <c r="A7408" i="1"/>
  <c r="B7408" i="1"/>
  <c r="C7408" i="1"/>
  <c r="D7408" i="1"/>
  <c r="E7408" i="1"/>
  <c r="A7409" i="1"/>
  <c r="B7409" i="1"/>
  <c r="C7409" i="1"/>
  <c r="D7409" i="1"/>
  <c r="E7409" i="1"/>
  <c r="A7410" i="1"/>
  <c r="B7410" i="1"/>
  <c r="C7410" i="1"/>
  <c r="D7410" i="1"/>
  <c r="E7410" i="1"/>
  <c r="A7411" i="1"/>
  <c r="B7411" i="1"/>
  <c r="C7411" i="1"/>
  <c r="D7411" i="1"/>
  <c r="E7411" i="1"/>
  <c r="A7412" i="1"/>
  <c r="B7412" i="1"/>
  <c r="C7412" i="1"/>
  <c r="D7412" i="1"/>
  <c r="E7412" i="1"/>
  <c r="A7413" i="1"/>
  <c r="B7413" i="1"/>
  <c r="C7413" i="1"/>
  <c r="D7413" i="1"/>
  <c r="E7413" i="1"/>
  <c r="A7414" i="1"/>
  <c r="B7414" i="1"/>
  <c r="C7414" i="1"/>
  <c r="D7414" i="1"/>
  <c r="E7414" i="1"/>
  <c r="A7415" i="1"/>
  <c r="B7415" i="1"/>
  <c r="C7415" i="1"/>
  <c r="D7415" i="1"/>
  <c r="E7415" i="1"/>
  <c r="A7416" i="1"/>
  <c r="B7416" i="1"/>
  <c r="C7416" i="1"/>
  <c r="D7416" i="1"/>
  <c r="E7416" i="1"/>
  <c r="A7417" i="1"/>
  <c r="B7417" i="1"/>
  <c r="C7417" i="1"/>
  <c r="D7417" i="1"/>
  <c r="E7417" i="1"/>
  <c r="A7418" i="1"/>
  <c r="B7418" i="1"/>
  <c r="C7418" i="1"/>
  <c r="D7418" i="1"/>
  <c r="E7418" i="1"/>
  <c r="A7419" i="1"/>
  <c r="B7419" i="1"/>
  <c r="C7419" i="1"/>
  <c r="D7419" i="1"/>
  <c r="E7419" i="1"/>
  <c r="A7420" i="1"/>
  <c r="B7420" i="1"/>
  <c r="C7420" i="1"/>
  <c r="D7420" i="1"/>
  <c r="E7420" i="1"/>
  <c r="A7421" i="1"/>
  <c r="B7421" i="1"/>
  <c r="C7421" i="1"/>
  <c r="D7421" i="1"/>
  <c r="E7421" i="1"/>
  <c r="A7422" i="1"/>
  <c r="B7422" i="1"/>
  <c r="C7422" i="1"/>
  <c r="D7422" i="1"/>
  <c r="E7422" i="1"/>
  <c r="A7423" i="1"/>
  <c r="B7423" i="1"/>
  <c r="C7423" i="1"/>
  <c r="D7423" i="1"/>
  <c r="E7423" i="1"/>
  <c r="A7424" i="1"/>
  <c r="B7424" i="1"/>
  <c r="C7424" i="1"/>
  <c r="D7424" i="1"/>
  <c r="E7424" i="1"/>
  <c r="A7425" i="1"/>
  <c r="B7425" i="1"/>
  <c r="C7425" i="1"/>
  <c r="D7425" i="1"/>
  <c r="E7425" i="1"/>
  <c r="A7426" i="1"/>
  <c r="B7426" i="1"/>
  <c r="C7426" i="1"/>
  <c r="D7426" i="1"/>
  <c r="E7426" i="1"/>
  <c r="A7427" i="1"/>
  <c r="B7427" i="1"/>
  <c r="C7427" i="1"/>
  <c r="D7427" i="1"/>
  <c r="E7427" i="1"/>
  <c r="A7428" i="1"/>
  <c r="B7428" i="1"/>
  <c r="C7428" i="1"/>
  <c r="D7428" i="1"/>
  <c r="E7428" i="1"/>
  <c r="A7429" i="1"/>
  <c r="B7429" i="1"/>
  <c r="C7429" i="1"/>
  <c r="D7429" i="1"/>
  <c r="E7429" i="1"/>
  <c r="A7430" i="1"/>
  <c r="B7430" i="1"/>
  <c r="C7430" i="1"/>
  <c r="D7430" i="1"/>
  <c r="E7430" i="1"/>
  <c r="A7431" i="1"/>
  <c r="B7431" i="1"/>
  <c r="C7431" i="1"/>
  <c r="D7431" i="1"/>
  <c r="E7431" i="1"/>
  <c r="A7432" i="1"/>
  <c r="B7432" i="1"/>
  <c r="C7432" i="1"/>
  <c r="D7432" i="1"/>
  <c r="E7432" i="1"/>
  <c r="A7433" i="1"/>
  <c r="B7433" i="1"/>
  <c r="C7433" i="1"/>
  <c r="D7433" i="1"/>
  <c r="E7433" i="1"/>
  <c r="A7434" i="1"/>
  <c r="B7434" i="1"/>
  <c r="C7434" i="1"/>
  <c r="D7434" i="1"/>
  <c r="E7434" i="1"/>
  <c r="A7435" i="1"/>
  <c r="B7435" i="1"/>
  <c r="C7435" i="1"/>
  <c r="D7435" i="1"/>
  <c r="E7435" i="1"/>
  <c r="A7436" i="1"/>
  <c r="B7436" i="1"/>
  <c r="C7436" i="1"/>
  <c r="D7436" i="1"/>
  <c r="E7436" i="1"/>
  <c r="A7437" i="1"/>
  <c r="B7437" i="1"/>
  <c r="C7437" i="1"/>
  <c r="D7437" i="1"/>
  <c r="E7437" i="1"/>
  <c r="A7438" i="1"/>
  <c r="B7438" i="1"/>
  <c r="C7438" i="1"/>
  <c r="D7438" i="1"/>
  <c r="E7438" i="1"/>
  <c r="A7439" i="1"/>
  <c r="B7439" i="1"/>
  <c r="C7439" i="1"/>
  <c r="D7439" i="1"/>
  <c r="E7439" i="1"/>
  <c r="A7440" i="1"/>
  <c r="B7440" i="1"/>
  <c r="C7440" i="1"/>
  <c r="D7440" i="1"/>
  <c r="E7440" i="1"/>
  <c r="A7441" i="1"/>
  <c r="B7441" i="1"/>
  <c r="C7441" i="1"/>
  <c r="D7441" i="1"/>
  <c r="E7441" i="1"/>
  <c r="A7442" i="1"/>
  <c r="B7442" i="1"/>
  <c r="C7442" i="1"/>
  <c r="D7442" i="1"/>
  <c r="E7442" i="1"/>
  <c r="A7443" i="1"/>
  <c r="B7443" i="1"/>
  <c r="C7443" i="1"/>
  <c r="D7443" i="1"/>
  <c r="E7443" i="1"/>
  <c r="A7444" i="1"/>
  <c r="B7444" i="1"/>
  <c r="C7444" i="1"/>
  <c r="D7444" i="1"/>
  <c r="E7444" i="1"/>
  <c r="A7445" i="1"/>
  <c r="B7445" i="1"/>
  <c r="C7445" i="1"/>
  <c r="D7445" i="1"/>
  <c r="E7445" i="1"/>
  <c r="A7446" i="1"/>
  <c r="B7446" i="1"/>
  <c r="C7446" i="1"/>
  <c r="D7446" i="1"/>
  <c r="E7446" i="1"/>
  <c r="A7447" i="1"/>
  <c r="B7447" i="1"/>
  <c r="C7447" i="1"/>
  <c r="D7447" i="1"/>
  <c r="E7447" i="1"/>
  <c r="A7448" i="1"/>
  <c r="B7448" i="1"/>
  <c r="C7448" i="1"/>
  <c r="D7448" i="1"/>
  <c r="E7448" i="1"/>
  <c r="A7449" i="1"/>
  <c r="B7449" i="1"/>
  <c r="C7449" i="1"/>
  <c r="D7449" i="1"/>
  <c r="E7449" i="1"/>
  <c r="A7450" i="1"/>
  <c r="B7450" i="1"/>
  <c r="C7450" i="1"/>
  <c r="D7450" i="1"/>
  <c r="E7450" i="1"/>
  <c r="A7451" i="1"/>
  <c r="B7451" i="1"/>
  <c r="C7451" i="1"/>
  <c r="D7451" i="1"/>
  <c r="E7451" i="1"/>
  <c r="A7452" i="1"/>
  <c r="B7452" i="1"/>
  <c r="C7452" i="1"/>
  <c r="D7452" i="1"/>
  <c r="E7452" i="1"/>
  <c r="A7453" i="1"/>
  <c r="B7453" i="1"/>
  <c r="C7453" i="1"/>
  <c r="D7453" i="1"/>
  <c r="E7453" i="1"/>
  <c r="A7454" i="1"/>
  <c r="B7454" i="1"/>
  <c r="C7454" i="1"/>
  <c r="D7454" i="1"/>
  <c r="E7454" i="1"/>
  <c r="A7455" i="1"/>
  <c r="B7455" i="1"/>
  <c r="C7455" i="1"/>
  <c r="D7455" i="1"/>
  <c r="E7455" i="1"/>
  <c r="A7456" i="1"/>
  <c r="B7456" i="1"/>
  <c r="C7456" i="1"/>
  <c r="D7456" i="1"/>
  <c r="E7456" i="1"/>
  <c r="A7457" i="1"/>
  <c r="B7457" i="1"/>
  <c r="C7457" i="1"/>
  <c r="D7457" i="1"/>
  <c r="E7457" i="1"/>
  <c r="A7458" i="1"/>
  <c r="B7458" i="1"/>
  <c r="C7458" i="1"/>
  <c r="D7458" i="1"/>
  <c r="E7458" i="1"/>
  <c r="A7459" i="1"/>
  <c r="B7459" i="1"/>
  <c r="C7459" i="1"/>
  <c r="D7459" i="1"/>
  <c r="E7459" i="1"/>
  <c r="A7460" i="1"/>
  <c r="B7460" i="1"/>
  <c r="C7460" i="1"/>
  <c r="D7460" i="1"/>
  <c r="E7460" i="1"/>
  <c r="A7461" i="1"/>
  <c r="B7461" i="1"/>
  <c r="C7461" i="1"/>
  <c r="D7461" i="1"/>
  <c r="E7461" i="1"/>
  <c r="A7462" i="1"/>
  <c r="B7462" i="1"/>
  <c r="C7462" i="1"/>
  <c r="D7462" i="1"/>
  <c r="E7462" i="1"/>
  <c r="A7463" i="1"/>
  <c r="B7463" i="1"/>
  <c r="C7463" i="1"/>
  <c r="D7463" i="1"/>
  <c r="E7463" i="1"/>
  <c r="A7464" i="1"/>
  <c r="B7464" i="1"/>
  <c r="C7464" i="1"/>
  <c r="D7464" i="1"/>
  <c r="E7464" i="1"/>
  <c r="A7465" i="1"/>
  <c r="B7465" i="1"/>
  <c r="C7465" i="1"/>
  <c r="D7465" i="1"/>
  <c r="E7465" i="1"/>
  <c r="A7466" i="1"/>
  <c r="B7466" i="1"/>
  <c r="C7466" i="1"/>
  <c r="D7466" i="1"/>
  <c r="E7466" i="1"/>
  <c r="A7467" i="1"/>
  <c r="B7467" i="1"/>
  <c r="C7467" i="1"/>
  <c r="D7467" i="1"/>
  <c r="E7467" i="1"/>
  <c r="A7468" i="1"/>
  <c r="B7468" i="1"/>
  <c r="C7468" i="1"/>
  <c r="D7468" i="1"/>
  <c r="E7468" i="1"/>
  <c r="A7469" i="1"/>
  <c r="B7469" i="1"/>
  <c r="C7469" i="1"/>
  <c r="D7469" i="1"/>
  <c r="E7469" i="1"/>
  <c r="A7470" i="1"/>
  <c r="B7470" i="1"/>
  <c r="C7470" i="1"/>
  <c r="D7470" i="1"/>
  <c r="E7470" i="1"/>
  <c r="A7471" i="1"/>
  <c r="B7471" i="1"/>
  <c r="C7471" i="1"/>
  <c r="D7471" i="1"/>
  <c r="E7471" i="1"/>
  <c r="A7472" i="1"/>
  <c r="B7472" i="1"/>
  <c r="C7472" i="1"/>
  <c r="D7472" i="1"/>
  <c r="E7472" i="1"/>
  <c r="A7473" i="1"/>
  <c r="B7473" i="1"/>
  <c r="C7473" i="1"/>
  <c r="D7473" i="1"/>
  <c r="E7473" i="1"/>
  <c r="A7474" i="1"/>
  <c r="B7474" i="1"/>
  <c r="C7474" i="1"/>
  <c r="D7474" i="1"/>
  <c r="E7474" i="1"/>
  <c r="A7475" i="1"/>
  <c r="B7475" i="1"/>
  <c r="C7475" i="1"/>
  <c r="D7475" i="1"/>
  <c r="E7475" i="1"/>
  <c r="A7476" i="1"/>
  <c r="B7476" i="1"/>
  <c r="C7476" i="1"/>
  <c r="D7476" i="1"/>
  <c r="E7476" i="1"/>
  <c r="A7477" i="1"/>
  <c r="B7477" i="1"/>
  <c r="C7477" i="1"/>
  <c r="D7477" i="1"/>
  <c r="E7477" i="1"/>
  <c r="A7478" i="1"/>
  <c r="B7478" i="1"/>
  <c r="C7478" i="1"/>
  <c r="D7478" i="1"/>
  <c r="E7478" i="1"/>
  <c r="A7479" i="1"/>
  <c r="B7479" i="1"/>
  <c r="C7479" i="1"/>
  <c r="D7479" i="1"/>
  <c r="E7479" i="1"/>
  <c r="A7480" i="1"/>
  <c r="B7480" i="1"/>
  <c r="C7480" i="1"/>
  <c r="D7480" i="1"/>
  <c r="E7480" i="1"/>
  <c r="A7481" i="1"/>
  <c r="B7481" i="1"/>
  <c r="C7481" i="1"/>
  <c r="D7481" i="1"/>
  <c r="E7481" i="1"/>
  <c r="A7482" i="1"/>
  <c r="B7482" i="1"/>
  <c r="C7482" i="1"/>
  <c r="D7482" i="1"/>
  <c r="E7482" i="1"/>
  <c r="A7483" i="1"/>
  <c r="B7483" i="1"/>
  <c r="C7483" i="1"/>
  <c r="D7483" i="1"/>
  <c r="E7483" i="1"/>
  <c r="A7484" i="1"/>
  <c r="B7484" i="1"/>
  <c r="C7484" i="1"/>
  <c r="D7484" i="1"/>
  <c r="E7484" i="1"/>
  <c r="A7485" i="1"/>
  <c r="B7485" i="1"/>
  <c r="C7485" i="1"/>
  <c r="D7485" i="1"/>
  <c r="E7485" i="1"/>
  <c r="A7486" i="1"/>
  <c r="B7486" i="1"/>
  <c r="C7486" i="1"/>
  <c r="D7486" i="1"/>
  <c r="E7486" i="1"/>
  <c r="A7487" i="1"/>
  <c r="B7487" i="1"/>
  <c r="C7487" i="1"/>
  <c r="D7487" i="1"/>
  <c r="E7487" i="1"/>
  <c r="A7488" i="1"/>
  <c r="B7488" i="1"/>
  <c r="C7488" i="1"/>
  <c r="D7488" i="1"/>
  <c r="E7488" i="1"/>
  <c r="A7489" i="1"/>
  <c r="B7489" i="1"/>
  <c r="C7489" i="1"/>
  <c r="D7489" i="1"/>
  <c r="E7489" i="1"/>
  <c r="A7490" i="1"/>
  <c r="B7490" i="1"/>
  <c r="C7490" i="1"/>
  <c r="D7490" i="1"/>
  <c r="E7490" i="1"/>
  <c r="A7491" i="1"/>
  <c r="B7491" i="1"/>
  <c r="C7491" i="1"/>
  <c r="D7491" i="1"/>
  <c r="E7491" i="1"/>
  <c r="A7492" i="1"/>
  <c r="B7492" i="1"/>
  <c r="C7492" i="1"/>
  <c r="D7492" i="1"/>
  <c r="E7492" i="1"/>
  <c r="A7493" i="1"/>
  <c r="B7493" i="1"/>
  <c r="C7493" i="1"/>
  <c r="D7493" i="1"/>
  <c r="E7493" i="1"/>
  <c r="A7494" i="1"/>
  <c r="B7494" i="1"/>
  <c r="C7494" i="1"/>
  <c r="D7494" i="1"/>
  <c r="E7494" i="1"/>
  <c r="A7495" i="1"/>
  <c r="B7495" i="1"/>
  <c r="C7495" i="1"/>
  <c r="D7495" i="1"/>
  <c r="E7495" i="1"/>
  <c r="A7496" i="1"/>
  <c r="B7496" i="1"/>
  <c r="C7496" i="1"/>
  <c r="D7496" i="1"/>
  <c r="E7496" i="1"/>
  <c r="A7497" i="1"/>
  <c r="B7497" i="1"/>
  <c r="C7497" i="1"/>
  <c r="D7497" i="1"/>
  <c r="E7497" i="1"/>
  <c r="A7498" i="1"/>
  <c r="B7498" i="1"/>
  <c r="C7498" i="1"/>
  <c r="D7498" i="1"/>
  <c r="E7498" i="1"/>
  <c r="A7499" i="1"/>
  <c r="B7499" i="1"/>
  <c r="C7499" i="1"/>
  <c r="D7499" i="1"/>
  <c r="E7499" i="1"/>
  <c r="A7500" i="1"/>
  <c r="B7500" i="1"/>
  <c r="C7500" i="1"/>
  <c r="D7500" i="1"/>
  <c r="E7500" i="1"/>
  <c r="A7501" i="1"/>
  <c r="B7501" i="1"/>
  <c r="C7501" i="1"/>
  <c r="D7501" i="1"/>
  <c r="E7501" i="1"/>
  <c r="A7502" i="1"/>
  <c r="B7502" i="1"/>
  <c r="C7502" i="1"/>
  <c r="D7502" i="1"/>
  <c r="E7502" i="1"/>
  <c r="A7503" i="1"/>
  <c r="B7503" i="1"/>
  <c r="C7503" i="1"/>
  <c r="D7503" i="1"/>
  <c r="E7503" i="1"/>
  <c r="A7504" i="1"/>
  <c r="B7504" i="1"/>
  <c r="C7504" i="1"/>
  <c r="D7504" i="1"/>
  <c r="E7504" i="1"/>
  <c r="A7505" i="1"/>
  <c r="B7505" i="1"/>
  <c r="C7505" i="1"/>
  <c r="D7505" i="1"/>
  <c r="E7505" i="1"/>
  <c r="A7506" i="1"/>
  <c r="B7506" i="1"/>
  <c r="C7506" i="1"/>
  <c r="D7506" i="1"/>
  <c r="E7506" i="1"/>
  <c r="A7507" i="1"/>
  <c r="B7507" i="1"/>
  <c r="C7507" i="1"/>
  <c r="D7507" i="1"/>
  <c r="E7507" i="1"/>
  <c r="A7508" i="1"/>
  <c r="B7508" i="1"/>
  <c r="C7508" i="1"/>
  <c r="D7508" i="1"/>
  <c r="E7508" i="1"/>
  <c r="A7509" i="1"/>
  <c r="B7509" i="1"/>
  <c r="C7509" i="1"/>
  <c r="D7509" i="1"/>
  <c r="E7509" i="1"/>
  <c r="A7510" i="1"/>
  <c r="B7510" i="1"/>
  <c r="C7510" i="1"/>
  <c r="D7510" i="1"/>
  <c r="E7510" i="1"/>
  <c r="A7511" i="1"/>
  <c r="B7511" i="1"/>
  <c r="C7511" i="1"/>
  <c r="D7511" i="1"/>
  <c r="E7511" i="1"/>
  <c r="A7512" i="1"/>
  <c r="B7512" i="1"/>
  <c r="C7512" i="1"/>
  <c r="D7512" i="1"/>
  <c r="E7512" i="1"/>
  <c r="A7513" i="1"/>
  <c r="B7513" i="1"/>
  <c r="C7513" i="1"/>
  <c r="D7513" i="1"/>
  <c r="E7513" i="1"/>
  <c r="A7514" i="1"/>
  <c r="B7514" i="1"/>
  <c r="C7514" i="1"/>
  <c r="D7514" i="1"/>
  <c r="E7514" i="1"/>
  <c r="A7515" i="1"/>
  <c r="B7515" i="1"/>
  <c r="C7515" i="1"/>
  <c r="D7515" i="1"/>
  <c r="E7515" i="1"/>
  <c r="A7516" i="1"/>
  <c r="B7516" i="1"/>
  <c r="C7516" i="1"/>
  <c r="D7516" i="1"/>
  <c r="E7516" i="1"/>
  <c r="A7517" i="1"/>
  <c r="B7517" i="1"/>
  <c r="C7517" i="1"/>
  <c r="D7517" i="1"/>
  <c r="E7517" i="1"/>
  <c r="A7518" i="1"/>
  <c r="B7518" i="1"/>
  <c r="C7518" i="1"/>
  <c r="D7518" i="1"/>
  <c r="E7518" i="1"/>
  <c r="A7519" i="1"/>
  <c r="B7519" i="1"/>
  <c r="C7519" i="1"/>
  <c r="D7519" i="1"/>
  <c r="E7519" i="1"/>
  <c r="A7520" i="1"/>
  <c r="B7520" i="1"/>
  <c r="C7520" i="1"/>
  <c r="D7520" i="1"/>
  <c r="E7520" i="1"/>
  <c r="A7521" i="1"/>
  <c r="B7521" i="1"/>
  <c r="C7521" i="1"/>
  <c r="D7521" i="1"/>
  <c r="E7521" i="1"/>
  <c r="A7522" i="1"/>
  <c r="B7522" i="1"/>
  <c r="C7522" i="1"/>
  <c r="D7522" i="1"/>
  <c r="E7522" i="1"/>
  <c r="A7523" i="1"/>
  <c r="B7523" i="1"/>
  <c r="C7523" i="1"/>
  <c r="D7523" i="1"/>
  <c r="E7523" i="1"/>
  <c r="A7524" i="1"/>
  <c r="B7524" i="1"/>
  <c r="C7524" i="1"/>
  <c r="D7524" i="1"/>
  <c r="E7524" i="1"/>
  <c r="A7525" i="1"/>
  <c r="B7525" i="1"/>
  <c r="C7525" i="1"/>
  <c r="D7525" i="1"/>
  <c r="E7525" i="1"/>
  <c r="A7526" i="1"/>
  <c r="B7526" i="1"/>
  <c r="C7526" i="1"/>
  <c r="D7526" i="1"/>
  <c r="E7526" i="1"/>
  <c r="A7527" i="1"/>
  <c r="B7527" i="1"/>
  <c r="C7527" i="1"/>
  <c r="D7527" i="1"/>
  <c r="E7527" i="1"/>
  <c r="A7528" i="1"/>
  <c r="B7528" i="1"/>
  <c r="C7528" i="1"/>
  <c r="D7528" i="1"/>
  <c r="E7528" i="1"/>
  <c r="A7529" i="1"/>
  <c r="B7529" i="1"/>
  <c r="C7529" i="1"/>
  <c r="D7529" i="1"/>
  <c r="E7529" i="1"/>
  <c r="A7530" i="1"/>
  <c r="B7530" i="1"/>
  <c r="C7530" i="1"/>
  <c r="D7530" i="1"/>
  <c r="E7530" i="1"/>
  <c r="A7531" i="1"/>
  <c r="B7531" i="1"/>
  <c r="C7531" i="1"/>
  <c r="D7531" i="1"/>
  <c r="E7531" i="1"/>
  <c r="A7532" i="1"/>
  <c r="B7532" i="1"/>
  <c r="C7532" i="1"/>
  <c r="D7532" i="1"/>
  <c r="E7532" i="1"/>
  <c r="A7533" i="1"/>
  <c r="B7533" i="1"/>
  <c r="C7533" i="1"/>
  <c r="D7533" i="1"/>
  <c r="E7533" i="1"/>
  <c r="A7534" i="1"/>
  <c r="B7534" i="1"/>
  <c r="C7534" i="1"/>
  <c r="D7534" i="1"/>
  <c r="E7534" i="1"/>
  <c r="A7535" i="1"/>
  <c r="B7535" i="1"/>
  <c r="C7535" i="1"/>
  <c r="D7535" i="1"/>
  <c r="E7535" i="1"/>
  <c r="A7536" i="1"/>
  <c r="B7536" i="1"/>
  <c r="C7536" i="1"/>
  <c r="D7536" i="1"/>
  <c r="E7536" i="1"/>
  <c r="A7537" i="1"/>
  <c r="B7537" i="1"/>
  <c r="C7537" i="1"/>
  <c r="D7537" i="1"/>
  <c r="E7537" i="1"/>
  <c r="A7538" i="1"/>
  <c r="B7538" i="1"/>
  <c r="C7538" i="1"/>
  <c r="D7538" i="1"/>
  <c r="E7538" i="1"/>
  <c r="A7539" i="1"/>
  <c r="B7539" i="1"/>
  <c r="C7539" i="1"/>
  <c r="D7539" i="1"/>
  <c r="E7539" i="1"/>
  <c r="A7540" i="1"/>
  <c r="B7540" i="1"/>
  <c r="C7540" i="1"/>
  <c r="D7540" i="1"/>
  <c r="E7540" i="1"/>
  <c r="A7541" i="1"/>
  <c r="B7541" i="1"/>
  <c r="C7541" i="1"/>
  <c r="D7541" i="1"/>
  <c r="E7541" i="1"/>
  <c r="A7542" i="1"/>
  <c r="B7542" i="1"/>
  <c r="C7542" i="1"/>
  <c r="D7542" i="1"/>
  <c r="E7542" i="1"/>
  <c r="A7543" i="1"/>
  <c r="B7543" i="1"/>
  <c r="C7543" i="1"/>
  <c r="D7543" i="1"/>
  <c r="E7543" i="1"/>
  <c r="A7544" i="1"/>
  <c r="B7544" i="1"/>
  <c r="C7544" i="1"/>
  <c r="D7544" i="1"/>
  <c r="E7544" i="1"/>
  <c r="A7545" i="1"/>
  <c r="B7545" i="1"/>
  <c r="C7545" i="1"/>
  <c r="D7545" i="1"/>
  <c r="E7545" i="1"/>
  <c r="A7546" i="1"/>
  <c r="B7546" i="1"/>
  <c r="C7546" i="1"/>
  <c r="D7546" i="1"/>
  <c r="E7546" i="1"/>
  <c r="A7547" i="1"/>
  <c r="B7547" i="1"/>
  <c r="C7547" i="1"/>
  <c r="D7547" i="1"/>
  <c r="E7547" i="1"/>
  <c r="A7548" i="1"/>
  <c r="B7548" i="1"/>
  <c r="C7548" i="1"/>
  <c r="D7548" i="1"/>
  <c r="E7548" i="1"/>
  <c r="A7549" i="1"/>
  <c r="B7549" i="1"/>
  <c r="C7549" i="1"/>
  <c r="D7549" i="1"/>
  <c r="E7549" i="1"/>
  <c r="A7550" i="1"/>
  <c r="B7550" i="1"/>
  <c r="C7550" i="1"/>
  <c r="D7550" i="1"/>
  <c r="E7550" i="1"/>
  <c r="A7551" i="1"/>
  <c r="B7551" i="1"/>
  <c r="C7551" i="1"/>
  <c r="D7551" i="1"/>
  <c r="E7551" i="1"/>
  <c r="A7552" i="1"/>
  <c r="B7552" i="1"/>
  <c r="C7552" i="1"/>
  <c r="D7552" i="1"/>
  <c r="E7552" i="1"/>
  <c r="A7553" i="1"/>
  <c r="B7553" i="1"/>
  <c r="C7553" i="1"/>
  <c r="D7553" i="1"/>
  <c r="E7553" i="1"/>
  <c r="A7554" i="1"/>
  <c r="B7554" i="1"/>
  <c r="C7554" i="1"/>
  <c r="D7554" i="1"/>
  <c r="E7554" i="1"/>
  <c r="A7555" i="1"/>
  <c r="B7555" i="1"/>
  <c r="C7555" i="1"/>
  <c r="D7555" i="1"/>
  <c r="E7555" i="1"/>
  <c r="A7556" i="1"/>
  <c r="B7556" i="1"/>
  <c r="C7556" i="1"/>
  <c r="D7556" i="1"/>
  <c r="E7556" i="1"/>
  <c r="A7557" i="1"/>
  <c r="B7557" i="1"/>
  <c r="C7557" i="1"/>
  <c r="D7557" i="1"/>
  <c r="E7557" i="1"/>
  <c r="A7558" i="1"/>
  <c r="B7558" i="1"/>
  <c r="C7558" i="1"/>
  <c r="D7558" i="1"/>
  <c r="E7558" i="1"/>
  <c r="A7559" i="1"/>
  <c r="B7559" i="1"/>
  <c r="C7559" i="1"/>
  <c r="D7559" i="1"/>
  <c r="E7559" i="1"/>
  <c r="A7560" i="1"/>
  <c r="B7560" i="1"/>
  <c r="C7560" i="1"/>
  <c r="D7560" i="1"/>
  <c r="E7560" i="1"/>
  <c r="A7561" i="1"/>
  <c r="B7561" i="1"/>
  <c r="C7561" i="1"/>
  <c r="D7561" i="1"/>
  <c r="E7561" i="1"/>
  <c r="A7562" i="1"/>
  <c r="B7562" i="1"/>
  <c r="C7562" i="1"/>
  <c r="D7562" i="1"/>
  <c r="E7562" i="1"/>
  <c r="A7563" i="1"/>
  <c r="B7563" i="1"/>
  <c r="C7563" i="1"/>
  <c r="D7563" i="1"/>
  <c r="E7563" i="1"/>
  <c r="A7564" i="1"/>
  <c r="B7564" i="1"/>
  <c r="C7564" i="1"/>
  <c r="D7564" i="1"/>
  <c r="E7564" i="1"/>
  <c r="A7565" i="1"/>
  <c r="B7565" i="1"/>
  <c r="C7565" i="1"/>
  <c r="D7565" i="1"/>
  <c r="E7565" i="1"/>
  <c r="A7566" i="1"/>
  <c r="B7566" i="1"/>
  <c r="C7566" i="1"/>
  <c r="D7566" i="1"/>
  <c r="E7566" i="1"/>
  <c r="A7567" i="1"/>
  <c r="B7567" i="1"/>
  <c r="C7567" i="1"/>
  <c r="D7567" i="1"/>
  <c r="E7567" i="1"/>
  <c r="A7568" i="1"/>
  <c r="B7568" i="1"/>
  <c r="C7568" i="1"/>
  <c r="D7568" i="1"/>
  <c r="E7568" i="1"/>
  <c r="A7569" i="1"/>
  <c r="B7569" i="1"/>
  <c r="C7569" i="1"/>
  <c r="D7569" i="1"/>
  <c r="E7569" i="1"/>
  <c r="A7570" i="1"/>
  <c r="B7570" i="1"/>
  <c r="C7570" i="1"/>
  <c r="D7570" i="1"/>
  <c r="E7570" i="1"/>
  <c r="A7571" i="1"/>
  <c r="B7571" i="1"/>
  <c r="C7571" i="1"/>
  <c r="D7571" i="1"/>
  <c r="E7571" i="1"/>
  <c r="A7572" i="1"/>
  <c r="B7572" i="1"/>
  <c r="C7572" i="1"/>
  <c r="D7572" i="1"/>
  <c r="E7572" i="1"/>
  <c r="A7573" i="1"/>
  <c r="B7573" i="1"/>
  <c r="C7573" i="1"/>
  <c r="D7573" i="1"/>
  <c r="E7573" i="1"/>
  <c r="A7574" i="1"/>
  <c r="B7574" i="1"/>
  <c r="C7574" i="1"/>
  <c r="D7574" i="1"/>
  <c r="E7574" i="1"/>
  <c r="A7575" i="1"/>
  <c r="B7575" i="1"/>
  <c r="C7575" i="1"/>
  <c r="D7575" i="1"/>
  <c r="E7575" i="1"/>
  <c r="A7576" i="1"/>
  <c r="B7576" i="1"/>
  <c r="C7576" i="1"/>
  <c r="D7576" i="1"/>
  <c r="E7576" i="1"/>
  <c r="A7577" i="1"/>
  <c r="B7577" i="1"/>
  <c r="C7577" i="1"/>
  <c r="D7577" i="1"/>
  <c r="E7577" i="1"/>
  <c r="A7578" i="1"/>
  <c r="B7578" i="1"/>
  <c r="C7578" i="1"/>
  <c r="D7578" i="1"/>
  <c r="E7578" i="1"/>
  <c r="A7579" i="1"/>
  <c r="B7579" i="1"/>
  <c r="C7579" i="1"/>
  <c r="D7579" i="1"/>
  <c r="E7579" i="1"/>
  <c r="A7580" i="1"/>
  <c r="B7580" i="1"/>
  <c r="C7580" i="1"/>
  <c r="D7580" i="1"/>
  <c r="E7580" i="1"/>
  <c r="A7581" i="1"/>
  <c r="B7581" i="1"/>
  <c r="C7581" i="1"/>
  <c r="D7581" i="1"/>
  <c r="E7581" i="1"/>
  <c r="A7582" i="1"/>
  <c r="B7582" i="1"/>
  <c r="C7582" i="1"/>
  <c r="D7582" i="1"/>
  <c r="E7582" i="1"/>
  <c r="A7583" i="1"/>
  <c r="B7583" i="1"/>
  <c r="C7583" i="1"/>
  <c r="D7583" i="1"/>
  <c r="E7583" i="1"/>
  <c r="A7584" i="1"/>
  <c r="B7584" i="1"/>
  <c r="C7584" i="1"/>
  <c r="D7584" i="1"/>
  <c r="E7584" i="1"/>
  <c r="A7585" i="1"/>
  <c r="B7585" i="1"/>
  <c r="C7585" i="1"/>
  <c r="D7585" i="1"/>
  <c r="E7585" i="1"/>
  <c r="A7586" i="1"/>
  <c r="B7586" i="1"/>
  <c r="C7586" i="1"/>
  <c r="D7586" i="1"/>
  <c r="E7586" i="1"/>
  <c r="A7587" i="1"/>
  <c r="B7587" i="1"/>
  <c r="C7587" i="1"/>
  <c r="D7587" i="1"/>
  <c r="E7587" i="1"/>
  <c r="A7588" i="1"/>
  <c r="B7588" i="1"/>
  <c r="C7588" i="1"/>
  <c r="D7588" i="1"/>
  <c r="E7588" i="1"/>
  <c r="A7589" i="1"/>
  <c r="B7589" i="1"/>
  <c r="C7589" i="1"/>
  <c r="D7589" i="1"/>
  <c r="E7589" i="1"/>
  <c r="A7590" i="1"/>
  <c r="B7590" i="1"/>
  <c r="C7590" i="1"/>
  <c r="D7590" i="1"/>
  <c r="E7590" i="1"/>
  <c r="A7591" i="1"/>
  <c r="B7591" i="1"/>
  <c r="C7591" i="1"/>
  <c r="D7591" i="1"/>
  <c r="E7591" i="1"/>
  <c r="A7592" i="1"/>
  <c r="B7592" i="1"/>
  <c r="C7592" i="1"/>
  <c r="D7592" i="1"/>
  <c r="E7592" i="1"/>
  <c r="A7593" i="1"/>
  <c r="B7593" i="1"/>
  <c r="C7593" i="1"/>
  <c r="D7593" i="1"/>
  <c r="E7593" i="1"/>
  <c r="A7594" i="1"/>
  <c r="B7594" i="1"/>
  <c r="C7594" i="1"/>
  <c r="D7594" i="1"/>
  <c r="E7594" i="1"/>
  <c r="A7595" i="1"/>
  <c r="B7595" i="1"/>
  <c r="C7595" i="1"/>
  <c r="D7595" i="1"/>
  <c r="E7595" i="1"/>
  <c r="A7596" i="1"/>
  <c r="B7596" i="1"/>
  <c r="C7596" i="1"/>
  <c r="D7596" i="1"/>
  <c r="E7596" i="1"/>
  <c r="A7597" i="1"/>
  <c r="B7597" i="1"/>
  <c r="C7597" i="1"/>
  <c r="D7597" i="1"/>
  <c r="E7597" i="1"/>
  <c r="A7598" i="1"/>
  <c r="B7598" i="1"/>
  <c r="C7598" i="1"/>
  <c r="D7598" i="1"/>
  <c r="E7598" i="1"/>
  <c r="A7599" i="1"/>
  <c r="B7599" i="1"/>
  <c r="C7599" i="1"/>
  <c r="D7599" i="1"/>
  <c r="E7599" i="1"/>
  <c r="A7600" i="1"/>
  <c r="B7600" i="1"/>
  <c r="C7600" i="1"/>
  <c r="D7600" i="1"/>
  <c r="E7600" i="1"/>
  <c r="A7601" i="1"/>
  <c r="B7601" i="1"/>
  <c r="C7601" i="1"/>
  <c r="D7601" i="1"/>
  <c r="E7601" i="1"/>
  <c r="A7602" i="1"/>
  <c r="B7602" i="1"/>
  <c r="C7602" i="1"/>
  <c r="D7602" i="1"/>
  <c r="E7602" i="1"/>
  <c r="A7603" i="1"/>
  <c r="B7603" i="1"/>
  <c r="C7603" i="1"/>
  <c r="D7603" i="1"/>
  <c r="E7603" i="1"/>
  <c r="A7604" i="1"/>
  <c r="B7604" i="1"/>
  <c r="C7604" i="1"/>
  <c r="D7604" i="1"/>
  <c r="E7604" i="1"/>
  <c r="A7605" i="1"/>
  <c r="B7605" i="1"/>
  <c r="C7605" i="1"/>
  <c r="D7605" i="1"/>
  <c r="E7605" i="1"/>
  <c r="A7606" i="1"/>
  <c r="B7606" i="1"/>
  <c r="C7606" i="1"/>
  <c r="D7606" i="1"/>
  <c r="E7606" i="1"/>
  <c r="A7607" i="1"/>
  <c r="B7607" i="1"/>
  <c r="C7607" i="1"/>
  <c r="D7607" i="1"/>
  <c r="E7607" i="1"/>
  <c r="A7608" i="1"/>
  <c r="B7608" i="1"/>
  <c r="C7608" i="1"/>
  <c r="D7608" i="1"/>
  <c r="E7608" i="1"/>
  <c r="A7609" i="1"/>
  <c r="B7609" i="1"/>
  <c r="C7609" i="1"/>
  <c r="D7609" i="1"/>
  <c r="E7609" i="1"/>
  <c r="A7610" i="1"/>
  <c r="B7610" i="1"/>
  <c r="C7610" i="1"/>
  <c r="D7610" i="1"/>
  <c r="E7610" i="1"/>
  <c r="A7611" i="1"/>
  <c r="B7611" i="1"/>
  <c r="C7611" i="1"/>
  <c r="D7611" i="1"/>
  <c r="E7611" i="1"/>
  <c r="A7612" i="1"/>
  <c r="B7612" i="1"/>
  <c r="C7612" i="1"/>
  <c r="D7612" i="1"/>
  <c r="E7612" i="1"/>
  <c r="A7613" i="1"/>
  <c r="B7613" i="1"/>
  <c r="C7613" i="1"/>
  <c r="D7613" i="1"/>
  <c r="E7613" i="1"/>
  <c r="A7614" i="1"/>
  <c r="B7614" i="1"/>
  <c r="C7614" i="1"/>
  <c r="D7614" i="1"/>
  <c r="E7614" i="1"/>
  <c r="A7615" i="1"/>
  <c r="B7615" i="1"/>
  <c r="C7615" i="1"/>
  <c r="D7615" i="1"/>
  <c r="E7615" i="1"/>
  <c r="A7616" i="1"/>
  <c r="B7616" i="1"/>
  <c r="C7616" i="1"/>
  <c r="D7616" i="1"/>
  <c r="E7616" i="1"/>
  <c r="A7617" i="1"/>
  <c r="B7617" i="1"/>
  <c r="C7617" i="1"/>
  <c r="D7617" i="1"/>
  <c r="E7617" i="1"/>
  <c r="A7618" i="1"/>
  <c r="B7618" i="1"/>
  <c r="C7618" i="1"/>
  <c r="D7618" i="1"/>
  <c r="E7618" i="1"/>
  <c r="A7619" i="1"/>
  <c r="B7619" i="1"/>
  <c r="C7619" i="1"/>
  <c r="D7619" i="1"/>
  <c r="E7619" i="1"/>
  <c r="A7620" i="1"/>
  <c r="B7620" i="1"/>
  <c r="C7620" i="1"/>
  <c r="D7620" i="1"/>
  <c r="E7620" i="1"/>
  <c r="A7621" i="1"/>
  <c r="B7621" i="1"/>
  <c r="C7621" i="1"/>
  <c r="D7621" i="1"/>
  <c r="E7621" i="1"/>
  <c r="A7622" i="1"/>
  <c r="B7622" i="1"/>
  <c r="C7622" i="1"/>
  <c r="D7622" i="1"/>
  <c r="E7622" i="1"/>
  <c r="A7623" i="1"/>
  <c r="B7623" i="1"/>
  <c r="C7623" i="1"/>
  <c r="D7623" i="1"/>
  <c r="E7623" i="1"/>
  <c r="A7624" i="1"/>
  <c r="B7624" i="1"/>
  <c r="C7624" i="1"/>
  <c r="D7624" i="1"/>
  <c r="E7624" i="1"/>
  <c r="A7625" i="1"/>
  <c r="B7625" i="1"/>
  <c r="C7625" i="1"/>
  <c r="D7625" i="1"/>
  <c r="E7625" i="1"/>
  <c r="A7626" i="1"/>
  <c r="B7626" i="1"/>
  <c r="C7626" i="1"/>
  <c r="D7626" i="1"/>
  <c r="E7626" i="1"/>
  <c r="A7627" i="1"/>
  <c r="B7627" i="1"/>
  <c r="C7627" i="1"/>
  <c r="D7627" i="1"/>
  <c r="E7627" i="1"/>
  <c r="A7628" i="1"/>
  <c r="B7628" i="1"/>
  <c r="C7628" i="1"/>
  <c r="D7628" i="1"/>
  <c r="E7628" i="1"/>
  <c r="A7629" i="1"/>
  <c r="B7629" i="1"/>
  <c r="C7629" i="1"/>
  <c r="D7629" i="1"/>
  <c r="E7629" i="1"/>
  <c r="A7630" i="1"/>
  <c r="B7630" i="1"/>
  <c r="C7630" i="1"/>
  <c r="D7630" i="1"/>
  <c r="E7630" i="1"/>
  <c r="A7631" i="1"/>
  <c r="B7631" i="1"/>
  <c r="C7631" i="1"/>
  <c r="D7631" i="1"/>
  <c r="E7631" i="1"/>
  <c r="A7632" i="1"/>
  <c r="B7632" i="1"/>
  <c r="C7632" i="1"/>
  <c r="D7632" i="1"/>
  <c r="E7632" i="1"/>
  <c r="A7633" i="1"/>
  <c r="B7633" i="1"/>
  <c r="C7633" i="1"/>
  <c r="D7633" i="1"/>
  <c r="E7633" i="1"/>
  <c r="A7634" i="1"/>
  <c r="B7634" i="1"/>
  <c r="C7634" i="1"/>
  <c r="D7634" i="1"/>
  <c r="E7634" i="1"/>
  <c r="A7635" i="1"/>
  <c r="B7635" i="1"/>
  <c r="C7635" i="1"/>
  <c r="D7635" i="1"/>
  <c r="E7635" i="1"/>
  <c r="A7636" i="1"/>
  <c r="B7636" i="1"/>
  <c r="C7636" i="1"/>
  <c r="D7636" i="1"/>
  <c r="E7636" i="1"/>
  <c r="A7637" i="1"/>
  <c r="B7637" i="1"/>
  <c r="C7637" i="1"/>
  <c r="D7637" i="1"/>
  <c r="E7637" i="1"/>
  <c r="A7638" i="1"/>
  <c r="B7638" i="1"/>
  <c r="C7638" i="1"/>
  <c r="D7638" i="1"/>
  <c r="E7638" i="1"/>
  <c r="A7639" i="1"/>
  <c r="B7639" i="1"/>
  <c r="C7639" i="1"/>
  <c r="D7639" i="1"/>
  <c r="E7639" i="1"/>
  <c r="A7640" i="1"/>
  <c r="B7640" i="1"/>
  <c r="C7640" i="1"/>
  <c r="D7640" i="1"/>
  <c r="E7640" i="1"/>
  <c r="A7641" i="1"/>
  <c r="B7641" i="1"/>
  <c r="C7641" i="1"/>
  <c r="D7641" i="1"/>
  <c r="E7641" i="1"/>
  <c r="A7642" i="1"/>
  <c r="B7642" i="1"/>
  <c r="C7642" i="1"/>
  <c r="D7642" i="1"/>
  <c r="E7642" i="1"/>
  <c r="A7643" i="1"/>
  <c r="B7643" i="1"/>
  <c r="C7643" i="1"/>
  <c r="D7643" i="1"/>
  <c r="E7643" i="1"/>
  <c r="A7644" i="1"/>
  <c r="B7644" i="1"/>
  <c r="C7644" i="1"/>
  <c r="D7644" i="1"/>
  <c r="E7644" i="1"/>
  <c r="A7645" i="1"/>
  <c r="B7645" i="1"/>
  <c r="C7645" i="1"/>
  <c r="D7645" i="1"/>
  <c r="E7645" i="1"/>
  <c r="A7646" i="1"/>
  <c r="B7646" i="1"/>
  <c r="C7646" i="1"/>
  <c r="D7646" i="1"/>
  <c r="E7646" i="1"/>
  <c r="A7647" i="1"/>
  <c r="B7647" i="1"/>
  <c r="C7647" i="1"/>
  <c r="D7647" i="1"/>
  <c r="E7647" i="1"/>
  <c r="A7648" i="1"/>
  <c r="B7648" i="1"/>
  <c r="C7648" i="1"/>
  <c r="D7648" i="1"/>
  <c r="E7648" i="1"/>
  <c r="A7649" i="1"/>
  <c r="B7649" i="1"/>
  <c r="C7649" i="1"/>
  <c r="D7649" i="1"/>
  <c r="E7649" i="1"/>
  <c r="A7650" i="1"/>
  <c r="B7650" i="1"/>
  <c r="C7650" i="1"/>
  <c r="D7650" i="1"/>
  <c r="E7650" i="1"/>
  <c r="A7651" i="1"/>
  <c r="B7651" i="1"/>
  <c r="C7651" i="1"/>
  <c r="D7651" i="1"/>
  <c r="E7651" i="1"/>
  <c r="A7652" i="1"/>
  <c r="B7652" i="1"/>
  <c r="C7652" i="1"/>
  <c r="D7652" i="1"/>
  <c r="E7652" i="1"/>
  <c r="A7653" i="1"/>
  <c r="B7653" i="1"/>
  <c r="C7653" i="1"/>
  <c r="D7653" i="1"/>
  <c r="E7653" i="1"/>
  <c r="A7654" i="1"/>
  <c r="B7654" i="1"/>
  <c r="C7654" i="1"/>
  <c r="D7654" i="1"/>
  <c r="E7654" i="1"/>
  <c r="A7655" i="1"/>
  <c r="B7655" i="1"/>
  <c r="C7655" i="1"/>
  <c r="D7655" i="1"/>
  <c r="E7655" i="1"/>
  <c r="A7656" i="1"/>
  <c r="B7656" i="1"/>
  <c r="C7656" i="1"/>
  <c r="D7656" i="1"/>
  <c r="E7656" i="1"/>
  <c r="A7657" i="1"/>
  <c r="B7657" i="1"/>
  <c r="C7657" i="1"/>
  <c r="D7657" i="1"/>
  <c r="E7657" i="1"/>
  <c r="A7658" i="1"/>
  <c r="B7658" i="1"/>
  <c r="C7658" i="1"/>
  <c r="D7658" i="1"/>
  <c r="E7658" i="1"/>
  <c r="A7659" i="1"/>
  <c r="B7659" i="1"/>
  <c r="C7659" i="1"/>
  <c r="D7659" i="1"/>
  <c r="E7659" i="1"/>
  <c r="A7660" i="1"/>
  <c r="B7660" i="1"/>
  <c r="C7660" i="1"/>
  <c r="D7660" i="1"/>
  <c r="E7660" i="1"/>
  <c r="A7661" i="1"/>
  <c r="B7661" i="1"/>
  <c r="C7661" i="1"/>
  <c r="D7661" i="1"/>
  <c r="E7661" i="1"/>
  <c r="A7662" i="1"/>
  <c r="B7662" i="1"/>
  <c r="C7662" i="1"/>
  <c r="D7662" i="1"/>
  <c r="E7662" i="1"/>
  <c r="A7663" i="1"/>
  <c r="B7663" i="1"/>
  <c r="C7663" i="1"/>
  <c r="D7663" i="1"/>
  <c r="E7663" i="1"/>
  <c r="A7664" i="1"/>
  <c r="B7664" i="1"/>
  <c r="C7664" i="1"/>
  <c r="D7664" i="1"/>
  <c r="E7664" i="1"/>
  <c r="A7665" i="1"/>
  <c r="B7665" i="1"/>
  <c r="C7665" i="1"/>
  <c r="D7665" i="1"/>
  <c r="E7665" i="1"/>
  <c r="A7666" i="1"/>
  <c r="B7666" i="1"/>
  <c r="C7666" i="1"/>
  <c r="D7666" i="1"/>
  <c r="E7666" i="1"/>
  <c r="A7667" i="1"/>
  <c r="B7667" i="1"/>
  <c r="C7667" i="1"/>
  <c r="D7667" i="1"/>
  <c r="E7667" i="1"/>
  <c r="A7668" i="1"/>
  <c r="B7668" i="1"/>
  <c r="C7668" i="1"/>
  <c r="D7668" i="1"/>
  <c r="E7668" i="1"/>
  <c r="A7669" i="1"/>
  <c r="B7669" i="1"/>
  <c r="C7669" i="1"/>
  <c r="D7669" i="1"/>
  <c r="E7669" i="1"/>
  <c r="A7670" i="1"/>
  <c r="B7670" i="1"/>
  <c r="C7670" i="1"/>
  <c r="D7670" i="1"/>
  <c r="E7670" i="1"/>
  <c r="A7671" i="1"/>
  <c r="B7671" i="1"/>
  <c r="C7671" i="1"/>
  <c r="D7671" i="1"/>
  <c r="E7671" i="1"/>
  <c r="A7672" i="1"/>
  <c r="B7672" i="1"/>
  <c r="C7672" i="1"/>
  <c r="D7672" i="1"/>
  <c r="E7672" i="1"/>
  <c r="A7673" i="1"/>
  <c r="B7673" i="1"/>
  <c r="C7673" i="1"/>
  <c r="D7673" i="1"/>
  <c r="E7673" i="1"/>
  <c r="A7674" i="1"/>
  <c r="B7674" i="1"/>
  <c r="C7674" i="1"/>
  <c r="D7674" i="1"/>
  <c r="E7674" i="1"/>
  <c r="A7675" i="1"/>
  <c r="B7675" i="1"/>
  <c r="C7675" i="1"/>
  <c r="D7675" i="1"/>
  <c r="E7675" i="1"/>
  <c r="A7676" i="1"/>
  <c r="B7676" i="1"/>
  <c r="C7676" i="1"/>
  <c r="D7676" i="1"/>
  <c r="E7676" i="1"/>
  <c r="A7677" i="1"/>
  <c r="B7677" i="1"/>
  <c r="C7677" i="1"/>
  <c r="D7677" i="1"/>
  <c r="E7677" i="1"/>
  <c r="A7678" i="1"/>
  <c r="B7678" i="1"/>
  <c r="C7678" i="1"/>
  <c r="D7678" i="1"/>
  <c r="E7678" i="1"/>
  <c r="A7679" i="1"/>
  <c r="B7679" i="1"/>
  <c r="C7679" i="1"/>
  <c r="D7679" i="1"/>
  <c r="E7679" i="1"/>
  <c r="A7680" i="1"/>
  <c r="B7680" i="1"/>
  <c r="C7680" i="1"/>
  <c r="D7680" i="1"/>
  <c r="E7680" i="1"/>
  <c r="A7681" i="1"/>
  <c r="B7681" i="1"/>
  <c r="C7681" i="1"/>
  <c r="D7681" i="1"/>
  <c r="E7681" i="1"/>
  <c r="A7682" i="1"/>
  <c r="B7682" i="1"/>
  <c r="C7682" i="1"/>
  <c r="D7682" i="1"/>
  <c r="E7682" i="1"/>
  <c r="A7683" i="1"/>
  <c r="B7683" i="1"/>
  <c r="C7683" i="1"/>
  <c r="D7683" i="1"/>
  <c r="E7683" i="1"/>
  <c r="A7684" i="1"/>
  <c r="B7684" i="1"/>
  <c r="C7684" i="1"/>
  <c r="D7684" i="1"/>
  <c r="E7684" i="1"/>
  <c r="A7685" i="1"/>
  <c r="B7685" i="1"/>
  <c r="C7685" i="1"/>
  <c r="D7685" i="1"/>
  <c r="E7685" i="1"/>
  <c r="A7686" i="1"/>
  <c r="B7686" i="1"/>
  <c r="C7686" i="1"/>
  <c r="D7686" i="1"/>
  <c r="E7686" i="1"/>
  <c r="A7687" i="1"/>
  <c r="B7687" i="1"/>
  <c r="C7687" i="1"/>
  <c r="D7687" i="1"/>
  <c r="E7687" i="1"/>
  <c r="A7688" i="1"/>
  <c r="B7688" i="1"/>
  <c r="C7688" i="1"/>
  <c r="D7688" i="1"/>
  <c r="E7688" i="1"/>
  <c r="A7689" i="1"/>
  <c r="B7689" i="1"/>
  <c r="C7689" i="1"/>
  <c r="D7689" i="1"/>
  <c r="E7689" i="1"/>
  <c r="A7690" i="1"/>
  <c r="B7690" i="1"/>
  <c r="C7690" i="1"/>
  <c r="D7690" i="1"/>
  <c r="E7690" i="1"/>
  <c r="A7691" i="1"/>
  <c r="B7691" i="1"/>
  <c r="C7691" i="1"/>
  <c r="D7691" i="1"/>
  <c r="E7691" i="1"/>
  <c r="A7692" i="1"/>
  <c r="B7692" i="1"/>
  <c r="C7692" i="1"/>
  <c r="D7692" i="1"/>
  <c r="E7692" i="1"/>
  <c r="A7693" i="1"/>
  <c r="B7693" i="1"/>
  <c r="C7693" i="1"/>
  <c r="D7693" i="1"/>
  <c r="E7693" i="1"/>
  <c r="A7694" i="1"/>
  <c r="B7694" i="1"/>
  <c r="C7694" i="1"/>
  <c r="D7694" i="1"/>
  <c r="E7694" i="1"/>
  <c r="A7695" i="1"/>
  <c r="B7695" i="1"/>
  <c r="C7695" i="1"/>
  <c r="D7695" i="1"/>
  <c r="E7695" i="1"/>
  <c r="A7696" i="1"/>
  <c r="B7696" i="1"/>
  <c r="C7696" i="1"/>
  <c r="D7696" i="1"/>
  <c r="E7696" i="1"/>
  <c r="A7697" i="1"/>
  <c r="B7697" i="1"/>
  <c r="C7697" i="1"/>
  <c r="D7697" i="1"/>
  <c r="E7697" i="1"/>
  <c r="A7698" i="1"/>
  <c r="B7698" i="1"/>
  <c r="C7698" i="1"/>
  <c r="D7698" i="1"/>
  <c r="E7698" i="1"/>
  <c r="A7699" i="1"/>
  <c r="B7699" i="1"/>
  <c r="C7699" i="1"/>
  <c r="D7699" i="1"/>
  <c r="E7699" i="1"/>
  <c r="A7700" i="1"/>
  <c r="B7700" i="1"/>
  <c r="C7700" i="1"/>
  <c r="D7700" i="1"/>
  <c r="E7700" i="1"/>
  <c r="A7701" i="1"/>
  <c r="B7701" i="1"/>
  <c r="C7701" i="1"/>
  <c r="D7701" i="1"/>
  <c r="E7701" i="1"/>
  <c r="A7702" i="1"/>
  <c r="B7702" i="1"/>
  <c r="C7702" i="1"/>
  <c r="D7702" i="1"/>
  <c r="E7702" i="1"/>
  <c r="A7703" i="1"/>
  <c r="B7703" i="1"/>
  <c r="C7703" i="1"/>
  <c r="D7703" i="1"/>
  <c r="E7703" i="1"/>
  <c r="A7704" i="1"/>
  <c r="B7704" i="1"/>
  <c r="C7704" i="1"/>
  <c r="D7704" i="1"/>
  <c r="E7704" i="1"/>
  <c r="A7705" i="1"/>
  <c r="B7705" i="1"/>
  <c r="C7705" i="1"/>
  <c r="D7705" i="1"/>
  <c r="E7705" i="1"/>
  <c r="A7706" i="1"/>
  <c r="B7706" i="1"/>
  <c r="C7706" i="1"/>
  <c r="D7706" i="1"/>
  <c r="E7706" i="1"/>
  <c r="A7707" i="1"/>
  <c r="B7707" i="1"/>
  <c r="C7707" i="1"/>
  <c r="D7707" i="1"/>
  <c r="E7707" i="1"/>
  <c r="A7708" i="1"/>
  <c r="B7708" i="1"/>
  <c r="C7708" i="1"/>
  <c r="D7708" i="1"/>
  <c r="E7708" i="1"/>
  <c r="A7709" i="1"/>
  <c r="B7709" i="1"/>
  <c r="C7709" i="1"/>
  <c r="D7709" i="1"/>
  <c r="E7709" i="1"/>
  <c r="A7710" i="1"/>
  <c r="B7710" i="1"/>
  <c r="C7710" i="1"/>
  <c r="D7710" i="1"/>
  <c r="E7710" i="1"/>
  <c r="A7711" i="1"/>
  <c r="B7711" i="1"/>
  <c r="C7711" i="1"/>
  <c r="D7711" i="1"/>
  <c r="E7711" i="1"/>
  <c r="A7712" i="1"/>
  <c r="B7712" i="1"/>
  <c r="C7712" i="1"/>
  <c r="D7712" i="1"/>
  <c r="E7712" i="1"/>
  <c r="A7713" i="1"/>
  <c r="B7713" i="1"/>
  <c r="C7713" i="1"/>
  <c r="D7713" i="1"/>
  <c r="E7713" i="1"/>
  <c r="A7714" i="1"/>
  <c r="B7714" i="1"/>
  <c r="C7714" i="1"/>
  <c r="D7714" i="1"/>
  <c r="E7714" i="1"/>
  <c r="A7715" i="1"/>
  <c r="B7715" i="1"/>
  <c r="C7715" i="1"/>
  <c r="D7715" i="1"/>
  <c r="E7715" i="1"/>
  <c r="A7716" i="1"/>
  <c r="B7716" i="1"/>
  <c r="C7716" i="1"/>
  <c r="D7716" i="1"/>
  <c r="E7716" i="1"/>
  <c r="A7717" i="1"/>
  <c r="B7717" i="1"/>
  <c r="C7717" i="1"/>
  <c r="D7717" i="1"/>
  <c r="E7717" i="1"/>
  <c r="A7718" i="1"/>
  <c r="B7718" i="1"/>
  <c r="C7718" i="1"/>
  <c r="D7718" i="1"/>
  <c r="E7718" i="1"/>
  <c r="A7719" i="1"/>
  <c r="B7719" i="1"/>
  <c r="C7719" i="1"/>
  <c r="D7719" i="1"/>
  <c r="E7719" i="1"/>
  <c r="A7720" i="1"/>
  <c r="B7720" i="1"/>
  <c r="C7720" i="1"/>
  <c r="D7720" i="1"/>
  <c r="E7720" i="1"/>
  <c r="A7721" i="1"/>
  <c r="B7721" i="1"/>
  <c r="C7721" i="1"/>
  <c r="D7721" i="1"/>
  <c r="E7721" i="1"/>
  <c r="A7722" i="1"/>
  <c r="B7722" i="1"/>
  <c r="C7722" i="1"/>
  <c r="D7722" i="1"/>
  <c r="E7722" i="1"/>
  <c r="A7723" i="1"/>
  <c r="B7723" i="1"/>
  <c r="C7723" i="1"/>
  <c r="D7723" i="1"/>
  <c r="E7723" i="1"/>
  <c r="A7724" i="1"/>
  <c r="B7724" i="1"/>
  <c r="C7724" i="1"/>
  <c r="D7724" i="1"/>
  <c r="E7724" i="1"/>
  <c r="A7725" i="1"/>
  <c r="B7725" i="1"/>
  <c r="C7725" i="1"/>
  <c r="D7725" i="1"/>
  <c r="E7725" i="1"/>
  <c r="A7726" i="1"/>
  <c r="B7726" i="1"/>
  <c r="C7726" i="1"/>
  <c r="D7726" i="1"/>
  <c r="E7726" i="1"/>
  <c r="A7727" i="1"/>
  <c r="B7727" i="1"/>
  <c r="C7727" i="1"/>
  <c r="D7727" i="1"/>
  <c r="E7727" i="1"/>
  <c r="A7728" i="1"/>
  <c r="B7728" i="1"/>
  <c r="C7728" i="1"/>
  <c r="D7728" i="1"/>
  <c r="E7728" i="1"/>
  <c r="A7729" i="1"/>
  <c r="B7729" i="1"/>
  <c r="C7729" i="1"/>
  <c r="D7729" i="1"/>
  <c r="E7729" i="1"/>
  <c r="A7730" i="1"/>
  <c r="B7730" i="1"/>
  <c r="C7730" i="1"/>
  <c r="D7730" i="1"/>
  <c r="E7730" i="1"/>
  <c r="A7731" i="1"/>
  <c r="B7731" i="1"/>
  <c r="C7731" i="1"/>
  <c r="D7731" i="1"/>
  <c r="E7731" i="1"/>
  <c r="A7732" i="1"/>
  <c r="B7732" i="1"/>
  <c r="C7732" i="1"/>
  <c r="D7732" i="1"/>
  <c r="E7732" i="1"/>
  <c r="A7733" i="1"/>
  <c r="B7733" i="1"/>
  <c r="C7733" i="1"/>
  <c r="D7733" i="1"/>
  <c r="E7733" i="1"/>
  <c r="A7734" i="1"/>
  <c r="B7734" i="1"/>
  <c r="C7734" i="1"/>
  <c r="D7734" i="1"/>
  <c r="E7734" i="1"/>
  <c r="A7735" i="1"/>
  <c r="B7735" i="1"/>
  <c r="C7735" i="1"/>
  <c r="D7735" i="1"/>
  <c r="E7735" i="1"/>
  <c r="A7736" i="1"/>
  <c r="B7736" i="1"/>
  <c r="C7736" i="1"/>
  <c r="D7736" i="1"/>
  <c r="E7736" i="1"/>
  <c r="A7737" i="1"/>
  <c r="B7737" i="1"/>
  <c r="C7737" i="1"/>
  <c r="D7737" i="1"/>
  <c r="E7737" i="1"/>
  <c r="A7738" i="1"/>
  <c r="B7738" i="1"/>
  <c r="C7738" i="1"/>
  <c r="D7738" i="1"/>
  <c r="E7738" i="1"/>
  <c r="A7739" i="1"/>
  <c r="B7739" i="1"/>
  <c r="C7739" i="1"/>
  <c r="D7739" i="1"/>
  <c r="E7739" i="1"/>
  <c r="A7740" i="1"/>
  <c r="B7740" i="1"/>
  <c r="C7740" i="1"/>
  <c r="D7740" i="1"/>
  <c r="E7740" i="1"/>
  <c r="A7741" i="1"/>
  <c r="B7741" i="1"/>
  <c r="C7741" i="1"/>
  <c r="D7741" i="1"/>
  <c r="E7741" i="1"/>
  <c r="A7742" i="1"/>
  <c r="B7742" i="1"/>
  <c r="C7742" i="1"/>
  <c r="D7742" i="1"/>
  <c r="E7742" i="1"/>
  <c r="A7743" i="1"/>
  <c r="B7743" i="1"/>
  <c r="C7743" i="1"/>
  <c r="D7743" i="1"/>
  <c r="E7743" i="1"/>
  <c r="A7744" i="1"/>
  <c r="B7744" i="1"/>
  <c r="C7744" i="1"/>
  <c r="D7744" i="1"/>
  <c r="E7744" i="1"/>
  <c r="A7745" i="1"/>
  <c r="B7745" i="1"/>
  <c r="C7745" i="1"/>
  <c r="D7745" i="1"/>
  <c r="E7745" i="1"/>
  <c r="A7746" i="1"/>
  <c r="B7746" i="1"/>
  <c r="C7746" i="1"/>
  <c r="D7746" i="1"/>
  <c r="E7746" i="1"/>
  <c r="A7747" i="1"/>
  <c r="B7747" i="1"/>
  <c r="C7747" i="1"/>
  <c r="D7747" i="1"/>
  <c r="E7747" i="1"/>
  <c r="A7748" i="1"/>
  <c r="B7748" i="1"/>
  <c r="C7748" i="1"/>
  <c r="D7748" i="1"/>
  <c r="E7748" i="1"/>
  <c r="A7749" i="1"/>
  <c r="B7749" i="1"/>
  <c r="C7749" i="1"/>
  <c r="D7749" i="1"/>
  <c r="E7749" i="1"/>
  <c r="A7750" i="1"/>
  <c r="B7750" i="1"/>
  <c r="C7750" i="1"/>
  <c r="D7750" i="1"/>
  <c r="E7750" i="1"/>
  <c r="A7751" i="1"/>
  <c r="B7751" i="1"/>
  <c r="C7751" i="1"/>
  <c r="D7751" i="1"/>
  <c r="E7751" i="1"/>
  <c r="A7752" i="1"/>
  <c r="B7752" i="1"/>
  <c r="C7752" i="1"/>
  <c r="D7752" i="1"/>
  <c r="E7752" i="1"/>
  <c r="A7753" i="1"/>
  <c r="B7753" i="1"/>
  <c r="C7753" i="1"/>
  <c r="D7753" i="1"/>
  <c r="E7753" i="1"/>
  <c r="A7754" i="1"/>
  <c r="B7754" i="1"/>
  <c r="C7754" i="1"/>
  <c r="D7754" i="1"/>
  <c r="E7754" i="1"/>
  <c r="A7755" i="1"/>
  <c r="B7755" i="1"/>
  <c r="C7755" i="1"/>
  <c r="D7755" i="1"/>
  <c r="E7755" i="1"/>
  <c r="A7756" i="1"/>
  <c r="B7756" i="1"/>
  <c r="C7756" i="1"/>
  <c r="D7756" i="1"/>
  <c r="E7756" i="1"/>
  <c r="A7757" i="1"/>
  <c r="B7757" i="1"/>
  <c r="C7757" i="1"/>
  <c r="D7757" i="1"/>
  <c r="E7757" i="1"/>
  <c r="A7758" i="1"/>
  <c r="B7758" i="1"/>
  <c r="C7758" i="1"/>
  <c r="D7758" i="1"/>
  <c r="E7758" i="1"/>
  <c r="A7759" i="1"/>
  <c r="B7759" i="1"/>
  <c r="C7759" i="1"/>
  <c r="D7759" i="1"/>
  <c r="E7759" i="1"/>
  <c r="A7760" i="1"/>
  <c r="B7760" i="1"/>
  <c r="C7760" i="1"/>
  <c r="D7760" i="1"/>
  <c r="E7760" i="1"/>
  <c r="A7761" i="1"/>
  <c r="B7761" i="1"/>
  <c r="C7761" i="1"/>
  <c r="D7761" i="1"/>
  <c r="E7761" i="1"/>
  <c r="A7762" i="1"/>
  <c r="B7762" i="1"/>
  <c r="C7762" i="1"/>
  <c r="D7762" i="1"/>
  <c r="E7762" i="1"/>
  <c r="A7763" i="1"/>
  <c r="B7763" i="1"/>
  <c r="C7763" i="1"/>
  <c r="D7763" i="1"/>
  <c r="E7763" i="1"/>
  <c r="A7764" i="1"/>
  <c r="B7764" i="1"/>
  <c r="C7764" i="1"/>
  <c r="D7764" i="1"/>
  <c r="E7764" i="1"/>
  <c r="A7765" i="1"/>
  <c r="B7765" i="1"/>
  <c r="C7765" i="1"/>
  <c r="D7765" i="1"/>
  <c r="E7765" i="1"/>
  <c r="A7766" i="1"/>
  <c r="B7766" i="1"/>
  <c r="C7766" i="1"/>
  <c r="D7766" i="1"/>
  <c r="E7766" i="1"/>
  <c r="A7767" i="1"/>
  <c r="B7767" i="1"/>
  <c r="C7767" i="1"/>
  <c r="D7767" i="1"/>
  <c r="E7767" i="1"/>
  <c r="A7768" i="1"/>
  <c r="B7768" i="1"/>
  <c r="C7768" i="1"/>
  <c r="D7768" i="1"/>
  <c r="E7768" i="1"/>
  <c r="A7769" i="1"/>
  <c r="B7769" i="1"/>
  <c r="C7769" i="1"/>
  <c r="D7769" i="1"/>
  <c r="E7769" i="1"/>
  <c r="A7770" i="1"/>
  <c r="B7770" i="1"/>
  <c r="C7770" i="1"/>
  <c r="D7770" i="1"/>
  <c r="E7770" i="1"/>
  <c r="A7771" i="1"/>
  <c r="B7771" i="1"/>
  <c r="C7771" i="1"/>
  <c r="D7771" i="1"/>
  <c r="E7771" i="1"/>
  <c r="A7772" i="1"/>
  <c r="B7772" i="1"/>
  <c r="C7772" i="1"/>
  <c r="D7772" i="1"/>
  <c r="E7772" i="1"/>
  <c r="A7773" i="1"/>
  <c r="B7773" i="1"/>
  <c r="C7773" i="1"/>
  <c r="D7773" i="1"/>
  <c r="E7773" i="1"/>
  <c r="A7774" i="1"/>
  <c r="B7774" i="1"/>
  <c r="C7774" i="1"/>
  <c r="D7774" i="1"/>
  <c r="E7774" i="1"/>
  <c r="A7775" i="1"/>
  <c r="B7775" i="1"/>
  <c r="C7775" i="1"/>
  <c r="D7775" i="1"/>
  <c r="E7775" i="1"/>
  <c r="A7776" i="1"/>
  <c r="B7776" i="1"/>
  <c r="C7776" i="1"/>
  <c r="D7776" i="1"/>
  <c r="E7776" i="1"/>
  <c r="A7777" i="1"/>
  <c r="B7777" i="1"/>
  <c r="C7777" i="1"/>
  <c r="D7777" i="1"/>
  <c r="E7777" i="1"/>
  <c r="A7778" i="1"/>
  <c r="B7778" i="1"/>
  <c r="C7778" i="1"/>
  <c r="D7778" i="1"/>
  <c r="E7778" i="1"/>
  <c r="A7779" i="1"/>
  <c r="B7779" i="1"/>
  <c r="C7779" i="1"/>
  <c r="D7779" i="1"/>
  <c r="E7779" i="1"/>
  <c r="A7780" i="1"/>
  <c r="B7780" i="1"/>
  <c r="C7780" i="1"/>
  <c r="D7780" i="1"/>
  <c r="E7780" i="1"/>
  <c r="A7781" i="1"/>
  <c r="B7781" i="1"/>
  <c r="C7781" i="1"/>
  <c r="D7781" i="1"/>
  <c r="E7781" i="1"/>
  <c r="A7782" i="1"/>
  <c r="B7782" i="1"/>
  <c r="C7782" i="1"/>
  <c r="D7782" i="1"/>
  <c r="E7782" i="1"/>
  <c r="A7783" i="1"/>
  <c r="B7783" i="1"/>
  <c r="C7783" i="1"/>
  <c r="D7783" i="1"/>
  <c r="E7783" i="1"/>
  <c r="A7784" i="1"/>
  <c r="B7784" i="1"/>
  <c r="C7784" i="1"/>
  <c r="D7784" i="1"/>
  <c r="E7784" i="1"/>
  <c r="A7785" i="1"/>
  <c r="B7785" i="1"/>
  <c r="C7785" i="1"/>
  <c r="D7785" i="1"/>
  <c r="E7785" i="1"/>
  <c r="A7786" i="1"/>
  <c r="B7786" i="1"/>
  <c r="C7786" i="1"/>
  <c r="D7786" i="1"/>
  <c r="E7786" i="1"/>
  <c r="A7787" i="1"/>
  <c r="B7787" i="1"/>
  <c r="C7787" i="1"/>
  <c r="D7787" i="1"/>
  <c r="E7787" i="1"/>
  <c r="A7788" i="1"/>
  <c r="B7788" i="1"/>
  <c r="C7788" i="1"/>
  <c r="D7788" i="1"/>
  <c r="E7788" i="1"/>
  <c r="A7789" i="1"/>
  <c r="B7789" i="1"/>
  <c r="C7789" i="1"/>
  <c r="D7789" i="1"/>
  <c r="E7789" i="1"/>
  <c r="A7790" i="1"/>
  <c r="B7790" i="1"/>
  <c r="C7790" i="1"/>
  <c r="D7790" i="1"/>
  <c r="E7790" i="1"/>
  <c r="A7791" i="1"/>
  <c r="B7791" i="1"/>
  <c r="C7791" i="1"/>
  <c r="D7791" i="1"/>
  <c r="E7791" i="1"/>
  <c r="A7792" i="1"/>
  <c r="B7792" i="1"/>
  <c r="C7792" i="1"/>
  <c r="D7792" i="1"/>
  <c r="E7792" i="1"/>
  <c r="A7793" i="1"/>
  <c r="B7793" i="1"/>
  <c r="C7793" i="1"/>
  <c r="D7793" i="1"/>
  <c r="E7793" i="1"/>
  <c r="A7794" i="1"/>
  <c r="B7794" i="1"/>
  <c r="C7794" i="1"/>
  <c r="D7794" i="1"/>
  <c r="E7794" i="1"/>
  <c r="A7795" i="1"/>
  <c r="B7795" i="1"/>
  <c r="C7795" i="1"/>
  <c r="D7795" i="1"/>
  <c r="E7795" i="1"/>
  <c r="A7796" i="1"/>
  <c r="B7796" i="1"/>
  <c r="C7796" i="1"/>
  <c r="D7796" i="1"/>
  <c r="E7796" i="1"/>
  <c r="A7797" i="1"/>
  <c r="B7797" i="1"/>
  <c r="C7797" i="1"/>
  <c r="D7797" i="1"/>
  <c r="E7797" i="1"/>
  <c r="A7798" i="1"/>
  <c r="B7798" i="1"/>
  <c r="C7798" i="1"/>
  <c r="D7798" i="1"/>
  <c r="E7798" i="1"/>
  <c r="A7799" i="1"/>
  <c r="B7799" i="1"/>
  <c r="C7799" i="1"/>
  <c r="D7799" i="1"/>
  <c r="E7799" i="1"/>
  <c r="A7800" i="1"/>
  <c r="B7800" i="1"/>
  <c r="C7800" i="1"/>
  <c r="D7800" i="1"/>
  <c r="E7800" i="1"/>
  <c r="A7801" i="1"/>
  <c r="B7801" i="1"/>
  <c r="C7801" i="1"/>
  <c r="D7801" i="1"/>
  <c r="E7801" i="1"/>
  <c r="A7802" i="1"/>
  <c r="B7802" i="1"/>
  <c r="C7802" i="1"/>
  <c r="D7802" i="1"/>
  <c r="E7802" i="1"/>
  <c r="A7803" i="1"/>
  <c r="B7803" i="1"/>
  <c r="C7803" i="1"/>
  <c r="D7803" i="1"/>
  <c r="E7803" i="1"/>
  <c r="A7804" i="1"/>
  <c r="B7804" i="1"/>
  <c r="C7804" i="1"/>
  <c r="D7804" i="1"/>
  <c r="E7804" i="1"/>
  <c r="A7805" i="1"/>
  <c r="B7805" i="1"/>
  <c r="C7805" i="1"/>
  <c r="D7805" i="1"/>
  <c r="E7805" i="1"/>
  <c r="A7806" i="1"/>
  <c r="B7806" i="1"/>
  <c r="C7806" i="1"/>
  <c r="D7806" i="1"/>
  <c r="E7806" i="1"/>
  <c r="A7807" i="1"/>
  <c r="B7807" i="1"/>
  <c r="C7807" i="1"/>
  <c r="D7807" i="1"/>
  <c r="E7807" i="1"/>
  <c r="A7808" i="1"/>
  <c r="B7808" i="1"/>
  <c r="C7808" i="1"/>
  <c r="D7808" i="1"/>
  <c r="E7808" i="1"/>
  <c r="A7809" i="1"/>
  <c r="B7809" i="1"/>
  <c r="C7809" i="1"/>
  <c r="D7809" i="1"/>
  <c r="E7809" i="1"/>
  <c r="A7810" i="1"/>
  <c r="B7810" i="1"/>
  <c r="C7810" i="1"/>
  <c r="D7810" i="1"/>
  <c r="E7810" i="1"/>
  <c r="A7811" i="1"/>
  <c r="B7811" i="1"/>
  <c r="C7811" i="1"/>
  <c r="D7811" i="1"/>
  <c r="E7811" i="1"/>
  <c r="A7812" i="1"/>
  <c r="B7812" i="1"/>
  <c r="C7812" i="1"/>
  <c r="D7812" i="1"/>
  <c r="E7812" i="1"/>
  <c r="A7813" i="1"/>
  <c r="B7813" i="1"/>
  <c r="C7813" i="1"/>
  <c r="D7813" i="1"/>
  <c r="E7813" i="1"/>
  <c r="A7814" i="1"/>
  <c r="B7814" i="1"/>
  <c r="C7814" i="1"/>
  <c r="D7814" i="1"/>
  <c r="E7814" i="1"/>
  <c r="A7815" i="1"/>
  <c r="B7815" i="1"/>
  <c r="C7815" i="1"/>
  <c r="D7815" i="1"/>
  <c r="E7815" i="1"/>
  <c r="A7816" i="1"/>
  <c r="B7816" i="1"/>
  <c r="C7816" i="1"/>
  <c r="D7816" i="1"/>
  <c r="E7816" i="1"/>
  <c r="A7817" i="1"/>
  <c r="B7817" i="1"/>
  <c r="C7817" i="1"/>
  <c r="D7817" i="1"/>
  <c r="E7817" i="1"/>
  <c r="A7818" i="1"/>
  <c r="B7818" i="1"/>
  <c r="C7818" i="1"/>
  <c r="D7818" i="1"/>
  <c r="E7818" i="1"/>
  <c r="A7819" i="1"/>
  <c r="B7819" i="1"/>
  <c r="C7819" i="1"/>
  <c r="D7819" i="1"/>
  <c r="E7819" i="1"/>
  <c r="A7820" i="1"/>
  <c r="B7820" i="1"/>
  <c r="C7820" i="1"/>
  <c r="D7820" i="1"/>
  <c r="E7820" i="1"/>
  <c r="A7821" i="1"/>
  <c r="B7821" i="1"/>
  <c r="C7821" i="1"/>
  <c r="D7821" i="1"/>
  <c r="E7821" i="1"/>
  <c r="A7822" i="1"/>
  <c r="B7822" i="1"/>
  <c r="C7822" i="1"/>
  <c r="D7822" i="1"/>
  <c r="E7822" i="1"/>
  <c r="A7823" i="1"/>
  <c r="B7823" i="1"/>
  <c r="C7823" i="1"/>
  <c r="D7823" i="1"/>
  <c r="E7823" i="1"/>
  <c r="A7824" i="1"/>
  <c r="B7824" i="1"/>
  <c r="C7824" i="1"/>
  <c r="D7824" i="1"/>
  <c r="E7824" i="1"/>
  <c r="A7825" i="1"/>
  <c r="B7825" i="1"/>
  <c r="C7825" i="1"/>
  <c r="D7825" i="1"/>
  <c r="E7825" i="1"/>
  <c r="A7826" i="1"/>
  <c r="B7826" i="1"/>
  <c r="C7826" i="1"/>
  <c r="D7826" i="1"/>
  <c r="E7826" i="1"/>
  <c r="A7827" i="1"/>
  <c r="B7827" i="1"/>
  <c r="C7827" i="1"/>
  <c r="D7827" i="1"/>
  <c r="E7827" i="1"/>
  <c r="A7828" i="1"/>
  <c r="B7828" i="1"/>
  <c r="C7828" i="1"/>
  <c r="D7828" i="1"/>
  <c r="E7828" i="1"/>
  <c r="A7829" i="1"/>
  <c r="B7829" i="1"/>
  <c r="C7829" i="1"/>
  <c r="D7829" i="1"/>
  <c r="E7829" i="1"/>
  <c r="A7830" i="1"/>
  <c r="B7830" i="1"/>
  <c r="C7830" i="1"/>
  <c r="D7830" i="1"/>
  <c r="E7830" i="1"/>
  <c r="A7831" i="1"/>
  <c r="B7831" i="1"/>
  <c r="C7831" i="1"/>
  <c r="D7831" i="1"/>
  <c r="E7831" i="1"/>
  <c r="A7832" i="1"/>
  <c r="B7832" i="1"/>
  <c r="C7832" i="1"/>
  <c r="D7832" i="1"/>
  <c r="E7832" i="1"/>
  <c r="A7833" i="1"/>
  <c r="B7833" i="1"/>
  <c r="C7833" i="1"/>
  <c r="D7833" i="1"/>
  <c r="E7833" i="1"/>
  <c r="A7834" i="1"/>
  <c r="B7834" i="1"/>
  <c r="C7834" i="1"/>
  <c r="D7834" i="1"/>
  <c r="E7834" i="1"/>
  <c r="A7835" i="1"/>
  <c r="B7835" i="1"/>
  <c r="C7835" i="1"/>
  <c r="D7835" i="1"/>
  <c r="E7835" i="1"/>
  <c r="A7836" i="1"/>
  <c r="B7836" i="1"/>
  <c r="C7836" i="1"/>
  <c r="D7836" i="1"/>
  <c r="E7836" i="1"/>
  <c r="A7837" i="1"/>
  <c r="B7837" i="1"/>
  <c r="C7837" i="1"/>
  <c r="D7837" i="1"/>
  <c r="E7837" i="1"/>
  <c r="A7838" i="1"/>
  <c r="B7838" i="1"/>
  <c r="C7838" i="1"/>
  <c r="D7838" i="1"/>
  <c r="E7838" i="1"/>
  <c r="A7839" i="1"/>
  <c r="B7839" i="1"/>
  <c r="C7839" i="1"/>
  <c r="D7839" i="1"/>
  <c r="E7839" i="1"/>
  <c r="A7840" i="1"/>
  <c r="B7840" i="1"/>
  <c r="C7840" i="1"/>
  <c r="D7840" i="1"/>
  <c r="E7840" i="1"/>
  <c r="A7841" i="1"/>
  <c r="B7841" i="1"/>
  <c r="C7841" i="1"/>
  <c r="D7841" i="1"/>
  <c r="E7841" i="1"/>
  <c r="A7842" i="1"/>
  <c r="B7842" i="1"/>
  <c r="C7842" i="1"/>
  <c r="D7842" i="1"/>
  <c r="E7842" i="1"/>
  <c r="A7843" i="1"/>
  <c r="B7843" i="1"/>
  <c r="C7843" i="1"/>
  <c r="D7843" i="1"/>
  <c r="E7843" i="1"/>
  <c r="A7844" i="1"/>
  <c r="B7844" i="1"/>
  <c r="C7844" i="1"/>
  <c r="D7844" i="1"/>
  <c r="E7844" i="1"/>
  <c r="A7845" i="1"/>
  <c r="B7845" i="1"/>
  <c r="C7845" i="1"/>
  <c r="D7845" i="1"/>
  <c r="E7845" i="1"/>
  <c r="A7846" i="1"/>
  <c r="B7846" i="1"/>
  <c r="C7846" i="1"/>
  <c r="D7846" i="1"/>
  <c r="E7846" i="1"/>
  <c r="A7847" i="1"/>
  <c r="B7847" i="1"/>
  <c r="C7847" i="1"/>
  <c r="D7847" i="1"/>
  <c r="E7847" i="1"/>
  <c r="A7848" i="1"/>
  <c r="B7848" i="1"/>
  <c r="C7848" i="1"/>
  <c r="D7848" i="1"/>
  <c r="E7848" i="1"/>
  <c r="A7849" i="1"/>
  <c r="B7849" i="1"/>
  <c r="C7849" i="1"/>
  <c r="D7849" i="1"/>
  <c r="E7849" i="1"/>
  <c r="A7850" i="1"/>
  <c r="B7850" i="1"/>
  <c r="C7850" i="1"/>
  <c r="D7850" i="1"/>
  <c r="E7850" i="1"/>
  <c r="A7851" i="1"/>
  <c r="B7851" i="1"/>
  <c r="C7851" i="1"/>
  <c r="D7851" i="1"/>
  <c r="E7851" i="1"/>
  <c r="A7852" i="1"/>
  <c r="B7852" i="1"/>
  <c r="C7852" i="1"/>
  <c r="D7852" i="1"/>
  <c r="E7852" i="1"/>
  <c r="A7853" i="1"/>
  <c r="B7853" i="1"/>
  <c r="C7853" i="1"/>
  <c r="D7853" i="1"/>
  <c r="E7853" i="1"/>
  <c r="A7854" i="1"/>
  <c r="B7854" i="1"/>
  <c r="C7854" i="1"/>
  <c r="D7854" i="1"/>
  <c r="E7854" i="1"/>
  <c r="A7855" i="1"/>
  <c r="B7855" i="1"/>
  <c r="C7855" i="1"/>
  <c r="D7855" i="1"/>
  <c r="E7855" i="1"/>
  <c r="A7856" i="1"/>
  <c r="B7856" i="1"/>
  <c r="C7856" i="1"/>
  <c r="D7856" i="1"/>
  <c r="E7856" i="1"/>
  <c r="A7857" i="1"/>
  <c r="B7857" i="1"/>
  <c r="C7857" i="1"/>
  <c r="D7857" i="1"/>
  <c r="E7857" i="1"/>
  <c r="A7858" i="1"/>
  <c r="B7858" i="1"/>
  <c r="C7858" i="1"/>
  <c r="D7858" i="1"/>
  <c r="E7858" i="1"/>
  <c r="A7859" i="1"/>
  <c r="B7859" i="1"/>
  <c r="C7859" i="1"/>
  <c r="D7859" i="1"/>
  <c r="E7859" i="1"/>
  <c r="A7860" i="1"/>
  <c r="B7860" i="1"/>
  <c r="C7860" i="1"/>
  <c r="D7860" i="1"/>
  <c r="E7860" i="1"/>
  <c r="A7861" i="1"/>
  <c r="B7861" i="1"/>
  <c r="C7861" i="1"/>
  <c r="D7861" i="1"/>
  <c r="E7861" i="1"/>
  <c r="A7862" i="1"/>
  <c r="B7862" i="1"/>
  <c r="C7862" i="1"/>
  <c r="D7862" i="1"/>
  <c r="E7862" i="1"/>
  <c r="A7863" i="1"/>
  <c r="B7863" i="1"/>
  <c r="C7863" i="1"/>
  <c r="D7863" i="1"/>
  <c r="E7863" i="1"/>
  <c r="A7864" i="1"/>
  <c r="B7864" i="1"/>
  <c r="C7864" i="1"/>
  <c r="D7864" i="1"/>
  <c r="E7864" i="1"/>
  <c r="A7865" i="1"/>
  <c r="B7865" i="1"/>
  <c r="C7865" i="1"/>
  <c r="D7865" i="1"/>
  <c r="E7865" i="1"/>
  <c r="A7866" i="1"/>
  <c r="B7866" i="1"/>
  <c r="C7866" i="1"/>
  <c r="D7866" i="1"/>
  <c r="E7866" i="1"/>
  <c r="A7867" i="1"/>
  <c r="B7867" i="1"/>
  <c r="C7867" i="1"/>
  <c r="D7867" i="1"/>
  <c r="E7867" i="1"/>
  <c r="A7868" i="1"/>
  <c r="B7868" i="1"/>
  <c r="C7868" i="1"/>
  <c r="D7868" i="1"/>
  <c r="E7868" i="1"/>
  <c r="A7869" i="1"/>
  <c r="B7869" i="1"/>
  <c r="C7869" i="1"/>
  <c r="D7869" i="1"/>
  <c r="E7869" i="1"/>
  <c r="A7870" i="1"/>
  <c r="B7870" i="1"/>
  <c r="C7870" i="1"/>
  <c r="D7870" i="1"/>
  <c r="E7870" i="1"/>
  <c r="A7871" i="1"/>
  <c r="B7871" i="1"/>
  <c r="C7871" i="1"/>
  <c r="D7871" i="1"/>
  <c r="E7871" i="1"/>
  <c r="A7872" i="1"/>
  <c r="B7872" i="1"/>
  <c r="C7872" i="1"/>
  <c r="D7872" i="1"/>
  <c r="E7872" i="1"/>
  <c r="A7873" i="1"/>
  <c r="B7873" i="1"/>
  <c r="C7873" i="1"/>
  <c r="D7873" i="1"/>
  <c r="E7873" i="1"/>
  <c r="A7874" i="1"/>
  <c r="B7874" i="1"/>
  <c r="C7874" i="1"/>
  <c r="D7874" i="1"/>
  <c r="E7874" i="1"/>
  <c r="A7875" i="1"/>
  <c r="B7875" i="1"/>
  <c r="C7875" i="1"/>
  <c r="D7875" i="1"/>
  <c r="E7875" i="1"/>
  <c r="A7876" i="1"/>
  <c r="B7876" i="1"/>
  <c r="C7876" i="1"/>
  <c r="D7876" i="1"/>
  <c r="E7876" i="1"/>
  <c r="A7877" i="1"/>
  <c r="B7877" i="1"/>
  <c r="C7877" i="1"/>
  <c r="D7877" i="1"/>
  <c r="E7877" i="1"/>
  <c r="A7878" i="1"/>
  <c r="B7878" i="1"/>
  <c r="C7878" i="1"/>
  <c r="D7878" i="1"/>
  <c r="E7878" i="1"/>
  <c r="A7879" i="1"/>
  <c r="B7879" i="1"/>
  <c r="C7879" i="1"/>
  <c r="D7879" i="1"/>
  <c r="E7879" i="1"/>
  <c r="A7880" i="1"/>
  <c r="B7880" i="1"/>
  <c r="C7880" i="1"/>
  <c r="D7880" i="1"/>
  <c r="E7880" i="1"/>
  <c r="A7881" i="1"/>
  <c r="B7881" i="1"/>
  <c r="C7881" i="1"/>
  <c r="D7881" i="1"/>
  <c r="E7881" i="1"/>
  <c r="A7882" i="1"/>
  <c r="B7882" i="1"/>
  <c r="C7882" i="1"/>
  <c r="D7882" i="1"/>
  <c r="E7882" i="1"/>
  <c r="A7883" i="1"/>
  <c r="B7883" i="1"/>
  <c r="C7883" i="1"/>
  <c r="D7883" i="1"/>
  <c r="E7883" i="1"/>
  <c r="A7884" i="1"/>
  <c r="B7884" i="1"/>
  <c r="C7884" i="1"/>
  <c r="D7884" i="1"/>
  <c r="E7884" i="1"/>
  <c r="A7885" i="1"/>
  <c r="B7885" i="1"/>
  <c r="C7885" i="1"/>
  <c r="D7885" i="1"/>
  <c r="E7885" i="1"/>
  <c r="A7886" i="1"/>
  <c r="B7886" i="1"/>
  <c r="C7886" i="1"/>
  <c r="D7886" i="1"/>
  <c r="E7886" i="1"/>
  <c r="A7887" i="1"/>
  <c r="B7887" i="1"/>
  <c r="C7887" i="1"/>
  <c r="D7887" i="1"/>
  <c r="E7887" i="1"/>
  <c r="A7888" i="1"/>
  <c r="B7888" i="1"/>
  <c r="C7888" i="1"/>
  <c r="D7888" i="1"/>
  <c r="E7888" i="1"/>
  <c r="A7889" i="1"/>
  <c r="B7889" i="1"/>
  <c r="C7889" i="1"/>
  <c r="D7889" i="1"/>
  <c r="E7889" i="1"/>
  <c r="A7890" i="1"/>
  <c r="B7890" i="1"/>
  <c r="C7890" i="1"/>
  <c r="D7890" i="1"/>
  <c r="E7890" i="1"/>
  <c r="A7891" i="1"/>
  <c r="B7891" i="1"/>
  <c r="C7891" i="1"/>
  <c r="D7891" i="1"/>
  <c r="E7891" i="1"/>
  <c r="A7892" i="1"/>
  <c r="B7892" i="1"/>
  <c r="C7892" i="1"/>
  <c r="D7892" i="1"/>
  <c r="E7892" i="1"/>
  <c r="A7893" i="1"/>
  <c r="B7893" i="1"/>
  <c r="C7893" i="1"/>
  <c r="D7893" i="1"/>
  <c r="E7893" i="1"/>
  <c r="A7894" i="1"/>
  <c r="B7894" i="1"/>
  <c r="C7894" i="1"/>
  <c r="D7894" i="1"/>
  <c r="E7894" i="1"/>
  <c r="A7895" i="1"/>
  <c r="B7895" i="1"/>
  <c r="C7895" i="1"/>
  <c r="D7895" i="1"/>
  <c r="E7895" i="1"/>
  <c r="A7896" i="1"/>
  <c r="B7896" i="1"/>
  <c r="C7896" i="1"/>
  <c r="D7896" i="1"/>
  <c r="E7896" i="1"/>
  <c r="A7897" i="1"/>
  <c r="B7897" i="1"/>
  <c r="C7897" i="1"/>
  <c r="D7897" i="1"/>
  <c r="E7897" i="1"/>
  <c r="A7898" i="1"/>
  <c r="B7898" i="1"/>
  <c r="C7898" i="1"/>
  <c r="D7898" i="1"/>
  <c r="E7898" i="1"/>
  <c r="A7899" i="1"/>
  <c r="B7899" i="1"/>
  <c r="C7899" i="1"/>
  <c r="D7899" i="1"/>
  <c r="E7899" i="1"/>
  <c r="A7900" i="1"/>
  <c r="B7900" i="1"/>
  <c r="C7900" i="1"/>
  <c r="D7900" i="1"/>
  <c r="E7900" i="1"/>
  <c r="A7901" i="1"/>
  <c r="B7901" i="1"/>
  <c r="C7901" i="1"/>
  <c r="D7901" i="1"/>
  <c r="E7901" i="1"/>
  <c r="A7902" i="1"/>
  <c r="B7902" i="1"/>
  <c r="C7902" i="1"/>
  <c r="D7902" i="1"/>
  <c r="E7902" i="1"/>
  <c r="A7903" i="1"/>
  <c r="B7903" i="1"/>
  <c r="C7903" i="1"/>
  <c r="D7903" i="1"/>
  <c r="E7903" i="1"/>
  <c r="A7904" i="1"/>
  <c r="B7904" i="1"/>
  <c r="C7904" i="1"/>
  <c r="D7904" i="1"/>
  <c r="E7904" i="1"/>
  <c r="A7905" i="1"/>
  <c r="B7905" i="1"/>
  <c r="C7905" i="1"/>
  <c r="D7905" i="1"/>
  <c r="E7905" i="1"/>
  <c r="A7906" i="1"/>
  <c r="B7906" i="1"/>
  <c r="C7906" i="1"/>
  <c r="D7906" i="1"/>
  <c r="E7906" i="1"/>
  <c r="A7907" i="1"/>
  <c r="B7907" i="1"/>
  <c r="C7907" i="1"/>
  <c r="D7907" i="1"/>
  <c r="E7907" i="1"/>
  <c r="A7908" i="1"/>
  <c r="B7908" i="1"/>
  <c r="C7908" i="1"/>
  <c r="D7908" i="1"/>
  <c r="E7908" i="1"/>
  <c r="A7909" i="1"/>
  <c r="B7909" i="1"/>
  <c r="C7909" i="1"/>
  <c r="D7909" i="1"/>
  <c r="E7909" i="1"/>
  <c r="A7910" i="1"/>
  <c r="B7910" i="1"/>
  <c r="C7910" i="1"/>
  <c r="D7910" i="1"/>
  <c r="E7910" i="1"/>
  <c r="A7911" i="1"/>
  <c r="B7911" i="1"/>
  <c r="C7911" i="1"/>
  <c r="D7911" i="1"/>
  <c r="E7911" i="1"/>
  <c r="A7912" i="1"/>
  <c r="B7912" i="1"/>
  <c r="C7912" i="1"/>
  <c r="D7912" i="1"/>
  <c r="E7912" i="1"/>
  <c r="A7913" i="1"/>
  <c r="B7913" i="1"/>
  <c r="C7913" i="1"/>
  <c r="D7913" i="1"/>
  <c r="E7913" i="1"/>
  <c r="A7914" i="1"/>
  <c r="B7914" i="1"/>
  <c r="C7914" i="1"/>
  <c r="D7914" i="1"/>
  <c r="E7914" i="1"/>
  <c r="A7915" i="1"/>
  <c r="B7915" i="1"/>
  <c r="C7915" i="1"/>
  <c r="D7915" i="1"/>
  <c r="E7915" i="1"/>
  <c r="A7916" i="1"/>
  <c r="B7916" i="1"/>
  <c r="C7916" i="1"/>
  <c r="D7916" i="1"/>
  <c r="E7916" i="1"/>
  <c r="A7917" i="1"/>
  <c r="B7917" i="1"/>
  <c r="C7917" i="1"/>
  <c r="D7917" i="1"/>
  <c r="E7917" i="1"/>
  <c r="A7918" i="1"/>
  <c r="B7918" i="1"/>
  <c r="C7918" i="1"/>
  <c r="D7918" i="1"/>
  <c r="E7918" i="1"/>
  <c r="A7919" i="1"/>
  <c r="B7919" i="1"/>
  <c r="C7919" i="1"/>
  <c r="D7919" i="1"/>
  <c r="E7919" i="1"/>
  <c r="A7920" i="1"/>
  <c r="B7920" i="1"/>
  <c r="C7920" i="1"/>
  <c r="D7920" i="1"/>
  <c r="E7920" i="1"/>
  <c r="A7921" i="1"/>
  <c r="B7921" i="1"/>
  <c r="C7921" i="1"/>
  <c r="D7921" i="1"/>
  <c r="E7921" i="1"/>
  <c r="A7922" i="1"/>
  <c r="B7922" i="1"/>
  <c r="C7922" i="1"/>
  <c r="D7922" i="1"/>
  <c r="E7922" i="1"/>
  <c r="A7923" i="1"/>
  <c r="B7923" i="1"/>
  <c r="C7923" i="1"/>
  <c r="D7923" i="1"/>
  <c r="E7923" i="1"/>
  <c r="A7924" i="1"/>
  <c r="B7924" i="1"/>
  <c r="C7924" i="1"/>
  <c r="D7924" i="1"/>
  <c r="E7924" i="1"/>
  <c r="A7925" i="1"/>
  <c r="B7925" i="1"/>
  <c r="C7925" i="1"/>
  <c r="D7925" i="1"/>
  <c r="E7925" i="1"/>
  <c r="A7926" i="1"/>
  <c r="B7926" i="1"/>
  <c r="C7926" i="1"/>
  <c r="D7926" i="1"/>
  <c r="E7926" i="1"/>
  <c r="A7927" i="1"/>
  <c r="B7927" i="1"/>
  <c r="C7927" i="1"/>
  <c r="D7927" i="1"/>
  <c r="E7927" i="1"/>
  <c r="A7928" i="1"/>
  <c r="B7928" i="1"/>
  <c r="C7928" i="1"/>
  <c r="D7928" i="1"/>
  <c r="E7928" i="1"/>
  <c r="A7929" i="1"/>
  <c r="B7929" i="1"/>
  <c r="C7929" i="1"/>
  <c r="D7929" i="1"/>
  <c r="E7929" i="1"/>
  <c r="A7930" i="1"/>
  <c r="B7930" i="1"/>
  <c r="C7930" i="1"/>
  <c r="D7930" i="1"/>
  <c r="E7930" i="1"/>
  <c r="A7931" i="1"/>
  <c r="B7931" i="1"/>
  <c r="C7931" i="1"/>
  <c r="D7931" i="1"/>
  <c r="E7931" i="1"/>
  <c r="A7932" i="1"/>
  <c r="B7932" i="1"/>
  <c r="C7932" i="1"/>
  <c r="D7932" i="1"/>
  <c r="E7932" i="1"/>
  <c r="A7933" i="1"/>
  <c r="B7933" i="1"/>
  <c r="C7933" i="1"/>
  <c r="D7933" i="1"/>
  <c r="E7933" i="1"/>
  <c r="A7934" i="1"/>
  <c r="B7934" i="1"/>
  <c r="C7934" i="1"/>
  <c r="D7934" i="1"/>
  <c r="E7934" i="1"/>
  <c r="A7935" i="1"/>
  <c r="B7935" i="1"/>
  <c r="C7935" i="1"/>
  <c r="D7935" i="1"/>
  <c r="E7935" i="1"/>
  <c r="A7936" i="1"/>
  <c r="B7936" i="1"/>
  <c r="C7936" i="1"/>
  <c r="D7936" i="1"/>
  <c r="E7936" i="1"/>
  <c r="A7937" i="1"/>
  <c r="B7937" i="1"/>
  <c r="C7937" i="1"/>
  <c r="D7937" i="1"/>
  <c r="E7937" i="1"/>
  <c r="A7938" i="1"/>
  <c r="B7938" i="1"/>
  <c r="C7938" i="1"/>
  <c r="D7938" i="1"/>
  <c r="E7938" i="1"/>
  <c r="A7939" i="1"/>
  <c r="B7939" i="1"/>
  <c r="C7939" i="1"/>
  <c r="D7939" i="1"/>
  <c r="E7939" i="1"/>
  <c r="A7940" i="1"/>
  <c r="B7940" i="1"/>
  <c r="C7940" i="1"/>
  <c r="D7940" i="1"/>
  <c r="E7940" i="1"/>
  <c r="A7941" i="1"/>
  <c r="B7941" i="1"/>
  <c r="C7941" i="1"/>
  <c r="D7941" i="1"/>
  <c r="E7941" i="1"/>
  <c r="A7942" i="1"/>
  <c r="B7942" i="1"/>
  <c r="C7942" i="1"/>
  <c r="D7942" i="1"/>
  <c r="E7942" i="1"/>
  <c r="A7943" i="1"/>
  <c r="B7943" i="1"/>
  <c r="C7943" i="1"/>
  <c r="D7943" i="1"/>
  <c r="E7943" i="1"/>
  <c r="A7944" i="1"/>
  <c r="B7944" i="1"/>
  <c r="C7944" i="1"/>
  <c r="D7944" i="1"/>
  <c r="E7944" i="1"/>
  <c r="A7945" i="1"/>
  <c r="B7945" i="1"/>
  <c r="C7945" i="1"/>
  <c r="D7945" i="1"/>
  <c r="E7945" i="1"/>
  <c r="A7946" i="1"/>
  <c r="B7946" i="1"/>
  <c r="C7946" i="1"/>
  <c r="D7946" i="1"/>
  <c r="E7946" i="1"/>
  <c r="A7947" i="1"/>
  <c r="B7947" i="1"/>
  <c r="C7947" i="1"/>
  <c r="D7947" i="1"/>
  <c r="E7947" i="1"/>
  <c r="A7948" i="1"/>
  <c r="B7948" i="1"/>
  <c r="C7948" i="1"/>
  <c r="D7948" i="1"/>
  <c r="E7948" i="1"/>
  <c r="A7949" i="1"/>
  <c r="B7949" i="1"/>
  <c r="C7949" i="1"/>
  <c r="D7949" i="1"/>
  <c r="E7949" i="1"/>
  <c r="A7950" i="1"/>
  <c r="B7950" i="1"/>
  <c r="C7950" i="1"/>
  <c r="D7950" i="1"/>
  <c r="E7950" i="1"/>
  <c r="A7951" i="1"/>
  <c r="B7951" i="1"/>
  <c r="C7951" i="1"/>
  <c r="D7951" i="1"/>
  <c r="E7951" i="1"/>
  <c r="A7952" i="1"/>
  <c r="B7952" i="1"/>
  <c r="C7952" i="1"/>
  <c r="D7952" i="1"/>
  <c r="E7952" i="1"/>
  <c r="A7953" i="1"/>
  <c r="B7953" i="1"/>
  <c r="C7953" i="1"/>
  <c r="D7953" i="1"/>
  <c r="E7953" i="1"/>
  <c r="A7954" i="1"/>
  <c r="B7954" i="1"/>
  <c r="C7954" i="1"/>
  <c r="D7954" i="1"/>
  <c r="E7954" i="1"/>
  <c r="A7955" i="1"/>
  <c r="B7955" i="1"/>
  <c r="C7955" i="1"/>
  <c r="D7955" i="1"/>
  <c r="E7955" i="1"/>
  <c r="A7956" i="1"/>
  <c r="B7956" i="1"/>
  <c r="C7956" i="1"/>
  <c r="D7956" i="1"/>
  <c r="E7956" i="1"/>
  <c r="A7957" i="1"/>
  <c r="B7957" i="1"/>
  <c r="C7957" i="1"/>
  <c r="D7957" i="1"/>
  <c r="E7957" i="1"/>
  <c r="A7958" i="1"/>
  <c r="B7958" i="1"/>
  <c r="C7958" i="1"/>
  <c r="D7958" i="1"/>
  <c r="E7958" i="1"/>
  <c r="A7959" i="1"/>
  <c r="B7959" i="1"/>
  <c r="C7959" i="1"/>
  <c r="D7959" i="1"/>
  <c r="E7959" i="1"/>
  <c r="A7960" i="1"/>
  <c r="B7960" i="1"/>
  <c r="C7960" i="1"/>
  <c r="D7960" i="1"/>
  <c r="E7960" i="1"/>
  <c r="A7961" i="1"/>
  <c r="B7961" i="1"/>
  <c r="C7961" i="1"/>
  <c r="D7961" i="1"/>
  <c r="E7961" i="1"/>
  <c r="A7962" i="1"/>
  <c r="B7962" i="1"/>
  <c r="C7962" i="1"/>
  <c r="D7962" i="1"/>
  <c r="E7962" i="1"/>
  <c r="A7963" i="1"/>
  <c r="B7963" i="1"/>
  <c r="C7963" i="1"/>
  <c r="D7963" i="1"/>
  <c r="E7963" i="1"/>
  <c r="A7964" i="1"/>
  <c r="B7964" i="1"/>
  <c r="C7964" i="1"/>
  <c r="D7964" i="1"/>
  <c r="E7964" i="1"/>
  <c r="A7965" i="1"/>
  <c r="B7965" i="1"/>
  <c r="C7965" i="1"/>
  <c r="D7965" i="1"/>
  <c r="E7965" i="1"/>
  <c r="A7966" i="1"/>
  <c r="B7966" i="1"/>
  <c r="C7966" i="1"/>
  <c r="D7966" i="1"/>
  <c r="E7966" i="1"/>
  <c r="A7967" i="1"/>
  <c r="B7967" i="1"/>
  <c r="C7967" i="1"/>
  <c r="D7967" i="1"/>
  <c r="E7967" i="1"/>
  <c r="A7968" i="1"/>
  <c r="B7968" i="1"/>
  <c r="C7968" i="1"/>
  <c r="D7968" i="1"/>
  <c r="E7968" i="1"/>
  <c r="A7969" i="1"/>
  <c r="B7969" i="1"/>
  <c r="C7969" i="1"/>
  <c r="D7969" i="1"/>
  <c r="E7969" i="1"/>
  <c r="A7970" i="1"/>
  <c r="B7970" i="1"/>
  <c r="C7970" i="1"/>
  <c r="D7970" i="1"/>
  <c r="E7970" i="1"/>
  <c r="A7971" i="1"/>
  <c r="B7971" i="1"/>
  <c r="C7971" i="1"/>
  <c r="D7971" i="1"/>
  <c r="E7971" i="1"/>
  <c r="A7972" i="1"/>
  <c r="B7972" i="1"/>
  <c r="C7972" i="1"/>
  <c r="D7972" i="1"/>
  <c r="E7972" i="1"/>
  <c r="A7973" i="1"/>
  <c r="B7973" i="1"/>
  <c r="C7973" i="1"/>
  <c r="D7973" i="1"/>
  <c r="E7973" i="1"/>
  <c r="A7974" i="1"/>
  <c r="B7974" i="1"/>
  <c r="C7974" i="1"/>
  <c r="D7974" i="1"/>
  <c r="E7974" i="1"/>
  <c r="A7975" i="1"/>
  <c r="B7975" i="1"/>
  <c r="C7975" i="1"/>
  <c r="D7975" i="1"/>
  <c r="E7975" i="1"/>
  <c r="A7976" i="1"/>
  <c r="B7976" i="1"/>
  <c r="C7976" i="1"/>
  <c r="D7976" i="1"/>
  <c r="E7976" i="1"/>
  <c r="A7977" i="1"/>
  <c r="B7977" i="1"/>
  <c r="C7977" i="1"/>
  <c r="D7977" i="1"/>
  <c r="E7977" i="1"/>
  <c r="A7978" i="1"/>
  <c r="B7978" i="1"/>
  <c r="C7978" i="1"/>
  <c r="D7978" i="1"/>
  <c r="E7978" i="1"/>
  <c r="A7979" i="1"/>
  <c r="B7979" i="1"/>
  <c r="C7979" i="1"/>
  <c r="D7979" i="1"/>
  <c r="E7979" i="1"/>
  <c r="A7980" i="1"/>
  <c r="B7980" i="1"/>
  <c r="C7980" i="1"/>
  <c r="D7980" i="1"/>
  <c r="E7980" i="1"/>
  <c r="A7981" i="1"/>
  <c r="B7981" i="1"/>
  <c r="C7981" i="1"/>
  <c r="D7981" i="1"/>
  <c r="E7981" i="1"/>
  <c r="A7982" i="1"/>
  <c r="B7982" i="1"/>
  <c r="C7982" i="1"/>
  <c r="D7982" i="1"/>
  <c r="E7982" i="1"/>
  <c r="A7983" i="1"/>
  <c r="B7983" i="1"/>
  <c r="C7983" i="1"/>
  <c r="D7983" i="1"/>
  <c r="E7983" i="1"/>
  <c r="A7984" i="1"/>
  <c r="B7984" i="1"/>
  <c r="C7984" i="1"/>
  <c r="D7984" i="1"/>
  <c r="E7984" i="1"/>
  <c r="A7985" i="1"/>
  <c r="B7985" i="1"/>
  <c r="C7985" i="1"/>
  <c r="D7985" i="1"/>
  <c r="E7985" i="1"/>
  <c r="A7986" i="1"/>
  <c r="B7986" i="1"/>
  <c r="C7986" i="1"/>
  <c r="D7986" i="1"/>
  <c r="E7986" i="1"/>
  <c r="A7987" i="1"/>
  <c r="B7987" i="1"/>
  <c r="C7987" i="1"/>
  <c r="D7987" i="1"/>
  <c r="E7987" i="1"/>
  <c r="A7988" i="1"/>
  <c r="B7988" i="1"/>
  <c r="C7988" i="1"/>
  <c r="D7988" i="1"/>
  <c r="E7988" i="1"/>
  <c r="A7989" i="1"/>
  <c r="B7989" i="1"/>
  <c r="C7989" i="1"/>
  <c r="D7989" i="1"/>
  <c r="E7989" i="1"/>
  <c r="A7990" i="1"/>
  <c r="B7990" i="1"/>
  <c r="C7990" i="1"/>
  <c r="D7990" i="1"/>
  <c r="E7990" i="1"/>
  <c r="A7991" i="1"/>
  <c r="B7991" i="1"/>
  <c r="C7991" i="1"/>
  <c r="D7991" i="1"/>
  <c r="E7991" i="1"/>
  <c r="A7992" i="1"/>
  <c r="B7992" i="1"/>
  <c r="C7992" i="1"/>
  <c r="D7992" i="1"/>
  <c r="E7992" i="1"/>
  <c r="A7993" i="1"/>
  <c r="B7993" i="1"/>
  <c r="C7993" i="1"/>
  <c r="D7993" i="1"/>
  <c r="E7993" i="1"/>
  <c r="A7994" i="1"/>
  <c r="B7994" i="1"/>
  <c r="C7994" i="1"/>
  <c r="D7994" i="1"/>
  <c r="E7994" i="1"/>
  <c r="A7995" i="1"/>
  <c r="B7995" i="1"/>
  <c r="C7995" i="1"/>
  <c r="D7995" i="1"/>
  <c r="E7995" i="1"/>
  <c r="A7996" i="1"/>
  <c r="B7996" i="1"/>
  <c r="C7996" i="1"/>
  <c r="D7996" i="1"/>
  <c r="E7996" i="1"/>
  <c r="A7997" i="1"/>
  <c r="B7997" i="1"/>
  <c r="C7997" i="1"/>
  <c r="D7997" i="1"/>
  <c r="E7997" i="1"/>
  <c r="A7998" i="1"/>
  <c r="B7998" i="1"/>
  <c r="C7998" i="1"/>
  <c r="D7998" i="1"/>
  <c r="E7998" i="1"/>
  <c r="A7999" i="1"/>
  <c r="B7999" i="1"/>
  <c r="C7999" i="1"/>
  <c r="D7999" i="1"/>
  <c r="E7999" i="1"/>
  <c r="A8000" i="1"/>
  <c r="B8000" i="1"/>
  <c r="C8000" i="1"/>
  <c r="D8000" i="1"/>
  <c r="E8000" i="1"/>
  <c r="A8001" i="1"/>
  <c r="B8001" i="1"/>
  <c r="C8001" i="1"/>
  <c r="D8001" i="1"/>
  <c r="E8001" i="1"/>
  <c r="A8002" i="1"/>
  <c r="B8002" i="1"/>
  <c r="C8002" i="1"/>
  <c r="D8002" i="1"/>
  <c r="E8002" i="1"/>
  <c r="A8003" i="1"/>
  <c r="B8003" i="1"/>
  <c r="C8003" i="1"/>
  <c r="D8003" i="1"/>
  <c r="E8003" i="1"/>
  <c r="A8004" i="1"/>
  <c r="B8004" i="1"/>
  <c r="C8004" i="1"/>
  <c r="D8004" i="1"/>
  <c r="E8004" i="1"/>
  <c r="A8005" i="1"/>
  <c r="B8005" i="1"/>
  <c r="C8005" i="1"/>
  <c r="D8005" i="1"/>
  <c r="E8005" i="1"/>
  <c r="A8006" i="1"/>
  <c r="B8006" i="1"/>
  <c r="C8006" i="1"/>
  <c r="D8006" i="1"/>
  <c r="E8006" i="1"/>
  <c r="A8007" i="1"/>
  <c r="B8007" i="1"/>
  <c r="C8007" i="1"/>
  <c r="D8007" i="1"/>
  <c r="E8007" i="1"/>
  <c r="A8008" i="1"/>
  <c r="B8008" i="1"/>
  <c r="C8008" i="1"/>
  <c r="D8008" i="1"/>
  <c r="E8008" i="1"/>
  <c r="A8009" i="1"/>
  <c r="B8009" i="1"/>
  <c r="C8009" i="1"/>
  <c r="D8009" i="1"/>
  <c r="E8009" i="1"/>
  <c r="A8010" i="1"/>
  <c r="B8010" i="1"/>
  <c r="C8010" i="1"/>
  <c r="D8010" i="1"/>
  <c r="E8010" i="1"/>
  <c r="A8011" i="1"/>
  <c r="B8011" i="1"/>
  <c r="C8011" i="1"/>
  <c r="D8011" i="1"/>
  <c r="E8011" i="1"/>
  <c r="A8012" i="1"/>
  <c r="B8012" i="1"/>
  <c r="C8012" i="1"/>
  <c r="D8012" i="1"/>
  <c r="E8012" i="1"/>
  <c r="A8013" i="1"/>
  <c r="B8013" i="1"/>
  <c r="C8013" i="1"/>
  <c r="D8013" i="1"/>
  <c r="E8013" i="1"/>
  <c r="A8014" i="1"/>
  <c r="B8014" i="1"/>
  <c r="C8014" i="1"/>
  <c r="D8014" i="1"/>
  <c r="E8014" i="1"/>
  <c r="A8015" i="1"/>
  <c r="B8015" i="1"/>
  <c r="C8015" i="1"/>
  <c r="D8015" i="1"/>
  <c r="E8015" i="1"/>
  <c r="A8016" i="1"/>
  <c r="B8016" i="1"/>
  <c r="C8016" i="1"/>
  <c r="D8016" i="1"/>
  <c r="E8016" i="1"/>
  <c r="A8017" i="1"/>
  <c r="B8017" i="1"/>
  <c r="C8017" i="1"/>
  <c r="D8017" i="1"/>
  <c r="E8017" i="1"/>
  <c r="A8018" i="1"/>
  <c r="B8018" i="1"/>
  <c r="C8018" i="1"/>
  <c r="D8018" i="1"/>
  <c r="E8018" i="1"/>
  <c r="A8019" i="1"/>
  <c r="B8019" i="1"/>
  <c r="C8019" i="1"/>
  <c r="D8019" i="1"/>
  <c r="E8019" i="1"/>
  <c r="A8020" i="1"/>
  <c r="B8020" i="1"/>
  <c r="C8020" i="1"/>
  <c r="D8020" i="1"/>
  <c r="E8020" i="1"/>
  <c r="A8021" i="1"/>
  <c r="B8021" i="1"/>
  <c r="C8021" i="1"/>
  <c r="D8021" i="1"/>
  <c r="E8021" i="1"/>
  <c r="A8022" i="1"/>
  <c r="B8022" i="1"/>
  <c r="C8022" i="1"/>
  <c r="D8022" i="1"/>
  <c r="E8022" i="1"/>
  <c r="A8023" i="1"/>
  <c r="B8023" i="1"/>
  <c r="C8023" i="1"/>
  <c r="D8023" i="1"/>
  <c r="E8023" i="1"/>
  <c r="A8024" i="1"/>
  <c r="B8024" i="1"/>
  <c r="C8024" i="1"/>
  <c r="D8024" i="1"/>
  <c r="E8024" i="1"/>
  <c r="A8025" i="1"/>
  <c r="B8025" i="1"/>
  <c r="C8025" i="1"/>
  <c r="D8025" i="1"/>
  <c r="E8025" i="1"/>
  <c r="A8026" i="1"/>
  <c r="B8026" i="1"/>
  <c r="C8026" i="1"/>
  <c r="D8026" i="1"/>
  <c r="E8026" i="1"/>
  <c r="A8027" i="1"/>
  <c r="B8027" i="1"/>
  <c r="C8027" i="1"/>
  <c r="D8027" i="1"/>
  <c r="E8027" i="1"/>
  <c r="A8028" i="1"/>
  <c r="B8028" i="1"/>
  <c r="C8028" i="1"/>
  <c r="D8028" i="1"/>
  <c r="E8028" i="1"/>
  <c r="A8029" i="1"/>
  <c r="B8029" i="1"/>
  <c r="C8029" i="1"/>
  <c r="D8029" i="1"/>
  <c r="E8029" i="1"/>
  <c r="A8030" i="1"/>
  <c r="B8030" i="1"/>
  <c r="C8030" i="1"/>
  <c r="D8030" i="1"/>
  <c r="E8030" i="1"/>
  <c r="A8031" i="1"/>
  <c r="B8031" i="1"/>
  <c r="C8031" i="1"/>
  <c r="D8031" i="1"/>
  <c r="E8031" i="1"/>
  <c r="A8032" i="1"/>
  <c r="B8032" i="1"/>
  <c r="C8032" i="1"/>
  <c r="D8032" i="1"/>
  <c r="E8032" i="1"/>
  <c r="A8033" i="1"/>
  <c r="B8033" i="1"/>
  <c r="C8033" i="1"/>
  <c r="D8033" i="1"/>
  <c r="E8033" i="1"/>
  <c r="A8034" i="1"/>
  <c r="B8034" i="1"/>
  <c r="C8034" i="1"/>
  <c r="D8034" i="1"/>
  <c r="E8034" i="1"/>
  <c r="A8035" i="1"/>
  <c r="B8035" i="1"/>
  <c r="C8035" i="1"/>
  <c r="D8035" i="1"/>
  <c r="E8035" i="1"/>
  <c r="A8036" i="1"/>
  <c r="B8036" i="1"/>
  <c r="C8036" i="1"/>
  <c r="D8036" i="1"/>
  <c r="E8036" i="1"/>
  <c r="A8037" i="1"/>
  <c r="B8037" i="1"/>
  <c r="C8037" i="1"/>
  <c r="D8037" i="1"/>
  <c r="E8037" i="1"/>
  <c r="A8038" i="1"/>
  <c r="B8038" i="1"/>
  <c r="C8038" i="1"/>
  <c r="D8038" i="1"/>
  <c r="E8038" i="1"/>
  <c r="A8039" i="1"/>
  <c r="B8039" i="1"/>
  <c r="C8039" i="1"/>
  <c r="D8039" i="1"/>
  <c r="E8039" i="1"/>
  <c r="A8040" i="1"/>
  <c r="B8040" i="1"/>
  <c r="C8040" i="1"/>
  <c r="D8040" i="1"/>
  <c r="E8040" i="1"/>
  <c r="A8041" i="1"/>
  <c r="B8041" i="1"/>
  <c r="C8041" i="1"/>
  <c r="D8041" i="1"/>
  <c r="E8041" i="1"/>
  <c r="A8042" i="1"/>
  <c r="B8042" i="1"/>
  <c r="C8042" i="1"/>
  <c r="D8042" i="1"/>
  <c r="E8042" i="1"/>
  <c r="A8043" i="1"/>
  <c r="B8043" i="1"/>
  <c r="C8043" i="1"/>
  <c r="D8043" i="1"/>
  <c r="E8043" i="1"/>
  <c r="A8044" i="1"/>
  <c r="B8044" i="1"/>
  <c r="C8044" i="1"/>
  <c r="D8044" i="1"/>
  <c r="E8044" i="1"/>
  <c r="A8045" i="1"/>
  <c r="B8045" i="1"/>
  <c r="C8045" i="1"/>
  <c r="D8045" i="1"/>
  <c r="E8045" i="1"/>
  <c r="A8046" i="1"/>
  <c r="B8046" i="1"/>
  <c r="C8046" i="1"/>
  <c r="D8046" i="1"/>
  <c r="E8046" i="1"/>
  <c r="A8047" i="1"/>
  <c r="B8047" i="1"/>
  <c r="C8047" i="1"/>
  <c r="D8047" i="1"/>
  <c r="E8047" i="1"/>
  <c r="A8048" i="1"/>
  <c r="B8048" i="1"/>
  <c r="C8048" i="1"/>
  <c r="D8048" i="1"/>
  <c r="E8048" i="1"/>
  <c r="A8049" i="1"/>
  <c r="B8049" i="1"/>
  <c r="C8049" i="1"/>
  <c r="D8049" i="1"/>
  <c r="E8049" i="1"/>
  <c r="A8050" i="1"/>
  <c r="B8050" i="1"/>
  <c r="C8050" i="1"/>
  <c r="D8050" i="1"/>
  <c r="E8050" i="1"/>
  <c r="A8051" i="1"/>
  <c r="B8051" i="1"/>
  <c r="C8051" i="1"/>
  <c r="D8051" i="1"/>
  <c r="E8051" i="1"/>
  <c r="A8052" i="1"/>
  <c r="B8052" i="1"/>
  <c r="C8052" i="1"/>
  <c r="D8052" i="1"/>
  <c r="E8052" i="1"/>
  <c r="A8053" i="1"/>
  <c r="B8053" i="1"/>
  <c r="C8053" i="1"/>
  <c r="D8053" i="1"/>
  <c r="E8053" i="1"/>
  <c r="A8054" i="1"/>
  <c r="B8054" i="1"/>
  <c r="C8054" i="1"/>
  <c r="D8054" i="1"/>
  <c r="E8054" i="1"/>
  <c r="A8055" i="1"/>
  <c r="B8055" i="1"/>
  <c r="C8055" i="1"/>
  <c r="D8055" i="1"/>
  <c r="E8055" i="1"/>
  <c r="A8056" i="1"/>
  <c r="B8056" i="1"/>
  <c r="C8056" i="1"/>
  <c r="D8056" i="1"/>
  <c r="E8056" i="1"/>
  <c r="A8057" i="1"/>
  <c r="B8057" i="1"/>
  <c r="C8057" i="1"/>
  <c r="D8057" i="1"/>
  <c r="E8057" i="1"/>
  <c r="A8058" i="1"/>
  <c r="B8058" i="1"/>
  <c r="C8058" i="1"/>
  <c r="D8058" i="1"/>
  <c r="E8058" i="1"/>
  <c r="A8059" i="1"/>
  <c r="B8059" i="1"/>
  <c r="C8059" i="1"/>
  <c r="D8059" i="1"/>
  <c r="E8059" i="1"/>
  <c r="A8060" i="1"/>
  <c r="B8060" i="1"/>
  <c r="C8060" i="1"/>
  <c r="D8060" i="1"/>
  <c r="E8060" i="1"/>
  <c r="A8061" i="1"/>
  <c r="B8061" i="1"/>
  <c r="C8061" i="1"/>
  <c r="D8061" i="1"/>
  <c r="E8061" i="1"/>
  <c r="A8062" i="1"/>
  <c r="B8062" i="1"/>
  <c r="C8062" i="1"/>
  <c r="D8062" i="1"/>
  <c r="E8062" i="1"/>
  <c r="A8063" i="1"/>
  <c r="B8063" i="1"/>
  <c r="C8063" i="1"/>
  <c r="D8063" i="1"/>
  <c r="E8063" i="1"/>
  <c r="A8064" i="1"/>
  <c r="B8064" i="1"/>
  <c r="C8064" i="1"/>
  <c r="D8064" i="1"/>
  <c r="E8064" i="1"/>
  <c r="A8065" i="1"/>
  <c r="B8065" i="1"/>
  <c r="C8065" i="1"/>
  <c r="D8065" i="1"/>
  <c r="E8065" i="1"/>
  <c r="A8066" i="1"/>
  <c r="B8066" i="1"/>
  <c r="C8066" i="1"/>
  <c r="D8066" i="1"/>
  <c r="E8066" i="1"/>
  <c r="A8067" i="1"/>
  <c r="B8067" i="1"/>
  <c r="C8067" i="1"/>
  <c r="D8067" i="1"/>
  <c r="E8067" i="1"/>
  <c r="A8068" i="1"/>
  <c r="B8068" i="1"/>
  <c r="C8068" i="1"/>
  <c r="D8068" i="1"/>
  <c r="E8068" i="1"/>
  <c r="A8069" i="1"/>
  <c r="B8069" i="1"/>
  <c r="C8069" i="1"/>
  <c r="D8069" i="1"/>
  <c r="E8069" i="1"/>
  <c r="A8070" i="1"/>
  <c r="B8070" i="1"/>
  <c r="C8070" i="1"/>
  <c r="D8070" i="1"/>
  <c r="E8070" i="1"/>
  <c r="A8071" i="1"/>
  <c r="B8071" i="1"/>
  <c r="C8071" i="1"/>
  <c r="D8071" i="1"/>
  <c r="E8071" i="1"/>
  <c r="A8072" i="1"/>
  <c r="B8072" i="1"/>
  <c r="C8072" i="1"/>
  <c r="D8072" i="1"/>
  <c r="E8072" i="1"/>
  <c r="A8073" i="1"/>
  <c r="B8073" i="1"/>
  <c r="C8073" i="1"/>
  <c r="D8073" i="1"/>
  <c r="E8073" i="1"/>
  <c r="A8074" i="1"/>
  <c r="B8074" i="1"/>
  <c r="C8074" i="1"/>
  <c r="D8074" i="1"/>
  <c r="E8074" i="1"/>
  <c r="A8075" i="1"/>
  <c r="B8075" i="1"/>
  <c r="C8075" i="1"/>
  <c r="D8075" i="1"/>
  <c r="E8075" i="1"/>
  <c r="A8076" i="1"/>
  <c r="B8076" i="1"/>
  <c r="C8076" i="1"/>
  <c r="D8076" i="1"/>
  <c r="E8076" i="1"/>
  <c r="A8077" i="1"/>
  <c r="B8077" i="1"/>
  <c r="C8077" i="1"/>
  <c r="D8077" i="1"/>
  <c r="E8077" i="1"/>
  <c r="A8078" i="1"/>
  <c r="B8078" i="1"/>
  <c r="C8078" i="1"/>
  <c r="D8078" i="1"/>
  <c r="E8078" i="1"/>
  <c r="A8079" i="1"/>
  <c r="B8079" i="1"/>
  <c r="C8079" i="1"/>
  <c r="D8079" i="1"/>
  <c r="E8079" i="1"/>
  <c r="A8080" i="1"/>
  <c r="B8080" i="1"/>
  <c r="C8080" i="1"/>
  <c r="D8080" i="1"/>
  <c r="E8080" i="1"/>
  <c r="A8081" i="1"/>
  <c r="B8081" i="1"/>
  <c r="C8081" i="1"/>
  <c r="D8081" i="1"/>
  <c r="E8081" i="1"/>
  <c r="A8082" i="1"/>
  <c r="B8082" i="1"/>
  <c r="C8082" i="1"/>
  <c r="D8082" i="1"/>
  <c r="E8082" i="1"/>
  <c r="A8083" i="1"/>
  <c r="B8083" i="1"/>
  <c r="C8083" i="1"/>
  <c r="D8083" i="1"/>
  <c r="E8083" i="1"/>
  <c r="A8084" i="1"/>
  <c r="B8084" i="1"/>
  <c r="C8084" i="1"/>
  <c r="D8084" i="1"/>
  <c r="E8084" i="1"/>
  <c r="A8085" i="1"/>
  <c r="B8085" i="1"/>
  <c r="C8085" i="1"/>
  <c r="D8085" i="1"/>
  <c r="E8085" i="1"/>
  <c r="A8086" i="1"/>
  <c r="B8086" i="1"/>
  <c r="C8086" i="1"/>
  <c r="D8086" i="1"/>
  <c r="E8086" i="1"/>
  <c r="A8087" i="1"/>
  <c r="B8087" i="1"/>
  <c r="C8087" i="1"/>
  <c r="D8087" i="1"/>
  <c r="E8087" i="1"/>
  <c r="A8088" i="1"/>
  <c r="B8088" i="1"/>
  <c r="C8088" i="1"/>
  <c r="D8088" i="1"/>
  <c r="E8088" i="1"/>
  <c r="A8089" i="1"/>
  <c r="B8089" i="1"/>
  <c r="C8089" i="1"/>
  <c r="D8089" i="1"/>
  <c r="E8089" i="1"/>
  <c r="A8090" i="1"/>
  <c r="B8090" i="1"/>
  <c r="C8090" i="1"/>
  <c r="D8090" i="1"/>
  <c r="E8090" i="1"/>
  <c r="A8091" i="1"/>
  <c r="B8091" i="1"/>
  <c r="C8091" i="1"/>
  <c r="D8091" i="1"/>
  <c r="E8091" i="1"/>
  <c r="A8092" i="1"/>
  <c r="B8092" i="1"/>
  <c r="C8092" i="1"/>
  <c r="D8092" i="1"/>
  <c r="E8092" i="1"/>
  <c r="A8093" i="1"/>
  <c r="B8093" i="1"/>
  <c r="C8093" i="1"/>
  <c r="D8093" i="1"/>
  <c r="E8093" i="1"/>
  <c r="A8094" i="1"/>
  <c r="B8094" i="1"/>
  <c r="C8094" i="1"/>
  <c r="D8094" i="1"/>
  <c r="E8094" i="1"/>
  <c r="A8095" i="1"/>
  <c r="B8095" i="1"/>
  <c r="C8095" i="1"/>
  <c r="D8095" i="1"/>
  <c r="E8095" i="1"/>
  <c r="A8096" i="1"/>
  <c r="B8096" i="1"/>
  <c r="C8096" i="1"/>
  <c r="D8096" i="1"/>
  <c r="E8096" i="1"/>
  <c r="A8097" i="1"/>
  <c r="B8097" i="1"/>
  <c r="C8097" i="1"/>
  <c r="D8097" i="1"/>
  <c r="E8097" i="1"/>
  <c r="A8098" i="1"/>
  <c r="B8098" i="1"/>
  <c r="C8098" i="1"/>
  <c r="D8098" i="1"/>
  <c r="E8098" i="1"/>
  <c r="A8099" i="1"/>
  <c r="B8099" i="1"/>
  <c r="C8099" i="1"/>
  <c r="D8099" i="1"/>
  <c r="E8099" i="1"/>
  <c r="A8100" i="1"/>
  <c r="B8100" i="1"/>
  <c r="C8100" i="1"/>
  <c r="D8100" i="1"/>
  <c r="E8100" i="1"/>
  <c r="A8101" i="1"/>
  <c r="B8101" i="1"/>
  <c r="C8101" i="1"/>
  <c r="D8101" i="1"/>
  <c r="E8101" i="1"/>
  <c r="A8102" i="1"/>
  <c r="B8102" i="1"/>
  <c r="C8102" i="1"/>
  <c r="D8102" i="1"/>
  <c r="E8102" i="1"/>
  <c r="A8103" i="1"/>
  <c r="B8103" i="1"/>
  <c r="C8103" i="1"/>
  <c r="D8103" i="1"/>
  <c r="E8103" i="1"/>
  <c r="A8104" i="1"/>
  <c r="B8104" i="1"/>
  <c r="C8104" i="1"/>
  <c r="D8104" i="1"/>
  <c r="E8104" i="1"/>
  <c r="A8105" i="1"/>
  <c r="B8105" i="1"/>
  <c r="C8105" i="1"/>
  <c r="D8105" i="1"/>
  <c r="E8105" i="1"/>
  <c r="A8106" i="1"/>
  <c r="B8106" i="1"/>
  <c r="C8106" i="1"/>
  <c r="D8106" i="1"/>
  <c r="E8106" i="1"/>
  <c r="A8107" i="1"/>
  <c r="B8107" i="1"/>
  <c r="C8107" i="1"/>
  <c r="D8107" i="1"/>
  <c r="E8107" i="1"/>
  <c r="A8108" i="1"/>
  <c r="B8108" i="1"/>
  <c r="C8108" i="1"/>
  <c r="D8108" i="1"/>
  <c r="E8108" i="1"/>
  <c r="A8109" i="1"/>
  <c r="B8109" i="1"/>
  <c r="C8109" i="1"/>
  <c r="D8109" i="1"/>
  <c r="E8109" i="1"/>
  <c r="A8110" i="1"/>
  <c r="B8110" i="1"/>
  <c r="C8110" i="1"/>
  <c r="D8110" i="1"/>
  <c r="E8110" i="1"/>
  <c r="A8111" i="1"/>
  <c r="B8111" i="1"/>
  <c r="C8111" i="1"/>
  <c r="D8111" i="1"/>
  <c r="E8111" i="1"/>
  <c r="A8112" i="1"/>
  <c r="B8112" i="1"/>
  <c r="C8112" i="1"/>
  <c r="D8112" i="1"/>
  <c r="E8112" i="1"/>
  <c r="A8113" i="1"/>
  <c r="B8113" i="1"/>
  <c r="C8113" i="1"/>
  <c r="D8113" i="1"/>
  <c r="E8113" i="1"/>
  <c r="A8114" i="1"/>
  <c r="B8114" i="1"/>
  <c r="C8114" i="1"/>
  <c r="D8114" i="1"/>
  <c r="E8114" i="1"/>
  <c r="A8115" i="1"/>
  <c r="B8115" i="1"/>
  <c r="C8115" i="1"/>
  <c r="D8115" i="1"/>
  <c r="E8115" i="1"/>
  <c r="A8116" i="1"/>
  <c r="B8116" i="1"/>
  <c r="C8116" i="1"/>
  <c r="D8116" i="1"/>
  <c r="E8116" i="1"/>
  <c r="A8117" i="1"/>
  <c r="B8117" i="1"/>
  <c r="C8117" i="1"/>
  <c r="D8117" i="1"/>
  <c r="E8117" i="1"/>
  <c r="A8118" i="1"/>
  <c r="B8118" i="1"/>
  <c r="C8118" i="1"/>
  <c r="D8118" i="1"/>
  <c r="E8118" i="1"/>
  <c r="A8119" i="1"/>
  <c r="B8119" i="1"/>
  <c r="C8119" i="1"/>
  <c r="D8119" i="1"/>
  <c r="E8119" i="1"/>
  <c r="A8120" i="1"/>
  <c r="B8120" i="1"/>
  <c r="C8120" i="1"/>
  <c r="D8120" i="1"/>
  <c r="E8120" i="1"/>
  <c r="A8121" i="1"/>
  <c r="B8121" i="1"/>
  <c r="C8121" i="1"/>
  <c r="D8121" i="1"/>
  <c r="E8121" i="1"/>
  <c r="A8122" i="1"/>
  <c r="B8122" i="1"/>
  <c r="C8122" i="1"/>
  <c r="D8122" i="1"/>
  <c r="E8122" i="1"/>
  <c r="A8123" i="1"/>
  <c r="B8123" i="1"/>
  <c r="C8123" i="1"/>
  <c r="D8123" i="1"/>
  <c r="E8123" i="1"/>
  <c r="A8124" i="1"/>
  <c r="B8124" i="1"/>
  <c r="C8124" i="1"/>
  <c r="D8124" i="1"/>
  <c r="E8124" i="1"/>
  <c r="A8125" i="1"/>
  <c r="B8125" i="1"/>
  <c r="C8125" i="1"/>
  <c r="D8125" i="1"/>
  <c r="E8125" i="1"/>
  <c r="A8126" i="1"/>
  <c r="B8126" i="1"/>
  <c r="C8126" i="1"/>
  <c r="D8126" i="1"/>
  <c r="E8126" i="1"/>
  <c r="A8127" i="1"/>
  <c r="B8127" i="1"/>
  <c r="C8127" i="1"/>
  <c r="D8127" i="1"/>
  <c r="E8127" i="1"/>
  <c r="A8128" i="1"/>
  <c r="B8128" i="1"/>
  <c r="C8128" i="1"/>
  <c r="D8128" i="1"/>
  <c r="E8128" i="1"/>
  <c r="A8129" i="1"/>
  <c r="B8129" i="1"/>
  <c r="C8129" i="1"/>
  <c r="D8129" i="1"/>
  <c r="E8129" i="1"/>
  <c r="A8130" i="1"/>
  <c r="B8130" i="1"/>
  <c r="C8130" i="1"/>
  <c r="D8130" i="1"/>
  <c r="E8130" i="1"/>
  <c r="A8131" i="1"/>
  <c r="B8131" i="1"/>
  <c r="C8131" i="1"/>
  <c r="D8131" i="1"/>
  <c r="E8131" i="1"/>
  <c r="A8132" i="1"/>
  <c r="B8132" i="1"/>
  <c r="C8132" i="1"/>
  <c r="D8132" i="1"/>
  <c r="E8132" i="1"/>
  <c r="A8133" i="1"/>
  <c r="B8133" i="1"/>
  <c r="C8133" i="1"/>
  <c r="D8133" i="1"/>
  <c r="E8133" i="1"/>
  <c r="A8134" i="1"/>
  <c r="B8134" i="1"/>
  <c r="C8134" i="1"/>
  <c r="D8134" i="1"/>
  <c r="E8134" i="1"/>
  <c r="A8135" i="1"/>
  <c r="B8135" i="1"/>
  <c r="C8135" i="1"/>
  <c r="D8135" i="1"/>
  <c r="E8135" i="1"/>
  <c r="A8136" i="1"/>
  <c r="B8136" i="1"/>
  <c r="C8136" i="1"/>
  <c r="D8136" i="1"/>
  <c r="E8136" i="1"/>
  <c r="A8137" i="1"/>
  <c r="B8137" i="1"/>
  <c r="C8137" i="1"/>
  <c r="D8137" i="1"/>
  <c r="E8137" i="1"/>
  <c r="A8138" i="1"/>
  <c r="B8138" i="1"/>
  <c r="C8138" i="1"/>
  <c r="D8138" i="1"/>
  <c r="E8138" i="1"/>
  <c r="A8139" i="1"/>
  <c r="B8139" i="1"/>
  <c r="C8139" i="1"/>
  <c r="D8139" i="1"/>
  <c r="E8139" i="1"/>
  <c r="A8140" i="1"/>
  <c r="B8140" i="1"/>
  <c r="C8140" i="1"/>
  <c r="D8140" i="1"/>
  <c r="E8140" i="1"/>
  <c r="A8141" i="1"/>
  <c r="B8141" i="1"/>
  <c r="C8141" i="1"/>
  <c r="D8141" i="1"/>
  <c r="E8141" i="1"/>
  <c r="A8142" i="1"/>
  <c r="B8142" i="1"/>
  <c r="C8142" i="1"/>
  <c r="D8142" i="1"/>
  <c r="E8142" i="1"/>
  <c r="A8143" i="1"/>
  <c r="B8143" i="1"/>
  <c r="C8143" i="1"/>
  <c r="D8143" i="1"/>
  <c r="E8143" i="1"/>
  <c r="A8144" i="1"/>
  <c r="B8144" i="1"/>
  <c r="C8144" i="1"/>
  <c r="D8144" i="1"/>
  <c r="E8144" i="1"/>
  <c r="A8145" i="1"/>
  <c r="B8145" i="1"/>
  <c r="C8145" i="1"/>
  <c r="D8145" i="1"/>
  <c r="E8145" i="1"/>
  <c r="A8146" i="1"/>
  <c r="B8146" i="1"/>
  <c r="C8146" i="1"/>
  <c r="D8146" i="1"/>
  <c r="E8146" i="1"/>
  <c r="A8147" i="1"/>
  <c r="B8147" i="1"/>
  <c r="C8147" i="1"/>
  <c r="D8147" i="1"/>
  <c r="E8147" i="1"/>
  <c r="A8148" i="1"/>
  <c r="B8148" i="1"/>
  <c r="C8148" i="1"/>
  <c r="D8148" i="1"/>
  <c r="E8148" i="1"/>
  <c r="A8149" i="1"/>
  <c r="B8149" i="1"/>
  <c r="C8149" i="1"/>
  <c r="D8149" i="1"/>
  <c r="E8149" i="1"/>
  <c r="A8150" i="1"/>
  <c r="B8150" i="1"/>
  <c r="C8150" i="1"/>
  <c r="D8150" i="1"/>
  <c r="E8150" i="1"/>
  <c r="A8151" i="1"/>
  <c r="B8151" i="1"/>
  <c r="C8151" i="1"/>
  <c r="D8151" i="1"/>
  <c r="E8151" i="1"/>
  <c r="A8152" i="1"/>
  <c r="B8152" i="1"/>
  <c r="C8152" i="1"/>
  <c r="D8152" i="1"/>
  <c r="E8152" i="1"/>
  <c r="A8153" i="1"/>
  <c r="B8153" i="1"/>
  <c r="C8153" i="1"/>
  <c r="D8153" i="1"/>
  <c r="E8153" i="1"/>
  <c r="A8154" i="1"/>
  <c r="B8154" i="1"/>
  <c r="C8154" i="1"/>
  <c r="D8154" i="1"/>
  <c r="E8154" i="1"/>
  <c r="A8155" i="1"/>
  <c r="B8155" i="1"/>
  <c r="C8155" i="1"/>
  <c r="D8155" i="1"/>
  <c r="E8155" i="1"/>
  <c r="A8156" i="1"/>
  <c r="B8156" i="1"/>
  <c r="C8156" i="1"/>
  <c r="D8156" i="1"/>
  <c r="E8156" i="1"/>
  <c r="A8157" i="1"/>
  <c r="B8157" i="1"/>
  <c r="C8157" i="1"/>
  <c r="D8157" i="1"/>
  <c r="E8157" i="1"/>
  <c r="A8158" i="1"/>
  <c r="B8158" i="1"/>
  <c r="C8158" i="1"/>
  <c r="D8158" i="1"/>
  <c r="E8158" i="1"/>
  <c r="A8159" i="1"/>
  <c r="B8159" i="1"/>
  <c r="C8159" i="1"/>
  <c r="D8159" i="1"/>
  <c r="E8159" i="1"/>
  <c r="A8160" i="1"/>
  <c r="B8160" i="1"/>
  <c r="C8160" i="1"/>
  <c r="D8160" i="1"/>
  <c r="E8160" i="1"/>
  <c r="A8161" i="1"/>
  <c r="B8161" i="1"/>
  <c r="C8161" i="1"/>
  <c r="D8161" i="1"/>
  <c r="E8161" i="1"/>
  <c r="A8162" i="1"/>
  <c r="B8162" i="1"/>
  <c r="C8162" i="1"/>
  <c r="D8162" i="1"/>
  <c r="E8162" i="1"/>
  <c r="A8163" i="1"/>
  <c r="B8163" i="1"/>
  <c r="C8163" i="1"/>
  <c r="D8163" i="1"/>
  <c r="E8163" i="1"/>
  <c r="A8164" i="1"/>
  <c r="B8164" i="1"/>
  <c r="C8164" i="1"/>
  <c r="D8164" i="1"/>
  <c r="E8164" i="1"/>
  <c r="A8165" i="1"/>
  <c r="B8165" i="1"/>
  <c r="C8165" i="1"/>
  <c r="D8165" i="1"/>
  <c r="E8165" i="1"/>
  <c r="A8166" i="1"/>
  <c r="B8166" i="1"/>
  <c r="C8166" i="1"/>
  <c r="D8166" i="1"/>
  <c r="E8166" i="1"/>
  <c r="A8167" i="1"/>
  <c r="B8167" i="1"/>
  <c r="C8167" i="1"/>
  <c r="D8167" i="1"/>
  <c r="E8167" i="1"/>
  <c r="A8168" i="1"/>
  <c r="B8168" i="1"/>
  <c r="C8168" i="1"/>
  <c r="D8168" i="1"/>
  <c r="E8168" i="1"/>
  <c r="A8169" i="1"/>
  <c r="B8169" i="1"/>
  <c r="C8169" i="1"/>
  <c r="D8169" i="1"/>
  <c r="E8169" i="1"/>
  <c r="A8170" i="1"/>
  <c r="B8170" i="1"/>
  <c r="C8170" i="1"/>
  <c r="D8170" i="1"/>
  <c r="E8170" i="1"/>
  <c r="A8171" i="1"/>
  <c r="B8171" i="1"/>
  <c r="C8171" i="1"/>
  <c r="D8171" i="1"/>
  <c r="E8171" i="1"/>
  <c r="A8172" i="1"/>
  <c r="B8172" i="1"/>
  <c r="C8172" i="1"/>
  <c r="D8172" i="1"/>
  <c r="E8172" i="1"/>
  <c r="A8173" i="1"/>
  <c r="B8173" i="1"/>
  <c r="C8173" i="1"/>
  <c r="D8173" i="1"/>
  <c r="E8173" i="1"/>
  <c r="A8174" i="1"/>
  <c r="B8174" i="1"/>
  <c r="C8174" i="1"/>
  <c r="D8174" i="1"/>
  <c r="E8174" i="1"/>
  <c r="A8175" i="1"/>
  <c r="B8175" i="1"/>
  <c r="C8175" i="1"/>
  <c r="D8175" i="1"/>
  <c r="E8175" i="1"/>
  <c r="A8176" i="1"/>
  <c r="B8176" i="1"/>
  <c r="C8176" i="1"/>
  <c r="D8176" i="1"/>
  <c r="E8176" i="1"/>
  <c r="A8177" i="1"/>
  <c r="B8177" i="1"/>
  <c r="C8177" i="1"/>
  <c r="D8177" i="1"/>
  <c r="E8177" i="1"/>
  <c r="A8178" i="1"/>
  <c r="B8178" i="1"/>
  <c r="C8178" i="1"/>
  <c r="D8178" i="1"/>
  <c r="E8178" i="1"/>
  <c r="A8179" i="1"/>
  <c r="B8179" i="1"/>
  <c r="C8179" i="1"/>
  <c r="D8179" i="1"/>
  <c r="E8179" i="1"/>
  <c r="A8180" i="1"/>
  <c r="B8180" i="1"/>
  <c r="C8180" i="1"/>
  <c r="D8180" i="1"/>
  <c r="E8180" i="1"/>
  <c r="A8181" i="1"/>
  <c r="B8181" i="1"/>
  <c r="C8181" i="1"/>
  <c r="D8181" i="1"/>
  <c r="E8181" i="1"/>
  <c r="A8182" i="1"/>
  <c r="B8182" i="1"/>
  <c r="C8182" i="1"/>
  <c r="D8182" i="1"/>
  <c r="E8182" i="1"/>
  <c r="A8183" i="1"/>
  <c r="B8183" i="1"/>
  <c r="C8183" i="1"/>
  <c r="D8183" i="1"/>
  <c r="E8183" i="1"/>
  <c r="A8184" i="1"/>
  <c r="B8184" i="1"/>
  <c r="C8184" i="1"/>
  <c r="D8184" i="1"/>
  <c r="E8184" i="1"/>
  <c r="A8185" i="1"/>
  <c r="B8185" i="1"/>
  <c r="C8185" i="1"/>
  <c r="D8185" i="1"/>
  <c r="E8185" i="1"/>
  <c r="A8186" i="1"/>
  <c r="B8186" i="1"/>
  <c r="C8186" i="1"/>
  <c r="D8186" i="1"/>
  <c r="E8186" i="1"/>
  <c r="A8187" i="1"/>
  <c r="B8187" i="1"/>
  <c r="C8187" i="1"/>
  <c r="D8187" i="1"/>
  <c r="E8187" i="1"/>
  <c r="A8188" i="1"/>
  <c r="B8188" i="1"/>
  <c r="C8188" i="1"/>
  <c r="D8188" i="1"/>
  <c r="E8188" i="1"/>
  <c r="A8189" i="1"/>
  <c r="B8189" i="1"/>
  <c r="C8189" i="1"/>
  <c r="D8189" i="1"/>
  <c r="E8189" i="1"/>
  <c r="A8190" i="1"/>
  <c r="B8190" i="1"/>
  <c r="C8190" i="1"/>
  <c r="D8190" i="1"/>
  <c r="E8190" i="1"/>
  <c r="A8191" i="1"/>
  <c r="B8191" i="1"/>
  <c r="C8191" i="1"/>
  <c r="D8191" i="1"/>
  <c r="E8191" i="1"/>
  <c r="A8192" i="1"/>
  <c r="B8192" i="1"/>
  <c r="C8192" i="1"/>
  <c r="D8192" i="1"/>
  <c r="E8192" i="1"/>
  <c r="A8193" i="1"/>
  <c r="B8193" i="1"/>
  <c r="C8193" i="1"/>
  <c r="D8193" i="1"/>
  <c r="E8193" i="1"/>
  <c r="A8194" i="1"/>
  <c r="B8194" i="1"/>
  <c r="C8194" i="1"/>
  <c r="D8194" i="1"/>
  <c r="E8194" i="1"/>
  <c r="A8195" i="1"/>
  <c r="B8195" i="1"/>
  <c r="C8195" i="1"/>
  <c r="D8195" i="1"/>
  <c r="E8195" i="1"/>
  <c r="A8196" i="1"/>
  <c r="B8196" i="1"/>
  <c r="C8196" i="1"/>
  <c r="D8196" i="1"/>
  <c r="E8196" i="1"/>
  <c r="A8197" i="1"/>
  <c r="B8197" i="1"/>
  <c r="C8197" i="1"/>
  <c r="D8197" i="1"/>
  <c r="E8197" i="1"/>
  <c r="A8198" i="1"/>
  <c r="B8198" i="1"/>
  <c r="C8198" i="1"/>
  <c r="D8198" i="1"/>
  <c r="E8198" i="1"/>
  <c r="A8199" i="1"/>
  <c r="B8199" i="1"/>
  <c r="C8199" i="1"/>
  <c r="D8199" i="1"/>
  <c r="E8199" i="1"/>
  <c r="A8200" i="1"/>
  <c r="B8200" i="1"/>
  <c r="C8200" i="1"/>
  <c r="D8200" i="1"/>
  <c r="E8200" i="1"/>
  <c r="A8201" i="1"/>
  <c r="B8201" i="1"/>
  <c r="C8201" i="1"/>
  <c r="D8201" i="1"/>
  <c r="E8201" i="1"/>
  <c r="A8202" i="1"/>
  <c r="B8202" i="1"/>
  <c r="C8202" i="1"/>
  <c r="D8202" i="1"/>
  <c r="E8202" i="1"/>
  <c r="A8203" i="1"/>
  <c r="B8203" i="1"/>
  <c r="C8203" i="1"/>
  <c r="D8203" i="1"/>
  <c r="E8203" i="1"/>
  <c r="A8204" i="1"/>
  <c r="B8204" i="1"/>
  <c r="C8204" i="1"/>
  <c r="D8204" i="1"/>
  <c r="E8204" i="1"/>
  <c r="A8205" i="1"/>
  <c r="B8205" i="1"/>
  <c r="C8205" i="1"/>
  <c r="D8205" i="1"/>
  <c r="E8205" i="1"/>
  <c r="A8206" i="1"/>
  <c r="B8206" i="1"/>
  <c r="C8206" i="1"/>
  <c r="D8206" i="1"/>
  <c r="E8206" i="1"/>
  <c r="A8207" i="1"/>
  <c r="B8207" i="1"/>
  <c r="C8207" i="1"/>
  <c r="D8207" i="1"/>
  <c r="E8207" i="1"/>
  <c r="A8208" i="1"/>
  <c r="B8208" i="1"/>
  <c r="C8208" i="1"/>
  <c r="D8208" i="1"/>
  <c r="E8208" i="1"/>
  <c r="A8209" i="1"/>
  <c r="B8209" i="1"/>
  <c r="C8209" i="1"/>
  <c r="D8209" i="1"/>
  <c r="E8209" i="1"/>
  <c r="A8210" i="1"/>
  <c r="B8210" i="1"/>
  <c r="C8210" i="1"/>
  <c r="D8210" i="1"/>
  <c r="E8210" i="1"/>
  <c r="A8211" i="1"/>
  <c r="B8211" i="1"/>
  <c r="C8211" i="1"/>
  <c r="D8211" i="1"/>
  <c r="E8211" i="1"/>
  <c r="A8212" i="1"/>
  <c r="B8212" i="1"/>
  <c r="C8212" i="1"/>
  <c r="D8212" i="1"/>
  <c r="E8212" i="1"/>
  <c r="A8213" i="1"/>
  <c r="B8213" i="1"/>
  <c r="C8213" i="1"/>
  <c r="D8213" i="1"/>
  <c r="E8213" i="1"/>
  <c r="A8214" i="1"/>
  <c r="B8214" i="1"/>
  <c r="C8214" i="1"/>
  <c r="D8214" i="1"/>
  <c r="E8214" i="1"/>
  <c r="A8215" i="1"/>
  <c r="B8215" i="1"/>
  <c r="C8215" i="1"/>
  <c r="D8215" i="1"/>
  <c r="E8215" i="1"/>
  <c r="A8216" i="1"/>
  <c r="B8216" i="1"/>
  <c r="C8216" i="1"/>
  <c r="D8216" i="1"/>
  <c r="E8216" i="1"/>
  <c r="A8217" i="1"/>
  <c r="B8217" i="1"/>
  <c r="C8217" i="1"/>
  <c r="D8217" i="1"/>
  <c r="E8217" i="1"/>
  <c r="A8218" i="1"/>
  <c r="B8218" i="1"/>
  <c r="C8218" i="1"/>
  <c r="D8218" i="1"/>
  <c r="E8218" i="1"/>
  <c r="A8219" i="1"/>
  <c r="B8219" i="1"/>
  <c r="C8219" i="1"/>
  <c r="D8219" i="1"/>
  <c r="E8219" i="1"/>
  <c r="A8220" i="1"/>
  <c r="B8220" i="1"/>
  <c r="C8220" i="1"/>
  <c r="D8220" i="1"/>
  <c r="E8220" i="1"/>
  <c r="A8221" i="1"/>
  <c r="B8221" i="1"/>
  <c r="C8221" i="1"/>
  <c r="D8221" i="1"/>
  <c r="E8221" i="1"/>
  <c r="A8222" i="1"/>
  <c r="B8222" i="1"/>
  <c r="C8222" i="1"/>
  <c r="D8222" i="1"/>
  <c r="E8222" i="1"/>
  <c r="A8223" i="1"/>
  <c r="B8223" i="1"/>
  <c r="C8223" i="1"/>
  <c r="D8223" i="1"/>
  <c r="E8223" i="1"/>
  <c r="A8224" i="1"/>
  <c r="B8224" i="1"/>
  <c r="C8224" i="1"/>
  <c r="D8224" i="1"/>
  <c r="E8224" i="1"/>
  <c r="A8225" i="1"/>
  <c r="B8225" i="1"/>
  <c r="C8225" i="1"/>
  <c r="D8225" i="1"/>
  <c r="E8225" i="1"/>
  <c r="A8226" i="1"/>
  <c r="B8226" i="1"/>
  <c r="C8226" i="1"/>
  <c r="D8226" i="1"/>
  <c r="E8226" i="1"/>
  <c r="A8227" i="1"/>
  <c r="B8227" i="1"/>
  <c r="C8227" i="1"/>
  <c r="D8227" i="1"/>
  <c r="E8227" i="1"/>
  <c r="A8228" i="1"/>
  <c r="B8228" i="1"/>
  <c r="C8228" i="1"/>
  <c r="D8228" i="1"/>
  <c r="E8228" i="1"/>
  <c r="A8229" i="1"/>
  <c r="B8229" i="1"/>
  <c r="C8229" i="1"/>
  <c r="D8229" i="1"/>
  <c r="E8229" i="1"/>
  <c r="A8230" i="1"/>
  <c r="B8230" i="1"/>
  <c r="C8230" i="1"/>
  <c r="D8230" i="1"/>
  <c r="E8230" i="1"/>
  <c r="A8231" i="1"/>
  <c r="B8231" i="1"/>
  <c r="C8231" i="1"/>
  <c r="D8231" i="1"/>
  <c r="E8231" i="1"/>
  <c r="A8232" i="1"/>
  <c r="B8232" i="1"/>
  <c r="C8232" i="1"/>
  <c r="D8232" i="1"/>
  <c r="E8232" i="1"/>
  <c r="A8233" i="1"/>
  <c r="B8233" i="1"/>
  <c r="C8233" i="1"/>
  <c r="D8233" i="1"/>
  <c r="E8233" i="1"/>
  <c r="A8234" i="1"/>
  <c r="B8234" i="1"/>
  <c r="C8234" i="1"/>
  <c r="D8234" i="1"/>
  <c r="E8234" i="1"/>
  <c r="A8235" i="1"/>
  <c r="B8235" i="1"/>
  <c r="C8235" i="1"/>
  <c r="D8235" i="1"/>
  <c r="E8235" i="1"/>
  <c r="A8236" i="1"/>
  <c r="B8236" i="1"/>
  <c r="C8236" i="1"/>
  <c r="D8236" i="1"/>
  <c r="E8236" i="1"/>
  <c r="A8237" i="1"/>
  <c r="B8237" i="1"/>
  <c r="C8237" i="1"/>
  <c r="D8237" i="1"/>
  <c r="E8237" i="1"/>
  <c r="A8238" i="1"/>
  <c r="B8238" i="1"/>
  <c r="C8238" i="1"/>
  <c r="D8238" i="1"/>
  <c r="E8238" i="1"/>
  <c r="A8239" i="1"/>
  <c r="B8239" i="1"/>
  <c r="C8239" i="1"/>
  <c r="D8239" i="1"/>
  <c r="E8239" i="1"/>
  <c r="A8240" i="1"/>
  <c r="B8240" i="1"/>
  <c r="C8240" i="1"/>
  <c r="D8240" i="1"/>
  <c r="E8240" i="1"/>
  <c r="A8241" i="1"/>
  <c r="B8241" i="1"/>
  <c r="C8241" i="1"/>
  <c r="D8241" i="1"/>
  <c r="E8241" i="1"/>
  <c r="A8242" i="1"/>
  <c r="B8242" i="1"/>
  <c r="C8242" i="1"/>
  <c r="D8242" i="1"/>
  <c r="E8242" i="1"/>
  <c r="A8243" i="1"/>
  <c r="B8243" i="1"/>
  <c r="C8243" i="1"/>
  <c r="D8243" i="1"/>
  <c r="E8243" i="1"/>
  <c r="A8244" i="1"/>
  <c r="B8244" i="1"/>
  <c r="C8244" i="1"/>
  <c r="D8244" i="1"/>
  <c r="E8244" i="1"/>
  <c r="A8245" i="1"/>
  <c r="B8245" i="1"/>
  <c r="C8245" i="1"/>
  <c r="D8245" i="1"/>
  <c r="E8245" i="1"/>
  <c r="A8246" i="1"/>
  <c r="B8246" i="1"/>
  <c r="C8246" i="1"/>
  <c r="D8246" i="1"/>
  <c r="E8246" i="1"/>
  <c r="A8247" i="1"/>
  <c r="B8247" i="1"/>
  <c r="C8247" i="1"/>
  <c r="D8247" i="1"/>
  <c r="E8247" i="1"/>
  <c r="A8248" i="1"/>
  <c r="B8248" i="1"/>
  <c r="C8248" i="1"/>
  <c r="D8248" i="1"/>
  <c r="E8248" i="1"/>
  <c r="A8249" i="1"/>
  <c r="B8249" i="1"/>
  <c r="C8249" i="1"/>
  <c r="D8249" i="1"/>
  <c r="E8249" i="1"/>
  <c r="A8250" i="1"/>
  <c r="B8250" i="1"/>
  <c r="C8250" i="1"/>
  <c r="D8250" i="1"/>
  <c r="E8250" i="1"/>
  <c r="A8251" i="1"/>
  <c r="B8251" i="1"/>
  <c r="C8251" i="1"/>
  <c r="D8251" i="1"/>
  <c r="E8251" i="1"/>
  <c r="A8252" i="1"/>
  <c r="B8252" i="1"/>
  <c r="C8252" i="1"/>
  <c r="D8252" i="1"/>
  <c r="E8252" i="1"/>
  <c r="A8253" i="1"/>
  <c r="B8253" i="1"/>
  <c r="C8253" i="1"/>
  <c r="D8253" i="1"/>
  <c r="E8253" i="1"/>
  <c r="A8254" i="1"/>
  <c r="B8254" i="1"/>
  <c r="C8254" i="1"/>
  <c r="D8254" i="1"/>
  <c r="E8254" i="1"/>
  <c r="A8255" i="1"/>
  <c r="B8255" i="1"/>
  <c r="C8255" i="1"/>
  <c r="D8255" i="1"/>
  <c r="E8255" i="1"/>
  <c r="A8256" i="1"/>
  <c r="B8256" i="1"/>
  <c r="C8256" i="1"/>
  <c r="D8256" i="1"/>
  <c r="E8256" i="1"/>
  <c r="A8257" i="1"/>
  <c r="B8257" i="1"/>
  <c r="C8257" i="1"/>
  <c r="D8257" i="1"/>
  <c r="E8257" i="1"/>
  <c r="A8258" i="1"/>
  <c r="B8258" i="1"/>
  <c r="C8258" i="1"/>
  <c r="D8258" i="1"/>
  <c r="E8258" i="1"/>
  <c r="A8259" i="1"/>
  <c r="B8259" i="1"/>
  <c r="C8259" i="1"/>
  <c r="D8259" i="1"/>
  <c r="E8259" i="1"/>
  <c r="A8260" i="1"/>
  <c r="B8260" i="1"/>
  <c r="C8260" i="1"/>
  <c r="D8260" i="1"/>
  <c r="E8260" i="1"/>
  <c r="A8261" i="1"/>
  <c r="B8261" i="1"/>
  <c r="C8261" i="1"/>
  <c r="D8261" i="1"/>
  <c r="E8261" i="1"/>
  <c r="A8262" i="1"/>
  <c r="B8262" i="1"/>
  <c r="C8262" i="1"/>
  <c r="D8262" i="1"/>
  <c r="E8262" i="1"/>
  <c r="A8263" i="1"/>
  <c r="B8263" i="1"/>
  <c r="C8263" i="1"/>
  <c r="D8263" i="1"/>
  <c r="E8263" i="1"/>
  <c r="A8264" i="1"/>
  <c r="B8264" i="1"/>
  <c r="C8264" i="1"/>
  <c r="D8264" i="1"/>
  <c r="E8264" i="1"/>
  <c r="A8265" i="1"/>
  <c r="B8265" i="1"/>
  <c r="C8265" i="1"/>
  <c r="D8265" i="1"/>
  <c r="E8265" i="1"/>
  <c r="A8266" i="1"/>
  <c r="B8266" i="1"/>
  <c r="C8266" i="1"/>
  <c r="D8266" i="1"/>
  <c r="E8266" i="1"/>
  <c r="A8267" i="1"/>
  <c r="B8267" i="1"/>
  <c r="C8267" i="1"/>
  <c r="D8267" i="1"/>
  <c r="E8267" i="1"/>
  <c r="A8268" i="1"/>
  <c r="B8268" i="1"/>
  <c r="C8268" i="1"/>
  <c r="D8268" i="1"/>
  <c r="E8268" i="1"/>
  <c r="A8269" i="1"/>
  <c r="B8269" i="1"/>
  <c r="C8269" i="1"/>
  <c r="D8269" i="1"/>
  <c r="E8269" i="1"/>
  <c r="A8270" i="1"/>
  <c r="B8270" i="1"/>
  <c r="C8270" i="1"/>
  <c r="D8270" i="1"/>
  <c r="E8270" i="1"/>
  <c r="A8271" i="1"/>
  <c r="B8271" i="1"/>
  <c r="C8271" i="1"/>
  <c r="D8271" i="1"/>
  <c r="E8271" i="1"/>
  <c r="A8272" i="1"/>
  <c r="B8272" i="1"/>
  <c r="C8272" i="1"/>
  <c r="D8272" i="1"/>
  <c r="E8272" i="1"/>
  <c r="A8273" i="1"/>
  <c r="B8273" i="1"/>
  <c r="C8273" i="1"/>
  <c r="D8273" i="1"/>
  <c r="E8273" i="1"/>
  <c r="A8274" i="1"/>
  <c r="B8274" i="1"/>
  <c r="C8274" i="1"/>
  <c r="D8274" i="1"/>
  <c r="E8274" i="1"/>
  <c r="A8275" i="1"/>
  <c r="B8275" i="1"/>
  <c r="C8275" i="1"/>
  <c r="D8275" i="1"/>
  <c r="E8275" i="1"/>
  <c r="A8276" i="1"/>
  <c r="B8276" i="1"/>
  <c r="C8276" i="1"/>
  <c r="D8276" i="1"/>
  <c r="E8276" i="1"/>
  <c r="A8277" i="1"/>
  <c r="B8277" i="1"/>
  <c r="C8277" i="1"/>
  <c r="D8277" i="1"/>
  <c r="E8277" i="1"/>
  <c r="A8278" i="1"/>
  <c r="B8278" i="1"/>
  <c r="C8278" i="1"/>
  <c r="D8278" i="1"/>
  <c r="E8278" i="1"/>
  <c r="A8279" i="1"/>
  <c r="B8279" i="1"/>
  <c r="C8279" i="1"/>
  <c r="D8279" i="1"/>
  <c r="E8279" i="1"/>
  <c r="A8280" i="1"/>
  <c r="B8280" i="1"/>
  <c r="C8280" i="1"/>
  <c r="D8280" i="1"/>
  <c r="E8280" i="1"/>
  <c r="A8281" i="1"/>
  <c r="B8281" i="1"/>
  <c r="C8281" i="1"/>
  <c r="D8281" i="1"/>
  <c r="E8281" i="1"/>
  <c r="A8282" i="1"/>
  <c r="B8282" i="1"/>
  <c r="C8282" i="1"/>
  <c r="D8282" i="1"/>
  <c r="E8282" i="1"/>
  <c r="A8283" i="1"/>
  <c r="B8283" i="1"/>
  <c r="C8283" i="1"/>
  <c r="D8283" i="1"/>
  <c r="E8283" i="1"/>
  <c r="A8284" i="1"/>
  <c r="B8284" i="1"/>
  <c r="C8284" i="1"/>
  <c r="D8284" i="1"/>
  <c r="E8284" i="1"/>
  <c r="A8285" i="1"/>
  <c r="B8285" i="1"/>
  <c r="C8285" i="1"/>
  <c r="D8285" i="1"/>
  <c r="E8285" i="1"/>
  <c r="A8286" i="1"/>
  <c r="B8286" i="1"/>
  <c r="C8286" i="1"/>
  <c r="D8286" i="1"/>
  <c r="E8286" i="1"/>
  <c r="A8287" i="1"/>
  <c r="B8287" i="1"/>
  <c r="C8287" i="1"/>
  <c r="D8287" i="1"/>
  <c r="E8287" i="1"/>
  <c r="A8288" i="1"/>
  <c r="B8288" i="1"/>
  <c r="C8288" i="1"/>
  <c r="D8288" i="1"/>
  <c r="E8288" i="1"/>
  <c r="A8289" i="1"/>
  <c r="B8289" i="1"/>
  <c r="C8289" i="1"/>
  <c r="D8289" i="1"/>
  <c r="E8289" i="1"/>
  <c r="A8290" i="1"/>
  <c r="B8290" i="1"/>
  <c r="C8290" i="1"/>
  <c r="D8290" i="1"/>
  <c r="E8290" i="1"/>
  <c r="A8291" i="1"/>
  <c r="B8291" i="1"/>
  <c r="C8291" i="1"/>
  <c r="D8291" i="1"/>
  <c r="E8291" i="1"/>
  <c r="A8292" i="1"/>
  <c r="B8292" i="1"/>
  <c r="C8292" i="1"/>
  <c r="D8292" i="1"/>
  <c r="E8292" i="1"/>
  <c r="A8293" i="1"/>
  <c r="B8293" i="1"/>
  <c r="C8293" i="1"/>
  <c r="D8293" i="1"/>
  <c r="E8293" i="1"/>
  <c r="A8294" i="1"/>
  <c r="B8294" i="1"/>
  <c r="C8294" i="1"/>
  <c r="D8294" i="1"/>
  <c r="E8294" i="1"/>
  <c r="A8295" i="1"/>
  <c r="B8295" i="1"/>
  <c r="C8295" i="1"/>
  <c r="D8295" i="1"/>
  <c r="E8295" i="1"/>
  <c r="A8296" i="1"/>
  <c r="B8296" i="1"/>
  <c r="C8296" i="1"/>
  <c r="D8296" i="1"/>
  <c r="E8296" i="1"/>
  <c r="A8297" i="1"/>
  <c r="B8297" i="1"/>
  <c r="C8297" i="1"/>
  <c r="D8297" i="1"/>
  <c r="E8297" i="1"/>
  <c r="A8298" i="1"/>
  <c r="B8298" i="1"/>
  <c r="C8298" i="1"/>
  <c r="D8298" i="1"/>
  <c r="E8298" i="1"/>
  <c r="A8299" i="1"/>
  <c r="B8299" i="1"/>
  <c r="C8299" i="1"/>
  <c r="D8299" i="1"/>
  <c r="E8299" i="1"/>
  <c r="A8300" i="1"/>
  <c r="B8300" i="1"/>
  <c r="C8300" i="1"/>
  <c r="D8300" i="1"/>
  <c r="E8300" i="1"/>
  <c r="A8301" i="1"/>
  <c r="B8301" i="1"/>
  <c r="C8301" i="1"/>
  <c r="D8301" i="1"/>
  <c r="E8301" i="1"/>
  <c r="A8302" i="1"/>
  <c r="B8302" i="1"/>
  <c r="C8302" i="1"/>
  <c r="D8302" i="1"/>
  <c r="E8302" i="1"/>
  <c r="A8303" i="1"/>
  <c r="B8303" i="1"/>
  <c r="C8303" i="1"/>
  <c r="D8303" i="1"/>
  <c r="E8303" i="1"/>
  <c r="A8304" i="1"/>
  <c r="B8304" i="1"/>
  <c r="C8304" i="1"/>
  <c r="D8304" i="1"/>
  <c r="E8304" i="1"/>
  <c r="A8305" i="1"/>
  <c r="B8305" i="1"/>
  <c r="C8305" i="1"/>
  <c r="D8305" i="1"/>
  <c r="E8305" i="1"/>
  <c r="A8306" i="1"/>
  <c r="B8306" i="1"/>
  <c r="C8306" i="1"/>
  <c r="D8306" i="1"/>
  <c r="E8306" i="1"/>
  <c r="A8307" i="1"/>
  <c r="B8307" i="1"/>
  <c r="C8307" i="1"/>
  <c r="D8307" i="1"/>
  <c r="E8307" i="1"/>
  <c r="A8308" i="1"/>
  <c r="B8308" i="1"/>
  <c r="C8308" i="1"/>
  <c r="D8308" i="1"/>
  <c r="E8308" i="1"/>
  <c r="A8309" i="1"/>
  <c r="B8309" i="1"/>
  <c r="C8309" i="1"/>
  <c r="D8309" i="1"/>
  <c r="E8309" i="1"/>
  <c r="A8310" i="1"/>
  <c r="B8310" i="1"/>
  <c r="C8310" i="1"/>
  <c r="D8310" i="1"/>
  <c r="E8310" i="1"/>
  <c r="A8311" i="1"/>
  <c r="B8311" i="1"/>
  <c r="C8311" i="1"/>
  <c r="D8311" i="1"/>
  <c r="E8311" i="1"/>
  <c r="A8312" i="1"/>
  <c r="B8312" i="1"/>
  <c r="C8312" i="1"/>
  <c r="D8312" i="1"/>
  <c r="E8312" i="1"/>
  <c r="A8313" i="1"/>
  <c r="B8313" i="1"/>
  <c r="C8313" i="1"/>
  <c r="D8313" i="1"/>
  <c r="E8313" i="1"/>
  <c r="A8314" i="1"/>
  <c r="B8314" i="1"/>
  <c r="C8314" i="1"/>
  <c r="D8314" i="1"/>
  <c r="E8314" i="1"/>
  <c r="A8315" i="1"/>
  <c r="B8315" i="1"/>
  <c r="C8315" i="1"/>
  <c r="D8315" i="1"/>
  <c r="E8315" i="1"/>
  <c r="A8316" i="1"/>
  <c r="B8316" i="1"/>
  <c r="C8316" i="1"/>
  <c r="D8316" i="1"/>
  <c r="E8316" i="1"/>
  <c r="A8317" i="1"/>
  <c r="B8317" i="1"/>
  <c r="C8317" i="1"/>
  <c r="D8317" i="1"/>
  <c r="E8317" i="1"/>
  <c r="A8318" i="1"/>
  <c r="B8318" i="1"/>
  <c r="C8318" i="1"/>
  <c r="D8318" i="1"/>
  <c r="E8318" i="1"/>
  <c r="A8319" i="1"/>
  <c r="B8319" i="1"/>
  <c r="C8319" i="1"/>
  <c r="D8319" i="1"/>
  <c r="E8319" i="1"/>
  <c r="A8320" i="1"/>
  <c r="B8320" i="1"/>
  <c r="C8320" i="1"/>
  <c r="D8320" i="1"/>
  <c r="E8320" i="1"/>
  <c r="A8321" i="1"/>
  <c r="B8321" i="1"/>
  <c r="C8321" i="1"/>
  <c r="D8321" i="1"/>
  <c r="E8321" i="1"/>
  <c r="A8322" i="1"/>
  <c r="B8322" i="1"/>
  <c r="C8322" i="1"/>
  <c r="D8322" i="1"/>
  <c r="E8322" i="1"/>
  <c r="A8323" i="1"/>
  <c r="B8323" i="1"/>
  <c r="C8323" i="1"/>
  <c r="D8323" i="1"/>
  <c r="E8323" i="1"/>
  <c r="A8324" i="1"/>
  <c r="B8324" i="1"/>
  <c r="C8324" i="1"/>
  <c r="D8324" i="1"/>
  <c r="E8324" i="1"/>
  <c r="A8325" i="1"/>
  <c r="B8325" i="1"/>
  <c r="C8325" i="1"/>
  <c r="D8325" i="1"/>
  <c r="E8325" i="1"/>
  <c r="A8326" i="1"/>
  <c r="B8326" i="1"/>
  <c r="C8326" i="1"/>
  <c r="D8326" i="1"/>
  <c r="E8326" i="1"/>
  <c r="A8327" i="1"/>
  <c r="B8327" i="1"/>
  <c r="C8327" i="1"/>
  <c r="D8327" i="1"/>
  <c r="E8327" i="1"/>
  <c r="A8328" i="1"/>
  <c r="B8328" i="1"/>
  <c r="C8328" i="1"/>
  <c r="D8328" i="1"/>
  <c r="E8328" i="1"/>
  <c r="A8329" i="1"/>
  <c r="B8329" i="1"/>
  <c r="C8329" i="1"/>
  <c r="D8329" i="1"/>
  <c r="E8329" i="1"/>
  <c r="A8330" i="1"/>
  <c r="B8330" i="1"/>
  <c r="C8330" i="1"/>
  <c r="D8330" i="1"/>
  <c r="E8330" i="1"/>
  <c r="A8331" i="1"/>
  <c r="B8331" i="1"/>
  <c r="C8331" i="1"/>
  <c r="D8331" i="1"/>
  <c r="E8331" i="1"/>
  <c r="A8332" i="1"/>
  <c r="B8332" i="1"/>
  <c r="C8332" i="1"/>
  <c r="D8332" i="1"/>
  <c r="E8332" i="1"/>
  <c r="A8333" i="1"/>
  <c r="B8333" i="1"/>
  <c r="C8333" i="1"/>
  <c r="D8333" i="1"/>
  <c r="E8333" i="1"/>
  <c r="A8334" i="1"/>
  <c r="B8334" i="1"/>
  <c r="C8334" i="1"/>
  <c r="D8334" i="1"/>
  <c r="E8334" i="1"/>
  <c r="A8335" i="1"/>
  <c r="B8335" i="1"/>
  <c r="C8335" i="1"/>
  <c r="D8335" i="1"/>
  <c r="E8335" i="1"/>
  <c r="A8336" i="1"/>
  <c r="B8336" i="1"/>
  <c r="C8336" i="1"/>
  <c r="D8336" i="1"/>
  <c r="E8336" i="1"/>
  <c r="A8337" i="1"/>
  <c r="B8337" i="1"/>
  <c r="C8337" i="1"/>
  <c r="D8337" i="1"/>
  <c r="E8337" i="1"/>
  <c r="A8338" i="1"/>
  <c r="B8338" i="1"/>
  <c r="C8338" i="1"/>
  <c r="D8338" i="1"/>
  <c r="E8338" i="1"/>
  <c r="A8339" i="1"/>
  <c r="B8339" i="1"/>
  <c r="C8339" i="1"/>
  <c r="D8339" i="1"/>
  <c r="E8339" i="1"/>
  <c r="A8340" i="1"/>
  <c r="B8340" i="1"/>
  <c r="C8340" i="1"/>
  <c r="D8340" i="1"/>
  <c r="E8340" i="1"/>
  <c r="A8341" i="1"/>
  <c r="B8341" i="1"/>
  <c r="C8341" i="1"/>
  <c r="D8341" i="1"/>
  <c r="E8341" i="1"/>
  <c r="A8342" i="1"/>
  <c r="B8342" i="1"/>
  <c r="C8342" i="1"/>
  <c r="D8342" i="1"/>
  <c r="E8342" i="1"/>
  <c r="A8343" i="1"/>
  <c r="B8343" i="1"/>
  <c r="C8343" i="1"/>
  <c r="D8343" i="1"/>
  <c r="E8343" i="1"/>
  <c r="A8344" i="1"/>
  <c r="B8344" i="1"/>
  <c r="C8344" i="1"/>
  <c r="D8344" i="1"/>
  <c r="E8344" i="1"/>
  <c r="A8345" i="1"/>
  <c r="B8345" i="1"/>
  <c r="C8345" i="1"/>
  <c r="D8345" i="1"/>
  <c r="E8345" i="1"/>
  <c r="A8346" i="1"/>
  <c r="B8346" i="1"/>
  <c r="C8346" i="1"/>
  <c r="D8346" i="1"/>
  <c r="E8346" i="1"/>
  <c r="A8347" i="1"/>
  <c r="B8347" i="1"/>
  <c r="C8347" i="1"/>
  <c r="D8347" i="1"/>
  <c r="E8347" i="1"/>
  <c r="A8348" i="1"/>
  <c r="B8348" i="1"/>
  <c r="C8348" i="1"/>
  <c r="D8348" i="1"/>
  <c r="E8348" i="1"/>
  <c r="A8349" i="1"/>
  <c r="B8349" i="1"/>
  <c r="C8349" i="1"/>
  <c r="D8349" i="1"/>
  <c r="E8349" i="1"/>
  <c r="A8350" i="1"/>
  <c r="B8350" i="1"/>
  <c r="C8350" i="1"/>
  <c r="D8350" i="1"/>
  <c r="E8350" i="1"/>
  <c r="A8351" i="1"/>
  <c r="B8351" i="1"/>
  <c r="C8351" i="1"/>
  <c r="D8351" i="1"/>
  <c r="E8351" i="1"/>
  <c r="A8352" i="1"/>
  <c r="B8352" i="1"/>
  <c r="C8352" i="1"/>
  <c r="D8352" i="1"/>
  <c r="E8352" i="1"/>
  <c r="A8353" i="1"/>
  <c r="B8353" i="1"/>
  <c r="C8353" i="1"/>
  <c r="D8353" i="1"/>
  <c r="E8353" i="1"/>
  <c r="A8354" i="1"/>
  <c r="B8354" i="1"/>
  <c r="C8354" i="1"/>
  <c r="D8354" i="1"/>
  <c r="E8354" i="1"/>
  <c r="A8355" i="1"/>
  <c r="B8355" i="1"/>
  <c r="C8355" i="1"/>
  <c r="D8355" i="1"/>
  <c r="E8355" i="1"/>
  <c r="A8356" i="1"/>
  <c r="B8356" i="1"/>
  <c r="C8356" i="1"/>
  <c r="D8356" i="1"/>
  <c r="E8356" i="1"/>
  <c r="A8357" i="1"/>
  <c r="B8357" i="1"/>
  <c r="C8357" i="1"/>
  <c r="D8357" i="1"/>
  <c r="E8357" i="1"/>
  <c r="A8358" i="1"/>
  <c r="B8358" i="1"/>
  <c r="C8358" i="1"/>
  <c r="D8358" i="1"/>
  <c r="E8358" i="1"/>
  <c r="A8359" i="1"/>
  <c r="B8359" i="1"/>
  <c r="C8359" i="1"/>
  <c r="D8359" i="1"/>
  <c r="E8359" i="1"/>
  <c r="A8360" i="1"/>
  <c r="B8360" i="1"/>
  <c r="C8360" i="1"/>
  <c r="D8360" i="1"/>
  <c r="E8360" i="1"/>
  <c r="A8361" i="1"/>
  <c r="B8361" i="1"/>
  <c r="C8361" i="1"/>
  <c r="D8361" i="1"/>
  <c r="E8361" i="1"/>
  <c r="A8362" i="1"/>
  <c r="B8362" i="1"/>
  <c r="C8362" i="1"/>
  <c r="D8362" i="1"/>
  <c r="E8362" i="1"/>
  <c r="A8363" i="1"/>
  <c r="B8363" i="1"/>
  <c r="C8363" i="1"/>
  <c r="D8363" i="1"/>
  <c r="E8363" i="1"/>
  <c r="A8364" i="1"/>
  <c r="B8364" i="1"/>
  <c r="C8364" i="1"/>
  <c r="D8364" i="1"/>
  <c r="E8364" i="1"/>
  <c r="A8365" i="1"/>
  <c r="B8365" i="1"/>
  <c r="C8365" i="1"/>
  <c r="D8365" i="1"/>
  <c r="E8365" i="1"/>
  <c r="A8366" i="1"/>
  <c r="B8366" i="1"/>
  <c r="C8366" i="1"/>
  <c r="D8366" i="1"/>
  <c r="E8366" i="1"/>
  <c r="A8367" i="1"/>
  <c r="B8367" i="1"/>
  <c r="C8367" i="1"/>
  <c r="D8367" i="1"/>
  <c r="E8367" i="1"/>
  <c r="A8368" i="1"/>
  <c r="B8368" i="1"/>
  <c r="C8368" i="1"/>
  <c r="D8368" i="1"/>
  <c r="E8368" i="1"/>
  <c r="A8369" i="1"/>
  <c r="B8369" i="1"/>
  <c r="C8369" i="1"/>
  <c r="D8369" i="1"/>
  <c r="E8369" i="1"/>
  <c r="A8370" i="1"/>
  <c r="B8370" i="1"/>
  <c r="C8370" i="1"/>
  <c r="D8370" i="1"/>
  <c r="E8370" i="1"/>
  <c r="A8371" i="1"/>
  <c r="B8371" i="1"/>
  <c r="C8371" i="1"/>
  <c r="D8371" i="1"/>
  <c r="E8371" i="1"/>
  <c r="A8372" i="1"/>
  <c r="B8372" i="1"/>
  <c r="C8372" i="1"/>
  <c r="D8372" i="1"/>
  <c r="E8372" i="1"/>
  <c r="A8373" i="1"/>
  <c r="B8373" i="1"/>
  <c r="C8373" i="1"/>
  <c r="D8373" i="1"/>
  <c r="E8373" i="1"/>
  <c r="A8374" i="1"/>
  <c r="B8374" i="1"/>
  <c r="C8374" i="1"/>
  <c r="D8374" i="1"/>
  <c r="E8374" i="1"/>
  <c r="A8375" i="1"/>
  <c r="B8375" i="1"/>
  <c r="C8375" i="1"/>
  <c r="D8375" i="1"/>
  <c r="E8375" i="1"/>
  <c r="A8376" i="1"/>
  <c r="B8376" i="1"/>
  <c r="C8376" i="1"/>
  <c r="D8376" i="1"/>
  <c r="E8376" i="1"/>
  <c r="A8377" i="1"/>
  <c r="B8377" i="1"/>
  <c r="C8377" i="1"/>
  <c r="D8377" i="1"/>
  <c r="E8377" i="1"/>
  <c r="A8378" i="1"/>
  <c r="B8378" i="1"/>
  <c r="C8378" i="1"/>
  <c r="D8378" i="1"/>
  <c r="E8378" i="1"/>
  <c r="A8379" i="1"/>
  <c r="B8379" i="1"/>
  <c r="C8379" i="1"/>
  <c r="D8379" i="1"/>
  <c r="E8379" i="1"/>
  <c r="A8380" i="1"/>
  <c r="B8380" i="1"/>
  <c r="C8380" i="1"/>
  <c r="D8380" i="1"/>
  <c r="E8380" i="1"/>
  <c r="A8381" i="1"/>
  <c r="B8381" i="1"/>
  <c r="C8381" i="1"/>
  <c r="D8381" i="1"/>
  <c r="E8381" i="1"/>
  <c r="A8382" i="1"/>
  <c r="B8382" i="1"/>
  <c r="C8382" i="1"/>
  <c r="D8382" i="1"/>
  <c r="E8382" i="1"/>
  <c r="A8383" i="1"/>
  <c r="B8383" i="1"/>
  <c r="C8383" i="1"/>
  <c r="D8383" i="1"/>
  <c r="E8383" i="1"/>
  <c r="A8384" i="1"/>
  <c r="B8384" i="1"/>
  <c r="C8384" i="1"/>
  <c r="D8384" i="1"/>
  <c r="E8384" i="1"/>
  <c r="A8385" i="1"/>
  <c r="B8385" i="1"/>
  <c r="C8385" i="1"/>
  <c r="D8385" i="1"/>
  <c r="E8385" i="1"/>
  <c r="A8386" i="1"/>
  <c r="B8386" i="1"/>
  <c r="C8386" i="1"/>
  <c r="D8386" i="1"/>
  <c r="E8386" i="1"/>
  <c r="A8387" i="1"/>
  <c r="B8387" i="1"/>
  <c r="C8387" i="1"/>
  <c r="D8387" i="1"/>
  <c r="E8387" i="1"/>
  <c r="A8388" i="1"/>
  <c r="B8388" i="1"/>
  <c r="C8388" i="1"/>
  <c r="D8388" i="1"/>
  <c r="E8388" i="1"/>
  <c r="A8389" i="1"/>
  <c r="B8389" i="1"/>
  <c r="C8389" i="1"/>
  <c r="D8389" i="1"/>
  <c r="E8389" i="1"/>
  <c r="A8390" i="1"/>
  <c r="B8390" i="1"/>
  <c r="C8390" i="1"/>
  <c r="D8390" i="1"/>
  <c r="E8390" i="1"/>
  <c r="A8391" i="1"/>
  <c r="B8391" i="1"/>
  <c r="C8391" i="1"/>
  <c r="D8391" i="1"/>
  <c r="E8391" i="1"/>
  <c r="A8392" i="1"/>
  <c r="B8392" i="1"/>
  <c r="C8392" i="1"/>
  <c r="D8392" i="1"/>
  <c r="E8392" i="1"/>
  <c r="A8393" i="1"/>
  <c r="B8393" i="1"/>
  <c r="C8393" i="1"/>
  <c r="D8393" i="1"/>
  <c r="E8393" i="1"/>
  <c r="A8394" i="1"/>
  <c r="B8394" i="1"/>
  <c r="C8394" i="1"/>
  <c r="D8394" i="1"/>
  <c r="E8394" i="1"/>
  <c r="A8395" i="1"/>
  <c r="B8395" i="1"/>
  <c r="C8395" i="1"/>
  <c r="D8395" i="1"/>
  <c r="E8395" i="1"/>
  <c r="A8396" i="1"/>
  <c r="B8396" i="1"/>
  <c r="C8396" i="1"/>
  <c r="D8396" i="1"/>
  <c r="E8396" i="1"/>
  <c r="A8397" i="1"/>
  <c r="B8397" i="1"/>
  <c r="C8397" i="1"/>
  <c r="D8397" i="1"/>
  <c r="E8397" i="1"/>
  <c r="A8398" i="1"/>
  <c r="B8398" i="1"/>
  <c r="C8398" i="1"/>
  <c r="D8398" i="1"/>
  <c r="E8398" i="1"/>
  <c r="A8399" i="1"/>
  <c r="B8399" i="1"/>
  <c r="C8399" i="1"/>
  <c r="D8399" i="1"/>
  <c r="E8399" i="1"/>
  <c r="A8400" i="1"/>
  <c r="B8400" i="1"/>
  <c r="C8400" i="1"/>
  <c r="D8400" i="1"/>
  <c r="E8400" i="1"/>
  <c r="A8401" i="1"/>
  <c r="B8401" i="1"/>
  <c r="C8401" i="1"/>
  <c r="D8401" i="1"/>
  <c r="E8401" i="1"/>
  <c r="A8402" i="1"/>
  <c r="B8402" i="1"/>
  <c r="C8402" i="1"/>
  <c r="D8402" i="1"/>
  <c r="E8402" i="1"/>
  <c r="A8403" i="1"/>
  <c r="B8403" i="1"/>
  <c r="C8403" i="1"/>
  <c r="D8403" i="1"/>
  <c r="E8403" i="1"/>
  <c r="A8404" i="1"/>
  <c r="B8404" i="1"/>
  <c r="C8404" i="1"/>
  <c r="D8404" i="1"/>
  <c r="E8404" i="1"/>
  <c r="A8405" i="1"/>
  <c r="B8405" i="1"/>
  <c r="C8405" i="1"/>
  <c r="D8405" i="1"/>
  <c r="E8405" i="1"/>
  <c r="A8406" i="1"/>
  <c r="B8406" i="1"/>
  <c r="C8406" i="1"/>
  <c r="D8406" i="1"/>
  <c r="E8406" i="1"/>
  <c r="A8407" i="1"/>
  <c r="B8407" i="1"/>
  <c r="C8407" i="1"/>
  <c r="D8407" i="1"/>
  <c r="E8407" i="1"/>
  <c r="A8408" i="1"/>
  <c r="B8408" i="1"/>
  <c r="C8408" i="1"/>
  <c r="D8408" i="1"/>
  <c r="E8408" i="1"/>
  <c r="A8409" i="1"/>
  <c r="B8409" i="1"/>
  <c r="C8409" i="1"/>
  <c r="D8409" i="1"/>
  <c r="E8409" i="1"/>
  <c r="A8410" i="1"/>
  <c r="B8410" i="1"/>
  <c r="C8410" i="1"/>
  <c r="D8410" i="1"/>
  <c r="E8410" i="1"/>
  <c r="A8411" i="1"/>
  <c r="B8411" i="1"/>
  <c r="C8411" i="1"/>
  <c r="D8411" i="1"/>
  <c r="E8411" i="1"/>
  <c r="A8412" i="1"/>
  <c r="B8412" i="1"/>
  <c r="C8412" i="1"/>
  <c r="D8412" i="1"/>
  <c r="E8412" i="1"/>
  <c r="A8413" i="1"/>
  <c r="B8413" i="1"/>
  <c r="C8413" i="1"/>
  <c r="D8413" i="1"/>
  <c r="E8413" i="1"/>
  <c r="A8414" i="1"/>
  <c r="B8414" i="1"/>
  <c r="C8414" i="1"/>
  <c r="D8414" i="1"/>
  <c r="E8414" i="1"/>
  <c r="A8415" i="1"/>
  <c r="B8415" i="1"/>
  <c r="C8415" i="1"/>
  <c r="D8415" i="1"/>
  <c r="E8415" i="1"/>
  <c r="A8416" i="1"/>
  <c r="B8416" i="1"/>
  <c r="C8416" i="1"/>
  <c r="D8416" i="1"/>
  <c r="E8416" i="1"/>
  <c r="A8417" i="1"/>
  <c r="B8417" i="1"/>
  <c r="C8417" i="1"/>
  <c r="D8417" i="1"/>
  <c r="E8417" i="1"/>
  <c r="A8418" i="1"/>
  <c r="B8418" i="1"/>
  <c r="C8418" i="1"/>
  <c r="D8418" i="1"/>
  <c r="E8418" i="1"/>
  <c r="A8419" i="1"/>
  <c r="B8419" i="1"/>
  <c r="C8419" i="1"/>
  <c r="D8419" i="1"/>
  <c r="E8419" i="1"/>
  <c r="A8420" i="1"/>
  <c r="B8420" i="1"/>
  <c r="C8420" i="1"/>
  <c r="D8420" i="1"/>
  <c r="E8420" i="1"/>
  <c r="A8421" i="1"/>
  <c r="B8421" i="1"/>
  <c r="C8421" i="1"/>
  <c r="D8421" i="1"/>
  <c r="E8421" i="1"/>
  <c r="A8422" i="1"/>
  <c r="B8422" i="1"/>
  <c r="C8422" i="1"/>
  <c r="D8422" i="1"/>
  <c r="E8422" i="1"/>
  <c r="A8423" i="1"/>
  <c r="B8423" i="1"/>
  <c r="C8423" i="1"/>
  <c r="D8423" i="1"/>
  <c r="E8423" i="1"/>
  <c r="A8424" i="1"/>
  <c r="B8424" i="1"/>
  <c r="C8424" i="1"/>
  <c r="D8424" i="1"/>
  <c r="E8424" i="1"/>
  <c r="A8425" i="1"/>
  <c r="B8425" i="1"/>
  <c r="C8425" i="1"/>
  <c r="D8425" i="1"/>
  <c r="E8425" i="1"/>
  <c r="A8426" i="1"/>
  <c r="B8426" i="1"/>
  <c r="C8426" i="1"/>
  <c r="D8426" i="1"/>
  <c r="E8426" i="1"/>
  <c r="A8427" i="1"/>
  <c r="B8427" i="1"/>
  <c r="C8427" i="1"/>
  <c r="D8427" i="1"/>
  <c r="E8427" i="1"/>
  <c r="A8428" i="1"/>
  <c r="B8428" i="1"/>
  <c r="C8428" i="1"/>
  <c r="D8428" i="1"/>
  <c r="E8428" i="1"/>
  <c r="A8429" i="1"/>
  <c r="B8429" i="1"/>
  <c r="C8429" i="1"/>
  <c r="D8429" i="1"/>
  <c r="E8429" i="1"/>
  <c r="A8430" i="1"/>
  <c r="B8430" i="1"/>
  <c r="C8430" i="1"/>
  <c r="D8430" i="1"/>
  <c r="E8430" i="1"/>
  <c r="A8431" i="1"/>
  <c r="B8431" i="1"/>
  <c r="C8431" i="1"/>
  <c r="D8431" i="1"/>
  <c r="E8431" i="1"/>
  <c r="A8432" i="1"/>
  <c r="B8432" i="1"/>
  <c r="C8432" i="1"/>
  <c r="D8432" i="1"/>
  <c r="E8432" i="1"/>
  <c r="A8433" i="1"/>
  <c r="B8433" i="1"/>
  <c r="C8433" i="1"/>
  <c r="D8433" i="1"/>
  <c r="E8433" i="1"/>
  <c r="A8434" i="1"/>
  <c r="B8434" i="1"/>
  <c r="C8434" i="1"/>
  <c r="D8434" i="1"/>
  <c r="E8434" i="1"/>
  <c r="A8435" i="1"/>
  <c r="B8435" i="1"/>
  <c r="C8435" i="1"/>
  <c r="D8435" i="1"/>
  <c r="E8435" i="1"/>
  <c r="A8436" i="1"/>
  <c r="B8436" i="1"/>
  <c r="C8436" i="1"/>
  <c r="D8436" i="1"/>
  <c r="E8436" i="1"/>
  <c r="A8437" i="1"/>
  <c r="B8437" i="1"/>
  <c r="C8437" i="1"/>
  <c r="D8437" i="1"/>
  <c r="E8437" i="1"/>
  <c r="A8438" i="1"/>
  <c r="B8438" i="1"/>
  <c r="C8438" i="1"/>
  <c r="D8438" i="1"/>
  <c r="E8438" i="1"/>
  <c r="A8439" i="1"/>
  <c r="B8439" i="1"/>
  <c r="C8439" i="1"/>
  <c r="D8439" i="1"/>
  <c r="E8439" i="1"/>
  <c r="A8440" i="1"/>
  <c r="B8440" i="1"/>
  <c r="C8440" i="1"/>
  <c r="D8440" i="1"/>
  <c r="E8440" i="1"/>
  <c r="A8441" i="1"/>
  <c r="B8441" i="1"/>
  <c r="C8441" i="1"/>
  <c r="D8441" i="1"/>
  <c r="E8441" i="1"/>
  <c r="A8442" i="1"/>
  <c r="B8442" i="1"/>
  <c r="C8442" i="1"/>
  <c r="D8442" i="1"/>
  <c r="E8442" i="1"/>
  <c r="A8443" i="1"/>
  <c r="B8443" i="1"/>
  <c r="C8443" i="1"/>
  <c r="D8443" i="1"/>
  <c r="E8443" i="1"/>
  <c r="A8444" i="1"/>
  <c r="B8444" i="1"/>
  <c r="C8444" i="1"/>
  <c r="D8444" i="1"/>
  <c r="E8444" i="1"/>
  <c r="A8445" i="1"/>
  <c r="B8445" i="1"/>
  <c r="C8445" i="1"/>
  <c r="D8445" i="1"/>
  <c r="E8445" i="1"/>
  <c r="A8446" i="1"/>
  <c r="B8446" i="1"/>
  <c r="C8446" i="1"/>
  <c r="D8446" i="1"/>
  <c r="E8446" i="1"/>
  <c r="A8447" i="1"/>
  <c r="B8447" i="1"/>
  <c r="C8447" i="1"/>
  <c r="D8447" i="1"/>
  <c r="E8447" i="1"/>
  <c r="A8448" i="1"/>
  <c r="B8448" i="1"/>
  <c r="C8448" i="1"/>
  <c r="D8448" i="1"/>
  <c r="E8448" i="1"/>
  <c r="A8449" i="1"/>
  <c r="B8449" i="1"/>
  <c r="C8449" i="1"/>
  <c r="D8449" i="1"/>
  <c r="E8449" i="1"/>
  <c r="A8450" i="1"/>
  <c r="B8450" i="1"/>
  <c r="C8450" i="1"/>
  <c r="D8450" i="1"/>
  <c r="E8450" i="1"/>
  <c r="A8451" i="1"/>
  <c r="B8451" i="1"/>
  <c r="C8451" i="1"/>
  <c r="D8451" i="1"/>
  <c r="E8451" i="1"/>
  <c r="A8452" i="1"/>
  <c r="B8452" i="1"/>
  <c r="C8452" i="1"/>
  <c r="D8452" i="1"/>
  <c r="E8452" i="1"/>
  <c r="A8453" i="1"/>
  <c r="B8453" i="1"/>
  <c r="C8453" i="1"/>
  <c r="D8453" i="1"/>
  <c r="E8453" i="1"/>
  <c r="A8454" i="1"/>
  <c r="B8454" i="1"/>
  <c r="C8454" i="1"/>
  <c r="D8454" i="1"/>
  <c r="E8454" i="1"/>
  <c r="A8455" i="1"/>
  <c r="B8455" i="1"/>
  <c r="C8455" i="1"/>
  <c r="D8455" i="1"/>
  <c r="E8455" i="1"/>
  <c r="A8456" i="1"/>
  <c r="B8456" i="1"/>
  <c r="C8456" i="1"/>
  <c r="D8456" i="1"/>
  <c r="E8456" i="1"/>
  <c r="A8457" i="1"/>
  <c r="B8457" i="1"/>
  <c r="C8457" i="1"/>
  <c r="D8457" i="1"/>
  <c r="E8457" i="1"/>
  <c r="A8458" i="1"/>
  <c r="B8458" i="1"/>
  <c r="C8458" i="1"/>
  <c r="D8458" i="1"/>
  <c r="E8458" i="1"/>
  <c r="A8459" i="1"/>
  <c r="B8459" i="1"/>
  <c r="C8459" i="1"/>
  <c r="D8459" i="1"/>
  <c r="E8459" i="1"/>
  <c r="A8460" i="1"/>
  <c r="B8460" i="1"/>
  <c r="C8460" i="1"/>
  <c r="D8460" i="1"/>
  <c r="E8460" i="1"/>
  <c r="A8461" i="1"/>
  <c r="B8461" i="1"/>
  <c r="C8461" i="1"/>
  <c r="D8461" i="1"/>
  <c r="E8461" i="1"/>
  <c r="A8462" i="1"/>
  <c r="B8462" i="1"/>
  <c r="C8462" i="1"/>
  <c r="D8462" i="1"/>
  <c r="E8462" i="1"/>
  <c r="A8463" i="1"/>
  <c r="B8463" i="1"/>
  <c r="C8463" i="1"/>
  <c r="D8463" i="1"/>
  <c r="E8463" i="1"/>
  <c r="A8464" i="1"/>
  <c r="B8464" i="1"/>
  <c r="C8464" i="1"/>
  <c r="D8464" i="1"/>
  <c r="E8464" i="1"/>
  <c r="A8465" i="1"/>
  <c r="B8465" i="1"/>
  <c r="C8465" i="1"/>
  <c r="D8465" i="1"/>
  <c r="E8465" i="1"/>
  <c r="A8466" i="1"/>
  <c r="B8466" i="1"/>
  <c r="C8466" i="1"/>
  <c r="D8466" i="1"/>
  <c r="E8466" i="1"/>
  <c r="A8467" i="1"/>
  <c r="B8467" i="1"/>
  <c r="C8467" i="1"/>
  <c r="D8467" i="1"/>
  <c r="E8467" i="1"/>
  <c r="A8468" i="1"/>
  <c r="B8468" i="1"/>
  <c r="C8468" i="1"/>
  <c r="D8468" i="1"/>
  <c r="E8468" i="1"/>
  <c r="A8469" i="1"/>
  <c r="B8469" i="1"/>
  <c r="C8469" i="1"/>
  <c r="D8469" i="1"/>
  <c r="E8469" i="1"/>
  <c r="A8470" i="1"/>
  <c r="B8470" i="1"/>
  <c r="C8470" i="1"/>
  <c r="D8470" i="1"/>
  <c r="E8470" i="1"/>
  <c r="A8471" i="1"/>
  <c r="B8471" i="1"/>
  <c r="C8471" i="1"/>
  <c r="D8471" i="1"/>
  <c r="E8471" i="1"/>
  <c r="A8472" i="1"/>
  <c r="B8472" i="1"/>
  <c r="C8472" i="1"/>
  <c r="D8472" i="1"/>
  <c r="E8472" i="1"/>
  <c r="A8473" i="1"/>
  <c r="B8473" i="1"/>
  <c r="C8473" i="1"/>
  <c r="D8473" i="1"/>
  <c r="E8473" i="1"/>
  <c r="A8474" i="1"/>
  <c r="B8474" i="1"/>
  <c r="C8474" i="1"/>
  <c r="D8474" i="1"/>
  <c r="E8474" i="1"/>
  <c r="A8475" i="1"/>
  <c r="B8475" i="1"/>
  <c r="C8475" i="1"/>
  <c r="D8475" i="1"/>
  <c r="E8475" i="1"/>
  <c r="A8476" i="1"/>
  <c r="B8476" i="1"/>
  <c r="C8476" i="1"/>
  <c r="D8476" i="1"/>
  <c r="E8476" i="1"/>
  <c r="A8477" i="1"/>
  <c r="B8477" i="1"/>
  <c r="C8477" i="1"/>
  <c r="D8477" i="1"/>
  <c r="E8477" i="1"/>
  <c r="A8478" i="1"/>
  <c r="B8478" i="1"/>
  <c r="C8478" i="1"/>
  <c r="D8478" i="1"/>
  <c r="E8478" i="1"/>
  <c r="A8479" i="1"/>
  <c r="B8479" i="1"/>
  <c r="C8479" i="1"/>
  <c r="D8479" i="1"/>
  <c r="E8479" i="1"/>
  <c r="A8480" i="1"/>
  <c r="B8480" i="1"/>
  <c r="C8480" i="1"/>
  <c r="D8480" i="1"/>
  <c r="E8480" i="1"/>
  <c r="A8481" i="1"/>
  <c r="B8481" i="1"/>
  <c r="C8481" i="1"/>
  <c r="D8481" i="1"/>
  <c r="E8481" i="1"/>
  <c r="A8482" i="1"/>
  <c r="B8482" i="1"/>
  <c r="C8482" i="1"/>
  <c r="D8482" i="1"/>
  <c r="E8482" i="1"/>
  <c r="A8483" i="1"/>
  <c r="B8483" i="1"/>
  <c r="C8483" i="1"/>
  <c r="D8483" i="1"/>
  <c r="E8483" i="1"/>
  <c r="A8484" i="1"/>
  <c r="B8484" i="1"/>
  <c r="C8484" i="1"/>
  <c r="D8484" i="1"/>
  <c r="E8484" i="1"/>
  <c r="A8485" i="1"/>
  <c r="B8485" i="1"/>
  <c r="C8485" i="1"/>
  <c r="D8485" i="1"/>
  <c r="E8485" i="1"/>
  <c r="A8486" i="1"/>
  <c r="B8486" i="1"/>
  <c r="C8486" i="1"/>
  <c r="D8486" i="1"/>
  <c r="E8486" i="1"/>
  <c r="A8487" i="1"/>
  <c r="B8487" i="1"/>
  <c r="C8487" i="1"/>
  <c r="D8487" i="1"/>
  <c r="E8487" i="1"/>
  <c r="A8488" i="1"/>
  <c r="B8488" i="1"/>
  <c r="C8488" i="1"/>
  <c r="D8488" i="1"/>
  <c r="E8488" i="1"/>
  <c r="A8489" i="1"/>
  <c r="B8489" i="1"/>
  <c r="C8489" i="1"/>
  <c r="D8489" i="1"/>
  <c r="E8489" i="1"/>
  <c r="A8490" i="1"/>
  <c r="B8490" i="1"/>
  <c r="C8490" i="1"/>
  <c r="D8490" i="1"/>
  <c r="E8490" i="1"/>
  <c r="A8491" i="1"/>
  <c r="B8491" i="1"/>
  <c r="C8491" i="1"/>
  <c r="D8491" i="1"/>
  <c r="E8491" i="1"/>
  <c r="A8492" i="1"/>
  <c r="B8492" i="1"/>
  <c r="C8492" i="1"/>
  <c r="D8492" i="1"/>
  <c r="E8492" i="1"/>
  <c r="A8493" i="1"/>
  <c r="B8493" i="1"/>
  <c r="C8493" i="1"/>
  <c r="D8493" i="1"/>
  <c r="E8493" i="1"/>
  <c r="A8494" i="1"/>
  <c r="B8494" i="1"/>
  <c r="C8494" i="1"/>
  <c r="D8494" i="1"/>
  <c r="E8494" i="1"/>
  <c r="A8495" i="1"/>
  <c r="B8495" i="1"/>
  <c r="C8495" i="1"/>
  <c r="D8495" i="1"/>
  <c r="E8495" i="1"/>
  <c r="A8496" i="1"/>
  <c r="B8496" i="1"/>
  <c r="C8496" i="1"/>
  <c r="D8496" i="1"/>
  <c r="E8496" i="1"/>
  <c r="A8497" i="1"/>
  <c r="B8497" i="1"/>
  <c r="C8497" i="1"/>
  <c r="D8497" i="1"/>
  <c r="E8497" i="1"/>
  <c r="A8498" i="1"/>
  <c r="B8498" i="1"/>
  <c r="C8498" i="1"/>
  <c r="D8498" i="1"/>
  <c r="E8498" i="1"/>
  <c r="A8499" i="1"/>
  <c r="B8499" i="1"/>
  <c r="C8499" i="1"/>
  <c r="D8499" i="1"/>
  <c r="E8499" i="1"/>
  <c r="A8500" i="1"/>
  <c r="B8500" i="1"/>
  <c r="C8500" i="1"/>
  <c r="D8500" i="1"/>
  <c r="E8500" i="1"/>
  <c r="A8501" i="1"/>
  <c r="B8501" i="1"/>
  <c r="C8501" i="1"/>
  <c r="D8501" i="1"/>
  <c r="E8501" i="1"/>
  <c r="A8502" i="1"/>
  <c r="B8502" i="1"/>
  <c r="C8502" i="1"/>
  <c r="D8502" i="1"/>
  <c r="E8502" i="1"/>
  <c r="A8503" i="1"/>
  <c r="B8503" i="1"/>
  <c r="C8503" i="1"/>
  <c r="D8503" i="1"/>
  <c r="E8503" i="1"/>
  <c r="A8504" i="1"/>
  <c r="B8504" i="1"/>
  <c r="C8504" i="1"/>
  <c r="D8504" i="1"/>
  <c r="E8504" i="1"/>
  <c r="A8505" i="1"/>
  <c r="B8505" i="1"/>
  <c r="C8505" i="1"/>
  <c r="D8505" i="1"/>
  <c r="E8505" i="1"/>
  <c r="A8506" i="1"/>
  <c r="B8506" i="1"/>
  <c r="C8506" i="1"/>
  <c r="D8506" i="1"/>
  <c r="E8506" i="1"/>
  <c r="A8507" i="1"/>
  <c r="B8507" i="1"/>
  <c r="C8507" i="1"/>
  <c r="D8507" i="1"/>
  <c r="E8507" i="1"/>
  <c r="A8508" i="1"/>
  <c r="B8508" i="1"/>
  <c r="C8508" i="1"/>
  <c r="D8508" i="1"/>
  <c r="E8508" i="1"/>
  <c r="A8509" i="1"/>
  <c r="B8509" i="1"/>
  <c r="C8509" i="1"/>
  <c r="D8509" i="1"/>
  <c r="E8509" i="1"/>
  <c r="A8510" i="1"/>
  <c r="B8510" i="1"/>
  <c r="C8510" i="1"/>
  <c r="D8510" i="1"/>
  <c r="E8510" i="1"/>
  <c r="A8511" i="1"/>
  <c r="B8511" i="1"/>
  <c r="C8511" i="1"/>
  <c r="D8511" i="1"/>
  <c r="E8511" i="1"/>
  <c r="A8512" i="1"/>
  <c r="B8512" i="1"/>
  <c r="C8512" i="1"/>
  <c r="D8512" i="1"/>
  <c r="E8512" i="1"/>
  <c r="A8513" i="1"/>
  <c r="B8513" i="1"/>
  <c r="C8513" i="1"/>
  <c r="D8513" i="1"/>
  <c r="E8513" i="1"/>
  <c r="A8514" i="1"/>
  <c r="B8514" i="1"/>
  <c r="C8514" i="1"/>
  <c r="D8514" i="1"/>
  <c r="E8514" i="1"/>
  <c r="A8515" i="1"/>
  <c r="B8515" i="1"/>
  <c r="C8515" i="1"/>
  <c r="D8515" i="1"/>
  <c r="E8515" i="1"/>
  <c r="A8516" i="1"/>
  <c r="B8516" i="1"/>
  <c r="C8516" i="1"/>
  <c r="D8516" i="1"/>
  <c r="E8516" i="1"/>
  <c r="A8517" i="1"/>
  <c r="B8517" i="1"/>
  <c r="C8517" i="1"/>
  <c r="D8517" i="1"/>
  <c r="E8517" i="1"/>
  <c r="A8518" i="1"/>
  <c r="B8518" i="1"/>
  <c r="C8518" i="1"/>
  <c r="D8518" i="1"/>
  <c r="E8518" i="1"/>
  <c r="A8519" i="1"/>
  <c r="B8519" i="1"/>
  <c r="C8519" i="1"/>
  <c r="D8519" i="1"/>
  <c r="E8519" i="1"/>
  <c r="A8520" i="1"/>
  <c r="B8520" i="1"/>
  <c r="C8520" i="1"/>
  <c r="D8520" i="1"/>
  <c r="E8520" i="1"/>
  <c r="A8521" i="1"/>
  <c r="B8521" i="1"/>
  <c r="C8521" i="1"/>
  <c r="D8521" i="1"/>
  <c r="E8521" i="1"/>
  <c r="A8522" i="1"/>
  <c r="B8522" i="1"/>
  <c r="C8522" i="1"/>
  <c r="D8522" i="1"/>
  <c r="E8522" i="1"/>
  <c r="A8523" i="1"/>
  <c r="B8523" i="1"/>
  <c r="C8523" i="1"/>
  <c r="D8523" i="1"/>
  <c r="E8523" i="1"/>
  <c r="A8524" i="1"/>
  <c r="B8524" i="1"/>
  <c r="C8524" i="1"/>
  <c r="D8524" i="1"/>
  <c r="E8524" i="1"/>
  <c r="A8525" i="1"/>
  <c r="B8525" i="1"/>
  <c r="C8525" i="1"/>
  <c r="D8525" i="1"/>
  <c r="E8525" i="1"/>
  <c r="A8526" i="1"/>
  <c r="B8526" i="1"/>
  <c r="C8526" i="1"/>
  <c r="D8526" i="1"/>
  <c r="E8526" i="1"/>
  <c r="A8527" i="1"/>
  <c r="B8527" i="1"/>
  <c r="C8527" i="1"/>
  <c r="D8527" i="1"/>
  <c r="E8527" i="1"/>
  <c r="A8528" i="1"/>
  <c r="B8528" i="1"/>
  <c r="C8528" i="1"/>
  <c r="D8528" i="1"/>
  <c r="E8528" i="1"/>
  <c r="A8529" i="1"/>
  <c r="B8529" i="1"/>
  <c r="C8529" i="1"/>
  <c r="D8529" i="1"/>
  <c r="E8529" i="1"/>
  <c r="A8530" i="1"/>
  <c r="B8530" i="1"/>
  <c r="C8530" i="1"/>
  <c r="D8530" i="1"/>
  <c r="E8530" i="1"/>
  <c r="A8531" i="1"/>
  <c r="B8531" i="1"/>
  <c r="C8531" i="1"/>
  <c r="D8531" i="1"/>
  <c r="E8531" i="1"/>
  <c r="A8532" i="1"/>
  <c r="B8532" i="1"/>
  <c r="C8532" i="1"/>
  <c r="D8532" i="1"/>
  <c r="E8532" i="1"/>
  <c r="A8533" i="1"/>
  <c r="B8533" i="1"/>
  <c r="C8533" i="1"/>
  <c r="D8533" i="1"/>
  <c r="E8533" i="1"/>
  <c r="A8534" i="1"/>
  <c r="B8534" i="1"/>
  <c r="C8534" i="1"/>
  <c r="D8534" i="1"/>
  <c r="E8534" i="1"/>
  <c r="A8535" i="1"/>
  <c r="B8535" i="1"/>
  <c r="C8535" i="1"/>
  <c r="D8535" i="1"/>
  <c r="E8535" i="1"/>
  <c r="A8536" i="1"/>
  <c r="B8536" i="1"/>
  <c r="C8536" i="1"/>
  <c r="D8536" i="1"/>
  <c r="E8536" i="1"/>
  <c r="A8537" i="1"/>
  <c r="B8537" i="1"/>
  <c r="C8537" i="1"/>
  <c r="D8537" i="1"/>
  <c r="E8537" i="1"/>
  <c r="A8538" i="1"/>
  <c r="B8538" i="1"/>
  <c r="C8538" i="1"/>
  <c r="D8538" i="1"/>
  <c r="E8538" i="1"/>
  <c r="A8539" i="1"/>
  <c r="B8539" i="1"/>
  <c r="C8539" i="1"/>
  <c r="D8539" i="1"/>
  <c r="E8539" i="1"/>
  <c r="A8540" i="1"/>
  <c r="B8540" i="1"/>
  <c r="C8540" i="1"/>
  <c r="D8540" i="1"/>
  <c r="E8540" i="1"/>
  <c r="A8541" i="1"/>
  <c r="B8541" i="1"/>
  <c r="C8541" i="1"/>
  <c r="D8541" i="1"/>
  <c r="E8541" i="1"/>
  <c r="A8542" i="1"/>
  <c r="B8542" i="1"/>
  <c r="C8542" i="1"/>
  <c r="D8542" i="1"/>
  <c r="E8542" i="1"/>
  <c r="A8543" i="1"/>
  <c r="B8543" i="1"/>
  <c r="C8543" i="1"/>
  <c r="D8543" i="1"/>
  <c r="E8543" i="1"/>
  <c r="A8544" i="1"/>
  <c r="B8544" i="1"/>
  <c r="C8544" i="1"/>
  <c r="D8544" i="1"/>
  <c r="E8544" i="1"/>
  <c r="A8545" i="1"/>
  <c r="B8545" i="1"/>
  <c r="C8545" i="1"/>
  <c r="D8545" i="1"/>
  <c r="E8545" i="1"/>
  <c r="A8546" i="1"/>
  <c r="B8546" i="1"/>
  <c r="C8546" i="1"/>
  <c r="D8546" i="1"/>
  <c r="E8546" i="1"/>
  <c r="A8547" i="1"/>
  <c r="B8547" i="1"/>
  <c r="C8547" i="1"/>
  <c r="D8547" i="1"/>
  <c r="E8547" i="1"/>
  <c r="A8548" i="1"/>
  <c r="B8548" i="1"/>
  <c r="C8548" i="1"/>
  <c r="D8548" i="1"/>
  <c r="E8548" i="1"/>
  <c r="A8549" i="1"/>
  <c r="B8549" i="1"/>
  <c r="C8549" i="1"/>
  <c r="D8549" i="1"/>
  <c r="E8549" i="1"/>
  <c r="A8550" i="1"/>
  <c r="B8550" i="1"/>
  <c r="C8550" i="1"/>
  <c r="D8550" i="1"/>
  <c r="E8550" i="1"/>
  <c r="A8551" i="1"/>
  <c r="B8551" i="1"/>
  <c r="C8551" i="1"/>
  <c r="D8551" i="1"/>
  <c r="E8551" i="1"/>
  <c r="A8552" i="1"/>
  <c r="B8552" i="1"/>
  <c r="C8552" i="1"/>
  <c r="D8552" i="1"/>
  <c r="E8552" i="1"/>
  <c r="A8553" i="1"/>
  <c r="B8553" i="1"/>
  <c r="C8553" i="1"/>
  <c r="D8553" i="1"/>
  <c r="E8553" i="1"/>
  <c r="A8554" i="1"/>
  <c r="B8554" i="1"/>
  <c r="C8554" i="1"/>
  <c r="D8554" i="1"/>
  <c r="E8554" i="1"/>
  <c r="A8555" i="1"/>
  <c r="B8555" i="1"/>
  <c r="C8555" i="1"/>
  <c r="D8555" i="1"/>
  <c r="E8555" i="1"/>
  <c r="A8556" i="1"/>
  <c r="B8556" i="1"/>
  <c r="C8556" i="1"/>
  <c r="D8556" i="1"/>
  <c r="E8556" i="1"/>
  <c r="A8557" i="1"/>
  <c r="B8557" i="1"/>
  <c r="C8557" i="1"/>
  <c r="D8557" i="1"/>
  <c r="E8557" i="1"/>
  <c r="A8558" i="1"/>
  <c r="B8558" i="1"/>
  <c r="C8558" i="1"/>
  <c r="D8558" i="1"/>
  <c r="E8558" i="1"/>
  <c r="A8559" i="1"/>
  <c r="B8559" i="1"/>
  <c r="C8559" i="1"/>
  <c r="D8559" i="1"/>
  <c r="E8559" i="1"/>
  <c r="A8560" i="1"/>
  <c r="B8560" i="1"/>
  <c r="C8560" i="1"/>
  <c r="D8560" i="1"/>
  <c r="E8560" i="1"/>
  <c r="A8561" i="1"/>
  <c r="B8561" i="1"/>
  <c r="C8561" i="1"/>
  <c r="D8561" i="1"/>
  <c r="E8561" i="1"/>
  <c r="A8562" i="1"/>
  <c r="B8562" i="1"/>
  <c r="C8562" i="1"/>
  <c r="D8562" i="1"/>
  <c r="E8562" i="1"/>
  <c r="A8563" i="1"/>
  <c r="B8563" i="1"/>
  <c r="C8563" i="1"/>
  <c r="D8563" i="1"/>
  <c r="E8563" i="1"/>
  <c r="A8564" i="1"/>
  <c r="B8564" i="1"/>
  <c r="C8564" i="1"/>
  <c r="D8564" i="1"/>
  <c r="E8564" i="1"/>
  <c r="A8565" i="1"/>
  <c r="B8565" i="1"/>
  <c r="C8565" i="1"/>
  <c r="D8565" i="1"/>
  <c r="E8565" i="1"/>
  <c r="A8566" i="1"/>
  <c r="B8566" i="1"/>
  <c r="C8566" i="1"/>
  <c r="D8566" i="1"/>
  <c r="E8566" i="1"/>
  <c r="A8567" i="1"/>
  <c r="B8567" i="1"/>
  <c r="C8567" i="1"/>
  <c r="D8567" i="1"/>
  <c r="E8567" i="1"/>
  <c r="A8568" i="1"/>
  <c r="B8568" i="1"/>
  <c r="C8568" i="1"/>
  <c r="D8568" i="1"/>
  <c r="E8568" i="1"/>
  <c r="A8569" i="1"/>
  <c r="B8569" i="1"/>
  <c r="C8569" i="1"/>
  <c r="D8569" i="1"/>
  <c r="E8569" i="1"/>
  <c r="A8570" i="1"/>
  <c r="B8570" i="1"/>
  <c r="C8570" i="1"/>
  <c r="D8570" i="1"/>
  <c r="E8570" i="1"/>
  <c r="A8571" i="1"/>
  <c r="B8571" i="1"/>
  <c r="C8571" i="1"/>
  <c r="D8571" i="1"/>
  <c r="E8571" i="1"/>
  <c r="A8572" i="1"/>
  <c r="B8572" i="1"/>
  <c r="C8572" i="1"/>
  <c r="D8572" i="1"/>
  <c r="E8572" i="1"/>
  <c r="A8573" i="1"/>
  <c r="B8573" i="1"/>
  <c r="C8573" i="1"/>
  <c r="D8573" i="1"/>
  <c r="E8573" i="1"/>
  <c r="A8574" i="1"/>
  <c r="B8574" i="1"/>
  <c r="C8574" i="1"/>
  <c r="D8574" i="1"/>
  <c r="E8574" i="1"/>
  <c r="A8575" i="1"/>
  <c r="B8575" i="1"/>
  <c r="C8575" i="1"/>
  <c r="D8575" i="1"/>
  <c r="E8575" i="1"/>
  <c r="A8576" i="1"/>
  <c r="B8576" i="1"/>
  <c r="C8576" i="1"/>
  <c r="D8576" i="1"/>
  <c r="E8576" i="1"/>
  <c r="A8577" i="1"/>
  <c r="B8577" i="1"/>
  <c r="C8577" i="1"/>
  <c r="D8577" i="1"/>
  <c r="E8577" i="1"/>
  <c r="A8578" i="1"/>
  <c r="B8578" i="1"/>
  <c r="C8578" i="1"/>
  <c r="D8578" i="1"/>
  <c r="E8578" i="1"/>
  <c r="A8579" i="1"/>
  <c r="B8579" i="1"/>
  <c r="C8579" i="1"/>
  <c r="D8579" i="1"/>
  <c r="E8579" i="1"/>
  <c r="A8580" i="1"/>
  <c r="B8580" i="1"/>
  <c r="C8580" i="1"/>
  <c r="D8580" i="1"/>
  <c r="E8580" i="1"/>
  <c r="A8581" i="1"/>
  <c r="B8581" i="1"/>
  <c r="C8581" i="1"/>
  <c r="D8581" i="1"/>
  <c r="E8581" i="1"/>
  <c r="A8582" i="1"/>
  <c r="B8582" i="1"/>
  <c r="C8582" i="1"/>
  <c r="D8582" i="1"/>
  <c r="E8582" i="1"/>
  <c r="A8583" i="1"/>
  <c r="B8583" i="1"/>
  <c r="C8583" i="1"/>
  <c r="D8583" i="1"/>
  <c r="E8583" i="1"/>
  <c r="A8584" i="1"/>
  <c r="B8584" i="1"/>
  <c r="C8584" i="1"/>
  <c r="D8584" i="1"/>
  <c r="E8584" i="1"/>
  <c r="A8585" i="1"/>
  <c r="B8585" i="1"/>
  <c r="C8585" i="1"/>
  <c r="D8585" i="1"/>
  <c r="E8585" i="1"/>
  <c r="A8586" i="1"/>
  <c r="B8586" i="1"/>
  <c r="C8586" i="1"/>
  <c r="D8586" i="1"/>
  <c r="E8586" i="1"/>
  <c r="A8587" i="1"/>
  <c r="B8587" i="1"/>
  <c r="C8587" i="1"/>
  <c r="D8587" i="1"/>
  <c r="E8587" i="1"/>
  <c r="A8588" i="1"/>
  <c r="B8588" i="1"/>
  <c r="C8588" i="1"/>
  <c r="D8588" i="1"/>
  <c r="E8588" i="1"/>
  <c r="A8589" i="1"/>
  <c r="B8589" i="1"/>
  <c r="C8589" i="1"/>
  <c r="D8589" i="1"/>
  <c r="E8589" i="1"/>
  <c r="A8590" i="1"/>
  <c r="B8590" i="1"/>
  <c r="C8590" i="1"/>
  <c r="D8590" i="1"/>
  <c r="E8590" i="1"/>
  <c r="A8591" i="1"/>
  <c r="B8591" i="1"/>
  <c r="C8591" i="1"/>
  <c r="D8591" i="1"/>
  <c r="E8591" i="1"/>
  <c r="A8592" i="1"/>
  <c r="B8592" i="1"/>
  <c r="C8592" i="1"/>
  <c r="D8592" i="1"/>
  <c r="E8592" i="1"/>
  <c r="A8593" i="1"/>
  <c r="B8593" i="1"/>
  <c r="C8593" i="1"/>
  <c r="D8593" i="1"/>
  <c r="E8593" i="1"/>
  <c r="A8594" i="1"/>
  <c r="B8594" i="1"/>
  <c r="C8594" i="1"/>
  <c r="D8594" i="1"/>
  <c r="E8594" i="1"/>
  <c r="A8595" i="1"/>
  <c r="B8595" i="1"/>
  <c r="C8595" i="1"/>
  <c r="D8595" i="1"/>
  <c r="E8595" i="1"/>
  <c r="A8596" i="1"/>
  <c r="B8596" i="1"/>
  <c r="C8596" i="1"/>
  <c r="D8596" i="1"/>
  <c r="E8596" i="1"/>
  <c r="A8597" i="1"/>
  <c r="B8597" i="1"/>
  <c r="C8597" i="1"/>
  <c r="D8597" i="1"/>
  <c r="E8597" i="1"/>
  <c r="A8598" i="1"/>
  <c r="B8598" i="1"/>
  <c r="C8598" i="1"/>
  <c r="D8598" i="1"/>
  <c r="E8598" i="1"/>
  <c r="A8599" i="1"/>
  <c r="B8599" i="1"/>
  <c r="C8599" i="1"/>
  <c r="D8599" i="1"/>
  <c r="E8599" i="1"/>
  <c r="A8600" i="1"/>
  <c r="B8600" i="1"/>
  <c r="C8600" i="1"/>
  <c r="D8600" i="1"/>
  <c r="E8600" i="1"/>
  <c r="A8601" i="1"/>
  <c r="B8601" i="1"/>
  <c r="C8601" i="1"/>
  <c r="D8601" i="1"/>
  <c r="E8601" i="1"/>
  <c r="A8602" i="1"/>
  <c r="B8602" i="1"/>
  <c r="C8602" i="1"/>
  <c r="D8602" i="1"/>
  <c r="E8602" i="1"/>
  <c r="A8603" i="1"/>
  <c r="B8603" i="1"/>
  <c r="C8603" i="1"/>
  <c r="D8603" i="1"/>
  <c r="E8603" i="1"/>
  <c r="A8604" i="1"/>
  <c r="B8604" i="1"/>
  <c r="C8604" i="1"/>
  <c r="D8604" i="1"/>
  <c r="E8604" i="1"/>
  <c r="A8605" i="1"/>
  <c r="B8605" i="1"/>
  <c r="C8605" i="1"/>
  <c r="D8605" i="1"/>
  <c r="E8605" i="1"/>
  <c r="A8606" i="1"/>
  <c r="B8606" i="1"/>
  <c r="C8606" i="1"/>
  <c r="D8606" i="1"/>
  <c r="E8606" i="1"/>
  <c r="A8607" i="1"/>
  <c r="B8607" i="1"/>
  <c r="C8607" i="1"/>
  <c r="D8607" i="1"/>
  <c r="E8607" i="1"/>
  <c r="A8608" i="1"/>
  <c r="B8608" i="1"/>
  <c r="C8608" i="1"/>
  <c r="D8608" i="1"/>
  <c r="E8608" i="1"/>
  <c r="A8609" i="1"/>
  <c r="B8609" i="1"/>
  <c r="C8609" i="1"/>
  <c r="D8609" i="1"/>
  <c r="E8609" i="1"/>
  <c r="A8610" i="1"/>
  <c r="B8610" i="1"/>
  <c r="C8610" i="1"/>
  <c r="D8610" i="1"/>
  <c r="E8610" i="1"/>
  <c r="A8611" i="1"/>
  <c r="B8611" i="1"/>
  <c r="C8611" i="1"/>
  <c r="D8611" i="1"/>
  <c r="E8611" i="1"/>
  <c r="A8612" i="1"/>
  <c r="B8612" i="1"/>
  <c r="C8612" i="1"/>
  <c r="D8612" i="1"/>
  <c r="E8612" i="1"/>
  <c r="A8613" i="1"/>
  <c r="B8613" i="1"/>
  <c r="C8613" i="1"/>
  <c r="D8613" i="1"/>
  <c r="E8613" i="1"/>
  <c r="A8614" i="1"/>
  <c r="B8614" i="1"/>
  <c r="C8614" i="1"/>
  <c r="D8614" i="1"/>
  <c r="E8614" i="1"/>
  <c r="A8615" i="1"/>
  <c r="B8615" i="1"/>
  <c r="C8615" i="1"/>
  <c r="D8615" i="1"/>
  <c r="E8615" i="1"/>
  <c r="A8616" i="1"/>
  <c r="B8616" i="1"/>
  <c r="C8616" i="1"/>
  <c r="D8616" i="1"/>
  <c r="E8616" i="1"/>
  <c r="A8617" i="1"/>
  <c r="B8617" i="1"/>
  <c r="C8617" i="1"/>
  <c r="D8617" i="1"/>
  <c r="E8617" i="1"/>
  <c r="A8618" i="1"/>
  <c r="B8618" i="1"/>
  <c r="C8618" i="1"/>
  <c r="D8618" i="1"/>
  <c r="E8618" i="1"/>
  <c r="A8619" i="1"/>
  <c r="B8619" i="1"/>
  <c r="C8619" i="1"/>
  <c r="D8619" i="1"/>
  <c r="E8619" i="1"/>
  <c r="A8620" i="1"/>
  <c r="B8620" i="1"/>
  <c r="C8620" i="1"/>
  <c r="D8620" i="1"/>
  <c r="E8620" i="1"/>
  <c r="A8621" i="1"/>
  <c r="B8621" i="1"/>
  <c r="C8621" i="1"/>
  <c r="D8621" i="1"/>
  <c r="E8621" i="1"/>
  <c r="A8622" i="1"/>
  <c r="B8622" i="1"/>
  <c r="C8622" i="1"/>
  <c r="D8622" i="1"/>
  <c r="E8622" i="1"/>
  <c r="A8623" i="1"/>
  <c r="B8623" i="1"/>
  <c r="C8623" i="1"/>
  <c r="D8623" i="1"/>
  <c r="E8623" i="1"/>
  <c r="A8624" i="1"/>
  <c r="B8624" i="1"/>
  <c r="C8624" i="1"/>
  <c r="D8624" i="1"/>
  <c r="E8624" i="1"/>
  <c r="A8625" i="1"/>
  <c r="B8625" i="1"/>
  <c r="C8625" i="1"/>
  <c r="D8625" i="1"/>
  <c r="E8625" i="1"/>
  <c r="A8626" i="1"/>
  <c r="B8626" i="1"/>
  <c r="C8626" i="1"/>
  <c r="D8626" i="1"/>
  <c r="E8626" i="1"/>
  <c r="A8627" i="1"/>
  <c r="B8627" i="1"/>
  <c r="C8627" i="1"/>
  <c r="D8627" i="1"/>
  <c r="E8627" i="1"/>
  <c r="A8628" i="1"/>
  <c r="B8628" i="1"/>
  <c r="C8628" i="1"/>
  <c r="D8628" i="1"/>
  <c r="E8628" i="1"/>
  <c r="A8629" i="1"/>
  <c r="B8629" i="1"/>
  <c r="C8629" i="1"/>
  <c r="D8629" i="1"/>
  <c r="E8629" i="1"/>
  <c r="A8630" i="1"/>
  <c r="B8630" i="1"/>
  <c r="C8630" i="1"/>
  <c r="D8630" i="1"/>
  <c r="E8630" i="1"/>
  <c r="A8631" i="1"/>
  <c r="B8631" i="1"/>
  <c r="C8631" i="1"/>
  <c r="D8631" i="1"/>
  <c r="E8631" i="1"/>
  <c r="A8632" i="1"/>
  <c r="B8632" i="1"/>
  <c r="C8632" i="1"/>
  <c r="D8632" i="1"/>
  <c r="E8632" i="1"/>
  <c r="A8633" i="1"/>
  <c r="B8633" i="1"/>
  <c r="C8633" i="1"/>
  <c r="D8633" i="1"/>
  <c r="E8633" i="1"/>
  <c r="A8634" i="1"/>
  <c r="B8634" i="1"/>
  <c r="C8634" i="1"/>
  <c r="D8634" i="1"/>
  <c r="E8634" i="1"/>
  <c r="A8635" i="1"/>
  <c r="B8635" i="1"/>
  <c r="C8635" i="1"/>
  <c r="D8635" i="1"/>
  <c r="E8635" i="1"/>
  <c r="A8636" i="1"/>
  <c r="B8636" i="1"/>
  <c r="C8636" i="1"/>
  <c r="D8636" i="1"/>
  <c r="E8636" i="1"/>
  <c r="A8637" i="1"/>
  <c r="B8637" i="1"/>
  <c r="C8637" i="1"/>
  <c r="D8637" i="1"/>
  <c r="E8637" i="1"/>
  <c r="A8638" i="1"/>
  <c r="B8638" i="1"/>
  <c r="C8638" i="1"/>
  <c r="D8638" i="1"/>
  <c r="E8638" i="1"/>
  <c r="A8639" i="1"/>
  <c r="B8639" i="1"/>
  <c r="C8639" i="1"/>
  <c r="D8639" i="1"/>
  <c r="E8639" i="1"/>
  <c r="A8640" i="1"/>
  <c r="B8640" i="1"/>
  <c r="C8640" i="1"/>
  <c r="D8640" i="1"/>
  <c r="E8640" i="1"/>
  <c r="A8641" i="1"/>
  <c r="B8641" i="1"/>
  <c r="C8641" i="1"/>
  <c r="D8641" i="1"/>
  <c r="E8641" i="1"/>
  <c r="A8642" i="1"/>
  <c r="B8642" i="1"/>
  <c r="C8642" i="1"/>
  <c r="D8642" i="1"/>
  <c r="E8642" i="1"/>
  <c r="A8643" i="1"/>
  <c r="B8643" i="1"/>
  <c r="C8643" i="1"/>
  <c r="D8643" i="1"/>
  <c r="E8643" i="1"/>
  <c r="A8644" i="1"/>
  <c r="B8644" i="1"/>
  <c r="C8644" i="1"/>
  <c r="D8644" i="1"/>
  <c r="E8644" i="1"/>
  <c r="A8645" i="1"/>
  <c r="B8645" i="1"/>
  <c r="C8645" i="1"/>
  <c r="D8645" i="1"/>
  <c r="E8645" i="1"/>
  <c r="A8646" i="1"/>
  <c r="B8646" i="1"/>
  <c r="C8646" i="1"/>
  <c r="D8646" i="1"/>
  <c r="E8646" i="1"/>
  <c r="A8647" i="1"/>
  <c r="B8647" i="1"/>
  <c r="C8647" i="1"/>
  <c r="D8647" i="1"/>
  <c r="E8647" i="1"/>
  <c r="A8648" i="1"/>
  <c r="B8648" i="1"/>
  <c r="C8648" i="1"/>
  <c r="D8648" i="1"/>
  <c r="E8648" i="1"/>
  <c r="A8649" i="1"/>
  <c r="B8649" i="1"/>
  <c r="C8649" i="1"/>
  <c r="D8649" i="1"/>
  <c r="E8649" i="1"/>
  <c r="A8650" i="1"/>
  <c r="B8650" i="1"/>
  <c r="C8650" i="1"/>
  <c r="D8650" i="1"/>
  <c r="E8650" i="1"/>
  <c r="A8651" i="1"/>
  <c r="B8651" i="1"/>
  <c r="C8651" i="1"/>
  <c r="D8651" i="1"/>
  <c r="E8651" i="1"/>
  <c r="A8652" i="1"/>
  <c r="B8652" i="1"/>
  <c r="C8652" i="1"/>
  <c r="D8652" i="1"/>
  <c r="E8652" i="1"/>
  <c r="A8653" i="1"/>
  <c r="B8653" i="1"/>
  <c r="C8653" i="1"/>
  <c r="D8653" i="1"/>
  <c r="E8653" i="1"/>
  <c r="A8654" i="1"/>
  <c r="B8654" i="1"/>
  <c r="C8654" i="1"/>
  <c r="D8654" i="1"/>
  <c r="E8654" i="1"/>
  <c r="A8655" i="1"/>
  <c r="B8655" i="1"/>
  <c r="C8655" i="1"/>
  <c r="D8655" i="1"/>
  <c r="E8655" i="1"/>
  <c r="A8656" i="1"/>
  <c r="B8656" i="1"/>
  <c r="C8656" i="1"/>
  <c r="D8656" i="1"/>
  <c r="E8656" i="1"/>
  <c r="A8657" i="1"/>
  <c r="B8657" i="1"/>
  <c r="C8657" i="1"/>
  <c r="D8657" i="1"/>
  <c r="E8657" i="1"/>
  <c r="A8658" i="1"/>
  <c r="B8658" i="1"/>
  <c r="C8658" i="1"/>
  <c r="D8658" i="1"/>
  <c r="E8658" i="1"/>
  <c r="A8659" i="1"/>
  <c r="B8659" i="1"/>
  <c r="C8659" i="1"/>
  <c r="D8659" i="1"/>
  <c r="E8659" i="1"/>
  <c r="A8660" i="1"/>
  <c r="B8660" i="1"/>
  <c r="C8660" i="1"/>
  <c r="D8660" i="1"/>
  <c r="E8660" i="1"/>
  <c r="A8661" i="1"/>
  <c r="B8661" i="1"/>
  <c r="C8661" i="1"/>
  <c r="D8661" i="1"/>
  <c r="E8661" i="1"/>
  <c r="A8662" i="1"/>
  <c r="B8662" i="1"/>
  <c r="C8662" i="1"/>
  <c r="D8662" i="1"/>
  <c r="E8662" i="1"/>
  <c r="A8663" i="1"/>
  <c r="B8663" i="1"/>
  <c r="C8663" i="1"/>
  <c r="D8663" i="1"/>
  <c r="E8663" i="1"/>
  <c r="A8664" i="1"/>
  <c r="B8664" i="1"/>
  <c r="C8664" i="1"/>
  <c r="D8664" i="1"/>
  <c r="E8664" i="1"/>
  <c r="A8665" i="1"/>
  <c r="B8665" i="1"/>
  <c r="C8665" i="1"/>
  <c r="D8665" i="1"/>
  <c r="E8665" i="1"/>
  <c r="A8666" i="1"/>
  <c r="B8666" i="1"/>
  <c r="C8666" i="1"/>
  <c r="D8666" i="1"/>
  <c r="E8666" i="1"/>
  <c r="A8667" i="1"/>
  <c r="B8667" i="1"/>
  <c r="C8667" i="1"/>
  <c r="D8667" i="1"/>
  <c r="E8667" i="1"/>
  <c r="A8668" i="1"/>
  <c r="B8668" i="1"/>
  <c r="C8668" i="1"/>
  <c r="D8668" i="1"/>
  <c r="E8668" i="1"/>
  <c r="A8669" i="1"/>
  <c r="B8669" i="1"/>
  <c r="C8669" i="1"/>
  <c r="D8669" i="1"/>
  <c r="E8669" i="1"/>
  <c r="A8670" i="1"/>
  <c r="B8670" i="1"/>
  <c r="C8670" i="1"/>
  <c r="D8670" i="1"/>
  <c r="E8670" i="1"/>
  <c r="A8671" i="1"/>
  <c r="B8671" i="1"/>
  <c r="C8671" i="1"/>
  <c r="D8671" i="1"/>
  <c r="E8671" i="1"/>
  <c r="A8672" i="1"/>
  <c r="B8672" i="1"/>
  <c r="C8672" i="1"/>
  <c r="D8672" i="1"/>
  <c r="E8672" i="1"/>
  <c r="A8673" i="1"/>
  <c r="B8673" i="1"/>
  <c r="C8673" i="1"/>
  <c r="D8673" i="1"/>
  <c r="E8673" i="1"/>
  <c r="A8674" i="1"/>
  <c r="B8674" i="1"/>
  <c r="C8674" i="1"/>
  <c r="D8674" i="1"/>
  <c r="E8674" i="1"/>
  <c r="A8675" i="1"/>
  <c r="B8675" i="1"/>
  <c r="C8675" i="1"/>
  <c r="D8675" i="1"/>
  <c r="E8675" i="1"/>
  <c r="A8676" i="1"/>
  <c r="B8676" i="1"/>
  <c r="C8676" i="1"/>
  <c r="D8676" i="1"/>
  <c r="E8676" i="1"/>
  <c r="A8677" i="1"/>
  <c r="B8677" i="1"/>
  <c r="C8677" i="1"/>
  <c r="D8677" i="1"/>
  <c r="E8677" i="1"/>
  <c r="A8678" i="1"/>
  <c r="B8678" i="1"/>
  <c r="C8678" i="1"/>
  <c r="D8678" i="1"/>
  <c r="E8678" i="1"/>
  <c r="A8679" i="1"/>
  <c r="B8679" i="1"/>
  <c r="C8679" i="1"/>
  <c r="D8679" i="1"/>
  <c r="E8679" i="1"/>
  <c r="A8680" i="1"/>
  <c r="B8680" i="1"/>
  <c r="C8680" i="1"/>
  <c r="D8680" i="1"/>
  <c r="E8680" i="1"/>
  <c r="A8681" i="1"/>
  <c r="B8681" i="1"/>
  <c r="C8681" i="1"/>
  <c r="D8681" i="1"/>
  <c r="E8681" i="1"/>
  <c r="A8682" i="1"/>
  <c r="B8682" i="1"/>
  <c r="C8682" i="1"/>
  <c r="D8682" i="1"/>
  <c r="E8682" i="1"/>
  <c r="A8683" i="1"/>
  <c r="B8683" i="1"/>
  <c r="C8683" i="1"/>
  <c r="D8683" i="1"/>
  <c r="E8683" i="1"/>
  <c r="A8684" i="1"/>
  <c r="B8684" i="1"/>
  <c r="C8684" i="1"/>
  <c r="D8684" i="1"/>
  <c r="E8684" i="1"/>
  <c r="A8685" i="1"/>
  <c r="B8685" i="1"/>
  <c r="C8685" i="1"/>
  <c r="D8685" i="1"/>
  <c r="E8685" i="1"/>
  <c r="A8686" i="1"/>
  <c r="B8686" i="1"/>
  <c r="C8686" i="1"/>
  <c r="D8686" i="1"/>
  <c r="E8686" i="1"/>
  <c r="A8687" i="1"/>
  <c r="B8687" i="1"/>
  <c r="C8687" i="1"/>
  <c r="D8687" i="1"/>
  <c r="E8687" i="1"/>
  <c r="A8688" i="1"/>
  <c r="B8688" i="1"/>
  <c r="C8688" i="1"/>
  <c r="D8688" i="1"/>
  <c r="E8688" i="1"/>
  <c r="A8689" i="1"/>
  <c r="B8689" i="1"/>
  <c r="C8689" i="1"/>
  <c r="D8689" i="1"/>
  <c r="E8689" i="1"/>
  <c r="A8690" i="1"/>
  <c r="B8690" i="1"/>
  <c r="C8690" i="1"/>
  <c r="D8690" i="1"/>
  <c r="E8690" i="1"/>
  <c r="A8691" i="1"/>
  <c r="B8691" i="1"/>
  <c r="C8691" i="1"/>
  <c r="D8691" i="1"/>
  <c r="E8691" i="1"/>
  <c r="A8692" i="1"/>
  <c r="B8692" i="1"/>
  <c r="C8692" i="1"/>
  <c r="D8692" i="1"/>
  <c r="E8692" i="1"/>
  <c r="A8693" i="1"/>
  <c r="B8693" i="1"/>
  <c r="C8693" i="1"/>
  <c r="D8693" i="1"/>
  <c r="E8693" i="1"/>
  <c r="A8694" i="1"/>
  <c r="B8694" i="1"/>
  <c r="C8694" i="1"/>
  <c r="D8694" i="1"/>
  <c r="E8694" i="1"/>
  <c r="A8695" i="1"/>
  <c r="B8695" i="1"/>
  <c r="C8695" i="1"/>
  <c r="D8695" i="1"/>
  <c r="E8695" i="1"/>
  <c r="A8696" i="1"/>
  <c r="B8696" i="1"/>
  <c r="C8696" i="1"/>
  <c r="D8696" i="1"/>
  <c r="E8696" i="1"/>
  <c r="A8697" i="1"/>
  <c r="B8697" i="1"/>
  <c r="C8697" i="1"/>
  <c r="D8697" i="1"/>
  <c r="E8697" i="1"/>
  <c r="A8698" i="1"/>
  <c r="B8698" i="1"/>
  <c r="C8698" i="1"/>
  <c r="D8698" i="1"/>
  <c r="E8698" i="1"/>
  <c r="A8699" i="1"/>
  <c r="B8699" i="1"/>
  <c r="C8699" i="1"/>
  <c r="D8699" i="1"/>
  <c r="E8699" i="1"/>
  <c r="A8700" i="1"/>
  <c r="B8700" i="1"/>
  <c r="C8700" i="1"/>
  <c r="D8700" i="1"/>
  <c r="E8700" i="1"/>
  <c r="A8701" i="1"/>
  <c r="B8701" i="1"/>
  <c r="C8701" i="1"/>
  <c r="D8701" i="1"/>
  <c r="E8701" i="1"/>
  <c r="A8702" i="1"/>
  <c r="B8702" i="1"/>
  <c r="C8702" i="1"/>
  <c r="D8702" i="1"/>
  <c r="E8702" i="1"/>
  <c r="A8703" i="1"/>
  <c r="B8703" i="1"/>
  <c r="C8703" i="1"/>
  <c r="D8703" i="1"/>
  <c r="E8703" i="1"/>
  <c r="A8704" i="1"/>
  <c r="B8704" i="1"/>
  <c r="C8704" i="1"/>
  <c r="D8704" i="1"/>
  <c r="E8704" i="1"/>
  <c r="A8705" i="1"/>
  <c r="B8705" i="1"/>
  <c r="C8705" i="1"/>
  <c r="D8705" i="1"/>
  <c r="E8705" i="1"/>
  <c r="A8706" i="1"/>
  <c r="B8706" i="1"/>
  <c r="C8706" i="1"/>
  <c r="D8706" i="1"/>
  <c r="E8706" i="1"/>
  <c r="A8707" i="1"/>
  <c r="B8707" i="1"/>
  <c r="C8707" i="1"/>
  <c r="D8707" i="1"/>
  <c r="E8707" i="1"/>
  <c r="A8708" i="1"/>
  <c r="B8708" i="1"/>
  <c r="C8708" i="1"/>
  <c r="D8708" i="1"/>
  <c r="E8708" i="1"/>
  <c r="A8709" i="1"/>
  <c r="B8709" i="1"/>
  <c r="C8709" i="1"/>
  <c r="D8709" i="1"/>
  <c r="E8709" i="1"/>
  <c r="A8710" i="1"/>
  <c r="B8710" i="1"/>
  <c r="C8710" i="1"/>
  <c r="D8710" i="1"/>
  <c r="E8710" i="1"/>
  <c r="A8711" i="1"/>
  <c r="B8711" i="1"/>
  <c r="C8711" i="1"/>
  <c r="D8711" i="1"/>
  <c r="E8711" i="1"/>
  <c r="A8712" i="1"/>
  <c r="B8712" i="1"/>
  <c r="C8712" i="1"/>
  <c r="D8712" i="1"/>
  <c r="E8712" i="1"/>
  <c r="A8713" i="1"/>
  <c r="B8713" i="1"/>
  <c r="C8713" i="1"/>
  <c r="D8713" i="1"/>
  <c r="E8713" i="1"/>
  <c r="A8714" i="1"/>
  <c r="B8714" i="1"/>
  <c r="C8714" i="1"/>
  <c r="D8714" i="1"/>
  <c r="E8714" i="1"/>
  <c r="A8715" i="1"/>
  <c r="B8715" i="1"/>
  <c r="C8715" i="1"/>
  <c r="D8715" i="1"/>
  <c r="E8715" i="1"/>
  <c r="A8716" i="1"/>
  <c r="B8716" i="1"/>
  <c r="C8716" i="1"/>
  <c r="D8716" i="1"/>
  <c r="E8716" i="1"/>
  <c r="A8717" i="1"/>
  <c r="B8717" i="1"/>
  <c r="C8717" i="1"/>
  <c r="D8717" i="1"/>
  <c r="E8717" i="1"/>
  <c r="A8718" i="1"/>
  <c r="B8718" i="1"/>
  <c r="C8718" i="1"/>
  <c r="D8718" i="1"/>
  <c r="E8718" i="1"/>
  <c r="A8719" i="1"/>
  <c r="B8719" i="1"/>
  <c r="C8719" i="1"/>
  <c r="D8719" i="1"/>
  <c r="E8719" i="1"/>
  <c r="A8720" i="1"/>
  <c r="B8720" i="1"/>
  <c r="C8720" i="1"/>
  <c r="D8720" i="1"/>
  <c r="E8720" i="1"/>
  <c r="A8721" i="1"/>
  <c r="B8721" i="1"/>
  <c r="C8721" i="1"/>
  <c r="D8721" i="1"/>
  <c r="E8721" i="1"/>
  <c r="A8722" i="1"/>
  <c r="B8722" i="1"/>
  <c r="C8722" i="1"/>
  <c r="D8722" i="1"/>
  <c r="E8722" i="1"/>
  <c r="A8723" i="1"/>
  <c r="B8723" i="1"/>
  <c r="C8723" i="1"/>
  <c r="D8723" i="1"/>
  <c r="E8723" i="1"/>
  <c r="A8724" i="1"/>
  <c r="B8724" i="1"/>
  <c r="C8724" i="1"/>
  <c r="D8724" i="1"/>
  <c r="E8724" i="1"/>
  <c r="A8725" i="1"/>
  <c r="B8725" i="1"/>
  <c r="C8725" i="1"/>
  <c r="D8725" i="1"/>
  <c r="E8725" i="1"/>
  <c r="A8726" i="1"/>
  <c r="B8726" i="1"/>
  <c r="C8726" i="1"/>
  <c r="D8726" i="1"/>
  <c r="E8726" i="1"/>
  <c r="A8727" i="1"/>
  <c r="B8727" i="1"/>
  <c r="C8727" i="1"/>
  <c r="D8727" i="1"/>
  <c r="E8727" i="1"/>
  <c r="A8728" i="1"/>
  <c r="B8728" i="1"/>
  <c r="C8728" i="1"/>
  <c r="D8728" i="1"/>
  <c r="E8728" i="1"/>
  <c r="A8729" i="1"/>
  <c r="B8729" i="1"/>
  <c r="C8729" i="1"/>
  <c r="D8729" i="1"/>
  <c r="E8729" i="1"/>
  <c r="A8730" i="1"/>
  <c r="B8730" i="1"/>
  <c r="C8730" i="1"/>
  <c r="D8730" i="1"/>
  <c r="E8730" i="1"/>
  <c r="A8731" i="1"/>
  <c r="B8731" i="1"/>
  <c r="C8731" i="1"/>
  <c r="D8731" i="1"/>
  <c r="E8731" i="1"/>
  <c r="A8732" i="1"/>
  <c r="B8732" i="1"/>
  <c r="C8732" i="1"/>
  <c r="D8732" i="1"/>
  <c r="E8732" i="1"/>
  <c r="A8733" i="1"/>
  <c r="B8733" i="1"/>
  <c r="C8733" i="1"/>
  <c r="D8733" i="1"/>
  <c r="E8733" i="1"/>
  <c r="A8734" i="1"/>
  <c r="B8734" i="1"/>
  <c r="C8734" i="1"/>
  <c r="D8734" i="1"/>
  <c r="E8734" i="1"/>
  <c r="A8735" i="1"/>
  <c r="B8735" i="1"/>
  <c r="C8735" i="1"/>
  <c r="D8735" i="1"/>
  <c r="E8735" i="1"/>
  <c r="A8736" i="1"/>
  <c r="B8736" i="1"/>
  <c r="C8736" i="1"/>
  <c r="D8736" i="1"/>
  <c r="E8736" i="1"/>
  <c r="A8737" i="1"/>
  <c r="B8737" i="1"/>
  <c r="C8737" i="1"/>
  <c r="D8737" i="1"/>
  <c r="E8737" i="1"/>
  <c r="A8738" i="1"/>
  <c r="B8738" i="1"/>
  <c r="C8738" i="1"/>
  <c r="D8738" i="1"/>
  <c r="E8738" i="1"/>
  <c r="A8739" i="1"/>
  <c r="B8739" i="1"/>
  <c r="C8739" i="1"/>
  <c r="D8739" i="1"/>
  <c r="E8739" i="1"/>
  <c r="A8740" i="1"/>
  <c r="B8740" i="1"/>
  <c r="C8740" i="1"/>
  <c r="D8740" i="1"/>
  <c r="E8740" i="1"/>
  <c r="A8741" i="1"/>
  <c r="B8741" i="1"/>
  <c r="C8741" i="1"/>
  <c r="D8741" i="1"/>
  <c r="E8741" i="1"/>
  <c r="A8742" i="1"/>
  <c r="B8742" i="1"/>
  <c r="C8742" i="1"/>
  <c r="D8742" i="1"/>
  <c r="E8742" i="1"/>
  <c r="A8743" i="1"/>
  <c r="B8743" i="1"/>
  <c r="C8743" i="1"/>
  <c r="D8743" i="1"/>
  <c r="E8743" i="1"/>
  <c r="A8744" i="1"/>
  <c r="B8744" i="1"/>
  <c r="C8744" i="1"/>
  <c r="D8744" i="1"/>
  <c r="E8744" i="1"/>
  <c r="A8745" i="1"/>
  <c r="B8745" i="1"/>
  <c r="C8745" i="1"/>
  <c r="D8745" i="1"/>
  <c r="E8745" i="1"/>
  <c r="A8746" i="1"/>
  <c r="B8746" i="1"/>
  <c r="C8746" i="1"/>
  <c r="D8746" i="1"/>
  <c r="E8746" i="1"/>
  <c r="A8747" i="1"/>
  <c r="B8747" i="1"/>
  <c r="C8747" i="1"/>
  <c r="D8747" i="1"/>
  <c r="E8747" i="1"/>
  <c r="A8748" i="1"/>
  <c r="B8748" i="1"/>
  <c r="C8748" i="1"/>
  <c r="D8748" i="1"/>
  <c r="E8748" i="1"/>
  <c r="A8749" i="1"/>
  <c r="B8749" i="1"/>
  <c r="C8749" i="1"/>
  <c r="D8749" i="1"/>
  <c r="E8749" i="1"/>
  <c r="A8750" i="1"/>
  <c r="B8750" i="1"/>
  <c r="C8750" i="1"/>
  <c r="D8750" i="1"/>
  <c r="E8750" i="1"/>
  <c r="A8751" i="1"/>
  <c r="B8751" i="1"/>
  <c r="C8751" i="1"/>
  <c r="D8751" i="1"/>
  <c r="E8751" i="1"/>
  <c r="A8752" i="1"/>
  <c r="B8752" i="1"/>
  <c r="C8752" i="1"/>
  <c r="D8752" i="1"/>
  <c r="E8752" i="1"/>
  <c r="A8753" i="1"/>
  <c r="B8753" i="1"/>
  <c r="C8753" i="1"/>
  <c r="D8753" i="1"/>
  <c r="E8753" i="1"/>
  <c r="A8754" i="1"/>
  <c r="B8754" i="1"/>
  <c r="C8754" i="1"/>
  <c r="D8754" i="1"/>
  <c r="E8754" i="1"/>
  <c r="A8755" i="1"/>
  <c r="B8755" i="1"/>
  <c r="C8755" i="1"/>
  <c r="D8755" i="1"/>
  <c r="E8755" i="1"/>
  <c r="A8756" i="1"/>
  <c r="B8756" i="1"/>
  <c r="C8756" i="1"/>
  <c r="D8756" i="1"/>
  <c r="E8756" i="1"/>
  <c r="A8757" i="1"/>
  <c r="B8757" i="1"/>
  <c r="C8757" i="1"/>
  <c r="D8757" i="1"/>
  <c r="E8757" i="1"/>
  <c r="A8758" i="1"/>
  <c r="B8758" i="1"/>
  <c r="C8758" i="1"/>
  <c r="D8758" i="1"/>
  <c r="E8758" i="1"/>
  <c r="A8759" i="1"/>
  <c r="B8759" i="1"/>
  <c r="C8759" i="1"/>
  <c r="D8759" i="1"/>
  <c r="E8759" i="1"/>
  <c r="A8760" i="1"/>
  <c r="B8760" i="1"/>
  <c r="C8760" i="1"/>
  <c r="D8760" i="1"/>
  <c r="E8760" i="1"/>
  <c r="A8761" i="1"/>
  <c r="B8761" i="1"/>
  <c r="C8761" i="1"/>
  <c r="D8761" i="1"/>
  <c r="E8761" i="1"/>
  <c r="A8762" i="1"/>
  <c r="B8762" i="1"/>
  <c r="C8762" i="1"/>
  <c r="D8762" i="1"/>
  <c r="E8762" i="1"/>
  <c r="A8763" i="1"/>
  <c r="B8763" i="1"/>
  <c r="C8763" i="1"/>
  <c r="D8763" i="1"/>
  <c r="E8763" i="1"/>
  <c r="A8764" i="1"/>
  <c r="B8764" i="1"/>
  <c r="C8764" i="1"/>
  <c r="D8764" i="1"/>
  <c r="E8764" i="1"/>
  <c r="A8765" i="1"/>
  <c r="B8765" i="1"/>
  <c r="C8765" i="1"/>
  <c r="D8765" i="1"/>
  <c r="E8765" i="1"/>
  <c r="A8766" i="1"/>
  <c r="B8766" i="1"/>
  <c r="C8766" i="1"/>
  <c r="D8766" i="1"/>
  <c r="E8766" i="1"/>
  <c r="A8767" i="1"/>
  <c r="B8767" i="1"/>
  <c r="C8767" i="1"/>
  <c r="D8767" i="1"/>
  <c r="E8767" i="1"/>
  <c r="A8768" i="1"/>
  <c r="B8768" i="1"/>
  <c r="C8768" i="1"/>
  <c r="D8768" i="1"/>
  <c r="E8768" i="1"/>
  <c r="A8769" i="1"/>
  <c r="B8769" i="1"/>
  <c r="C8769" i="1"/>
  <c r="D8769" i="1"/>
  <c r="E8769" i="1"/>
  <c r="A8770" i="1"/>
  <c r="B8770" i="1"/>
  <c r="C8770" i="1"/>
  <c r="D8770" i="1"/>
  <c r="E8770" i="1"/>
  <c r="A8771" i="1"/>
  <c r="B8771" i="1"/>
  <c r="C8771" i="1"/>
  <c r="D8771" i="1"/>
  <c r="E8771" i="1"/>
  <c r="A8772" i="1"/>
  <c r="B8772" i="1"/>
  <c r="C8772" i="1"/>
  <c r="D8772" i="1"/>
  <c r="E8772" i="1"/>
  <c r="A8773" i="1"/>
  <c r="B8773" i="1"/>
  <c r="C8773" i="1"/>
  <c r="D8773" i="1"/>
  <c r="E8773" i="1"/>
  <c r="A8774" i="1"/>
  <c r="B8774" i="1"/>
  <c r="C8774" i="1"/>
  <c r="D8774" i="1"/>
  <c r="E8774" i="1"/>
  <c r="A8775" i="1"/>
  <c r="B8775" i="1"/>
  <c r="C8775" i="1"/>
  <c r="D8775" i="1"/>
  <c r="E8775" i="1"/>
  <c r="A8776" i="1"/>
  <c r="B8776" i="1"/>
  <c r="C8776" i="1"/>
  <c r="D8776" i="1"/>
  <c r="E8776" i="1"/>
  <c r="A8777" i="1"/>
  <c r="B8777" i="1"/>
  <c r="C8777" i="1"/>
  <c r="D8777" i="1"/>
  <c r="E8777" i="1"/>
  <c r="A8778" i="1"/>
  <c r="B8778" i="1"/>
  <c r="C8778" i="1"/>
  <c r="D8778" i="1"/>
  <c r="E8778" i="1"/>
  <c r="A8779" i="1"/>
  <c r="B8779" i="1"/>
  <c r="C8779" i="1"/>
  <c r="D8779" i="1"/>
  <c r="E8779" i="1"/>
  <c r="A8780" i="1"/>
  <c r="B8780" i="1"/>
  <c r="C8780" i="1"/>
  <c r="D8780" i="1"/>
  <c r="E8780" i="1"/>
  <c r="A8781" i="1"/>
  <c r="B8781" i="1"/>
  <c r="C8781" i="1"/>
  <c r="D8781" i="1"/>
  <c r="E8781" i="1"/>
  <c r="A8782" i="1"/>
  <c r="B8782" i="1"/>
  <c r="C8782" i="1"/>
  <c r="D8782" i="1"/>
  <c r="E8782" i="1"/>
  <c r="A8783" i="1"/>
  <c r="B8783" i="1"/>
  <c r="C8783" i="1"/>
  <c r="D8783" i="1"/>
  <c r="E8783" i="1"/>
  <c r="A8784" i="1"/>
  <c r="B8784" i="1"/>
  <c r="C8784" i="1"/>
  <c r="D8784" i="1"/>
  <c r="E8784" i="1"/>
  <c r="A8785" i="1"/>
  <c r="B8785" i="1"/>
  <c r="C8785" i="1"/>
  <c r="D8785" i="1"/>
  <c r="E8785" i="1"/>
  <c r="A8786" i="1"/>
  <c r="B8786" i="1"/>
  <c r="C8786" i="1"/>
  <c r="D8786" i="1"/>
  <c r="E8786" i="1"/>
  <c r="A8787" i="1"/>
  <c r="B8787" i="1"/>
  <c r="C8787" i="1"/>
  <c r="D8787" i="1"/>
  <c r="E8787" i="1"/>
  <c r="A8788" i="1"/>
  <c r="B8788" i="1"/>
  <c r="C8788" i="1"/>
  <c r="D8788" i="1"/>
  <c r="E8788" i="1"/>
  <c r="A8789" i="1"/>
  <c r="B8789" i="1"/>
  <c r="C8789" i="1"/>
  <c r="D8789" i="1"/>
  <c r="E8789" i="1"/>
  <c r="A8790" i="1"/>
  <c r="B8790" i="1"/>
  <c r="C8790" i="1"/>
  <c r="D8790" i="1"/>
  <c r="E8790" i="1"/>
  <c r="A8791" i="1"/>
  <c r="B8791" i="1"/>
  <c r="C8791" i="1"/>
  <c r="D8791" i="1"/>
  <c r="E8791" i="1"/>
  <c r="A8792" i="1"/>
  <c r="B8792" i="1"/>
  <c r="C8792" i="1"/>
  <c r="D8792" i="1"/>
  <c r="E8792" i="1"/>
  <c r="A8793" i="1"/>
  <c r="B8793" i="1"/>
  <c r="C8793" i="1"/>
  <c r="D8793" i="1"/>
  <c r="E8793" i="1"/>
  <c r="A8794" i="1"/>
  <c r="B8794" i="1"/>
  <c r="C8794" i="1"/>
  <c r="D8794" i="1"/>
  <c r="E8794" i="1"/>
  <c r="A8795" i="1"/>
  <c r="B8795" i="1"/>
  <c r="C8795" i="1"/>
  <c r="D8795" i="1"/>
  <c r="E8795" i="1"/>
  <c r="A8796" i="1"/>
  <c r="B8796" i="1"/>
  <c r="C8796" i="1"/>
  <c r="D8796" i="1"/>
  <c r="E8796" i="1"/>
  <c r="A8797" i="1"/>
  <c r="B8797" i="1"/>
  <c r="C8797" i="1"/>
  <c r="D8797" i="1"/>
  <c r="E8797" i="1"/>
  <c r="A8798" i="1"/>
  <c r="B8798" i="1"/>
  <c r="C8798" i="1"/>
  <c r="D8798" i="1"/>
  <c r="E8798" i="1"/>
  <c r="A8799" i="1"/>
  <c r="B8799" i="1"/>
  <c r="C8799" i="1"/>
  <c r="D8799" i="1"/>
  <c r="E8799" i="1"/>
  <c r="A8800" i="1"/>
  <c r="B8800" i="1"/>
  <c r="C8800" i="1"/>
  <c r="D8800" i="1"/>
  <c r="E8800" i="1"/>
  <c r="A8801" i="1"/>
  <c r="B8801" i="1"/>
  <c r="C8801" i="1"/>
  <c r="D8801" i="1"/>
  <c r="E8801" i="1"/>
  <c r="A8802" i="1"/>
  <c r="B8802" i="1"/>
  <c r="C8802" i="1"/>
  <c r="D8802" i="1"/>
  <c r="E8802" i="1"/>
  <c r="A8803" i="1"/>
  <c r="B8803" i="1"/>
  <c r="C8803" i="1"/>
  <c r="D8803" i="1"/>
  <c r="E8803" i="1"/>
  <c r="A8804" i="1"/>
  <c r="B8804" i="1"/>
  <c r="C8804" i="1"/>
  <c r="D8804" i="1"/>
  <c r="E8804" i="1"/>
  <c r="A8805" i="1"/>
  <c r="B8805" i="1"/>
  <c r="C8805" i="1"/>
  <c r="D8805" i="1"/>
  <c r="E8805" i="1"/>
  <c r="A8806" i="1"/>
  <c r="B8806" i="1"/>
  <c r="C8806" i="1"/>
  <c r="D8806" i="1"/>
  <c r="E8806" i="1"/>
  <c r="A8807" i="1"/>
  <c r="B8807" i="1"/>
  <c r="C8807" i="1"/>
  <c r="D8807" i="1"/>
  <c r="E8807" i="1"/>
  <c r="A8808" i="1"/>
  <c r="B8808" i="1"/>
  <c r="C8808" i="1"/>
  <c r="D8808" i="1"/>
  <c r="E8808" i="1"/>
  <c r="A8809" i="1"/>
  <c r="B8809" i="1"/>
  <c r="C8809" i="1"/>
  <c r="D8809" i="1"/>
  <c r="E8809" i="1"/>
  <c r="A8810" i="1"/>
  <c r="B8810" i="1"/>
  <c r="C8810" i="1"/>
  <c r="D8810" i="1"/>
  <c r="E8810" i="1"/>
  <c r="A8811" i="1"/>
  <c r="B8811" i="1"/>
  <c r="C8811" i="1"/>
  <c r="D8811" i="1"/>
  <c r="E8811" i="1"/>
  <c r="A8812" i="1"/>
  <c r="B8812" i="1"/>
  <c r="C8812" i="1"/>
  <c r="D8812" i="1"/>
  <c r="E8812" i="1"/>
  <c r="A8813" i="1"/>
  <c r="B8813" i="1"/>
  <c r="C8813" i="1"/>
  <c r="D8813" i="1"/>
  <c r="E8813" i="1"/>
  <c r="A8814" i="1"/>
  <c r="B8814" i="1"/>
  <c r="C8814" i="1"/>
  <c r="D8814" i="1"/>
  <c r="E8814" i="1"/>
  <c r="A8815" i="1"/>
  <c r="B8815" i="1"/>
  <c r="C8815" i="1"/>
  <c r="D8815" i="1"/>
  <c r="E8815" i="1"/>
  <c r="A8816" i="1"/>
  <c r="B8816" i="1"/>
  <c r="C8816" i="1"/>
  <c r="D8816" i="1"/>
  <c r="E8816" i="1"/>
  <c r="A8817" i="1"/>
  <c r="B8817" i="1"/>
  <c r="C8817" i="1"/>
  <c r="D8817" i="1"/>
  <c r="E8817" i="1"/>
  <c r="A8818" i="1"/>
  <c r="B8818" i="1"/>
  <c r="C8818" i="1"/>
  <c r="D8818" i="1"/>
  <c r="E8818" i="1"/>
  <c r="A8819" i="1"/>
  <c r="B8819" i="1"/>
  <c r="C8819" i="1"/>
  <c r="D8819" i="1"/>
  <c r="E8819" i="1"/>
  <c r="A8820" i="1"/>
  <c r="B8820" i="1"/>
  <c r="C8820" i="1"/>
  <c r="D8820" i="1"/>
  <c r="E8820" i="1"/>
  <c r="A8821" i="1"/>
  <c r="B8821" i="1"/>
  <c r="C8821" i="1"/>
  <c r="D8821" i="1"/>
  <c r="E8821" i="1"/>
  <c r="A8822" i="1"/>
  <c r="B8822" i="1"/>
  <c r="C8822" i="1"/>
  <c r="D8822" i="1"/>
  <c r="E8822" i="1"/>
  <c r="A8823" i="1"/>
  <c r="B8823" i="1"/>
  <c r="C8823" i="1"/>
  <c r="D8823" i="1"/>
  <c r="E8823" i="1"/>
  <c r="A8824" i="1"/>
  <c r="B8824" i="1"/>
  <c r="C8824" i="1"/>
  <c r="D8824" i="1"/>
  <c r="E8824" i="1"/>
  <c r="A8825" i="1"/>
  <c r="B8825" i="1"/>
  <c r="C8825" i="1"/>
  <c r="D8825" i="1"/>
  <c r="E8825" i="1"/>
  <c r="A8826" i="1"/>
  <c r="B8826" i="1"/>
  <c r="C8826" i="1"/>
  <c r="D8826" i="1"/>
  <c r="E8826" i="1"/>
  <c r="A8827" i="1"/>
  <c r="B8827" i="1"/>
  <c r="C8827" i="1"/>
  <c r="D8827" i="1"/>
  <c r="E8827" i="1"/>
  <c r="A8828" i="1"/>
  <c r="B8828" i="1"/>
  <c r="C8828" i="1"/>
  <c r="D8828" i="1"/>
  <c r="E8828" i="1"/>
  <c r="A8829" i="1"/>
  <c r="B8829" i="1"/>
  <c r="C8829" i="1"/>
  <c r="D8829" i="1"/>
  <c r="E8829" i="1"/>
  <c r="A8830" i="1"/>
  <c r="B8830" i="1"/>
  <c r="C8830" i="1"/>
  <c r="D8830" i="1"/>
  <c r="E8830" i="1"/>
  <c r="A8831" i="1"/>
  <c r="B8831" i="1"/>
  <c r="C8831" i="1"/>
  <c r="D8831" i="1"/>
  <c r="E8831" i="1"/>
  <c r="A8832" i="1"/>
  <c r="B8832" i="1"/>
  <c r="C8832" i="1"/>
  <c r="D8832" i="1"/>
  <c r="E8832" i="1"/>
  <c r="A8833" i="1"/>
  <c r="B8833" i="1"/>
  <c r="C8833" i="1"/>
  <c r="D8833" i="1"/>
  <c r="E8833" i="1"/>
  <c r="A8834" i="1"/>
  <c r="B8834" i="1"/>
  <c r="C8834" i="1"/>
  <c r="D8834" i="1"/>
  <c r="E8834" i="1"/>
  <c r="A8835" i="1"/>
  <c r="B8835" i="1"/>
  <c r="C8835" i="1"/>
  <c r="D8835" i="1"/>
  <c r="E8835" i="1"/>
  <c r="A8836" i="1"/>
  <c r="B8836" i="1"/>
  <c r="C8836" i="1"/>
  <c r="D8836" i="1"/>
  <c r="E8836" i="1"/>
  <c r="A8837" i="1"/>
  <c r="B8837" i="1"/>
  <c r="C8837" i="1"/>
  <c r="D8837" i="1"/>
  <c r="E8837" i="1"/>
  <c r="A8838" i="1"/>
  <c r="B8838" i="1"/>
  <c r="C8838" i="1"/>
  <c r="D8838" i="1"/>
  <c r="E8838" i="1"/>
  <c r="A8839" i="1"/>
  <c r="B8839" i="1"/>
  <c r="C8839" i="1"/>
  <c r="D8839" i="1"/>
  <c r="E8839" i="1"/>
  <c r="A8840" i="1"/>
  <c r="B8840" i="1"/>
  <c r="C8840" i="1"/>
  <c r="D8840" i="1"/>
  <c r="E8840" i="1"/>
  <c r="A8841" i="1"/>
  <c r="B8841" i="1"/>
  <c r="C8841" i="1"/>
  <c r="D8841" i="1"/>
  <c r="E8841" i="1"/>
  <c r="A8842" i="1"/>
  <c r="B8842" i="1"/>
  <c r="C8842" i="1"/>
  <c r="D8842" i="1"/>
  <c r="E8842" i="1"/>
  <c r="A8843" i="1"/>
  <c r="B8843" i="1"/>
  <c r="C8843" i="1"/>
  <c r="D8843" i="1"/>
  <c r="E8843" i="1"/>
  <c r="A8844" i="1"/>
  <c r="B8844" i="1"/>
  <c r="C8844" i="1"/>
  <c r="D8844" i="1"/>
  <c r="E8844" i="1"/>
  <c r="A8845" i="1"/>
  <c r="B8845" i="1"/>
  <c r="C8845" i="1"/>
  <c r="D8845" i="1"/>
  <c r="E8845" i="1"/>
  <c r="A8846" i="1"/>
  <c r="B8846" i="1"/>
  <c r="C8846" i="1"/>
  <c r="D8846" i="1"/>
  <c r="E8846" i="1"/>
  <c r="A8847" i="1"/>
  <c r="B8847" i="1"/>
  <c r="C8847" i="1"/>
  <c r="D8847" i="1"/>
  <c r="E8847" i="1"/>
  <c r="A8848" i="1"/>
  <c r="B8848" i="1"/>
  <c r="C8848" i="1"/>
  <c r="D8848" i="1"/>
  <c r="E8848" i="1"/>
  <c r="A8849" i="1"/>
  <c r="B8849" i="1"/>
  <c r="C8849" i="1"/>
  <c r="D8849" i="1"/>
  <c r="E8849" i="1"/>
  <c r="A8850" i="1"/>
  <c r="B8850" i="1"/>
  <c r="C8850" i="1"/>
  <c r="D8850" i="1"/>
  <c r="E8850" i="1"/>
  <c r="A8851" i="1"/>
  <c r="B8851" i="1"/>
  <c r="C8851" i="1"/>
  <c r="D8851" i="1"/>
  <c r="E8851" i="1"/>
  <c r="A8852" i="1"/>
  <c r="B8852" i="1"/>
  <c r="C8852" i="1"/>
  <c r="D8852" i="1"/>
  <c r="E8852" i="1"/>
  <c r="A8853" i="1"/>
  <c r="B8853" i="1"/>
  <c r="C8853" i="1"/>
  <c r="D8853" i="1"/>
  <c r="E8853" i="1"/>
  <c r="A8854" i="1"/>
  <c r="B8854" i="1"/>
  <c r="C8854" i="1"/>
  <c r="D8854" i="1"/>
  <c r="E8854" i="1"/>
  <c r="A8855" i="1"/>
  <c r="B8855" i="1"/>
  <c r="C8855" i="1"/>
  <c r="D8855" i="1"/>
  <c r="E8855" i="1"/>
  <c r="A8856" i="1"/>
  <c r="B8856" i="1"/>
  <c r="C8856" i="1"/>
  <c r="D8856" i="1"/>
  <c r="E8856" i="1"/>
  <c r="A8857" i="1"/>
  <c r="B8857" i="1"/>
  <c r="C8857" i="1"/>
  <c r="D8857" i="1"/>
  <c r="E8857" i="1"/>
  <c r="A8858" i="1"/>
  <c r="B8858" i="1"/>
  <c r="C8858" i="1"/>
  <c r="D8858" i="1"/>
  <c r="E8858" i="1"/>
  <c r="A8859" i="1"/>
  <c r="B8859" i="1"/>
  <c r="C8859" i="1"/>
  <c r="D8859" i="1"/>
  <c r="E8859" i="1"/>
  <c r="A8860" i="1"/>
  <c r="B8860" i="1"/>
  <c r="C8860" i="1"/>
  <c r="D8860" i="1"/>
  <c r="E8860" i="1"/>
  <c r="A8861" i="1"/>
  <c r="B8861" i="1"/>
  <c r="C8861" i="1"/>
  <c r="D8861" i="1"/>
  <c r="E8861" i="1"/>
  <c r="A8862" i="1"/>
  <c r="B8862" i="1"/>
  <c r="C8862" i="1"/>
  <c r="D8862" i="1"/>
  <c r="E8862" i="1"/>
  <c r="A8863" i="1"/>
  <c r="B8863" i="1"/>
  <c r="C8863" i="1"/>
  <c r="D8863" i="1"/>
  <c r="E8863" i="1"/>
  <c r="A8864" i="1"/>
  <c r="B8864" i="1"/>
  <c r="C8864" i="1"/>
  <c r="D8864" i="1"/>
  <c r="E8864" i="1"/>
  <c r="A8865" i="1"/>
  <c r="B8865" i="1"/>
  <c r="C8865" i="1"/>
  <c r="D8865" i="1"/>
  <c r="E8865" i="1"/>
  <c r="A8866" i="1"/>
  <c r="B8866" i="1"/>
  <c r="C8866" i="1"/>
  <c r="D8866" i="1"/>
  <c r="E8866" i="1"/>
  <c r="A8867" i="1"/>
  <c r="B8867" i="1"/>
  <c r="C8867" i="1"/>
  <c r="D8867" i="1"/>
  <c r="E8867" i="1"/>
  <c r="A8868" i="1"/>
  <c r="B8868" i="1"/>
  <c r="C8868" i="1"/>
  <c r="D8868" i="1"/>
  <c r="E8868" i="1"/>
  <c r="A8869" i="1"/>
  <c r="B8869" i="1"/>
  <c r="C8869" i="1"/>
  <c r="D8869" i="1"/>
  <c r="E8869" i="1"/>
  <c r="A8870" i="1"/>
  <c r="B8870" i="1"/>
  <c r="C8870" i="1"/>
  <c r="D8870" i="1"/>
  <c r="E8870" i="1"/>
  <c r="A8871" i="1"/>
  <c r="B8871" i="1"/>
  <c r="C8871" i="1"/>
  <c r="D8871" i="1"/>
  <c r="E8871" i="1"/>
  <c r="A8872" i="1"/>
  <c r="B8872" i="1"/>
  <c r="C8872" i="1"/>
  <c r="D8872" i="1"/>
  <c r="E8872" i="1"/>
  <c r="A8873" i="1"/>
  <c r="B8873" i="1"/>
  <c r="C8873" i="1"/>
  <c r="D8873" i="1"/>
  <c r="E8873" i="1"/>
  <c r="A8874" i="1"/>
  <c r="B8874" i="1"/>
  <c r="C8874" i="1"/>
  <c r="D8874" i="1"/>
  <c r="E8874" i="1"/>
  <c r="A8875" i="1"/>
  <c r="B8875" i="1"/>
  <c r="C8875" i="1"/>
  <c r="D8875" i="1"/>
  <c r="E8875" i="1"/>
  <c r="A8876" i="1"/>
  <c r="B8876" i="1"/>
  <c r="C8876" i="1"/>
  <c r="D8876" i="1"/>
  <c r="E8876" i="1"/>
  <c r="A8877" i="1"/>
  <c r="B8877" i="1"/>
  <c r="C8877" i="1"/>
  <c r="D8877" i="1"/>
  <c r="E8877" i="1"/>
  <c r="A8878" i="1"/>
  <c r="B8878" i="1"/>
  <c r="C8878" i="1"/>
  <c r="D8878" i="1"/>
  <c r="E8878" i="1"/>
  <c r="A8879" i="1"/>
  <c r="B8879" i="1"/>
  <c r="C8879" i="1"/>
  <c r="D8879" i="1"/>
  <c r="E8879" i="1"/>
  <c r="A8880" i="1"/>
  <c r="B8880" i="1"/>
  <c r="C8880" i="1"/>
  <c r="D8880" i="1"/>
  <c r="E8880" i="1"/>
  <c r="A8881" i="1"/>
  <c r="B8881" i="1"/>
  <c r="C8881" i="1"/>
  <c r="D8881" i="1"/>
  <c r="E8881" i="1"/>
  <c r="A8882" i="1"/>
  <c r="B8882" i="1"/>
  <c r="C8882" i="1"/>
  <c r="D8882" i="1"/>
  <c r="E8882" i="1"/>
  <c r="A8883" i="1"/>
  <c r="B8883" i="1"/>
  <c r="C8883" i="1"/>
  <c r="D8883" i="1"/>
  <c r="E8883" i="1"/>
  <c r="A8884" i="1"/>
  <c r="B8884" i="1"/>
  <c r="C8884" i="1"/>
  <c r="D8884" i="1"/>
  <c r="E8884" i="1"/>
  <c r="A8885" i="1"/>
  <c r="B8885" i="1"/>
  <c r="C8885" i="1"/>
  <c r="D8885" i="1"/>
  <c r="E8885" i="1"/>
  <c r="A8886" i="1"/>
  <c r="B8886" i="1"/>
  <c r="C8886" i="1"/>
  <c r="D8886" i="1"/>
  <c r="E8886" i="1"/>
  <c r="A8887" i="1"/>
  <c r="B8887" i="1"/>
  <c r="C8887" i="1"/>
  <c r="D8887" i="1"/>
  <c r="E8887" i="1"/>
  <c r="A8888" i="1"/>
  <c r="B8888" i="1"/>
  <c r="C8888" i="1"/>
  <c r="D8888" i="1"/>
  <c r="E8888" i="1"/>
  <c r="A8889" i="1"/>
  <c r="B8889" i="1"/>
  <c r="C8889" i="1"/>
  <c r="D8889" i="1"/>
  <c r="E8889" i="1"/>
  <c r="A8890" i="1"/>
  <c r="B8890" i="1"/>
  <c r="C8890" i="1"/>
  <c r="D8890" i="1"/>
  <c r="E8890" i="1"/>
  <c r="A8891" i="1"/>
  <c r="B8891" i="1"/>
  <c r="C8891" i="1"/>
  <c r="D8891" i="1"/>
  <c r="E8891" i="1"/>
  <c r="A8892" i="1"/>
  <c r="B8892" i="1"/>
  <c r="C8892" i="1"/>
  <c r="D8892" i="1"/>
  <c r="E8892" i="1"/>
  <c r="A8893" i="1"/>
  <c r="B8893" i="1"/>
  <c r="C8893" i="1"/>
  <c r="D8893" i="1"/>
  <c r="E8893" i="1"/>
  <c r="A8894" i="1"/>
  <c r="B8894" i="1"/>
  <c r="C8894" i="1"/>
  <c r="D8894" i="1"/>
  <c r="E8894" i="1"/>
  <c r="A8895" i="1"/>
  <c r="B8895" i="1"/>
  <c r="C8895" i="1"/>
  <c r="D8895" i="1"/>
  <c r="E8895" i="1"/>
  <c r="A8896" i="1"/>
  <c r="B8896" i="1"/>
  <c r="C8896" i="1"/>
  <c r="D8896" i="1"/>
  <c r="E8896" i="1"/>
  <c r="A8897" i="1"/>
  <c r="B8897" i="1"/>
  <c r="C8897" i="1"/>
  <c r="D8897" i="1"/>
  <c r="E8897" i="1"/>
  <c r="A8898" i="1"/>
  <c r="B8898" i="1"/>
  <c r="C8898" i="1"/>
  <c r="D8898" i="1"/>
  <c r="E8898" i="1"/>
  <c r="A8899" i="1"/>
  <c r="B8899" i="1"/>
  <c r="C8899" i="1"/>
  <c r="D8899" i="1"/>
  <c r="E8899" i="1"/>
  <c r="A8900" i="1"/>
  <c r="B8900" i="1"/>
  <c r="C8900" i="1"/>
  <c r="D8900" i="1"/>
  <c r="E8900" i="1"/>
  <c r="A8901" i="1"/>
  <c r="B8901" i="1"/>
  <c r="C8901" i="1"/>
  <c r="D8901" i="1"/>
  <c r="E8901" i="1"/>
  <c r="A8902" i="1"/>
  <c r="B8902" i="1"/>
  <c r="C8902" i="1"/>
  <c r="D8902" i="1"/>
  <c r="E8902" i="1"/>
  <c r="A8903" i="1"/>
  <c r="B8903" i="1"/>
  <c r="C8903" i="1"/>
  <c r="D8903" i="1"/>
  <c r="E8903" i="1"/>
  <c r="A8904" i="1"/>
  <c r="B8904" i="1"/>
  <c r="C8904" i="1"/>
  <c r="D8904" i="1"/>
  <c r="E8904" i="1"/>
  <c r="A8905" i="1"/>
  <c r="B8905" i="1"/>
  <c r="C8905" i="1"/>
  <c r="D8905" i="1"/>
  <c r="E8905" i="1"/>
  <c r="A8906" i="1"/>
  <c r="B8906" i="1"/>
  <c r="C8906" i="1"/>
  <c r="D8906" i="1"/>
  <c r="E8906" i="1"/>
  <c r="A8907" i="1"/>
  <c r="B8907" i="1"/>
  <c r="C8907" i="1"/>
  <c r="D8907" i="1"/>
  <c r="E8907" i="1"/>
  <c r="A8908" i="1"/>
  <c r="B8908" i="1"/>
  <c r="C8908" i="1"/>
  <c r="D8908" i="1"/>
  <c r="E8908" i="1"/>
  <c r="A8909" i="1"/>
  <c r="B8909" i="1"/>
  <c r="C8909" i="1"/>
  <c r="D8909" i="1"/>
  <c r="E8909" i="1"/>
  <c r="A8910" i="1"/>
  <c r="B8910" i="1"/>
  <c r="C8910" i="1"/>
  <c r="D8910" i="1"/>
  <c r="E8910" i="1"/>
  <c r="A8911" i="1"/>
  <c r="B8911" i="1"/>
  <c r="C8911" i="1"/>
  <c r="D8911" i="1"/>
  <c r="E8911" i="1"/>
  <c r="A8912" i="1"/>
  <c r="B8912" i="1"/>
  <c r="C8912" i="1"/>
  <c r="D8912" i="1"/>
  <c r="E8912" i="1"/>
  <c r="A8913" i="1"/>
  <c r="B8913" i="1"/>
  <c r="C8913" i="1"/>
  <c r="D8913" i="1"/>
  <c r="E8913" i="1"/>
  <c r="A8914" i="1"/>
  <c r="B8914" i="1"/>
  <c r="C8914" i="1"/>
  <c r="D8914" i="1"/>
  <c r="E8914" i="1"/>
  <c r="A8915" i="1"/>
  <c r="B8915" i="1"/>
  <c r="C8915" i="1"/>
  <c r="D8915" i="1"/>
  <c r="E8915" i="1"/>
  <c r="A8916" i="1"/>
  <c r="B8916" i="1"/>
  <c r="C8916" i="1"/>
  <c r="D8916" i="1"/>
  <c r="E8916" i="1"/>
  <c r="A8917" i="1"/>
  <c r="B8917" i="1"/>
  <c r="C8917" i="1"/>
  <c r="D8917" i="1"/>
  <c r="E8917" i="1"/>
  <c r="A8918" i="1"/>
  <c r="B8918" i="1"/>
  <c r="C8918" i="1"/>
  <c r="D8918" i="1"/>
  <c r="E8918" i="1"/>
  <c r="A8919" i="1"/>
  <c r="B8919" i="1"/>
  <c r="C8919" i="1"/>
  <c r="D8919" i="1"/>
  <c r="E8919" i="1"/>
  <c r="A8920" i="1"/>
  <c r="B8920" i="1"/>
  <c r="C8920" i="1"/>
  <c r="D8920" i="1"/>
  <c r="E8920" i="1"/>
  <c r="A8921" i="1"/>
  <c r="B8921" i="1"/>
  <c r="C8921" i="1"/>
  <c r="D8921" i="1"/>
  <c r="E8921" i="1"/>
  <c r="A8922" i="1"/>
  <c r="B8922" i="1"/>
  <c r="C8922" i="1"/>
  <c r="D8922" i="1"/>
  <c r="E8922" i="1"/>
  <c r="A8923" i="1"/>
  <c r="B8923" i="1"/>
  <c r="C8923" i="1"/>
  <c r="D8923" i="1"/>
  <c r="E8923" i="1"/>
  <c r="A8924" i="1"/>
  <c r="B8924" i="1"/>
  <c r="C8924" i="1"/>
  <c r="D8924" i="1"/>
  <c r="E8924" i="1"/>
  <c r="A8925" i="1"/>
  <c r="B8925" i="1"/>
  <c r="C8925" i="1"/>
  <c r="D8925" i="1"/>
  <c r="E8925" i="1"/>
  <c r="A8926" i="1"/>
  <c r="B8926" i="1"/>
  <c r="C8926" i="1"/>
  <c r="D8926" i="1"/>
  <c r="E8926" i="1"/>
  <c r="A8927" i="1"/>
  <c r="B8927" i="1"/>
  <c r="C8927" i="1"/>
  <c r="D8927" i="1"/>
  <c r="E8927" i="1"/>
  <c r="A8928" i="1"/>
  <c r="B8928" i="1"/>
  <c r="C8928" i="1"/>
  <c r="D8928" i="1"/>
  <c r="E8928" i="1"/>
  <c r="A8929" i="1"/>
  <c r="B8929" i="1"/>
  <c r="C8929" i="1"/>
  <c r="D8929" i="1"/>
  <c r="E8929" i="1"/>
  <c r="A8930" i="1"/>
  <c r="B8930" i="1"/>
  <c r="C8930" i="1"/>
  <c r="D8930" i="1"/>
  <c r="E8930" i="1"/>
  <c r="A8931" i="1"/>
  <c r="B8931" i="1"/>
  <c r="C8931" i="1"/>
  <c r="D8931" i="1"/>
  <c r="E8931" i="1"/>
  <c r="A8932" i="1"/>
  <c r="B8932" i="1"/>
  <c r="C8932" i="1"/>
  <c r="D8932" i="1"/>
  <c r="E8932" i="1"/>
  <c r="A8933" i="1"/>
  <c r="B8933" i="1"/>
  <c r="C8933" i="1"/>
  <c r="D8933" i="1"/>
  <c r="E8933" i="1"/>
</calcChain>
</file>

<file path=xl/sharedStrings.xml><?xml version="1.0" encoding="utf-8"?>
<sst xmlns="http://schemas.openxmlformats.org/spreadsheetml/2006/main" count="26898" uniqueCount="97">
  <si>
    <t>2022 Eagle County Primary Election</t>
  </si>
  <si>
    <t>5.13.14.1</t>
  </si>
  <si>
    <t>United States Senator - DEM (Vote For=1)</t>
  </si>
  <si>
    <t>Representative to the 118th United States Congress - District 2 - DEM (Vote For=1)</t>
  </si>
  <si>
    <t>Representative to the 118th United States Congress - District 3 - DEM (Vote For=1)</t>
  </si>
  <si>
    <t>Governor - DEM (Vote For=1)</t>
  </si>
  <si>
    <t>Secretary of State - DEM (Vote For=1)</t>
  </si>
  <si>
    <t>State Treasurer - DEM (Vote For=1)</t>
  </si>
  <si>
    <t>Attorney General - DEM (Vote For=1)</t>
  </si>
  <si>
    <t>State Board of Education Member - At Large - DEM (Vote For=1)</t>
  </si>
  <si>
    <t>State Senator - District 8 - DEM (Vote For=1)</t>
  </si>
  <si>
    <t>State Representative - District 26 - DEM (Vote For=1)</t>
  </si>
  <si>
    <t>State Representative - District 57 - DEM (Vote For=1)</t>
  </si>
  <si>
    <t>Eagle County Commissioner - District 3 - DEM (Vote For=1)</t>
  </si>
  <si>
    <t>Eagle County Clerk and Recorder - DEM (Vote For=1)</t>
  </si>
  <si>
    <t>Eagle County Treasurer - DEM (Vote For=1)</t>
  </si>
  <si>
    <t>Eagle County Assessor - DEM (Vote For=1)</t>
  </si>
  <si>
    <t>Eagle County Surveyor - DEM (Vote For=1)</t>
  </si>
  <si>
    <t>Eagle County Coroner - DEM (Vote For=1)</t>
  </si>
  <si>
    <t>United States Senator - REP (Vote For=1)</t>
  </si>
  <si>
    <t>Representative to the 118th United States Congress - District 2 - REP (Vote For=1)</t>
  </si>
  <si>
    <t>Representative to the 118th United States Congress - District 3 - REP (Vote For=1)</t>
  </si>
  <si>
    <t>Governor - REP (Vote For=1)</t>
  </si>
  <si>
    <t>Secretary of State - REP (Vote For=1)</t>
  </si>
  <si>
    <t>State Treasurer - REP (Vote For=1)</t>
  </si>
  <si>
    <t>Attorney General - REP (Vote For=1)</t>
  </si>
  <si>
    <t>State Board of Education Member - At Large - REP (Vote For=1)</t>
  </si>
  <si>
    <t>State Senator - District 8 - REP (Vote For=1)</t>
  </si>
  <si>
    <t>State Representative - District 26 - REP (Vote For=1)</t>
  </si>
  <si>
    <t>State Representative - District 57 - REP (Vote For=1)</t>
  </si>
  <si>
    <t>Eagle County Commissioner - District 3 - REP (Vote For=1)</t>
  </si>
  <si>
    <t>Eagle County Sheriff - REP (Vote For=1)</t>
  </si>
  <si>
    <t>Michael Bennet</t>
  </si>
  <si>
    <t>Joe Neguse</t>
  </si>
  <si>
    <t>Soledad Sandoval Tafoya</t>
  </si>
  <si>
    <t>Alex Walker</t>
  </si>
  <si>
    <t>Adam Frisch</t>
  </si>
  <si>
    <t>Jared Polis</t>
  </si>
  <si>
    <t>Jena Griswold</t>
  </si>
  <si>
    <t>Dave Young</t>
  </si>
  <si>
    <t>Phil Weiser</t>
  </si>
  <si>
    <t>Kathy Plomer</t>
  </si>
  <si>
    <t>Dylan Roberts</t>
  </si>
  <si>
    <t>Meghan Lukens</t>
  </si>
  <si>
    <t>Colin "Cole" Buerger</t>
  </si>
  <si>
    <t>Elizabeth Velasco</t>
  </si>
  <si>
    <t>Jeanne McQueeney</t>
  </si>
  <si>
    <t>Regina O'Brien</t>
  </si>
  <si>
    <t>Teak Simonton</t>
  </si>
  <si>
    <t>Mark Chapin</t>
  </si>
  <si>
    <t>Kelly Miller</t>
  </si>
  <si>
    <t>Kara Bettis</t>
  </si>
  <si>
    <t>Ron Hanks</t>
  </si>
  <si>
    <t>Joe O'Dea</t>
  </si>
  <si>
    <t>Write-in</t>
  </si>
  <si>
    <t>Daniel Hendricks</t>
  </si>
  <si>
    <t>Marshall Dawson</t>
  </si>
  <si>
    <t>Lauren Boebert</t>
  </si>
  <si>
    <t>Don Coram</t>
  </si>
  <si>
    <t>Greg Lopez</t>
  </si>
  <si>
    <t>Heidi Ganahl</t>
  </si>
  <si>
    <t>Tina Peters</t>
  </si>
  <si>
    <t>Mike O'Donnell</t>
  </si>
  <si>
    <t>Pam Anderson</t>
  </si>
  <si>
    <t>Lang Sias</t>
  </si>
  <si>
    <t>John Kellner</t>
  </si>
  <si>
    <t>Dan Maloit</t>
  </si>
  <si>
    <t>Matt Solomon</t>
  </si>
  <si>
    <t>Savannah Wolfson</t>
  </si>
  <si>
    <t>Glenn Lowe III</t>
  </si>
  <si>
    <t>Perry Will</t>
  </si>
  <si>
    <t>Brian Brandl</t>
  </si>
  <si>
    <t>James Van Beek</t>
  </si>
  <si>
    <t>CvrNumber</t>
  </si>
  <si>
    <t>TabulatorNum</t>
  </si>
  <si>
    <t>BatchId</t>
  </si>
  <si>
    <t>RecordId</t>
  </si>
  <si>
    <t>ImprintedId</t>
  </si>
  <si>
    <t>CountingGroup</t>
  </si>
  <si>
    <t>PrecinctPortion</t>
  </si>
  <si>
    <t>BallotType</t>
  </si>
  <si>
    <t>DEM</t>
  </si>
  <si>
    <t>REP</t>
  </si>
  <si>
    <t>Mail</t>
  </si>
  <si>
    <t>101 (101)</t>
  </si>
  <si>
    <t>A_REP_2826</t>
  </si>
  <si>
    <t>102 (102)</t>
  </si>
  <si>
    <t>B_REP_3557</t>
  </si>
  <si>
    <t>104 (104)</t>
  </si>
  <si>
    <t>E_REP_3826</t>
  </si>
  <si>
    <t>103 (103)</t>
  </si>
  <si>
    <t>C_REP_3857</t>
  </si>
  <si>
    <t>A_DEM_2826</t>
  </si>
  <si>
    <t>B_DEM_3557</t>
  </si>
  <si>
    <t>C_DEM_3857</t>
  </si>
  <si>
    <t>E_DEM_3826</t>
  </si>
  <si>
    <t xml:space="preserve">Redacted per 24-72-205.5 (4)(b)(III) C.R.S.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</si>
</sst>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
    <xf numFmtId="0" fontId="0" fillId="0" borderId="0" xfId="0"/>
    <xf numFmtId="0" fontId="0" fillId="33" borderId="0" xfId="0" applyFill="1"/>
    <xf numFmtId="0" fontId="0" fillId="0" borderId="0" xfId="0" applyFill="1"/>
    <xf numFmtId="0" fontId="0" fillId="34" borderId="0" xfId="0" applyFill="1"/>
    <xf numFmtId="0" fontId="0" fillId="0" borderId="0" xfId="0" applyFont="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029450" cy="3267075"/>
    <xdr:sp macro="" textlink="">
      <xdr:nvSpPr>
        <xdr:cNvPr id="4" name="Shape 3">
          <a:extLst>
            <a:ext uri="{FF2B5EF4-FFF2-40B4-BE49-F238E27FC236}">
              <a16:creationId xmlns:a16="http://schemas.microsoft.com/office/drawing/2014/main" id="{10CFCB16-7FF9-4B51-8E6F-9860F6AF3CE1}"/>
            </a:ext>
          </a:extLst>
        </xdr:cNvPr>
        <xdr:cNvSpPr txBox="1"/>
      </xdr:nvSpPr>
      <xdr:spPr>
        <a:xfrm>
          <a:off x="0" y="0"/>
          <a:ext cx="7029450" cy="32670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Redaction Notes</a:t>
          </a:r>
        </a:p>
        <a:p>
          <a:pPr marL="0" lvl="0" indent="0" algn="l" rtl="0">
            <a:spcBef>
              <a:spcPts val="0"/>
            </a:spcBef>
            <a:spcAft>
              <a:spcPts val="0"/>
            </a:spcAft>
            <a:buNone/>
          </a:pPr>
          <a:endParaRPr lang="en-US" sz="1100">
            <a:solidFill>
              <a:schemeClr val="dk1"/>
            </a:solidFill>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24-72-205.5 (4)(b)(III) C.R.S. </a:t>
          </a:r>
          <a:r>
            <a:rPr lang="en-US" sz="1100" b="0" i="1">
              <a:solidFill>
                <a:schemeClr val="accent1"/>
              </a:solidFill>
              <a:latin typeface="Calibri"/>
              <a:ea typeface="Calibri"/>
              <a:cs typeface="Calibri"/>
              <a:sym typeface="Calibri"/>
            </a:rPr>
            <a:t>To protect the privacy of particular electors, any ballots cast by electors within groups of discrete individuals who are more susceptible of being personally identified, such as military and overseas electors, shall be made available for public inspection only to the extent such ballots may be duplicated without identifying elector information. Insofar as such ballots are not able to be duplicated without identifying elector information, they are not available for public inspection. Notwithstanding any other provision of this section, no ballot, or any portion thereof, may be made available for inspection where the ballot, or any requested portion thereof, is identical in printed form, considering a combination of the election contests at issue and precinct coding, to only nine or fewer ballots, or comparable portions thereof, among all ballots used in the same election. However, any such ballot, or any requested portion thereof, that is identical in printed form to ten or more ballots, or comparable portions thereof, used in the same election may be inspected.</a:t>
          </a:r>
          <a:endParaRPr lang="en-US" sz="1400"/>
        </a:p>
        <a:p>
          <a:pPr marL="0" lvl="0" indent="0" algn="l" rtl="0">
            <a:spcBef>
              <a:spcPts val="0"/>
            </a:spcBef>
            <a:spcAft>
              <a:spcPts val="0"/>
            </a:spcAft>
            <a:buNone/>
          </a:pPr>
          <a:endParaRPr lang="en-US" sz="1100" b="0" i="0">
            <a:solidFill>
              <a:srgbClr val="000000"/>
            </a:solidFill>
            <a:latin typeface="Calibri"/>
            <a:ea typeface="Calibri"/>
            <a:cs typeface="Calibri"/>
            <a:sym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000000"/>
              </a:solidFill>
              <a:latin typeface="Calibri"/>
              <a:ea typeface="Calibri"/>
              <a:cs typeface="Calibri"/>
              <a:sym typeface="Calibri"/>
            </a:rPr>
            <a:t>In the 2022</a:t>
          </a:r>
          <a:r>
            <a:rPr lang="en-US" sz="1100" b="0" i="0" baseline="0">
              <a:solidFill>
                <a:srgbClr val="000000"/>
              </a:solidFill>
              <a:latin typeface="Calibri"/>
              <a:ea typeface="Calibri"/>
              <a:cs typeface="Calibri"/>
              <a:sym typeface="Calibri"/>
            </a:rPr>
            <a:t> Primary Election,</a:t>
          </a:r>
          <a:r>
            <a:rPr lang="en-US" sz="1100" b="0" i="0">
              <a:solidFill>
                <a:srgbClr val="000000"/>
              </a:solidFill>
              <a:latin typeface="Calibri"/>
              <a:ea typeface="Calibri"/>
              <a:cs typeface="Calibri"/>
              <a:sym typeface="Calibri"/>
            </a:rPr>
            <a:t> Eagle County had two</a:t>
          </a:r>
          <a:r>
            <a:rPr lang="en-US" sz="1100" b="0" i="0" baseline="0">
              <a:solidFill>
                <a:srgbClr val="000000"/>
              </a:solidFill>
              <a:latin typeface="Calibri"/>
              <a:ea typeface="Calibri"/>
              <a:cs typeface="Calibri"/>
              <a:sym typeface="Calibri"/>
            </a:rPr>
            <a:t> ballot styles, </a:t>
          </a:r>
          <a:r>
            <a:rPr lang="en-US" sz="1100" b="0" i="0" baseline="0">
              <a:effectLst/>
              <a:latin typeface="+mn-lt"/>
              <a:ea typeface="+mn-ea"/>
              <a:cs typeface="+mn-cs"/>
            </a:rPr>
            <a:t>one Republican style and one Democratic style, where less than nine </a:t>
          </a:r>
          <a:r>
            <a:rPr lang="en-US" sz="1100" b="0" i="0">
              <a:effectLst/>
              <a:latin typeface="+mn-lt"/>
              <a:ea typeface="+mn-ea"/>
              <a:cs typeface="+mn-cs"/>
            </a:rPr>
            <a:t>voters returned a ballot.</a:t>
          </a:r>
          <a:r>
            <a:rPr lang="en-US" sz="1100" b="0" i="0" baseline="0">
              <a:effectLst/>
              <a:latin typeface="+mn-lt"/>
              <a:ea typeface="+mn-ea"/>
              <a:cs typeface="+mn-cs"/>
            </a:rPr>
            <a:t>  </a:t>
          </a:r>
          <a:r>
            <a:rPr lang="en-US" sz="1100" b="0" i="0">
              <a:effectLst/>
              <a:latin typeface="+mn-lt"/>
              <a:ea typeface="+mn-ea"/>
              <a:cs typeface="+mn-cs"/>
            </a:rPr>
            <a:t>Thus, per statute, we have redacted the votes cast by those voters AND redacted additional ballot styles (including</a:t>
          </a:r>
          <a:r>
            <a:rPr lang="en-US" sz="1100" b="0" i="0" baseline="0">
              <a:effectLst/>
              <a:latin typeface="+mn-lt"/>
              <a:ea typeface="+mn-ea"/>
              <a:cs typeface="+mn-cs"/>
            </a:rPr>
            <a:t> the "Precinct Portion" and "Ballot Type")</a:t>
          </a:r>
          <a:r>
            <a:rPr lang="en-US" sz="1100" b="0" i="0">
              <a:effectLst/>
              <a:latin typeface="+mn-lt"/>
              <a:ea typeface="+mn-ea"/>
              <a:cs typeface="+mn-cs"/>
            </a:rPr>
            <a:t> to ensure the anonymity of those voters' votes.  In</a:t>
          </a:r>
          <a:r>
            <a:rPr lang="en-US" sz="1100" b="0" i="0" baseline="0">
              <a:effectLst/>
              <a:latin typeface="+mn-lt"/>
              <a:ea typeface="+mn-ea"/>
              <a:cs typeface="+mn-cs"/>
            </a:rPr>
            <a:t> total, 20 ballots were redacted to protect anonymity. </a:t>
          </a:r>
          <a:r>
            <a:rPr lang="en-US" sz="1100" b="0" i="0">
              <a:effectLst/>
              <a:latin typeface="+mn-lt"/>
              <a:ea typeface="+mn-ea"/>
              <a:cs typeface="+mn-cs"/>
            </a:rPr>
            <a:t> Redacted ballot styles are highlighted in green (Republican) and yellow (Democratic)</a:t>
          </a:r>
          <a:r>
            <a:rPr lang="en-US" sz="1100" b="0" i="0" baseline="0">
              <a:effectLst/>
              <a:latin typeface="+mn-lt"/>
              <a:ea typeface="+mn-ea"/>
              <a:cs typeface="+mn-cs"/>
            </a:rPr>
            <a:t> </a:t>
          </a:r>
          <a:r>
            <a:rPr lang="en-US" sz="1100" b="0" i="0">
              <a:effectLst/>
              <a:latin typeface="+mn-lt"/>
              <a:ea typeface="+mn-ea"/>
              <a:cs typeface="+mn-cs"/>
            </a:rPr>
            <a:t>in the CVR.</a:t>
          </a:r>
          <a:endParaRPr lang="en-US">
            <a:effectLst/>
          </a:endParaRPr>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8937"/>
  <sheetViews>
    <sheetView tabSelected="1" workbookViewId="0">
      <pane ySplit="4" topLeftCell="A5" activePane="bottomLeft" state="frozen"/>
      <selection pane="bottomLeft"/>
    </sheetView>
  </sheetViews>
  <sheetFormatPr defaultRowHeight="15" x14ac:dyDescent="0.25"/>
  <cols>
    <col min="1" max="1" width="32.42578125" bestFit="1" customWidth="1"/>
    <col min="5" max="5" width="11.5703125" bestFit="1" customWidth="1"/>
    <col min="6" max="6" width="14.5703125" bestFit="1" customWidth="1"/>
    <col min="7" max="7" width="50.42578125" customWidth="1"/>
    <col min="8" max="8" width="12.28515625" bestFit="1" customWidth="1"/>
    <col min="31" max="32" width="9.140625" customWidth="1"/>
    <col min="45" max="45" width="9.140625" customWidth="1"/>
  </cols>
  <sheetData>
    <row r="1" spans="1:49" x14ac:dyDescent="0.25">
      <c r="A1" t="s">
        <v>0</v>
      </c>
      <c r="B1" t="s">
        <v>1</v>
      </c>
    </row>
    <row r="2" spans="1:49" x14ac:dyDescent="0.25">
      <c r="I2" t="s">
        <v>2</v>
      </c>
      <c r="J2" t="s">
        <v>3</v>
      </c>
      <c r="K2" t="s">
        <v>4</v>
      </c>
      <c r="L2" t="s">
        <v>4</v>
      </c>
      <c r="M2" t="s">
        <v>4</v>
      </c>
      <c r="N2" t="s">
        <v>5</v>
      </c>
      <c r="O2" t="s">
        <v>6</v>
      </c>
      <c r="P2" t="s">
        <v>7</v>
      </c>
      <c r="Q2" t="s">
        <v>8</v>
      </c>
      <c r="R2" t="s">
        <v>9</v>
      </c>
      <c r="S2" t="s">
        <v>10</v>
      </c>
      <c r="T2" t="s">
        <v>11</v>
      </c>
      <c r="U2" t="s">
        <v>12</v>
      </c>
      <c r="V2" t="s">
        <v>12</v>
      </c>
      <c r="W2" t="s">
        <v>13</v>
      </c>
      <c r="X2" t="s">
        <v>14</v>
      </c>
      <c r="Y2" t="s">
        <v>15</v>
      </c>
      <c r="Z2" t="s">
        <v>16</v>
      </c>
      <c r="AA2" t="s">
        <v>17</v>
      </c>
      <c r="AB2" t="s">
        <v>18</v>
      </c>
      <c r="AC2" t="s">
        <v>19</v>
      </c>
      <c r="AD2" t="s">
        <v>19</v>
      </c>
      <c r="AE2" t="s">
        <v>19</v>
      </c>
      <c r="AF2" t="s">
        <v>19</v>
      </c>
      <c r="AG2" t="s">
        <v>20</v>
      </c>
      <c r="AH2" t="s">
        <v>21</v>
      </c>
      <c r="AI2" t="s">
        <v>21</v>
      </c>
      <c r="AJ2" t="s">
        <v>22</v>
      </c>
      <c r="AK2" t="s">
        <v>22</v>
      </c>
      <c r="AL2" t="s">
        <v>23</v>
      </c>
      <c r="AM2" t="s">
        <v>23</v>
      </c>
      <c r="AN2" t="s">
        <v>23</v>
      </c>
      <c r="AO2" t="s">
        <v>24</v>
      </c>
      <c r="AP2" t="s">
        <v>25</v>
      </c>
      <c r="AQ2" t="s">
        <v>26</v>
      </c>
      <c r="AR2" t="s">
        <v>27</v>
      </c>
      <c r="AS2" t="s">
        <v>28</v>
      </c>
      <c r="AT2" t="s">
        <v>28</v>
      </c>
      <c r="AU2" t="s">
        <v>29</v>
      </c>
      <c r="AV2" t="s">
        <v>30</v>
      </c>
      <c r="AW2" t="s">
        <v>31</v>
      </c>
    </row>
    <row r="3" spans="1:49" x14ac:dyDescent="0.25">
      <c r="I3" t="s">
        <v>32</v>
      </c>
      <c r="J3" t="s">
        <v>33</v>
      </c>
      <c r="K3" t="s">
        <v>34</v>
      </c>
      <c r="L3" t="s">
        <v>35</v>
      </c>
      <c r="M3" t="s">
        <v>36</v>
      </c>
      <c r="N3" t="s">
        <v>37</v>
      </c>
      <c r="O3" t="s">
        <v>38</v>
      </c>
      <c r="P3" t="s">
        <v>39</v>
      </c>
      <c r="Q3" t="s">
        <v>40</v>
      </c>
      <c r="R3" t="s">
        <v>41</v>
      </c>
      <c r="S3" t="s">
        <v>42</v>
      </c>
      <c r="T3" t="s">
        <v>43</v>
      </c>
      <c r="U3" t="s">
        <v>44</v>
      </c>
      <c r="V3" t="s">
        <v>45</v>
      </c>
      <c r="W3" t="s">
        <v>46</v>
      </c>
      <c r="X3" t="s">
        <v>47</v>
      </c>
      <c r="Y3" t="s">
        <v>48</v>
      </c>
      <c r="Z3" t="s">
        <v>49</v>
      </c>
      <c r="AA3" t="s">
        <v>50</v>
      </c>
      <c r="AB3" t="s">
        <v>51</v>
      </c>
      <c r="AC3" t="s">
        <v>52</v>
      </c>
      <c r="AD3" t="s">
        <v>53</v>
      </c>
      <c r="AE3" t="s">
        <v>54</v>
      </c>
      <c r="AF3" t="s">
        <v>55</v>
      </c>
      <c r="AG3" t="s">
        <v>56</v>
      </c>
      <c r="AH3" t="s">
        <v>57</v>
      </c>
      <c r="AI3" t="s">
        <v>58</v>
      </c>
      <c r="AJ3" t="s">
        <v>59</v>
      </c>
      <c r="AK3" t="s">
        <v>60</v>
      </c>
      <c r="AL3" t="s">
        <v>61</v>
      </c>
      <c r="AM3" t="s">
        <v>62</v>
      </c>
      <c r="AN3" t="s">
        <v>63</v>
      </c>
      <c r="AO3" t="s">
        <v>64</v>
      </c>
      <c r="AP3" t="s">
        <v>65</v>
      </c>
      <c r="AQ3" t="s">
        <v>66</v>
      </c>
      <c r="AR3" t="s">
        <v>67</v>
      </c>
      <c r="AS3" t="s">
        <v>68</v>
      </c>
      <c r="AT3" t="s">
        <v>69</v>
      </c>
      <c r="AU3" t="s">
        <v>70</v>
      </c>
      <c r="AV3" t="s">
        <v>71</v>
      </c>
      <c r="AW3" t="s">
        <v>72</v>
      </c>
    </row>
    <row r="4" spans="1:49" x14ac:dyDescent="0.25">
      <c r="A4" t="s">
        <v>73</v>
      </c>
      <c r="B4" t="s">
        <v>74</v>
      </c>
      <c r="C4" t="s">
        <v>75</v>
      </c>
      <c r="D4" t="s">
        <v>76</v>
      </c>
      <c r="E4" t="s">
        <v>77</v>
      </c>
      <c r="F4" t="s">
        <v>78</v>
      </c>
      <c r="G4" t="s">
        <v>79</v>
      </c>
      <c r="H4" t="s">
        <v>80</v>
      </c>
      <c r="I4" t="s">
        <v>81</v>
      </c>
      <c r="J4" t="s">
        <v>81</v>
      </c>
      <c r="K4" t="s">
        <v>81</v>
      </c>
      <c r="L4" t="s">
        <v>81</v>
      </c>
      <c r="M4" t="s">
        <v>81</v>
      </c>
      <c r="N4" t="s">
        <v>81</v>
      </c>
      <c r="O4" t="s">
        <v>81</v>
      </c>
      <c r="P4" t="s">
        <v>81</v>
      </c>
      <c r="Q4" t="s">
        <v>81</v>
      </c>
      <c r="R4" t="s">
        <v>81</v>
      </c>
      <c r="S4" t="s">
        <v>81</v>
      </c>
      <c r="T4" t="s">
        <v>81</v>
      </c>
      <c r="U4" t="s">
        <v>81</v>
      </c>
      <c r="V4" t="s">
        <v>81</v>
      </c>
      <c r="W4" t="s">
        <v>81</v>
      </c>
      <c r="X4" t="s">
        <v>81</v>
      </c>
      <c r="Y4" t="s">
        <v>81</v>
      </c>
      <c r="Z4" t="s">
        <v>81</v>
      </c>
      <c r="AA4" t="s">
        <v>81</v>
      </c>
      <c r="AB4" t="s">
        <v>81</v>
      </c>
      <c r="AC4" t="s">
        <v>82</v>
      </c>
      <c r="AD4" t="s">
        <v>82</v>
      </c>
      <c r="AG4" t="s">
        <v>82</v>
      </c>
      <c r="AH4" t="s">
        <v>82</v>
      </c>
      <c r="AI4" t="s">
        <v>82</v>
      </c>
      <c r="AJ4" t="s">
        <v>82</v>
      </c>
      <c r="AK4" t="s">
        <v>82</v>
      </c>
      <c r="AL4" t="s">
        <v>82</v>
      </c>
      <c r="AM4" t="s">
        <v>82</v>
      </c>
      <c r="AN4" t="s">
        <v>82</v>
      </c>
      <c r="AO4" t="s">
        <v>82</v>
      </c>
      <c r="AP4" t="s">
        <v>82</v>
      </c>
      <c r="AQ4" t="s">
        <v>82</v>
      </c>
      <c r="AR4" t="s">
        <v>82</v>
      </c>
      <c r="AS4" t="s">
        <v>82</v>
      </c>
      <c r="AT4" t="s">
        <v>82</v>
      </c>
      <c r="AU4" t="s">
        <v>82</v>
      </c>
      <c r="AV4" t="s">
        <v>82</v>
      </c>
      <c r="AW4" t="s">
        <v>82</v>
      </c>
    </row>
    <row r="5" spans="1:49" x14ac:dyDescent="0.25">
      <c r="A5" t="str">
        <f>"1"</f>
        <v>1</v>
      </c>
      <c r="B5" t="str">
        <f>"1"</f>
        <v>1</v>
      </c>
      <c r="C5" t="str">
        <f>"1"</f>
        <v>1</v>
      </c>
      <c r="D5" t="str">
        <f>"21"</f>
        <v>21</v>
      </c>
      <c r="E5" t="str">
        <f>"1-1-21"</f>
        <v>1-1-21</v>
      </c>
      <c r="F5" t="s">
        <v>83</v>
      </c>
      <c r="G5" t="s">
        <v>84</v>
      </c>
      <c r="H5" t="s">
        <v>85</v>
      </c>
      <c r="AC5">
        <v>0</v>
      </c>
      <c r="AD5">
        <v>1</v>
      </c>
      <c r="AE5">
        <v>0</v>
      </c>
      <c r="AF5">
        <v>0</v>
      </c>
      <c r="AG5">
        <v>1</v>
      </c>
      <c r="AJ5">
        <v>1</v>
      </c>
      <c r="AK5">
        <v>0</v>
      </c>
      <c r="AL5">
        <v>0</v>
      </c>
      <c r="AM5">
        <v>0</v>
      </c>
      <c r="AN5">
        <v>1</v>
      </c>
      <c r="AO5">
        <v>1</v>
      </c>
      <c r="AP5">
        <v>1</v>
      </c>
      <c r="AQ5">
        <v>1</v>
      </c>
      <c r="AR5">
        <v>1</v>
      </c>
      <c r="AS5">
        <v>1</v>
      </c>
      <c r="AT5">
        <v>0</v>
      </c>
      <c r="AV5">
        <v>1</v>
      </c>
      <c r="AW5">
        <v>1</v>
      </c>
    </row>
    <row r="6" spans="1:49" x14ac:dyDescent="0.25">
      <c r="A6" t="str">
        <f>"2"</f>
        <v>2</v>
      </c>
      <c r="B6" t="str">
        <f t="shared" ref="B6:C29" si="0">"1"</f>
        <v>1</v>
      </c>
      <c r="C6" t="str">
        <f t="shared" si="0"/>
        <v>1</v>
      </c>
      <c r="D6" t="str">
        <f>"20"</f>
        <v>20</v>
      </c>
      <c r="E6" t="str">
        <f>"1-1-20"</f>
        <v>1-1-20</v>
      </c>
      <c r="F6" t="s">
        <v>83</v>
      </c>
      <c r="G6" t="s">
        <v>84</v>
      </c>
      <c r="H6" t="s">
        <v>85</v>
      </c>
      <c r="AC6">
        <v>1</v>
      </c>
      <c r="AD6">
        <v>0</v>
      </c>
      <c r="AE6">
        <v>0</v>
      </c>
      <c r="AF6">
        <v>0</v>
      </c>
      <c r="AG6">
        <v>0</v>
      </c>
      <c r="AJ6">
        <v>0</v>
      </c>
      <c r="AK6">
        <v>1</v>
      </c>
      <c r="AL6">
        <v>0</v>
      </c>
      <c r="AM6">
        <v>0</v>
      </c>
      <c r="AN6">
        <v>0</v>
      </c>
      <c r="AO6">
        <v>0</v>
      </c>
      <c r="AP6">
        <v>0</v>
      </c>
      <c r="AQ6">
        <v>0</v>
      </c>
      <c r="AR6">
        <v>0</v>
      </c>
      <c r="AS6">
        <v>1</v>
      </c>
      <c r="AT6">
        <v>0</v>
      </c>
      <c r="AV6">
        <v>0</v>
      </c>
      <c r="AW6">
        <v>0</v>
      </c>
    </row>
    <row r="7" spans="1:49" x14ac:dyDescent="0.25">
      <c r="A7" t="str">
        <f>"3"</f>
        <v>3</v>
      </c>
      <c r="B7" t="str">
        <f t="shared" si="0"/>
        <v>1</v>
      </c>
      <c r="C7" t="str">
        <f t="shared" si="0"/>
        <v>1</v>
      </c>
      <c r="D7" t="str">
        <f>"12"</f>
        <v>12</v>
      </c>
      <c r="E7" t="str">
        <f>"1-1-12"</f>
        <v>1-1-12</v>
      </c>
      <c r="F7" t="s">
        <v>83</v>
      </c>
      <c r="G7" t="s">
        <v>84</v>
      </c>
      <c r="H7" t="s">
        <v>85</v>
      </c>
      <c r="AC7">
        <v>0</v>
      </c>
      <c r="AD7">
        <v>1</v>
      </c>
      <c r="AE7">
        <v>0</v>
      </c>
      <c r="AF7">
        <v>0</v>
      </c>
      <c r="AG7">
        <v>1</v>
      </c>
      <c r="AJ7">
        <v>0</v>
      </c>
      <c r="AK7">
        <v>1</v>
      </c>
      <c r="AL7">
        <v>1</v>
      </c>
      <c r="AM7">
        <v>0</v>
      </c>
      <c r="AN7">
        <v>0</v>
      </c>
      <c r="AO7">
        <v>1</v>
      </c>
      <c r="AP7">
        <v>1</v>
      </c>
      <c r="AQ7">
        <v>1</v>
      </c>
      <c r="AR7">
        <v>1</v>
      </c>
      <c r="AS7">
        <v>0</v>
      </c>
      <c r="AT7">
        <v>1</v>
      </c>
      <c r="AV7">
        <v>1</v>
      </c>
      <c r="AW7">
        <v>1</v>
      </c>
    </row>
    <row r="8" spans="1:49" x14ac:dyDescent="0.25">
      <c r="A8" t="str">
        <f>"4"</f>
        <v>4</v>
      </c>
      <c r="B8" t="str">
        <f t="shared" si="0"/>
        <v>1</v>
      </c>
      <c r="C8" t="str">
        <f t="shared" si="0"/>
        <v>1</v>
      </c>
      <c r="D8" t="str">
        <f>"8"</f>
        <v>8</v>
      </c>
      <c r="E8" t="str">
        <f>"1-1-8"</f>
        <v>1-1-8</v>
      </c>
      <c r="F8" t="s">
        <v>83</v>
      </c>
      <c r="G8" t="s">
        <v>84</v>
      </c>
      <c r="H8" t="s">
        <v>85</v>
      </c>
      <c r="AC8">
        <v>1</v>
      </c>
      <c r="AD8">
        <v>0</v>
      </c>
      <c r="AE8">
        <v>0</v>
      </c>
      <c r="AF8">
        <v>0</v>
      </c>
      <c r="AG8">
        <v>1</v>
      </c>
      <c r="AJ8">
        <v>0</v>
      </c>
      <c r="AK8">
        <v>1</v>
      </c>
      <c r="AL8">
        <v>0</v>
      </c>
      <c r="AM8">
        <v>0</v>
      </c>
      <c r="AN8">
        <v>1</v>
      </c>
      <c r="AO8">
        <v>1</v>
      </c>
      <c r="AP8">
        <v>1</v>
      </c>
      <c r="AQ8">
        <v>1</v>
      </c>
      <c r="AR8">
        <v>1</v>
      </c>
      <c r="AS8">
        <v>1</v>
      </c>
      <c r="AT8">
        <v>0</v>
      </c>
      <c r="AV8">
        <v>1</v>
      </c>
      <c r="AW8">
        <v>1</v>
      </c>
    </row>
    <row r="9" spans="1:49" x14ac:dyDescent="0.25">
      <c r="A9" t="str">
        <f>"5"</f>
        <v>5</v>
      </c>
      <c r="B9" t="str">
        <f t="shared" si="0"/>
        <v>1</v>
      </c>
      <c r="C9" t="str">
        <f t="shared" si="0"/>
        <v>1</v>
      </c>
      <c r="D9" t="str">
        <f>"5"</f>
        <v>5</v>
      </c>
      <c r="E9" t="str">
        <f>"1-1-5"</f>
        <v>1-1-5</v>
      </c>
      <c r="F9" t="s">
        <v>83</v>
      </c>
      <c r="G9" t="s">
        <v>84</v>
      </c>
      <c r="H9" t="s">
        <v>85</v>
      </c>
      <c r="AC9">
        <v>0</v>
      </c>
      <c r="AD9">
        <v>1</v>
      </c>
      <c r="AE9">
        <v>0</v>
      </c>
      <c r="AF9">
        <v>0</v>
      </c>
      <c r="AG9">
        <v>1</v>
      </c>
      <c r="AJ9">
        <v>0</v>
      </c>
      <c r="AK9">
        <v>1</v>
      </c>
      <c r="AL9">
        <v>0</v>
      </c>
      <c r="AM9">
        <v>0</v>
      </c>
      <c r="AN9">
        <v>1</v>
      </c>
      <c r="AO9">
        <v>1</v>
      </c>
      <c r="AP9">
        <v>1</v>
      </c>
      <c r="AQ9">
        <v>1</v>
      </c>
      <c r="AR9">
        <v>1</v>
      </c>
      <c r="AS9">
        <v>1</v>
      </c>
      <c r="AT9">
        <v>0</v>
      </c>
      <c r="AV9">
        <v>1</v>
      </c>
      <c r="AW9">
        <v>1</v>
      </c>
    </row>
    <row r="10" spans="1:49" x14ac:dyDescent="0.25">
      <c r="A10" t="str">
        <f>"6"</f>
        <v>6</v>
      </c>
      <c r="B10" t="str">
        <f t="shared" si="0"/>
        <v>1</v>
      </c>
      <c r="C10" t="str">
        <f t="shared" si="0"/>
        <v>1</v>
      </c>
      <c r="D10" t="str">
        <f>"16"</f>
        <v>16</v>
      </c>
      <c r="E10" t="str">
        <f>"1-1-16"</f>
        <v>1-1-16</v>
      </c>
      <c r="F10" t="s">
        <v>83</v>
      </c>
      <c r="G10" t="s">
        <v>84</v>
      </c>
      <c r="H10" t="s">
        <v>85</v>
      </c>
      <c r="AC10">
        <v>1</v>
      </c>
      <c r="AD10">
        <v>0</v>
      </c>
      <c r="AE10">
        <v>0</v>
      </c>
      <c r="AF10">
        <v>0</v>
      </c>
      <c r="AG10">
        <v>1</v>
      </c>
      <c r="AJ10">
        <v>1</v>
      </c>
      <c r="AK10">
        <v>0</v>
      </c>
      <c r="AL10">
        <v>0</v>
      </c>
      <c r="AM10">
        <v>1</v>
      </c>
      <c r="AN10">
        <v>0</v>
      </c>
      <c r="AO10">
        <v>1</v>
      </c>
      <c r="AP10">
        <v>1</v>
      </c>
      <c r="AQ10">
        <v>1</v>
      </c>
      <c r="AR10">
        <v>1</v>
      </c>
      <c r="AS10">
        <v>1</v>
      </c>
      <c r="AT10">
        <v>0</v>
      </c>
      <c r="AV10">
        <v>1</v>
      </c>
      <c r="AW10">
        <v>1</v>
      </c>
    </row>
    <row r="11" spans="1:49" x14ac:dyDescent="0.25">
      <c r="A11" t="str">
        <f>"7"</f>
        <v>7</v>
      </c>
      <c r="B11" t="str">
        <f t="shared" si="0"/>
        <v>1</v>
      </c>
      <c r="C11" t="str">
        <f t="shared" si="0"/>
        <v>1</v>
      </c>
      <c r="D11" t="str">
        <f>"9"</f>
        <v>9</v>
      </c>
      <c r="E11" t="str">
        <f>"1-1-9"</f>
        <v>1-1-9</v>
      </c>
      <c r="F11" t="s">
        <v>83</v>
      </c>
      <c r="G11" t="s">
        <v>86</v>
      </c>
      <c r="H11" t="s">
        <v>87</v>
      </c>
      <c r="AC11">
        <v>0</v>
      </c>
      <c r="AD11">
        <v>1</v>
      </c>
      <c r="AE11">
        <v>0</v>
      </c>
      <c r="AF11">
        <v>0</v>
      </c>
      <c r="AH11">
        <v>1</v>
      </c>
      <c r="AI11">
        <v>0</v>
      </c>
      <c r="AJ11">
        <v>0</v>
      </c>
      <c r="AK11">
        <v>1</v>
      </c>
      <c r="AL11">
        <v>0</v>
      </c>
      <c r="AM11">
        <v>0</v>
      </c>
      <c r="AN11">
        <v>1</v>
      </c>
      <c r="AO11">
        <v>1</v>
      </c>
      <c r="AP11">
        <v>1</v>
      </c>
      <c r="AQ11">
        <v>1</v>
      </c>
      <c r="AU11">
        <v>1</v>
      </c>
      <c r="AV11">
        <v>1</v>
      </c>
      <c r="AW11">
        <v>1</v>
      </c>
    </row>
    <row r="12" spans="1:49" x14ac:dyDescent="0.25">
      <c r="A12" t="str">
        <f>"8"</f>
        <v>8</v>
      </c>
      <c r="B12" t="str">
        <f t="shared" si="0"/>
        <v>1</v>
      </c>
      <c r="C12" t="str">
        <f t="shared" si="0"/>
        <v>1</v>
      </c>
      <c r="D12" t="str">
        <f>"19"</f>
        <v>19</v>
      </c>
      <c r="E12" t="str">
        <f>"1-1-19"</f>
        <v>1-1-19</v>
      </c>
      <c r="F12" t="s">
        <v>83</v>
      </c>
      <c r="G12" t="s">
        <v>84</v>
      </c>
      <c r="H12" t="s">
        <v>85</v>
      </c>
      <c r="AC12">
        <v>0</v>
      </c>
      <c r="AD12">
        <v>1</v>
      </c>
      <c r="AE12">
        <v>0</v>
      </c>
      <c r="AF12">
        <v>0</v>
      </c>
      <c r="AG12">
        <v>1</v>
      </c>
      <c r="AJ12">
        <v>0</v>
      </c>
      <c r="AK12">
        <v>1</v>
      </c>
      <c r="AL12">
        <v>0</v>
      </c>
      <c r="AM12">
        <v>1</v>
      </c>
      <c r="AN12">
        <v>0</v>
      </c>
      <c r="AO12">
        <v>1</v>
      </c>
      <c r="AP12">
        <v>1</v>
      </c>
      <c r="AQ12">
        <v>1</v>
      </c>
      <c r="AR12">
        <v>1</v>
      </c>
      <c r="AS12">
        <v>0</v>
      </c>
      <c r="AT12">
        <v>1</v>
      </c>
      <c r="AV12">
        <v>1</v>
      </c>
      <c r="AW12">
        <v>1</v>
      </c>
    </row>
    <row r="13" spans="1:49" x14ac:dyDescent="0.25">
      <c r="A13" t="str">
        <f>"9"</f>
        <v>9</v>
      </c>
      <c r="B13" t="str">
        <f t="shared" si="0"/>
        <v>1</v>
      </c>
      <c r="C13" t="str">
        <f t="shared" si="0"/>
        <v>1</v>
      </c>
      <c r="D13" t="str">
        <f>"10"</f>
        <v>10</v>
      </c>
      <c r="E13" t="str">
        <f>"1-1-10"</f>
        <v>1-1-10</v>
      </c>
      <c r="F13" t="s">
        <v>83</v>
      </c>
      <c r="G13" t="s">
        <v>84</v>
      </c>
      <c r="H13" t="s">
        <v>85</v>
      </c>
      <c r="AC13">
        <v>0</v>
      </c>
      <c r="AD13">
        <v>1</v>
      </c>
      <c r="AE13">
        <v>0</v>
      </c>
      <c r="AF13">
        <v>0</v>
      </c>
      <c r="AG13">
        <v>1</v>
      </c>
      <c r="AJ13">
        <v>0</v>
      </c>
      <c r="AK13">
        <v>1</v>
      </c>
      <c r="AL13">
        <v>0</v>
      </c>
      <c r="AM13">
        <v>0</v>
      </c>
      <c r="AN13">
        <v>1</v>
      </c>
      <c r="AO13">
        <v>1</v>
      </c>
      <c r="AP13">
        <v>1</v>
      </c>
      <c r="AQ13">
        <v>1</v>
      </c>
      <c r="AR13">
        <v>1</v>
      </c>
      <c r="AS13">
        <v>0</v>
      </c>
      <c r="AT13">
        <v>1</v>
      </c>
      <c r="AV13">
        <v>1</v>
      </c>
      <c r="AW13">
        <v>1</v>
      </c>
    </row>
    <row r="14" spans="1:49" x14ac:dyDescent="0.25">
      <c r="A14" t="str">
        <f>"10"</f>
        <v>10</v>
      </c>
      <c r="B14" t="str">
        <f t="shared" si="0"/>
        <v>1</v>
      </c>
      <c r="C14" t="str">
        <f t="shared" si="0"/>
        <v>1</v>
      </c>
      <c r="D14" t="str">
        <f>"18"</f>
        <v>18</v>
      </c>
      <c r="E14" t="str">
        <f>"1-1-18"</f>
        <v>1-1-18</v>
      </c>
      <c r="F14" t="s">
        <v>83</v>
      </c>
      <c r="G14" t="s">
        <v>86</v>
      </c>
      <c r="H14" t="s">
        <v>87</v>
      </c>
      <c r="AC14">
        <v>0</v>
      </c>
      <c r="AD14">
        <v>1</v>
      </c>
      <c r="AE14">
        <v>0</v>
      </c>
      <c r="AF14">
        <v>0</v>
      </c>
      <c r="AH14">
        <v>0</v>
      </c>
      <c r="AI14">
        <v>1</v>
      </c>
      <c r="AJ14">
        <v>0</v>
      </c>
      <c r="AK14">
        <v>1</v>
      </c>
      <c r="AL14">
        <v>1</v>
      </c>
      <c r="AM14">
        <v>0</v>
      </c>
      <c r="AN14">
        <v>0</v>
      </c>
      <c r="AO14">
        <v>0</v>
      </c>
      <c r="AP14">
        <v>0</v>
      </c>
      <c r="AQ14">
        <v>0</v>
      </c>
      <c r="AU14">
        <v>0</v>
      </c>
      <c r="AV14">
        <v>0</v>
      </c>
      <c r="AW14">
        <v>0</v>
      </c>
    </row>
    <row r="15" spans="1:49" x14ac:dyDescent="0.25">
      <c r="A15" t="str">
        <f>"11"</f>
        <v>11</v>
      </c>
      <c r="B15" t="str">
        <f t="shared" si="0"/>
        <v>1</v>
      </c>
      <c r="C15" t="str">
        <f t="shared" si="0"/>
        <v>1</v>
      </c>
      <c r="D15" t="str">
        <f>"11"</f>
        <v>11</v>
      </c>
      <c r="E15" t="str">
        <f>"1-1-11"</f>
        <v>1-1-11</v>
      </c>
      <c r="F15" t="s">
        <v>83</v>
      </c>
      <c r="G15" t="s">
        <v>84</v>
      </c>
      <c r="H15" t="s">
        <v>85</v>
      </c>
      <c r="AC15">
        <v>1</v>
      </c>
      <c r="AD15">
        <v>0</v>
      </c>
      <c r="AE15">
        <v>0</v>
      </c>
      <c r="AF15">
        <v>0</v>
      </c>
      <c r="AG15">
        <v>1</v>
      </c>
      <c r="AJ15">
        <v>1</v>
      </c>
      <c r="AK15">
        <v>0</v>
      </c>
      <c r="AL15">
        <v>1</v>
      </c>
      <c r="AM15">
        <v>0</v>
      </c>
      <c r="AN15">
        <v>0</v>
      </c>
      <c r="AO15">
        <v>1</v>
      </c>
      <c r="AP15">
        <v>1</v>
      </c>
      <c r="AQ15">
        <v>1</v>
      </c>
      <c r="AR15">
        <v>1</v>
      </c>
      <c r="AS15">
        <v>1</v>
      </c>
      <c r="AT15">
        <v>0</v>
      </c>
      <c r="AV15">
        <v>1</v>
      </c>
      <c r="AW15">
        <v>1</v>
      </c>
    </row>
    <row r="16" spans="1:49" x14ac:dyDescent="0.25">
      <c r="A16" t="str">
        <f>"12"</f>
        <v>12</v>
      </c>
      <c r="B16" t="str">
        <f t="shared" si="0"/>
        <v>1</v>
      </c>
      <c r="C16" t="str">
        <f t="shared" si="0"/>
        <v>1</v>
      </c>
      <c r="D16" t="str">
        <f>"4"</f>
        <v>4</v>
      </c>
      <c r="E16" t="str">
        <f>"1-1-4"</f>
        <v>1-1-4</v>
      </c>
      <c r="F16" t="s">
        <v>83</v>
      </c>
      <c r="G16" t="s">
        <v>84</v>
      </c>
      <c r="H16" t="s">
        <v>85</v>
      </c>
      <c r="AC16">
        <v>0</v>
      </c>
      <c r="AD16">
        <v>1</v>
      </c>
      <c r="AE16">
        <v>0</v>
      </c>
      <c r="AF16">
        <v>0</v>
      </c>
      <c r="AG16">
        <v>1</v>
      </c>
      <c r="AJ16">
        <v>1</v>
      </c>
      <c r="AK16">
        <v>0</v>
      </c>
      <c r="AL16">
        <v>0</v>
      </c>
      <c r="AM16">
        <v>0</v>
      </c>
      <c r="AN16">
        <v>1</v>
      </c>
      <c r="AO16">
        <v>1</v>
      </c>
      <c r="AP16">
        <v>1</v>
      </c>
      <c r="AQ16">
        <v>1</v>
      </c>
      <c r="AR16">
        <v>1</v>
      </c>
      <c r="AS16">
        <v>0</v>
      </c>
      <c r="AT16">
        <v>1</v>
      </c>
      <c r="AV16">
        <v>1</v>
      </c>
      <c r="AW16">
        <v>1</v>
      </c>
    </row>
    <row r="17" spans="1:49" x14ac:dyDescent="0.25">
      <c r="A17" t="str">
        <f>"13"</f>
        <v>13</v>
      </c>
      <c r="B17" t="str">
        <f t="shared" si="0"/>
        <v>1</v>
      </c>
      <c r="C17" t="str">
        <f t="shared" si="0"/>
        <v>1</v>
      </c>
      <c r="D17" t="str">
        <f>"22"</f>
        <v>22</v>
      </c>
      <c r="E17" t="str">
        <f>"1-1-22"</f>
        <v>1-1-22</v>
      </c>
      <c r="F17" t="s">
        <v>83</v>
      </c>
      <c r="G17" t="s">
        <v>86</v>
      </c>
      <c r="H17" t="s">
        <v>87</v>
      </c>
      <c r="AC17">
        <v>1</v>
      </c>
      <c r="AD17">
        <v>0</v>
      </c>
      <c r="AE17">
        <v>0</v>
      </c>
      <c r="AF17">
        <v>0</v>
      </c>
      <c r="AH17">
        <v>1</v>
      </c>
      <c r="AI17">
        <v>0</v>
      </c>
      <c r="AJ17">
        <v>1</v>
      </c>
      <c r="AK17">
        <v>0</v>
      </c>
      <c r="AL17">
        <v>1</v>
      </c>
      <c r="AM17">
        <v>0</v>
      </c>
      <c r="AN17">
        <v>0</v>
      </c>
      <c r="AO17">
        <v>1</v>
      </c>
      <c r="AP17">
        <v>1</v>
      </c>
      <c r="AQ17">
        <v>1</v>
      </c>
      <c r="AU17">
        <v>1</v>
      </c>
      <c r="AV17">
        <v>1</v>
      </c>
      <c r="AW17">
        <v>0</v>
      </c>
    </row>
    <row r="18" spans="1:49" x14ac:dyDescent="0.25">
      <c r="A18" t="str">
        <f>"14"</f>
        <v>14</v>
      </c>
      <c r="B18" t="str">
        <f t="shared" si="0"/>
        <v>1</v>
      </c>
      <c r="C18" t="str">
        <f t="shared" si="0"/>
        <v>1</v>
      </c>
      <c r="D18" t="str">
        <f>"13"</f>
        <v>13</v>
      </c>
      <c r="E18" t="str">
        <f>"1-1-13"</f>
        <v>1-1-13</v>
      </c>
      <c r="F18" t="s">
        <v>83</v>
      </c>
      <c r="G18" t="s">
        <v>86</v>
      </c>
      <c r="H18" t="s">
        <v>87</v>
      </c>
      <c r="AC18">
        <v>0</v>
      </c>
      <c r="AD18">
        <v>1</v>
      </c>
      <c r="AE18">
        <v>0</v>
      </c>
      <c r="AF18">
        <v>0</v>
      </c>
      <c r="AH18">
        <v>0</v>
      </c>
      <c r="AI18">
        <v>1</v>
      </c>
      <c r="AJ18">
        <v>0</v>
      </c>
      <c r="AK18">
        <v>0</v>
      </c>
      <c r="AL18">
        <v>0</v>
      </c>
      <c r="AM18">
        <v>1</v>
      </c>
      <c r="AN18">
        <v>0</v>
      </c>
      <c r="AO18">
        <v>0</v>
      </c>
      <c r="AP18">
        <v>0</v>
      </c>
      <c r="AQ18">
        <v>0</v>
      </c>
      <c r="AU18">
        <v>1</v>
      </c>
      <c r="AV18">
        <v>0</v>
      </c>
      <c r="AW18">
        <v>0</v>
      </c>
    </row>
    <row r="19" spans="1:49" x14ac:dyDescent="0.25">
      <c r="A19" t="str">
        <f>"15"</f>
        <v>15</v>
      </c>
      <c r="B19" t="str">
        <f t="shared" si="0"/>
        <v>1</v>
      </c>
      <c r="C19" t="str">
        <f t="shared" si="0"/>
        <v>1</v>
      </c>
      <c r="D19" t="str">
        <f>"2"</f>
        <v>2</v>
      </c>
      <c r="E19" t="str">
        <f>"1-1-2"</f>
        <v>1-1-2</v>
      </c>
      <c r="F19" t="s">
        <v>83</v>
      </c>
      <c r="G19" t="s">
        <v>84</v>
      </c>
      <c r="H19" t="s">
        <v>85</v>
      </c>
      <c r="AC19">
        <v>1</v>
      </c>
      <c r="AD19">
        <v>0</v>
      </c>
      <c r="AE19">
        <v>0</v>
      </c>
      <c r="AF19">
        <v>0</v>
      </c>
      <c r="AG19">
        <v>0</v>
      </c>
      <c r="AJ19">
        <v>1</v>
      </c>
      <c r="AK19">
        <v>0</v>
      </c>
      <c r="AL19">
        <v>0</v>
      </c>
      <c r="AM19">
        <v>1</v>
      </c>
      <c r="AN19">
        <v>0</v>
      </c>
      <c r="AO19">
        <v>1</v>
      </c>
      <c r="AP19">
        <v>1</v>
      </c>
      <c r="AQ19">
        <v>0</v>
      </c>
      <c r="AR19">
        <v>1</v>
      </c>
      <c r="AS19">
        <v>0</v>
      </c>
      <c r="AT19">
        <v>1</v>
      </c>
      <c r="AV19">
        <v>1</v>
      </c>
      <c r="AW19">
        <v>1</v>
      </c>
    </row>
    <row r="20" spans="1:49" x14ac:dyDescent="0.25">
      <c r="A20" t="str">
        <f>"16"</f>
        <v>16</v>
      </c>
      <c r="B20" t="str">
        <f t="shared" si="0"/>
        <v>1</v>
      </c>
      <c r="C20" t="str">
        <f t="shared" si="0"/>
        <v>1</v>
      </c>
      <c r="D20" t="str">
        <f>"25"</f>
        <v>25</v>
      </c>
      <c r="E20" t="str">
        <f>"1-1-25"</f>
        <v>1-1-25</v>
      </c>
      <c r="F20" t="s">
        <v>83</v>
      </c>
      <c r="G20" t="s">
        <v>84</v>
      </c>
      <c r="H20" t="s">
        <v>85</v>
      </c>
      <c r="AC20">
        <v>1</v>
      </c>
      <c r="AD20">
        <v>0</v>
      </c>
      <c r="AE20">
        <v>0</v>
      </c>
      <c r="AF20">
        <v>0</v>
      </c>
      <c r="AG20">
        <v>1</v>
      </c>
      <c r="AJ20">
        <v>0</v>
      </c>
      <c r="AK20">
        <v>1</v>
      </c>
      <c r="AL20">
        <v>1</v>
      </c>
      <c r="AM20">
        <v>0</v>
      </c>
      <c r="AN20">
        <v>0</v>
      </c>
      <c r="AO20">
        <v>1</v>
      </c>
      <c r="AP20">
        <v>1</v>
      </c>
      <c r="AQ20">
        <v>0</v>
      </c>
      <c r="AR20">
        <v>0</v>
      </c>
      <c r="AS20">
        <v>1</v>
      </c>
      <c r="AT20">
        <v>0</v>
      </c>
      <c r="AV20">
        <v>1</v>
      </c>
      <c r="AW20">
        <v>1</v>
      </c>
    </row>
    <row r="21" spans="1:49" x14ac:dyDescent="0.25">
      <c r="A21" t="str">
        <f>"17"</f>
        <v>17</v>
      </c>
      <c r="B21" t="str">
        <f t="shared" si="0"/>
        <v>1</v>
      </c>
      <c r="C21" t="str">
        <f t="shared" si="0"/>
        <v>1</v>
      </c>
      <c r="D21" t="str">
        <f>"24"</f>
        <v>24</v>
      </c>
      <c r="E21" t="str">
        <f>"1-1-24"</f>
        <v>1-1-24</v>
      </c>
      <c r="F21" t="s">
        <v>83</v>
      </c>
      <c r="G21" t="s">
        <v>84</v>
      </c>
      <c r="H21" t="s">
        <v>85</v>
      </c>
      <c r="AC21">
        <v>1</v>
      </c>
      <c r="AD21">
        <v>0</v>
      </c>
      <c r="AE21">
        <v>0</v>
      </c>
      <c r="AF21">
        <v>0</v>
      </c>
      <c r="AG21">
        <v>1</v>
      </c>
      <c r="AJ21">
        <v>0</v>
      </c>
      <c r="AK21">
        <v>1</v>
      </c>
      <c r="AL21">
        <v>1</v>
      </c>
      <c r="AM21">
        <v>0</v>
      </c>
      <c r="AN21">
        <v>0</v>
      </c>
      <c r="AO21">
        <v>1</v>
      </c>
      <c r="AP21">
        <v>1</v>
      </c>
      <c r="AQ21">
        <v>0</v>
      </c>
      <c r="AR21">
        <v>0</v>
      </c>
      <c r="AS21">
        <v>1</v>
      </c>
      <c r="AT21">
        <v>0</v>
      </c>
      <c r="AV21">
        <v>1</v>
      </c>
      <c r="AW21">
        <v>1</v>
      </c>
    </row>
    <row r="22" spans="1:49" x14ac:dyDescent="0.25">
      <c r="A22" t="str">
        <f>"18"</f>
        <v>18</v>
      </c>
      <c r="B22" t="str">
        <f t="shared" si="0"/>
        <v>1</v>
      </c>
      <c r="C22" t="str">
        <f t="shared" si="0"/>
        <v>1</v>
      </c>
      <c r="D22" t="str">
        <f>"17"</f>
        <v>17</v>
      </c>
      <c r="E22" t="str">
        <f>"1-1-17"</f>
        <v>1-1-17</v>
      </c>
      <c r="F22" t="s">
        <v>83</v>
      </c>
      <c r="G22" t="s">
        <v>84</v>
      </c>
      <c r="H22" t="s">
        <v>85</v>
      </c>
      <c r="AC22">
        <v>1</v>
      </c>
      <c r="AD22">
        <v>0</v>
      </c>
      <c r="AE22">
        <v>0</v>
      </c>
      <c r="AF22">
        <v>0</v>
      </c>
      <c r="AG22">
        <v>1</v>
      </c>
      <c r="AJ22">
        <v>0</v>
      </c>
      <c r="AK22">
        <v>1</v>
      </c>
      <c r="AL22">
        <v>1</v>
      </c>
      <c r="AM22">
        <v>0</v>
      </c>
      <c r="AN22">
        <v>0</v>
      </c>
      <c r="AO22">
        <v>1</v>
      </c>
      <c r="AP22">
        <v>1</v>
      </c>
      <c r="AQ22">
        <v>1</v>
      </c>
      <c r="AR22">
        <v>1</v>
      </c>
      <c r="AS22">
        <v>1</v>
      </c>
      <c r="AT22">
        <v>0</v>
      </c>
      <c r="AV22">
        <v>1</v>
      </c>
      <c r="AW22">
        <v>1</v>
      </c>
    </row>
    <row r="23" spans="1:49" x14ac:dyDescent="0.25">
      <c r="A23" t="str">
        <f>"19"</f>
        <v>19</v>
      </c>
      <c r="B23" t="str">
        <f t="shared" si="0"/>
        <v>1</v>
      </c>
      <c r="C23" t="str">
        <f t="shared" si="0"/>
        <v>1</v>
      </c>
      <c r="D23" t="str">
        <f>"14"</f>
        <v>14</v>
      </c>
      <c r="E23" t="str">
        <f>"1-1-14"</f>
        <v>1-1-14</v>
      </c>
      <c r="F23" t="s">
        <v>83</v>
      </c>
      <c r="G23" t="s">
        <v>84</v>
      </c>
      <c r="H23" t="s">
        <v>85</v>
      </c>
      <c r="AC23">
        <v>0</v>
      </c>
      <c r="AD23">
        <v>1</v>
      </c>
      <c r="AE23">
        <v>0</v>
      </c>
      <c r="AF23">
        <v>0</v>
      </c>
      <c r="AG23">
        <v>1</v>
      </c>
      <c r="AJ23">
        <v>1</v>
      </c>
      <c r="AK23">
        <v>0</v>
      </c>
      <c r="AL23">
        <v>0</v>
      </c>
      <c r="AM23">
        <v>0</v>
      </c>
      <c r="AN23">
        <v>1</v>
      </c>
      <c r="AO23">
        <v>1</v>
      </c>
      <c r="AP23">
        <v>1</v>
      </c>
      <c r="AQ23">
        <v>1</v>
      </c>
      <c r="AR23">
        <v>1</v>
      </c>
      <c r="AS23">
        <v>0</v>
      </c>
      <c r="AT23">
        <v>1</v>
      </c>
      <c r="AV23">
        <v>1</v>
      </c>
      <c r="AW23">
        <v>1</v>
      </c>
    </row>
    <row r="24" spans="1:49" s="2" customFormat="1" x14ac:dyDescent="0.25">
      <c r="A24" s="2" t="str">
        <f>"20"</f>
        <v>20</v>
      </c>
      <c r="B24" s="2" t="str">
        <f t="shared" si="0"/>
        <v>1</v>
      </c>
      <c r="C24" s="2" t="str">
        <f t="shared" si="0"/>
        <v>1</v>
      </c>
      <c r="D24" s="2" t="str">
        <f>"1"</f>
        <v>1</v>
      </c>
      <c r="E24" s="2" t="str">
        <f>"1-1-1"</f>
        <v>1-1-1</v>
      </c>
      <c r="F24" s="2" t="s">
        <v>83</v>
      </c>
      <c r="G24" s="2" t="s">
        <v>84</v>
      </c>
      <c r="H24" s="2" t="s">
        <v>85</v>
      </c>
      <c r="AC24" s="2">
        <v>1</v>
      </c>
      <c r="AD24" s="2">
        <v>0</v>
      </c>
      <c r="AE24" s="2">
        <v>0</v>
      </c>
      <c r="AF24" s="2">
        <v>0</v>
      </c>
      <c r="AG24" s="2">
        <v>1</v>
      </c>
      <c r="AJ24" s="2">
        <v>0</v>
      </c>
      <c r="AK24" s="2">
        <v>1</v>
      </c>
      <c r="AL24" s="2">
        <v>0</v>
      </c>
      <c r="AM24" s="2">
        <v>0</v>
      </c>
      <c r="AN24" s="2">
        <v>1</v>
      </c>
      <c r="AO24" s="2">
        <v>1</v>
      </c>
      <c r="AP24" s="2">
        <v>1</v>
      </c>
      <c r="AQ24" s="2">
        <v>1</v>
      </c>
      <c r="AR24" s="2">
        <v>1</v>
      </c>
      <c r="AS24" s="2">
        <v>0</v>
      </c>
      <c r="AT24" s="2">
        <v>1</v>
      </c>
      <c r="AV24" s="2">
        <v>1</v>
      </c>
      <c r="AW24" s="2">
        <v>1</v>
      </c>
    </row>
    <row r="25" spans="1:49" x14ac:dyDescent="0.25">
      <c r="A25" t="str">
        <f>"21"</f>
        <v>21</v>
      </c>
      <c r="B25" t="str">
        <f t="shared" si="0"/>
        <v>1</v>
      </c>
      <c r="C25" t="str">
        <f t="shared" si="0"/>
        <v>1</v>
      </c>
      <c r="D25" t="str">
        <f>"3"</f>
        <v>3</v>
      </c>
      <c r="E25" t="str">
        <f>"1-1-3"</f>
        <v>1-1-3</v>
      </c>
      <c r="F25" t="s">
        <v>83</v>
      </c>
      <c r="G25" t="s">
        <v>84</v>
      </c>
      <c r="H25" t="s">
        <v>85</v>
      </c>
      <c r="AC25">
        <v>0</v>
      </c>
      <c r="AD25">
        <v>1</v>
      </c>
      <c r="AE25">
        <v>0</v>
      </c>
      <c r="AF25">
        <v>0</v>
      </c>
      <c r="AG25">
        <v>0</v>
      </c>
      <c r="AJ25">
        <v>1</v>
      </c>
      <c r="AK25">
        <v>0</v>
      </c>
      <c r="AL25">
        <v>0</v>
      </c>
      <c r="AM25">
        <v>1</v>
      </c>
      <c r="AN25">
        <v>0</v>
      </c>
      <c r="AO25">
        <v>0</v>
      </c>
      <c r="AP25">
        <v>0</v>
      </c>
      <c r="AQ25">
        <v>0</v>
      </c>
      <c r="AR25">
        <v>0</v>
      </c>
      <c r="AS25">
        <v>0</v>
      </c>
      <c r="AT25">
        <v>1</v>
      </c>
      <c r="AV25">
        <v>0</v>
      </c>
      <c r="AW25">
        <v>0</v>
      </c>
    </row>
    <row r="26" spans="1:49" x14ac:dyDescent="0.25">
      <c r="A26" t="str">
        <f>"22"</f>
        <v>22</v>
      </c>
      <c r="B26" t="str">
        <f t="shared" si="0"/>
        <v>1</v>
      </c>
      <c r="C26" t="str">
        <f t="shared" si="0"/>
        <v>1</v>
      </c>
      <c r="D26" t="str">
        <f>"23"</f>
        <v>23</v>
      </c>
      <c r="E26" t="str">
        <f>"1-1-23"</f>
        <v>1-1-23</v>
      </c>
      <c r="F26" t="s">
        <v>83</v>
      </c>
      <c r="G26" t="s">
        <v>86</v>
      </c>
      <c r="H26" t="s">
        <v>87</v>
      </c>
      <c r="AC26">
        <v>1</v>
      </c>
      <c r="AD26">
        <v>0</v>
      </c>
      <c r="AE26">
        <v>0</v>
      </c>
      <c r="AF26">
        <v>0</v>
      </c>
      <c r="AH26">
        <v>1</v>
      </c>
      <c r="AI26">
        <v>0</v>
      </c>
      <c r="AJ26">
        <v>1</v>
      </c>
      <c r="AK26">
        <v>0</v>
      </c>
      <c r="AL26">
        <v>1</v>
      </c>
      <c r="AM26">
        <v>0</v>
      </c>
      <c r="AN26">
        <v>0</v>
      </c>
      <c r="AO26">
        <v>1</v>
      </c>
      <c r="AP26">
        <v>1</v>
      </c>
      <c r="AQ26">
        <v>1</v>
      </c>
      <c r="AU26">
        <v>1</v>
      </c>
      <c r="AV26">
        <v>1</v>
      </c>
      <c r="AW26">
        <v>1</v>
      </c>
    </row>
    <row r="27" spans="1:49" x14ac:dyDescent="0.25">
      <c r="A27" t="str">
        <f>"23"</f>
        <v>23</v>
      </c>
      <c r="B27" t="str">
        <f t="shared" si="0"/>
        <v>1</v>
      </c>
      <c r="C27" t="str">
        <f t="shared" si="0"/>
        <v>1</v>
      </c>
      <c r="D27" t="str">
        <f>"15"</f>
        <v>15</v>
      </c>
      <c r="E27" t="str">
        <f>"1-1-15"</f>
        <v>1-1-15</v>
      </c>
      <c r="F27" t="s">
        <v>83</v>
      </c>
      <c r="G27" t="s">
        <v>84</v>
      </c>
      <c r="H27" t="s">
        <v>85</v>
      </c>
      <c r="AC27">
        <v>0</v>
      </c>
      <c r="AD27">
        <v>1</v>
      </c>
      <c r="AE27">
        <v>0</v>
      </c>
      <c r="AF27">
        <v>0</v>
      </c>
      <c r="AG27">
        <v>1</v>
      </c>
      <c r="AJ27">
        <v>0</v>
      </c>
      <c r="AK27">
        <v>1</v>
      </c>
      <c r="AL27">
        <v>0</v>
      </c>
      <c r="AM27">
        <v>0</v>
      </c>
      <c r="AN27">
        <v>1</v>
      </c>
      <c r="AO27">
        <v>1</v>
      </c>
      <c r="AP27">
        <v>1</v>
      </c>
      <c r="AQ27">
        <v>1</v>
      </c>
      <c r="AR27">
        <v>1</v>
      </c>
      <c r="AS27">
        <v>0</v>
      </c>
      <c r="AT27">
        <v>1</v>
      </c>
      <c r="AV27">
        <v>1</v>
      </c>
      <c r="AW27">
        <v>1</v>
      </c>
    </row>
    <row r="28" spans="1:49" x14ac:dyDescent="0.25">
      <c r="A28" t="str">
        <f>"24"</f>
        <v>24</v>
      </c>
      <c r="B28" t="str">
        <f t="shared" si="0"/>
        <v>1</v>
      </c>
      <c r="C28" t="str">
        <f t="shared" si="0"/>
        <v>1</v>
      </c>
      <c r="D28" t="str">
        <f>"6"</f>
        <v>6</v>
      </c>
      <c r="E28" t="str">
        <f>"1-1-6"</f>
        <v>1-1-6</v>
      </c>
      <c r="F28" t="s">
        <v>83</v>
      </c>
      <c r="G28" t="s">
        <v>86</v>
      </c>
      <c r="H28" t="s">
        <v>87</v>
      </c>
      <c r="AC28">
        <v>1</v>
      </c>
      <c r="AD28">
        <v>0</v>
      </c>
      <c r="AE28">
        <v>0</v>
      </c>
      <c r="AF28">
        <v>0</v>
      </c>
      <c r="AH28">
        <v>0</v>
      </c>
      <c r="AI28">
        <v>1</v>
      </c>
      <c r="AJ28">
        <v>1</v>
      </c>
      <c r="AK28">
        <v>0</v>
      </c>
      <c r="AL28">
        <v>0</v>
      </c>
      <c r="AM28">
        <v>0</v>
      </c>
      <c r="AN28">
        <v>1</v>
      </c>
      <c r="AO28">
        <v>0</v>
      </c>
      <c r="AP28">
        <v>0</v>
      </c>
      <c r="AQ28">
        <v>0</v>
      </c>
      <c r="AU28">
        <v>0</v>
      </c>
      <c r="AV28">
        <v>0</v>
      </c>
      <c r="AW28">
        <v>0</v>
      </c>
    </row>
    <row r="29" spans="1:49" x14ac:dyDescent="0.25">
      <c r="A29" t="str">
        <f>"25"</f>
        <v>25</v>
      </c>
      <c r="B29" t="str">
        <f t="shared" si="0"/>
        <v>1</v>
      </c>
      <c r="C29" t="str">
        <f t="shared" si="0"/>
        <v>1</v>
      </c>
      <c r="D29" t="str">
        <f>"7"</f>
        <v>7</v>
      </c>
      <c r="E29" t="str">
        <f>"1-1-7"</f>
        <v>1-1-7</v>
      </c>
      <c r="F29" t="s">
        <v>83</v>
      </c>
      <c r="G29" t="s">
        <v>84</v>
      </c>
      <c r="H29" t="s">
        <v>85</v>
      </c>
      <c r="AC29">
        <v>0</v>
      </c>
      <c r="AD29">
        <v>1</v>
      </c>
      <c r="AE29">
        <v>0</v>
      </c>
      <c r="AF29">
        <v>0</v>
      </c>
      <c r="AG29">
        <v>1</v>
      </c>
      <c r="AJ29">
        <v>0</v>
      </c>
      <c r="AK29">
        <v>1</v>
      </c>
      <c r="AL29">
        <v>0</v>
      </c>
      <c r="AM29">
        <v>0</v>
      </c>
      <c r="AN29">
        <v>1</v>
      </c>
      <c r="AO29">
        <v>1</v>
      </c>
      <c r="AP29">
        <v>1</v>
      </c>
      <c r="AQ29">
        <v>1</v>
      </c>
      <c r="AR29">
        <v>1</v>
      </c>
      <c r="AS29">
        <v>1</v>
      </c>
      <c r="AT29">
        <v>0</v>
      </c>
      <c r="AV29">
        <v>1</v>
      </c>
      <c r="AW29">
        <v>1</v>
      </c>
    </row>
    <row r="30" spans="1:49" x14ac:dyDescent="0.25">
      <c r="A30" t="str">
        <f>"26"</f>
        <v>26</v>
      </c>
      <c r="B30" t="str">
        <f t="shared" ref="B30:B93" si="1">"1"</f>
        <v>1</v>
      </c>
      <c r="C30" t="str">
        <f t="shared" ref="C30:C54" si="2">"2"</f>
        <v>2</v>
      </c>
      <c r="D30" t="str">
        <f>"17"</f>
        <v>17</v>
      </c>
      <c r="E30" t="str">
        <f>"1-2-17"</f>
        <v>1-2-17</v>
      </c>
      <c r="F30" t="s">
        <v>83</v>
      </c>
      <c r="G30" t="s">
        <v>86</v>
      </c>
      <c r="H30" t="s">
        <v>87</v>
      </c>
      <c r="AC30">
        <v>0</v>
      </c>
      <c r="AD30">
        <v>1</v>
      </c>
      <c r="AE30">
        <v>0</v>
      </c>
      <c r="AF30">
        <v>0</v>
      </c>
      <c r="AH30">
        <v>0</v>
      </c>
      <c r="AI30">
        <v>1</v>
      </c>
      <c r="AJ30">
        <v>0</v>
      </c>
      <c r="AK30">
        <v>1</v>
      </c>
      <c r="AL30">
        <v>0</v>
      </c>
      <c r="AM30">
        <v>0</v>
      </c>
      <c r="AN30">
        <v>0</v>
      </c>
      <c r="AO30">
        <v>0</v>
      </c>
      <c r="AP30">
        <v>0</v>
      </c>
      <c r="AQ30">
        <v>0</v>
      </c>
      <c r="AU30">
        <v>0</v>
      </c>
      <c r="AV30">
        <v>0</v>
      </c>
      <c r="AW30">
        <v>1</v>
      </c>
    </row>
    <row r="31" spans="1:49" x14ac:dyDescent="0.25">
      <c r="A31" t="str">
        <f>"27"</f>
        <v>27</v>
      </c>
      <c r="B31" t="str">
        <f t="shared" si="1"/>
        <v>1</v>
      </c>
      <c r="C31" t="str">
        <f t="shared" si="2"/>
        <v>2</v>
      </c>
      <c r="D31" t="str">
        <f>"16"</f>
        <v>16</v>
      </c>
      <c r="E31" t="str">
        <f>"1-2-16"</f>
        <v>1-2-16</v>
      </c>
      <c r="F31" t="s">
        <v>83</v>
      </c>
      <c r="G31" t="s">
        <v>88</v>
      </c>
      <c r="H31" t="s">
        <v>89</v>
      </c>
      <c r="AC31">
        <v>0</v>
      </c>
      <c r="AD31">
        <v>1</v>
      </c>
      <c r="AE31">
        <v>0</v>
      </c>
      <c r="AF31">
        <v>0</v>
      </c>
      <c r="AH31">
        <v>0</v>
      </c>
      <c r="AI31">
        <v>0</v>
      </c>
      <c r="AJ31">
        <v>1</v>
      </c>
      <c r="AK31">
        <v>0</v>
      </c>
      <c r="AL31">
        <v>0</v>
      </c>
      <c r="AM31">
        <v>0</v>
      </c>
      <c r="AN31">
        <v>1</v>
      </c>
      <c r="AO31">
        <v>1</v>
      </c>
      <c r="AP31">
        <v>1</v>
      </c>
      <c r="AQ31">
        <v>0</v>
      </c>
      <c r="AR31">
        <v>1</v>
      </c>
      <c r="AS31">
        <v>0</v>
      </c>
      <c r="AT31">
        <v>1</v>
      </c>
      <c r="AV31">
        <v>1</v>
      </c>
      <c r="AW31">
        <v>1</v>
      </c>
    </row>
    <row r="32" spans="1:49" x14ac:dyDescent="0.25">
      <c r="A32" t="str">
        <f>"28"</f>
        <v>28</v>
      </c>
      <c r="B32" t="str">
        <f t="shared" si="1"/>
        <v>1</v>
      </c>
      <c r="C32" t="str">
        <f t="shared" si="2"/>
        <v>2</v>
      </c>
      <c r="D32" t="str">
        <f>"10"</f>
        <v>10</v>
      </c>
      <c r="E32" t="str">
        <f>"1-2-10"</f>
        <v>1-2-10</v>
      </c>
      <c r="F32" t="s">
        <v>83</v>
      </c>
      <c r="G32" t="s">
        <v>86</v>
      </c>
      <c r="H32" t="s">
        <v>87</v>
      </c>
      <c r="AC32">
        <v>0</v>
      </c>
      <c r="AD32">
        <v>1</v>
      </c>
      <c r="AE32">
        <v>0</v>
      </c>
      <c r="AF32">
        <v>0</v>
      </c>
      <c r="AH32">
        <v>0</v>
      </c>
      <c r="AI32">
        <v>1</v>
      </c>
      <c r="AJ32">
        <v>0</v>
      </c>
      <c r="AK32">
        <v>1</v>
      </c>
      <c r="AL32">
        <v>0</v>
      </c>
      <c r="AM32">
        <v>0</v>
      </c>
      <c r="AN32">
        <v>1</v>
      </c>
      <c r="AO32">
        <v>1</v>
      </c>
      <c r="AP32">
        <v>1</v>
      </c>
      <c r="AQ32">
        <v>1</v>
      </c>
      <c r="AU32">
        <v>1</v>
      </c>
      <c r="AV32">
        <v>1</v>
      </c>
      <c r="AW32">
        <v>1</v>
      </c>
    </row>
    <row r="33" spans="1:49" x14ac:dyDescent="0.25">
      <c r="A33" t="str">
        <f>"29"</f>
        <v>29</v>
      </c>
      <c r="B33" t="str">
        <f t="shared" si="1"/>
        <v>1</v>
      </c>
      <c r="C33" t="str">
        <f t="shared" si="2"/>
        <v>2</v>
      </c>
      <c r="D33" t="str">
        <f>"8"</f>
        <v>8</v>
      </c>
      <c r="E33" t="str">
        <f>"1-2-8"</f>
        <v>1-2-8</v>
      </c>
      <c r="F33" t="s">
        <v>83</v>
      </c>
      <c r="G33" t="s">
        <v>84</v>
      </c>
      <c r="H33" t="s">
        <v>85</v>
      </c>
      <c r="AC33">
        <v>0</v>
      </c>
      <c r="AD33">
        <v>1</v>
      </c>
      <c r="AE33">
        <v>0</v>
      </c>
      <c r="AF33">
        <v>0</v>
      </c>
      <c r="AG33">
        <v>0</v>
      </c>
      <c r="AJ33">
        <v>1</v>
      </c>
      <c r="AK33">
        <v>0</v>
      </c>
      <c r="AL33">
        <v>0</v>
      </c>
      <c r="AM33">
        <v>0</v>
      </c>
      <c r="AN33">
        <v>0</v>
      </c>
      <c r="AO33">
        <v>0</v>
      </c>
      <c r="AP33">
        <v>0</v>
      </c>
      <c r="AQ33">
        <v>0</v>
      </c>
      <c r="AR33">
        <v>1</v>
      </c>
      <c r="AS33">
        <v>0</v>
      </c>
      <c r="AT33">
        <v>1</v>
      </c>
      <c r="AV33">
        <v>0</v>
      </c>
      <c r="AW33">
        <v>0</v>
      </c>
    </row>
    <row r="34" spans="1:49" x14ac:dyDescent="0.25">
      <c r="A34" t="str">
        <f>"30"</f>
        <v>30</v>
      </c>
      <c r="B34" t="str">
        <f t="shared" si="1"/>
        <v>1</v>
      </c>
      <c r="C34" t="str">
        <f t="shared" si="2"/>
        <v>2</v>
      </c>
      <c r="D34" t="str">
        <f>"2"</f>
        <v>2</v>
      </c>
      <c r="E34" t="str">
        <f>"1-2-2"</f>
        <v>1-2-2</v>
      </c>
      <c r="F34" t="s">
        <v>83</v>
      </c>
      <c r="G34" t="s">
        <v>86</v>
      </c>
      <c r="H34" t="s">
        <v>87</v>
      </c>
      <c r="AC34">
        <v>0</v>
      </c>
      <c r="AD34">
        <v>1</v>
      </c>
      <c r="AE34">
        <v>0</v>
      </c>
      <c r="AF34">
        <v>0</v>
      </c>
      <c r="AH34">
        <v>1</v>
      </c>
      <c r="AI34">
        <v>0</v>
      </c>
      <c r="AJ34">
        <v>1</v>
      </c>
      <c r="AK34">
        <v>0</v>
      </c>
      <c r="AL34">
        <v>0</v>
      </c>
      <c r="AM34">
        <v>1</v>
      </c>
      <c r="AN34">
        <v>0</v>
      </c>
      <c r="AO34">
        <v>1</v>
      </c>
      <c r="AP34">
        <v>1</v>
      </c>
      <c r="AQ34">
        <v>1</v>
      </c>
      <c r="AU34">
        <v>1</v>
      </c>
      <c r="AV34">
        <v>1</v>
      </c>
      <c r="AW34">
        <v>1</v>
      </c>
    </row>
    <row r="35" spans="1:49" x14ac:dyDescent="0.25">
      <c r="A35" t="str">
        <f>"31"</f>
        <v>31</v>
      </c>
      <c r="B35" t="str">
        <f t="shared" si="1"/>
        <v>1</v>
      </c>
      <c r="C35" t="str">
        <f t="shared" si="2"/>
        <v>2</v>
      </c>
      <c r="D35" t="str">
        <f>"21"</f>
        <v>21</v>
      </c>
      <c r="E35" t="str">
        <f>"1-2-21"</f>
        <v>1-2-21</v>
      </c>
      <c r="F35" t="s">
        <v>83</v>
      </c>
      <c r="G35" t="s">
        <v>86</v>
      </c>
      <c r="H35" t="s">
        <v>87</v>
      </c>
      <c r="AC35">
        <v>0</v>
      </c>
      <c r="AD35">
        <v>1</v>
      </c>
      <c r="AE35">
        <v>0</v>
      </c>
      <c r="AF35">
        <v>0</v>
      </c>
      <c r="AH35">
        <v>1</v>
      </c>
      <c r="AI35">
        <v>0</v>
      </c>
      <c r="AJ35">
        <v>1</v>
      </c>
      <c r="AK35">
        <v>0</v>
      </c>
      <c r="AL35">
        <v>0</v>
      </c>
      <c r="AM35">
        <v>0</v>
      </c>
      <c r="AN35">
        <v>1</v>
      </c>
      <c r="AO35">
        <v>1</v>
      </c>
      <c r="AP35">
        <v>1</v>
      </c>
      <c r="AQ35">
        <v>1</v>
      </c>
      <c r="AU35">
        <v>1</v>
      </c>
      <c r="AV35">
        <v>1</v>
      </c>
      <c r="AW35">
        <v>1</v>
      </c>
    </row>
    <row r="36" spans="1:49" x14ac:dyDescent="0.25">
      <c r="A36" t="str">
        <f>"32"</f>
        <v>32</v>
      </c>
      <c r="B36" t="str">
        <f t="shared" si="1"/>
        <v>1</v>
      </c>
      <c r="C36" t="str">
        <f t="shared" si="2"/>
        <v>2</v>
      </c>
      <c r="D36" t="str">
        <f>"9"</f>
        <v>9</v>
      </c>
      <c r="E36" t="str">
        <f>"1-2-9"</f>
        <v>1-2-9</v>
      </c>
      <c r="F36" t="s">
        <v>83</v>
      </c>
      <c r="G36" t="s">
        <v>84</v>
      </c>
      <c r="H36" t="s">
        <v>85</v>
      </c>
      <c r="AC36">
        <v>0</v>
      </c>
      <c r="AD36">
        <v>0</v>
      </c>
      <c r="AE36">
        <v>0</v>
      </c>
      <c r="AF36">
        <v>0</v>
      </c>
      <c r="AG36">
        <v>0</v>
      </c>
      <c r="AJ36">
        <v>1</v>
      </c>
      <c r="AK36">
        <v>0</v>
      </c>
      <c r="AL36">
        <v>0</v>
      </c>
      <c r="AM36">
        <v>0</v>
      </c>
      <c r="AN36">
        <v>0</v>
      </c>
      <c r="AO36">
        <v>0</v>
      </c>
      <c r="AP36">
        <v>0</v>
      </c>
      <c r="AQ36">
        <v>0</v>
      </c>
      <c r="AR36">
        <v>1</v>
      </c>
      <c r="AS36">
        <v>0</v>
      </c>
      <c r="AT36">
        <v>1</v>
      </c>
      <c r="AV36">
        <v>0</v>
      </c>
      <c r="AW36">
        <v>0</v>
      </c>
    </row>
    <row r="37" spans="1:49" x14ac:dyDescent="0.25">
      <c r="A37" t="str">
        <f>"33"</f>
        <v>33</v>
      </c>
      <c r="B37" t="str">
        <f t="shared" si="1"/>
        <v>1</v>
      </c>
      <c r="C37" t="str">
        <f t="shared" si="2"/>
        <v>2</v>
      </c>
      <c r="D37" t="str">
        <f>"4"</f>
        <v>4</v>
      </c>
      <c r="E37" t="str">
        <f>"1-2-4"</f>
        <v>1-2-4</v>
      </c>
      <c r="F37" t="s">
        <v>83</v>
      </c>
      <c r="G37" t="s">
        <v>86</v>
      </c>
      <c r="H37" t="s">
        <v>87</v>
      </c>
      <c r="AC37">
        <v>0</v>
      </c>
      <c r="AD37">
        <v>1</v>
      </c>
      <c r="AE37">
        <v>0</v>
      </c>
      <c r="AF37">
        <v>0</v>
      </c>
      <c r="AH37">
        <v>0</v>
      </c>
      <c r="AI37">
        <v>1</v>
      </c>
      <c r="AJ37">
        <v>0</v>
      </c>
      <c r="AK37">
        <v>0</v>
      </c>
      <c r="AL37">
        <v>0</v>
      </c>
      <c r="AM37">
        <v>0</v>
      </c>
      <c r="AN37">
        <v>0</v>
      </c>
      <c r="AO37">
        <v>0</v>
      </c>
      <c r="AP37">
        <v>0</v>
      </c>
      <c r="AQ37">
        <v>0</v>
      </c>
      <c r="AU37">
        <v>0</v>
      </c>
      <c r="AV37">
        <v>0</v>
      </c>
      <c r="AW37">
        <v>0</v>
      </c>
    </row>
    <row r="38" spans="1:49" x14ac:dyDescent="0.25">
      <c r="A38" t="str">
        <f>"34"</f>
        <v>34</v>
      </c>
      <c r="B38" t="str">
        <f t="shared" si="1"/>
        <v>1</v>
      </c>
      <c r="C38" t="str">
        <f t="shared" si="2"/>
        <v>2</v>
      </c>
      <c r="D38" t="str">
        <f>"18"</f>
        <v>18</v>
      </c>
      <c r="E38" t="str">
        <f>"1-2-18"</f>
        <v>1-2-18</v>
      </c>
      <c r="F38" t="s">
        <v>83</v>
      </c>
      <c r="G38" t="s">
        <v>86</v>
      </c>
      <c r="H38" t="s">
        <v>87</v>
      </c>
      <c r="AC38">
        <v>0</v>
      </c>
      <c r="AD38">
        <v>1</v>
      </c>
      <c r="AE38">
        <v>0</v>
      </c>
      <c r="AF38">
        <v>0</v>
      </c>
      <c r="AH38">
        <v>0</v>
      </c>
      <c r="AI38">
        <v>1</v>
      </c>
      <c r="AJ38">
        <v>0</v>
      </c>
      <c r="AK38">
        <v>0</v>
      </c>
      <c r="AL38">
        <v>0</v>
      </c>
      <c r="AM38">
        <v>1</v>
      </c>
      <c r="AN38">
        <v>0</v>
      </c>
      <c r="AO38">
        <v>1</v>
      </c>
      <c r="AP38">
        <v>1</v>
      </c>
      <c r="AQ38">
        <v>1</v>
      </c>
      <c r="AU38">
        <v>1</v>
      </c>
      <c r="AV38">
        <v>1</v>
      </c>
      <c r="AW38">
        <v>0</v>
      </c>
    </row>
    <row r="39" spans="1:49" x14ac:dyDescent="0.25">
      <c r="A39" t="str">
        <f>"35"</f>
        <v>35</v>
      </c>
      <c r="B39" t="str">
        <f t="shared" si="1"/>
        <v>1</v>
      </c>
      <c r="C39" t="str">
        <f t="shared" si="2"/>
        <v>2</v>
      </c>
      <c r="D39" t="str">
        <f>"11"</f>
        <v>11</v>
      </c>
      <c r="E39" t="str">
        <f>"1-2-11"</f>
        <v>1-2-11</v>
      </c>
      <c r="F39" t="s">
        <v>83</v>
      </c>
      <c r="G39" t="s">
        <v>86</v>
      </c>
      <c r="H39" t="s">
        <v>87</v>
      </c>
      <c r="AC39">
        <v>1</v>
      </c>
      <c r="AD39">
        <v>0</v>
      </c>
      <c r="AE39">
        <v>0</v>
      </c>
      <c r="AF39">
        <v>0</v>
      </c>
      <c r="AH39">
        <v>1</v>
      </c>
      <c r="AI39">
        <v>0</v>
      </c>
      <c r="AJ39">
        <v>1</v>
      </c>
      <c r="AK39">
        <v>0</v>
      </c>
      <c r="AL39">
        <v>0</v>
      </c>
      <c r="AM39">
        <v>1</v>
      </c>
      <c r="AN39">
        <v>0</v>
      </c>
      <c r="AO39">
        <v>1</v>
      </c>
      <c r="AP39">
        <v>1</v>
      </c>
      <c r="AQ39">
        <v>1</v>
      </c>
      <c r="AU39">
        <v>1</v>
      </c>
      <c r="AV39">
        <v>1</v>
      </c>
      <c r="AW39">
        <v>1</v>
      </c>
    </row>
    <row r="40" spans="1:49" x14ac:dyDescent="0.25">
      <c r="A40" t="str">
        <f>"36"</f>
        <v>36</v>
      </c>
      <c r="B40" t="str">
        <f t="shared" si="1"/>
        <v>1</v>
      </c>
      <c r="C40" t="str">
        <f t="shared" si="2"/>
        <v>2</v>
      </c>
      <c r="D40" t="str">
        <f>"7"</f>
        <v>7</v>
      </c>
      <c r="E40" t="str">
        <f>"1-2-7"</f>
        <v>1-2-7</v>
      </c>
      <c r="F40" t="s">
        <v>83</v>
      </c>
      <c r="G40" t="s">
        <v>84</v>
      </c>
      <c r="H40" t="s">
        <v>85</v>
      </c>
      <c r="AC40">
        <v>1</v>
      </c>
      <c r="AD40">
        <v>0</v>
      </c>
      <c r="AE40">
        <v>0</v>
      </c>
      <c r="AF40">
        <v>0</v>
      </c>
      <c r="AG40">
        <v>1</v>
      </c>
      <c r="AJ40">
        <v>0</v>
      </c>
      <c r="AK40">
        <v>1</v>
      </c>
      <c r="AL40">
        <v>1</v>
      </c>
      <c r="AM40">
        <v>0</v>
      </c>
      <c r="AN40">
        <v>0</v>
      </c>
      <c r="AO40">
        <v>1</v>
      </c>
      <c r="AP40">
        <v>1</v>
      </c>
      <c r="AQ40">
        <v>0</v>
      </c>
      <c r="AR40">
        <v>0</v>
      </c>
      <c r="AS40">
        <v>1</v>
      </c>
      <c r="AT40">
        <v>0</v>
      </c>
      <c r="AV40">
        <v>1</v>
      </c>
      <c r="AW40">
        <v>1</v>
      </c>
    </row>
    <row r="41" spans="1:49" x14ac:dyDescent="0.25">
      <c r="A41" t="str">
        <f>"37"</f>
        <v>37</v>
      </c>
      <c r="B41" t="str">
        <f t="shared" si="1"/>
        <v>1</v>
      </c>
      <c r="C41" t="str">
        <f t="shared" si="2"/>
        <v>2</v>
      </c>
      <c r="D41" t="str">
        <f>"19"</f>
        <v>19</v>
      </c>
      <c r="E41" t="str">
        <f>"1-2-19"</f>
        <v>1-2-19</v>
      </c>
      <c r="F41" t="s">
        <v>83</v>
      </c>
      <c r="G41" t="s">
        <v>86</v>
      </c>
      <c r="H41" t="s">
        <v>87</v>
      </c>
      <c r="AC41">
        <v>1</v>
      </c>
      <c r="AD41">
        <v>0</v>
      </c>
      <c r="AE41">
        <v>0</v>
      </c>
      <c r="AF41">
        <v>0</v>
      </c>
      <c r="AH41">
        <v>1</v>
      </c>
      <c r="AI41">
        <v>0</v>
      </c>
      <c r="AJ41">
        <v>1</v>
      </c>
      <c r="AK41">
        <v>0</v>
      </c>
      <c r="AL41">
        <v>1</v>
      </c>
      <c r="AM41">
        <v>0</v>
      </c>
      <c r="AN41">
        <v>0</v>
      </c>
      <c r="AO41">
        <v>1</v>
      </c>
      <c r="AP41">
        <v>1</v>
      </c>
      <c r="AQ41">
        <v>1</v>
      </c>
      <c r="AU41">
        <v>1</v>
      </c>
      <c r="AV41">
        <v>1</v>
      </c>
      <c r="AW41">
        <v>1</v>
      </c>
    </row>
    <row r="42" spans="1:49" x14ac:dyDescent="0.25">
      <c r="A42" t="str">
        <f>"38"</f>
        <v>38</v>
      </c>
      <c r="B42" t="str">
        <f t="shared" si="1"/>
        <v>1</v>
      </c>
      <c r="C42" t="str">
        <f t="shared" si="2"/>
        <v>2</v>
      </c>
      <c r="D42" t="str">
        <f>"12"</f>
        <v>12</v>
      </c>
      <c r="E42" t="str">
        <f>"1-2-12"</f>
        <v>1-2-12</v>
      </c>
      <c r="F42" t="s">
        <v>83</v>
      </c>
      <c r="G42" t="s">
        <v>86</v>
      </c>
      <c r="H42" t="s">
        <v>87</v>
      </c>
      <c r="AC42">
        <v>0</v>
      </c>
      <c r="AD42">
        <v>1</v>
      </c>
      <c r="AE42">
        <v>0</v>
      </c>
      <c r="AF42">
        <v>0</v>
      </c>
      <c r="AH42">
        <v>0</v>
      </c>
      <c r="AI42">
        <v>1</v>
      </c>
      <c r="AJ42">
        <v>0</v>
      </c>
      <c r="AK42">
        <v>1</v>
      </c>
      <c r="AL42">
        <v>0</v>
      </c>
      <c r="AM42">
        <v>1</v>
      </c>
      <c r="AN42">
        <v>0</v>
      </c>
      <c r="AO42">
        <v>0</v>
      </c>
      <c r="AP42">
        <v>0</v>
      </c>
      <c r="AQ42">
        <v>0</v>
      </c>
      <c r="AU42">
        <v>0</v>
      </c>
      <c r="AV42">
        <v>0</v>
      </c>
      <c r="AW42">
        <v>0</v>
      </c>
    </row>
    <row r="43" spans="1:49" x14ac:dyDescent="0.25">
      <c r="A43" t="str">
        <f>"39"</f>
        <v>39</v>
      </c>
      <c r="B43" t="str">
        <f t="shared" si="1"/>
        <v>1</v>
      </c>
      <c r="C43" t="str">
        <f t="shared" si="2"/>
        <v>2</v>
      </c>
      <c r="D43" t="str">
        <f>"5"</f>
        <v>5</v>
      </c>
      <c r="E43" t="str">
        <f>"1-2-5"</f>
        <v>1-2-5</v>
      </c>
      <c r="F43" t="s">
        <v>83</v>
      </c>
      <c r="G43" t="s">
        <v>86</v>
      </c>
      <c r="H43" t="s">
        <v>87</v>
      </c>
      <c r="AC43">
        <v>1</v>
      </c>
      <c r="AD43">
        <v>0</v>
      </c>
      <c r="AE43">
        <v>0</v>
      </c>
      <c r="AF43">
        <v>0</v>
      </c>
      <c r="AH43">
        <v>1</v>
      </c>
      <c r="AI43">
        <v>0</v>
      </c>
      <c r="AJ43">
        <v>1</v>
      </c>
      <c r="AK43">
        <v>0</v>
      </c>
      <c r="AL43">
        <v>1</v>
      </c>
      <c r="AM43">
        <v>0</v>
      </c>
      <c r="AN43">
        <v>0</v>
      </c>
      <c r="AO43">
        <v>1</v>
      </c>
      <c r="AP43">
        <v>1</v>
      </c>
      <c r="AQ43">
        <v>0</v>
      </c>
      <c r="AU43">
        <v>1</v>
      </c>
      <c r="AV43">
        <v>1</v>
      </c>
      <c r="AW43">
        <v>1</v>
      </c>
    </row>
    <row r="44" spans="1:49" x14ac:dyDescent="0.25">
      <c r="A44" t="str">
        <f>"40"</f>
        <v>40</v>
      </c>
      <c r="B44" t="str">
        <f t="shared" si="1"/>
        <v>1</v>
      </c>
      <c r="C44" t="str">
        <f t="shared" si="2"/>
        <v>2</v>
      </c>
      <c r="D44" t="str">
        <f>"24"</f>
        <v>24</v>
      </c>
      <c r="E44" t="str">
        <f>"1-2-24"</f>
        <v>1-2-24</v>
      </c>
      <c r="F44" t="s">
        <v>83</v>
      </c>
      <c r="G44" t="s">
        <v>86</v>
      </c>
      <c r="H44" t="s">
        <v>87</v>
      </c>
      <c r="AC44">
        <v>1</v>
      </c>
      <c r="AD44">
        <v>0</v>
      </c>
      <c r="AE44">
        <v>0</v>
      </c>
      <c r="AF44">
        <v>0</v>
      </c>
      <c r="AH44">
        <v>1</v>
      </c>
      <c r="AI44">
        <v>0</v>
      </c>
      <c r="AJ44">
        <v>0</v>
      </c>
      <c r="AK44">
        <v>1</v>
      </c>
      <c r="AL44">
        <v>0</v>
      </c>
      <c r="AM44">
        <v>0</v>
      </c>
      <c r="AN44">
        <v>0</v>
      </c>
      <c r="AO44">
        <v>1</v>
      </c>
      <c r="AP44">
        <v>1</v>
      </c>
      <c r="AQ44">
        <v>1</v>
      </c>
      <c r="AU44">
        <v>1</v>
      </c>
      <c r="AV44">
        <v>1</v>
      </c>
      <c r="AW44">
        <v>1</v>
      </c>
    </row>
    <row r="45" spans="1:49" x14ac:dyDescent="0.25">
      <c r="A45" t="str">
        <f>"41"</f>
        <v>41</v>
      </c>
      <c r="B45" t="str">
        <f t="shared" si="1"/>
        <v>1</v>
      </c>
      <c r="C45" t="str">
        <f t="shared" si="2"/>
        <v>2</v>
      </c>
      <c r="D45" t="str">
        <f>"23"</f>
        <v>23</v>
      </c>
      <c r="E45" t="str">
        <f>"1-2-23"</f>
        <v>1-2-23</v>
      </c>
      <c r="F45" t="s">
        <v>83</v>
      </c>
      <c r="G45" t="s">
        <v>84</v>
      </c>
      <c r="H45" t="s">
        <v>85</v>
      </c>
      <c r="AC45">
        <v>0</v>
      </c>
      <c r="AD45">
        <v>1</v>
      </c>
      <c r="AE45">
        <v>0</v>
      </c>
      <c r="AF45">
        <v>0</v>
      </c>
      <c r="AG45">
        <v>1</v>
      </c>
      <c r="AJ45">
        <v>0</v>
      </c>
      <c r="AK45">
        <v>1</v>
      </c>
      <c r="AL45">
        <v>0</v>
      </c>
      <c r="AM45">
        <v>0</v>
      </c>
      <c r="AN45">
        <v>1</v>
      </c>
      <c r="AO45">
        <v>1</v>
      </c>
      <c r="AP45">
        <v>1</v>
      </c>
      <c r="AQ45">
        <v>1</v>
      </c>
      <c r="AR45">
        <v>1</v>
      </c>
      <c r="AS45">
        <v>1</v>
      </c>
      <c r="AT45">
        <v>0</v>
      </c>
      <c r="AV45">
        <v>1</v>
      </c>
      <c r="AW45">
        <v>1</v>
      </c>
    </row>
    <row r="46" spans="1:49" x14ac:dyDescent="0.25">
      <c r="A46" t="str">
        <f>"42"</f>
        <v>42</v>
      </c>
      <c r="B46" t="str">
        <f t="shared" si="1"/>
        <v>1</v>
      </c>
      <c r="C46" t="str">
        <f t="shared" si="2"/>
        <v>2</v>
      </c>
      <c r="D46" t="str">
        <f>"20"</f>
        <v>20</v>
      </c>
      <c r="E46" t="str">
        <f>"1-2-20"</f>
        <v>1-2-20</v>
      </c>
      <c r="F46" t="s">
        <v>83</v>
      </c>
      <c r="G46" t="s">
        <v>86</v>
      </c>
      <c r="H46" t="s">
        <v>87</v>
      </c>
      <c r="AC46">
        <v>1</v>
      </c>
      <c r="AD46">
        <v>0</v>
      </c>
      <c r="AE46">
        <v>0</v>
      </c>
      <c r="AF46">
        <v>0</v>
      </c>
      <c r="AH46">
        <v>1</v>
      </c>
      <c r="AI46">
        <v>0</v>
      </c>
      <c r="AJ46">
        <v>1</v>
      </c>
      <c r="AK46">
        <v>0</v>
      </c>
      <c r="AL46">
        <v>1</v>
      </c>
      <c r="AM46">
        <v>0</v>
      </c>
      <c r="AN46">
        <v>0</v>
      </c>
      <c r="AO46">
        <v>1</v>
      </c>
      <c r="AP46">
        <v>1</v>
      </c>
      <c r="AQ46">
        <v>1</v>
      </c>
      <c r="AU46">
        <v>1</v>
      </c>
      <c r="AV46">
        <v>1</v>
      </c>
      <c r="AW46">
        <v>0</v>
      </c>
    </row>
    <row r="47" spans="1:49" x14ac:dyDescent="0.25">
      <c r="A47" t="str">
        <f>"43"</f>
        <v>43</v>
      </c>
      <c r="B47" t="str">
        <f t="shared" si="1"/>
        <v>1</v>
      </c>
      <c r="C47" t="str">
        <f t="shared" si="2"/>
        <v>2</v>
      </c>
      <c r="D47" t="str">
        <f>"13"</f>
        <v>13</v>
      </c>
      <c r="E47" t="str">
        <f>"1-2-13"</f>
        <v>1-2-13</v>
      </c>
      <c r="F47" t="s">
        <v>83</v>
      </c>
      <c r="G47" t="s">
        <v>86</v>
      </c>
      <c r="H47" t="s">
        <v>87</v>
      </c>
      <c r="AC47">
        <v>0</v>
      </c>
      <c r="AD47">
        <v>1</v>
      </c>
      <c r="AE47">
        <v>0</v>
      </c>
      <c r="AF47">
        <v>0</v>
      </c>
      <c r="AH47">
        <v>0</v>
      </c>
      <c r="AI47">
        <v>1</v>
      </c>
      <c r="AJ47">
        <v>0</v>
      </c>
      <c r="AK47">
        <v>1</v>
      </c>
      <c r="AL47">
        <v>0</v>
      </c>
      <c r="AM47">
        <v>0</v>
      </c>
      <c r="AN47">
        <v>0</v>
      </c>
      <c r="AO47">
        <v>0</v>
      </c>
      <c r="AP47">
        <v>0</v>
      </c>
      <c r="AQ47">
        <v>0</v>
      </c>
      <c r="AU47">
        <v>0</v>
      </c>
      <c r="AV47">
        <v>0</v>
      </c>
      <c r="AW47">
        <v>0</v>
      </c>
    </row>
    <row r="48" spans="1:49" x14ac:dyDescent="0.25">
      <c r="A48" t="str">
        <f>"44"</f>
        <v>44</v>
      </c>
      <c r="B48" t="str">
        <f t="shared" si="1"/>
        <v>1</v>
      </c>
      <c r="C48" t="str">
        <f t="shared" si="2"/>
        <v>2</v>
      </c>
      <c r="D48" t="str">
        <f>"1"</f>
        <v>1</v>
      </c>
      <c r="E48" t="str">
        <f>"1-2-1"</f>
        <v>1-2-1</v>
      </c>
      <c r="F48" t="s">
        <v>83</v>
      </c>
      <c r="G48" t="s">
        <v>84</v>
      </c>
      <c r="H48" t="s">
        <v>85</v>
      </c>
      <c r="AC48">
        <v>1</v>
      </c>
      <c r="AD48">
        <v>0</v>
      </c>
      <c r="AE48">
        <v>0</v>
      </c>
      <c r="AF48">
        <v>0</v>
      </c>
      <c r="AG48">
        <v>1</v>
      </c>
      <c r="AJ48">
        <v>0</v>
      </c>
      <c r="AK48">
        <v>1</v>
      </c>
      <c r="AL48">
        <v>0</v>
      </c>
      <c r="AM48">
        <v>0</v>
      </c>
      <c r="AN48">
        <v>1</v>
      </c>
      <c r="AO48">
        <v>1</v>
      </c>
      <c r="AP48">
        <v>1</v>
      </c>
      <c r="AQ48">
        <v>1</v>
      </c>
      <c r="AR48">
        <v>1</v>
      </c>
      <c r="AS48">
        <v>0</v>
      </c>
      <c r="AT48">
        <v>1</v>
      </c>
      <c r="AV48">
        <v>1</v>
      </c>
      <c r="AW48">
        <v>0</v>
      </c>
    </row>
    <row r="49" spans="1:49" x14ac:dyDescent="0.25">
      <c r="A49" t="str">
        <f>"45"</f>
        <v>45</v>
      </c>
      <c r="B49" t="str">
        <f t="shared" si="1"/>
        <v>1</v>
      </c>
      <c r="C49" t="str">
        <f t="shared" si="2"/>
        <v>2</v>
      </c>
      <c r="D49" t="str">
        <f>"25"</f>
        <v>25</v>
      </c>
      <c r="E49" t="str">
        <f>"1-2-25"</f>
        <v>1-2-25</v>
      </c>
      <c r="F49" t="s">
        <v>83</v>
      </c>
      <c r="G49" t="s">
        <v>84</v>
      </c>
      <c r="H49" t="s">
        <v>85</v>
      </c>
      <c r="AC49">
        <v>1</v>
      </c>
      <c r="AD49">
        <v>0</v>
      </c>
      <c r="AE49">
        <v>0</v>
      </c>
      <c r="AF49">
        <v>0</v>
      </c>
      <c r="AG49">
        <v>0</v>
      </c>
      <c r="AJ49">
        <v>1</v>
      </c>
      <c r="AK49">
        <v>0</v>
      </c>
      <c r="AL49">
        <v>0</v>
      </c>
      <c r="AM49">
        <v>1</v>
      </c>
      <c r="AN49">
        <v>0</v>
      </c>
      <c r="AO49">
        <v>1</v>
      </c>
      <c r="AP49">
        <v>1</v>
      </c>
      <c r="AQ49">
        <v>0</v>
      </c>
      <c r="AR49">
        <v>1</v>
      </c>
      <c r="AS49">
        <v>0</v>
      </c>
      <c r="AT49">
        <v>1</v>
      </c>
      <c r="AV49">
        <v>1</v>
      </c>
      <c r="AW49">
        <v>1</v>
      </c>
    </row>
    <row r="50" spans="1:49" x14ac:dyDescent="0.25">
      <c r="A50" t="str">
        <f>"46"</f>
        <v>46</v>
      </c>
      <c r="B50" t="str">
        <f t="shared" si="1"/>
        <v>1</v>
      </c>
      <c r="C50" t="str">
        <f t="shared" si="2"/>
        <v>2</v>
      </c>
      <c r="D50" t="str">
        <f>"22"</f>
        <v>22</v>
      </c>
      <c r="E50" t="str">
        <f>"1-2-22"</f>
        <v>1-2-22</v>
      </c>
      <c r="F50" t="s">
        <v>83</v>
      </c>
      <c r="G50" t="s">
        <v>86</v>
      </c>
      <c r="H50" t="s">
        <v>87</v>
      </c>
      <c r="AC50">
        <v>0</v>
      </c>
      <c r="AD50">
        <v>0</v>
      </c>
      <c r="AE50">
        <v>0</v>
      </c>
      <c r="AF50">
        <v>0</v>
      </c>
      <c r="AH50">
        <v>0</v>
      </c>
      <c r="AI50">
        <v>1</v>
      </c>
      <c r="AJ50">
        <v>0</v>
      </c>
      <c r="AK50">
        <v>0</v>
      </c>
      <c r="AL50">
        <v>0</v>
      </c>
      <c r="AM50">
        <v>0</v>
      </c>
      <c r="AN50">
        <v>0</v>
      </c>
      <c r="AO50">
        <v>0</v>
      </c>
      <c r="AP50">
        <v>0</v>
      </c>
      <c r="AQ50">
        <v>0</v>
      </c>
      <c r="AU50">
        <v>0</v>
      </c>
      <c r="AV50">
        <v>0</v>
      </c>
      <c r="AW50">
        <v>0</v>
      </c>
    </row>
    <row r="51" spans="1:49" s="2" customFormat="1" x14ac:dyDescent="0.25">
      <c r="A51" s="2" t="str">
        <f>"47"</f>
        <v>47</v>
      </c>
      <c r="B51" s="2" t="str">
        <f t="shared" si="1"/>
        <v>1</v>
      </c>
      <c r="C51" s="2" t="str">
        <f t="shared" si="2"/>
        <v>2</v>
      </c>
      <c r="D51" s="2" t="str">
        <f>"14"</f>
        <v>14</v>
      </c>
      <c r="E51" s="2" t="str">
        <f>"1-2-14"</f>
        <v>1-2-14</v>
      </c>
      <c r="F51" s="2" t="s">
        <v>83</v>
      </c>
      <c r="G51" s="2" t="s">
        <v>84</v>
      </c>
      <c r="H51" s="2" t="s">
        <v>85</v>
      </c>
      <c r="AC51" s="2">
        <v>1</v>
      </c>
      <c r="AD51" s="2">
        <v>0</v>
      </c>
      <c r="AE51" s="2">
        <v>0</v>
      </c>
      <c r="AF51" s="2">
        <v>0</v>
      </c>
      <c r="AG51" s="2">
        <v>1</v>
      </c>
      <c r="AJ51" s="2">
        <v>1</v>
      </c>
      <c r="AK51" s="2">
        <v>0</v>
      </c>
      <c r="AL51" s="2">
        <v>0</v>
      </c>
      <c r="AM51" s="2">
        <v>0</v>
      </c>
      <c r="AN51" s="2">
        <v>1</v>
      </c>
      <c r="AO51" s="2">
        <v>1</v>
      </c>
      <c r="AP51" s="2">
        <v>1</v>
      </c>
      <c r="AQ51" s="2">
        <v>1</v>
      </c>
      <c r="AR51" s="2">
        <v>1</v>
      </c>
      <c r="AS51" s="2">
        <v>1</v>
      </c>
      <c r="AT51" s="2">
        <v>0</v>
      </c>
      <c r="AV51" s="2">
        <v>1</v>
      </c>
      <c r="AW51" s="2">
        <v>0</v>
      </c>
    </row>
    <row r="52" spans="1:49" x14ac:dyDescent="0.25">
      <c r="A52" t="str">
        <f>"48"</f>
        <v>48</v>
      </c>
      <c r="B52" t="str">
        <f t="shared" si="1"/>
        <v>1</v>
      </c>
      <c r="C52" t="str">
        <f t="shared" si="2"/>
        <v>2</v>
      </c>
      <c r="D52" t="str">
        <f>"6"</f>
        <v>6</v>
      </c>
      <c r="E52" t="str">
        <f>"1-2-6"</f>
        <v>1-2-6</v>
      </c>
      <c r="F52" t="s">
        <v>83</v>
      </c>
      <c r="G52" t="s">
        <v>84</v>
      </c>
      <c r="H52" t="s">
        <v>85</v>
      </c>
      <c r="AC52">
        <v>1</v>
      </c>
      <c r="AD52">
        <v>0</v>
      </c>
      <c r="AE52">
        <v>0</v>
      </c>
      <c r="AF52">
        <v>0</v>
      </c>
      <c r="AG52">
        <v>1</v>
      </c>
      <c r="AJ52">
        <v>0</v>
      </c>
      <c r="AK52">
        <v>1</v>
      </c>
      <c r="AL52">
        <v>1</v>
      </c>
      <c r="AM52">
        <v>0</v>
      </c>
      <c r="AN52">
        <v>0</v>
      </c>
      <c r="AO52">
        <v>1</v>
      </c>
      <c r="AP52">
        <v>1</v>
      </c>
      <c r="AQ52">
        <v>1</v>
      </c>
      <c r="AR52">
        <v>1</v>
      </c>
      <c r="AS52">
        <v>0</v>
      </c>
      <c r="AT52">
        <v>1</v>
      </c>
      <c r="AV52">
        <v>1</v>
      </c>
      <c r="AW52">
        <v>1</v>
      </c>
    </row>
    <row r="53" spans="1:49" x14ac:dyDescent="0.25">
      <c r="A53" t="str">
        <f>"49"</f>
        <v>49</v>
      </c>
      <c r="B53" t="str">
        <f t="shared" si="1"/>
        <v>1</v>
      </c>
      <c r="C53" t="str">
        <f t="shared" si="2"/>
        <v>2</v>
      </c>
      <c r="D53" t="str">
        <f>"15"</f>
        <v>15</v>
      </c>
      <c r="E53" t="str">
        <f>"1-2-15"</f>
        <v>1-2-15</v>
      </c>
      <c r="F53" t="s">
        <v>83</v>
      </c>
      <c r="G53" t="s">
        <v>88</v>
      </c>
      <c r="H53" t="s">
        <v>89</v>
      </c>
      <c r="AC53">
        <v>1</v>
      </c>
      <c r="AD53">
        <v>0</v>
      </c>
      <c r="AE53">
        <v>0</v>
      </c>
      <c r="AF53">
        <v>0</v>
      </c>
      <c r="AH53">
        <v>1</v>
      </c>
      <c r="AI53">
        <v>0</v>
      </c>
      <c r="AJ53">
        <v>0</v>
      </c>
      <c r="AK53">
        <v>1</v>
      </c>
      <c r="AL53">
        <v>1</v>
      </c>
      <c r="AM53">
        <v>0</v>
      </c>
      <c r="AN53">
        <v>0</v>
      </c>
      <c r="AO53">
        <v>0</v>
      </c>
      <c r="AP53">
        <v>0</v>
      </c>
      <c r="AQ53">
        <v>0</v>
      </c>
      <c r="AR53">
        <v>0</v>
      </c>
      <c r="AS53">
        <v>0</v>
      </c>
      <c r="AT53">
        <v>1</v>
      </c>
      <c r="AV53">
        <v>0</v>
      </c>
      <c r="AW53">
        <v>0</v>
      </c>
    </row>
    <row r="54" spans="1:49" x14ac:dyDescent="0.25">
      <c r="A54" t="str">
        <f>"50"</f>
        <v>50</v>
      </c>
      <c r="B54" t="str">
        <f t="shared" si="1"/>
        <v>1</v>
      </c>
      <c r="C54" t="str">
        <f t="shared" si="2"/>
        <v>2</v>
      </c>
      <c r="D54" t="str">
        <f>"3"</f>
        <v>3</v>
      </c>
      <c r="E54" t="str">
        <f>"1-2-3"</f>
        <v>1-2-3</v>
      </c>
      <c r="F54" t="s">
        <v>83</v>
      </c>
      <c r="G54" t="s">
        <v>86</v>
      </c>
      <c r="H54" t="s">
        <v>87</v>
      </c>
      <c r="AC54">
        <v>1</v>
      </c>
      <c r="AD54">
        <v>0</v>
      </c>
      <c r="AE54">
        <v>0</v>
      </c>
      <c r="AF54">
        <v>0</v>
      </c>
      <c r="AH54">
        <v>1</v>
      </c>
      <c r="AI54">
        <v>0</v>
      </c>
      <c r="AJ54">
        <v>1</v>
      </c>
      <c r="AK54">
        <v>0</v>
      </c>
      <c r="AL54">
        <v>1</v>
      </c>
      <c r="AM54">
        <v>0</v>
      </c>
      <c r="AN54">
        <v>0</v>
      </c>
      <c r="AO54">
        <v>1</v>
      </c>
      <c r="AP54">
        <v>1</v>
      </c>
      <c r="AQ54">
        <v>1</v>
      </c>
      <c r="AU54">
        <v>1</v>
      </c>
      <c r="AV54">
        <v>1</v>
      </c>
      <c r="AW54">
        <v>1</v>
      </c>
    </row>
    <row r="55" spans="1:49" x14ac:dyDescent="0.25">
      <c r="A55" t="str">
        <f>"51"</f>
        <v>51</v>
      </c>
      <c r="B55" t="str">
        <f t="shared" si="1"/>
        <v>1</v>
      </c>
      <c r="C55" t="str">
        <f t="shared" ref="C55:C79" si="3">"3"</f>
        <v>3</v>
      </c>
      <c r="D55" t="str">
        <f>"18"</f>
        <v>18</v>
      </c>
      <c r="E55" t="str">
        <f>"1-3-18"</f>
        <v>1-3-18</v>
      </c>
      <c r="F55" t="s">
        <v>83</v>
      </c>
      <c r="G55" t="s">
        <v>84</v>
      </c>
      <c r="H55" t="s">
        <v>85</v>
      </c>
      <c r="AC55">
        <v>1</v>
      </c>
      <c r="AD55">
        <v>0</v>
      </c>
      <c r="AE55">
        <v>0</v>
      </c>
      <c r="AF55">
        <v>0</v>
      </c>
      <c r="AG55">
        <v>1</v>
      </c>
      <c r="AJ55">
        <v>1</v>
      </c>
      <c r="AK55">
        <v>0</v>
      </c>
      <c r="AL55">
        <v>1</v>
      </c>
      <c r="AM55">
        <v>0</v>
      </c>
      <c r="AN55">
        <v>0</v>
      </c>
      <c r="AO55">
        <v>1</v>
      </c>
      <c r="AP55">
        <v>1</v>
      </c>
      <c r="AQ55">
        <v>1</v>
      </c>
      <c r="AR55">
        <v>1</v>
      </c>
      <c r="AS55">
        <v>0</v>
      </c>
      <c r="AT55">
        <v>1</v>
      </c>
      <c r="AV55">
        <v>1</v>
      </c>
      <c r="AW55">
        <v>1</v>
      </c>
    </row>
    <row r="56" spans="1:49" x14ac:dyDescent="0.25">
      <c r="A56" t="str">
        <f>"52"</f>
        <v>52</v>
      </c>
      <c r="B56" t="str">
        <f t="shared" si="1"/>
        <v>1</v>
      </c>
      <c r="C56" t="str">
        <f t="shared" si="3"/>
        <v>3</v>
      </c>
      <c r="D56" t="str">
        <f>"17"</f>
        <v>17</v>
      </c>
      <c r="E56" t="str">
        <f>"1-3-17"</f>
        <v>1-3-17</v>
      </c>
      <c r="F56" t="s">
        <v>83</v>
      </c>
      <c r="G56" t="s">
        <v>84</v>
      </c>
      <c r="H56" t="s">
        <v>85</v>
      </c>
      <c r="AC56">
        <v>1</v>
      </c>
      <c r="AD56">
        <v>0</v>
      </c>
      <c r="AE56">
        <v>0</v>
      </c>
      <c r="AF56">
        <v>0</v>
      </c>
      <c r="AG56">
        <v>1</v>
      </c>
      <c r="AJ56">
        <v>1</v>
      </c>
      <c r="AK56">
        <v>0</v>
      </c>
      <c r="AL56">
        <v>1</v>
      </c>
      <c r="AM56">
        <v>0</v>
      </c>
      <c r="AN56">
        <v>0</v>
      </c>
      <c r="AO56">
        <v>1</v>
      </c>
      <c r="AP56">
        <v>1</v>
      </c>
      <c r="AQ56">
        <v>1</v>
      </c>
      <c r="AR56">
        <v>1</v>
      </c>
      <c r="AS56">
        <v>0</v>
      </c>
      <c r="AT56">
        <v>1</v>
      </c>
      <c r="AV56">
        <v>1</v>
      </c>
      <c r="AW56">
        <v>1</v>
      </c>
    </row>
    <row r="57" spans="1:49" x14ac:dyDescent="0.25">
      <c r="A57" t="str">
        <f>"53"</f>
        <v>53</v>
      </c>
      <c r="B57" t="str">
        <f t="shared" si="1"/>
        <v>1</v>
      </c>
      <c r="C57" t="str">
        <f t="shared" si="3"/>
        <v>3</v>
      </c>
      <c r="D57" t="str">
        <f>"14"</f>
        <v>14</v>
      </c>
      <c r="E57" t="str">
        <f>"1-3-14"</f>
        <v>1-3-14</v>
      </c>
      <c r="F57" t="s">
        <v>83</v>
      </c>
      <c r="G57" t="s">
        <v>84</v>
      </c>
      <c r="H57" t="s">
        <v>85</v>
      </c>
      <c r="AC57">
        <v>0</v>
      </c>
      <c r="AD57">
        <v>1</v>
      </c>
      <c r="AE57">
        <v>0</v>
      </c>
      <c r="AF57">
        <v>0</v>
      </c>
      <c r="AG57">
        <v>1</v>
      </c>
      <c r="AJ57">
        <v>0</v>
      </c>
      <c r="AK57">
        <v>1</v>
      </c>
      <c r="AL57">
        <v>0</v>
      </c>
      <c r="AM57">
        <v>0</v>
      </c>
      <c r="AN57">
        <v>1</v>
      </c>
      <c r="AO57">
        <v>1</v>
      </c>
      <c r="AP57">
        <v>1</v>
      </c>
      <c r="AQ57">
        <v>1</v>
      </c>
      <c r="AR57">
        <v>1</v>
      </c>
      <c r="AS57">
        <v>1</v>
      </c>
      <c r="AT57">
        <v>0</v>
      </c>
      <c r="AV57">
        <v>1</v>
      </c>
      <c r="AW57">
        <v>1</v>
      </c>
    </row>
    <row r="58" spans="1:49" x14ac:dyDescent="0.25">
      <c r="A58" t="str">
        <f>"54"</f>
        <v>54</v>
      </c>
      <c r="B58" t="str">
        <f t="shared" si="1"/>
        <v>1</v>
      </c>
      <c r="C58" t="str">
        <f t="shared" si="3"/>
        <v>3</v>
      </c>
      <c r="D58" t="str">
        <f>"8"</f>
        <v>8</v>
      </c>
      <c r="E58" t="str">
        <f>"1-3-8"</f>
        <v>1-3-8</v>
      </c>
      <c r="F58" t="s">
        <v>83</v>
      </c>
      <c r="G58" t="s">
        <v>84</v>
      </c>
      <c r="H58" t="s">
        <v>85</v>
      </c>
      <c r="AC58">
        <v>0</v>
      </c>
      <c r="AD58">
        <v>1</v>
      </c>
      <c r="AE58">
        <v>0</v>
      </c>
      <c r="AF58">
        <v>0</v>
      </c>
      <c r="AG58">
        <v>1</v>
      </c>
      <c r="AJ58">
        <v>0</v>
      </c>
      <c r="AK58">
        <v>1</v>
      </c>
      <c r="AL58">
        <v>0</v>
      </c>
      <c r="AM58">
        <v>0</v>
      </c>
      <c r="AN58">
        <v>1</v>
      </c>
      <c r="AO58">
        <v>1</v>
      </c>
      <c r="AP58">
        <v>1</v>
      </c>
      <c r="AQ58">
        <v>1</v>
      </c>
      <c r="AR58">
        <v>1</v>
      </c>
      <c r="AS58">
        <v>0</v>
      </c>
      <c r="AT58">
        <v>1</v>
      </c>
      <c r="AV58">
        <v>1</v>
      </c>
      <c r="AW58">
        <v>1</v>
      </c>
    </row>
    <row r="59" spans="1:49" x14ac:dyDescent="0.25">
      <c r="A59" t="str">
        <f>"55"</f>
        <v>55</v>
      </c>
      <c r="B59" t="str">
        <f t="shared" si="1"/>
        <v>1</v>
      </c>
      <c r="C59" t="str">
        <f t="shared" si="3"/>
        <v>3</v>
      </c>
      <c r="D59" t="str">
        <f>"3"</f>
        <v>3</v>
      </c>
      <c r="E59" t="str">
        <f>"1-3-3"</f>
        <v>1-3-3</v>
      </c>
      <c r="F59" t="s">
        <v>83</v>
      </c>
      <c r="G59" t="s">
        <v>84</v>
      </c>
      <c r="H59" t="s">
        <v>85</v>
      </c>
      <c r="AC59">
        <v>1</v>
      </c>
      <c r="AD59">
        <v>0</v>
      </c>
      <c r="AE59">
        <v>0</v>
      </c>
      <c r="AF59">
        <v>0</v>
      </c>
      <c r="AG59">
        <v>1</v>
      </c>
      <c r="AJ59">
        <v>1</v>
      </c>
      <c r="AK59">
        <v>0</v>
      </c>
      <c r="AL59">
        <v>1</v>
      </c>
      <c r="AM59">
        <v>0</v>
      </c>
      <c r="AN59">
        <v>0</v>
      </c>
      <c r="AO59">
        <v>1</v>
      </c>
      <c r="AP59">
        <v>1</v>
      </c>
      <c r="AQ59">
        <v>1</v>
      </c>
      <c r="AR59">
        <v>1</v>
      </c>
      <c r="AS59">
        <v>1</v>
      </c>
      <c r="AT59">
        <v>0</v>
      </c>
      <c r="AV59">
        <v>1</v>
      </c>
      <c r="AW59">
        <v>1</v>
      </c>
    </row>
    <row r="60" spans="1:49" x14ac:dyDescent="0.25">
      <c r="A60" t="str">
        <f>"56"</f>
        <v>56</v>
      </c>
      <c r="B60" t="str">
        <f t="shared" si="1"/>
        <v>1</v>
      </c>
      <c r="C60" t="str">
        <f t="shared" si="3"/>
        <v>3</v>
      </c>
      <c r="D60" t="str">
        <f>"9"</f>
        <v>9</v>
      </c>
      <c r="E60" t="str">
        <f>"1-3-9"</f>
        <v>1-3-9</v>
      </c>
      <c r="F60" t="s">
        <v>83</v>
      </c>
      <c r="G60" t="s">
        <v>90</v>
      </c>
      <c r="H60" t="s">
        <v>91</v>
      </c>
      <c r="AC60">
        <v>0</v>
      </c>
      <c r="AD60">
        <v>1</v>
      </c>
      <c r="AE60">
        <v>0</v>
      </c>
      <c r="AF60">
        <v>0</v>
      </c>
      <c r="AH60">
        <v>1</v>
      </c>
      <c r="AI60">
        <v>0</v>
      </c>
      <c r="AJ60">
        <v>0</v>
      </c>
      <c r="AK60">
        <v>1</v>
      </c>
      <c r="AL60">
        <v>0</v>
      </c>
      <c r="AM60">
        <v>1</v>
      </c>
      <c r="AN60">
        <v>0</v>
      </c>
      <c r="AO60">
        <v>1</v>
      </c>
      <c r="AP60">
        <v>1</v>
      </c>
      <c r="AQ60">
        <v>1</v>
      </c>
      <c r="AR60">
        <v>1</v>
      </c>
      <c r="AU60">
        <v>1</v>
      </c>
      <c r="AV60">
        <v>1</v>
      </c>
      <c r="AW60">
        <v>1</v>
      </c>
    </row>
    <row r="61" spans="1:49" x14ac:dyDescent="0.25">
      <c r="A61" t="str">
        <f>"57"</f>
        <v>57</v>
      </c>
      <c r="B61" t="str">
        <f t="shared" si="1"/>
        <v>1</v>
      </c>
      <c r="C61" t="str">
        <f t="shared" si="3"/>
        <v>3</v>
      </c>
      <c r="D61" t="str">
        <f>"6"</f>
        <v>6</v>
      </c>
      <c r="E61" t="str">
        <f>"1-3-6"</f>
        <v>1-3-6</v>
      </c>
      <c r="F61" t="s">
        <v>83</v>
      </c>
      <c r="G61" t="s">
        <v>84</v>
      </c>
      <c r="H61" t="s">
        <v>85</v>
      </c>
      <c r="AC61">
        <v>1</v>
      </c>
      <c r="AD61">
        <v>0</v>
      </c>
      <c r="AE61">
        <v>0</v>
      </c>
      <c r="AF61">
        <v>0</v>
      </c>
      <c r="AG61">
        <v>1</v>
      </c>
      <c r="AJ61">
        <v>0</v>
      </c>
      <c r="AK61">
        <v>1</v>
      </c>
      <c r="AL61">
        <v>1</v>
      </c>
      <c r="AM61">
        <v>0</v>
      </c>
      <c r="AN61">
        <v>0</v>
      </c>
      <c r="AO61">
        <v>1</v>
      </c>
      <c r="AP61">
        <v>1</v>
      </c>
      <c r="AQ61">
        <v>1</v>
      </c>
      <c r="AR61">
        <v>1</v>
      </c>
      <c r="AS61">
        <v>0</v>
      </c>
      <c r="AT61">
        <v>1</v>
      </c>
      <c r="AV61">
        <v>1</v>
      </c>
      <c r="AW61">
        <v>1</v>
      </c>
    </row>
    <row r="62" spans="1:49" x14ac:dyDescent="0.25">
      <c r="A62" t="str">
        <f>"58"</f>
        <v>58</v>
      </c>
      <c r="B62" t="str">
        <f t="shared" si="1"/>
        <v>1</v>
      </c>
      <c r="C62" t="str">
        <f t="shared" si="3"/>
        <v>3</v>
      </c>
      <c r="D62" t="str">
        <f>"19"</f>
        <v>19</v>
      </c>
      <c r="E62" t="str">
        <f>"1-3-19"</f>
        <v>1-3-19</v>
      </c>
      <c r="F62" t="s">
        <v>83</v>
      </c>
      <c r="G62" t="s">
        <v>84</v>
      </c>
      <c r="H62" t="s">
        <v>85</v>
      </c>
      <c r="AC62">
        <v>1</v>
      </c>
      <c r="AD62">
        <v>0</v>
      </c>
      <c r="AE62">
        <v>0</v>
      </c>
      <c r="AF62">
        <v>0</v>
      </c>
      <c r="AG62">
        <v>1</v>
      </c>
      <c r="AJ62">
        <v>0</v>
      </c>
      <c r="AK62">
        <v>1</v>
      </c>
      <c r="AL62">
        <v>1</v>
      </c>
      <c r="AM62">
        <v>0</v>
      </c>
      <c r="AN62">
        <v>0</v>
      </c>
      <c r="AO62">
        <v>1</v>
      </c>
      <c r="AP62">
        <v>1</v>
      </c>
      <c r="AQ62">
        <v>1</v>
      </c>
      <c r="AR62">
        <v>1</v>
      </c>
      <c r="AS62">
        <v>1</v>
      </c>
      <c r="AT62">
        <v>0</v>
      </c>
      <c r="AV62">
        <v>1</v>
      </c>
      <c r="AW62">
        <v>1</v>
      </c>
    </row>
    <row r="63" spans="1:49" x14ac:dyDescent="0.25">
      <c r="A63" t="str">
        <f>"59"</f>
        <v>59</v>
      </c>
      <c r="B63" t="str">
        <f t="shared" si="1"/>
        <v>1</v>
      </c>
      <c r="C63" t="str">
        <f t="shared" si="3"/>
        <v>3</v>
      </c>
      <c r="D63" t="str">
        <f>"10"</f>
        <v>10</v>
      </c>
      <c r="E63" t="str">
        <f>"1-3-10"</f>
        <v>1-3-10</v>
      </c>
      <c r="F63" t="s">
        <v>83</v>
      </c>
      <c r="G63" t="s">
        <v>84</v>
      </c>
      <c r="H63" t="s">
        <v>85</v>
      </c>
      <c r="AC63">
        <v>1</v>
      </c>
      <c r="AD63">
        <v>0</v>
      </c>
      <c r="AE63">
        <v>0</v>
      </c>
      <c r="AF63">
        <v>0</v>
      </c>
      <c r="AG63">
        <v>1</v>
      </c>
      <c r="AJ63">
        <v>0</v>
      </c>
      <c r="AK63">
        <v>1</v>
      </c>
      <c r="AL63">
        <v>1</v>
      </c>
      <c r="AM63">
        <v>0</v>
      </c>
      <c r="AN63">
        <v>0</v>
      </c>
      <c r="AO63">
        <v>1</v>
      </c>
      <c r="AP63">
        <v>1</v>
      </c>
      <c r="AQ63">
        <v>1</v>
      </c>
      <c r="AR63">
        <v>1</v>
      </c>
      <c r="AS63">
        <v>0</v>
      </c>
      <c r="AT63">
        <v>1</v>
      </c>
      <c r="AV63">
        <v>1</v>
      </c>
      <c r="AW63">
        <v>1</v>
      </c>
    </row>
    <row r="64" spans="1:49" x14ac:dyDescent="0.25">
      <c r="A64" t="str">
        <f>"60"</f>
        <v>60</v>
      </c>
      <c r="B64" t="str">
        <f t="shared" si="1"/>
        <v>1</v>
      </c>
      <c r="C64" t="str">
        <f t="shared" si="3"/>
        <v>3</v>
      </c>
      <c r="D64" t="str">
        <f>"1"</f>
        <v>1</v>
      </c>
      <c r="E64" t="str">
        <f>"1-3-1"</f>
        <v>1-3-1</v>
      </c>
      <c r="F64" t="s">
        <v>83</v>
      </c>
      <c r="G64" t="s">
        <v>84</v>
      </c>
      <c r="H64" t="s">
        <v>85</v>
      </c>
      <c r="AC64">
        <v>0</v>
      </c>
      <c r="AD64">
        <v>1</v>
      </c>
      <c r="AE64">
        <v>0</v>
      </c>
      <c r="AF64">
        <v>0</v>
      </c>
      <c r="AG64">
        <v>1</v>
      </c>
      <c r="AJ64">
        <v>0</v>
      </c>
      <c r="AK64">
        <v>1</v>
      </c>
      <c r="AL64">
        <v>0</v>
      </c>
      <c r="AM64">
        <v>1</v>
      </c>
      <c r="AN64">
        <v>0</v>
      </c>
      <c r="AO64">
        <v>1</v>
      </c>
      <c r="AP64">
        <v>1</v>
      </c>
      <c r="AQ64">
        <v>1</v>
      </c>
      <c r="AR64">
        <v>1</v>
      </c>
      <c r="AS64">
        <v>0</v>
      </c>
      <c r="AT64">
        <v>1</v>
      </c>
      <c r="AV64">
        <v>1</v>
      </c>
      <c r="AW64">
        <v>1</v>
      </c>
    </row>
    <row r="65" spans="1:49" x14ac:dyDescent="0.25">
      <c r="A65" t="str">
        <f>"61"</f>
        <v>61</v>
      </c>
      <c r="B65" t="str">
        <f t="shared" si="1"/>
        <v>1</v>
      </c>
      <c r="C65" t="str">
        <f t="shared" si="3"/>
        <v>3</v>
      </c>
      <c r="D65" t="str">
        <f>"22"</f>
        <v>22</v>
      </c>
      <c r="E65" t="str">
        <f>"1-3-22"</f>
        <v>1-3-22</v>
      </c>
      <c r="F65" t="s">
        <v>83</v>
      </c>
      <c r="G65" t="s">
        <v>84</v>
      </c>
      <c r="H65" t="s">
        <v>85</v>
      </c>
      <c r="AC65">
        <v>1</v>
      </c>
      <c r="AD65">
        <v>0</v>
      </c>
      <c r="AE65">
        <v>0</v>
      </c>
      <c r="AF65">
        <v>0</v>
      </c>
      <c r="AG65">
        <v>1</v>
      </c>
      <c r="AJ65">
        <v>1</v>
      </c>
      <c r="AK65">
        <v>0</v>
      </c>
      <c r="AL65">
        <v>0</v>
      </c>
      <c r="AM65">
        <v>0</v>
      </c>
      <c r="AN65">
        <v>1</v>
      </c>
      <c r="AO65">
        <v>1</v>
      </c>
      <c r="AP65">
        <v>1</v>
      </c>
      <c r="AQ65">
        <v>1</v>
      </c>
      <c r="AR65">
        <v>1</v>
      </c>
      <c r="AS65">
        <v>0</v>
      </c>
      <c r="AT65">
        <v>1</v>
      </c>
      <c r="AV65">
        <v>1</v>
      </c>
      <c r="AW65">
        <v>1</v>
      </c>
    </row>
    <row r="66" spans="1:49" x14ac:dyDescent="0.25">
      <c r="A66" t="str">
        <f>"62"</f>
        <v>62</v>
      </c>
      <c r="B66" t="str">
        <f t="shared" si="1"/>
        <v>1</v>
      </c>
      <c r="C66" t="str">
        <f t="shared" si="3"/>
        <v>3</v>
      </c>
      <c r="D66" t="str">
        <f>"11"</f>
        <v>11</v>
      </c>
      <c r="E66" t="str">
        <f>"1-3-11"</f>
        <v>1-3-11</v>
      </c>
      <c r="F66" t="s">
        <v>83</v>
      </c>
      <c r="G66" t="s">
        <v>84</v>
      </c>
      <c r="H66" t="s">
        <v>85</v>
      </c>
      <c r="AC66">
        <v>1</v>
      </c>
      <c r="AD66">
        <v>0</v>
      </c>
      <c r="AE66">
        <v>0</v>
      </c>
      <c r="AF66">
        <v>0</v>
      </c>
      <c r="AG66">
        <v>1</v>
      </c>
      <c r="AJ66">
        <v>0</v>
      </c>
      <c r="AK66">
        <v>1</v>
      </c>
      <c r="AL66">
        <v>1</v>
      </c>
      <c r="AM66">
        <v>0</v>
      </c>
      <c r="AN66">
        <v>0</v>
      </c>
      <c r="AO66">
        <v>1</v>
      </c>
      <c r="AP66">
        <v>1</v>
      </c>
      <c r="AQ66">
        <v>1</v>
      </c>
      <c r="AR66">
        <v>1</v>
      </c>
      <c r="AS66">
        <v>0</v>
      </c>
      <c r="AT66">
        <v>1</v>
      </c>
      <c r="AV66">
        <v>1</v>
      </c>
      <c r="AW66">
        <v>1</v>
      </c>
    </row>
    <row r="67" spans="1:49" x14ac:dyDescent="0.25">
      <c r="A67" t="str">
        <f>"63"</f>
        <v>63</v>
      </c>
      <c r="B67" t="str">
        <f t="shared" si="1"/>
        <v>1</v>
      </c>
      <c r="C67" t="str">
        <f t="shared" si="3"/>
        <v>3</v>
      </c>
      <c r="D67" t="str">
        <f>"2"</f>
        <v>2</v>
      </c>
      <c r="E67" t="str">
        <f>"1-3-2"</f>
        <v>1-3-2</v>
      </c>
      <c r="F67" t="s">
        <v>83</v>
      </c>
      <c r="G67" t="s">
        <v>84</v>
      </c>
      <c r="H67" t="s">
        <v>85</v>
      </c>
      <c r="AC67">
        <v>1</v>
      </c>
      <c r="AD67">
        <v>0</v>
      </c>
      <c r="AE67">
        <v>0</v>
      </c>
      <c r="AF67">
        <v>0</v>
      </c>
      <c r="AG67">
        <v>0</v>
      </c>
      <c r="AJ67">
        <v>1</v>
      </c>
      <c r="AK67">
        <v>0</v>
      </c>
      <c r="AL67">
        <v>0</v>
      </c>
      <c r="AM67">
        <v>0</v>
      </c>
      <c r="AN67">
        <v>1</v>
      </c>
      <c r="AO67">
        <v>0</v>
      </c>
      <c r="AP67">
        <v>0</v>
      </c>
      <c r="AQ67">
        <v>0</v>
      </c>
      <c r="AR67">
        <v>0</v>
      </c>
      <c r="AS67">
        <v>0</v>
      </c>
      <c r="AT67">
        <v>1</v>
      </c>
      <c r="AV67">
        <v>0</v>
      </c>
      <c r="AW67">
        <v>0</v>
      </c>
    </row>
    <row r="68" spans="1:49" x14ac:dyDescent="0.25">
      <c r="A68" t="str">
        <f>"64"</f>
        <v>64</v>
      </c>
      <c r="B68" t="str">
        <f t="shared" si="1"/>
        <v>1</v>
      </c>
      <c r="C68" t="str">
        <f t="shared" si="3"/>
        <v>3</v>
      </c>
      <c r="D68" t="str">
        <f>"21"</f>
        <v>21</v>
      </c>
      <c r="E68" t="str">
        <f>"1-3-21"</f>
        <v>1-3-21</v>
      </c>
      <c r="F68" t="s">
        <v>83</v>
      </c>
      <c r="G68" t="s">
        <v>84</v>
      </c>
      <c r="H68" t="s">
        <v>85</v>
      </c>
      <c r="AC68">
        <v>0</v>
      </c>
      <c r="AD68">
        <v>1</v>
      </c>
      <c r="AE68">
        <v>0</v>
      </c>
      <c r="AF68">
        <v>0</v>
      </c>
      <c r="AG68">
        <v>1</v>
      </c>
      <c r="AJ68">
        <v>0</v>
      </c>
      <c r="AK68">
        <v>1</v>
      </c>
      <c r="AL68">
        <v>0</v>
      </c>
      <c r="AM68">
        <v>0</v>
      </c>
      <c r="AN68">
        <v>1</v>
      </c>
      <c r="AO68">
        <v>1</v>
      </c>
      <c r="AP68">
        <v>1</v>
      </c>
      <c r="AQ68">
        <v>1</v>
      </c>
      <c r="AR68">
        <v>1</v>
      </c>
      <c r="AS68">
        <v>0</v>
      </c>
      <c r="AT68">
        <v>1</v>
      </c>
      <c r="AV68">
        <v>1</v>
      </c>
      <c r="AW68">
        <v>1</v>
      </c>
    </row>
    <row r="69" spans="1:49" x14ac:dyDescent="0.25">
      <c r="A69" t="str">
        <f>"65"</f>
        <v>65</v>
      </c>
      <c r="B69" t="str">
        <f t="shared" si="1"/>
        <v>1</v>
      </c>
      <c r="C69" t="str">
        <f t="shared" si="3"/>
        <v>3</v>
      </c>
      <c r="D69" t="str">
        <f>"12"</f>
        <v>12</v>
      </c>
      <c r="E69" t="str">
        <f>"1-3-12"</f>
        <v>1-3-12</v>
      </c>
      <c r="F69" t="s">
        <v>83</v>
      </c>
      <c r="G69" t="s">
        <v>84</v>
      </c>
      <c r="H69" t="s">
        <v>85</v>
      </c>
      <c r="AC69">
        <v>0</v>
      </c>
      <c r="AD69">
        <v>1</v>
      </c>
      <c r="AE69">
        <v>0</v>
      </c>
      <c r="AF69">
        <v>0</v>
      </c>
      <c r="AG69">
        <v>1</v>
      </c>
      <c r="AJ69">
        <v>0</v>
      </c>
      <c r="AK69">
        <v>1</v>
      </c>
      <c r="AL69">
        <v>0</v>
      </c>
      <c r="AM69">
        <v>0</v>
      </c>
      <c r="AN69">
        <v>1</v>
      </c>
      <c r="AO69">
        <v>1</v>
      </c>
      <c r="AP69">
        <v>1</v>
      </c>
      <c r="AQ69">
        <v>1</v>
      </c>
      <c r="AR69">
        <v>1</v>
      </c>
      <c r="AS69">
        <v>0</v>
      </c>
      <c r="AT69">
        <v>1</v>
      </c>
      <c r="AV69">
        <v>1</v>
      </c>
      <c r="AW69">
        <v>1</v>
      </c>
    </row>
    <row r="70" spans="1:49" x14ac:dyDescent="0.25">
      <c r="A70" t="str">
        <f>"66"</f>
        <v>66</v>
      </c>
      <c r="B70" t="str">
        <f t="shared" si="1"/>
        <v>1</v>
      </c>
      <c r="C70" t="str">
        <f t="shared" si="3"/>
        <v>3</v>
      </c>
      <c r="D70" t="str">
        <f>"7"</f>
        <v>7</v>
      </c>
      <c r="E70" t="str">
        <f>"1-3-7"</f>
        <v>1-3-7</v>
      </c>
      <c r="F70" t="s">
        <v>83</v>
      </c>
      <c r="G70" t="s">
        <v>84</v>
      </c>
      <c r="H70" t="s">
        <v>85</v>
      </c>
      <c r="AC70">
        <v>1</v>
      </c>
      <c r="AD70">
        <v>0</v>
      </c>
      <c r="AE70">
        <v>0</v>
      </c>
      <c r="AF70">
        <v>0</v>
      </c>
      <c r="AG70">
        <v>0</v>
      </c>
      <c r="AJ70">
        <v>1</v>
      </c>
      <c r="AK70">
        <v>0</v>
      </c>
      <c r="AL70">
        <v>1</v>
      </c>
      <c r="AM70">
        <v>0</v>
      </c>
      <c r="AN70">
        <v>0</v>
      </c>
      <c r="AO70">
        <v>1</v>
      </c>
      <c r="AP70">
        <v>1</v>
      </c>
      <c r="AQ70">
        <v>1</v>
      </c>
      <c r="AR70">
        <v>1</v>
      </c>
      <c r="AS70">
        <v>1</v>
      </c>
      <c r="AT70">
        <v>0</v>
      </c>
      <c r="AV70">
        <v>1</v>
      </c>
      <c r="AW70">
        <v>1</v>
      </c>
    </row>
    <row r="71" spans="1:49" x14ac:dyDescent="0.25">
      <c r="A71" t="str">
        <f>"67"</f>
        <v>67</v>
      </c>
      <c r="B71" t="str">
        <f t="shared" si="1"/>
        <v>1</v>
      </c>
      <c r="C71" t="str">
        <f t="shared" si="3"/>
        <v>3</v>
      </c>
      <c r="D71" t="str">
        <f>"25"</f>
        <v>25</v>
      </c>
      <c r="E71" t="str">
        <f>"1-3-25"</f>
        <v>1-3-25</v>
      </c>
      <c r="F71" t="s">
        <v>83</v>
      </c>
      <c r="G71" t="s">
        <v>84</v>
      </c>
      <c r="H71" t="s">
        <v>85</v>
      </c>
      <c r="AC71">
        <v>1</v>
      </c>
      <c r="AD71">
        <v>0</v>
      </c>
      <c r="AE71">
        <v>0</v>
      </c>
      <c r="AF71">
        <v>0</v>
      </c>
      <c r="AG71">
        <v>1</v>
      </c>
      <c r="AJ71">
        <v>0</v>
      </c>
      <c r="AK71">
        <v>1</v>
      </c>
      <c r="AL71">
        <v>1</v>
      </c>
      <c r="AM71">
        <v>0</v>
      </c>
      <c r="AN71">
        <v>0</v>
      </c>
      <c r="AO71">
        <v>1</v>
      </c>
      <c r="AP71">
        <v>1</v>
      </c>
      <c r="AQ71">
        <v>1</v>
      </c>
      <c r="AR71">
        <v>1</v>
      </c>
      <c r="AS71">
        <v>0</v>
      </c>
      <c r="AT71">
        <v>1</v>
      </c>
      <c r="AV71">
        <v>1</v>
      </c>
      <c r="AW71">
        <v>1</v>
      </c>
    </row>
    <row r="72" spans="1:49" x14ac:dyDescent="0.25">
      <c r="A72" t="str">
        <f>"68"</f>
        <v>68</v>
      </c>
      <c r="B72" t="str">
        <f t="shared" si="1"/>
        <v>1</v>
      </c>
      <c r="C72" t="str">
        <f t="shared" si="3"/>
        <v>3</v>
      </c>
      <c r="D72" t="str">
        <f>"20"</f>
        <v>20</v>
      </c>
      <c r="E72" t="str">
        <f>"1-3-20"</f>
        <v>1-3-20</v>
      </c>
      <c r="F72" t="s">
        <v>83</v>
      </c>
      <c r="G72" t="s">
        <v>84</v>
      </c>
      <c r="H72" t="s">
        <v>85</v>
      </c>
      <c r="AC72">
        <v>0</v>
      </c>
      <c r="AD72">
        <v>1</v>
      </c>
      <c r="AE72">
        <v>0</v>
      </c>
      <c r="AF72">
        <v>0</v>
      </c>
      <c r="AG72">
        <v>1</v>
      </c>
      <c r="AJ72">
        <v>0</v>
      </c>
      <c r="AK72">
        <v>1</v>
      </c>
      <c r="AL72">
        <v>0</v>
      </c>
      <c r="AM72">
        <v>0</v>
      </c>
      <c r="AN72">
        <v>1</v>
      </c>
      <c r="AO72">
        <v>1</v>
      </c>
      <c r="AP72">
        <v>1</v>
      </c>
      <c r="AQ72">
        <v>1</v>
      </c>
      <c r="AR72">
        <v>1</v>
      </c>
      <c r="AS72">
        <v>1</v>
      </c>
      <c r="AT72">
        <v>0</v>
      </c>
      <c r="AV72">
        <v>1</v>
      </c>
      <c r="AW72">
        <v>1</v>
      </c>
    </row>
    <row r="73" spans="1:49" x14ac:dyDescent="0.25">
      <c r="A73" t="str">
        <f>"69"</f>
        <v>69</v>
      </c>
      <c r="B73" t="str">
        <f t="shared" si="1"/>
        <v>1</v>
      </c>
      <c r="C73" t="str">
        <f t="shared" si="3"/>
        <v>3</v>
      </c>
      <c r="D73" t="str">
        <f>"13"</f>
        <v>13</v>
      </c>
      <c r="E73" t="str">
        <f>"1-3-13"</f>
        <v>1-3-13</v>
      </c>
      <c r="F73" t="s">
        <v>83</v>
      </c>
      <c r="G73" t="s">
        <v>84</v>
      </c>
      <c r="H73" t="s">
        <v>85</v>
      </c>
      <c r="AC73">
        <v>1</v>
      </c>
      <c r="AD73">
        <v>0</v>
      </c>
      <c r="AE73">
        <v>0</v>
      </c>
      <c r="AF73">
        <v>0</v>
      </c>
      <c r="AG73">
        <v>1</v>
      </c>
      <c r="AJ73">
        <v>0</v>
      </c>
      <c r="AK73">
        <v>1</v>
      </c>
      <c r="AL73">
        <v>1</v>
      </c>
      <c r="AM73">
        <v>0</v>
      </c>
      <c r="AN73">
        <v>0</v>
      </c>
      <c r="AO73">
        <v>1</v>
      </c>
      <c r="AP73">
        <v>1</v>
      </c>
      <c r="AQ73">
        <v>1</v>
      </c>
      <c r="AR73">
        <v>1</v>
      </c>
      <c r="AS73">
        <v>1</v>
      </c>
      <c r="AT73">
        <v>0</v>
      </c>
      <c r="AV73">
        <v>1</v>
      </c>
      <c r="AW73">
        <v>1</v>
      </c>
    </row>
    <row r="74" spans="1:49" x14ac:dyDescent="0.25">
      <c r="A74" t="str">
        <f>"70"</f>
        <v>70</v>
      </c>
      <c r="B74" t="str">
        <f t="shared" si="1"/>
        <v>1</v>
      </c>
      <c r="C74" t="str">
        <f t="shared" si="3"/>
        <v>3</v>
      </c>
      <c r="D74" t="str">
        <f>"5"</f>
        <v>5</v>
      </c>
      <c r="E74" t="str">
        <f>"1-3-5"</f>
        <v>1-3-5</v>
      </c>
      <c r="F74" t="s">
        <v>83</v>
      </c>
      <c r="G74" t="s">
        <v>84</v>
      </c>
      <c r="H74" t="s">
        <v>85</v>
      </c>
      <c r="AC74">
        <v>0</v>
      </c>
      <c r="AD74">
        <v>1</v>
      </c>
      <c r="AE74">
        <v>0</v>
      </c>
      <c r="AF74">
        <v>0</v>
      </c>
      <c r="AG74">
        <v>1</v>
      </c>
      <c r="AJ74">
        <v>0</v>
      </c>
      <c r="AK74">
        <v>1</v>
      </c>
      <c r="AL74">
        <v>0</v>
      </c>
      <c r="AM74">
        <v>0</v>
      </c>
      <c r="AN74">
        <v>1</v>
      </c>
      <c r="AO74">
        <v>1</v>
      </c>
      <c r="AP74">
        <v>1</v>
      </c>
      <c r="AQ74">
        <v>1</v>
      </c>
      <c r="AR74">
        <v>1</v>
      </c>
      <c r="AS74">
        <v>1</v>
      </c>
      <c r="AT74">
        <v>0</v>
      </c>
      <c r="AV74">
        <v>1</v>
      </c>
      <c r="AW74">
        <v>1</v>
      </c>
    </row>
    <row r="75" spans="1:49" x14ac:dyDescent="0.25">
      <c r="A75" t="str">
        <f>"71"</f>
        <v>71</v>
      </c>
      <c r="B75" t="str">
        <f t="shared" si="1"/>
        <v>1</v>
      </c>
      <c r="C75" t="str">
        <f t="shared" si="3"/>
        <v>3</v>
      </c>
      <c r="D75" t="str">
        <f>"24"</f>
        <v>24</v>
      </c>
      <c r="E75" t="str">
        <f>"1-3-24"</f>
        <v>1-3-24</v>
      </c>
      <c r="F75" t="s">
        <v>83</v>
      </c>
      <c r="G75" t="s">
        <v>84</v>
      </c>
      <c r="H75" t="s">
        <v>85</v>
      </c>
      <c r="AC75">
        <v>0</v>
      </c>
      <c r="AD75">
        <v>1</v>
      </c>
      <c r="AE75">
        <v>0</v>
      </c>
      <c r="AF75">
        <v>0</v>
      </c>
      <c r="AG75">
        <v>1</v>
      </c>
      <c r="AJ75">
        <v>0</v>
      </c>
      <c r="AK75">
        <v>1</v>
      </c>
      <c r="AL75">
        <v>0</v>
      </c>
      <c r="AM75">
        <v>0</v>
      </c>
      <c r="AN75">
        <v>1</v>
      </c>
      <c r="AO75">
        <v>1</v>
      </c>
      <c r="AP75">
        <v>1</v>
      </c>
      <c r="AQ75">
        <v>1</v>
      </c>
      <c r="AR75">
        <v>1</v>
      </c>
      <c r="AS75">
        <v>1</v>
      </c>
      <c r="AT75">
        <v>0</v>
      </c>
      <c r="AV75">
        <v>1</v>
      </c>
      <c r="AW75">
        <v>1</v>
      </c>
    </row>
    <row r="76" spans="1:49" x14ac:dyDescent="0.25">
      <c r="A76" t="str">
        <f>"72"</f>
        <v>72</v>
      </c>
      <c r="B76" t="str">
        <f t="shared" si="1"/>
        <v>1</v>
      </c>
      <c r="C76" t="str">
        <f t="shared" si="3"/>
        <v>3</v>
      </c>
      <c r="D76" t="str">
        <f>"23"</f>
        <v>23</v>
      </c>
      <c r="E76" t="str">
        <f>"1-3-23"</f>
        <v>1-3-23</v>
      </c>
      <c r="F76" t="s">
        <v>83</v>
      </c>
      <c r="G76" t="s">
        <v>84</v>
      </c>
      <c r="H76" t="s">
        <v>85</v>
      </c>
      <c r="AC76">
        <v>1</v>
      </c>
      <c r="AD76">
        <v>0</v>
      </c>
      <c r="AE76">
        <v>0</v>
      </c>
      <c r="AF76">
        <v>0</v>
      </c>
      <c r="AG76">
        <v>1</v>
      </c>
      <c r="AJ76">
        <v>1</v>
      </c>
      <c r="AK76">
        <v>0</v>
      </c>
      <c r="AL76">
        <v>1</v>
      </c>
      <c r="AM76">
        <v>0</v>
      </c>
      <c r="AN76">
        <v>0</v>
      </c>
      <c r="AO76">
        <v>1</v>
      </c>
      <c r="AP76">
        <v>1</v>
      </c>
      <c r="AQ76">
        <v>1</v>
      </c>
      <c r="AR76">
        <v>1</v>
      </c>
      <c r="AS76">
        <v>1</v>
      </c>
      <c r="AT76">
        <v>0</v>
      </c>
      <c r="AV76">
        <v>1</v>
      </c>
      <c r="AW76">
        <v>1</v>
      </c>
    </row>
    <row r="77" spans="1:49" x14ac:dyDescent="0.25">
      <c r="A77" t="str">
        <f>"73"</f>
        <v>73</v>
      </c>
      <c r="B77" t="str">
        <f t="shared" si="1"/>
        <v>1</v>
      </c>
      <c r="C77" t="str">
        <f t="shared" si="3"/>
        <v>3</v>
      </c>
      <c r="D77" t="str">
        <f>"16"</f>
        <v>16</v>
      </c>
      <c r="E77" t="str">
        <f>"1-3-16"</f>
        <v>1-3-16</v>
      </c>
      <c r="F77" t="s">
        <v>83</v>
      </c>
      <c r="G77" t="s">
        <v>84</v>
      </c>
      <c r="H77" t="s">
        <v>85</v>
      </c>
      <c r="AC77">
        <v>0</v>
      </c>
      <c r="AD77">
        <v>1</v>
      </c>
      <c r="AE77">
        <v>0</v>
      </c>
      <c r="AF77">
        <v>0</v>
      </c>
      <c r="AG77">
        <v>1</v>
      </c>
      <c r="AJ77">
        <v>0</v>
      </c>
      <c r="AK77">
        <v>1</v>
      </c>
      <c r="AL77">
        <v>0</v>
      </c>
      <c r="AM77">
        <v>1</v>
      </c>
      <c r="AN77">
        <v>0</v>
      </c>
      <c r="AO77">
        <v>0</v>
      </c>
      <c r="AP77">
        <v>0</v>
      </c>
      <c r="AQ77">
        <v>0</v>
      </c>
      <c r="AR77">
        <v>0</v>
      </c>
      <c r="AS77">
        <v>0</v>
      </c>
      <c r="AT77">
        <v>1</v>
      </c>
      <c r="AV77">
        <v>0</v>
      </c>
      <c r="AW77">
        <v>1</v>
      </c>
    </row>
    <row r="78" spans="1:49" x14ac:dyDescent="0.25">
      <c r="A78" t="str">
        <f>"74"</f>
        <v>74</v>
      </c>
      <c r="B78" t="str">
        <f t="shared" si="1"/>
        <v>1</v>
      </c>
      <c r="C78" t="str">
        <f t="shared" si="3"/>
        <v>3</v>
      </c>
      <c r="D78" t="str">
        <f>"15"</f>
        <v>15</v>
      </c>
      <c r="E78" t="str">
        <f>"1-3-15"</f>
        <v>1-3-15</v>
      </c>
      <c r="F78" t="s">
        <v>83</v>
      </c>
      <c r="G78" t="s">
        <v>84</v>
      </c>
      <c r="H78" t="s">
        <v>85</v>
      </c>
      <c r="AC78">
        <v>1</v>
      </c>
      <c r="AD78">
        <v>0</v>
      </c>
      <c r="AE78">
        <v>0</v>
      </c>
      <c r="AF78">
        <v>0</v>
      </c>
      <c r="AG78">
        <v>1</v>
      </c>
      <c r="AJ78">
        <v>0</v>
      </c>
      <c r="AK78">
        <v>1</v>
      </c>
      <c r="AL78">
        <v>1</v>
      </c>
      <c r="AM78">
        <v>0</v>
      </c>
      <c r="AN78">
        <v>0</v>
      </c>
      <c r="AO78">
        <v>1</v>
      </c>
      <c r="AP78">
        <v>1</v>
      </c>
      <c r="AQ78">
        <v>1</v>
      </c>
      <c r="AR78">
        <v>1</v>
      </c>
      <c r="AS78">
        <v>0</v>
      </c>
      <c r="AT78">
        <v>1</v>
      </c>
      <c r="AV78">
        <v>1</v>
      </c>
      <c r="AW78">
        <v>1</v>
      </c>
    </row>
    <row r="79" spans="1:49" x14ac:dyDescent="0.25">
      <c r="A79" t="str">
        <f>"75"</f>
        <v>75</v>
      </c>
      <c r="B79" t="str">
        <f t="shared" si="1"/>
        <v>1</v>
      </c>
      <c r="C79" t="str">
        <f t="shared" si="3"/>
        <v>3</v>
      </c>
      <c r="D79" t="str">
        <f>"4"</f>
        <v>4</v>
      </c>
      <c r="E79" t="str">
        <f>"1-3-4"</f>
        <v>1-3-4</v>
      </c>
      <c r="F79" t="s">
        <v>83</v>
      </c>
      <c r="G79" t="s">
        <v>84</v>
      </c>
      <c r="H79" t="s">
        <v>85</v>
      </c>
      <c r="AC79">
        <v>0</v>
      </c>
      <c r="AD79">
        <v>1</v>
      </c>
      <c r="AE79">
        <v>0</v>
      </c>
      <c r="AF79">
        <v>0</v>
      </c>
      <c r="AG79">
        <v>1</v>
      </c>
      <c r="AJ79">
        <v>0</v>
      </c>
      <c r="AK79">
        <v>1</v>
      </c>
      <c r="AL79">
        <v>0</v>
      </c>
      <c r="AM79">
        <v>0</v>
      </c>
      <c r="AN79">
        <v>1</v>
      </c>
      <c r="AO79">
        <v>1</v>
      </c>
      <c r="AP79">
        <v>1</v>
      </c>
      <c r="AQ79">
        <v>1</v>
      </c>
      <c r="AR79">
        <v>1</v>
      </c>
      <c r="AS79">
        <v>0</v>
      </c>
      <c r="AT79">
        <v>1</v>
      </c>
      <c r="AV79">
        <v>1</v>
      </c>
      <c r="AW79">
        <v>1</v>
      </c>
    </row>
    <row r="80" spans="1:49" x14ac:dyDescent="0.25">
      <c r="A80" t="str">
        <f>"76"</f>
        <v>76</v>
      </c>
      <c r="B80" t="str">
        <f t="shared" si="1"/>
        <v>1</v>
      </c>
      <c r="C80" t="str">
        <f t="shared" ref="C80:C104" si="4">"4"</f>
        <v>4</v>
      </c>
      <c r="D80" t="str">
        <f>"24"</f>
        <v>24</v>
      </c>
      <c r="E80" t="str">
        <f>"1-4-24"</f>
        <v>1-4-24</v>
      </c>
      <c r="F80" t="s">
        <v>83</v>
      </c>
      <c r="G80" t="s">
        <v>84</v>
      </c>
      <c r="H80" t="s">
        <v>85</v>
      </c>
      <c r="AC80">
        <v>0</v>
      </c>
      <c r="AD80">
        <v>1</v>
      </c>
      <c r="AE80">
        <v>0</v>
      </c>
      <c r="AF80">
        <v>0</v>
      </c>
      <c r="AG80">
        <v>1</v>
      </c>
      <c r="AJ80">
        <v>0</v>
      </c>
      <c r="AK80">
        <v>0</v>
      </c>
      <c r="AL80">
        <v>0</v>
      </c>
      <c r="AM80">
        <v>0</v>
      </c>
      <c r="AN80">
        <v>0</v>
      </c>
      <c r="AO80">
        <v>1</v>
      </c>
      <c r="AP80">
        <v>1</v>
      </c>
      <c r="AQ80">
        <v>1</v>
      </c>
      <c r="AR80">
        <v>1</v>
      </c>
      <c r="AS80">
        <v>0</v>
      </c>
      <c r="AT80">
        <v>0</v>
      </c>
      <c r="AV80">
        <v>1</v>
      </c>
      <c r="AW80">
        <v>1</v>
      </c>
    </row>
    <row r="81" spans="1:49" x14ac:dyDescent="0.25">
      <c r="A81" t="str">
        <f>"77"</f>
        <v>77</v>
      </c>
      <c r="B81" t="str">
        <f t="shared" si="1"/>
        <v>1</v>
      </c>
      <c r="C81" t="str">
        <f t="shared" si="4"/>
        <v>4</v>
      </c>
      <c r="D81" t="str">
        <f>"17"</f>
        <v>17</v>
      </c>
      <c r="E81" t="str">
        <f>"1-4-17"</f>
        <v>1-4-17</v>
      </c>
      <c r="F81" t="s">
        <v>83</v>
      </c>
      <c r="G81" t="s">
        <v>84</v>
      </c>
      <c r="H81" t="s">
        <v>85</v>
      </c>
      <c r="AC81">
        <v>0</v>
      </c>
      <c r="AD81">
        <v>1</v>
      </c>
      <c r="AE81">
        <v>0</v>
      </c>
      <c r="AF81">
        <v>0</v>
      </c>
      <c r="AG81">
        <v>1</v>
      </c>
      <c r="AJ81">
        <v>0</v>
      </c>
      <c r="AK81">
        <v>1</v>
      </c>
      <c r="AL81">
        <v>0</v>
      </c>
      <c r="AM81">
        <v>0</v>
      </c>
      <c r="AN81">
        <v>1</v>
      </c>
      <c r="AO81">
        <v>1</v>
      </c>
      <c r="AP81">
        <v>1</v>
      </c>
      <c r="AQ81">
        <v>1</v>
      </c>
      <c r="AR81">
        <v>1</v>
      </c>
      <c r="AS81">
        <v>1</v>
      </c>
      <c r="AT81">
        <v>0</v>
      </c>
      <c r="AV81">
        <v>1</v>
      </c>
      <c r="AW81">
        <v>1</v>
      </c>
    </row>
    <row r="82" spans="1:49" x14ac:dyDescent="0.25">
      <c r="A82" t="str">
        <f>"78"</f>
        <v>78</v>
      </c>
      <c r="B82" t="str">
        <f t="shared" si="1"/>
        <v>1</v>
      </c>
      <c r="C82" t="str">
        <f t="shared" si="4"/>
        <v>4</v>
      </c>
      <c r="D82" t="str">
        <f>"16"</f>
        <v>16</v>
      </c>
      <c r="E82" t="str">
        <f>"1-4-16"</f>
        <v>1-4-16</v>
      </c>
      <c r="F82" t="s">
        <v>83</v>
      </c>
      <c r="G82" t="s">
        <v>84</v>
      </c>
      <c r="H82" t="s">
        <v>85</v>
      </c>
      <c r="AC82">
        <v>0</v>
      </c>
      <c r="AD82">
        <v>1</v>
      </c>
      <c r="AE82">
        <v>0</v>
      </c>
      <c r="AF82">
        <v>0</v>
      </c>
      <c r="AG82">
        <v>0</v>
      </c>
      <c r="AJ82">
        <v>0</v>
      </c>
      <c r="AK82">
        <v>1</v>
      </c>
      <c r="AL82">
        <v>0</v>
      </c>
      <c r="AM82">
        <v>0</v>
      </c>
      <c r="AN82">
        <v>1</v>
      </c>
      <c r="AO82">
        <v>1</v>
      </c>
      <c r="AP82">
        <v>1</v>
      </c>
      <c r="AQ82">
        <v>1</v>
      </c>
      <c r="AR82">
        <v>1</v>
      </c>
      <c r="AS82">
        <v>0</v>
      </c>
      <c r="AT82">
        <v>1</v>
      </c>
      <c r="AV82">
        <v>1</v>
      </c>
      <c r="AW82">
        <v>1</v>
      </c>
    </row>
    <row r="83" spans="1:49" x14ac:dyDescent="0.25">
      <c r="A83" t="str">
        <f>"79"</f>
        <v>79</v>
      </c>
      <c r="B83" t="str">
        <f t="shared" si="1"/>
        <v>1</v>
      </c>
      <c r="C83" t="str">
        <f t="shared" si="4"/>
        <v>4</v>
      </c>
      <c r="D83" t="str">
        <f>"15"</f>
        <v>15</v>
      </c>
      <c r="E83" t="str">
        <f>"1-4-15"</f>
        <v>1-4-15</v>
      </c>
      <c r="F83" t="s">
        <v>83</v>
      </c>
      <c r="G83" t="s">
        <v>84</v>
      </c>
      <c r="H83" t="s">
        <v>85</v>
      </c>
      <c r="AC83">
        <v>0</v>
      </c>
      <c r="AD83">
        <v>1</v>
      </c>
      <c r="AE83">
        <v>0</v>
      </c>
      <c r="AF83">
        <v>0</v>
      </c>
      <c r="AG83">
        <v>1</v>
      </c>
      <c r="AJ83">
        <v>0</v>
      </c>
      <c r="AK83">
        <v>1</v>
      </c>
      <c r="AL83">
        <v>1</v>
      </c>
      <c r="AM83">
        <v>0</v>
      </c>
      <c r="AN83">
        <v>0</v>
      </c>
      <c r="AO83">
        <v>1</v>
      </c>
      <c r="AP83">
        <v>1</v>
      </c>
      <c r="AQ83">
        <v>1</v>
      </c>
      <c r="AR83">
        <v>1</v>
      </c>
      <c r="AS83">
        <v>1</v>
      </c>
      <c r="AT83">
        <v>0</v>
      </c>
      <c r="AV83">
        <v>1</v>
      </c>
      <c r="AW83">
        <v>1</v>
      </c>
    </row>
    <row r="84" spans="1:49" x14ac:dyDescent="0.25">
      <c r="A84" t="str">
        <f>"80"</f>
        <v>80</v>
      </c>
      <c r="B84" t="str">
        <f t="shared" si="1"/>
        <v>1</v>
      </c>
      <c r="C84" t="str">
        <f t="shared" si="4"/>
        <v>4</v>
      </c>
      <c r="D84" t="str">
        <f>"8"</f>
        <v>8</v>
      </c>
      <c r="E84" t="str">
        <f>"1-4-8"</f>
        <v>1-4-8</v>
      </c>
      <c r="F84" t="s">
        <v>83</v>
      </c>
      <c r="G84" t="s">
        <v>84</v>
      </c>
      <c r="H84" t="s">
        <v>85</v>
      </c>
      <c r="AC84">
        <v>0</v>
      </c>
      <c r="AD84">
        <v>1</v>
      </c>
      <c r="AE84">
        <v>0</v>
      </c>
      <c r="AF84">
        <v>0</v>
      </c>
      <c r="AG84">
        <v>1</v>
      </c>
      <c r="AJ84">
        <v>0</v>
      </c>
      <c r="AK84">
        <v>1</v>
      </c>
      <c r="AL84">
        <v>0</v>
      </c>
      <c r="AM84">
        <v>1</v>
      </c>
      <c r="AN84">
        <v>0</v>
      </c>
      <c r="AO84">
        <v>1</v>
      </c>
      <c r="AP84">
        <v>1</v>
      </c>
      <c r="AQ84">
        <v>1</v>
      </c>
      <c r="AR84">
        <v>1</v>
      </c>
      <c r="AS84">
        <v>1</v>
      </c>
      <c r="AT84">
        <v>0</v>
      </c>
      <c r="AV84">
        <v>1</v>
      </c>
      <c r="AW84">
        <v>1</v>
      </c>
    </row>
    <row r="85" spans="1:49" x14ac:dyDescent="0.25">
      <c r="A85" t="str">
        <f>"81"</f>
        <v>81</v>
      </c>
      <c r="B85" t="str">
        <f t="shared" si="1"/>
        <v>1</v>
      </c>
      <c r="C85" t="str">
        <f t="shared" si="4"/>
        <v>4</v>
      </c>
      <c r="D85" t="str">
        <f>"3"</f>
        <v>3</v>
      </c>
      <c r="E85" t="str">
        <f>"1-4-3"</f>
        <v>1-4-3</v>
      </c>
      <c r="F85" t="s">
        <v>83</v>
      </c>
      <c r="G85" t="s">
        <v>84</v>
      </c>
      <c r="H85" t="s">
        <v>85</v>
      </c>
      <c r="AC85">
        <v>0</v>
      </c>
      <c r="AD85">
        <v>1</v>
      </c>
      <c r="AE85">
        <v>0</v>
      </c>
      <c r="AF85">
        <v>0</v>
      </c>
      <c r="AG85">
        <v>1</v>
      </c>
      <c r="AJ85">
        <v>0</v>
      </c>
      <c r="AK85">
        <v>0</v>
      </c>
      <c r="AL85">
        <v>0</v>
      </c>
      <c r="AM85">
        <v>0</v>
      </c>
      <c r="AN85">
        <v>1</v>
      </c>
      <c r="AO85">
        <v>0</v>
      </c>
      <c r="AP85">
        <v>0</v>
      </c>
      <c r="AQ85">
        <v>1</v>
      </c>
      <c r="AR85">
        <v>0</v>
      </c>
      <c r="AS85">
        <v>1</v>
      </c>
      <c r="AT85">
        <v>0</v>
      </c>
      <c r="AV85">
        <v>1</v>
      </c>
      <c r="AW85">
        <v>0</v>
      </c>
    </row>
    <row r="86" spans="1:49" x14ac:dyDescent="0.25">
      <c r="A86" t="str">
        <f>"82"</f>
        <v>82</v>
      </c>
      <c r="B86" t="str">
        <f t="shared" si="1"/>
        <v>1</v>
      </c>
      <c r="C86" t="str">
        <f t="shared" si="4"/>
        <v>4</v>
      </c>
      <c r="D86" t="str">
        <f>"19"</f>
        <v>19</v>
      </c>
      <c r="E86" t="str">
        <f>"1-4-19"</f>
        <v>1-4-19</v>
      </c>
      <c r="F86" t="s">
        <v>83</v>
      </c>
      <c r="G86" t="s">
        <v>86</v>
      </c>
      <c r="H86" t="s">
        <v>87</v>
      </c>
      <c r="AC86">
        <v>0</v>
      </c>
      <c r="AD86">
        <v>0</v>
      </c>
      <c r="AE86">
        <v>0</v>
      </c>
      <c r="AF86">
        <v>0</v>
      </c>
      <c r="AH86">
        <v>0</v>
      </c>
      <c r="AI86">
        <v>1</v>
      </c>
      <c r="AJ86">
        <v>0</v>
      </c>
      <c r="AK86">
        <v>1</v>
      </c>
      <c r="AL86">
        <v>0</v>
      </c>
      <c r="AM86">
        <v>0</v>
      </c>
      <c r="AN86">
        <v>1</v>
      </c>
      <c r="AO86">
        <v>0</v>
      </c>
      <c r="AP86">
        <v>0</v>
      </c>
      <c r="AQ86">
        <v>0</v>
      </c>
      <c r="AU86">
        <v>0</v>
      </c>
      <c r="AV86">
        <v>0</v>
      </c>
      <c r="AW86">
        <v>0</v>
      </c>
    </row>
    <row r="87" spans="1:49" x14ac:dyDescent="0.25">
      <c r="A87" t="str">
        <f>"83"</f>
        <v>83</v>
      </c>
      <c r="B87" t="str">
        <f t="shared" si="1"/>
        <v>1</v>
      </c>
      <c r="C87" t="str">
        <f t="shared" si="4"/>
        <v>4</v>
      </c>
      <c r="D87" t="str">
        <f>"9"</f>
        <v>9</v>
      </c>
      <c r="E87" t="str">
        <f>"1-4-9"</f>
        <v>1-4-9</v>
      </c>
      <c r="F87" t="s">
        <v>83</v>
      </c>
      <c r="G87" t="s">
        <v>84</v>
      </c>
      <c r="H87" t="s">
        <v>85</v>
      </c>
      <c r="AC87">
        <v>1</v>
      </c>
      <c r="AD87">
        <v>0</v>
      </c>
      <c r="AE87">
        <v>0</v>
      </c>
      <c r="AF87">
        <v>0</v>
      </c>
      <c r="AG87">
        <v>1</v>
      </c>
      <c r="AJ87">
        <v>0</v>
      </c>
      <c r="AK87">
        <v>1</v>
      </c>
      <c r="AL87">
        <v>0</v>
      </c>
      <c r="AM87">
        <v>0</v>
      </c>
      <c r="AN87">
        <v>1</v>
      </c>
      <c r="AO87">
        <v>1</v>
      </c>
      <c r="AP87">
        <v>1</v>
      </c>
      <c r="AQ87">
        <v>1</v>
      </c>
      <c r="AR87">
        <v>1</v>
      </c>
      <c r="AS87">
        <v>1</v>
      </c>
      <c r="AT87">
        <v>0</v>
      </c>
      <c r="AV87">
        <v>1</v>
      </c>
      <c r="AW87">
        <v>1</v>
      </c>
    </row>
    <row r="88" spans="1:49" x14ac:dyDescent="0.25">
      <c r="A88" t="str">
        <f>"84"</f>
        <v>84</v>
      </c>
      <c r="B88" t="str">
        <f t="shared" si="1"/>
        <v>1</v>
      </c>
      <c r="C88" t="str">
        <f t="shared" si="4"/>
        <v>4</v>
      </c>
      <c r="D88" t="str">
        <f>"1"</f>
        <v>1</v>
      </c>
      <c r="E88" t="str">
        <f>"1-4-1"</f>
        <v>1-4-1</v>
      </c>
      <c r="F88" t="s">
        <v>83</v>
      </c>
      <c r="G88" t="s">
        <v>84</v>
      </c>
      <c r="H88" t="s">
        <v>85</v>
      </c>
      <c r="AC88">
        <v>0</v>
      </c>
      <c r="AD88">
        <v>1</v>
      </c>
      <c r="AE88">
        <v>0</v>
      </c>
      <c r="AF88">
        <v>0</v>
      </c>
      <c r="AG88">
        <v>1</v>
      </c>
      <c r="AJ88">
        <v>0</v>
      </c>
      <c r="AK88">
        <v>1</v>
      </c>
      <c r="AL88">
        <v>0</v>
      </c>
      <c r="AM88">
        <v>0</v>
      </c>
      <c r="AN88">
        <v>1</v>
      </c>
      <c r="AO88">
        <v>1</v>
      </c>
      <c r="AP88">
        <v>1</v>
      </c>
      <c r="AQ88">
        <v>1</v>
      </c>
      <c r="AR88">
        <v>1</v>
      </c>
      <c r="AS88">
        <v>1</v>
      </c>
      <c r="AT88">
        <v>0</v>
      </c>
      <c r="AV88">
        <v>1</v>
      </c>
      <c r="AW88">
        <v>1</v>
      </c>
    </row>
    <row r="89" spans="1:49" x14ac:dyDescent="0.25">
      <c r="A89" t="str">
        <f>"85"</f>
        <v>85</v>
      </c>
      <c r="B89" t="str">
        <f t="shared" si="1"/>
        <v>1</v>
      </c>
      <c r="C89" t="str">
        <f t="shared" si="4"/>
        <v>4</v>
      </c>
      <c r="D89" t="str">
        <f>"18"</f>
        <v>18</v>
      </c>
      <c r="E89" t="str">
        <f>"1-4-18"</f>
        <v>1-4-18</v>
      </c>
      <c r="F89" t="s">
        <v>83</v>
      </c>
      <c r="G89" t="s">
        <v>84</v>
      </c>
      <c r="H89" t="s">
        <v>85</v>
      </c>
      <c r="AC89">
        <v>0</v>
      </c>
      <c r="AD89">
        <v>1</v>
      </c>
      <c r="AE89">
        <v>0</v>
      </c>
      <c r="AF89">
        <v>0</v>
      </c>
      <c r="AG89">
        <v>1</v>
      </c>
      <c r="AJ89">
        <v>0</v>
      </c>
      <c r="AK89">
        <v>1</v>
      </c>
      <c r="AL89">
        <v>0</v>
      </c>
      <c r="AM89">
        <v>1</v>
      </c>
      <c r="AN89">
        <v>0</v>
      </c>
      <c r="AO89">
        <v>1</v>
      </c>
      <c r="AP89">
        <v>1</v>
      </c>
      <c r="AQ89">
        <v>1</v>
      </c>
      <c r="AR89">
        <v>1</v>
      </c>
      <c r="AS89">
        <v>0</v>
      </c>
      <c r="AT89">
        <v>1</v>
      </c>
      <c r="AV89">
        <v>1</v>
      </c>
      <c r="AW89">
        <v>1</v>
      </c>
    </row>
    <row r="90" spans="1:49" x14ac:dyDescent="0.25">
      <c r="A90" t="str">
        <f>"86"</f>
        <v>86</v>
      </c>
      <c r="B90" t="str">
        <f t="shared" si="1"/>
        <v>1</v>
      </c>
      <c r="C90" t="str">
        <f t="shared" si="4"/>
        <v>4</v>
      </c>
      <c r="D90" t="str">
        <f>"10"</f>
        <v>10</v>
      </c>
      <c r="E90" t="str">
        <f>"1-4-10"</f>
        <v>1-4-10</v>
      </c>
      <c r="F90" t="s">
        <v>83</v>
      </c>
      <c r="G90" t="s">
        <v>84</v>
      </c>
      <c r="H90" t="s">
        <v>85</v>
      </c>
      <c r="AC90">
        <v>1</v>
      </c>
      <c r="AD90">
        <v>0</v>
      </c>
      <c r="AE90">
        <v>0</v>
      </c>
      <c r="AF90">
        <v>0</v>
      </c>
      <c r="AG90">
        <v>1</v>
      </c>
      <c r="AJ90">
        <v>1</v>
      </c>
      <c r="AK90">
        <v>0</v>
      </c>
      <c r="AL90">
        <v>1</v>
      </c>
      <c r="AM90">
        <v>0</v>
      </c>
      <c r="AN90">
        <v>0</v>
      </c>
      <c r="AO90">
        <v>1</v>
      </c>
      <c r="AP90">
        <v>1</v>
      </c>
      <c r="AQ90">
        <v>1</v>
      </c>
      <c r="AR90">
        <v>1</v>
      </c>
      <c r="AS90">
        <v>0</v>
      </c>
      <c r="AT90">
        <v>1</v>
      </c>
      <c r="AV90">
        <v>1</v>
      </c>
      <c r="AW90">
        <v>1</v>
      </c>
    </row>
    <row r="91" spans="1:49" x14ac:dyDescent="0.25">
      <c r="A91" t="str">
        <f>"87"</f>
        <v>87</v>
      </c>
      <c r="B91" t="str">
        <f t="shared" si="1"/>
        <v>1</v>
      </c>
      <c r="C91" t="str">
        <f t="shared" si="4"/>
        <v>4</v>
      </c>
      <c r="D91" t="str">
        <f>"5"</f>
        <v>5</v>
      </c>
      <c r="E91" t="str">
        <f>"1-4-5"</f>
        <v>1-4-5</v>
      </c>
      <c r="F91" t="s">
        <v>83</v>
      </c>
      <c r="G91" t="s">
        <v>84</v>
      </c>
      <c r="H91" t="s">
        <v>85</v>
      </c>
      <c r="AC91">
        <v>0</v>
      </c>
      <c r="AD91">
        <v>1</v>
      </c>
      <c r="AE91">
        <v>0</v>
      </c>
      <c r="AF91">
        <v>0</v>
      </c>
      <c r="AG91">
        <v>1</v>
      </c>
      <c r="AJ91">
        <v>1</v>
      </c>
      <c r="AK91">
        <v>0</v>
      </c>
      <c r="AL91">
        <v>0</v>
      </c>
      <c r="AM91">
        <v>1</v>
      </c>
      <c r="AN91">
        <v>0</v>
      </c>
      <c r="AO91">
        <v>1</v>
      </c>
      <c r="AP91">
        <v>1</v>
      </c>
      <c r="AQ91">
        <v>1</v>
      </c>
      <c r="AR91">
        <v>1</v>
      </c>
      <c r="AS91">
        <v>1</v>
      </c>
      <c r="AT91">
        <v>0</v>
      </c>
      <c r="AV91">
        <v>1</v>
      </c>
      <c r="AW91">
        <v>1</v>
      </c>
    </row>
    <row r="92" spans="1:49" x14ac:dyDescent="0.25">
      <c r="A92" t="str">
        <f>"88"</f>
        <v>88</v>
      </c>
      <c r="B92" t="str">
        <f t="shared" si="1"/>
        <v>1</v>
      </c>
      <c r="C92" t="str">
        <f t="shared" si="4"/>
        <v>4</v>
      </c>
      <c r="D92" t="str">
        <f>"20"</f>
        <v>20</v>
      </c>
      <c r="E92" t="str">
        <f>"1-4-20"</f>
        <v>1-4-20</v>
      </c>
      <c r="F92" t="s">
        <v>83</v>
      </c>
      <c r="G92" t="s">
        <v>84</v>
      </c>
      <c r="H92" t="s">
        <v>85</v>
      </c>
      <c r="AC92">
        <v>0</v>
      </c>
      <c r="AD92">
        <v>1</v>
      </c>
      <c r="AE92">
        <v>0</v>
      </c>
      <c r="AF92">
        <v>0</v>
      </c>
      <c r="AG92">
        <v>1</v>
      </c>
      <c r="AJ92">
        <v>1</v>
      </c>
      <c r="AK92">
        <v>0</v>
      </c>
      <c r="AL92">
        <v>0</v>
      </c>
      <c r="AM92">
        <v>0</v>
      </c>
      <c r="AN92">
        <v>1</v>
      </c>
      <c r="AO92">
        <v>1</v>
      </c>
      <c r="AP92">
        <v>1</v>
      </c>
      <c r="AQ92">
        <v>1</v>
      </c>
      <c r="AR92">
        <v>1</v>
      </c>
      <c r="AS92">
        <v>0</v>
      </c>
      <c r="AT92">
        <v>1</v>
      </c>
      <c r="AV92">
        <v>1</v>
      </c>
      <c r="AW92">
        <v>1</v>
      </c>
    </row>
    <row r="93" spans="1:49" x14ac:dyDescent="0.25">
      <c r="A93" t="str">
        <f>"89"</f>
        <v>89</v>
      </c>
      <c r="B93" t="str">
        <f t="shared" si="1"/>
        <v>1</v>
      </c>
      <c r="C93" t="str">
        <f t="shared" si="4"/>
        <v>4</v>
      </c>
      <c r="D93" t="str">
        <f>"11"</f>
        <v>11</v>
      </c>
      <c r="E93" t="str">
        <f>"1-4-11"</f>
        <v>1-4-11</v>
      </c>
      <c r="F93" t="s">
        <v>83</v>
      </c>
      <c r="G93" t="s">
        <v>84</v>
      </c>
      <c r="H93" t="s">
        <v>85</v>
      </c>
      <c r="AC93">
        <v>1</v>
      </c>
      <c r="AD93">
        <v>0</v>
      </c>
      <c r="AE93">
        <v>0</v>
      </c>
      <c r="AF93">
        <v>0</v>
      </c>
      <c r="AG93">
        <v>1</v>
      </c>
      <c r="AJ93">
        <v>0</v>
      </c>
      <c r="AK93">
        <v>1</v>
      </c>
      <c r="AL93">
        <v>0</v>
      </c>
      <c r="AM93">
        <v>0</v>
      </c>
      <c r="AN93">
        <v>1</v>
      </c>
      <c r="AO93">
        <v>1</v>
      </c>
      <c r="AP93">
        <v>1</v>
      </c>
      <c r="AQ93">
        <v>1</v>
      </c>
      <c r="AR93">
        <v>1</v>
      </c>
      <c r="AS93">
        <v>0</v>
      </c>
      <c r="AT93">
        <v>1</v>
      </c>
      <c r="AV93">
        <v>1</v>
      </c>
      <c r="AW93">
        <v>1</v>
      </c>
    </row>
    <row r="94" spans="1:49" x14ac:dyDescent="0.25">
      <c r="A94" t="str">
        <f>"90"</f>
        <v>90</v>
      </c>
      <c r="B94" t="str">
        <f t="shared" ref="B94:B157" si="5">"1"</f>
        <v>1</v>
      </c>
      <c r="C94" t="str">
        <f t="shared" si="4"/>
        <v>4</v>
      </c>
      <c r="D94" t="str">
        <f>"2"</f>
        <v>2</v>
      </c>
      <c r="E94" t="str">
        <f>"1-4-2"</f>
        <v>1-4-2</v>
      </c>
      <c r="F94" t="s">
        <v>83</v>
      </c>
      <c r="G94" t="s">
        <v>84</v>
      </c>
      <c r="H94" t="s">
        <v>85</v>
      </c>
      <c r="AC94">
        <v>0</v>
      </c>
      <c r="AD94">
        <v>1</v>
      </c>
      <c r="AE94">
        <v>0</v>
      </c>
      <c r="AF94">
        <v>0</v>
      </c>
      <c r="AG94">
        <v>1</v>
      </c>
      <c r="AJ94">
        <v>0</v>
      </c>
      <c r="AK94">
        <v>1</v>
      </c>
      <c r="AL94">
        <v>0</v>
      </c>
      <c r="AM94">
        <v>1</v>
      </c>
      <c r="AN94">
        <v>0</v>
      </c>
      <c r="AO94">
        <v>1</v>
      </c>
      <c r="AP94">
        <v>1</v>
      </c>
      <c r="AQ94">
        <v>1</v>
      </c>
      <c r="AR94">
        <v>1</v>
      </c>
      <c r="AS94">
        <v>0</v>
      </c>
      <c r="AT94">
        <v>1</v>
      </c>
      <c r="AV94">
        <v>1</v>
      </c>
      <c r="AW94">
        <v>1</v>
      </c>
    </row>
    <row r="95" spans="1:49" x14ac:dyDescent="0.25">
      <c r="A95" t="str">
        <f>"91"</f>
        <v>91</v>
      </c>
      <c r="B95" t="str">
        <f t="shared" si="5"/>
        <v>1</v>
      </c>
      <c r="C95" t="str">
        <f t="shared" si="4"/>
        <v>4</v>
      </c>
      <c r="D95" t="str">
        <f>"23"</f>
        <v>23</v>
      </c>
      <c r="E95" t="str">
        <f>"1-4-23"</f>
        <v>1-4-23</v>
      </c>
      <c r="F95" t="s">
        <v>83</v>
      </c>
      <c r="G95" t="s">
        <v>86</v>
      </c>
      <c r="H95" t="s">
        <v>87</v>
      </c>
      <c r="AC95">
        <v>0</v>
      </c>
      <c r="AD95">
        <v>1</v>
      </c>
      <c r="AE95">
        <v>0</v>
      </c>
      <c r="AF95">
        <v>0</v>
      </c>
      <c r="AH95">
        <v>0</v>
      </c>
      <c r="AI95">
        <v>1</v>
      </c>
      <c r="AJ95">
        <v>0</v>
      </c>
      <c r="AK95">
        <v>1</v>
      </c>
      <c r="AL95">
        <v>0</v>
      </c>
      <c r="AM95">
        <v>0</v>
      </c>
      <c r="AN95">
        <v>1</v>
      </c>
      <c r="AO95">
        <v>0</v>
      </c>
      <c r="AP95">
        <v>0</v>
      </c>
      <c r="AQ95">
        <v>0</v>
      </c>
      <c r="AU95">
        <v>0</v>
      </c>
      <c r="AV95">
        <v>0</v>
      </c>
      <c r="AW95">
        <v>0</v>
      </c>
    </row>
    <row r="96" spans="1:49" x14ac:dyDescent="0.25">
      <c r="A96" t="str">
        <f>"92"</f>
        <v>92</v>
      </c>
      <c r="B96" t="str">
        <f t="shared" si="5"/>
        <v>1</v>
      </c>
      <c r="C96" t="str">
        <f t="shared" si="4"/>
        <v>4</v>
      </c>
      <c r="D96" t="str">
        <f>"12"</f>
        <v>12</v>
      </c>
      <c r="E96" t="str">
        <f>"1-4-12"</f>
        <v>1-4-12</v>
      </c>
      <c r="F96" t="s">
        <v>83</v>
      </c>
      <c r="G96" t="s">
        <v>84</v>
      </c>
      <c r="H96" t="s">
        <v>85</v>
      </c>
      <c r="AC96">
        <v>1</v>
      </c>
      <c r="AD96">
        <v>0</v>
      </c>
      <c r="AE96">
        <v>0</v>
      </c>
      <c r="AF96">
        <v>0</v>
      </c>
      <c r="AG96">
        <v>1</v>
      </c>
      <c r="AJ96">
        <v>0</v>
      </c>
      <c r="AK96">
        <v>1</v>
      </c>
      <c r="AL96">
        <v>0</v>
      </c>
      <c r="AM96">
        <v>0</v>
      </c>
      <c r="AN96">
        <v>1</v>
      </c>
      <c r="AO96">
        <v>1</v>
      </c>
      <c r="AP96">
        <v>1</v>
      </c>
      <c r="AQ96">
        <v>1</v>
      </c>
      <c r="AR96">
        <v>1</v>
      </c>
      <c r="AS96">
        <v>0</v>
      </c>
      <c r="AT96">
        <v>1</v>
      </c>
      <c r="AV96">
        <v>1</v>
      </c>
      <c r="AW96">
        <v>1</v>
      </c>
    </row>
    <row r="97" spans="1:49" x14ac:dyDescent="0.25">
      <c r="A97" t="str">
        <f>"93"</f>
        <v>93</v>
      </c>
      <c r="B97" t="str">
        <f t="shared" si="5"/>
        <v>1</v>
      </c>
      <c r="C97" t="str">
        <f t="shared" si="4"/>
        <v>4</v>
      </c>
      <c r="D97" t="str">
        <f>"21"</f>
        <v>21</v>
      </c>
      <c r="E97" t="str">
        <f>"1-4-21"</f>
        <v>1-4-21</v>
      </c>
      <c r="F97" t="s">
        <v>83</v>
      </c>
      <c r="G97" t="s">
        <v>86</v>
      </c>
      <c r="H97" t="s">
        <v>87</v>
      </c>
      <c r="AC97">
        <v>0</v>
      </c>
      <c r="AD97">
        <v>1</v>
      </c>
      <c r="AE97">
        <v>0</v>
      </c>
      <c r="AF97">
        <v>0</v>
      </c>
      <c r="AH97">
        <v>1</v>
      </c>
      <c r="AI97">
        <v>0</v>
      </c>
      <c r="AJ97">
        <v>0</v>
      </c>
      <c r="AK97">
        <v>0</v>
      </c>
      <c r="AL97">
        <v>1</v>
      </c>
      <c r="AM97">
        <v>0</v>
      </c>
      <c r="AN97">
        <v>0</v>
      </c>
      <c r="AO97">
        <v>0</v>
      </c>
      <c r="AP97">
        <v>0</v>
      </c>
      <c r="AQ97">
        <v>0</v>
      </c>
      <c r="AU97">
        <v>1</v>
      </c>
      <c r="AV97">
        <v>0</v>
      </c>
      <c r="AW97">
        <v>1</v>
      </c>
    </row>
    <row r="98" spans="1:49" x14ac:dyDescent="0.25">
      <c r="A98" t="str">
        <f>"94"</f>
        <v>94</v>
      </c>
      <c r="B98" t="str">
        <f t="shared" si="5"/>
        <v>1</v>
      </c>
      <c r="C98" t="str">
        <f t="shared" si="4"/>
        <v>4</v>
      </c>
      <c r="D98" t="str">
        <f>"13"</f>
        <v>13</v>
      </c>
      <c r="E98" t="str">
        <f>"1-4-13"</f>
        <v>1-4-13</v>
      </c>
      <c r="F98" t="s">
        <v>83</v>
      </c>
      <c r="G98" t="s">
        <v>84</v>
      </c>
      <c r="H98" t="s">
        <v>85</v>
      </c>
      <c r="AC98">
        <v>0</v>
      </c>
      <c r="AD98">
        <v>1</v>
      </c>
      <c r="AE98">
        <v>0</v>
      </c>
      <c r="AF98">
        <v>0</v>
      </c>
      <c r="AG98">
        <v>0</v>
      </c>
      <c r="AJ98">
        <v>0</v>
      </c>
      <c r="AK98">
        <v>0</v>
      </c>
      <c r="AL98">
        <v>0</v>
      </c>
      <c r="AM98">
        <v>0</v>
      </c>
      <c r="AN98">
        <v>1</v>
      </c>
      <c r="AO98">
        <v>0</v>
      </c>
      <c r="AP98">
        <v>0</v>
      </c>
      <c r="AQ98">
        <v>0</v>
      </c>
      <c r="AR98">
        <v>0</v>
      </c>
      <c r="AS98">
        <v>0</v>
      </c>
      <c r="AT98">
        <v>0</v>
      </c>
      <c r="AV98">
        <v>0</v>
      </c>
      <c r="AW98">
        <v>1</v>
      </c>
    </row>
    <row r="99" spans="1:49" x14ac:dyDescent="0.25">
      <c r="A99" t="str">
        <f>"95"</f>
        <v>95</v>
      </c>
      <c r="B99" t="str">
        <f t="shared" si="5"/>
        <v>1</v>
      </c>
      <c r="C99" t="str">
        <f t="shared" si="4"/>
        <v>4</v>
      </c>
      <c r="D99" t="str">
        <f>"4"</f>
        <v>4</v>
      </c>
      <c r="E99" t="str">
        <f>"1-4-4"</f>
        <v>1-4-4</v>
      </c>
      <c r="F99" t="s">
        <v>83</v>
      </c>
      <c r="G99" t="s">
        <v>84</v>
      </c>
      <c r="H99" t="s">
        <v>85</v>
      </c>
      <c r="AC99">
        <v>1</v>
      </c>
      <c r="AD99">
        <v>0</v>
      </c>
      <c r="AE99">
        <v>0</v>
      </c>
      <c r="AF99">
        <v>0</v>
      </c>
      <c r="AG99">
        <v>1</v>
      </c>
      <c r="AJ99">
        <v>1</v>
      </c>
      <c r="AK99">
        <v>0</v>
      </c>
      <c r="AL99">
        <v>0</v>
      </c>
      <c r="AM99">
        <v>1</v>
      </c>
      <c r="AN99">
        <v>0</v>
      </c>
      <c r="AO99">
        <v>1</v>
      </c>
      <c r="AP99">
        <v>1</v>
      </c>
      <c r="AQ99">
        <v>1</v>
      </c>
      <c r="AR99">
        <v>1</v>
      </c>
      <c r="AS99">
        <v>0</v>
      </c>
      <c r="AT99">
        <v>1</v>
      </c>
      <c r="AV99">
        <v>1</v>
      </c>
      <c r="AW99">
        <v>1</v>
      </c>
    </row>
    <row r="100" spans="1:49" x14ac:dyDescent="0.25">
      <c r="A100" t="str">
        <f>"96"</f>
        <v>96</v>
      </c>
      <c r="B100" t="str">
        <f t="shared" si="5"/>
        <v>1</v>
      </c>
      <c r="C100" t="str">
        <f t="shared" si="4"/>
        <v>4</v>
      </c>
      <c r="D100" t="str">
        <f>"14"</f>
        <v>14</v>
      </c>
      <c r="E100" t="str">
        <f>"1-4-14"</f>
        <v>1-4-14</v>
      </c>
      <c r="F100" t="s">
        <v>83</v>
      </c>
      <c r="G100" t="s">
        <v>84</v>
      </c>
      <c r="H100" t="s">
        <v>85</v>
      </c>
      <c r="AC100">
        <v>1</v>
      </c>
      <c r="AD100">
        <v>0</v>
      </c>
      <c r="AE100">
        <v>0</v>
      </c>
      <c r="AF100">
        <v>0</v>
      </c>
      <c r="AG100">
        <v>1</v>
      </c>
      <c r="AJ100">
        <v>0</v>
      </c>
      <c r="AK100">
        <v>1</v>
      </c>
      <c r="AL100">
        <v>1</v>
      </c>
      <c r="AM100">
        <v>0</v>
      </c>
      <c r="AN100">
        <v>0</v>
      </c>
      <c r="AO100">
        <v>1</v>
      </c>
      <c r="AP100">
        <v>1</v>
      </c>
      <c r="AQ100">
        <v>1</v>
      </c>
      <c r="AR100">
        <v>1</v>
      </c>
      <c r="AS100">
        <v>0</v>
      </c>
      <c r="AT100">
        <v>1</v>
      </c>
      <c r="AV100">
        <v>1</v>
      </c>
      <c r="AW100">
        <v>1</v>
      </c>
    </row>
    <row r="101" spans="1:49" x14ac:dyDescent="0.25">
      <c r="A101" t="str">
        <f>"97"</f>
        <v>97</v>
      </c>
      <c r="B101" t="str">
        <f t="shared" si="5"/>
        <v>1</v>
      </c>
      <c r="C101" t="str">
        <f t="shared" si="4"/>
        <v>4</v>
      </c>
      <c r="D101" t="str">
        <f>"7"</f>
        <v>7</v>
      </c>
      <c r="E101" t="str">
        <f>"1-4-7"</f>
        <v>1-4-7</v>
      </c>
      <c r="F101" t="s">
        <v>83</v>
      </c>
      <c r="G101" t="s">
        <v>84</v>
      </c>
      <c r="H101" t="s">
        <v>85</v>
      </c>
      <c r="AC101">
        <v>0</v>
      </c>
      <c r="AD101">
        <v>1</v>
      </c>
      <c r="AE101">
        <v>0</v>
      </c>
      <c r="AF101">
        <v>0</v>
      </c>
      <c r="AG101">
        <v>1</v>
      </c>
      <c r="AJ101">
        <v>0</v>
      </c>
      <c r="AK101">
        <v>1</v>
      </c>
      <c r="AL101">
        <v>0</v>
      </c>
      <c r="AM101">
        <v>0</v>
      </c>
      <c r="AN101">
        <v>1</v>
      </c>
      <c r="AO101">
        <v>1</v>
      </c>
      <c r="AP101">
        <v>1</v>
      </c>
      <c r="AQ101">
        <v>1</v>
      </c>
      <c r="AR101">
        <v>1</v>
      </c>
      <c r="AS101">
        <v>1</v>
      </c>
      <c r="AT101">
        <v>0</v>
      </c>
      <c r="AV101">
        <v>1</v>
      </c>
      <c r="AW101">
        <v>1</v>
      </c>
    </row>
    <row r="102" spans="1:49" x14ac:dyDescent="0.25">
      <c r="A102" t="str">
        <f>"98"</f>
        <v>98</v>
      </c>
      <c r="B102" t="str">
        <f t="shared" si="5"/>
        <v>1</v>
      </c>
      <c r="C102" t="str">
        <f t="shared" si="4"/>
        <v>4</v>
      </c>
      <c r="D102" t="str">
        <f>"6"</f>
        <v>6</v>
      </c>
      <c r="E102" t="str">
        <f>"1-4-6"</f>
        <v>1-4-6</v>
      </c>
      <c r="F102" t="s">
        <v>83</v>
      </c>
      <c r="G102" t="s">
        <v>84</v>
      </c>
      <c r="H102" t="s">
        <v>85</v>
      </c>
      <c r="AC102">
        <v>0</v>
      </c>
      <c r="AD102">
        <v>0</v>
      </c>
      <c r="AE102">
        <v>0</v>
      </c>
      <c r="AF102">
        <v>0</v>
      </c>
      <c r="AG102">
        <v>0</v>
      </c>
      <c r="AJ102">
        <v>0</v>
      </c>
      <c r="AK102">
        <v>0</v>
      </c>
      <c r="AL102">
        <v>0</v>
      </c>
      <c r="AM102">
        <v>0</v>
      </c>
      <c r="AN102">
        <v>0</v>
      </c>
      <c r="AO102">
        <v>0</v>
      </c>
      <c r="AP102">
        <v>0</v>
      </c>
      <c r="AQ102">
        <v>0</v>
      </c>
      <c r="AR102">
        <v>0</v>
      </c>
      <c r="AS102">
        <v>0</v>
      </c>
      <c r="AT102">
        <v>0</v>
      </c>
      <c r="AV102">
        <v>0</v>
      </c>
      <c r="AW102">
        <v>0</v>
      </c>
    </row>
    <row r="103" spans="1:49" x14ac:dyDescent="0.25">
      <c r="A103" t="str">
        <f>"99"</f>
        <v>99</v>
      </c>
      <c r="B103" t="str">
        <f t="shared" si="5"/>
        <v>1</v>
      </c>
      <c r="C103" t="str">
        <f t="shared" si="4"/>
        <v>4</v>
      </c>
      <c r="D103" t="str">
        <f>"22"</f>
        <v>22</v>
      </c>
      <c r="E103" t="str">
        <f>"1-4-22"</f>
        <v>1-4-22</v>
      </c>
      <c r="F103" t="s">
        <v>83</v>
      </c>
      <c r="G103" t="s">
        <v>86</v>
      </c>
      <c r="H103" t="s">
        <v>87</v>
      </c>
      <c r="AC103">
        <v>0</v>
      </c>
      <c r="AD103">
        <v>0</v>
      </c>
      <c r="AE103">
        <v>0</v>
      </c>
      <c r="AF103">
        <v>0</v>
      </c>
      <c r="AH103">
        <v>0</v>
      </c>
      <c r="AI103">
        <v>1</v>
      </c>
      <c r="AJ103">
        <v>0</v>
      </c>
      <c r="AK103">
        <v>1</v>
      </c>
      <c r="AL103">
        <v>0</v>
      </c>
      <c r="AM103">
        <v>0</v>
      </c>
      <c r="AN103">
        <v>1</v>
      </c>
      <c r="AO103">
        <v>1</v>
      </c>
      <c r="AP103">
        <v>1</v>
      </c>
      <c r="AQ103">
        <v>1</v>
      </c>
      <c r="AU103">
        <v>1</v>
      </c>
      <c r="AV103">
        <v>1</v>
      </c>
      <c r="AW103">
        <v>1</v>
      </c>
    </row>
    <row r="104" spans="1:49" x14ac:dyDescent="0.25">
      <c r="A104" t="str">
        <f>"100"</f>
        <v>100</v>
      </c>
      <c r="B104" t="str">
        <f t="shared" si="5"/>
        <v>1</v>
      </c>
      <c r="C104" t="str">
        <f t="shared" si="4"/>
        <v>4</v>
      </c>
      <c r="D104" t="str">
        <f>"25"</f>
        <v>25</v>
      </c>
      <c r="E104" t="str">
        <f>"1-4-25"</f>
        <v>1-4-25</v>
      </c>
      <c r="F104" t="s">
        <v>83</v>
      </c>
      <c r="G104" t="s">
        <v>86</v>
      </c>
      <c r="H104" t="s">
        <v>87</v>
      </c>
      <c r="AC104">
        <v>0</v>
      </c>
      <c r="AD104">
        <v>0</v>
      </c>
      <c r="AE104">
        <v>0</v>
      </c>
      <c r="AF104">
        <v>0</v>
      </c>
      <c r="AH104">
        <v>0</v>
      </c>
      <c r="AI104">
        <v>1</v>
      </c>
      <c r="AJ104">
        <v>0</v>
      </c>
      <c r="AK104">
        <v>1</v>
      </c>
      <c r="AL104">
        <v>0</v>
      </c>
      <c r="AM104">
        <v>0</v>
      </c>
      <c r="AN104">
        <v>1</v>
      </c>
      <c r="AO104">
        <v>0</v>
      </c>
      <c r="AP104">
        <v>0</v>
      </c>
      <c r="AQ104">
        <v>0</v>
      </c>
      <c r="AU104">
        <v>0</v>
      </c>
      <c r="AV104">
        <v>0</v>
      </c>
      <c r="AW104">
        <v>0</v>
      </c>
    </row>
    <row r="105" spans="1:49" x14ac:dyDescent="0.25">
      <c r="A105" t="str">
        <f>"101"</f>
        <v>101</v>
      </c>
      <c r="B105" t="str">
        <f t="shared" si="5"/>
        <v>1</v>
      </c>
      <c r="C105" t="str">
        <f t="shared" ref="C105:C129" si="6">"5"</f>
        <v>5</v>
      </c>
      <c r="D105" t="str">
        <f>"25"</f>
        <v>25</v>
      </c>
      <c r="E105" t="str">
        <f>"1-5-25"</f>
        <v>1-5-25</v>
      </c>
      <c r="F105" t="s">
        <v>83</v>
      </c>
      <c r="G105" t="s">
        <v>84</v>
      </c>
      <c r="H105" t="s">
        <v>92</v>
      </c>
      <c r="I105">
        <v>1</v>
      </c>
      <c r="J105">
        <v>1</v>
      </c>
      <c r="N105">
        <v>1</v>
      </c>
      <c r="O105">
        <v>1</v>
      </c>
      <c r="P105">
        <v>1</v>
      </c>
      <c r="Q105">
        <v>1</v>
      </c>
      <c r="R105">
        <v>1</v>
      </c>
      <c r="S105">
        <v>1</v>
      </c>
      <c r="T105">
        <v>1</v>
      </c>
      <c r="W105">
        <v>1</v>
      </c>
      <c r="X105">
        <v>1</v>
      </c>
      <c r="Y105">
        <v>1</v>
      </c>
      <c r="Z105">
        <v>1</v>
      </c>
      <c r="AA105">
        <v>1</v>
      </c>
      <c r="AB105">
        <v>1</v>
      </c>
    </row>
    <row r="106" spans="1:49" x14ac:dyDescent="0.25">
      <c r="A106" t="str">
        <f>"102"</f>
        <v>102</v>
      </c>
      <c r="B106" t="str">
        <f t="shared" si="5"/>
        <v>1</v>
      </c>
      <c r="C106" t="str">
        <f t="shared" si="6"/>
        <v>5</v>
      </c>
      <c r="D106" t="str">
        <f>"24"</f>
        <v>24</v>
      </c>
      <c r="E106" t="str">
        <f>"1-5-24"</f>
        <v>1-5-24</v>
      </c>
      <c r="F106" t="s">
        <v>83</v>
      </c>
      <c r="G106" t="s">
        <v>84</v>
      </c>
      <c r="H106" t="s">
        <v>92</v>
      </c>
      <c r="I106">
        <v>1</v>
      </c>
      <c r="J106">
        <v>1</v>
      </c>
      <c r="N106">
        <v>1</v>
      </c>
      <c r="O106">
        <v>1</v>
      </c>
      <c r="P106">
        <v>1</v>
      </c>
      <c r="Q106">
        <v>1</v>
      </c>
      <c r="R106">
        <v>1</v>
      </c>
      <c r="S106">
        <v>1</v>
      </c>
      <c r="T106">
        <v>1</v>
      </c>
      <c r="W106">
        <v>1</v>
      </c>
      <c r="X106">
        <v>1</v>
      </c>
      <c r="Y106">
        <v>1</v>
      </c>
      <c r="Z106">
        <v>1</v>
      </c>
      <c r="AA106">
        <v>1</v>
      </c>
      <c r="AB106">
        <v>1</v>
      </c>
    </row>
    <row r="107" spans="1:49" x14ac:dyDescent="0.25">
      <c r="A107" t="str">
        <f>"103"</f>
        <v>103</v>
      </c>
      <c r="B107" t="str">
        <f t="shared" si="5"/>
        <v>1</v>
      </c>
      <c r="C107" t="str">
        <f t="shared" si="6"/>
        <v>5</v>
      </c>
      <c r="D107" t="str">
        <f>"12"</f>
        <v>12</v>
      </c>
      <c r="E107" t="str">
        <f>"1-5-12"</f>
        <v>1-5-12</v>
      </c>
      <c r="F107" t="s">
        <v>83</v>
      </c>
      <c r="G107" t="s">
        <v>84</v>
      </c>
      <c r="H107" t="s">
        <v>92</v>
      </c>
      <c r="I107">
        <v>1</v>
      </c>
      <c r="J107">
        <v>1</v>
      </c>
      <c r="N107">
        <v>1</v>
      </c>
      <c r="O107">
        <v>1</v>
      </c>
      <c r="P107">
        <v>1</v>
      </c>
      <c r="Q107">
        <v>1</v>
      </c>
      <c r="R107">
        <v>1</v>
      </c>
      <c r="S107">
        <v>1</v>
      </c>
      <c r="T107">
        <v>1</v>
      </c>
      <c r="W107">
        <v>1</v>
      </c>
      <c r="X107">
        <v>1</v>
      </c>
      <c r="Y107">
        <v>1</v>
      </c>
      <c r="Z107">
        <v>1</v>
      </c>
      <c r="AA107">
        <v>1</v>
      </c>
      <c r="AB107">
        <v>1</v>
      </c>
    </row>
    <row r="108" spans="1:49" x14ac:dyDescent="0.25">
      <c r="A108" t="str">
        <f>"104"</f>
        <v>104</v>
      </c>
      <c r="B108" t="str">
        <f t="shared" si="5"/>
        <v>1</v>
      </c>
      <c r="C108" t="str">
        <f t="shared" si="6"/>
        <v>5</v>
      </c>
      <c r="D108" t="str">
        <f>"8"</f>
        <v>8</v>
      </c>
      <c r="E108" t="str">
        <f>"1-5-8"</f>
        <v>1-5-8</v>
      </c>
      <c r="F108" t="s">
        <v>83</v>
      </c>
      <c r="G108" t="s">
        <v>84</v>
      </c>
      <c r="H108" t="s">
        <v>92</v>
      </c>
      <c r="I108">
        <v>1</v>
      </c>
      <c r="J108">
        <v>1</v>
      </c>
      <c r="N108">
        <v>1</v>
      </c>
      <c r="O108">
        <v>1</v>
      </c>
      <c r="P108">
        <v>1</v>
      </c>
      <c r="Q108">
        <v>1</v>
      </c>
      <c r="R108">
        <v>1</v>
      </c>
      <c r="S108">
        <v>1</v>
      </c>
      <c r="T108">
        <v>1</v>
      </c>
      <c r="W108">
        <v>1</v>
      </c>
      <c r="X108">
        <v>1</v>
      </c>
      <c r="Y108">
        <v>1</v>
      </c>
      <c r="Z108">
        <v>1</v>
      </c>
      <c r="AA108">
        <v>1</v>
      </c>
      <c r="AB108">
        <v>1</v>
      </c>
    </row>
    <row r="109" spans="1:49" x14ac:dyDescent="0.25">
      <c r="A109" t="str">
        <f>"105"</f>
        <v>105</v>
      </c>
      <c r="B109" t="str">
        <f t="shared" si="5"/>
        <v>1</v>
      </c>
      <c r="C109" t="str">
        <f t="shared" si="6"/>
        <v>5</v>
      </c>
      <c r="D109" t="str">
        <f>"7"</f>
        <v>7</v>
      </c>
      <c r="E109" t="str">
        <f>"1-5-7"</f>
        <v>1-5-7</v>
      </c>
      <c r="F109" t="s">
        <v>83</v>
      </c>
      <c r="G109" t="s">
        <v>84</v>
      </c>
      <c r="H109" t="s">
        <v>92</v>
      </c>
      <c r="I109">
        <v>1</v>
      </c>
      <c r="J109">
        <v>1</v>
      </c>
      <c r="N109">
        <v>1</v>
      </c>
      <c r="O109">
        <v>1</v>
      </c>
      <c r="P109">
        <v>1</v>
      </c>
      <c r="Q109">
        <v>1</v>
      </c>
      <c r="R109">
        <v>1</v>
      </c>
      <c r="S109">
        <v>1</v>
      </c>
      <c r="T109">
        <v>1</v>
      </c>
      <c r="W109">
        <v>1</v>
      </c>
      <c r="X109">
        <v>1</v>
      </c>
      <c r="Y109">
        <v>1</v>
      </c>
      <c r="Z109">
        <v>1</v>
      </c>
      <c r="AA109">
        <v>1</v>
      </c>
      <c r="AB109">
        <v>1</v>
      </c>
    </row>
    <row r="110" spans="1:49" x14ac:dyDescent="0.25">
      <c r="A110" t="str">
        <f>"106"</f>
        <v>106</v>
      </c>
      <c r="B110" t="str">
        <f t="shared" si="5"/>
        <v>1</v>
      </c>
      <c r="C110" t="str">
        <f t="shared" si="6"/>
        <v>5</v>
      </c>
      <c r="D110" t="str">
        <f>"19"</f>
        <v>19</v>
      </c>
      <c r="E110" t="str">
        <f>"1-5-19"</f>
        <v>1-5-19</v>
      </c>
      <c r="F110" t="s">
        <v>83</v>
      </c>
      <c r="G110" t="s">
        <v>84</v>
      </c>
      <c r="H110" t="s">
        <v>92</v>
      </c>
      <c r="I110">
        <v>1</v>
      </c>
      <c r="J110">
        <v>1</v>
      </c>
      <c r="N110">
        <v>1</v>
      </c>
      <c r="O110">
        <v>1</v>
      </c>
      <c r="P110">
        <v>1</v>
      </c>
      <c r="Q110">
        <v>1</v>
      </c>
      <c r="R110">
        <v>1</v>
      </c>
      <c r="S110">
        <v>1</v>
      </c>
      <c r="T110">
        <v>1</v>
      </c>
      <c r="W110">
        <v>1</v>
      </c>
      <c r="X110">
        <v>1</v>
      </c>
      <c r="Y110">
        <v>1</v>
      </c>
      <c r="Z110">
        <v>1</v>
      </c>
      <c r="AA110">
        <v>1</v>
      </c>
      <c r="AB110">
        <v>1</v>
      </c>
    </row>
    <row r="111" spans="1:49" x14ac:dyDescent="0.25">
      <c r="A111" t="str">
        <f>"107"</f>
        <v>107</v>
      </c>
      <c r="B111" t="str">
        <f t="shared" si="5"/>
        <v>1</v>
      </c>
      <c r="C111" t="str">
        <f t="shared" si="6"/>
        <v>5</v>
      </c>
      <c r="D111" t="str">
        <f>"14"</f>
        <v>14</v>
      </c>
      <c r="E111" t="str">
        <f>"1-5-14"</f>
        <v>1-5-14</v>
      </c>
      <c r="F111" t="s">
        <v>83</v>
      </c>
      <c r="G111" t="s">
        <v>84</v>
      </c>
      <c r="H111" t="s">
        <v>92</v>
      </c>
      <c r="I111">
        <v>1</v>
      </c>
      <c r="J111">
        <v>1</v>
      </c>
      <c r="N111">
        <v>1</v>
      </c>
      <c r="O111">
        <v>1</v>
      </c>
      <c r="P111">
        <v>1</v>
      </c>
      <c r="Q111">
        <v>1</v>
      </c>
      <c r="R111">
        <v>1</v>
      </c>
      <c r="S111">
        <v>1</v>
      </c>
      <c r="T111">
        <v>1</v>
      </c>
      <c r="W111">
        <v>1</v>
      </c>
      <c r="X111">
        <v>1</v>
      </c>
      <c r="Y111">
        <v>1</v>
      </c>
      <c r="Z111">
        <v>1</v>
      </c>
      <c r="AA111">
        <v>1</v>
      </c>
      <c r="AB111">
        <v>1</v>
      </c>
    </row>
    <row r="112" spans="1:49" x14ac:dyDescent="0.25">
      <c r="A112" t="str">
        <f>"108"</f>
        <v>108</v>
      </c>
      <c r="B112" t="str">
        <f t="shared" si="5"/>
        <v>1</v>
      </c>
      <c r="C112" t="str">
        <f t="shared" si="6"/>
        <v>5</v>
      </c>
      <c r="D112" t="str">
        <f>"5"</f>
        <v>5</v>
      </c>
      <c r="E112" t="str">
        <f>"1-5-5"</f>
        <v>1-5-5</v>
      </c>
      <c r="F112" t="s">
        <v>83</v>
      </c>
      <c r="G112" t="s">
        <v>84</v>
      </c>
      <c r="H112" t="s">
        <v>92</v>
      </c>
      <c r="I112">
        <v>1</v>
      </c>
      <c r="J112">
        <v>1</v>
      </c>
      <c r="N112">
        <v>1</v>
      </c>
      <c r="O112">
        <v>1</v>
      </c>
      <c r="P112">
        <v>1</v>
      </c>
      <c r="Q112">
        <v>1</v>
      </c>
      <c r="R112">
        <v>1</v>
      </c>
      <c r="S112">
        <v>1</v>
      </c>
      <c r="T112">
        <v>1</v>
      </c>
      <c r="W112">
        <v>1</v>
      </c>
      <c r="X112">
        <v>1</v>
      </c>
      <c r="Y112">
        <v>1</v>
      </c>
      <c r="Z112">
        <v>1</v>
      </c>
      <c r="AA112">
        <v>1</v>
      </c>
      <c r="AB112">
        <v>1</v>
      </c>
    </row>
    <row r="113" spans="1:28" s="2" customFormat="1" x14ac:dyDescent="0.25">
      <c r="A113" s="2" t="str">
        <f>"109"</f>
        <v>109</v>
      </c>
      <c r="B113" s="2" t="str">
        <f t="shared" si="5"/>
        <v>1</v>
      </c>
      <c r="C113" s="2" t="str">
        <f t="shared" si="6"/>
        <v>5</v>
      </c>
      <c r="D113" s="2" t="str">
        <f>"21"</f>
        <v>21</v>
      </c>
      <c r="E113" s="2" t="str">
        <f>"1-5-21"</f>
        <v>1-5-21</v>
      </c>
      <c r="F113" s="2" t="s">
        <v>83</v>
      </c>
      <c r="G113" s="2" t="s">
        <v>84</v>
      </c>
      <c r="H113" s="2" t="s">
        <v>92</v>
      </c>
      <c r="I113" s="2">
        <v>1</v>
      </c>
      <c r="J113" s="2">
        <v>0</v>
      </c>
      <c r="N113" s="2">
        <v>1</v>
      </c>
      <c r="O113" s="2">
        <v>0</v>
      </c>
      <c r="P113" s="2">
        <v>0</v>
      </c>
      <c r="Q113" s="2">
        <v>0</v>
      </c>
      <c r="R113" s="2">
        <v>1</v>
      </c>
      <c r="S113" s="2">
        <v>1</v>
      </c>
      <c r="T113" s="2">
        <v>1</v>
      </c>
      <c r="W113" s="2">
        <v>1</v>
      </c>
      <c r="X113" s="2">
        <v>1</v>
      </c>
      <c r="Y113" s="2">
        <v>1</v>
      </c>
      <c r="Z113" s="2">
        <v>1</v>
      </c>
      <c r="AA113" s="2">
        <v>1</v>
      </c>
      <c r="AB113" s="2">
        <v>1</v>
      </c>
    </row>
    <row r="114" spans="1:28" x14ac:dyDescent="0.25">
      <c r="A114" t="str">
        <f>"110"</f>
        <v>110</v>
      </c>
      <c r="B114" t="str">
        <f t="shared" si="5"/>
        <v>1</v>
      </c>
      <c r="C114" t="str">
        <f t="shared" si="6"/>
        <v>5</v>
      </c>
      <c r="D114" t="str">
        <f>"20"</f>
        <v>20</v>
      </c>
      <c r="E114" t="str">
        <f>"1-5-20"</f>
        <v>1-5-20</v>
      </c>
      <c r="F114" t="s">
        <v>83</v>
      </c>
      <c r="G114" t="s">
        <v>84</v>
      </c>
      <c r="H114" t="s">
        <v>92</v>
      </c>
      <c r="I114">
        <v>1</v>
      </c>
      <c r="J114">
        <v>0</v>
      </c>
      <c r="N114">
        <v>1</v>
      </c>
      <c r="O114">
        <v>0</v>
      </c>
      <c r="P114">
        <v>0</v>
      </c>
      <c r="Q114">
        <v>0</v>
      </c>
      <c r="R114">
        <v>0</v>
      </c>
      <c r="S114">
        <v>0</v>
      </c>
      <c r="T114">
        <v>0</v>
      </c>
      <c r="W114">
        <v>0</v>
      </c>
      <c r="X114">
        <v>0</v>
      </c>
      <c r="Y114">
        <v>0</v>
      </c>
      <c r="Z114">
        <v>0</v>
      </c>
      <c r="AA114">
        <v>0</v>
      </c>
      <c r="AB114">
        <v>1</v>
      </c>
    </row>
    <row r="115" spans="1:28" x14ac:dyDescent="0.25">
      <c r="A115" t="str">
        <f>"111"</f>
        <v>111</v>
      </c>
      <c r="B115" t="str">
        <f t="shared" si="5"/>
        <v>1</v>
      </c>
      <c r="C115" t="str">
        <f t="shared" si="6"/>
        <v>5</v>
      </c>
      <c r="D115" t="str">
        <f>"16"</f>
        <v>16</v>
      </c>
      <c r="E115" t="str">
        <f>"1-5-16"</f>
        <v>1-5-16</v>
      </c>
      <c r="F115" t="s">
        <v>83</v>
      </c>
      <c r="G115" t="s">
        <v>84</v>
      </c>
      <c r="H115" t="s">
        <v>92</v>
      </c>
      <c r="I115">
        <v>1</v>
      </c>
      <c r="J115">
        <v>1</v>
      </c>
      <c r="N115">
        <v>1</v>
      </c>
      <c r="O115">
        <v>1</v>
      </c>
      <c r="P115">
        <v>1</v>
      </c>
      <c r="Q115">
        <v>1</v>
      </c>
      <c r="R115">
        <v>1</v>
      </c>
      <c r="S115">
        <v>1</v>
      </c>
      <c r="T115">
        <v>1</v>
      </c>
      <c r="W115">
        <v>1</v>
      </c>
      <c r="X115">
        <v>1</v>
      </c>
      <c r="Y115">
        <v>1</v>
      </c>
      <c r="Z115">
        <v>1</v>
      </c>
      <c r="AA115">
        <v>1</v>
      </c>
      <c r="AB115">
        <v>1</v>
      </c>
    </row>
    <row r="116" spans="1:28" x14ac:dyDescent="0.25">
      <c r="A116" t="str">
        <f>"112"</f>
        <v>112</v>
      </c>
      <c r="B116" t="str">
        <f t="shared" si="5"/>
        <v>1</v>
      </c>
      <c r="C116" t="str">
        <f t="shared" si="6"/>
        <v>5</v>
      </c>
      <c r="D116" t="str">
        <f>"10"</f>
        <v>10</v>
      </c>
      <c r="E116" t="str">
        <f>"1-5-10"</f>
        <v>1-5-10</v>
      </c>
      <c r="F116" t="s">
        <v>83</v>
      </c>
      <c r="G116" t="s">
        <v>84</v>
      </c>
      <c r="H116" t="s">
        <v>92</v>
      </c>
      <c r="I116">
        <v>1</v>
      </c>
      <c r="J116">
        <v>1</v>
      </c>
      <c r="N116">
        <v>1</v>
      </c>
      <c r="O116">
        <v>1</v>
      </c>
      <c r="P116">
        <v>1</v>
      </c>
      <c r="Q116">
        <v>1</v>
      </c>
      <c r="R116">
        <v>1</v>
      </c>
      <c r="S116">
        <v>1</v>
      </c>
      <c r="T116">
        <v>1</v>
      </c>
      <c r="W116">
        <v>1</v>
      </c>
      <c r="X116">
        <v>1</v>
      </c>
      <c r="Y116">
        <v>1</v>
      </c>
      <c r="Z116">
        <v>1</v>
      </c>
      <c r="AA116">
        <v>1</v>
      </c>
      <c r="AB116">
        <v>1</v>
      </c>
    </row>
    <row r="117" spans="1:28" x14ac:dyDescent="0.25">
      <c r="A117" t="str">
        <f>"113"</f>
        <v>113</v>
      </c>
      <c r="B117" t="str">
        <f t="shared" si="5"/>
        <v>1</v>
      </c>
      <c r="C117" t="str">
        <f t="shared" si="6"/>
        <v>5</v>
      </c>
      <c r="D117" t="str">
        <f>"1"</f>
        <v>1</v>
      </c>
      <c r="E117" t="str">
        <f>"1-5-1"</f>
        <v>1-5-1</v>
      </c>
      <c r="F117" t="s">
        <v>83</v>
      </c>
      <c r="G117" t="s">
        <v>84</v>
      </c>
      <c r="H117" t="s">
        <v>92</v>
      </c>
      <c r="I117">
        <v>1</v>
      </c>
      <c r="J117">
        <v>1</v>
      </c>
      <c r="N117">
        <v>1</v>
      </c>
      <c r="O117">
        <v>1</v>
      </c>
      <c r="P117">
        <v>1</v>
      </c>
      <c r="Q117">
        <v>1</v>
      </c>
      <c r="R117">
        <v>1</v>
      </c>
      <c r="S117">
        <v>1</v>
      </c>
      <c r="T117">
        <v>1</v>
      </c>
      <c r="W117">
        <v>1</v>
      </c>
      <c r="X117">
        <v>1</v>
      </c>
      <c r="Y117">
        <v>1</v>
      </c>
      <c r="Z117">
        <v>1</v>
      </c>
      <c r="AA117">
        <v>1</v>
      </c>
      <c r="AB117">
        <v>1</v>
      </c>
    </row>
    <row r="118" spans="1:28" x14ac:dyDescent="0.25">
      <c r="A118" t="str">
        <f>"114"</f>
        <v>114</v>
      </c>
      <c r="B118" t="str">
        <f t="shared" si="5"/>
        <v>1</v>
      </c>
      <c r="C118" t="str">
        <f t="shared" si="6"/>
        <v>5</v>
      </c>
      <c r="D118" t="str">
        <f>"17"</f>
        <v>17</v>
      </c>
      <c r="E118" t="str">
        <f>"1-5-17"</f>
        <v>1-5-17</v>
      </c>
      <c r="F118" t="s">
        <v>83</v>
      </c>
      <c r="G118" t="s">
        <v>84</v>
      </c>
      <c r="H118" t="s">
        <v>92</v>
      </c>
      <c r="I118">
        <v>1</v>
      </c>
      <c r="J118">
        <v>1</v>
      </c>
      <c r="N118">
        <v>1</v>
      </c>
      <c r="O118">
        <v>1</v>
      </c>
      <c r="P118">
        <v>1</v>
      </c>
      <c r="Q118">
        <v>1</v>
      </c>
      <c r="R118">
        <v>1</v>
      </c>
      <c r="S118">
        <v>1</v>
      </c>
      <c r="T118">
        <v>1</v>
      </c>
      <c r="W118">
        <v>1</v>
      </c>
      <c r="X118">
        <v>1</v>
      </c>
      <c r="Y118">
        <v>1</v>
      </c>
      <c r="Z118">
        <v>1</v>
      </c>
      <c r="AA118">
        <v>1</v>
      </c>
      <c r="AB118">
        <v>1</v>
      </c>
    </row>
    <row r="119" spans="1:28" x14ac:dyDescent="0.25">
      <c r="A119" t="str">
        <f>"115"</f>
        <v>115</v>
      </c>
      <c r="B119" t="str">
        <f t="shared" si="5"/>
        <v>1</v>
      </c>
      <c r="C119" t="str">
        <f t="shared" si="6"/>
        <v>5</v>
      </c>
      <c r="D119" t="str">
        <f>"11"</f>
        <v>11</v>
      </c>
      <c r="E119" t="str">
        <f>"1-5-11"</f>
        <v>1-5-11</v>
      </c>
      <c r="F119" t="s">
        <v>83</v>
      </c>
      <c r="G119" t="s">
        <v>84</v>
      </c>
      <c r="H119" t="s">
        <v>92</v>
      </c>
      <c r="I119">
        <v>1</v>
      </c>
      <c r="J119">
        <v>1</v>
      </c>
      <c r="N119">
        <v>1</v>
      </c>
      <c r="O119">
        <v>1</v>
      </c>
      <c r="P119">
        <v>1</v>
      </c>
      <c r="Q119">
        <v>1</v>
      </c>
      <c r="R119">
        <v>1</v>
      </c>
      <c r="S119">
        <v>1</v>
      </c>
      <c r="T119">
        <v>1</v>
      </c>
      <c r="W119">
        <v>1</v>
      </c>
      <c r="X119">
        <v>1</v>
      </c>
      <c r="Y119">
        <v>1</v>
      </c>
      <c r="Z119">
        <v>1</v>
      </c>
      <c r="AA119">
        <v>1</v>
      </c>
      <c r="AB119">
        <v>1</v>
      </c>
    </row>
    <row r="120" spans="1:28" x14ac:dyDescent="0.25">
      <c r="A120" t="str">
        <f>"116"</f>
        <v>116</v>
      </c>
      <c r="B120" t="str">
        <f t="shared" si="5"/>
        <v>1</v>
      </c>
      <c r="C120" t="str">
        <f t="shared" si="6"/>
        <v>5</v>
      </c>
      <c r="D120" t="str">
        <f>"4"</f>
        <v>4</v>
      </c>
      <c r="E120" t="str">
        <f>"1-5-4"</f>
        <v>1-5-4</v>
      </c>
      <c r="F120" t="s">
        <v>83</v>
      </c>
      <c r="G120" t="s">
        <v>84</v>
      </c>
      <c r="H120" t="s">
        <v>92</v>
      </c>
      <c r="I120">
        <v>1</v>
      </c>
      <c r="J120">
        <v>1</v>
      </c>
      <c r="N120">
        <v>1</v>
      </c>
      <c r="O120">
        <v>1</v>
      </c>
      <c r="P120">
        <v>1</v>
      </c>
      <c r="Q120">
        <v>1</v>
      </c>
      <c r="R120">
        <v>1</v>
      </c>
      <c r="S120">
        <v>1</v>
      </c>
      <c r="T120">
        <v>1</v>
      </c>
      <c r="W120">
        <v>1</v>
      </c>
      <c r="X120">
        <v>1</v>
      </c>
      <c r="Y120">
        <v>1</v>
      </c>
      <c r="Z120">
        <v>1</v>
      </c>
      <c r="AA120">
        <v>1</v>
      </c>
      <c r="AB120">
        <v>1</v>
      </c>
    </row>
    <row r="121" spans="1:28" x14ac:dyDescent="0.25">
      <c r="A121" t="str">
        <f>"117"</f>
        <v>117</v>
      </c>
      <c r="B121" t="str">
        <f t="shared" si="5"/>
        <v>1</v>
      </c>
      <c r="C121" t="str">
        <f t="shared" si="6"/>
        <v>5</v>
      </c>
      <c r="D121" t="str">
        <f>"22"</f>
        <v>22</v>
      </c>
      <c r="E121" t="str">
        <f>"1-5-22"</f>
        <v>1-5-22</v>
      </c>
      <c r="F121" t="s">
        <v>83</v>
      </c>
      <c r="G121" t="s">
        <v>84</v>
      </c>
      <c r="H121" t="s">
        <v>92</v>
      </c>
      <c r="I121">
        <v>1</v>
      </c>
      <c r="J121">
        <v>1</v>
      </c>
      <c r="N121">
        <v>1</v>
      </c>
      <c r="O121">
        <v>1</v>
      </c>
      <c r="P121">
        <v>1</v>
      </c>
      <c r="Q121">
        <v>1</v>
      </c>
      <c r="R121">
        <v>1</v>
      </c>
      <c r="S121">
        <v>1</v>
      </c>
      <c r="T121">
        <v>1</v>
      </c>
      <c r="W121">
        <v>1</v>
      </c>
      <c r="X121">
        <v>1</v>
      </c>
      <c r="Y121">
        <v>1</v>
      </c>
      <c r="Z121">
        <v>1</v>
      </c>
      <c r="AA121">
        <v>1</v>
      </c>
      <c r="AB121">
        <v>1</v>
      </c>
    </row>
    <row r="122" spans="1:28" x14ac:dyDescent="0.25">
      <c r="A122" t="str">
        <f>"118"</f>
        <v>118</v>
      </c>
      <c r="B122" t="str">
        <f t="shared" si="5"/>
        <v>1</v>
      </c>
      <c r="C122" t="str">
        <f t="shared" si="6"/>
        <v>5</v>
      </c>
      <c r="D122" t="str">
        <f>"13"</f>
        <v>13</v>
      </c>
      <c r="E122" t="str">
        <f>"1-5-13"</f>
        <v>1-5-13</v>
      </c>
      <c r="F122" t="s">
        <v>83</v>
      </c>
      <c r="G122" t="s">
        <v>84</v>
      </c>
      <c r="H122" t="s">
        <v>92</v>
      </c>
      <c r="I122">
        <v>1</v>
      </c>
      <c r="J122">
        <v>1</v>
      </c>
      <c r="N122">
        <v>1</v>
      </c>
      <c r="O122">
        <v>1</v>
      </c>
      <c r="P122">
        <v>1</v>
      </c>
      <c r="Q122">
        <v>1</v>
      </c>
      <c r="R122">
        <v>1</v>
      </c>
      <c r="S122">
        <v>1</v>
      </c>
      <c r="T122">
        <v>1</v>
      </c>
      <c r="W122">
        <v>1</v>
      </c>
      <c r="X122">
        <v>1</v>
      </c>
      <c r="Y122">
        <v>1</v>
      </c>
      <c r="Z122">
        <v>1</v>
      </c>
      <c r="AA122">
        <v>1</v>
      </c>
      <c r="AB122">
        <v>1</v>
      </c>
    </row>
    <row r="123" spans="1:28" x14ac:dyDescent="0.25">
      <c r="A123" t="str">
        <f>"119"</f>
        <v>119</v>
      </c>
      <c r="B123" t="str">
        <f t="shared" si="5"/>
        <v>1</v>
      </c>
      <c r="C123" t="str">
        <f t="shared" si="6"/>
        <v>5</v>
      </c>
      <c r="D123" t="str">
        <f>"2"</f>
        <v>2</v>
      </c>
      <c r="E123" t="str">
        <f>"1-5-2"</f>
        <v>1-5-2</v>
      </c>
      <c r="F123" t="s">
        <v>83</v>
      </c>
      <c r="G123" t="s">
        <v>84</v>
      </c>
      <c r="H123" t="s">
        <v>92</v>
      </c>
      <c r="I123">
        <v>1</v>
      </c>
      <c r="J123">
        <v>1</v>
      </c>
      <c r="N123">
        <v>1</v>
      </c>
      <c r="O123">
        <v>1</v>
      </c>
      <c r="P123">
        <v>1</v>
      </c>
      <c r="Q123">
        <v>1</v>
      </c>
      <c r="R123">
        <v>1</v>
      </c>
      <c r="S123">
        <v>1</v>
      </c>
      <c r="T123">
        <v>1</v>
      </c>
      <c r="W123">
        <v>1</v>
      </c>
      <c r="X123">
        <v>1</v>
      </c>
      <c r="Y123">
        <v>1</v>
      </c>
      <c r="Z123">
        <v>1</v>
      </c>
      <c r="AA123">
        <v>1</v>
      </c>
      <c r="AB123">
        <v>1</v>
      </c>
    </row>
    <row r="124" spans="1:28" x14ac:dyDescent="0.25">
      <c r="A124" t="str">
        <f>"120"</f>
        <v>120</v>
      </c>
      <c r="B124" t="str">
        <f t="shared" si="5"/>
        <v>1</v>
      </c>
      <c r="C124" t="str">
        <f t="shared" si="6"/>
        <v>5</v>
      </c>
      <c r="D124" t="str">
        <f>"3"</f>
        <v>3</v>
      </c>
      <c r="E124" t="str">
        <f>"1-5-3"</f>
        <v>1-5-3</v>
      </c>
      <c r="F124" t="s">
        <v>83</v>
      </c>
      <c r="G124" t="s">
        <v>84</v>
      </c>
      <c r="H124" t="s">
        <v>92</v>
      </c>
      <c r="I124">
        <v>1</v>
      </c>
      <c r="J124">
        <v>1</v>
      </c>
      <c r="N124">
        <v>1</v>
      </c>
      <c r="O124">
        <v>1</v>
      </c>
      <c r="P124">
        <v>1</v>
      </c>
      <c r="Q124">
        <v>1</v>
      </c>
      <c r="R124">
        <v>1</v>
      </c>
      <c r="S124">
        <v>1</v>
      </c>
      <c r="T124">
        <v>1</v>
      </c>
      <c r="W124">
        <v>1</v>
      </c>
      <c r="X124">
        <v>1</v>
      </c>
      <c r="Y124">
        <v>1</v>
      </c>
      <c r="Z124">
        <v>1</v>
      </c>
      <c r="AA124">
        <v>1</v>
      </c>
      <c r="AB124">
        <v>1</v>
      </c>
    </row>
    <row r="125" spans="1:28" x14ac:dyDescent="0.25">
      <c r="A125" t="str">
        <f>"121"</f>
        <v>121</v>
      </c>
      <c r="B125" t="str">
        <f t="shared" si="5"/>
        <v>1</v>
      </c>
      <c r="C125" t="str">
        <f t="shared" si="6"/>
        <v>5</v>
      </c>
      <c r="D125" t="str">
        <f>"23"</f>
        <v>23</v>
      </c>
      <c r="E125" t="str">
        <f>"1-5-23"</f>
        <v>1-5-23</v>
      </c>
      <c r="F125" t="s">
        <v>83</v>
      </c>
      <c r="G125" t="s">
        <v>84</v>
      </c>
      <c r="H125" t="s">
        <v>92</v>
      </c>
      <c r="I125">
        <v>1</v>
      </c>
      <c r="J125">
        <v>1</v>
      </c>
      <c r="N125">
        <v>1</v>
      </c>
      <c r="O125">
        <v>1</v>
      </c>
      <c r="P125">
        <v>1</v>
      </c>
      <c r="Q125">
        <v>1</v>
      </c>
      <c r="R125">
        <v>1</v>
      </c>
      <c r="S125">
        <v>1</v>
      </c>
      <c r="T125">
        <v>1</v>
      </c>
      <c r="W125">
        <v>1</v>
      </c>
      <c r="X125">
        <v>1</v>
      </c>
      <c r="Y125">
        <v>1</v>
      </c>
      <c r="Z125">
        <v>1</v>
      </c>
      <c r="AA125">
        <v>1</v>
      </c>
      <c r="AB125">
        <v>1</v>
      </c>
    </row>
    <row r="126" spans="1:28" x14ac:dyDescent="0.25">
      <c r="A126" t="str">
        <f>"122"</f>
        <v>122</v>
      </c>
      <c r="B126" t="str">
        <f t="shared" si="5"/>
        <v>1</v>
      </c>
      <c r="C126" t="str">
        <f t="shared" si="6"/>
        <v>5</v>
      </c>
      <c r="D126" t="str">
        <f>"15"</f>
        <v>15</v>
      </c>
      <c r="E126" t="str">
        <f>"1-5-15"</f>
        <v>1-5-15</v>
      </c>
      <c r="F126" t="s">
        <v>83</v>
      </c>
      <c r="G126" t="s">
        <v>84</v>
      </c>
      <c r="H126" t="s">
        <v>92</v>
      </c>
      <c r="I126">
        <v>1</v>
      </c>
      <c r="J126">
        <v>1</v>
      </c>
      <c r="N126">
        <v>1</v>
      </c>
      <c r="O126">
        <v>1</v>
      </c>
      <c r="P126">
        <v>1</v>
      </c>
      <c r="Q126">
        <v>1</v>
      </c>
      <c r="R126">
        <v>1</v>
      </c>
      <c r="S126">
        <v>1</v>
      </c>
      <c r="T126">
        <v>1</v>
      </c>
      <c r="W126">
        <v>1</v>
      </c>
      <c r="X126">
        <v>1</v>
      </c>
      <c r="Y126">
        <v>1</v>
      </c>
      <c r="Z126">
        <v>1</v>
      </c>
      <c r="AA126">
        <v>1</v>
      </c>
      <c r="AB126">
        <v>1</v>
      </c>
    </row>
    <row r="127" spans="1:28" s="2" customFormat="1" x14ac:dyDescent="0.25">
      <c r="A127" s="1" t="str">
        <f>"123"</f>
        <v>123</v>
      </c>
      <c r="B127" s="1" t="str">
        <f t="shared" si="5"/>
        <v>1</v>
      </c>
      <c r="C127" s="1" t="str">
        <f t="shared" si="6"/>
        <v>5</v>
      </c>
      <c r="D127" s="1" t="str">
        <f>"6"</f>
        <v>6</v>
      </c>
      <c r="E127" s="1" t="str">
        <f>"1-5-6"</f>
        <v>1-5-6</v>
      </c>
      <c r="F127" s="1" t="s">
        <v>83</v>
      </c>
      <c r="G127" s="4" t="s">
        <v>96</v>
      </c>
      <c r="I127" s="4"/>
    </row>
    <row r="128" spans="1:28" x14ac:dyDescent="0.25">
      <c r="A128" t="str">
        <f>"124"</f>
        <v>124</v>
      </c>
      <c r="B128" t="str">
        <f t="shared" si="5"/>
        <v>1</v>
      </c>
      <c r="C128" t="str">
        <f t="shared" si="6"/>
        <v>5</v>
      </c>
      <c r="D128" t="str">
        <f>"18"</f>
        <v>18</v>
      </c>
      <c r="E128" t="str">
        <f>"1-5-18"</f>
        <v>1-5-18</v>
      </c>
      <c r="F128" t="s">
        <v>83</v>
      </c>
      <c r="G128" t="s">
        <v>84</v>
      </c>
      <c r="H128" t="s">
        <v>92</v>
      </c>
      <c r="I128">
        <v>1</v>
      </c>
      <c r="J128">
        <v>1</v>
      </c>
      <c r="N128">
        <v>1</v>
      </c>
      <c r="O128">
        <v>1</v>
      </c>
      <c r="P128">
        <v>1</v>
      </c>
      <c r="Q128">
        <v>1</v>
      </c>
      <c r="R128">
        <v>1</v>
      </c>
      <c r="S128">
        <v>1</v>
      </c>
      <c r="T128">
        <v>1</v>
      </c>
      <c r="W128">
        <v>1</v>
      </c>
      <c r="X128">
        <v>1</v>
      </c>
      <c r="Y128">
        <v>1</v>
      </c>
      <c r="Z128">
        <v>1</v>
      </c>
      <c r="AA128">
        <v>1</v>
      </c>
      <c r="AB128">
        <v>1</v>
      </c>
    </row>
    <row r="129" spans="1:28" x14ac:dyDescent="0.25">
      <c r="A129" t="str">
        <f>"125"</f>
        <v>125</v>
      </c>
      <c r="B129" t="str">
        <f t="shared" si="5"/>
        <v>1</v>
      </c>
      <c r="C129" t="str">
        <f t="shared" si="6"/>
        <v>5</v>
      </c>
      <c r="D129" t="str">
        <f>"9"</f>
        <v>9</v>
      </c>
      <c r="E129" t="str">
        <f>"1-5-9"</f>
        <v>1-5-9</v>
      </c>
      <c r="F129" t="s">
        <v>83</v>
      </c>
      <c r="G129" t="s">
        <v>84</v>
      </c>
      <c r="H129" t="s">
        <v>92</v>
      </c>
      <c r="I129">
        <v>1</v>
      </c>
      <c r="J129">
        <v>1</v>
      </c>
      <c r="N129">
        <v>1</v>
      </c>
      <c r="O129">
        <v>1</v>
      </c>
      <c r="P129">
        <v>1</v>
      </c>
      <c r="Q129">
        <v>1</v>
      </c>
      <c r="R129">
        <v>1</v>
      </c>
      <c r="S129">
        <v>1</v>
      </c>
      <c r="T129">
        <v>1</v>
      </c>
      <c r="W129">
        <v>0</v>
      </c>
      <c r="X129">
        <v>1</v>
      </c>
      <c r="Y129">
        <v>0</v>
      </c>
      <c r="Z129">
        <v>1</v>
      </c>
      <c r="AA129">
        <v>1</v>
      </c>
      <c r="AB129">
        <v>1</v>
      </c>
    </row>
    <row r="130" spans="1:28" x14ac:dyDescent="0.25">
      <c r="A130" t="str">
        <f>"126"</f>
        <v>126</v>
      </c>
      <c r="B130" t="str">
        <f t="shared" si="5"/>
        <v>1</v>
      </c>
      <c r="C130" t="str">
        <f t="shared" ref="C130:C152" si="7">"6"</f>
        <v>6</v>
      </c>
      <c r="D130" t="str">
        <f>"17"</f>
        <v>17</v>
      </c>
      <c r="E130" t="str">
        <f>"1-6-17"</f>
        <v>1-6-17</v>
      </c>
      <c r="F130" t="s">
        <v>83</v>
      </c>
      <c r="G130" t="s">
        <v>84</v>
      </c>
      <c r="H130" t="s">
        <v>92</v>
      </c>
      <c r="I130">
        <v>1</v>
      </c>
      <c r="J130">
        <v>1</v>
      </c>
      <c r="N130">
        <v>1</v>
      </c>
      <c r="O130">
        <v>1</v>
      </c>
      <c r="P130">
        <v>1</v>
      </c>
      <c r="Q130">
        <v>1</v>
      </c>
      <c r="R130">
        <v>1</v>
      </c>
      <c r="S130">
        <v>1</v>
      </c>
      <c r="T130">
        <v>1</v>
      </c>
      <c r="W130">
        <v>1</v>
      </c>
      <c r="X130">
        <v>1</v>
      </c>
      <c r="Y130">
        <v>1</v>
      </c>
      <c r="Z130">
        <v>1</v>
      </c>
      <c r="AA130">
        <v>1</v>
      </c>
      <c r="AB130">
        <v>1</v>
      </c>
    </row>
    <row r="131" spans="1:28" x14ac:dyDescent="0.25">
      <c r="A131" t="str">
        <f>"127"</f>
        <v>127</v>
      </c>
      <c r="B131" t="str">
        <f t="shared" si="5"/>
        <v>1</v>
      </c>
      <c r="C131" t="str">
        <f t="shared" si="7"/>
        <v>6</v>
      </c>
      <c r="D131" t="str">
        <f>"16"</f>
        <v>16</v>
      </c>
      <c r="E131" t="str">
        <f>"1-6-16"</f>
        <v>1-6-16</v>
      </c>
      <c r="F131" t="s">
        <v>83</v>
      </c>
      <c r="G131" t="s">
        <v>86</v>
      </c>
      <c r="H131" t="s">
        <v>93</v>
      </c>
      <c r="I131">
        <v>1</v>
      </c>
      <c r="K131">
        <v>0</v>
      </c>
      <c r="L131">
        <v>1</v>
      </c>
      <c r="M131">
        <v>0</v>
      </c>
      <c r="N131">
        <v>1</v>
      </c>
      <c r="O131">
        <v>1</v>
      </c>
      <c r="P131">
        <v>1</v>
      </c>
      <c r="Q131">
        <v>1</v>
      </c>
      <c r="R131">
        <v>1</v>
      </c>
      <c r="U131">
        <v>1</v>
      </c>
      <c r="V131">
        <v>0</v>
      </c>
      <c r="W131">
        <v>1</v>
      </c>
      <c r="X131">
        <v>1</v>
      </c>
      <c r="Y131">
        <v>1</v>
      </c>
      <c r="Z131">
        <v>1</v>
      </c>
      <c r="AA131">
        <v>1</v>
      </c>
      <c r="AB131">
        <v>1</v>
      </c>
    </row>
    <row r="132" spans="1:28" x14ac:dyDescent="0.25">
      <c r="A132" t="str">
        <f>"128"</f>
        <v>128</v>
      </c>
      <c r="B132" t="str">
        <f t="shared" si="5"/>
        <v>1</v>
      </c>
      <c r="C132" t="str">
        <f t="shared" si="7"/>
        <v>6</v>
      </c>
      <c r="D132" t="str">
        <f>"13"</f>
        <v>13</v>
      </c>
      <c r="E132" t="str">
        <f>"1-6-13"</f>
        <v>1-6-13</v>
      </c>
      <c r="F132" t="s">
        <v>83</v>
      </c>
      <c r="G132" t="s">
        <v>84</v>
      </c>
      <c r="H132" t="s">
        <v>92</v>
      </c>
      <c r="I132">
        <v>1</v>
      </c>
      <c r="J132">
        <v>1</v>
      </c>
      <c r="N132">
        <v>1</v>
      </c>
      <c r="O132">
        <v>1</v>
      </c>
      <c r="P132">
        <v>1</v>
      </c>
      <c r="Q132">
        <v>1</v>
      </c>
      <c r="R132">
        <v>1</v>
      </c>
      <c r="S132">
        <v>1</v>
      </c>
      <c r="T132">
        <v>1</v>
      </c>
      <c r="W132">
        <v>1</v>
      </c>
      <c r="X132">
        <v>1</v>
      </c>
      <c r="Y132">
        <v>1</v>
      </c>
      <c r="Z132">
        <v>1</v>
      </c>
      <c r="AA132">
        <v>1</v>
      </c>
      <c r="AB132">
        <v>1</v>
      </c>
    </row>
    <row r="133" spans="1:28" x14ac:dyDescent="0.25">
      <c r="A133" t="str">
        <f>"129"</f>
        <v>129</v>
      </c>
      <c r="B133" t="str">
        <f t="shared" si="5"/>
        <v>1</v>
      </c>
      <c r="C133" t="str">
        <f t="shared" si="7"/>
        <v>6</v>
      </c>
      <c r="D133" t="str">
        <f>"8"</f>
        <v>8</v>
      </c>
      <c r="E133" t="str">
        <f>"1-6-8"</f>
        <v>1-6-8</v>
      </c>
      <c r="F133" t="s">
        <v>83</v>
      </c>
      <c r="G133" t="s">
        <v>84</v>
      </c>
      <c r="H133" t="s">
        <v>92</v>
      </c>
      <c r="I133">
        <v>1</v>
      </c>
      <c r="J133">
        <v>1</v>
      </c>
      <c r="N133">
        <v>1</v>
      </c>
      <c r="O133">
        <v>1</v>
      </c>
      <c r="P133">
        <v>1</v>
      </c>
      <c r="Q133">
        <v>1</v>
      </c>
      <c r="R133">
        <v>1</v>
      </c>
      <c r="S133">
        <v>1</v>
      </c>
      <c r="T133">
        <v>1</v>
      </c>
      <c r="W133">
        <v>1</v>
      </c>
      <c r="X133">
        <v>1</v>
      </c>
      <c r="Y133">
        <v>1</v>
      </c>
      <c r="Z133">
        <v>1</v>
      </c>
      <c r="AA133">
        <v>1</v>
      </c>
      <c r="AB133">
        <v>1</v>
      </c>
    </row>
    <row r="134" spans="1:28" x14ac:dyDescent="0.25">
      <c r="A134" t="str">
        <f>"130"</f>
        <v>130</v>
      </c>
      <c r="B134" t="str">
        <f t="shared" si="5"/>
        <v>1</v>
      </c>
      <c r="C134" t="str">
        <f t="shared" si="7"/>
        <v>6</v>
      </c>
      <c r="D134" t="str">
        <f>"6"</f>
        <v>6</v>
      </c>
      <c r="E134" t="str">
        <f>"1-6-6"</f>
        <v>1-6-6</v>
      </c>
      <c r="F134" t="s">
        <v>83</v>
      </c>
      <c r="G134" t="s">
        <v>84</v>
      </c>
      <c r="H134" t="s">
        <v>92</v>
      </c>
      <c r="I134">
        <v>1</v>
      </c>
      <c r="J134">
        <v>1</v>
      </c>
      <c r="N134">
        <v>1</v>
      </c>
      <c r="O134">
        <v>1</v>
      </c>
      <c r="P134">
        <v>1</v>
      </c>
      <c r="Q134">
        <v>1</v>
      </c>
      <c r="R134">
        <v>1</v>
      </c>
      <c r="S134">
        <v>1</v>
      </c>
      <c r="T134">
        <v>1</v>
      </c>
      <c r="W134">
        <v>1</v>
      </c>
      <c r="X134">
        <v>1</v>
      </c>
      <c r="Y134">
        <v>1</v>
      </c>
      <c r="Z134">
        <v>1</v>
      </c>
      <c r="AA134">
        <v>1</v>
      </c>
      <c r="AB134">
        <v>1</v>
      </c>
    </row>
    <row r="135" spans="1:28" x14ac:dyDescent="0.25">
      <c r="A135" t="str">
        <f>"131"</f>
        <v>131</v>
      </c>
      <c r="B135" t="str">
        <f t="shared" si="5"/>
        <v>1</v>
      </c>
      <c r="C135" t="str">
        <f t="shared" si="7"/>
        <v>6</v>
      </c>
      <c r="D135" t="str">
        <f>"9"</f>
        <v>9</v>
      </c>
      <c r="E135" t="str">
        <f>"1-6-9"</f>
        <v>1-6-9</v>
      </c>
      <c r="F135" t="s">
        <v>83</v>
      </c>
      <c r="G135" t="s">
        <v>86</v>
      </c>
      <c r="H135" t="s">
        <v>93</v>
      </c>
      <c r="I135">
        <v>1</v>
      </c>
      <c r="K135">
        <v>0</v>
      </c>
      <c r="L135">
        <v>0</v>
      </c>
      <c r="M135">
        <v>1</v>
      </c>
      <c r="N135">
        <v>1</v>
      </c>
      <c r="O135">
        <v>1</v>
      </c>
      <c r="P135">
        <v>1</v>
      </c>
      <c r="Q135">
        <v>1</v>
      </c>
      <c r="R135">
        <v>0</v>
      </c>
      <c r="U135">
        <v>0</v>
      </c>
      <c r="V135">
        <v>1</v>
      </c>
      <c r="W135">
        <v>0</v>
      </c>
      <c r="X135">
        <v>0</v>
      </c>
      <c r="Y135">
        <v>0</v>
      </c>
      <c r="Z135">
        <v>1</v>
      </c>
      <c r="AA135">
        <v>0</v>
      </c>
      <c r="AB135">
        <v>0</v>
      </c>
    </row>
    <row r="136" spans="1:28" x14ac:dyDescent="0.25">
      <c r="A136" t="str">
        <f>"132"</f>
        <v>132</v>
      </c>
      <c r="B136" t="str">
        <f t="shared" si="5"/>
        <v>1</v>
      </c>
      <c r="C136" t="str">
        <f t="shared" si="7"/>
        <v>6</v>
      </c>
      <c r="D136" t="str">
        <f>"4"</f>
        <v>4</v>
      </c>
      <c r="E136" t="str">
        <f>"1-6-4"</f>
        <v>1-6-4</v>
      </c>
      <c r="F136" t="s">
        <v>83</v>
      </c>
      <c r="G136" t="s">
        <v>84</v>
      </c>
      <c r="H136" t="s">
        <v>92</v>
      </c>
      <c r="I136">
        <v>1</v>
      </c>
      <c r="J136">
        <v>1</v>
      </c>
      <c r="N136">
        <v>1</v>
      </c>
      <c r="O136">
        <v>1</v>
      </c>
      <c r="P136">
        <v>1</v>
      </c>
      <c r="Q136">
        <v>1</v>
      </c>
      <c r="R136">
        <v>1</v>
      </c>
      <c r="S136">
        <v>1</v>
      </c>
      <c r="T136">
        <v>1</v>
      </c>
      <c r="W136">
        <v>1</v>
      </c>
      <c r="X136">
        <v>1</v>
      </c>
      <c r="Y136">
        <v>1</v>
      </c>
      <c r="Z136">
        <v>1</v>
      </c>
      <c r="AA136">
        <v>1</v>
      </c>
      <c r="AB136">
        <v>1</v>
      </c>
    </row>
    <row r="137" spans="1:28" x14ac:dyDescent="0.25">
      <c r="A137" t="str">
        <f>"133"</f>
        <v>133</v>
      </c>
      <c r="B137" t="str">
        <f t="shared" si="5"/>
        <v>1</v>
      </c>
      <c r="C137" t="str">
        <f t="shared" si="7"/>
        <v>6</v>
      </c>
      <c r="D137" t="str">
        <f>"21"</f>
        <v>21</v>
      </c>
      <c r="E137" t="str">
        <f>"1-6-21"</f>
        <v>1-6-21</v>
      </c>
      <c r="F137" t="s">
        <v>83</v>
      </c>
      <c r="G137" t="s">
        <v>84</v>
      </c>
      <c r="H137" t="s">
        <v>92</v>
      </c>
      <c r="I137">
        <v>1</v>
      </c>
      <c r="J137">
        <v>1</v>
      </c>
      <c r="N137">
        <v>1</v>
      </c>
      <c r="O137">
        <v>1</v>
      </c>
      <c r="P137">
        <v>1</v>
      </c>
      <c r="Q137">
        <v>1</v>
      </c>
      <c r="R137">
        <v>0</v>
      </c>
      <c r="S137">
        <v>0</v>
      </c>
      <c r="T137">
        <v>0</v>
      </c>
      <c r="W137">
        <v>0</v>
      </c>
      <c r="X137">
        <v>0</v>
      </c>
      <c r="Y137">
        <v>1</v>
      </c>
      <c r="Z137">
        <v>0</v>
      </c>
      <c r="AA137">
        <v>0</v>
      </c>
      <c r="AB137">
        <v>0</v>
      </c>
    </row>
    <row r="138" spans="1:28" x14ac:dyDescent="0.25">
      <c r="A138" t="str">
        <f>"134"</f>
        <v>134</v>
      </c>
      <c r="B138" t="str">
        <f t="shared" si="5"/>
        <v>1</v>
      </c>
      <c r="C138" t="str">
        <f t="shared" si="7"/>
        <v>6</v>
      </c>
      <c r="D138" t="str">
        <f>"20"</f>
        <v>20</v>
      </c>
      <c r="E138" t="str">
        <f>"1-6-20"</f>
        <v>1-6-20</v>
      </c>
      <c r="F138" t="s">
        <v>83</v>
      </c>
      <c r="G138" t="s">
        <v>86</v>
      </c>
      <c r="H138" t="s">
        <v>93</v>
      </c>
      <c r="I138">
        <v>1</v>
      </c>
      <c r="K138">
        <v>0</v>
      </c>
      <c r="L138">
        <v>0</v>
      </c>
      <c r="M138">
        <v>1</v>
      </c>
      <c r="N138">
        <v>1</v>
      </c>
      <c r="O138">
        <v>1</v>
      </c>
      <c r="P138">
        <v>1</v>
      </c>
      <c r="Q138">
        <v>1</v>
      </c>
      <c r="R138">
        <v>1</v>
      </c>
      <c r="U138">
        <v>0</v>
      </c>
      <c r="V138">
        <v>1</v>
      </c>
      <c r="W138">
        <v>1</v>
      </c>
      <c r="X138">
        <v>1</v>
      </c>
      <c r="Y138">
        <v>1</v>
      </c>
      <c r="Z138">
        <v>1</v>
      </c>
      <c r="AA138">
        <v>1</v>
      </c>
      <c r="AB138">
        <v>1</v>
      </c>
    </row>
    <row r="139" spans="1:28" x14ac:dyDescent="0.25">
      <c r="A139" t="str">
        <f>"135"</f>
        <v>135</v>
      </c>
      <c r="B139" t="str">
        <f t="shared" si="5"/>
        <v>1</v>
      </c>
      <c r="C139" t="str">
        <f t="shared" si="7"/>
        <v>6</v>
      </c>
      <c r="D139" t="str">
        <f>"19"</f>
        <v>19</v>
      </c>
      <c r="E139" t="str">
        <f>"1-6-19"</f>
        <v>1-6-19</v>
      </c>
      <c r="F139" t="s">
        <v>83</v>
      </c>
      <c r="G139" t="s">
        <v>84</v>
      </c>
      <c r="H139" t="s">
        <v>92</v>
      </c>
      <c r="I139">
        <v>1</v>
      </c>
      <c r="J139">
        <v>1</v>
      </c>
      <c r="N139">
        <v>1</v>
      </c>
      <c r="O139">
        <v>1</v>
      </c>
      <c r="P139">
        <v>1</v>
      </c>
      <c r="Q139">
        <v>1</v>
      </c>
      <c r="R139">
        <v>1</v>
      </c>
      <c r="S139">
        <v>1</v>
      </c>
      <c r="T139">
        <v>1</v>
      </c>
      <c r="W139">
        <v>1</v>
      </c>
      <c r="X139">
        <v>1</v>
      </c>
      <c r="Y139">
        <v>1</v>
      </c>
      <c r="Z139">
        <v>1</v>
      </c>
      <c r="AA139">
        <v>1</v>
      </c>
      <c r="AB139">
        <v>1</v>
      </c>
    </row>
    <row r="140" spans="1:28" x14ac:dyDescent="0.25">
      <c r="A140" t="str">
        <f>"136"</f>
        <v>136</v>
      </c>
      <c r="B140" t="str">
        <f t="shared" si="5"/>
        <v>1</v>
      </c>
      <c r="C140" t="str">
        <f t="shared" si="7"/>
        <v>6</v>
      </c>
      <c r="D140" t="str">
        <f>"18"</f>
        <v>18</v>
      </c>
      <c r="E140" t="str">
        <f>"1-6-18"</f>
        <v>1-6-18</v>
      </c>
      <c r="F140" t="s">
        <v>83</v>
      </c>
      <c r="G140" t="s">
        <v>84</v>
      </c>
      <c r="H140" t="s">
        <v>92</v>
      </c>
      <c r="I140">
        <v>1</v>
      </c>
      <c r="J140">
        <v>1</v>
      </c>
      <c r="N140">
        <v>1</v>
      </c>
      <c r="O140">
        <v>1</v>
      </c>
      <c r="P140">
        <v>1</v>
      </c>
      <c r="Q140">
        <v>1</v>
      </c>
      <c r="R140">
        <v>1</v>
      </c>
      <c r="S140">
        <v>1</v>
      </c>
      <c r="T140">
        <v>1</v>
      </c>
      <c r="W140">
        <v>1</v>
      </c>
      <c r="X140">
        <v>1</v>
      </c>
      <c r="Y140">
        <v>1</v>
      </c>
      <c r="Z140">
        <v>1</v>
      </c>
      <c r="AA140">
        <v>1</v>
      </c>
      <c r="AB140">
        <v>1</v>
      </c>
    </row>
    <row r="141" spans="1:28" x14ac:dyDescent="0.25">
      <c r="A141" t="str">
        <f>"137"</f>
        <v>137</v>
      </c>
      <c r="B141" t="str">
        <f t="shared" si="5"/>
        <v>1</v>
      </c>
      <c r="C141" t="str">
        <f t="shared" si="7"/>
        <v>6</v>
      </c>
      <c r="D141" t="str">
        <f>"15"</f>
        <v>15</v>
      </c>
      <c r="E141" t="str">
        <f>"1-6-15"</f>
        <v>1-6-15</v>
      </c>
      <c r="F141" t="s">
        <v>83</v>
      </c>
      <c r="G141" t="s">
        <v>84</v>
      </c>
      <c r="H141" t="s">
        <v>92</v>
      </c>
      <c r="I141">
        <v>1</v>
      </c>
      <c r="J141">
        <v>1</v>
      </c>
      <c r="N141">
        <v>1</v>
      </c>
      <c r="O141">
        <v>1</v>
      </c>
      <c r="P141">
        <v>1</v>
      </c>
      <c r="Q141">
        <v>1</v>
      </c>
      <c r="R141">
        <v>1</v>
      </c>
      <c r="S141">
        <v>1</v>
      </c>
      <c r="T141">
        <v>1</v>
      </c>
      <c r="W141">
        <v>1</v>
      </c>
      <c r="X141">
        <v>1</v>
      </c>
      <c r="Y141">
        <v>1</v>
      </c>
      <c r="Z141">
        <v>1</v>
      </c>
      <c r="AA141">
        <v>1</v>
      </c>
      <c r="AB141">
        <v>1</v>
      </c>
    </row>
    <row r="142" spans="1:28" x14ac:dyDescent="0.25">
      <c r="A142" t="str">
        <f>"138"</f>
        <v>138</v>
      </c>
      <c r="B142" t="str">
        <f t="shared" si="5"/>
        <v>1</v>
      </c>
      <c r="C142" t="str">
        <f t="shared" si="7"/>
        <v>6</v>
      </c>
      <c r="D142" t="str">
        <f>"14"</f>
        <v>14</v>
      </c>
      <c r="E142" t="str">
        <f>"1-6-14"</f>
        <v>1-6-14</v>
      </c>
      <c r="F142" t="s">
        <v>83</v>
      </c>
      <c r="G142" t="s">
        <v>84</v>
      </c>
      <c r="H142" t="s">
        <v>92</v>
      </c>
      <c r="I142">
        <v>1</v>
      </c>
      <c r="J142">
        <v>1</v>
      </c>
      <c r="N142">
        <v>1</v>
      </c>
      <c r="O142">
        <v>1</v>
      </c>
      <c r="P142">
        <v>1</v>
      </c>
      <c r="Q142">
        <v>1</v>
      </c>
      <c r="R142">
        <v>1</v>
      </c>
      <c r="S142">
        <v>1</v>
      </c>
      <c r="T142">
        <v>1</v>
      </c>
      <c r="W142">
        <v>1</v>
      </c>
      <c r="X142">
        <v>1</v>
      </c>
      <c r="Y142">
        <v>1</v>
      </c>
      <c r="Z142">
        <v>1</v>
      </c>
      <c r="AA142">
        <v>1</v>
      </c>
      <c r="AB142">
        <v>1</v>
      </c>
    </row>
    <row r="143" spans="1:28" x14ac:dyDescent="0.25">
      <c r="A143" t="str">
        <f>"139"</f>
        <v>139</v>
      </c>
      <c r="B143" t="str">
        <f t="shared" si="5"/>
        <v>1</v>
      </c>
      <c r="C143" t="str">
        <f t="shared" si="7"/>
        <v>6</v>
      </c>
      <c r="D143" t="str">
        <f>"12"</f>
        <v>12</v>
      </c>
      <c r="E143" t="str">
        <f>"1-6-12"</f>
        <v>1-6-12</v>
      </c>
      <c r="F143" t="s">
        <v>83</v>
      </c>
      <c r="G143" t="s">
        <v>84</v>
      </c>
      <c r="H143" t="s">
        <v>92</v>
      </c>
      <c r="I143">
        <v>1</v>
      </c>
      <c r="J143">
        <v>1</v>
      </c>
      <c r="N143">
        <v>1</v>
      </c>
      <c r="O143">
        <v>1</v>
      </c>
      <c r="P143">
        <v>1</v>
      </c>
      <c r="Q143">
        <v>1</v>
      </c>
      <c r="R143">
        <v>1</v>
      </c>
      <c r="S143">
        <v>1</v>
      </c>
      <c r="T143">
        <v>1</v>
      </c>
      <c r="W143">
        <v>1</v>
      </c>
      <c r="X143">
        <v>1</v>
      </c>
      <c r="Y143">
        <v>1</v>
      </c>
      <c r="Z143">
        <v>1</v>
      </c>
      <c r="AA143">
        <v>1</v>
      </c>
      <c r="AB143">
        <v>1</v>
      </c>
    </row>
    <row r="144" spans="1:28" x14ac:dyDescent="0.25">
      <c r="A144" t="str">
        <f>"140"</f>
        <v>140</v>
      </c>
      <c r="B144" t="str">
        <f t="shared" si="5"/>
        <v>1</v>
      </c>
      <c r="C144" t="str">
        <f t="shared" si="7"/>
        <v>6</v>
      </c>
      <c r="D144" t="str">
        <f>"10"</f>
        <v>10</v>
      </c>
      <c r="E144" t="str">
        <f>"1-6-10"</f>
        <v>1-6-10</v>
      </c>
      <c r="F144" t="s">
        <v>83</v>
      </c>
      <c r="G144" t="s">
        <v>84</v>
      </c>
      <c r="H144" t="s">
        <v>92</v>
      </c>
      <c r="I144">
        <v>1</v>
      </c>
      <c r="J144">
        <v>1</v>
      </c>
      <c r="N144">
        <v>1</v>
      </c>
      <c r="O144">
        <v>1</v>
      </c>
      <c r="P144">
        <v>1</v>
      </c>
      <c r="Q144">
        <v>1</v>
      </c>
      <c r="R144">
        <v>1</v>
      </c>
      <c r="S144">
        <v>1</v>
      </c>
      <c r="T144">
        <v>1</v>
      </c>
      <c r="W144">
        <v>1</v>
      </c>
      <c r="X144">
        <v>1</v>
      </c>
      <c r="Y144">
        <v>1</v>
      </c>
      <c r="Z144">
        <v>1</v>
      </c>
      <c r="AA144">
        <v>1</v>
      </c>
      <c r="AB144">
        <v>1</v>
      </c>
    </row>
    <row r="145" spans="1:28" x14ac:dyDescent="0.25">
      <c r="A145" t="str">
        <f>"141"</f>
        <v>141</v>
      </c>
      <c r="B145" t="str">
        <f t="shared" si="5"/>
        <v>1</v>
      </c>
      <c r="C145" t="str">
        <f t="shared" si="7"/>
        <v>6</v>
      </c>
      <c r="D145" t="str">
        <f>"5"</f>
        <v>5</v>
      </c>
      <c r="E145" t="str">
        <f>"1-6-5"</f>
        <v>1-6-5</v>
      </c>
      <c r="F145" t="s">
        <v>83</v>
      </c>
      <c r="G145" t="s">
        <v>84</v>
      </c>
      <c r="H145" t="s">
        <v>92</v>
      </c>
      <c r="I145">
        <v>1</v>
      </c>
      <c r="J145">
        <v>1</v>
      </c>
      <c r="N145">
        <v>1</v>
      </c>
      <c r="O145">
        <v>1</v>
      </c>
      <c r="P145">
        <v>1</v>
      </c>
      <c r="Q145">
        <v>1</v>
      </c>
      <c r="R145">
        <v>1</v>
      </c>
      <c r="S145">
        <v>1</v>
      </c>
      <c r="T145">
        <v>0</v>
      </c>
      <c r="W145">
        <v>1</v>
      </c>
      <c r="X145">
        <v>1</v>
      </c>
      <c r="Y145">
        <v>1</v>
      </c>
      <c r="Z145">
        <v>1</v>
      </c>
      <c r="AA145">
        <v>1</v>
      </c>
      <c r="AB145">
        <v>1</v>
      </c>
    </row>
    <row r="146" spans="1:28" x14ac:dyDescent="0.25">
      <c r="A146" t="str">
        <f>"142"</f>
        <v>142</v>
      </c>
      <c r="B146" t="str">
        <f t="shared" si="5"/>
        <v>1</v>
      </c>
      <c r="C146" t="str">
        <f t="shared" si="7"/>
        <v>6</v>
      </c>
      <c r="D146" t="str">
        <f>"11"</f>
        <v>11</v>
      </c>
      <c r="E146" t="str">
        <f>"1-6-11"</f>
        <v>1-6-11</v>
      </c>
      <c r="F146" t="s">
        <v>83</v>
      </c>
      <c r="G146" t="s">
        <v>86</v>
      </c>
      <c r="H146" t="s">
        <v>93</v>
      </c>
      <c r="I146">
        <v>1</v>
      </c>
      <c r="K146">
        <v>1</v>
      </c>
      <c r="L146">
        <v>0</v>
      </c>
      <c r="M146">
        <v>0</v>
      </c>
      <c r="N146">
        <v>1</v>
      </c>
      <c r="O146">
        <v>1</v>
      </c>
      <c r="P146">
        <v>1</v>
      </c>
      <c r="Q146">
        <v>1</v>
      </c>
      <c r="R146">
        <v>1</v>
      </c>
      <c r="U146">
        <v>0</v>
      </c>
      <c r="V146">
        <v>1</v>
      </c>
      <c r="W146">
        <v>1</v>
      </c>
      <c r="X146">
        <v>1</v>
      </c>
      <c r="Y146">
        <v>1</v>
      </c>
      <c r="Z146">
        <v>1</v>
      </c>
      <c r="AA146">
        <v>1</v>
      </c>
      <c r="AB146">
        <v>1</v>
      </c>
    </row>
    <row r="147" spans="1:28" x14ac:dyDescent="0.25">
      <c r="A147" t="str">
        <f>"143"</f>
        <v>143</v>
      </c>
      <c r="B147" t="str">
        <f t="shared" si="5"/>
        <v>1</v>
      </c>
      <c r="C147" t="str">
        <f t="shared" si="7"/>
        <v>6</v>
      </c>
      <c r="D147" t="str">
        <f>"7"</f>
        <v>7</v>
      </c>
      <c r="E147" t="str">
        <f>"1-6-7"</f>
        <v>1-6-7</v>
      </c>
      <c r="F147" t="s">
        <v>83</v>
      </c>
      <c r="G147" t="s">
        <v>84</v>
      </c>
      <c r="H147" t="s">
        <v>92</v>
      </c>
      <c r="I147">
        <v>1</v>
      </c>
      <c r="J147">
        <v>1</v>
      </c>
      <c r="N147">
        <v>1</v>
      </c>
      <c r="O147">
        <v>1</v>
      </c>
      <c r="P147">
        <v>1</v>
      </c>
      <c r="Q147">
        <v>1</v>
      </c>
      <c r="R147">
        <v>1</v>
      </c>
      <c r="S147">
        <v>1</v>
      </c>
      <c r="T147">
        <v>1</v>
      </c>
      <c r="W147">
        <v>1</v>
      </c>
      <c r="X147">
        <v>1</v>
      </c>
      <c r="Y147">
        <v>1</v>
      </c>
      <c r="Z147">
        <v>1</v>
      </c>
      <c r="AA147">
        <v>1</v>
      </c>
      <c r="AB147">
        <v>1</v>
      </c>
    </row>
    <row r="148" spans="1:28" x14ac:dyDescent="0.25">
      <c r="A148" t="str">
        <f>"144"</f>
        <v>144</v>
      </c>
      <c r="B148" t="str">
        <f t="shared" si="5"/>
        <v>1</v>
      </c>
      <c r="C148" t="str">
        <f t="shared" si="7"/>
        <v>6</v>
      </c>
      <c r="D148" t="str">
        <f>"22"</f>
        <v>22</v>
      </c>
      <c r="E148" t="str">
        <f>"1-6-22"</f>
        <v>1-6-22</v>
      </c>
      <c r="F148" t="s">
        <v>83</v>
      </c>
      <c r="G148" t="s">
        <v>84</v>
      </c>
      <c r="H148" t="s">
        <v>92</v>
      </c>
      <c r="I148">
        <v>1</v>
      </c>
      <c r="J148">
        <v>1</v>
      </c>
      <c r="N148">
        <v>1</v>
      </c>
      <c r="O148">
        <v>1</v>
      </c>
      <c r="P148">
        <v>1</v>
      </c>
      <c r="Q148">
        <v>1</v>
      </c>
      <c r="R148">
        <v>0</v>
      </c>
      <c r="S148">
        <v>1</v>
      </c>
      <c r="T148">
        <v>0</v>
      </c>
      <c r="W148">
        <v>1</v>
      </c>
      <c r="X148">
        <v>1</v>
      </c>
      <c r="Y148">
        <v>1</v>
      </c>
      <c r="Z148">
        <v>1</v>
      </c>
      <c r="AA148">
        <v>1</v>
      </c>
      <c r="AB148">
        <v>1</v>
      </c>
    </row>
    <row r="149" spans="1:28" x14ac:dyDescent="0.25">
      <c r="A149" t="str">
        <f>"145"</f>
        <v>145</v>
      </c>
      <c r="B149" t="str">
        <f t="shared" si="5"/>
        <v>1</v>
      </c>
      <c r="C149" t="str">
        <f t="shared" si="7"/>
        <v>6</v>
      </c>
      <c r="D149" t="str">
        <f>"2"</f>
        <v>2</v>
      </c>
      <c r="E149" t="str">
        <f>"1-6-2"</f>
        <v>1-6-2</v>
      </c>
      <c r="F149" t="s">
        <v>83</v>
      </c>
      <c r="G149" t="s">
        <v>86</v>
      </c>
      <c r="H149" t="s">
        <v>93</v>
      </c>
      <c r="I149">
        <v>1</v>
      </c>
      <c r="K149">
        <v>0</v>
      </c>
      <c r="L149">
        <v>0</v>
      </c>
      <c r="M149">
        <v>1</v>
      </c>
      <c r="N149">
        <v>1</v>
      </c>
      <c r="O149">
        <v>1</v>
      </c>
      <c r="P149">
        <v>1</v>
      </c>
      <c r="Q149">
        <v>1</v>
      </c>
      <c r="R149">
        <v>1</v>
      </c>
      <c r="U149">
        <v>0</v>
      </c>
      <c r="V149">
        <v>1</v>
      </c>
      <c r="W149">
        <v>1</v>
      </c>
      <c r="X149">
        <v>1</v>
      </c>
      <c r="Y149">
        <v>1</v>
      </c>
      <c r="Z149">
        <v>1</v>
      </c>
      <c r="AA149">
        <v>1</v>
      </c>
      <c r="AB149">
        <v>1</v>
      </c>
    </row>
    <row r="150" spans="1:28" x14ac:dyDescent="0.25">
      <c r="A150" t="str">
        <f>"146"</f>
        <v>146</v>
      </c>
      <c r="B150" t="str">
        <f t="shared" si="5"/>
        <v>1</v>
      </c>
      <c r="C150" t="str">
        <f t="shared" si="7"/>
        <v>6</v>
      </c>
      <c r="D150" t="str">
        <f>"23"</f>
        <v>23</v>
      </c>
      <c r="E150" t="str">
        <f>"1-6-23"</f>
        <v>1-6-23</v>
      </c>
      <c r="F150" t="s">
        <v>83</v>
      </c>
      <c r="G150" t="s">
        <v>86</v>
      </c>
      <c r="H150" t="s">
        <v>93</v>
      </c>
      <c r="I150">
        <v>1</v>
      </c>
      <c r="K150">
        <v>1</v>
      </c>
      <c r="L150">
        <v>0</v>
      </c>
      <c r="M150">
        <v>0</v>
      </c>
      <c r="N150">
        <v>1</v>
      </c>
      <c r="O150">
        <v>1</v>
      </c>
      <c r="P150">
        <v>1</v>
      </c>
      <c r="Q150">
        <v>1</v>
      </c>
      <c r="R150">
        <v>1</v>
      </c>
      <c r="U150">
        <v>0</v>
      </c>
      <c r="V150">
        <v>0</v>
      </c>
      <c r="W150">
        <v>1</v>
      </c>
      <c r="X150">
        <v>1</v>
      </c>
      <c r="Y150">
        <v>1</v>
      </c>
      <c r="Z150">
        <v>1</v>
      </c>
      <c r="AA150">
        <v>1</v>
      </c>
      <c r="AB150">
        <v>1</v>
      </c>
    </row>
    <row r="151" spans="1:28" x14ac:dyDescent="0.25">
      <c r="A151" t="str">
        <f>"147"</f>
        <v>147</v>
      </c>
      <c r="B151" t="str">
        <f t="shared" si="5"/>
        <v>1</v>
      </c>
      <c r="C151" t="str">
        <f t="shared" si="7"/>
        <v>6</v>
      </c>
      <c r="D151" t="str">
        <f>"1"</f>
        <v>1</v>
      </c>
      <c r="E151" t="str">
        <f>"1-6-1"</f>
        <v>1-6-1</v>
      </c>
      <c r="F151" t="s">
        <v>83</v>
      </c>
      <c r="G151" t="s">
        <v>86</v>
      </c>
      <c r="H151" t="s">
        <v>93</v>
      </c>
      <c r="I151">
        <v>1</v>
      </c>
      <c r="K151">
        <v>0</v>
      </c>
      <c r="L151">
        <v>0</v>
      </c>
      <c r="M151">
        <v>1</v>
      </c>
      <c r="N151">
        <v>1</v>
      </c>
      <c r="O151">
        <v>1</v>
      </c>
      <c r="P151">
        <v>1</v>
      </c>
      <c r="Q151">
        <v>1</v>
      </c>
      <c r="R151">
        <v>1</v>
      </c>
      <c r="U151">
        <v>0</v>
      </c>
      <c r="V151">
        <v>1</v>
      </c>
      <c r="W151">
        <v>1</v>
      </c>
      <c r="X151">
        <v>1</v>
      </c>
      <c r="Y151">
        <v>1</v>
      </c>
      <c r="Z151">
        <v>1</v>
      </c>
      <c r="AA151">
        <v>1</v>
      </c>
      <c r="AB151">
        <v>1</v>
      </c>
    </row>
    <row r="152" spans="1:28" x14ac:dyDescent="0.25">
      <c r="A152" t="str">
        <f>"148"</f>
        <v>148</v>
      </c>
      <c r="B152" t="str">
        <f t="shared" si="5"/>
        <v>1</v>
      </c>
      <c r="C152" t="str">
        <f t="shared" si="7"/>
        <v>6</v>
      </c>
      <c r="D152" t="str">
        <f>"3"</f>
        <v>3</v>
      </c>
      <c r="E152" t="str">
        <f>"1-6-3"</f>
        <v>1-6-3</v>
      </c>
      <c r="F152" t="s">
        <v>83</v>
      </c>
      <c r="G152" t="s">
        <v>86</v>
      </c>
      <c r="H152" t="s">
        <v>93</v>
      </c>
      <c r="I152">
        <v>1</v>
      </c>
      <c r="K152">
        <v>0</v>
      </c>
      <c r="L152">
        <v>0</v>
      </c>
      <c r="M152">
        <v>1</v>
      </c>
      <c r="N152">
        <v>1</v>
      </c>
      <c r="O152">
        <v>1</v>
      </c>
      <c r="P152">
        <v>1</v>
      </c>
      <c r="Q152">
        <v>1</v>
      </c>
      <c r="R152">
        <v>1</v>
      </c>
      <c r="U152">
        <v>1</v>
      </c>
      <c r="V152">
        <v>0</v>
      </c>
      <c r="W152">
        <v>1</v>
      </c>
      <c r="X152">
        <v>1</v>
      </c>
      <c r="Y152">
        <v>1</v>
      </c>
      <c r="Z152">
        <v>1</v>
      </c>
      <c r="AA152">
        <v>1</v>
      </c>
      <c r="AB152">
        <v>1</v>
      </c>
    </row>
    <row r="153" spans="1:28" x14ac:dyDescent="0.25">
      <c r="A153" t="str">
        <f>"149"</f>
        <v>149</v>
      </c>
      <c r="B153" t="str">
        <f t="shared" si="5"/>
        <v>1</v>
      </c>
      <c r="C153" t="str">
        <f t="shared" ref="C153:C177" si="8">"7"</f>
        <v>7</v>
      </c>
      <c r="D153" t="str">
        <f>"17"</f>
        <v>17</v>
      </c>
      <c r="E153" t="str">
        <f>"1-7-17"</f>
        <v>1-7-17</v>
      </c>
      <c r="F153" t="s">
        <v>83</v>
      </c>
      <c r="G153" t="s">
        <v>84</v>
      </c>
      <c r="H153" t="s">
        <v>92</v>
      </c>
      <c r="I153">
        <v>1</v>
      </c>
      <c r="J153">
        <v>1</v>
      </c>
      <c r="N153">
        <v>1</v>
      </c>
      <c r="O153">
        <v>1</v>
      </c>
      <c r="P153">
        <v>1</v>
      </c>
      <c r="Q153">
        <v>1</v>
      </c>
      <c r="R153">
        <v>1</v>
      </c>
      <c r="S153">
        <v>1</v>
      </c>
      <c r="T153">
        <v>1</v>
      </c>
      <c r="W153">
        <v>1</v>
      </c>
      <c r="X153">
        <v>1</v>
      </c>
      <c r="Y153">
        <v>1</v>
      </c>
      <c r="Z153">
        <v>1</v>
      </c>
      <c r="AA153">
        <v>1</v>
      </c>
      <c r="AB153">
        <v>1</v>
      </c>
    </row>
    <row r="154" spans="1:28" x14ac:dyDescent="0.25">
      <c r="A154" t="str">
        <f>"150"</f>
        <v>150</v>
      </c>
      <c r="B154" t="str">
        <f t="shared" si="5"/>
        <v>1</v>
      </c>
      <c r="C154" t="str">
        <f t="shared" si="8"/>
        <v>7</v>
      </c>
      <c r="D154" t="str">
        <f>"16"</f>
        <v>16</v>
      </c>
      <c r="E154" t="str">
        <f>"1-7-16"</f>
        <v>1-7-16</v>
      </c>
      <c r="F154" t="s">
        <v>83</v>
      </c>
      <c r="G154" t="s">
        <v>84</v>
      </c>
      <c r="H154" t="s">
        <v>92</v>
      </c>
      <c r="I154">
        <v>1</v>
      </c>
      <c r="J154">
        <v>1</v>
      </c>
      <c r="N154">
        <v>1</v>
      </c>
      <c r="O154">
        <v>1</v>
      </c>
      <c r="P154">
        <v>1</v>
      </c>
      <c r="Q154">
        <v>1</v>
      </c>
      <c r="R154">
        <v>1</v>
      </c>
      <c r="S154">
        <v>1</v>
      </c>
      <c r="T154">
        <v>1</v>
      </c>
      <c r="W154">
        <v>1</v>
      </c>
      <c r="X154">
        <v>1</v>
      </c>
      <c r="Y154">
        <v>1</v>
      </c>
      <c r="Z154">
        <v>1</v>
      </c>
      <c r="AA154">
        <v>1</v>
      </c>
      <c r="AB154">
        <v>1</v>
      </c>
    </row>
    <row r="155" spans="1:28" x14ac:dyDescent="0.25">
      <c r="A155" t="str">
        <f>"151"</f>
        <v>151</v>
      </c>
      <c r="B155" t="str">
        <f t="shared" si="5"/>
        <v>1</v>
      </c>
      <c r="C155" t="str">
        <f t="shared" si="8"/>
        <v>7</v>
      </c>
      <c r="D155" t="str">
        <f>"15"</f>
        <v>15</v>
      </c>
      <c r="E155" t="str">
        <f>"1-7-15"</f>
        <v>1-7-15</v>
      </c>
      <c r="F155" t="s">
        <v>83</v>
      </c>
      <c r="G155" t="s">
        <v>84</v>
      </c>
      <c r="H155" t="s">
        <v>92</v>
      </c>
      <c r="I155">
        <v>1</v>
      </c>
      <c r="J155">
        <v>1</v>
      </c>
      <c r="N155">
        <v>1</v>
      </c>
      <c r="O155">
        <v>1</v>
      </c>
      <c r="P155">
        <v>1</v>
      </c>
      <c r="Q155">
        <v>1</v>
      </c>
      <c r="R155">
        <v>1</v>
      </c>
      <c r="S155">
        <v>1</v>
      </c>
      <c r="T155">
        <v>1</v>
      </c>
      <c r="W155">
        <v>1</v>
      </c>
      <c r="X155">
        <v>1</v>
      </c>
      <c r="Y155">
        <v>1</v>
      </c>
      <c r="Z155">
        <v>1</v>
      </c>
      <c r="AA155">
        <v>1</v>
      </c>
      <c r="AB155">
        <v>1</v>
      </c>
    </row>
    <row r="156" spans="1:28" x14ac:dyDescent="0.25">
      <c r="A156" t="str">
        <f>"152"</f>
        <v>152</v>
      </c>
      <c r="B156" t="str">
        <f t="shared" si="5"/>
        <v>1</v>
      </c>
      <c r="C156" t="str">
        <f t="shared" si="8"/>
        <v>7</v>
      </c>
      <c r="D156" t="str">
        <f>"8"</f>
        <v>8</v>
      </c>
      <c r="E156" t="str">
        <f>"1-7-8"</f>
        <v>1-7-8</v>
      </c>
      <c r="F156" t="s">
        <v>83</v>
      </c>
      <c r="G156" t="s">
        <v>84</v>
      </c>
      <c r="H156" t="s">
        <v>92</v>
      </c>
      <c r="I156">
        <v>1</v>
      </c>
      <c r="J156">
        <v>1</v>
      </c>
      <c r="N156">
        <v>1</v>
      </c>
      <c r="O156">
        <v>1</v>
      </c>
      <c r="P156">
        <v>1</v>
      </c>
      <c r="Q156">
        <v>1</v>
      </c>
      <c r="R156">
        <v>1</v>
      </c>
      <c r="S156">
        <v>1</v>
      </c>
      <c r="T156">
        <v>1</v>
      </c>
      <c r="W156">
        <v>1</v>
      </c>
      <c r="X156">
        <v>1</v>
      </c>
      <c r="Y156">
        <v>1</v>
      </c>
      <c r="Z156">
        <v>1</v>
      </c>
      <c r="AA156">
        <v>1</v>
      </c>
      <c r="AB156">
        <v>1</v>
      </c>
    </row>
    <row r="157" spans="1:28" x14ac:dyDescent="0.25">
      <c r="A157" t="str">
        <f>"153"</f>
        <v>153</v>
      </c>
      <c r="B157" t="str">
        <f t="shared" si="5"/>
        <v>1</v>
      </c>
      <c r="C157" t="str">
        <f t="shared" si="8"/>
        <v>7</v>
      </c>
      <c r="D157" t="str">
        <f>"5"</f>
        <v>5</v>
      </c>
      <c r="E157" t="str">
        <f>"1-7-5"</f>
        <v>1-7-5</v>
      </c>
      <c r="F157" t="s">
        <v>83</v>
      </c>
      <c r="G157" t="s">
        <v>84</v>
      </c>
      <c r="H157" t="s">
        <v>92</v>
      </c>
      <c r="I157">
        <v>1</v>
      </c>
      <c r="J157">
        <v>1</v>
      </c>
      <c r="N157">
        <v>1</v>
      </c>
      <c r="O157">
        <v>1</v>
      </c>
      <c r="P157">
        <v>1</v>
      </c>
      <c r="Q157">
        <v>1</v>
      </c>
      <c r="R157">
        <v>1</v>
      </c>
      <c r="S157">
        <v>1</v>
      </c>
      <c r="T157">
        <v>1</v>
      </c>
      <c r="W157">
        <v>1</v>
      </c>
      <c r="X157">
        <v>1</v>
      </c>
      <c r="Y157">
        <v>1</v>
      </c>
      <c r="Z157">
        <v>1</v>
      </c>
      <c r="AA157">
        <v>1</v>
      </c>
      <c r="AB157">
        <v>1</v>
      </c>
    </row>
    <row r="158" spans="1:28" x14ac:dyDescent="0.25">
      <c r="A158" t="str">
        <f>"154"</f>
        <v>154</v>
      </c>
      <c r="B158" t="str">
        <f t="shared" ref="B158:B221" si="9">"1"</f>
        <v>1</v>
      </c>
      <c r="C158" t="str">
        <f t="shared" si="8"/>
        <v>7</v>
      </c>
      <c r="D158" t="str">
        <f>"25"</f>
        <v>25</v>
      </c>
      <c r="E158" t="str">
        <f>"1-7-25"</f>
        <v>1-7-25</v>
      </c>
      <c r="F158" t="s">
        <v>83</v>
      </c>
      <c r="G158" t="s">
        <v>84</v>
      </c>
      <c r="H158" t="s">
        <v>92</v>
      </c>
      <c r="I158">
        <v>1</v>
      </c>
      <c r="J158">
        <v>1</v>
      </c>
      <c r="N158">
        <v>1</v>
      </c>
      <c r="O158">
        <v>1</v>
      </c>
      <c r="P158">
        <v>1</v>
      </c>
      <c r="Q158">
        <v>1</v>
      </c>
      <c r="R158">
        <v>1</v>
      </c>
      <c r="S158">
        <v>1</v>
      </c>
      <c r="T158">
        <v>1</v>
      </c>
      <c r="W158">
        <v>1</v>
      </c>
      <c r="X158">
        <v>1</v>
      </c>
      <c r="Y158">
        <v>1</v>
      </c>
      <c r="Z158">
        <v>1</v>
      </c>
      <c r="AA158">
        <v>1</v>
      </c>
      <c r="AB158">
        <v>1</v>
      </c>
    </row>
    <row r="159" spans="1:28" x14ac:dyDescent="0.25">
      <c r="A159" t="str">
        <f>"155"</f>
        <v>155</v>
      </c>
      <c r="B159" t="str">
        <f t="shared" si="9"/>
        <v>1</v>
      </c>
      <c r="C159" t="str">
        <f t="shared" si="8"/>
        <v>7</v>
      </c>
      <c r="D159" t="str">
        <f>"24"</f>
        <v>24</v>
      </c>
      <c r="E159" t="str">
        <f>"1-7-24"</f>
        <v>1-7-24</v>
      </c>
      <c r="F159" t="s">
        <v>83</v>
      </c>
      <c r="G159" t="s">
        <v>84</v>
      </c>
      <c r="H159" t="s">
        <v>92</v>
      </c>
      <c r="I159">
        <v>1</v>
      </c>
      <c r="J159">
        <v>1</v>
      </c>
      <c r="N159">
        <v>1</v>
      </c>
      <c r="O159">
        <v>1</v>
      </c>
      <c r="P159">
        <v>1</v>
      </c>
      <c r="Q159">
        <v>1</v>
      </c>
      <c r="R159">
        <v>1</v>
      </c>
      <c r="S159">
        <v>1</v>
      </c>
      <c r="T159">
        <v>1</v>
      </c>
      <c r="W159">
        <v>1</v>
      </c>
      <c r="X159">
        <v>1</v>
      </c>
      <c r="Y159">
        <v>1</v>
      </c>
      <c r="Z159">
        <v>1</v>
      </c>
      <c r="AA159">
        <v>1</v>
      </c>
      <c r="AB159">
        <v>1</v>
      </c>
    </row>
    <row r="160" spans="1:28" x14ac:dyDescent="0.25">
      <c r="A160" t="str">
        <f>"156"</f>
        <v>156</v>
      </c>
      <c r="B160" t="str">
        <f t="shared" si="9"/>
        <v>1</v>
      </c>
      <c r="C160" t="str">
        <f t="shared" si="8"/>
        <v>7</v>
      </c>
      <c r="D160" t="str">
        <f>"18"</f>
        <v>18</v>
      </c>
      <c r="E160" t="str">
        <f>"1-7-18"</f>
        <v>1-7-18</v>
      </c>
      <c r="F160" t="s">
        <v>83</v>
      </c>
      <c r="G160" t="s">
        <v>84</v>
      </c>
      <c r="H160" t="s">
        <v>92</v>
      </c>
      <c r="I160">
        <v>1</v>
      </c>
      <c r="J160">
        <v>1</v>
      </c>
      <c r="N160">
        <v>1</v>
      </c>
      <c r="O160">
        <v>1</v>
      </c>
      <c r="P160">
        <v>1</v>
      </c>
      <c r="Q160">
        <v>1</v>
      </c>
      <c r="R160">
        <v>1</v>
      </c>
      <c r="S160">
        <v>1</v>
      </c>
      <c r="T160">
        <v>1</v>
      </c>
      <c r="W160">
        <v>1</v>
      </c>
      <c r="X160">
        <v>1</v>
      </c>
      <c r="Y160">
        <v>1</v>
      </c>
      <c r="Z160">
        <v>1</v>
      </c>
      <c r="AA160">
        <v>1</v>
      </c>
      <c r="AB160">
        <v>1</v>
      </c>
    </row>
    <row r="161" spans="1:28" x14ac:dyDescent="0.25">
      <c r="A161" t="str">
        <f>"157"</f>
        <v>157</v>
      </c>
      <c r="B161" t="str">
        <f t="shared" si="9"/>
        <v>1</v>
      </c>
      <c r="C161" t="str">
        <f t="shared" si="8"/>
        <v>7</v>
      </c>
      <c r="D161" t="str">
        <f>"9"</f>
        <v>9</v>
      </c>
      <c r="E161" t="str">
        <f>"1-7-9"</f>
        <v>1-7-9</v>
      </c>
      <c r="F161" t="s">
        <v>83</v>
      </c>
      <c r="G161" t="s">
        <v>84</v>
      </c>
      <c r="H161" t="s">
        <v>92</v>
      </c>
      <c r="I161">
        <v>1</v>
      </c>
      <c r="J161">
        <v>1</v>
      </c>
      <c r="N161">
        <v>1</v>
      </c>
      <c r="O161">
        <v>1</v>
      </c>
      <c r="P161">
        <v>1</v>
      </c>
      <c r="Q161">
        <v>1</v>
      </c>
      <c r="R161">
        <v>1</v>
      </c>
      <c r="S161">
        <v>1</v>
      </c>
      <c r="T161">
        <v>1</v>
      </c>
      <c r="W161">
        <v>1</v>
      </c>
      <c r="X161">
        <v>1</v>
      </c>
      <c r="Y161">
        <v>1</v>
      </c>
      <c r="Z161">
        <v>1</v>
      </c>
      <c r="AA161">
        <v>1</v>
      </c>
      <c r="AB161">
        <v>1</v>
      </c>
    </row>
    <row r="162" spans="1:28" x14ac:dyDescent="0.25">
      <c r="A162" t="str">
        <f>"158"</f>
        <v>158</v>
      </c>
      <c r="B162" t="str">
        <f t="shared" si="9"/>
        <v>1</v>
      </c>
      <c r="C162" t="str">
        <f t="shared" si="8"/>
        <v>7</v>
      </c>
      <c r="D162" t="str">
        <f>"2"</f>
        <v>2</v>
      </c>
      <c r="E162" t="str">
        <f>"1-7-2"</f>
        <v>1-7-2</v>
      </c>
      <c r="F162" t="s">
        <v>83</v>
      </c>
      <c r="G162" t="s">
        <v>84</v>
      </c>
      <c r="H162" t="s">
        <v>92</v>
      </c>
      <c r="I162">
        <v>1</v>
      </c>
      <c r="J162">
        <v>1</v>
      </c>
      <c r="N162">
        <v>1</v>
      </c>
      <c r="O162">
        <v>1</v>
      </c>
      <c r="P162">
        <v>1</v>
      </c>
      <c r="Q162">
        <v>1</v>
      </c>
      <c r="R162">
        <v>1</v>
      </c>
      <c r="S162">
        <v>1</v>
      </c>
      <c r="T162">
        <v>1</v>
      </c>
      <c r="W162">
        <v>1</v>
      </c>
      <c r="X162">
        <v>1</v>
      </c>
      <c r="Y162">
        <v>1</v>
      </c>
      <c r="Z162">
        <v>1</v>
      </c>
      <c r="AA162">
        <v>1</v>
      </c>
      <c r="AB162">
        <v>0</v>
      </c>
    </row>
    <row r="163" spans="1:28" x14ac:dyDescent="0.25">
      <c r="A163" t="str">
        <f>"159"</f>
        <v>159</v>
      </c>
      <c r="B163" t="str">
        <f t="shared" si="9"/>
        <v>1</v>
      </c>
      <c r="C163" t="str">
        <f t="shared" si="8"/>
        <v>7</v>
      </c>
      <c r="D163" t="str">
        <f>"19"</f>
        <v>19</v>
      </c>
      <c r="E163" t="str">
        <f>"1-7-19"</f>
        <v>1-7-19</v>
      </c>
      <c r="F163" t="s">
        <v>83</v>
      </c>
      <c r="G163" t="s">
        <v>84</v>
      </c>
      <c r="H163" t="s">
        <v>92</v>
      </c>
      <c r="I163">
        <v>1</v>
      </c>
      <c r="J163">
        <v>1</v>
      </c>
      <c r="N163">
        <v>1</v>
      </c>
      <c r="O163">
        <v>1</v>
      </c>
      <c r="P163">
        <v>1</v>
      </c>
      <c r="Q163">
        <v>1</v>
      </c>
      <c r="R163">
        <v>1</v>
      </c>
      <c r="S163">
        <v>1</v>
      </c>
      <c r="T163">
        <v>1</v>
      </c>
      <c r="W163">
        <v>1</v>
      </c>
      <c r="X163">
        <v>1</v>
      </c>
      <c r="Y163">
        <v>1</v>
      </c>
      <c r="Z163">
        <v>1</v>
      </c>
      <c r="AA163">
        <v>1</v>
      </c>
      <c r="AB163">
        <v>1</v>
      </c>
    </row>
    <row r="164" spans="1:28" x14ac:dyDescent="0.25">
      <c r="A164" t="str">
        <f>"160"</f>
        <v>160</v>
      </c>
      <c r="B164" t="str">
        <f t="shared" si="9"/>
        <v>1</v>
      </c>
      <c r="C164" t="str">
        <f t="shared" si="8"/>
        <v>7</v>
      </c>
      <c r="D164" t="str">
        <f>"10"</f>
        <v>10</v>
      </c>
      <c r="E164" t="str">
        <f>"1-7-10"</f>
        <v>1-7-10</v>
      </c>
      <c r="F164" t="s">
        <v>83</v>
      </c>
      <c r="G164" t="s">
        <v>84</v>
      </c>
      <c r="H164" t="s">
        <v>92</v>
      </c>
      <c r="I164">
        <v>1</v>
      </c>
      <c r="J164">
        <v>1</v>
      </c>
      <c r="N164">
        <v>1</v>
      </c>
      <c r="O164">
        <v>1</v>
      </c>
      <c r="P164">
        <v>1</v>
      </c>
      <c r="Q164">
        <v>1</v>
      </c>
      <c r="R164">
        <v>1</v>
      </c>
      <c r="S164">
        <v>1</v>
      </c>
      <c r="T164">
        <v>1</v>
      </c>
      <c r="W164">
        <v>1</v>
      </c>
      <c r="X164">
        <v>1</v>
      </c>
      <c r="Y164">
        <v>1</v>
      </c>
      <c r="Z164">
        <v>1</v>
      </c>
      <c r="AA164">
        <v>1</v>
      </c>
      <c r="AB164">
        <v>1</v>
      </c>
    </row>
    <row r="165" spans="1:28" x14ac:dyDescent="0.25">
      <c r="A165" t="str">
        <f>"161"</f>
        <v>161</v>
      </c>
      <c r="B165" t="str">
        <f t="shared" si="9"/>
        <v>1</v>
      </c>
      <c r="C165" t="str">
        <f t="shared" si="8"/>
        <v>7</v>
      </c>
      <c r="D165" t="str">
        <f>"4"</f>
        <v>4</v>
      </c>
      <c r="E165" t="str">
        <f>"1-7-4"</f>
        <v>1-7-4</v>
      </c>
      <c r="F165" t="s">
        <v>83</v>
      </c>
      <c r="G165" t="s">
        <v>84</v>
      </c>
      <c r="H165" t="s">
        <v>92</v>
      </c>
      <c r="I165">
        <v>1</v>
      </c>
      <c r="J165">
        <v>1</v>
      </c>
      <c r="N165">
        <v>1</v>
      </c>
      <c r="O165">
        <v>1</v>
      </c>
      <c r="P165">
        <v>1</v>
      </c>
      <c r="Q165">
        <v>1</v>
      </c>
      <c r="R165">
        <v>1</v>
      </c>
      <c r="S165">
        <v>1</v>
      </c>
      <c r="T165">
        <v>1</v>
      </c>
      <c r="W165">
        <v>1</v>
      </c>
      <c r="X165">
        <v>1</v>
      </c>
      <c r="Y165">
        <v>1</v>
      </c>
      <c r="Z165">
        <v>1</v>
      </c>
      <c r="AA165">
        <v>1</v>
      </c>
      <c r="AB165">
        <v>1</v>
      </c>
    </row>
    <row r="166" spans="1:28" x14ac:dyDescent="0.25">
      <c r="A166" t="str">
        <f>"162"</f>
        <v>162</v>
      </c>
      <c r="B166" t="str">
        <f t="shared" si="9"/>
        <v>1</v>
      </c>
      <c r="C166" t="str">
        <f t="shared" si="8"/>
        <v>7</v>
      </c>
      <c r="D166" t="str">
        <f>"20"</f>
        <v>20</v>
      </c>
      <c r="E166" t="str">
        <f>"1-7-20"</f>
        <v>1-7-20</v>
      </c>
      <c r="F166" t="s">
        <v>83</v>
      </c>
      <c r="G166" t="s">
        <v>84</v>
      </c>
      <c r="H166" t="s">
        <v>92</v>
      </c>
      <c r="I166">
        <v>1</v>
      </c>
      <c r="J166">
        <v>1</v>
      </c>
      <c r="N166">
        <v>1</v>
      </c>
      <c r="O166">
        <v>1</v>
      </c>
      <c r="P166">
        <v>0</v>
      </c>
      <c r="Q166">
        <v>1</v>
      </c>
      <c r="R166">
        <v>0</v>
      </c>
      <c r="S166">
        <v>1</v>
      </c>
      <c r="T166">
        <v>0</v>
      </c>
      <c r="W166">
        <v>1</v>
      </c>
      <c r="X166">
        <v>1</v>
      </c>
      <c r="Y166">
        <v>1</v>
      </c>
      <c r="Z166">
        <v>1</v>
      </c>
      <c r="AA166">
        <v>1</v>
      </c>
      <c r="AB166">
        <v>1</v>
      </c>
    </row>
    <row r="167" spans="1:28" x14ac:dyDescent="0.25">
      <c r="A167" t="str">
        <f>"163"</f>
        <v>163</v>
      </c>
      <c r="B167" t="str">
        <f t="shared" si="9"/>
        <v>1</v>
      </c>
      <c r="C167" t="str">
        <f t="shared" si="8"/>
        <v>7</v>
      </c>
      <c r="D167" t="str">
        <f>"11"</f>
        <v>11</v>
      </c>
      <c r="E167" t="str">
        <f>"1-7-11"</f>
        <v>1-7-11</v>
      </c>
      <c r="F167" t="s">
        <v>83</v>
      </c>
      <c r="G167" t="s">
        <v>84</v>
      </c>
      <c r="H167" t="s">
        <v>92</v>
      </c>
      <c r="I167">
        <v>1</v>
      </c>
      <c r="J167">
        <v>1</v>
      </c>
      <c r="N167">
        <v>1</v>
      </c>
      <c r="O167">
        <v>1</v>
      </c>
      <c r="P167">
        <v>1</v>
      </c>
      <c r="Q167">
        <v>1</v>
      </c>
      <c r="R167">
        <v>1</v>
      </c>
      <c r="S167">
        <v>1</v>
      </c>
      <c r="T167">
        <v>1</v>
      </c>
      <c r="W167">
        <v>1</v>
      </c>
      <c r="X167">
        <v>1</v>
      </c>
      <c r="Y167">
        <v>1</v>
      </c>
      <c r="Z167">
        <v>1</v>
      </c>
      <c r="AA167">
        <v>1</v>
      </c>
      <c r="AB167">
        <v>1</v>
      </c>
    </row>
    <row r="168" spans="1:28" x14ac:dyDescent="0.25">
      <c r="A168" t="str">
        <f>"164"</f>
        <v>164</v>
      </c>
      <c r="B168" t="str">
        <f t="shared" si="9"/>
        <v>1</v>
      </c>
      <c r="C168" t="str">
        <f t="shared" si="8"/>
        <v>7</v>
      </c>
      <c r="D168" t="str">
        <f>"1"</f>
        <v>1</v>
      </c>
      <c r="E168" t="str">
        <f>"1-7-1"</f>
        <v>1-7-1</v>
      </c>
      <c r="F168" t="s">
        <v>83</v>
      </c>
      <c r="G168" t="s">
        <v>84</v>
      </c>
      <c r="H168" t="s">
        <v>92</v>
      </c>
      <c r="I168">
        <v>1</v>
      </c>
      <c r="J168">
        <v>0</v>
      </c>
      <c r="N168">
        <v>1</v>
      </c>
      <c r="O168">
        <v>1</v>
      </c>
      <c r="P168">
        <v>1</v>
      </c>
      <c r="Q168">
        <v>0</v>
      </c>
      <c r="R168">
        <v>0</v>
      </c>
      <c r="S168">
        <v>0</v>
      </c>
      <c r="T168">
        <v>0</v>
      </c>
      <c r="W168">
        <v>1</v>
      </c>
      <c r="X168">
        <v>0</v>
      </c>
      <c r="Y168">
        <v>1</v>
      </c>
      <c r="Z168">
        <v>1</v>
      </c>
      <c r="AA168">
        <v>1</v>
      </c>
      <c r="AB168">
        <v>1</v>
      </c>
    </row>
    <row r="169" spans="1:28" x14ac:dyDescent="0.25">
      <c r="A169" t="str">
        <f>"165"</f>
        <v>165</v>
      </c>
      <c r="B169" t="str">
        <f t="shared" si="9"/>
        <v>1</v>
      </c>
      <c r="C169" t="str">
        <f t="shared" si="8"/>
        <v>7</v>
      </c>
      <c r="D169" t="str">
        <f>"21"</f>
        <v>21</v>
      </c>
      <c r="E169" t="str">
        <f>"1-7-21"</f>
        <v>1-7-21</v>
      </c>
      <c r="F169" t="s">
        <v>83</v>
      </c>
      <c r="G169" t="s">
        <v>84</v>
      </c>
      <c r="H169" t="s">
        <v>92</v>
      </c>
      <c r="I169">
        <v>1</v>
      </c>
      <c r="J169">
        <v>1</v>
      </c>
      <c r="N169">
        <v>1</v>
      </c>
      <c r="O169">
        <v>1</v>
      </c>
      <c r="P169">
        <v>1</v>
      </c>
      <c r="Q169">
        <v>1</v>
      </c>
      <c r="R169">
        <v>1</v>
      </c>
      <c r="S169">
        <v>1</v>
      </c>
      <c r="T169">
        <v>1</v>
      </c>
      <c r="W169">
        <v>1</v>
      </c>
      <c r="X169">
        <v>1</v>
      </c>
      <c r="Y169">
        <v>1</v>
      </c>
      <c r="Z169">
        <v>1</v>
      </c>
      <c r="AA169">
        <v>1</v>
      </c>
      <c r="AB169">
        <v>1</v>
      </c>
    </row>
    <row r="170" spans="1:28" x14ac:dyDescent="0.25">
      <c r="A170" t="str">
        <f>"166"</f>
        <v>166</v>
      </c>
      <c r="B170" t="str">
        <f t="shared" si="9"/>
        <v>1</v>
      </c>
      <c r="C170" t="str">
        <f t="shared" si="8"/>
        <v>7</v>
      </c>
      <c r="D170" t="str">
        <f>"12"</f>
        <v>12</v>
      </c>
      <c r="E170" t="str">
        <f>"1-7-12"</f>
        <v>1-7-12</v>
      </c>
      <c r="F170" t="s">
        <v>83</v>
      </c>
      <c r="G170" t="s">
        <v>84</v>
      </c>
      <c r="H170" t="s">
        <v>92</v>
      </c>
      <c r="I170">
        <v>0</v>
      </c>
      <c r="J170">
        <v>1</v>
      </c>
      <c r="N170">
        <v>1</v>
      </c>
      <c r="O170">
        <v>1</v>
      </c>
      <c r="P170">
        <v>1</v>
      </c>
      <c r="Q170">
        <v>1</v>
      </c>
      <c r="R170">
        <v>1</v>
      </c>
      <c r="S170">
        <v>1</v>
      </c>
      <c r="T170">
        <v>1</v>
      </c>
      <c r="W170">
        <v>1</v>
      </c>
      <c r="X170">
        <v>1</v>
      </c>
      <c r="Y170">
        <v>1</v>
      </c>
      <c r="Z170">
        <v>1</v>
      </c>
      <c r="AA170">
        <v>1</v>
      </c>
      <c r="AB170">
        <v>1</v>
      </c>
    </row>
    <row r="171" spans="1:28" x14ac:dyDescent="0.25">
      <c r="A171" t="str">
        <f>"167"</f>
        <v>167</v>
      </c>
      <c r="B171" t="str">
        <f t="shared" si="9"/>
        <v>1</v>
      </c>
      <c r="C171" t="str">
        <f t="shared" si="8"/>
        <v>7</v>
      </c>
      <c r="D171" t="str">
        <f>"6"</f>
        <v>6</v>
      </c>
      <c r="E171" t="str">
        <f>"1-7-6"</f>
        <v>1-7-6</v>
      </c>
      <c r="F171" t="s">
        <v>83</v>
      </c>
      <c r="G171" t="s">
        <v>86</v>
      </c>
      <c r="H171" t="s">
        <v>93</v>
      </c>
      <c r="I171">
        <v>1</v>
      </c>
      <c r="K171">
        <v>0</v>
      </c>
      <c r="L171">
        <v>0</v>
      </c>
      <c r="M171">
        <v>1</v>
      </c>
      <c r="N171">
        <v>1</v>
      </c>
      <c r="O171">
        <v>1</v>
      </c>
      <c r="P171">
        <v>1</v>
      </c>
      <c r="Q171">
        <v>1</v>
      </c>
      <c r="R171">
        <v>1</v>
      </c>
      <c r="U171">
        <v>1</v>
      </c>
      <c r="V171">
        <v>0</v>
      </c>
      <c r="W171">
        <v>1</v>
      </c>
      <c r="X171">
        <v>1</v>
      </c>
      <c r="Y171">
        <v>1</v>
      </c>
      <c r="Z171">
        <v>1</v>
      </c>
      <c r="AA171">
        <v>1</v>
      </c>
      <c r="AB171">
        <v>1</v>
      </c>
    </row>
    <row r="172" spans="1:28" x14ac:dyDescent="0.25">
      <c r="A172" t="str">
        <f>"168"</f>
        <v>168</v>
      </c>
      <c r="B172" t="str">
        <f t="shared" si="9"/>
        <v>1</v>
      </c>
      <c r="C172" t="str">
        <f t="shared" si="8"/>
        <v>7</v>
      </c>
      <c r="D172" t="str">
        <f>"22"</f>
        <v>22</v>
      </c>
      <c r="E172" t="str">
        <f>"1-7-22"</f>
        <v>1-7-22</v>
      </c>
      <c r="F172" t="s">
        <v>83</v>
      </c>
      <c r="G172" t="s">
        <v>84</v>
      </c>
      <c r="H172" t="s">
        <v>92</v>
      </c>
      <c r="I172">
        <v>1</v>
      </c>
      <c r="J172">
        <v>1</v>
      </c>
      <c r="N172">
        <v>1</v>
      </c>
      <c r="O172">
        <v>1</v>
      </c>
      <c r="P172">
        <v>1</v>
      </c>
      <c r="Q172">
        <v>1</v>
      </c>
      <c r="R172">
        <v>1</v>
      </c>
      <c r="S172">
        <v>1</v>
      </c>
      <c r="T172">
        <v>1</v>
      </c>
      <c r="W172">
        <v>1</v>
      </c>
      <c r="X172">
        <v>1</v>
      </c>
      <c r="Y172">
        <v>1</v>
      </c>
      <c r="Z172">
        <v>1</v>
      </c>
      <c r="AA172">
        <v>1</v>
      </c>
      <c r="AB172">
        <v>1</v>
      </c>
    </row>
    <row r="173" spans="1:28" x14ac:dyDescent="0.25">
      <c r="A173" t="str">
        <f>"169"</f>
        <v>169</v>
      </c>
      <c r="B173" t="str">
        <f t="shared" si="9"/>
        <v>1</v>
      </c>
      <c r="C173" t="str">
        <f t="shared" si="8"/>
        <v>7</v>
      </c>
      <c r="D173" t="str">
        <f>"13"</f>
        <v>13</v>
      </c>
      <c r="E173" t="str">
        <f>"1-7-13"</f>
        <v>1-7-13</v>
      </c>
      <c r="F173" t="s">
        <v>83</v>
      </c>
      <c r="G173" t="s">
        <v>86</v>
      </c>
      <c r="H173" t="s">
        <v>93</v>
      </c>
      <c r="I173">
        <v>1</v>
      </c>
      <c r="K173">
        <v>0</v>
      </c>
      <c r="L173">
        <v>0</v>
      </c>
      <c r="M173">
        <v>1</v>
      </c>
      <c r="N173">
        <v>1</v>
      </c>
      <c r="O173">
        <v>1</v>
      </c>
      <c r="P173">
        <v>1</v>
      </c>
      <c r="Q173">
        <v>1</v>
      </c>
      <c r="R173">
        <v>1</v>
      </c>
      <c r="U173">
        <v>1</v>
      </c>
      <c r="V173">
        <v>0</v>
      </c>
      <c r="W173">
        <v>1</v>
      </c>
      <c r="X173">
        <v>1</v>
      </c>
      <c r="Y173">
        <v>1</v>
      </c>
      <c r="Z173">
        <v>1</v>
      </c>
      <c r="AA173">
        <v>1</v>
      </c>
      <c r="AB173">
        <v>1</v>
      </c>
    </row>
    <row r="174" spans="1:28" x14ac:dyDescent="0.25">
      <c r="A174" t="str">
        <f>"170"</f>
        <v>170</v>
      </c>
      <c r="B174" t="str">
        <f t="shared" si="9"/>
        <v>1</v>
      </c>
      <c r="C174" t="str">
        <f t="shared" si="8"/>
        <v>7</v>
      </c>
      <c r="D174" t="str">
        <f>"7"</f>
        <v>7</v>
      </c>
      <c r="E174" t="str">
        <f>"1-7-7"</f>
        <v>1-7-7</v>
      </c>
      <c r="F174" t="s">
        <v>83</v>
      </c>
      <c r="G174" t="s">
        <v>84</v>
      </c>
      <c r="H174" t="s">
        <v>92</v>
      </c>
      <c r="I174">
        <v>1</v>
      </c>
      <c r="J174">
        <v>1</v>
      </c>
      <c r="N174">
        <v>1</v>
      </c>
      <c r="O174">
        <v>1</v>
      </c>
      <c r="P174">
        <v>1</v>
      </c>
      <c r="Q174">
        <v>1</v>
      </c>
      <c r="R174">
        <v>1</v>
      </c>
      <c r="S174">
        <v>1</v>
      </c>
      <c r="T174">
        <v>1</v>
      </c>
      <c r="W174">
        <v>1</v>
      </c>
      <c r="X174">
        <v>1</v>
      </c>
      <c r="Y174">
        <v>1</v>
      </c>
      <c r="Z174">
        <v>1</v>
      </c>
      <c r="AA174">
        <v>1</v>
      </c>
      <c r="AB174">
        <v>1</v>
      </c>
    </row>
    <row r="175" spans="1:28" x14ac:dyDescent="0.25">
      <c r="A175" t="str">
        <f>"171"</f>
        <v>171</v>
      </c>
      <c r="B175" t="str">
        <f t="shared" si="9"/>
        <v>1</v>
      </c>
      <c r="C175" t="str">
        <f t="shared" si="8"/>
        <v>7</v>
      </c>
      <c r="D175" t="str">
        <f>"23"</f>
        <v>23</v>
      </c>
      <c r="E175" t="str">
        <f>"1-7-23"</f>
        <v>1-7-23</v>
      </c>
      <c r="F175" t="s">
        <v>83</v>
      </c>
      <c r="G175" t="s">
        <v>84</v>
      </c>
      <c r="H175" t="s">
        <v>92</v>
      </c>
      <c r="I175">
        <v>1</v>
      </c>
      <c r="J175">
        <v>1</v>
      </c>
      <c r="N175">
        <v>1</v>
      </c>
      <c r="O175">
        <v>1</v>
      </c>
      <c r="P175">
        <v>1</v>
      </c>
      <c r="Q175">
        <v>1</v>
      </c>
      <c r="R175">
        <v>1</v>
      </c>
      <c r="S175">
        <v>1</v>
      </c>
      <c r="T175">
        <v>1</v>
      </c>
      <c r="W175">
        <v>1</v>
      </c>
      <c r="X175">
        <v>1</v>
      </c>
      <c r="Y175">
        <v>1</v>
      </c>
      <c r="Z175">
        <v>1</v>
      </c>
      <c r="AA175">
        <v>1</v>
      </c>
      <c r="AB175">
        <v>1</v>
      </c>
    </row>
    <row r="176" spans="1:28" x14ac:dyDescent="0.25">
      <c r="A176" t="str">
        <f>"172"</f>
        <v>172</v>
      </c>
      <c r="B176" t="str">
        <f t="shared" si="9"/>
        <v>1</v>
      </c>
      <c r="C176" t="str">
        <f t="shared" si="8"/>
        <v>7</v>
      </c>
      <c r="D176" t="str">
        <f>"14"</f>
        <v>14</v>
      </c>
      <c r="E176" t="str">
        <f>"1-7-14"</f>
        <v>1-7-14</v>
      </c>
      <c r="F176" t="s">
        <v>83</v>
      </c>
      <c r="G176" t="s">
        <v>86</v>
      </c>
      <c r="H176" t="s">
        <v>93</v>
      </c>
      <c r="I176">
        <v>1</v>
      </c>
      <c r="K176">
        <v>1</v>
      </c>
      <c r="L176">
        <v>0</v>
      </c>
      <c r="M176">
        <v>0</v>
      </c>
      <c r="N176">
        <v>1</v>
      </c>
      <c r="O176">
        <v>1</v>
      </c>
      <c r="P176">
        <v>1</v>
      </c>
      <c r="Q176">
        <v>1</v>
      </c>
      <c r="R176">
        <v>1</v>
      </c>
      <c r="U176">
        <v>0</v>
      </c>
      <c r="V176">
        <v>1</v>
      </c>
      <c r="W176">
        <v>1</v>
      </c>
      <c r="X176">
        <v>1</v>
      </c>
      <c r="Y176">
        <v>1</v>
      </c>
      <c r="Z176">
        <v>1</v>
      </c>
      <c r="AA176">
        <v>1</v>
      </c>
      <c r="AB176">
        <v>1</v>
      </c>
    </row>
    <row r="177" spans="1:28" x14ac:dyDescent="0.25">
      <c r="A177" t="str">
        <f>"173"</f>
        <v>173</v>
      </c>
      <c r="B177" t="str">
        <f t="shared" si="9"/>
        <v>1</v>
      </c>
      <c r="C177" t="str">
        <f t="shared" si="8"/>
        <v>7</v>
      </c>
      <c r="D177" t="str">
        <f>"3"</f>
        <v>3</v>
      </c>
      <c r="E177" t="str">
        <f>"1-7-3"</f>
        <v>1-7-3</v>
      </c>
      <c r="F177" t="s">
        <v>83</v>
      </c>
      <c r="G177" t="s">
        <v>84</v>
      </c>
      <c r="H177" t="s">
        <v>92</v>
      </c>
      <c r="I177">
        <v>1</v>
      </c>
      <c r="J177">
        <v>1</v>
      </c>
      <c r="N177">
        <v>1</v>
      </c>
      <c r="O177">
        <v>1</v>
      </c>
      <c r="P177">
        <v>1</v>
      </c>
      <c r="Q177">
        <v>1</v>
      </c>
      <c r="R177">
        <v>1</v>
      </c>
      <c r="S177">
        <v>1</v>
      </c>
      <c r="T177">
        <v>1</v>
      </c>
      <c r="W177">
        <v>1</v>
      </c>
      <c r="X177">
        <v>1</v>
      </c>
      <c r="Y177">
        <v>1</v>
      </c>
      <c r="Z177">
        <v>1</v>
      </c>
      <c r="AA177">
        <v>1</v>
      </c>
      <c r="AB177">
        <v>1</v>
      </c>
    </row>
    <row r="178" spans="1:28" x14ac:dyDescent="0.25">
      <c r="A178" t="str">
        <f>"174"</f>
        <v>174</v>
      </c>
      <c r="B178" t="str">
        <f t="shared" si="9"/>
        <v>1</v>
      </c>
      <c r="C178" t="str">
        <f t="shared" ref="C178:C202" si="10">"8"</f>
        <v>8</v>
      </c>
      <c r="D178" t="str">
        <f>"19"</f>
        <v>19</v>
      </c>
      <c r="E178" t="str">
        <f>"1-8-19"</f>
        <v>1-8-19</v>
      </c>
      <c r="F178" t="s">
        <v>83</v>
      </c>
      <c r="G178" t="s">
        <v>84</v>
      </c>
      <c r="H178" t="s">
        <v>92</v>
      </c>
      <c r="I178">
        <v>1</v>
      </c>
      <c r="J178">
        <v>1</v>
      </c>
      <c r="N178">
        <v>1</v>
      </c>
      <c r="O178">
        <v>1</v>
      </c>
      <c r="P178">
        <v>1</v>
      </c>
      <c r="Q178">
        <v>1</v>
      </c>
      <c r="R178">
        <v>1</v>
      </c>
      <c r="S178">
        <v>1</v>
      </c>
      <c r="T178">
        <v>1</v>
      </c>
      <c r="W178">
        <v>1</v>
      </c>
      <c r="X178">
        <v>1</v>
      </c>
      <c r="Y178">
        <v>1</v>
      </c>
      <c r="Z178">
        <v>1</v>
      </c>
      <c r="AA178">
        <v>1</v>
      </c>
      <c r="AB178">
        <v>1</v>
      </c>
    </row>
    <row r="179" spans="1:28" x14ac:dyDescent="0.25">
      <c r="A179" t="str">
        <f>"175"</f>
        <v>175</v>
      </c>
      <c r="B179" t="str">
        <f t="shared" si="9"/>
        <v>1</v>
      </c>
      <c r="C179" t="str">
        <f t="shared" si="10"/>
        <v>8</v>
      </c>
      <c r="D179" t="str">
        <f>"18"</f>
        <v>18</v>
      </c>
      <c r="E179" t="str">
        <f>"1-8-18"</f>
        <v>1-8-18</v>
      </c>
      <c r="F179" t="s">
        <v>83</v>
      </c>
      <c r="G179" t="s">
        <v>84</v>
      </c>
      <c r="H179" t="s">
        <v>92</v>
      </c>
      <c r="I179">
        <v>1</v>
      </c>
      <c r="J179">
        <v>1</v>
      </c>
      <c r="N179">
        <v>1</v>
      </c>
      <c r="O179">
        <v>1</v>
      </c>
      <c r="P179">
        <v>0</v>
      </c>
      <c r="Q179">
        <v>1</v>
      </c>
      <c r="R179">
        <v>0</v>
      </c>
      <c r="S179">
        <v>1</v>
      </c>
      <c r="T179">
        <v>1</v>
      </c>
      <c r="W179">
        <v>1</v>
      </c>
      <c r="X179">
        <v>1</v>
      </c>
      <c r="Y179">
        <v>1</v>
      </c>
      <c r="Z179">
        <v>1</v>
      </c>
      <c r="AA179">
        <v>1</v>
      </c>
      <c r="AB179">
        <v>1</v>
      </c>
    </row>
    <row r="180" spans="1:28" x14ac:dyDescent="0.25">
      <c r="A180" t="str">
        <f>"176"</f>
        <v>176</v>
      </c>
      <c r="B180" t="str">
        <f t="shared" si="9"/>
        <v>1</v>
      </c>
      <c r="C180" t="str">
        <f t="shared" si="10"/>
        <v>8</v>
      </c>
      <c r="D180" t="str">
        <f>"14"</f>
        <v>14</v>
      </c>
      <c r="E180" t="str">
        <f>"1-8-14"</f>
        <v>1-8-14</v>
      </c>
      <c r="F180" t="s">
        <v>83</v>
      </c>
      <c r="G180" t="s">
        <v>84</v>
      </c>
      <c r="H180" t="s">
        <v>92</v>
      </c>
      <c r="I180">
        <v>1</v>
      </c>
      <c r="J180">
        <v>1</v>
      </c>
      <c r="N180">
        <v>1</v>
      </c>
      <c r="O180">
        <v>1</v>
      </c>
      <c r="P180">
        <v>0</v>
      </c>
      <c r="Q180">
        <v>1</v>
      </c>
      <c r="R180">
        <v>0</v>
      </c>
      <c r="S180">
        <v>1</v>
      </c>
      <c r="T180">
        <v>0</v>
      </c>
      <c r="W180">
        <v>0</v>
      </c>
      <c r="X180">
        <v>0</v>
      </c>
      <c r="Y180">
        <v>0</v>
      </c>
      <c r="Z180">
        <v>0</v>
      </c>
      <c r="AA180">
        <v>0</v>
      </c>
      <c r="AB180">
        <v>0</v>
      </c>
    </row>
    <row r="181" spans="1:28" x14ac:dyDescent="0.25">
      <c r="A181" t="str">
        <f>"177"</f>
        <v>177</v>
      </c>
      <c r="B181" t="str">
        <f t="shared" si="9"/>
        <v>1</v>
      </c>
      <c r="C181" t="str">
        <f t="shared" si="10"/>
        <v>8</v>
      </c>
      <c r="D181" t="str">
        <f>"8"</f>
        <v>8</v>
      </c>
      <c r="E181" t="str">
        <f>"1-8-8"</f>
        <v>1-8-8</v>
      </c>
      <c r="F181" t="s">
        <v>83</v>
      </c>
      <c r="G181" t="s">
        <v>84</v>
      </c>
      <c r="H181" t="s">
        <v>92</v>
      </c>
      <c r="I181">
        <v>1</v>
      </c>
      <c r="J181">
        <v>1</v>
      </c>
      <c r="N181">
        <v>1</v>
      </c>
      <c r="O181">
        <v>1</v>
      </c>
      <c r="P181">
        <v>1</v>
      </c>
      <c r="Q181">
        <v>1</v>
      </c>
      <c r="R181">
        <v>1</v>
      </c>
      <c r="S181">
        <v>1</v>
      </c>
      <c r="T181">
        <v>1</v>
      </c>
      <c r="W181">
        <v>1</v>
      </c>
      <c r="X181">
        <v>1</v>
      </c>
      <c r="Y181">
        <v>1</v>
      </c>
      <c r="Z181">
        <v>1</v>
      </c>
      <c r="AA181">
        <v>1</v>
      </c>
      <c r="AB181">
        <v>1</v>
      </c>
    </row>
    <row r="182" spans="1:28" x14ac:dyDescent="0.25">
      <c r="A182" t="str">
        <f>"178"</f>
        <v>178</v>
      </c>
      <c r="B182" t="str">
        <f t="shared" si="9"/>
        <v>1</v>
      </c>
      <c r="C182" t="str">
        <f t="shared" si="10"/>
        <v>8</v>
      </c>
      <c r="D182" t="str">
        <f>"1"</f>
        <v>1</v>
      </c>
      <c r="E182" t="str">
        <f>"1-8-1"</f>
        <v>1-8-1</v>
      </c>
      <c r="F182" t="s">
        <v>83</v>
      </c>
      <c r="G182" t="s">
        <v>84</v>
      </c>
      <c r="H182" t="s">
        <v>92</v>
      </c>
      <c r="I182">
        <v>1</v>
      </c>
      <c r="J182">
        <v>0</v>
      </c>
      <c r="N182">
        <v>1</v>
      </c>
      <c r="O182">
        <v>1</v>
      </c>
      <c r="P182">
        <v>0</v>
      </c>
      <c r="Q182">
        <v>0</v>
      </c>
      <c r="R182">
        <v>1</v>
      </c>
      <c r="S182">
        <v>0</v>
      </c>
      <c r="T182">
        <v>1</v>
      </c>
      <c r="W182">
        <v>1</v>
      </c>
      <c r="X182">
        <v>1</v>
      </c>
      <c r="Y182">
        <v>1</v>
      </c>
      <c r="Z182">
        <v>0</v>
      </c>
      <c r="AA182">
        <v>1</v>
      </c>
      <c r="AB182">
        <v>1</v>
      </c>
    </row>
    <row r="183" spans="1:28" x14ac:dyDescent="0.25">
      <c r="A183" t="str">
        <f>"179"</f>
        <v>179</v>
      </c>
      <c r="B183" t="str">
        <f t="shared" si="9"/>
        <v>1</v>
      </c>
      <c r="C183" t="str">
        <f t="shared" si="10"/>
        <v>8</v>
      </c>
      <c r="D183" t="str">
        <f>"25"</f>
        <v>25</v>
      </c>
      <c r="E183" t="str">
        <f>"1-8-25"</f>
        <v>1-8-25</v>
      </c>
      <c r="F183" t="s">
        <v>83</v>
      </c>
      <c r="G183" t="s">
        <v>84</v>
      </c>
      <c r="H183" t="s">
        <v>92</v>
      </c>
      <c r="I183">
        <v>1</v>
      </c>
      <c r="J183">
        <v>1</v>
      </c>
      <c r="N183">
        <v>1</v>
      </c>
      <c r="O183">
        <v>1</v>
      </c>
      <c r="P183">
        <v>1</v>
      </c>
      <c r="Q183">
        <v>1</v>
      </c>
      <c r="R183">
        <v>1</v>
      </c>
      <c r="S183">
        <v>1</v>
      </c>
      <c r="T183">
        <v>1</v>
      </c>
      <c r="W183">
        <v>0</v>
      </c>
      <c r="X183">
        <v>1</v>
      </c>
      <c r="Y183">
        <v>1</v>
      </c>
      <c r="Z183">
        <v>1</v>
      </c>
      <c r="AA183">
        <v>1</v>
      </c>
      <c r="AB183">
        <v>1</v>
      </c>
    </row>
    <row r="184" spans="1:28" x14ac:dyDescent="0.25">
      <c r="A184" t="str">
        <f>"180"</f>
        <v>180</v>
      </c>
      <c r="B184" t="str">
        <f t="shared" si="9"/>
        <v>1</v>
      </c>
      <c r="C184" t="str">
        <f t="shared" si="10"/>
        <v>8</v>
      </c>
      <c r="D184" t="str">
        <f>"24"</f>
        <v>24</v>
      </c>
      <c r="E184" t="str">
        <f>"1-8-24"</f>
        <v>1-8-24</v>
      </c>
      <c r="F184" t="s">
        <v>83</v>
      </c>
      <c r="G184" t="s">
        <v>84</v>
      </c>
      <c r="H184" t="s">
        <v>92</v>
      </c>
      <c r="I184">
        <v>1</v>
      </c>
      <c r="J184">
        <v>1</v>
      </c>
      <c r="N184">
        <v>1</v>
      </c>
      <c r="O184">
        <v>1</v>
      </c>
      <c r="P184">
        <v>1</v>
      </c>
      <c r="Q184">
        <v>1</v>
      </c>
      <c r="R184">
        <v>1</v>
      </c>
      <c r="S184">
        <v>1</v>
      </c>
      <c r="T184">
        <v>1</v>
      </c>
      <c r="W184">
        <v>1</v>
      </c>
      <c r="X184">
        <v>1</v>
      </c>
      <c r="Y184">
        <v>1</v>
      </c>
      <c r="Z184">
        <v>1</v>
      </c>
      <c r="AA184">
        <v>1</v>
      </c>
      <c r="AB184">
        <v>1</v>
      </c>
    </row>
    <row r="185" spans="1:28" x14ac:dyDescent="0.25">
      <c r="A185" t="str">
        <f>"181"</f>
        <v>181</v>
      </c>
      <c r="B185" t="str">
        <f t="shared" si="9"/>
        <v>1</v>
      </c>
      <c r="C185" t="str">
        <f t="shared" si="10"/>
        <v>8</v>
      </c>
      <c r="D185" t="str">
        <f>"16"</f>
        <v>16</v>
      </c>
      <c r="E185" t="str">
        <f>"1-8-16"</f>
        <v>1-8-16</v>
      </c>
      <c r="F185" t="s">
        <v>83</v>
      </c>
      <c r="G185" t="s">
        <v>84</v>
      </c>
      <c r="H185" t="s">
        <v>92</v>
      </c>
      <c r="I185">
        <v>1</v>
      </c>
      <c r="J185">
        <v>1</v>
      </c>
      <c r="N185">
        <v>1</v>
      </c>
      <c r="O185">
        <v>1</v>
      </c>
      <c r="P185">
        <v>1</v>
      </c>
      <c r="Q185">
        <v>1</v>
      </c>
      <c r="R185">
        <v>1</v>
      </c>
      <c r="S185">
        <v>1</v>
      </c>
      <c r="T185">
        <v>1</v>
      </c>
      <c r="W185">
        <v>1</v>
      </c>
      <c r="X185">
        <v>1</v>
      </c>
      <c r="Y185">
        <v>1</v>
      </c>
      <c r="Z185">
        <v>1</v>
      </c>
      <c r="AA185">
        <v>1</v>
      </c>
      <c r="AB185">
        <v>1</v>
      </c>
    </row>
    <row r="186" spans="1:28" x14ac:dyDescent="0.25">
      <c r="A186" t="str">
        <f>"182"</f>
        <v>182</v>
      </c>
      <c r="B186" t="str">
        <f t="shared" si="9"/>
        <v>1</v>
      </c>
      <c r="C186" t="str">
        <f t="shared" si="10"/>
        <v>8</v>
      </c>
      <c r="D186" t="str">
        <f>"9"</f>
        <v>9</v>
      </c>
      <c r="E186" t="str">
        <f>"1-8-9"</f>
        <v>1-8-9</v>
      </c>
      <c r="F186" t="s">
        <v>83</v>
      </c>
      <c r="G186" t="s">
        <v>84</v>
      </c>
      <c r="H186" t="s">
        <v>92</v>
      </c>
      <c r="I186">
        <v>0</v>
      </c>
      <c r="J186">
        <v>1</v>
      </c>
      <c r="N186">
        <v>1</v>
      </c>
      <c r="O186">
        <v>1</v>
      </c>
      <c r="P186">
        <v>1</v>
      </c>
      <c r="Q186">
        <v>1</v>
      </c>
      <c r="R186">
        <v>1</v>
      </c>
      <c r="S186">
        <v>0</v>
      </c>
      <c r="T186">
        <v>1</v>
      </c>
      <c r="W186">
        <v>1</v>
      </c>
      <c r="X186">
        <v>1</v>
      </c>
      <c r="Y186">
        <v>1</v>
      </c>
      <c r="Z186">
        <v>1</v>
      </c>
      <c r="AA186">
        <v>1</v>
      </c>
      <c r="AB186">
        <v>1</v>
      </c>
    </row>
    <row r="187" spans="1:28" x14ac:dyDescent="0.25">
      <c r="A187" t="str">
        <f>"183"</f>
        <v>183</v>
      </c>
      <c r="B187" t="str">
        <f t="shared" si="9"/>
        <v>1</v>
      </c>
      <c r="C187" t="str">
        <f t="shared" si="10"/>
        <v>8</v>
      </c>
      <c r="D187" t="str">
        <f>"2"</f>
        <v>2</v>
      </c>
      <c r="E187" t="str">
        <f>"1-8-2"</f>
        <v>1-8-2</v>
      </c>
      <c r="F187" t="s">
        <v>83</v>
      </c>
      <c r="G187" t="s">
        <v>84</v>
      </c>
      <c r="H187" t="s">
        <v>92</v>
      </c>
      <c r="I187">
        <v>1</v>
      </c>
      <c r="J187">
        <v>0</v>
      </c>
      <c r="N187">
        <v>1</v>
      </c>
      <c r="O187">
        <v>1</v>
      </c>
      <c r="P187">
        <v>1</v>
      </c>
      <c r="Q187">
        <v>1</v>
      </c>
      <c r="R187">
        <v>1</v>
      </c>
      <c r="S187">
        <v>1</v>
      </c>
      <c r="T187">
        <v>1</v>
      </c>
      <c r="W187">
        <v>1</v>
      </c>
      <c r="X187">
        <v>1</v>
      </c>
      <c r="Y187">
        <v>1</v>
      </c>
      <c r="Z187">
        <v>1</v>
      </c>
      <c r="AA187">
        <v>1</v>
      </c>
      <c r="AB187">
        <v>1</v>
      </c>
    </row>
    <row r="188" spans="1:28" x14ac:dyDescent="0.25">
      <c r="A188" t="str">
        <f>"184"</f>
        <v>184</v>
      </c>
      <c r="B188" t="str">
        <f t="shared" si="9"/>
        <v>1</v>
      </c>
      <c r="C188" t="str">
        <f t="shared" si="10"/>
        <v>8</v>
      </c>
      <c r="D188" t="str">
        <f>"17"</f>
        <v>17</v>
      </c>
      <c r="E188" t="str">
        <f>"1-8-17"</f>
        <v>1-8-17</v>
      </c>
      <c r="F188" t="s">
        <v>83</v>
      </c>
      <c r="G188" t="s">
        <v>84</v>
      </c>
      <c r="H188" t="s">
        <v>92</v>
      </c>
      <c r="I188">
        <v>1</v>
      </c>
      <c r="J188">
        <v>1</v>
      </c>
      <c r="N188">
        <v>1</v>
      </c>
      <c r="O188">
        <v>1</v>
      </c>
      <c r="P188">
        <v>1</v>
      </c>
      <c r="Q188">
        <v>1</v>
      </c>
      <c r="R188">
        <v>1</v>
      </c>
      <c r="S188">
        <v>1</v>
      </c>
      <c r="T188">
        <v>1</v>
      </c>
      <c r="W188">
        <v>1</v>
      </c>
      <c r="X188">
        <v>1</v>
      </c>
      <c r="Y188">
        <v>1</v>
      </c>
      <c r="Z188">
        <v>1</v>
      </c>
      <c r="AA188">
        <v>1</v>
      </c>
      <c r="AB188">
        <v>1</v>
      </c>
    </row>
    <row r="189" spans="1:28" x14ac:dyDescent="0.25">
      <c r="A189" t="str">
        <f>"185"</f>
        <v>185</v>
      </c>
      <c r="B189" t="str">
        <f t="shared" si="9"/>
        <v>1</v>
      </c>
      <c r="C189" t="str">
        <f t="shared" si="10"/>
        <v>8</v>
      </c>
      <c r="D189" t="str">
        <f>"10"</f>
        <v>10</v>
      </c>
      <c r="E189" t="str">
        <f>"1-8-10"</f>
        <v>1-8-10</v>
      </c>
      <c r="F189" t="s">
        <v>83</v>
      </c>
      <c r="G189" t="s">
        <v>84</v>
      </c>
      <c r="H189" t="s">
        <v>92</v>
      </c>
      <c r="I189">
        <v>1</v>
      </c>
      <c r="J189">
        <v>1</v>
      </c>
      <c r="N189">
        <v>1</v>
      </c>
      <c r="O189">
        <v>1</v>
      </c>
      <c r="P189">
        <v>1</v>
      </c>
      <c r="Q189">
        <v>1</v>
      </c>
      <c r="R189">
        <v>1</v>
      </c>
      <c r="S189">
        <v>1</v>
      </c>
      <c r="T189">
        <v>1</v>
      </c>
      <c r="W189">
        <v>1</v>
      </c>
      <c r="X189">
        <v>1</v>
      </c>
      <c r="Y189">
        <v>1</v>
      </c>
      <c r="Z189">
        <v>1</v>
      </c>
      <c r="AA189">
        <v>1</v>
      </c>
      <c r="AB189">
        <v>1</v>
      </c>
    </row>
    <row r="190" spans="1:28" x14ac:dyDescent="0.25">
      <c r="A190" t="str">
        <f>"186"</f>
        <v>186</v>
      </c>
      <c r="B190" t="str">
        <f t="shared" si="9"/>
        <v>1</v>
      </c>
      <c r="C190" t="str">
        <f t="shared" si="10"/>
        <v>8</v>
      </c>
      <c r="D190" t="str">
        <f>"5"</f>
        <v>5</v>
      </c>
      <c r="E190" t="str">
        <f>"1-8-5"</f>
        <v>1-8-5</v>
      </c>
      <c r="F190" t="s">
        <v>83</v>
      </c>
      <c r="G190" t="s">
        <v>84</v>
      </c>
      <c r="H190" t="s">
        <v>92</v>
      </c>
      <c r="I190">
        <v>1</v>
      </c>
      <c r="J190">
        <v>1</v>
      </c>
      <c r="N190">
        <v>1</v>
      </c>
      <c r="O190">
        <v>1</v>
      </c>
      <c r="P190">
        <v>1</v>
      </c>
      <c r="Q190">
        <v>1</v>
      </c>
      <c r="R190">
        <v>1</v>
      </c>
      <c r="S190">
        <v>1</v>
      </c>
      <c r="T190">
        <v>1</v>
      </c>
      <c r="W190">
        <v>1</v>
      </c>
      <c r="X190">
        <v>1</v>
      </c>
      <c r="Y190">
        <v>1</v>
      </c>
      <c r="Z190">
        <v>1</v>
      </c>
      <c r="AA190">
        <v>1</v>
      </c>
      <c r="AB190">
        <v>1</v>
      </c>
    </row>
    <row r="191" spans="1:28" x14ac:dyDescent="0.25">
      <c r="A191" t="str">
        <f>"187"</f>
        <v>187</v>
      </c>
      <c r="B191" t="str">
        <f t="shared" si="9"/>
        <v>1</v>
      </c>
      <c r="C191" t="str">
        <f t="shared" si="10"/>
        <v>8</v>
      </c>
      <c r="D191" t="str">
        <f>"20"</f>
        <v>20</v>
      </c>
      <c r="E191" t="str">
        <f>"1-8-20"</f>
        <v>1-8-20</v>
      </c>
      <c r="F191" t="s">
        <v>83</v>
      </c>
      <c r="G191" t="s">
        <v>84</v>
      </c>
      <c r="H191" t="s">
        <v>92</v>
      </c>
      <c r="I191">
        <v>1</v>
      </c>
      <c r="J191">
        <v>1</v>
      </c>
      <c r="N191">
        <v>1</v>
      </c>
      <c r="O191">
        <v>1</v>
      </c>
      <c r="P191">
        <v>1</v>
      </c>
      <c r="Q191">
        <v>1</v>
      </c>
      <c r="R191">
        <v>1</v>
      </c>
      <c r="S191">
        <v>1</v>
      </c>
      <c r="T191">
        <v>1</v>
      </c>
      <c r="W191">
        <v>1</v>
      </c>
      <c r="X191">
        <v>1</v>
      </c>
      <c r="Y191">
        <v>1</v>
      </c>
      <c r="Z191">
        <v>1</v>
      </c>
      <c r="AA191">
        <v>1</v>
      </c>
      <c r="AB191">
        <v>1</v>
      </c>
    </row>
    <row r="192" spans="1:28" x14ac:dyDescent="0.25">
      <c r="A192" t="str">
        <f>"188"</f>
        <v>188</v>
      </c>
      <c r="B192" t="str">
        <f t="shared" si="9"/>
        <v>1</v>
      </c>
      <c r="C192" t="str">
        <f t="shared" si="10"/>
        <v>8</v>
      </c>
      <c r="D192" t="str">
        <f>"11"</f>
        <v>11</v>
      </c>
      <c r="E192" t="str">
        <f>"1-8-11"</f>
        <v>1-8-11</v>
      </c>
      <c r="F192" t="s">
        <v>83</v>
      </c>
      <c r="G192" t="s">
        <v>84</v>
      </c>
      <c r="H192" t="s">
        <v>92</v>
      </c>
      <c r="I192">
        <v>1</v>
      </c>
      <c r="J192">
        <v>1</v>
      </c>
      <c r="N192">
        <v>1</v>
      </c>
      <c r="O192">
        <v>1</v>
      </c>
      <c r="P192">
        <v>1</v>
      </c>
      <c r="Q192">
        <v>1</v>
      </c>
      <c r="R192">
        <v>1</v>
      </c>
      <c r="S192">
        <v>1</v>
      </c>
      <c r="T192">
        <v>1</v>
      </c>
      <c r="W192">
        <v>1</v>
      </c>
      <c r="X192">
        <v>1</v>
      </c>
      <c r="Y192">
        <v>1</v>
      </c>
      <c r="Z192">
        <v>1</v>
      </c>
      <c r="AA192">
        <v>1</v>
      </c>
      <c r="AB192">
        <v>1</v>
      </c>
    </row>
    <row r="193" spans="1:49" x14ac:dyDescent="0.25">
      <c r="A193" t="str">
        <f>"189"</f>
        <v>189</v>
      </c>
      <c r="B193" t="str">
        <f t="shared" si="9"/>
        <v>1</v>
      </c>
      <c r="C193" t="str">
        <f t="shared" si="10"/>
        <v>8</v>
      </c>
      <c r="D193" t="str">
        <f>"3"</f>
        <v>3</v>
      </c>
      <c r="E193" t="str">
        <f>"1-8-3"</f>
        <v>1-8-3</v>
      </c>
      <c r="F193" t="s">
        <v>83</v>
      </c>
      <c r="G193" t="s">
        <v>84</v>
      </c>
      <c r="H193" t="s">
        <v>92</v>
      </c>
      <c r="I193">
        <v>1</v>
      </c>
      <c r="J193">
        <v>1</v>
      </c>
      <c r="N193">
        <v>1</v>
      </c>
      <c r="O193">
        <v>0</v>
      </c>
      <c r="P193">
        <v>0</v>
      </c>
      <c r="Q193">
        <v>0</v>
      </c>
      <c r="R193">
        <v>1</v>
      </c>
      <c r="S193">
        <v>1</v>
      </c>
      <c r="T193">
        <v>1</v>
      </c>
      <c r="W193">
        <v>1</v>
      </c>
      <c r="X193">
        <v>1</v>
      </c>
      <c r="Y193">
        <v>1</v>
      </c>
      <c r="Z193">
        <v>1</v>
      </c>
      <c r="AA193">
        <v>1</v>
      </c>
      <c r="AB193">
        <v>1</v>
      </c>
    </row>
    <row r="194" spans="1:49" x14ac:dyDescent="0.25">
      <c r="A194" t="str">
        <f>"190"</f>
        <v>190</v>
      </c>
      <c r="B194" t="str">
        <f t="shared" si="9"/>
        <v>1</v>
      </c>
      <c r="C194" t="str">
        <f t="shared" si="10"/>
        <v>8</v>
      </c>
      <c r="D194" t="str">
        <f>"22"</f>
        <v>22</v>
      </c>
      <c r="E194" t="str">
        <f>"1-8-22"</f>
        <v>1-8-22</v>
      </c>
      <c r="F194" t="s">
        <v>83</v>
      </c>
      <c r="G194" t="s">
        <v>84</v>
      </c>
      <c r="H194" t="s">
        <v>92</v>
      </c>
      <c r="I194">
        <v>1</v>
      </c>
      <c r="J194">
        <v>1</v>
      </c>
      <c r="N194">
        <v>1</v>
      </c>
      <c r="O194">
        <v>1</v>
      </c>
      <c r="P194">
        <v>0</v>
      </c>
      <c r="Q194">
        <v>0</v>
      </c>
      <c r="R194">
        <v>0</v>
      </c>
      <c r="S194">
        <v>0</v>
      </c>
      <c r="T194">
        <v>0</v>
      </c>
      <c r="W194">
        <v>1</v>
      </c>
      <c r="X194">
        <v>0</v>
      </c>
      <c r="Y194">
        <v>1</v>
      </c>
      <c r="Z194">
        <v>0</v>
      </c>
      <c r="AA194">
        <v>0</v>
      </c>
      <c r="AB194">
        <v>1</v>
      </c>
    </row>
    <row r="195" spans="1:49" x14ac:dyDescent="0.25">
      <c r="A195" t="str">
        <f>"191"</f>
        <v>191</v>
      </c>
      <c r="B195" t="str">
        <f t="shared" si="9"/>
        <v>1</v>
      </c>
      <c r="C195" t="str">
        <f t="shared" si="10"/>
        <v>8</v>
      </c>
      <c r="D195" t="str">
        <f>"12"</f>
        <v>12</v>
      </c>
      <c r="E195" t="str">
        <f>"1-8-12"</f>
        <v>1-8-12</v>
      </c>
      <c r="F195" t="s">
        <v>83</v>
      </c>
      <c r="G195" t="s">
        <v>84</v>
      </c>
      <c r="H195" t="s">
        <v>92</v>
      </c>
      <c r="I195">
        <v>1</v>
      </c>
      <c r="J195">
        <v>0</v>
      </c>
      <c r="N195">
        <v>1</v>
      </c>
      <c r="O195">
        <v>1</v>
      </c>
      <c r="P195">
        <v>1</v>
      </c>
      <c r="Q195">
        <v>1</v>
      </c>
      <c r="R195">
        <v>1</v>
      </c>
      <c r="S195">
        <v>1</v>
      </c>
      <c r="T195">
        <v>1</v>
      </c>
      <c r="W195">
        <v>1</v>
      </c>
      <c r="X195">
        <v>1</v>
      </c>
      <c r="Y195">
        <v>1</v>
      </c>
      <c r="Z195">
        <v>1</v>
      </c>
      <c r="AA195">
        <v>1</v>
      </c>
      <c r="AB195">
        <v>1</v>
      </c>
    </row>
    <row r="196" spans="1:49" x14ac:dyDescent="0.25">
      <c r="A196" t="str">
        <f>"192"</f>
        <v>192</v>
      </c>
      <c r="B196" t="str">
        <f t="shared" si="9"/>
        <v>1</v>
      </c>
      <c r="C196" t="str">
        <f t="shared" si="10"/>
        <v>8</v>
      </c>
      <c r="D196" t="str">
        <f>"4"</f>
        <v>4</v>
      </c>
      <c r="E196" t="str">
        <f>"1-8-4"</f>
        <v>1-8-4</v>
      </c>
      <c r="F196" t="s">
        <v>83</v>
      </c>
      <c r="G196" t="s">
        <v>84</v>
      </c>
      <c r="H196" t="s">
        <v>92</v>
      </c>
      <c r="I196">
        <v>1</v>
      </c>
      <c r="J196">
        <v>1</v>
      </c>
      <c r="N196">
        <v>1</v>
      </c>
      <c r="O196">
        <v>1</v>
      </c>
      <c r="P196">
        <v>1</v>
      </c>
      <c r="Q196">
        <v>1</v>
      </c>
      <c r="R196">
        <v>1</v>
      </c>
      <c r="S196">
        <v>1</v>
      </c>
      <c r="T196">
        <v>1</v>
      </c>
      <c r="W196">
        <v>1</v>
      </c>
      <c r="X196">
        <v>1</v>
      </c>
      <c r="Y196">
        <v>1</v>
      </c>
      <c r="Z196">
        <v>1</v>
      </c>
      <c r="AA196">
        <v>1</v>
      </c>
      <c r="AB196">
        <v>1</v>
      </c>
    </row>
    <row r="197" spans="1:49" x14ac:dyDescent="0.25">
      <c r="A197" t="str">
        <f>"193"</f>
        <v>193</v>
      </c>
      <c r="B197" t="str">
        <f t="shared" si="9"/>
        <v>1</v>
      </c>
      <c r="C197" t="str">
        <f t="shared" si="10"/>
        <v>8</v>
      </c>
      <c r="D197" t="str">
        <f>"21"</f>
        <v>21</v>
      </c>
      <c r="E197" t="str">
        <f>"1-8-21"</f>
        <v>1-8-21</v>
      </c>
      <c r="F197" t="s">
        <v>83</v>
      </c>
      <c r="G197" t="s">
        <v>84</v>
      </c>
      <c r="H197" t="s">
        <v>92</v>
      </c>
      <c r="I197">
        <v>1</v>
      </c>
      <c r="J197">
        <v>1</v>
      </c>
      <c r="N197">
        <v>1</v>
      </c>
      <c r="O197">
        <v>1</v>
      </c>
      <c r="P197">
        <v>1</v>
      </c>
      <c r="Q197">
        <v>1</v>
      </c>
      <c r="R197">
        <v>1</v>
      </c>
      <c r="S197">
        <v>1</v>
      </c>
      <c r="T197">
        <v>1</v>
      </c>
      <c r="W197">
        <v>0</v>
      </c>
      <c r="X197">
        <v>1</v>
      </c>
      <c r="Y197">
        <v>1</v>
      </c>
      <c r="Z197">
        <v>1</v>
      </c>
      <c r="AA197">
        <v>1</v>
      </c>
      <c r="AB197">
        <v>1</v>
      </c>
    </row>
    <row r="198" spans="1:49" x14ac:dyDescent="0.25">
      <c r="A198" t="str">
        <f>"194"</f>
        <v>194</v>
      </c>
      <c r="B198" t="str">
        <f t="shared" si="9"/>
        <v>1</v>
      </c>
      <c r="C198" t="str">
        <f t="shared" si="10"/>
        <v>8</v>
      </c>
      <c r="D198" t="str">
        <f>"13"</f>
        <v>13</v>
      </c>
      <c r="E198" t="str">
        <f>"1-8-13"</f>
        <v>1-8-13</v>
      </c>
      <c r="F198" t="s">
        <v>83</v>
      </c>
      <c r="G198" t="s">
        <v>84</v>
      </c>
      <c r="H198" t="s">
        <v>92</v>
      </c>
      <c r="I198">
        <v>1</v>
      </c>
      <c r="J198">
        <v>1</v>
      </c>
      <c r="N198">
        <v>1</v>
      </c>
      <c r="O198">
        <v>1</v>
      </c>
      <c r="P198">
        <v>1</v>
      </c>
      <c r="Q198">
        <v>1</v>
      </c>
      <c r="R198">
        <v>1</v>
      </c>
      <c r="S198">
        <v>1</v>
      </c>
      <c r="T198">
        <v>1</v>
      </c>
      <c r="W198">
        <v>1</v>
      </c>
      <c r="X198">
        <v>1</v>
      </c>
      <c r="Y198">
        <v>1</v>
      </c>
      <c r="Z198">
        <v>1</v>
      </c>
      <c r="AA198">
        <v>1</v>
      </c>
      <c r="AB198">
        <v>1</v>
      </c>
    </row>
    <row r="199" spans="1:49" x14ac:dyDescent="0.25">
      <c r="A199" t="str">
        <f>"195"</f>
        <v>195</v>
      </c>
      <c r="B199" t="str">
        <f t="shared" si="9"/>
        <v>1</v>
      </c>
      <c r="C199" t="str">
        <f t="shared" si="10"/>
        <v>8</v>
      </c>
      <c r="D199" t="str">
        <f>"7"</f>
        <v>7</v>
      </c>
      <c r="E199" t="str">
        <f>"1-8-7"</f>
        <v>1-8-7</v>
      </c>
      <c r="F199" t="s">
        <v>83</v>
      </c>
      <c r="G199" t="s">
        <v>84</v>
      </c>
      <c r="H199" t="s">
        <v>92</v>
      </c>
      <c r="I199">
        <v>1</v>
      </c>
      <c r="J199">
        <v>1</v>
      </c>
      <c r="N199">
        <v>1</v>
      </c>
      <c r="O199">
        <v>1</v>
      </c>
      <c r="P199">
        <v>1</v>
      </c>
      <c r="Q199">
        <v>1</v>
      </c>
      <c r="R199">
        <v>1</v>
      </c>
      <c r="S199">
        <v>1</v>
      </c>
      <c r="T199">
        <v>1</v>
      </c>
      <c r="W199">
        <v>1</v>
      </c>
      <c r="X199">
        <v>1</v>
      </c>
      <c r="Y199">
        <v>1</v>
      </c>
      <c r="Z199">
        <v>1</v>
      </c>
      <c r="AA199">
        <v>1</v>
      </c>
      <c r="AB199">
        <v>1</v>
      </c>
    </row>
    <row r="200" spans="1:49" x14ac:dyDescent="0.25">
      <c r="A200" t="str">
        <f>"196"</f>
        <v>196</v>
      </c>
      <c r="B200" t="str">
        <f t="shared" si="9"/>
        <v>1</v>
      </c>
      <c r="C200" t="str">
        <f t="shared" si="10"/>
        <v>8</v>
      </c>
      <c r="D200" t="str">
        <f>"23"</f>
        <v>23</v>
      </c>
      <c r="E200" t="str">
        <f>"1-8-23"</f>
        <v>1-8-23</v>
      </c>
      <c r="F200" t="s">
        <v>83</v>
      </c>
      <c r="G200" t="s">
        <v>84</v>
      </c>
      <c r="H200" t="s">
        <v>92</v>
      </c>
      <c r="I200">
        <v>1</v>
      </c>
      <c r="J200">
        <v>1</v>
      </c>
      <c r="N200">
        <v>1</v>
      </c>
      <c r="O200">
        <v>1</v>
      </c>
      <c r="P200">
        <v>1</v>
      </c>
      <c r="Q200">
        <v>1</v>
      </c>
      <c r="R200">
        <v>1</v>
      </c>
      <c r="S200">
        <v>1</v>
      </c>
      <c r="T200">
        <v>1</v>
      </c>
      <c r="W200">
        <v>1</v>
      </c>
      <c r="X200">
        <v>1</v>
      </c>
      <c r="Y200">
        <v>1</v>
      </c>
      <c r="Z200">
        <v>1</v>
      </c>
      <c r="AA200">
        <v>1</v>
      </c>
      <c r="AB200">
        <v>1</v>
      </c>
    </row>
    <row r="201" spans="1:49" x14ac:dyDescent="0.25">
      <c r="A201" t="str">
        <f>"197"</f>
        <v>197</v>
      </c>
      <c r="B201" t="str">
        <f t="shared" si="9"/>
        <v>1</v>
      </c>
      <c r="C201" t="str">
        <f t="shared" si="10"/>
        <v>8</v>
      </c>
      <c r="D201" t="str">
        <f>"15"</f>
        <v>15</v>
      </c>
      <c r="E201" t="str">
        <f>"1-8-15"</f>
        <v>1-8-15</v>
      </c>
      <c r="F201" t="s">
        <v>83</v>
      </c>
      <c r="G201" t="s">
        <v>84</v>
      </c>
      <c r="H201" t="s">
        <v>92</v>
      </c>
      <c r="I201">
        <v>1</v>
      </c>
      <c r="J201">
        <v>1</v>
      </c>
      <c r="N201">
        <v>1</v>
      </c>
      <c r="O201">
        <v>1</v>
      </c>
      <c r="P201">
        <v>1</v>
      </c>
      <c r="Q201">
        <v>1</v>
      </c>
      <c r="R201">
        <v>1</v>
      </c>
      <c r="S201">
        <v>1</v>
      </c>
      <c r="T201">
        <v>1</v>
      </c>
      <c r="W201">
        <v>1</v>
      </c>
      <c r="X201">
        <v>1</v>
      </c>
      <c r="Y201">
        <v>1</v>
      </c>
      <c r="Z201">
        <v>1</v>
      </c>
      <c r="AA201">
        <v>1</v>
      </c>
      <c r="AB201">
        <v>1</v>
      </c>
    </row>
    <row r="202" spans="1:49" x14ac:dyDescent="0.25">
      <c r="A202" t="str">
        <f>"198"</f>
        <v>198</v>
      </c>
      <c r="B202" t="str">
        <f t="shared" si="9"/>
        <v>1</v>
      </c>
      <c r="C202" t="str">
        <f t="shared" si="10"/>
        <v>8</v>
      </c>
      <c r="D202" t="str">
        <f>"6"</f>
        <v>6</v>
      </c>
      <c r="E202" t="str">
        <f>"1-8-6"</f>
        <v>1-8-6</v>
      </c>
      <c r="F202" t="s">
        <v>83</v>
      </c>
      <c r="G202" t="s">
        <v>84</v>
      </c>
      <c r="H202" t="s">
        <v>92</v>
      </c>
      <c r="I202">
        <v>1</v>
      </c>
      <c r="J202">
        <v>1</v>
      </c>
      <c r="N202">
        <v>1</v>
      </c>
      <c r="O202">
        <v>1</v>
      </c>
      <c r="P202">
        <v>1</v>
      </c>
      <c r="Q202">
        <v>1</v>
      </c>
      <c r="R202">
        <v>1</v>
      </c>
      <c r="S202">
        <v>1</v>
      </c>
      <c r="T202">
        <v>1</v>
      </c>
      <c r="W202">
        <v>1</v>
      </c>
      <c r="X202">
        <v>1</v>
      </c>
      <c r="Y202">
        <v>1</v>
      </c>
      <c r="Z202">
        <v>1</v>
      </c>
      <c r="AA202">
        <v>1</v>
      </c>
      <c r="AB202">
        <v>1</v>
      </c>
    </row>
    <row r="203" spans="1:49" x14ac:dyDescent="0.25">
      <c r="A203" t="str">
        <f>"199"</f>
        <v>199</v>
      </c>
      <c r="B203" t="str">
        <f t="shared" si="9"/>
        <v>1</v>
      </c>
      <c r="C203" t="str">
        <f t="shared" ref="C203:C226" si="11">"9"</f>
        <v>9</v>
      </c>
      <c r="D203" t="str">
        <f>"24"</f>
        <v>24</v>
      </c>
      <c r="E203" t="str">
        <f>"1-9-24"</f>
        <v>1-9-24</v>
      </c>
      <c r="F203" t="s">
        <v>83</v>
      </c>
      <c r="G203" t="s">
        <v>86</v>
      </c>
      <c r="H203" t="s">
        <v>87</v>
      </c>
      <c r="AC203">
        <v>0</v>
      </c>
      <c r="AD203">
        <v>0</v>
      </c>
      <c r="AE203">
        <v>0</v>
      </c>
      <c r="AF203">
        <v>0</v>
      </c>
      <c r="AH203">
        <v>1</v>
      </c>
      <c r="AI203">
        <v>0</v>
      </c>
      <c r="AJ203">
        <v>0</v>
      </c>
      <c r="AK203">
        <v>0</v>
      </c>
      <c r="AL203">
        <v>0</v>
      </c>
      <c r="AM203">
        <v>0</v>
      </c>
      <c r="AN203">
        <v>0</v>
      </c>
      <c r="AO203">
        <v>0</v>
      </c>
      <c r="AP203">
        <v>0</v>
      </c>
      <c r="AQ203">
        <v>0</v>
      </c>
      <c r="AU203">
        <v>0</v>
      </c>
      <c r="AV203">
        <v>0</v>
      </c>
      <c r="AW203">
        <v>0</v>
      </c>
    </row>
    <row r="204" spans="1:49" x14ac:dyDescent="0.25">
      <c r="A204" t="str">
        <f>"200"</f>
        <v>200</v>
      </c>
      <c r="B204" t="str">
        <f t="shared" si="9"/>
        <v>1</v>
      </c>
      <c r="C204" t="str">
        <f t="shared" si="11"/>
        <v>9</v>
      </c>
      <c r="D204" t="str">
        <f>"17"</f>
        <v>17</v>
      </c>
      <c r="E204" t="str">
        <f>"1-9-17"</f>
        <v>1-9-17</v>
      </c>
      <c r="F204" t="s">
        <v>83</v>
      </c>
      <c r="G204" t="s">
        <v>84</v>
      </c>
      <c r="H204" t="s">
        <v>85</v>
      </c>
      <c r="AC204">
        <v>0</v>
      </c>
      <c r="AD204">
        <v>1</v>
      </c>
      <c r="AE204">
        <v>0</v>
      </c>
      <c r="AF204">
        <v>0</v>
      </c>
      <c r="AG204">
        <v>1</v>
      </c>
      <c r="AJ204">
        <v>0</v>
      </c>
      <c r="AK204">
        <v>1</v>
      </c>
      <c r="AL204">
        <v>0</v>
      </c>
      <c r="AM204">
        <v>0</v>
      </c>
      <c r="AN204">
        <v>1</v>
      </c>
      <c r="AO204">
        <v>1</v>
      </c>
      <c r="AP204">
        <v>1</v>
      </c>
      <c r="AQ204">
        <v>1</v>
      </c>
      <c r="AR204">
        <v>1</v>
      </c>
      <c r="AS204">
        <v>0</v>
      </c>
      <c r="AT204">
        <v>1</v>
      </c>
      <c r="AV204">
        <v>1</v>
      </c>
      <c r="AW204">
        <v>1</v>
      </c>
    </row>
    <row r="205" spans="1:49" x14ac:dyDescent="0.25">
      <c r="A205" t="str">
        <f>"201"</f>
        <v>201</v>
      </c>
      <c r="B205" t="str">
        <f t="shared" si="9"/>
        <v>1</v>
      </c>
      <c r="C205" t="str">
        <f t="shared" si="11"/>
        <v>9</v>
      </c>
      <c r="D205" t="str">
        <f>"11"</f>
        <v>11</v>
      </c>
      <c r="E205" t="str">
        <f>"1-9-11"</f>
        <v>1-9-11</v>
      </c>
      <c r="F205" t="s">
        <v>83</v>
      </c>
      <c r="G205" t="s">
        <v>84</v>
      </c>
      <c r="H205" t="s">
        <v>85</v>
      </c>
      <c r="AC205">
        <v>0</v>
      </c>
      <c r="AD205">
        <v>1</v>
      </c>
      <c r="AE205">
        <v>0</v>
      </c>
      <c r="AF205">
        <v>0</v>
      </c>
      <c r="AG205">
        <v>1</v>
      </c>
      <c r="AJ205">
        <v>1</v>
      </c>
      <c r="AK205">
        <v>0</v>
      </c>
      <c r="AL205">
        <v>0</v>
      </c>
      <c r="AM205">
        <v>0</v>
      </c>
      <c r="AN205">
        <v>1</v>
      </c>
      <c r="AO205">
        <v>1</v>
      </c>
      <c r="AP205">
        <v>1</v>
      </c>
      <c r="AQ205">
        <v>1</v>
      </c>
      <c r="AR205">
        <v>1</v>
      </c>
      <c r="AS205">
        <v>0</v>
      </c>
      <c r="AT205">
        <v>1</v>
      </c>
      <c r="AV205">
        <v>1</v>
      </c>
      <c r="AW205">
        <v>1</v>
      </c>
    </row>
    <row r="206" spans="1:49" x14ac:dyDescent="0.25">
      <c r="A206" t="str">
        <f>"202"</f>
        <v>202</v>
      </c>
      <c r="B206" t="str">
        <f t="shared" si="9"/>
        <v>1</v>
      </c>
      <c r="C206" t="str">
        <f t="shared" si="11"/>
        <v>9</v>
      </c>
      <c r="D206" t="str">
        <f>"2"</f>
        <v>2</v>
      </c>
      <c r="E206" t="str">
        <f>"1-9-2"</f>
        <v>1-9-2</v>
      </c>
      <c r="F206" t="s">
        <v>83</v>
      </c>
      <c r="G206" t="s">
        <v>84</v>
      </c>
      <c r="H206" t="s">
        <v>85</v>
      </c>
      <c r="AC206">
        <v>0</v>
      </c>
      <c r="AD206">
        <v>1</v>
      </c>
      <c r="AE206">
        <v>0</v>
      </c>
      <c r="AF206">
        <v>0</v>
      </c>
      <c r="AG206">
        <v>1</v>
      </c>
      <c r="AJ206">
        <v>0</v>
      </c>
      <c r="AK206">
        <v>1</v>
      </c>
      <c r="AL206">
        <v>0</v>
      </c>
      <c r="AM206">
        <v>1</v>
      </c>
      <c r="AN206">
        <v>0</v>
      </c>
      <c r="AO206">
        <v>1</v>
      </c>
      <c r="AP206">
        <v>1</v>
      </c>
      <c r="AQ206">
        <v>1</v>
      </c>
      <c r="AR206">
        <v>1</v>
      </c>
      <c r="AS206">
        <v>1</v>
      </c>
      <c r="AT206">
        <v>0</v>
      </c>
      <c r="AV206">
        <v>1</v>
      </c>
      <c r="AW206">
        <v>1</v>
      </c>
    </row>
    <row r="207" spans="1:49" x14ac:dyDescent="0.25">
      <c r="A207" t="str">
        <f>"203"</f>
        <v>203</v>
      </c>
      <c r="B207" t="str">
        <f t="shared" si="9"/>
        <v>1</v>
      </c>
      <c r="C207" t="str">
        <f t="shared" si="11"/>
        <v>9</v>
      </c>
      <c r="D207" t="str">
        <f>"18"</f>
        <v>18</v>
      </c>
      <c r="E207" t="str">
        <f>"1-9-18"</f>
        <v>1-9-18</v>
      </c>
      <c r="F207" t="s">
        <v>83</v>
      </c>
      <c r="G207" t="s">
        <v>86</v>
      </c>
      <c r="H207" t="s">
        <v>87</v>
      </c>
      <c r="AC207">
        <v>0</v>
      </c>
      <c r="AD207">
        <v>1</v>
      </c>
      <c r="AE207">
        <v>0</v>
      </c>
      <c r="AF207">
        <v>0</v>
      </c>
      <c r="AH207">
        <v>1</v>
      </c>
      <c r="AI207">
        <v>0</v>
      </c>
      <c r="AJ207">
        <v>0</v>
      </c>
      <c r="AK207">
        <v>1</v>
      </c>
      <c r="AL207">
        <v>0</v>
      </c>
      <c r="AM207">
        <v>0</v>
      </c>
      <c r="AN207">
        <v>0</v>
      </c>
      <c r="AO207">
        <v>0</v>
      </c>
      <c r="AP207">
        <v>0</v>
      </c>
      <c r="AQ207">
        <v>0</v>
      </c>
      <c r="AU207">
        <v>1</v>
      </c>
      <c r="AV207">
        <v>0</v>
      </c>
      <c r="AW207">
        <v>0</v>
      </c>
    </row>
    <row r="208" spans="1:49" x14ac:dyDescent="0.25">
      <c r="A208" t="str">
        <f>"204"</f>
        <v>204</v>
      </c>
      <c r="B208" t="str">
        <f t="shared" si="9"/>
        <v>1</v>
      </c>
      <c r="C208" t="str">
        <f t="shared" si="11"/>
        <v>9</v>
      </c>
      <c r="D208" t="str">
        <f>"9"</f>
        <v>9</v>
      </c>
      <c r="E208" t="str">
        <f>"1-9-9"</f>
        <v>1-9-9</v>
      </c>
      <c r="F208" t="s">
        <v>83</v>
      </c>
      <c r="G208" t="s">
        <v>84</v>
      </c>
      <c r="H208" t="s">
        <v>85</v>
      </c>
      <c r="AC208">
        <v>0</v>
      </c>
      <c r="AD208">
        <v>1</v>
      </c>
      <c r="AE208">
        <v>0</v>
      </c>
      <c r="AF208">
        <v>0</v>
      </c>
      <c r="AG208">
        <v>1</v>
      </c>
      <c r="AJ208">
        <v>1</v>
      </c>
      <c r="AK208">
        <v>0</v>
      </c>
      <c r="AL208">
        <v>0</v>
      </c>
      <c r="AM208">
        <v>1</v>
      </c>
      <c r="AN208">
        <v>0</v>
      </c>
      <c r="AO208">
        <v>1</v>
      </c>
      <c r="AP208">
        <v>1</v>
      </c>
      <c r="AQ208">
        <v>1</v>
      </c>
      <c r="AR208">
        <v>1</v>
      </c>
      <c r="AS208">
        <v>0</v>
      </c>
      <c r="AT208">
        <v>1</v>
      </c>
      <c r="AV208">
        <v>1</v>
      </c>
      <c r="AW208">
        <v>1</v>
      </c>
    </row>
    <row r="209" spans="1:49" x14ac:dyDescent="0.25">
      <c r="A209" t="str">
        <f>"205"</f>
        <v>205</v>
      </c>
      <c r="B209" t="str">
        <f t="shared" si="9"/>
        <v>1</v>
      </c>
      <c r="C209" t="str">
        <f t="shared" si="11"/>
        <v>9</v>
      </c>
      <c r="D209" t="str">
        <f>"1"</f>
        <v>1</v>
      </c>
      <c r="E209" t="str">
        <f>"1-9-1"</f>
        <v>1-9-1</v>
      </c>
      <c r="F209" t="s">
        <v>83</v>
      </c>
      <c r="G209" t="s">
        <v>86</v>
      </c>
      <c r="H209" t="s">
        <v>87</v>
      </c>
      <c r="AC209">
        <v>0</v>
      </c>
      <c r="AD209">
        <v>1</v>
      </c>
      <c r="AE209">
        <v>0</v>
      </c>
      <c r="AF209">
        <v>0</v>
      </c>
      <c r="AH209">
        <v>0</v>
      </c>
      <c r="AI209">
        <v>1</v>
      </c>
      <c r="AJ209">
        <v>1</v>
      </c>
      <c r="AK209">
        <v>0</v>
      </c>
      <c r="AL209">
        <v>1</v>
      </c>
      <c r="AM209">
        <v>0</v>
      </c>
      <c r="AN209">
        <v>0</v>
      </c>
      <c r="AO209">
        <v>0</v>
      </c>
      <c r="AP209">
        <v>0</v>
      </c>
      <c r="AQ209">
        <v>0</v>
      </c>
      <c r="AU209">
        <v>0</v>
      </c>
      <c r="AV209">
        <v>0</v>
      </c>
      <c r="AW209">
        <v>0</v>
      </c>
    </row>
    <row r="210" spans="1:49" x14ac:dyDescent="0.25">
      <c r="A210" t="str">
        <f>"206"</f>
        <v>206</v>
      </c>
      <c r="B210" t="str">
        <f t="shared" si="9"/>
        <v>1</v>
      </c>
      <c r="C210" t="str">
        <f t="shared" si="11"/>
        <v>9</v>
      </c>
      <c r="D210" t="str">
        <f>"19"</f>
        <v>19</v>
      </c>
      <c r="E210" t="str">
        <f>"1-9-19"</f>
        <v>1-9-19</v>
      </c>
      <c r="F210" t="s">
        <v>83</v>
      </c>
      <c r="G210" t="s">
        <v>86</v>
      </c>
      <c r="H210" t="s">
        <v>87</v>
      </c>
      <c r="AC210">
        <v>0</v>
      </c>
      <c r="AD210">
        <v>1</v>
      </c>
      <c r="AE210">
        <v>0</v>
      </c>
      <c r="AF210">
        <v>0</v>
      </c>
      <c r="AH210">
        <v>0</v>
      </c>
      <c r="AI210">
        <v>1</v>
      </c>
      <c r="AJ210">
        <v>1</v>
      </c>
      <c r="AK210">
        <v>0</v>
      </c>
      <c r="AL210">
        <v>0</v>
      </c>
      <c r="AM210">
        <v>0</v>
      </c>
      <c r="AN210">
        <v>0</v>
      </c>
      <c r="AO210">
        <v>0</v>
      </c>
      <c r="AP210">
        <v>0</v>
      </c>
      <c r="AQ210">
        <v>0</v>
      </c>
      <c r="AU210">
        <v>0</v>
      </c>
      <c r="AV210">
        <v>0</v>
      </c>
      <c r="AW210">
        <v>0</v>
      </c>
    </row>
    <row r="211" spans="1:49" x14ac:dyDescent="0.25">
      <c r="A211" t="str">
        <f>"207"</f>
        <v>207</v>
      </c>
      <c r="B211" t="str">
        <f t="shared" si="9"/>
        <v>1</v>
      </c>
      <c r="C211" t="str">
        <f t="shared" si="11"/>
        <v>9</v>
      </c>
      <c r="D211" t="str">
        <f>"10"</f>
        <v>10</v>
      </c>
      <c r="E211" t="str">
        <f>"1-9-10"</f>
        <v>1-9-10</v>
      </c>
      <c r="F211" t="s">
        <v>83</v>
      </c>
      <c r="G211" t="s">
        <v>84</v>
      </c>
      <c r="H211" t="s">
        <v>85</v>
      </c>
      <c r="AC211">
        <v>1</v>
      </c>
      <c r="AD211">
        <v>0</v>
      </c>
      <c r="AE211">
        <v>0</v>
      </c>
      <c r="AF211">
        <v>0</v>
      </c>
      <c r="AG211">
        <v>1</v>
      </c>
      <c r="AJ211">
        <v>1</v>
      </c>
      <c r="AK211">
        <v>0</v>
      </c>
      <c r="AL211">
        <v>1</v>
      </c>
      <c r="AM211">
        <v>0</v>
      </c>
      <c r="AN211">
        <v>0</v>
      </c>
      <c r="AO211">
        <v>0</v>
      </c>
      <c r="AP211">
        <v>1</v>
      </c>
      <c r="AQ211">
        <v>1</v>
      </c>
      <c r="AR211">
        <v>1</v>
      </c>
      <c r="AS211">
        <v>0</v>
      </c>
      <c r="AT211">
        <v>1</v>
      </c>
      <c r="AV211">
        <v>1</v>
      </c>
      <c r="AW211">
        <v>1</v>
      </c>
    </row>
    <row r="212" spans="1:49" x14ac:dyDescent="0.25">
      <c r="A212" t="str">
        <f>"208"</f>
        <v>208</v>
      </c>
      <c r="B212" t="str">
        <f t="shared" si="9"/>
        <v>1</v>
      </c>
      <c r="C212" t="str">
        <f t="shared" si="11"/>
        <v>9</v>
      </c>
      <c r="D212" t="str">
        <f>"7"</f>
        <v>7</v>
      </c>
      <c r="E212" t="str">
        <f>"1-9-7"</f>
        <v>1-9-7</v>
      </c>
      <c r="F212" t="s">
        <v>83</v>
      </c>
      <c r="G212" t="s">
        <v>84</v>
      </c>
      <c r="H212" t="s">
        <v>85</v>
      </c>
      <c r="AC212">
        <v>0</v>
      </c>
      <c r="AD212">
        <v>1</v>
      </c>
      <c r="AE212">
        <v>0</v>
      </c>
      <c r="AF212">
        <v>0</v>
      </c>
      <c r="AG212">
        <v>1</v>
      </c>
      <c r="AJ212">
        <v>1</v>
      </c>
      <c r="AK212">
        <v>0</v>
      </c>
      <c r="AL212">
        <v>0</v>
      </c>
      <c r="AM212">
        <v>1</v>
      </c>
      <c r="AN212">
        <v>0</v>
      </c>
      <c r="AO212">
        <v>1</v>
      </c>
      <c r="AP212">
        <v>1</v>
      </c>
      <c r="AQ212">
        <v>1</v>
      </c>
      <c r="AR212">
        <v>1</v>
      </c>
      <c r="AS212">
        <v>1</v>
      </c>
      <c r="AT212">
        <v>0</v>
      </c>
      <c r="AV212">
        <v>1</v>
      </c>
      <c r="AW212">
        <v>1</v>
      </c>
    </row>
    <row r="213" spans="1:49" x14ac:dyDescent="0.25">
      <c r="A213" t="str">
        <f>"209"</f>
        <v>209</v>
      </c>
      <c r="B213" t="str">
        <f t="shared" si="9"/>
        <v>1</v>
      </c>
      <c r="C213" t="str">
        <f t="shared" si="11"/>
        <v>9</v>
      </c>
      <c r="D213" t="str">
        <f>"20"</f>
        <v>20</v>
      </c>
      <c r="E213" t="str">
        <f>"1-9-20"</f>
        <v>1-9-20</v>
      </c>
      <c r="F213" t="s">
        <v>83</v>
      </c>
      <c r="G213" t="s">
        <v>84</v>
      </c>
      <c r="H213" t="s">
        <v>85</v>
      </c>
      <c r="AC213">
        <v>0</v>
      </c>
      <c r="AD213">
        <v>0</v>
      </c>
      <c r="AE213">
        <v>0</v>
      </c>
      <c r="AF213">
        <v>0</v>
      </c>
      <c r="AG213">
        <v>0</v>
      </c>
      <c r="AJ213">
        <v>1</v>
      </c>
      <c r="AK213">
        <v>0</v>
      </c>
      <c r="AL213">
        <v>0</v>
      </c>
      <c r="AM213">
        <v>0</v>
      </c>
      <c r="AN213">
        <v>1</v>
      </c>
      <c r="AO213">
        <v>1</v>
      </c>
      <c r="AP213">
        <v>1</v>
      </c>
      <c r="AQ213">
        <v>1</v>
      </c>
      <c r="AR213">
        <v>1</v>
      </c>
      <c r="AS213">
        <v>1</v>
      </c>
      <c r="AT213">
        <v>0</v>
      </c>
      <c r="AV213">
        <v>1</v>
      </c>
      <c r="AW213">
        <v>1</v>
      </c>
    </row>
    <row r="214" spans="1:49" x14ac:dyDescent="0.25">
      <c r="A214" t="str">
        <f>"210"</f>
        <v>210</v>
      </c>
      <c r="B214" t="str">
        <f t="shared" si="9"/>
        <v>1</v>
      </c>
      <c r="C214" t="str">
        <f t="shared" si="11"/>
        <v>9</v>
      </c>
      <c r="D214" t="str">
        <f>"12"</f>
        <v>12</v>
      </c>
      <c r="E214" t="str">
        <f>"1-9-12"</f>
        <v>1-9-12</v>
      </c>
      <c r="F214" t="s">
        <v>83</v>
      </c>
      <c r="G214" t="s">
        <v>86</v>
      </c>
      <c r="H214" t="s">
        <v>87</v>
      </c>
      <c r="AC214">
        <v>0</v>
      </c>
      <c r="AD214">
        <v>1</v>
      </c>
      <c r="AE214">
        <v>0</v>
      </c>
      <c r="AF214">
        <v>0</v>
      </c>
      <c r="AH214">
        <v>0</v>
      </c>
      <c r="AI214">
        <v>1</v>
      </c>
      <c r="AJ214">
        <v>1</v>
      </c>
      <c r="AK214">
        <v>0</v>
      </c>
      <c r="AL214">
        <v>0</v>
      </c>
      <c r="AM214">
        <v>0</v>
      </c>
      <c r="AN214">
        <v>1</v>
      </c>
      <c r="AO214">
        <v>1</v>
      </c>
      <c r="AP214">
        <v>1</v>
      </c>
      <c r="AQ214">
        <v>1</v>
      </c>
      <c r="AU214">
        <v>1</v>
      </c>
      <c r="AV214">
        <v>1</v>
      </c>
      <c r="AW214">
        <v>1</v>
      </c>
    </row>
    <row r="215" spans="1:49" x14ac:dyDescent="0.25">
      <c r="A215" t="str">
        <f>"211"</f>
        <v>211</v>
      </c>
      <c r="B215" t="str">
        <f t="shared" si="9"/>
        <v>1</v>
      </c>
      <c r="C215" t="str">
        <f t="shared" si="11"/>
        <v>9</v>
      </c>
      <c r="D215" t="str">
        <f>"5"</f>
        <v>5</v>
      </c>
      <c r="E215" t="str">
        <f>"1-9-5"</f>
        <v>1-9-5</v>
      </c>
      <c r="F215" t="s">
        <v>83</v>
      </c>
      <c r="G215" t="s">
        <v>86</v>
      </c>
      <c r="H215" t="s">
        <v>87</v>
      </c>
      <c r="AC215">
        <v>1</v>
      </c>
      <c r="AD215">
        <v>0</v>
      </c>
      <c r="AE215">
        <v>0</v>
      </c>
      <c r="AF215">
        <v>0</v>
      </c>
      <c r="AH215">
        <v>1</v>
      </c>
      <c r="AI215">
        <v>0</v>
      </c>
      <c r="AJ215">
        <v>0</v>
      </c>
      <c r="AK215">
        <v>1</v>
      </c>
      <c r="AL215">
        <v>0</v>
      </c>
      <c r="AM215">
        <v>1</v>
      </c>
      <c r="AN215">
        <v>0</v>
      </c>
      <c r="AO215">
        <v>0</v>
      </c>
      <c r="AP215">
        <v>0</v>
      </c>
      <c r="AQ215">
        <v>0</v>
      </c>
      <c r="AU215">
        <v>0</v>
      </c>
      <c r="AV215">
        <v>0</v>
      </c>
      <c r="AW215">
        <v>0</v>
      </c>
    </row>
    <row r="216" spans="1:49" x14ac:dyDescent="0.25">
      <c r="A216" t="str">
        <f>"212"</f>
        <v>212</v>
      </c>
      <c r="B216" t="str">
        <f t="shared" si="9"/>
        <v>1</v>
      </c>
      <c r="C216" t="str">
        <f t="shared" si="11"/>
        <v>9</v>
      </c>
      <c r="D216" t="str">
        <f>"21"</f>
        <v>21</v>
      </c>
      <c r="E216" t="str">
        <f>"1-9-21"</f>
        <v>1-9-21</v>
      </c>
      <c r="F216" t="s">
        <v>83</v>
      </c>
      <c r="G216" t="s">
        <v>84</v>
      </c>
      <c r="H216" t="s">
        <v>85</v>
      </c>
      <c r="AC216">
        <v>0</v>
      </c>
      <c r="AD216">
        <v>1</v>
      </c>
      <c r="AE216">
        <v>0</v>
      </c>
      <c r="AF216">
        <v>0</v>
      </c>
      <c r="AG216">
        <v>1</v>
      </c>
      <c r="AJ216">
        <v>1</v>
      </c>
      <c r="AK216">
        <v>0</v>
      </c>
      <c r="AL216">
        <v>0</v>
      </c>
      <c r="AM216">
        <v>1</v>
      </c>
      <c r="AN216">
        <v>0</v>
      </c>
      <c r="AO216">
        <v>1</v>
      </c>
      <c r="AP216">
        <v>1</v>
      </c>
      <c r="AQ216">
        <v>1</v>
      </c>
      <c r="AR216">
        <v>1</v>
      </c>
      <c r="AS216">
        <v>0</v>
      </c>
      <c r="AT216">
        <v>1</v>
      </c>
      <c r="AV216">
        <v>1</v>
      </c>
      <c r="AW216">
        <v>1</v>
      </c>
    </row>
    <row r="217" spans="1:49" x14ac:dyDescent="0.25">
      <c r="A217" t="str">
        <f>"213"</f>
        <v>213</v>
      </c>
      <c r="B217" t="str">
        <f t="shared" si="9"/>
        <v>1</v>
      </c>
      <c r="C217" t="str">
        <f t="shared" si="11"/>
        <v>9</v>
      </c>
      <c r="D217" t="str">
        <f>"13"</f>
        <v>13</v>
      </c>
      <c r="E217" t="str">
        <f>"1-9-13"</f>
        <v>1-9-13</v>
      </c>
      <c r="F217" t="s">
        <v>83</v>
      </c>
      <c r="G217" t="s">
        <v>86</v>
      </c>
      <c r="H217" t="s">
        <v>87</v>
      </c>
      <c r="AC217">
        <v>0</v>
      </c>
      <c r="AD217">
        <v>1</v>
      </c>
      <c r="AE217">
        <v>0</v>
      </c>
      <c r="AF217">
        <v>0</v>
      </c>
      <c r="AH217">
        <v>0</v>
      </c>
      <c r="AI217">
        <v>1</v>
      </c>
      <c r="AJ217">
        <v>1</v>
      </c>
      <c r="AK217">
        <v>0</v>
      </c>
      <c r="AL217">
        <v>1</v>
      </c>
      <c r="AM217">
        <v>0</v>
      </c>
      <c r="AN217">
        <v>0</v>
      </c>
      <c r="AO217">
        <v>0</v>
      </c>
      <c r="AP217">
        <v>0</v>
      </c>
      <c r="AQ217">
        <v>0</v>
      </c>
      <c r="AU217">
        <v>0</v>
      </c>
      <c r="AV217">
        <v>0</v>
      </c>
      <c r="AW217">
        <v>0</v>
      </c>
    </row>
    <row r="218" spans="1:49" x14ac:dyDescent="0.25">
      <c r="A218" t="str">
        <f>"214"</f>
        <v>214</v>
      </c>
      <c r="B218" t="str">
        <f t="shared" si="9"/>
        <v>1</v>
      </c>
      <c r="C218" t="str">
        <f t="shared" si="11"/>
        <v>9</v>
      </c>
      <c r="D218" t="str">
        <f>"3"</f>
        <v>3</v>
      </c>
      <c r="E218" t="str">
        <f>"1-9-3"</f>
        <v>1-9-3</v>
      </c>
      <c r="F218" t="s">
        <v>83</v>
      </c>
      <c r="G218" t="s">
        <v>86</v>
      </c>
      <c r="H218" t="s">
        <v>87</v>
      </c>
      <c r="AC218">
        <v>0</v>
      </c>
      <c r="AD218">
        <v>0</v>
      </c>
      <c r="AE218">
        <v>0</v>
      </c>
      <c r="AF218">
        <v>0</v>
      </c>
      <c r="AH218">
        <v>0</v>
      </c>
      <c r="AI218">
        <v>1</v>
      </c>
      <c r="AJ218">
        <v>0</v>
      </c>
      <c r="AK218">
        <v>0</v>
      </c>
      <c r="AL218">
        <v>1</v>
      </c>
      <c r="AM218">
        <v>0</v>
      </c>
      <c r="AN218">
        <v>0</v>
      </c>
      <c r="AO218">
        <v>0</v>
      </c>
      <c r="AP218">
        <v>0</v>
      </c>
      <c r="AQ218">
        <v>0</v>
      </c>
      <c r="AU218">
        <v>1</v>
      </c>
      <c r="AV218">
        <v>0</v>
      </c>
      <c r="AW218">
        <v>0</v>
      </c>
    </row>
    <row r="219" spans="1:49" x14ac:dyDescent="0.25">
      <c r="A219" t="str">
        <f>"215"</f>
        <v>215</v>
      </c>
      <c r="B219" t="str">
        <f t="shared" si="9"/>
        <v>1</v>
      </c>
      <c r="C219" t="str">
        <f t="shared" si="11"/>
        <v>9</v>
      </c>
      <c r="D219" t="str">
        <f>"22"</f>
        <v>22</v>
      </c>
      <c r="E219" t="str">
        <f>"1-9-22"</f>
        <v>1-9-22</v>
      </c>
      <c r="F219" t="s">
        <v>83</v>
      </c>
      <c r="G219" t="s">
        <v>84</v>
      </c>
      <c r="H219" t="s">
        <v>85</v>
      </c>
      <c r="AC219">
        <v>1</v>
      </c>
      <c r="AD219">
        <v>0</v>
      </c>
      <c r="AE219">
        <v>0</v>
      </c>
      <c r="AF219">
        <v>0</v>
      </c>
      <c r="AG219">
        <v>1</v>
      </c>
      <c r="AJ219">
        <v>1</v>
      </c>
      <c r="AK219">
        <v>0</v>
      </c>
      <c r="AL219">
        <v>0</v>
      </c>
      <c r="AM219">
        <v>1</v>
      </c>
      <c r="AN219">
        <v>0</v>
      </c>
      <c r="AO219">
        <v>1</v>
      </c>
      <c r="AP219">
        <v>1</v>
      </c>
      <c r="AQ219">
        <v>1</v>
      </c>
      <c r="AR219">
        <v>1</v>
      </c>
      <c r="AS219">
        <v>0</v>
      </c>
      <c r="AT219">
        <v>1</v>
      </c>
      <c r="AV219">
        <v>1</v>
      </c>
      <c r="AW219">
        <v>1</v>
      </c>
    </row>
    <row r="220" spans="1:49" x14ac:dyDescent="0.25">
      <c r="A220" t="str">
        <f>"216"</f>
        <v>216</v>
      </c>
      <c r="B220" t="str">
        <f t="shared" si="9"/>
        <v>1</v>
      </c>
      <c r="C220" t="str">
        <f t="shared" si="11"/>
        <v>9</v>
      </c>
      <c r="D220" t="str">
        <f>"14"</f>
        <v>14</v>
      </c>
      <c r="E220" t="str">
        <f>"1-9-14"</f>
        <v>1-9-14</v>
      </c>
      <c r="F220" t="s">
        <v>83</v>
      </c>
      <c r="G220" t="s">
        <v>86</v>
      </c>
      <c r="H220" t="s">
        <v>87</v>
      </c>
      <c r="AC220">
        <v>0</v>
      </c>
      <c r="AD220">
        <v>0</v>
      </c>
      <c r="AE220">
        <v>0</v>
      </c>
      <c r="AF220">
        <v>0</v>
      </c>
      <c r="AH220">
        <v>0</v>
      </c>
      <c r="AI220">
        <v>1</v>
      </c>
      <c r="AJ220">
        <v>0</v>
      </c>
      <c r="AK220">
        <v>0</v>
      </c>
      <c r="AL220">
        <v>0</v>
      </c>
      <c r="AM220">
        <v>0</v>
      </c>
      <c r="AN220">
        <v>0</v>
      </c>
      <c r="AO220">
        <v>0</v>
      </c>
      <c r="AP220">
        <v>0</v>
      </c>
      <c r="AQ220">
        <v>0</v>
      </c>
      <c r="AU220">
        <v>0</v>
      </c>
      <c r="AV220">
        <v>0</v>
      </c>
      <c r="AW220">
        <v>0</v>
      </c>
    </row>
    <row r="221" spans="1:49" x14ac:dyDescent="0.25">
      <c r="A221" t="str">
        <f>"217"</f>
        <v>217</v>
      </c>
      <c r="B221" t="str">
        <f t="shared" si="9"/>
        <v>1</v>
      </c>
      <c r="C221" t="str">
        <f t="shared" si="11"/>
        <v>9</v>
      </c>
      <c r="D221" t="str">
        <f>"4"</f>
        <v>4</v>
      </c>
      <c r="E221" t="str">
        <f>"1-9-4"</f>
        <v>1-9-4</v>
      </c>
      <c r="F221" t="s">
        <v>83</v>
      </c>
      <c r="G221" t="s">
        <v>84</v>
      </c>
      <c r="H221" t="s">
        <v>85</v>
      </c>
      <c r="AC221">
        <v>0</v>
      </c>
      <c r="AD221">
        <v>1</v>
      </c>
      <c r="AE221">
        <v>0</v>
      </c>
      <c r="AF221">
        <v>0</v>
      </c>
      <c r="AG221">
        <v>0</v>
      </c>
      <c r="AJ221">
        <v>0</v>
      </c>
      <c r="AK221">
        <v>1</v>
      </c>
      <c r="AL221">
        <v>0</v>
      </c>
      <c r="AM221">
        <v>0</v>
      </c>
      <c r="AN221">
        <v>1</v>
      </c>
      <c r="AO221">
        <v>1</v>
      </c>
      <c r="AP221">
        <v>1</v>
      </c>
      <c r="AQ221">
        <v>1</v>
      </c>
      <c r="AR221">
        <v>1</v>
      </c>
      <c r="AS221">
        <v>1</v>
      </c>
      <c r="AT221">
        <v>0</v>
      </c>
      <c r="AV221">
        <v>1</v>
      </c>
      <c r="AW221">
        <v>1</v>
      </c>
    </row>
    <row r="222" spans="1:49" x14ac:dyDescent="0.25">
      <c r="A222" t="str">
        <f>"218"</f>
        <v>218</v>
      </c>
      <c r="B222" t="str">
        <f t="shared" ref="B222:B285" si="12">"1"</f>
        <v>1</v>
      </c>
      <c r="C222" t="str">
        <f t="shared" si="11"/>
        <v>9</v>
      </c>
      <c r="D222" t="str">
        <f>"23"</f>
        <v>23</v>
      </c>
      <c r="E222" t="str">
        <f>"1-9-23"</f>
        <v>1-9-23</v>
      </c>
      <c r="F222" t="s">
        <v>83</v>
      </c>
      <c r="G222" t="s">
        <v>84</v>
      </c>
      <c r="H222" t="s">
        <v>85</v>
      </c>
      <c r="AC222">
        <v>1</v>
      </c>
      <c r="AD222">
        <v>0</v>
      </c>
      <c r="AE222">
        <v>0</v>
      </c>
      <c r="AF222">
        <v>0</v>
      </c>
      <c r="AG222">
        <v>1</v>
      </c>
      <c r="AJ222">
        <v>1</v>
      </c>
      <c r="AK222">
        <v>0</v>
      </c>
      <c r="AL222">
        <v>1</v>
      </c>
      <c r="AM222">
        <v>0</v>
      </c>
      <c r="AN222">
        <v>0</v>
      </c>
      <c r="AO222">
        <v>1</v>
      </c>
      <c r="AP222">
        <v>1</v>
      </c>
      <c r="AQ222">
        <v>1</v>
      </c>
      <c r="AR222">
        <v>1</v>
      </c>
      <c r="AS222">
        <v>1</v>
      </c>
      <c r="AT222">
        <v>0</v>
      </c>
      <c r="AV222">
        <v>1</v>
      </c>
      <c r="AW222">
        <v>1</v>
      </c>
    </row>
    <row r="223" spans="1:49" x14ac:dyDescent="0.25">
      <c r="A223" t="str">
        <f>"219"</f>
        <v>219</v>
      </c>
      <c r="B223" t="str">
        <f t="shared" si="12"/>
        <v>1</v>
      </c>
      <c r="C223" t="str">
        <f t="shared" si="11"/>
        <v>9</v>
      </c>
      <c r="D223" t="str">
        <f>"15"</f>
        <v>15</v>
      </c>
      <c r="E223" t="str">
        <f>"1-9-15"</f>
        <v>1-9-15</v>
      </c>
      <c r="F223" t="s">
        <v>83</v>
      </c>
      <c r="G223" t="s">
        <v>86</v>
      </c>
      <c r="H223" t="s">
        <v>87</v>
      </c>
      <c r="AC223">
        <v>0</v>
      </c>
      <c r="AD223">
        <v>1</v>
      </c>
      <c r="AE223">
        <v>0</v>
      </c>
      <c r="AF223">
        <v>0</v>
      </c>
      <c r="AH223">
        <v>0</v>
      </c>
      <c r="AI223">
        <v>1</v>
      </c>
      <c r="AJ223">
        <v>0</v>
      </c>
      <c r="AK223">
        <v>1</v>
      </c>
      <c r="AL223">
        <v>0</v>
      </c>
      <c r="AM223">
        <v>0</v>
      </c>
      <c r="AN223">
        <v>0</v>
      </c>
      <c r="AO223">
        <v>0</v>
      </c>
      <c r="AP223">
        <v>0</v>
      </c>
      <c r="AQ223">
        <v>0</v>
      </c>
      <c r="AU223">
        <v>0</v>
      </c>
      <c r="AV223">
        <v>0</v>
      </c>
      <c r="AW223">
        <v>0</v>
      </c>
    </row>
    <row r="224" spans="1:49" x14ac:dyDescent="0.25">
      <c r="A224" t="str">
        <f>"220"</f>
        <v>220</v>
      </c>
      <c r="B224" t="str">
        <f t="shared" si="12"/>
        <v>1</v>
      </c>
      <c r="C224" t="str">
        <f t="shared" si="11"/>
        <v>9</v>
      </c>
      <c r="D224" t="str">
        <f>"6"</f>
        <v>6</v>
      </c>
      <c r="E224" t="str">
        <f>"1-9-6"</f>
        <v>1-9-6</v>
      </c>
      <c r="F224" t="s">
        <v>83</v>
      </c>
      <c r="G224" t="s">
        <v>84</v>
      </c>
      <c r="H224" t="s">
        <v>85</v>
      </c>
      <c r="AC224">
        <v>1</v>
      </c>
      <c r="AD224">
        <v>0</v>
      </c>
      <c r="AE224">
        <v>0</v>
      </c>
      <c r="AF224">
        <v>0</v>
      </c>
      <c r="AG224">
        <v>1</v>
      </c>
      <c r="AJ224">
        <v>0</v>
      </c>
      <c r="AK224">
        <v>1</v>
      </c>
      <c r="AL224">
        <v>1</v>
      </c>
      <c r="AM224">
        <v>0</v>
      </c>
      <c r="AN224">
        <v>0</v>
      </c>
      <c r="AO224">
        <v>1</v>
      </c>
      <c r="AP224">
        <v>1</v>
      </c>
      <c r="AQ224">
        <v>1</v>
      </c>
      <c r="AR224">
        <v>1</v>
      </c>
      <c r="AS224">
        <v>1</v>
      </c>
      <c r="AT224">
        <v>0</v>
      </c>
      <c r="AV224">
        <v>1</v>
      </c>
      <c r="AW224">
        <v>1</v>
      </c>
    </row>
    <row r="225" spans="1:49" x14ac:dyDescent="0.25">
      <c r="A225" t="str">
        <f>"221"</f>
        <v>221</v>
      </c>
      <c r="B225" t="str">
        <f t="shared" si="12"/>
        <v>1</v>
      </c>
      <c r="C225" t="str">
        <f t="shared" si="11"/>
        <v>9</v>
      </c>
      <c r="D225" t="str">
        <f>"8"</f>
        <v>8</v>
      </c>
      <c r="E225" t="str">
        <f>"1-9-8"</f>
        <v>1-9-8</v>
      </c>
      <c r="F225" t="s">
        <v>83</v>
      </c>
      <c r="G225" t="s">
        <v>84</v>
      </c>
      <c r="H225" t="s">
        <v>85</v>
      </c>
      <c r="AC225">
        <v>0</v>
      </c>
      <c r="AD225">
        <v>0</v>
      </c>
      <c r="AE225">
        <v>0</v>
      </c>
      <c r="AF225">
        <v>0</v>
      </c>
      <c r="AG225">
        <v>1</v>
      </c>
      <c r="AJ225">
        <v>0</v>
      </c>
      <c r="AK225">
        <v>1</v>
      </c>
      <c r="AL225">
        <v>0</v>
      </c>
      <c r="AM225">
        <v>0</v>
      </c>
      <c r="AN225">
        <v>1</v>
      </c>
      <c r="AO225">
        <v>1</v>
      </c>
      <c r="AP225">
        <v>1</v>
      </c>
      <c r="AQ225">
        <v>1</v>
      </c>
      <c r="AR225">
        <v>1</v>
      </c>
      <c r="AS225">
        <v>1</v>
      </c>
      <c r="AT225">
        <v>0</v>
      </c>
      <c r="AV225">
        <v>1</v>
      </c>
      <c r="AW225">
        <v>1</v>
      </c>
    </row>
    <row r="226" spans="1:49" x14ac:dyDescent="0.25">
      <c r="A226" t="str">
        <f>"222"</f>
        <v>222</v>
      </c>
      <c r="B226" t="str">
        <f t="shared" si="12"/>
        <v>1</v>
      </c>
      <c r="C226" t="str">
        <f t="shared" si="11"/>
        <v>9</v>
      </c>
      <c r="D226" t="str">
        <f>"16"</f>
        <v>16</v>
      </c>
      <c r="E226" t="str">
        <f>"1-9-16"</f>
        <v>1-9-16</v>
      </c>
      <c r="F226" t="s">
        <v>83</v>
      </c>
      <c r="G226" t="s">
        <v>88</v>
      </c>
      <c r="H226" t="s">
        <v>89</v>
      </c>
      <c r="AC226">
        <v>0</v>
      </c>
      <c r="AD226">
        <v>0</v>
      </c>
      <c r="AE226">
        <v>0</v>
      </c>
      <c r="AF226">
        <v>0</v>
      </c>
      <c r="AH226">
        <v>0</v>
      </c>
      <c r="AI226">
        <v>1</v>
      </c>
      <c r="AJ226">
        <v>0</v>
      </c>
      <c r="AK226">
        <v>0</v>
      </c>
      <c r="AL226">
        <v>1</v>
      </c>
      <c r="AM226">
        <v>0</v>
      </c>
      <c r="AN226">
        <v>0</v>
      </c>
      <c r="AO226">
        <v>1</v>
      </c>
      <c r="AP226">
        <v>0</v>
      </c>
      <c r="AQ226">
        <v>1</v>
      </c>
      <c r="AR226">
        <v>0</v>
      </c>
      <c r="AS226">
        <v>0</v>
      </c>
      <c r="AT226">
        <v>1</v>
      </c>
      <c r="AV226">
        <v>0</v>
      </c>
      <c r="AW226">
        <v>1</v>
      </c>
    </row>
    <row r="227" spans="1:49" x14ac:dyDescent="0.25">
      <c r="A227" t="str">
        <f>"223"</f>
        <v>223</v>
      </c>
      <c r="B227" t="str">
        <f t="shared" si="12"/>
        <v>1</v>
      </c>
      <c r="C227" t="str">
        <f t="shared" ref="C227:C251" si="13">"10"</f>
        <v>10</v>
      </c>
      <c r="D227" t="str">
        <f>"17"</f>
        <v>17</v>
      </c>
      <c r="E227" t="str">
        <f>"1-10-17"</f>
        <v>1-10-17</v>
      </c>
      <c r="F227" t="s">
        <v>83</v>
      </c>
      <c r="G227" t="s">
        <v>84</v>
      </c>
      <c r="H227" t="s">
        <v>85</v>
      </c>
      <c r="AC227">
        <v>0</v>
      </c>
      <c r="AD227">
        <v>1</v>
      </c>
      <c r="AE227">
        <v>0</v>
      </c>
      <c r="AF227">
        <v>0</v>
      </c>
      <c r="AG227">
        <v>1</v>
      </c>
      <c r="AJ227">
        <v>0</v>
      </c>
      <c r="AK227">
        <v>1</v>
      </c>
      <c r="AL227">
        <v>0</v>
      </c>
      <c r="AM227">
        <v>0</v>
      </c>
      <c r="AN227">
        <v>1</v>
      </c>
      <c r="AO227">
        <v>0</v>
      </c>
      <c r="AP227">
        <v>0</v>
      </c>
      <c r="AQ227">
        <v>0</v>
      </c>
      <c r="AR227">
        <v>0</v>
      </c>
      <c r="AS227">
        <v>0</v>
      </c>
      <c r="AT227">
        <v>1</v>
      </c>
      <c r="AV227">
        <v>0</v>
      </c>
      <c r="AW227">
        <v>0</v>
      </c>
    </row>
    <row r="228" spans="1:49" x14ac:dyDescent="0.25">
      <c r="A228" t="str">
        <f>"224"</f>
        <v>224</v>
      </c>
      <c r="B228" t="str">
        <f t="shared" si="12"/>
        <v>1</v>
      </c>
      <c r="C228" t="str">
        <f t="shared" si="13"/>
        <v>10</v>
      </c>
      <c r="D228" t="str">
        <f>"16"</f>
        <v>16</v>
      </c>
      <c r="E228" t="str">
        <f>"1-10-16"</f>
        <v>1-10-16</v>
      </c>
      <c r="F228" t="s">
        <v>83</v>
      </c>
      <c r="G228" t="s">
        <v>84</v>
      </c>
      <c r="H228" t="s">
        <v>85</v>
      </c>
      <c r="AC228">
        <v>0</v>
      </c>
      <c r="AD228">
        <v>1</v>
      </c>
      <c r="AE228">
        <v>0</v>
      </c>
      <c r="AF228">
        <v>0</v>
      </c>
      <c r="AG228">
        <v>0</v>
      </c>
      <c r="AJ228">
        <v>0</v>
      </c>
      <c r="AK228">
        <v>1</v>
      </c>
      <c r="AL228">
        <v>0</v>
      </c>
      <c r="AM228">
        <v>0</v>
      </c>
      <c r="AN228">
        <v>1</v>
      </c>
      <c r="AO228">
        <v>0</v>
      </c>
      <c r="AP228">
        <v>0</v>
      </c>
      <c r="AQ228">
        <v>0</v>
      </c>
      <c r="AR228">
        <v>0</v>
      </c>
      <c r="AS228">
        <v>0</v>
      </c>
      <c r="AT228">
        <v>1</v>
      </c>
      <c r="AV228">
        <v>0</v>
      </c>
      <c r="AW228">
        <v>0</v>
      </c>
    </row>
    <row r="229" spans="1:49" x14ac:dyDescent="0.25">
      <c r="A229" t="str">
        <f>"225"</f>
        <v>225</v>
      </c>
      <c r="B229" t="str">
        <f t="shared" si="12"/>
        <v>1</v>
      </c>
      <c r="C229" t="str">
        <f t="shared" si="13"/>
        <v>10</v>
      </c>
      <c r="D229" t="str">
        <f>"13"</f>
        <v>13</v>
      </c>
      <c r="E229" t="str">
        <f>"1-10-13"</f>
        <v>1-10-13</v>
      </c>
      <c r="F229" t="s">
        <v>83</v>
      </c>
      <c r="G229" t="s">
        <v>84</v>
      </c>
      <c r="H229" t="s">
        <v>85</v>
      </c>
      <c r="AC229">
        <v>1</v>
      </c>
      <c r="AD229">
        <v>0</v>
      </c>
      <c r="AE229">
        <v>0</v>
      </c>
      <c r="AF229">
        <v>0</v>
      </c>
      <c r="AG229">
        <v>1</v>
      </c>
      <c r="AJ229">
        <v>1</v>
      </c>
      <c r="AK229">
        <v>0</v>
      </c>
      <c r="AL229">
        <v>1</v>
      </c>
      <c r="AM229">
        <v>0</v>
      </c>
      <c r="AN229">
        <v>0</v>
      </c>
      <c r="AO229">
        <v>1</v>
      </c>
      <c r="AP229">
        <v>1</v>
      </c>
      <c r="AQ229">
        <v>1</v>
      </c>
      <c r="AR229">
        <v>1</v>
      </c>
      <c r="AS229">
        <v>1</v>
      </c>
      <c r="AT229">
        <v>0</v>
      </c>
      <c r="AV229">
        <v>1</v>
      </c>
      <c r="AW229">
        <v>1</v>
      </c>
    </row>
    <row r="230" spans="1:49" x14ac:dyDescent="0.25">
      <c r="A230" t="str">
        <f>"226"</f>
        <v>226</v>
      </c>
      <c r="B230" t="str">
        <f t="shared" si="12"/>
        <v>1</v>
      </c>
      <c r="C230" t="str">
        <f t="shared" si="13"/>
        <v>10</v>
      </c>
      <c r="D230" t="str">
        <f>"8"</f>
        <v>8</v>
      </c>
      <c r="E230" t="str">
        <f>"1-10-8"</f>
        <v>1-10-8</v>
      </c>
      <c r="F230" t="s">
        <v>83</v>
      </c>
      <c r="G230" t="s">
        <v>84</v>
      </c>
      <c r="H230" t="s">
        <v>85</v>
      </c>
      <c r="AC230">
        <v>1</v>
      </c>
      <c r="AD230">
        <v>0</v>
      </c>
      <c r="AE230">
        <v>0</v>
      </c>
      <c r="AF230">
        <v>0</v>
      </c>
      <c r="AG230">
        <v>0</v>
      </c>
      <c r="AJ230">
        <v>0</v>
      </c>
      <c r="AK230">
        <v>1</v>
      </c>
      <c r="AL230">
        <v>0</v>
      </c>
      <c r="AM230">
        <v>0</v>
      </c>
      <c r="AN230">
        <v>1</v>
      </c>
      <c r="AO230">
        <v>1</v>
      </c>
      <c r="AP230">
        <v>1</v>
      </c>
      <c r="AQ230">
        <v>1</v>
      </c>
      <c r="AR230">
        <v>1</v>
      </c>
      <c r="AS230">
        <v>1</v>
      </c>
      <c r="AT230">
        <v>0</v>
      </c>
      <c r="AV230">
        <v>1</v>
      </c>
      <c r="AW230">
        <v>1</v>
      </c>
    </row>
    <row r="231" spans="1:49" x14ac:dyDescent="0.25">
      <c r="A231" t="str">
        <f>"227"</f>
        <v>227</v>
      </c>
      <c r="B231" t="str">
        <f t="shared" si="12"/>
        <v>1</v>
      </c>
      <c r="C231" t="str">
        <f t="shared" si="13"/>
        <v>10</v>
      </c>
      <c r="D231" t="str">
        <f>"19"</f>
        <v>19</v>
      </c>
      <c r="E231" t="str">
        <f>"1-10-19"</f>
        <v>1-10-19</v>
      </c>
      <c r="F231" t="s">
        <v>83</v>
      </c>
      <c r="G231" t="s">
        <v>84</v>
      </c>
      <c r="H231" t="s">
        <v>85</v>
      </c>
      <c r="AC231">
        <v>0</v>
      </c>
      <c r="AD231">
        <v>1</v>
      </c>
      <c r="AE231">
        <v>0</v>
      </c>
      <c r="AF231">
        <v>0</v>
      </c>
      <c r="AG231">
        <v>1</v>
      </c>
      <c r="AJ231">
        <v>0</v>
      </c>
      <c r="AK231">
        <v>1</v>
      </c>
      <c r="AL231">
        <v>0</v>
      </c>
      <c r="AM231">
        <v>0</v>
      </c>
      <c r="AN231">
        <v>1</v>
      </c>
      <c r="AO231">
        <v>1</v>
      </c>
      <c r="AP231">
        <v>1</v>
      </c>
      <c r="AQ231">
        <v>1</v>
      </c>
      <c r="AR231">
        <v>1</v>
      </c>
      <c r="AS231">
        <v>1</v>
      </c>
      <c r="AT231">
        <v>0</v>
      </c>
      <c r="AV231">
        <v>1</v>
      </c>
      <c r="AW231">
        <v>1</v>
      </c>
    </row>
    <row r="232" spans="1:49" x14ac:dyDescent="0.25">
      <c r="A232" t="str">
        <f>"228"</f>
        <v>228</v>
      </c>
      <c r="B232" t="str">
        <f t="shared" si="12"/>
        <v>1</v>
      </c>
      <c r="C232" t="str">
        <f t="shared" si="13"/>
        <v>10</v>
      </c>
      <c r="D232" t="str">
        <f>"9"</f>
        <v>9</v>
      </c>
      <c r="E232" t="str">
        <f>"1-10-9"</f>
        <v>1-10-9</v>
      </c>
      <c r="F232" t="s">
        <v>83</v>
      </c>
      <c r="G232" t="s">
        <v>84</v>
      </c>
      <c r="H232" t="s">
        <v>85</v>
      </c>
      <c r="AC232">
        <v>0</v>
      </c>
      <c r="AD232">
        <v>1</v>
      </c>
      <c r="AE232">
        <v>0</v>
      </c>
      <c r="AF232">
        <v>0</v>
      </c>
      <c r="AG232">
        <v>1</v>
      </c>
      <c r="AJ232">
        <v>0</v>
      </c>
      <c r="AK232">
        <v>1</v>
      </c>
      <c r="AL232">
        <v>1</v>
      </c>
      <c r="AM232">
        <v>0</v>
      </c>
      <c r="AN232">
        <v>0</v>
      </c>
      <c r="AO232">
        <v>1</v>
      </c>
      <c r="AP232">
        <v>1</v>
      </c>
      <c r="AQ232">
        <v>1</v>
      </c>
      <c r="AR232">
        <v>1</v>
      </c>
      <c r="AS232">
        <v>1</v>
      </c>
      <c r="AT232">
        <v>0</v>
      </c>
      <c r="AV232">
        <v>1</v>
      </c>
      <c r="AW232">
        <v>1</v>
      </c>
    </row>
    <row r="233" spans="1:49" x14ac:dyDescent="0.25">
      <c r="A233" t="str">
        <f>"229"</f>
        <v>229</v>
      </c>
      <c r="B233" t="str">
        <f t="shared" si="12"/>
        <v>1</v>
      </c>
      <c r="C233" t="str">
        <f t="shared" si="13"/>
        <v>10</v>
      </c>
      <c r="D233" t="str">
        <f>"6"</f>
        <v>6</v>
      </c>
      <c r="E233" t="str">
        <f>"1-10-6"</f>
        <v>1-10-6</v>
      </c>
      <c r="F233" t="s">
        <v>83</v>
      </c>
      <c r="G233" t="s">
        <v>84</v>
      </c>
      <c r="H233" t="s">
        <v>85</v>
      </c>
      <c r="AC233">
        <v>0</v>
      </c>
      <c r="AD233">
        <v>1</v>
      </c>
      <c r="AE233">
        <v>0</v>
      </c>
      <c r="AF233">
        <v>0</v>
      </c>
      <c r="AG233">
        <v>1</v>
      </c>
      <c r="AJ233">
        <v>1</v>
      </c>
      <c r="AK233">
        <v>0</v>
      </c>
      <c r="AL233">
        <v>0</v>
      </c>
      <c r="AM233">
        <v>0</v>
      </c>
      <c r="AN233">
        <v>1</v>
      </c>
      <c r="AO233">
        <v>1</v>
      </c>
      <c r="AP233">
        <v>1</v>
      </c>
      <c r="AQ233">
        <v>1</v>
      </c>
      <c r="AR233">
        <v>1</v>
      </c>
      <c r="AS233">
        <v>0</v>
      </c>
      <c r="AT233">
        <v>0</v>
      </c>
      <c r="AV233">
        <v>1</v>
      </c>
      <c r="AW233">
        <v>1</v>
      </c>
    </row>
    <row r="234" spans="1:49" x14ac:dyDescent="0.25">
      <c r="A234" t="str">
        <f>"230"</f>
        <v>230</v>
      </c>
      <c r="B234" t="str">
        <f t="shared" si="12"/>
        <v>1</v>
      </c>
      <c r="C234" t="str">
        <f t="shared" si="13"/>
        <v>10</v>
      </c>
      <c r="D234" t="str">
        <f>"25"</f>
        <v>25</v>
      </c>
      <c r="E234" t="str">
        <f>"1-10-25"</f>
        <v>1-10-25</v>
      </c>
      <c r="F234" t="s">
        <v>83</v>
      </c>
      <c r="G234" t="s">
        <v>84</v>
      </c>
      <c r="H234" t="s">
        <v>85</v>
      </c>
      <c r="AC234">
        <v>0</v>
      </c>
      <c r="AD234">
        <v>1</v>
      </c>
      <c r="AE234">
        <v>0</v>
      </c>
      <c r="AF234">
        <v>0</v>
      </c>
      <c r="AG234">
        <v>0</v>
      </c>
      <c r="AJ234">
        <v>0</v>
      </c>
      <c r="AK234">
        <v>1</v>
      </c>
      <c r="AL234">
        <v>1</v>
      </c>
      <c r="AM234">
        <v>0</v>
      </c>
      <c r="AN234">
        <v>0</v>
      </c>
      <c r="AO234">
        <v>0</v>
      </c>
      <c r="AP234">
        <v>0</v>
      </c>
      <c r="AQ234">
        <v>0</v>
      </c>
      <c r="AR234">
        <v>0</v>
      </c>
      <c r="AS234">
        <v>0</v>
      </c>
      <c r="AT234">
        <v>1</v>
      </c>
      <c r="AV234">
        <v>0</v>
      </c>
      <c r="AW234">
        <v>0</v>
      </c>
    </row>
    <row r="235" spans="1:49" x14ac:dyDescent="0.25">
      <c r="A235" t="str">
        <f>"231"</f>
        <v>231</v>
      </c>
      <c r="B235" t="str">
        <f t="shared" si="12"/>
        <v>1</v>
      </c>
      <c r="C235" t="str">
        <f t="shared" si="13"/>
        <v>10</v>
      </c>
      <c r="D235" t="str">
        <f>"24"</f>
        <v>24</v>
      </c>
      <c r="E235" t="str">
        <f>"1-10-24"</f>
        <v>1-10-24</v>
      </c>
      <c r="F235" t="s">
        <v>83</v>
      </c>
      <c r="G235" t="s">
        <v>90</v>
      </c>
      <c r="H235" t="s">
        <v>91</v>
      </c>
      <c r="AC235">
        <v>1</v>
      </c>
      <c r="AD235">
        <v>0</v>
      </c>
      <c r="AE235">
        <v>0</v>
      </c>
      <c r="AF235">
        <v>0</v>
      </c>
      <c r="AH235">
        <v>1</v>
      </c>
      <c r="AI235">
        <v>0</v>
      </c>
      <c r="AJ235">
        <v>0</v>
      </c>
      <c r="AK235">
        <v>1</v>
      </c>
      <c r="AL235">
        <v>0</v>
      </c>
      <c r="AM235">
        <v>0</v>
      </c>
      <c r="AN235">
        <v>1</v>
      </c>
      <c r="AO235">
        <v>1</v>
      </c>
      <c r="AP235">
        <v>1</v>
      </c>
      <c r="AQ235">
        <v>1</v>
      </c>
      <c r="AR235">
        <v>1</v>
      </c>
      <c r="AU235">
        <v>1</v>
      </c>
      <c r="AV235">
        <v>1</v>
      </c>
      <c r="AW235">
        <v>0</v>
      </c>
    </row>
    <row r="236" spans="1:49" x14ac:dyDescent="0.25">
      <c r="A236" t="str">
        <f>"232"</f>
        <v>232</v>
      </c>
      <c r="B236" t="str">
        <f t="shared" si="12"/>
        <v>1</v>
      </c>
      <c r="C236" t="str">
        <f t="shared" si="13"/>
        <v>10</v>
      </c>
      <c r="D236" t="str">
        <f>"18"</f>
        <v>18</v>
      </c>
      <c r="E236" t="str">
        <f>"1-10-18"</f>
        <v>1-10-18</v>
      </c>
      <c r="F236" t="s">
        <v>83</v>
      </c>
      <c r="G236" t="s">
        <v>84</v>
      </c>
      <c r="H236" t="s">
        <v>85</v>
      </c>
      <c r="AC236">
        <v>1</v>
      </c>
      <c r="AD236">
        <v>0</v>
      </c>
      <c r="AE236">
        <v>0</v>
      </c>
      <c r="AF236">
        <v>0</v>
      </c>
      <c r="AG236">
        <v>1</v>
      </c>
      <c r="AJ236">
        <v>1</v>
      </c>
      <c r="AK236">
        <v>0</v>
      </c>
      <c r="AL236">
        <v>0</v>
      </c>
      <c r="AM236">
        <v>1</v>
      </c>
      <c r="AN236">
        <v>0</v>
      </c>
      <c r="AO236">
        <v>1</v>
      </c>
      <c r="AP236">
        <v>1</v>
      </c>
      <c r="AQ236">
        <v>1</v>
      </c>
      <c r="AR236">
        <v>1</v>
      </c>
      <c r="AS236">
        <v>0</v>
      </c>
      <c r="AT236">
        <v>1</v>
      </c>
      <c r="AV236">
        <v>1</v>
      </c>
      <c r="AW236">
        <v>1</v>
      </c>
    </row>
    <row r="237" spans="1:49" x14ac:dyDescent="0.25">
      <c r="A237" t="str">
        <f>"233"</f>
        <v>233</v>
      </c>
      <c r="B237" t="str">
        <f t="shared" si="12"/>
        <v>1</v>
      </c>
      <c r="C237" t="str">
        <f t="shared" si="13"/>
        <v>10</v>
      </c>
      <c r="D237" t="str">
        <f>"10"</f>
        <v>10</v>
      </c>
      <c r="E237" t="str">
        <f>"1-10-10"</f>
        <v>1-10-10</v>
      </c>
      <c r="F237" t="s">
        <v>83</v>
      </c>
      <c r="G237" t="s">
        <v>84</v>
      </c>
      <c r="H237" t="s">
        <v>85</v>
      </c>
      <c r="AC237">
        <v>0</v>
      </c>
      <c r="AD237">
        <v>1</v>
      </c>
      <c r="AE237">
        <v>0</v>
      </c>
      <c r="AF237">
        <v>0</v>
      </c>
      <c r="AG237">
        <v>0</v>
      </c>
      <c r="AJ237">
        <v>0</v>
      </c>
      <c r="AK237">
        <v>1</v>
      </c>
      <c r="AL237">
        <v>0</v>
      </c>
      <c r="AM237">
        <v>0</v>
      </c>
      <c r="AN237">
        <v>1</v>
      </c>
      <c r="AO237">
        <v>1</v>
      </c>
      <c r="AP237">
        <v>1</v>
      </c>
      <c r="AQ237">
        <v>1</v>
      </c>
      <c r="AR237">
        <v>1</v>
      </c>
      <c r="AS237">
        <v>1</v>
      </c>
      <c r="AT237">
        <v>0</v>
      </c>
      <c r="AV237">
        <v>1</v>
      </c>
      <c r="AW237">
        <v>1</v>
      </c>
    </row>
    <row r="238" spans="1:49" x14ac:dyDescent="0.25">
      <c r="A238" t="str">
        <f>"234"</f>
        <v>234</v>
      </c>
      <c r="B238" t="str">
        <f t="shared" si="12"/>
        <v>1</v>
      </c>
      <c r="C238" t="str">
        <f t="shared" si="13"/>
        <v>10</v>
      </c>
      <c r="D238" t="str">
        <f>"2"</f>
        <v>2</v>
      </c>
      <c r="E238" t="str">
        <f>"1-10-2"</f>
        <v>1-10-2</v>
      </c>
      <c r="F238" t="s">
        <v>83</v>
      </c>
      <c r="G238" t="s">
        <v>84</v>
      </c>
      <c r="H238" t="s">
        <v>85</v>
      </c>
      <c r="AC238">
        <v>1</v>
      </c>
      <c r="AD238">
        <v>0</v>
      </c>
      <c r="AE238">
        <v>0</v>
      </c>
      <c r="AF238">
        <v>0</v>
      </c>
      <c r="AG238">
        <v>1</v>
      </c>
      <c r="AJ238">
        <v>1</v>
      </c>
      <c r="AK238">
        <v>0</v>
      </c>
      <c r="AL238">
        <v>1</v>
      </c>
      <c r="AM238">
        <v>0</v>
      </c>
      <c r="AN238">
        <v>0</v>
      </c>
      <c r="AO238">
        <v>0</v>
      </c>
      <c r="AP238">
        <v>0</v>
      </c>
      <c r="AQ238">
        <v>0</v>
      </c>
      <c r="AR238">
        <v>0</v>
      </c>
      <c r="AS238">
        <v>1</v>
      </c>
      <c r="AT238">
        <v>0</v>
      </c>
      <c r="AV238">
        <v>0</v>
      </c>
      <c r="AW238">
        <v>0</v>
      </c>
    </row>
    <row r="239" spans="1:49" x14ac:dyDescent="0.25">
      <c r="A239" t="str">
        <f>"235"</f>
        <v>235</v>
      </c>
      <c r="B239" t="str">
        <f t="shared" si="12"/>
        <v>1</v>
      </c>
      <c r="C239" t="str">
        <f t="shared" si="13"/>
        <v>10</v>
      </c>
      <c r="D239" t="str">
        <f>"20"</f>
        <v>20</v>
      </c>
      <c r="E239" t="str">
        <f>"1-10-20"</f>
        <v>1-10-20</v>
      </c>
      <c r="F239" t="s">
        <v>83</v>
      </c>
      <c r="G239" t="s">
        <v>84</v>
      </c>
      <c r="H239" t="s">
        <v>85</v>
      </c>
      <c r="AC239">
        <v>0</v>
      </c>
      <c r="AD239">
        <v>1</v>
      </c>
      <c r="AE239">
        <v>0</v>
      </c>
      <c r="AF239">
        <v>0</v>
      </c>
      <c r="AG239">
        <v>0</v>
      </c>
      <c r="AJ239">
        <v>0</v>
      </c>
      <c r="AK239">
        <v>1</v>
      </c>
      <c r="AL239">
        <v>0</v>
      </c>
      <c r="AM239">
        <v>0</v>
      </c>
      <c r="AN239">
        <v>1</v>
      </c>
      <c r="AO239">
        <v>0</v>
      </c>
      <c r="AP239">
        <v>0</v>
      </c>
      <c r="AQ239">
        <v>1</v>
      </c>
      <c r="AR239">
        <v>1</v>
      </c>
      <c r="AS239">
        <v>0</v>
      </c>
      <c r="AT239">
        <v>1</v>
      </c>
      <c r="AV239">
        <v>1</v>
      </c>
      <c r="AW239">
        <v>1</v>
      </c>
    </row>
    <row r="240" spans="1:49" x14ac:dyDescent="0.25">
      <c r="A240" t="str">
        <f>"236"</f>
        <v>236</v>
      </c>
      <c r="B240" t="str">
        <f t="shared" si="12"/>
        <v>1</v>
      </c>
      <c r="C240" t="str">
        <f t="shared" si="13"/>
        <v>10</v>
      </c>
      <c r="D240" t="str">
        <f>"11"</f>
        <v>11</v>
      </c>
      <c r="E240" t="str">
        <f>"1-10-11"</f>
        <v>1-10-11</v>
      </c>
      <c r="F240" t="s">
        <v>83</v>
      </c>
      <c r="G240" t="s">
        <v>84</v>
      </c>
      <c r="H240" t="s">
        <v>85</v>
      </c>
      <c r="AC240">
        <v>1</v>
      </c>
      <c r="AD240">
        <v>0</v>
      </c>
      <c r="AE240">
        <v>0</v>
      </c>
      <c r="AF240">
        <v>0</v>
      </c>
      <c r="AG240">
        <v>1</v>
      </c>
      <c r="AJ240">
        <v>0</v>
      </c>
      <c r="AK240">
        <v>1</v>
      </c>
      <c r="AL240">
        <v>0</v>
      </c>
      <c r="AM240">
        <v>1</v>
      </c>
      <c r="AN240">
        <v>0</v>
      </c>
      <c r="AO240">
        <v>1</v>
      </c>
      <c r="AP240">
        <v>1</v>
      </c>
      <c r="AQ240">
        <v>1</v>
      </c>
      <c r="AR240">
        <v>1</v>
      </c>
      <c r="AS240">
        <v>0</v>
      </c>
      <c r="AT240">
        <v>1</v>
      </c>
      <c r="AV240">
        <v>1</v>
      </c>
      <c r="AW240">
        <v>1</v>
      </c>
    </row>
    <row r="241" spans="1:49" x14ac:dyDescent="0.25">
      <c r="A241" t="str">
        <f>"237"</f>
        <v>237</v>
      </c>
      <c r="B241" t="str">
        <f t="shared" si="12"/>
        <v>1</v>
      </c>
      <c r="C241" t="str">
        <f t="shared" si="13"/>
        <v>10</v>
      </c>
      <c r="D241" t="str">
        <f>"1"</f>
        <v>1</v>
      </c>
      <c r="E241" t="str">
        <f>"1-10-1"</f>
        <v>1-10-1</v>
      </c>
      <c r="F241" t="s">
        <v>83</v>
      </c>
      <c r="G241" t="s">
        <v>84</v>
      </c>
      <c r="H241" t="s">
        <v>85</v>
      </c>
      <c r="AC241">
        <v>1</v>
      </c>
      <c r="AD241">
        <v>0</v>
      </c>
      <c r="AE241">
        <v>0</v>
      </c>
      <c r="AF241">
        <v>0</v>
      </c>
      <c r="AG241">
        <v>0</v>
      </c>
      <c r="AJ241">
        <v>0</v>
      </c>
      <c r="AK241">
        <v>1</v>
      </c>
      <c r="AL241">
        <v>0</v>
      </c>
      <c r="AM241">
        <v>0</v>
      </c>
      <c r="AN241">
        <v>1</v>
      </c>
      <c r="AO241">
        <v>0</v>
      </c>
      <c r="AP241">
        <v>0</v>
      </c>
      <c r="AQ241">
        <v>0</v>
      </c>
      <c r="AR241">
        <v>0</v>
      </c>
      <c r="AS241">
        <v>1</v>
      </c>
      <c r="AT241">
        <v>0</v>
      </c>
      <c r="AV241">
        <v>1</v>
      </c>
      <c r="AW241">
        <v>1</v>
      </c>
    </row>
    <row r="242" spans="1:49" x14ac:dyDescent="0.25">
      <c r="A242" t="str">
        <f>"238"</f>
        <v>238</v>
      </c>
      <c r="B242" t="str">
        <f t="shared" si="12"/>
        <v>1</v>
      </c>
      <c r="C242" t="str">
        <f t="shared" si="13"/>
        <v>10</v>
      </c>
      <c r="D242" t="str">
        <f>"21"</f>
        <v>21</v>
      </c>
      <c r="E242" t="str">
        <f>"1-10-21"</f>
        <v>1-10-21</v>
      </c>
      <c r="F242" t="s">
        <v>83</v>
      </c>
      <c r="G242" t="s">
        <v>84</v>
      </c>
      <c r="H242" t="s">
        <v>85</v>
      </c>
      <c r="AC242">
        <v>0</v>
      </c>
      <c r="AD242">
        <v>1</v>
      </c>
      <c r="AE242">
        <v>0</v>
      </c>
      <c r="AF242">
        <v>0</v>
      </c>
      <c r="AG242">
        <v>1</v>
      </c>
      <c r="AJ242">
        <v>0</v>
      </c>
      <c r="AK242">
        <v>1</v>
      </c>
      <c r="AL242">
        <v>0</v>
      </c>
      <c r="AM242">
        <v>0</v>
      </c>
      <c r="AN242">
        <v>1</v>
      </c>
      <c r="AO242">
        <v>1</v>
      </c>
      <c r="AP242">
        <v>1</v>
      </c>
      <c r="AQ242">
        <v>1</v>
      </c>
      <c r="AR242">
        <v>1</v>
      </c>
      <c r="AS242">
        <v>0</v>
      </c>
      <c r="AT242">
        <v>0</v>
      </c>
      <c r="AV242">
        <v>1</v>
      </c>
      <c r="AW242">
        <v>1</v>
      </c>
    </row>
    <row r="243" spans="1:49" x14ac:dyDescent="0.25">
      <c r="A243" t="str">
        <f>"239"</f>
        <v>239</v>
      </c>
      <c r="B243" t="str">
        <f t="shared" si="12"/>
        <v>1</v>
      </c>
      <c r="C243" t="str">
        <f t="shared" si="13"/>
        <v>10</v>
      </c>
      <c r="D243" t="str">
        <f>"12"</f>
        <v>12</v>
      </c>
      <c r="E243" t="str">
        <f>"1-10-12"</f>
        <v>1-10-12</v>
      </c>
      <c r="F243" t="s">
        <v>83</v>
      </c>
      <c r="G243" t="s">
        <v>84</v>
      </c>
      <c r="H243" t="s">
        <v>85</v>
      </c>
      <c r="AC243">
        <v>1</v>
      </c>
      <c r="AD243">
        <v>0</v>
      </c>
      <c r="AE243">
        <v>0</v>
      </c>
      <c r="AF243">
        <v>0</v>
      </c>
      <c r="AG243">
        <v>0</v>
      </c>
      <c r="AJ243">
        <v>0</v>
      </c>
      <c r="AK243">
        <v>1</v>
      </c>
      <c r="AL243">
        <v>0</v>
      </c>
      <c r="AM243">
        <v>1</v>
      </c>
      <c r="AN243">
        <v>0</v>
      </c>
      <c r="AO243">
        <v>1</v>
      </c>
      <c r="AP243">
        <v>1</v>
      </c>
      <c r="AQ243">
        <v>1</v>
      </c>
      <c r="AR243">
        <v>1</v>
      </c>
      <c r="AS243">
        <v>0</v>
      </c>
      <c r="AT243">
        <v>1</v>
      </c>
      <c r="AV243">
        <v>1</v>
      </c>
      <c r="AW243">
        <v>1</v>
      </c>
    </row>
    <row r="244" spans="1:49" x14ac:dyDescent="0.25">
      <c r="A244" t="str">
        <f>"240"</f>
        <v>240</v>
      </c>
      <c r="B244" t="str">
        <f t="shared" si="12"/>
        <v>1</v>
      </c>
      <c r="C244" t="str">
        <f t="shared" si="13"/>
        <v>10</v>
      </c>
      <c r="D244" t="str">
        <f>"7"</f>
        <v>7</v>
      </c>
      <c r="E244" t="str">
        <f>"1-10-7"</f>
        <v>1-10-7</v>
      </c>
      <c r="F244" t="s">
        <v>83</v>
      </c>
      <c r="G244" t="s">
        <v>84</v>
      </c>
      <c r="H244" t="s">
        <v>85</v>
      </c>
      <c r="AC244">
        <v>0</v>
      </c>
      <c r="AD244">
        <v>1</v>
      </c>
      <c r="AE244">
        <v>0</v>
      </c>
      <c r="AF244">
        <v>0</v>
      </c>
      <c r="AG244">
        <v>1</v>
      </c>
      <c r="AJ244">
        <v>0</v>
      </c>
      <c r="AK244">
        <v>1</v>
      </c>
      <c r="AL244">
        <v>0</v>
      </c>
      <c r="AM244">
        <v>0</v>
      </c>
      <c r="AN244">
        <v>1</v>
      </c>
      <c r="AO244">
        <v>1</v>
      </c>
      <c r="AP244">
        <v>1</v>
      </c>
      <c r="AQ244">
        <v>1</v>
      </c>
      <c r="AR244">
        <v>1</v>
      </c>
      <c r="AS244">
        <v>0</v>
      </c>
      <c r="AT244">
        <v>0</v>
      </c>
      <c r="AV244">
        <v>1</v>
      </c>
      <c r="AW244">
        <v>1</v>
      </c>
    </row>
    <row r="245" spans="1:49" x14ac:dyDescent="0.25">
      <c r="A245" t="str">
        <f>"241"</f>
        <v>241</v>
      </c>
      <c r="B245" t="str">
        <f t="shared" si="12"/>
        <v>1</v>
      </c>
      <c r="C245" t="str">
        <f t="shared" si="13"/>
        <v>10</v>
      </c>
      <c r="D245" t="str">
        <f>"22"</f>
        <v>22</v>
      </c>
      <c r="E245" t="str">
        <f>"1-10-22"</f>
        <v>1-10-22</v>
      </c>
      <c r="F245" t="s">
        <v>83</v>
      </c>
      <c r="G245" t="s">
        <v>86</v>
      </c>
      <c r="H245" t="s">
        <v>87</v>
      </c>
      <c r="AC245">
        <v>1</v>
      </c>
      <c r="AD245">
        <v>0</v>
      </c>
      <c r="AE245">
        <v>0</v>
      </c>
      <c r="AF245">
        <v>0</v>
      </c>
      <c r="AH245">
        <v>0</v>
      </c>
      <c r="AI245">
        <v>1</v>
      </c>
      <c r="AJ245">
        <v>0</v>
      </c>
      <c r="AK245">
        <v>1</v>
      </c>
      <c r="AL245">
        <v>0</v>
      </c>
      <c r="AM245">
        <v>0</v>
      </c>
      <c r="AN245">
        <v>1</v>
      </c>
      <c r="AO245">
        <v>1</v>
      </c>
      <c r="AP245">
        <v>1</v>
      </c>
      <c r="AQ245">
        <v>1</v>
      </c>
      <c r="AU245">
        <v>1</v>
      </c>
      <c r="AV245">
        <v>1</v>
      </c>
      <c r="AW245">
        <v>1</v>
      </c>
    </row>
    <row r="246" spans="1:49" x14ac:dyDescent="0.25">
      <c r="A246" t="str">
        <f>"242"</f>
        <v>242</v>
      </c>
      <c r="B246" t="str">
        <f t="shared" si="12"/>
        <v>1</v>
      </c>
      <c r="C246" t="str">
        <f t="shared" si="13"/>
        <v>10</v>
      </c>
      <c r="D246" t="str">
        <f>"5"</f>
        <v>5</v>
      </c>
      <c r="E246" t="str">
        <f>"1-10-5"</f>
        <v>1-10-5</v>
      </c>
      <c r="F246" t="s">
        <v>83</v>
      </c>
      <c r="G246" t="s">
        <v>84</v>
      </c>
      <c r="H246" t="s">
        <v>85</v>
      </c>
      <c r="AC246">
        <v>0</v>
      </c>
      <c r="AD246">
        <v>1</v>
      </c>
      <c r="AE246">
        <v>0</v>
      </c>
      <c r="AF246">
        <v>0</v>
      </c>
      <c r="AG246">
        <v>1</v>
      </c>
      <c r="AJ246">
        <v>1</v>
      </c>
      <c r="AK246">
        <v>0</v>
      </c>
      <c r="AL246">
        <v>1</v>
      </c>
      <c r="AM246">
        <v>0</v>
      </c>
      <c r="AN246">
        <v>0</v>
      </c>
      <c r="AO246">
        <v>1</v>
      </c>
      <c r="AP246">
        <v>1</v>
      </c>
      <c r="AQ246">
        <v>1</v>
      </c>
      <c r="AR246">
        <v>1</v>
      </c>
      <c r="AS246">
        <v>0</v>
      </c>
      <c r="AT246">
        <v>1</v>
      </c>
      <c r="AV246">
        <v>1</v>
      </c>
      <c r="AW246">
        <v>1</v>
      </c>
    </row>
    <row r="247" spans="1:49" x14ac:dyDescent="0.25">
      <c r="A247" t="str">
        <f>"243"</f>
        <v>243</v>
      </c>
      <c r="B247" t="str">
        <f t="shared" si="12"/>
        <v>1</v>
      </c>
      <c r="C247" t="str">
        <f t="shared" si="13"/>
        <v>10</v>
      </c>
      <c r="D247" t="str">
        <f>"23"</f>
        <v>23</v>
      </c>
      <c r="E247" t="str">
        <f>"1-10-23"</f>
        <v>1-10-23</v>
      </c>
      <c r="F247" t="s">
        <v>83</v>
      </c>
      <c r="G247" t="s">
        <v>84</v>
      </c>
      <c r="H247" t="s">
        <v>85</v>
      </c>
      <c r="AC247">
        <v>0</v>
      </c>
      <c r="AD247">
        <v>1</v>
      </c>
      <c r="AE247">
        <v>0</v>
      </c>
      <c r="AF247">
        <v>0</v>
      </c>
      <c r="AG247">
        <v>1</v>
      </c>
      <c r="AJ247">
        <v>1</v>
      </c>
      <c r="AK247">
        <v>0</v>
      </c>
      <c r="AL247">
        <v>1</v>
      </c>
      <c r="AM247">
        <v>0</v>
      </c>
      <c r="AN247">
        <v>0</v>
      </c>
      <c r="AO247">
        <v>1</v>
      </c>
      <c r="AP247">
        <v>1</v>
      </c>
      <c r="AQ247">
        <v>1</v>
      </c>
      <c r="AR247">
        <v>1</v>
      </c>
      <c r="AS247">
        <v>0</v>
      </c>
      <c r="AT247">
        <v>1</v>
      </c>
      <c r="AV247">
        <v>1</v>
      </c>
      <c r="AW247">
        <v>1</v>
      </c>
    </row>
    <row r="248" spans="1:49" x14ac:dyDescent="0.25">
      <c r="A248" t="str">
        <f>"244"</f>
        <v>244</v>
      </c>
      <c r="B248" t="str">
        <f t="shared" si="12"/>
        <v>1</v>
      </c>
      <c r="C248" t="str">
        <f t="shared" si="13"/>
        <v>10</v>
      </c>
      <c r="D248" t="str">
        <f>"15"</f>
        <v>15</v>
      </c>
      <c r="E248" t="str">
        <f>"1-10-15"</f>
        <v>1-10-15</v>
      </c>
      <c r="F248" t="s">
        <v>83</v>
      </c>
      <c r="G248" t="s">
        <v>84</v>
      </c>
      <c r="H248" t="s">
        <v>85</v>
      </c>
      <c r="AC248">
        <v>0</v>
      </c>
      <c r="AD248">
        <v>1</v>
      </c>
      <c r="AE248">
        <v>0</v>
      </c>
      <c r="AF248">
        <v>0</v>
      </c>
      <c r="AG248">
        <v>1</v>
      </c>
      <c r="AJ248">
        <v>0</v>
      </c>
      <c r="AK248">
        <v>1</v>
      </c>
      <c r="AL248">
        <v>0</v>
      </c>
      <c r="AM248">
        <v>0</v>
      </c>
      <c r="AN248">
        <v>1</v>
      </c>
      <c r="AO248">
        <v>1</v>
      </c>
      <c r="AP248">
        <v>1</v>
      </c>
      <c r="AQ248">
        <v>1</v>
      </c>
      <c r="AR248">
        <v>1</v>
      </c>
      <c r="AS248">
        <v>0</v>
      </c>
      <c r="AT248">
        <v>1</v>
      </c>
      <c r="AV248">
        <v>1</v>
      </c>
      <c r="AW248">
        <v>1</v>
      </c>
    </row>
    <row r="249" spans="1:49" x14ac:dyDescent="0.25">
      <c r="A249" t="str">
        <f>"245"</f>
        <v>245</v>
      </c>
      <c r="B249" t="str">
        <f t="shared" si="12"/>
        <v>1</v>
      </c>
      <c r="C249" t="str">
        <f t="shared" si="13"/>
        <v>10</v>
      </c>
      <c r="D249" t="str">
        <f>"4"</f>
        <v>4</v>
      </c>
      <c r="E249" t="str">
        <f>"1-10-4"</f>
        <v>1-10-4</v>
      </c>
      <c r="F249" t="s">
        <v>83</v>
      </c>
      <c r="G249" t="s">
        <v>84</v>
      </c>
      <c r="H249" t="s">
        <v>85</v>
      </c>
      <c r="AC249">
        <v>0</v>
      </c>
      <c r="AD249">
        <v>1</v>
      </c>
      <c r="AE249">
        <v>0</v>
      </c>
      <c r="AF249">
        <v>0</v>
      </c>
      <c r="AG249">
        <v>0</v>
      </c>
      <c r="AJ249">
        <v>0</v>
      </c>
      <c r="AK249">
        <v>1</v>
      </c>
      <c r="AL249">
        <v>0</v>
      </c>
      <c r="AM249">
        <v>0</v>
      </c>
      <c r="AN249">
        <v>1</v>
      </c>
      <c r="AO249">
        <v>0</v>
      </c>
      <c r="AP249">
        <v>0</v>
      </c>
      <c r="AQ249">
        <v>0</v>
      </c>
      <c r="AR249">
        <v>0</v>
      </c>
      <c r="AS249">
        <v>0</v>
      </c>
      <c r="AT249">
        <v>0</v>
      </c>
      <c r="AV249">
        <v>0</v>
      </c>
      <c r="AW249">
        <v>0</v>
      </c>
    </row>
    <row r="250" spans="1:49" x14ac:dyDescent="0.25">
      <c r="A250" t="str">
        <f>"246"</f>
        <v>246</v>
      </c>
      <c r="B250" t="str">
        <f t="shared" si="12"/>
        <v>1</v>
      </c>
      <c r="C250" t="str">
        <f t="shared" si="13"/>
        <v>10</v>
      </c>
      <c r="D250" t="str">
        <f>"3"</f>
        <v>3</v>
      </c>
      <c r="E250" t="str">
        <f>"1-10-3"</f>
        <v>1-10-3</v>
      </c>
      <c r="F250" t="s">
        <v>83</v>
      </c>
      <c r="G250" t="s">
        <v>84</v>
      </c>
      <c r="H250" t="s">
        <v>85</v>
      </c>
      <c r="AC250">
        <v>0</v>
      </c>
      <c r="AD250">
        <v>1</v>
      </c>
      <c r="AE250">
        <v>0</v>
      </c>
      <c r="AF250">
        <v>0</v>
      </c>
      <c r="AG250">
        <v>1</v>
      </c>
      <c r="AJ250">
        <v>1</v>
      </c>
      <c r="AK250">
        <v>0</v>
      </c>
      <c r="AL250">
        <v>1</v>
      </c>
      <c r="AM250">
        <v>0</v>
      </c>
      <c r="AN250">
        <v>0</v>
      </c>
      <c r="AO250">
        <v>1</v>
      </c>
      <c r="AP250">
        <v>1</v>
      </c>
      <c r="AQ250">
        <v>1</v>
      </c>
      <c r="AR250">
        <v>1</v>
      </c>
      <c r="AS250">
        <v>0</v>
      </c>
      <c r="AT250">
        <v>1</v>
      </c>
      <c r="AV250">
        <v>1</v>
      </c>
      <c r="AW250">
        <v>1</v>
      </c>
    </row>
    <row r="251" spans="1:49" x14ac:dyDescent="0.25">
      <c r="A251" t="str">
        <f>"247"</f>
        <v>247</v>
      </c>
      <c r="B251" t="str">
        <f t="shared" si="12"/>
        <v>1</v>
      </c>
      <c r="C251" t="str">
        <f t="shared" si="13"/>
        <v>10</v>
      </c>
      <c r="D251" t="str">
        <f>"14"</f>
        <v>14</v>
      </c>
      <c r="E251" t="str">
        <f>"1-10-14"</f>
        <v>1-10-14</v>
      </c>
      <c r="F251" t="s">
        <v>83</v>
      </c>
      <c r="G251" t="s">
        <v>84</v>
      </c>
      <c r="H251" t="s">
        <v>85</v>
      </c>
      <c r="AC251">
        <v>1</v>
      </c>
      <c r="AD251">
        <v>0</v>
      </c>
      <c r="AE251">
        <v>0</v>
      </c>
      <c r="AF251">
        <v>0</v>
      </c>
      <c r="AG251">
        <v>1</v>
      </c>
      <c r="AJ251">
        <v>1</v>
      </c>
      <c r="AK251">
        <v>0</v>
      </c>
      <c r="AL251">
        <v>1</v>
      </c>
      <c r="AM251">
        <v>0</v>
      </c>
      <c r="AN251">
        <v>0</v>
      </c>
      <c r="AO251">
        <v>1</v>
      </c>
      <c r="AP251">
        <v>1</v>
      </c>
      <c r="AQ251">
        <v>1</v>
      </c>
      <c r="AR251">
        <v>1</v>
      </c>
      <c r="AS251">
        <v>1</v>
      </c>
      <c r="AT251">
        <v>0</v>
      </c>
      <c r="AV251">
        <v>1</v>
      </c>
      <c r="AW251">
        <v>1</v>
      </c>
    </row>
    <row r="252" spans="1:49" x14ac:dyDescent="0.25">
      <c r="A252" t="str">
        <f>"248"</f>
        <v>248</v>
      </c>
      <c r="B252" t="str">
        <f t="shared" si="12"/>
        <v>1</v>
      </c>
      <c r="C252" t="str">
        <f t="shared" ref="C252:C276" si="14">"11"</f>
        <v>11</v>
      </c>
      <c r="D252" t="str">
        <f>"17"</f>
        <v>17</v>
      </c>
      <c r="E252" t="str">
        <f>"1-11-17"</f>
        <v>1-11-17</v>
      </c>
      <c r="F252" t="s">
        <v>83</v>
      </c>
      <c r="G252" t="s">
        <v>84</v>
      </c>
      <c r="H252" t="s">
        <v>85</v>
      </c>
      <c r="AC252">
        <v>0</v>
      </c>
      <c r="AD252">
        <v>1</v>
      </c>
      <c r="AE252">
        <v>0</v>
      </c>
      <c r="AF252">
        <v>0</v>
      </c>
      <c r="AG252">
        <v>1</v>
      </c>
      <c r="AJ252">
        <v>0</v>
      </c>
      <c r="AK252">
        <v>1</v>
      </c>
      <c r="AL252">
        <v>0</v>
      </c>
      <c r="AM252">
        <v>0</v>
      </c>
      <c r="AN252">
        <v>1</v>
      </c>
      <c r="AO252">
        <v>1</v>
      </c>
      <c r="AP252">
        <v>1</v>
      </c>
      <c r="AQ252">
        <v>1</v>
      </c>
      <c r="AR252">
        <v>1</v>
      </c>
      <c r="AS252">
        <v>0</v>
      </c>
      <c r="AT252">
        <v>1</v>
      </c>
      <c r="AV252">
        <v>1</v>
      </c>
      <c r="AW252">
        <v>1</v>
      </c>
    </row>
    <row r="253" spans="1:49" x14ac:dyDescent="0.25">
      <c r="A253" t="str">
        <f>"249"</f>
        <v>249</v>
      </c>
      <c r="B253" t="str">
        <f t="shared" si="12"/>
        <v>1</v>
      </c>
      <c r="C253" t="str">
        <f t="shared" si="14"/>
        <v>11</v>
      </c>
      <c r="D253" t="str">
        <f>"16"</f>
        <v>16</v>
      </c>
      <c r="E253" t="str">
        <f>"1-11-16"</f>
        <v>1-11-16</v>
      </c>
      <c r="F253" t="s">
        <v>83</v>
      </c>
      <c r="G253" t="s">
        <v>84</v>
      </c>
      <c r="H253" t="s">
        <v>85</v>
      </c>
      <c r="AC253">
        <v>0</v>
      </c>
      <c r="AD253">
        <v>1</v>
      </c>
      <c r="AE253">
        <v>0</v>
      </c>
      <c r="AF253">
        <v>0</v>
      </c>
      <c r="AG253">
        <v>1</v>
      </c>
      <c r="AJ253">
        <v>1</v>
      </c>
      <c r="AK253">
        <v>0</v>
      </c>
      <c r="AL253">
        <v>0</v>
      </c>
      <c r="AM253">
        <v>0</v>
      </c>
      <c r="AN253">
        <v>1</v>
      </c>
      <c r="AO253">
        <v>1</v>
      </c>
      <c r="AP253">
        <v>1</v>
      </c>
      <c r="AQ253">
        <v>1</v>
      </c>
      <c r="AR253">
        <v>1</v>
      </c>
      <c r="AS253">
        <v>0</v>
      </c>
      <c r="AT253">
        <v>1</v>
      </c>
      <c r="AV253">
        <v>1</v>
      </c>
      <c r="AW253">
        <v>1</v>
      </c>
    </row>
    <row r="254" spans="1:49" x14ac:dyDescent="0.25">
      <c r="A254" t="str">
        <f>"250"</f>
        <v>250</v>
      </c>
      <c r="B254" t="str">
        <f t="shared" si="12"/>
        <v>1</v>
      </c>
      <c r="C254" t="str">
        <f t="shared" si="14"/>
        <v>11</v>
      </c>
      <c r="D254" t="str">
        <f>"15"</f>
        <v>15</v>
      </c>
      <c r="E254" t="str">
        <f>"1-11-15"</f>
        <v>1-11-15</v>
      </c>
      <c r="F254" t="s">
        <v>83</v>
      </c>
      <c r="G254" t="s">
        <v>84</v>
      </c>
      <c r="H254" t="s">
        <v>85</v>
      </c>
      <c r="AC254">
        <v>0</v>
      </c>
      <c r="AD254">
        <v>1</v>
      </c>
      <c r="AE254">
        <v>0</v>
      </c>
      <c r="AF254">
        <v>0</v>
      </c>
      <c r="AG254">
        <v>1</v>
      </c>
      <c r="AJ254">
        <v>1</v>
      </c>
      <c r="AK254">
        <v>0</v>
      </c>
      <c r="AL254">
        <v>0</v>
      </c>
      <c r="AM254">
        <v>0</v>
      </c>
      <c r="AN254">
        <v>1</v>
      </c>
      <c r="AO254">
        <v>1</v>
      </c>
      <c r="AP254">
        <v>1</v>
      </c>
      <c r="AQ254">
        <v>1</v>
      </c>
      <c r="AR254">
        <v>1</v>
      </c>
      <c r="AS254">
        <v>0</v>
      </c>
      <c r="AT254">
        <v>1</v>
      </c>
      <c r="AV254">
        <v>1</v>
      </c>
      <c r="AW254">
        <v>1</v>
      </c>
    </row>
    <row r="255" spans="1:49" x14ac:dyDescent="0.25">
      <c r="A255" t="str">
        <f>"251"</f>
        <v>251</v>
      </c>
      <c r="B255" t="str">
        <f t="shared" si="12"/>
        <v>1</v>
      </c>
      <c r="C255" t="str">
        <f t="shared" si="14"/>
        <v>11</v>
      </c>
      <c r="D255" t="str">
        <f>"8"</f>
        <v>8</v>
      </c>
      <c r="E255" t="str">
        <f>"1-11-8"</f>
        <v>1-11-8</v>
      </c>
      <c r="F255" t="s">
        <v>83</v>
      </c>
      <c r="G255" t="s">
        <v>84</v>
      </c>
      <c r="H255" t="s">
        <v>85</v>
      </c>
      <c r="AC255">
        <v>1</v>
      </c>
      <c r="AD255">
        <v>0</v>
      </c>
      <c r="AE255">
        <v>0</v>
      </c>
      <c r="AF255">
        <v>0</v>
      </c>
      <c r="AG255">
        <v>1</v>
      </c>
      <c r="AJ255">
        <v>1</v>
      </c>
      <c r="AK255">
        <v>0</v>
      </c>
      <c r="AL255">
        <v>1</v>
      </c>
      <c r="AM255">
        <v>0</v>
      </c>
      <c r="AN255">
        <v>0</v>
      </c>
      <c r="AO255">
        <v>1</v>
      </c>
      <c r="AP255">
        <v>1</v>
      </c>
      <c r="AQ255">
        <v>1</v>
      </c>
      <c r="AR255">
        <v>1</v>
      </c>
      <c r="AS255">
        <v>1</v>
      </c>
      <c r="AT255">
        <v>0</v>
      </c>
      <c r="AV255">
        <v>1</v>
      </c>
      <c r="AW255">
        <v>1</v>
      </c>
    </row>
    <row r="256" spans="1:49" x14ac:dyDescent="0.25">
      <c r="A256" t="str">
        <f>"252"</f>
        <v>252</v>
      </c>
      <c r="B256" t="str">
        <f t="shared" si="12"/>
        <v>1</v>
      </c>
      <c r="C256" t="str">
        <f t="shared" si="14"/>
        <v>11</v>
      </c>
      <c r="D256" t="str">
        <f>"3"</f>
        <v>3</v>
      </c>
      <c r="E256" t="str">
        <f>"1-11-3"</f>
        <v>1-11-3</v>
      </c>
      <c r="F256" t="s">
        <v>83</v>
      </c>
      <c r="G256" t="s">
        <v>84</v>
      </c>
      <c r="H256" t="s">
        <v>85</v>
      </c>
      <c r="AC256">
        <v>1</v>
      </c>
      <c r="AD256">
        <v>0</v>
      </c>
      <c r="AE256">
        <v>0</v>
      </c>
      <c r="AF256">
        <v>0</v>
      </c>
      <c r="AG256">
        <v>1</v>
      </c>
      <c r="AJ256">
        <v>1</v>
      </c>
      <c r="AK256">
        <v>0</v>
      </c>
      <c r="AL256">
        <v>0</v>
      </c>
      <c r="AM256">
        <v>0</v>
      </c>
      <c r="AN256">
        <v>1</v>
      </c>
      <c r="AO256">
        <v>1</v>
      </c>
      <c r="AP256">
        <v>1</v>
      </c>
      <c r="AQ256">
        <v>1</v>
      </c>
      <c r="AR256">
        <v>1</v>
      </c>
      <c r="AS256">
        <v>1</v>
      </c>
      <c r="AT256">
        <v>0</v>
      </c>
      <c r="AV256">
        <v>1</v>
      </c>
      <c r="AW256">
        <v>1</v>
      </c>
    </row>
    <row r="257" spans="1:49" x14ac:dyDescent="0.25">
      <c r="A257" t="str">
        <f>"253"</f>
        <v>253</v>
      </c>
      <c r="B257" t="str">
        <f t="shared" si="12"/>
        <v>1</v>
      </c>
      <c r="C257" t="str">
        <f t="shared" si="14"/>
        <v>11</v>
      </c>
      <c r="D257" t="str">
        <f>"25"</f>
        <v>25</v>
      </c>
      <c r="E257" t="str">
        <f>"1-11-25"</f>
        <v>1-11-25</v>
      </c>
      <c r="F257" t="s">
        <v>83</v>
      </c>
      <c r="G257" t="s">
        <v>84</v>
      </c>
      <c r="H257" t="s">
        <v>85</v>
      </c>
      <c r="AC257">
        <v>0</v>
      </c>
      <c r="AD257">
        <v>0</v>
      </c>
      <c r="AE257">
        <v>0</v>
      </c>
      <c r="AF257">
        <v>0</v>
      </c>
      <c r="AG257">
        <v>0</v>
      </c>
      <c r="AJ257">
        <v>0</v>
      </c>
      <c r="AK257">
        <v>0</v>
      </c>
      <c r="AL257">
        <v>0</v>
      </c>
      <c r="AM257">
        <v>0</v>
      </c>
      <c r="AN257">
        <v>0</v>
      </c>
      <c r="AO257">
        <v>0</v>
      </c>
      <c r="AP257">
        <v>0</v>
      </c>
      <c r="AQ257">
        <v>0</v>
      </c>
      <c r="AR257">
        <v>0</v>
      </c>
      <c r="AS257">
        <v>1</v>
      </c>
      <c r="AT257">
        <v>0</v>
      </c>
      <c r="AV257">
        <v>0</v>
      </c>
      <c r="AW257">
        <v>1</v>
      </c>
    </row>
    <row r="258" spans="1:49" x14ac:dyDescent="0.25">
      <c r="A258" t="str">
        <f>"254"</f>
        <v>254</v>
      </c>
      <c r="B258" t="str">
        <f t="shared" si="12"/>
        <v>1</v>
      </c>
      <c r="C258" t="str">
        <f t="shared" si="14"/>
        <v>11</v>
      </c>
      <c r="D258" t="str">
        <f>"24"</f>
        <v>24</v>
      </c>
      <c r="E258" t="str">
        <f>"1-11-24"</f>
        <v>1-11-24</v>
      </c>
      <c r="F258" t="s">
        <v>83</v>
      </c>
      <c r="G258" t="s">
        <v>84</v>
      </c>
      <c r="H258" t="s">
        <v>85</v>
      </c>
      <c r="AC258">
        <v>0</v>
      </c>
      <c r="AD258">
        <v>1</v>
      </c>
      <c r="AE258">
        <v>0</v>
      </c>
      <c r="AF258">
        <v>0</v>
      </c>
      <c r="AG258">
        <v>1</v>
      </c>
      <c r="AJ258">
        <v>1</v>
      </c>
      <c r="AK258">
        <v>0</v>
      </c>
      <c r="AL258">
        <v>0</v>
      </c>
      <c r="AM258">
        <v>0</v>
      </c>
      <c r="AN258">
        <v>1</v>
      </c>
      <c r="AO258">
        <v>1</v>
      </c>
      <c r="AP258">
        <v>1</v>
      </c>
      <c r="AQ258">
        <v>1</v>
      </c>
      <c r="AR258">
        <v>1</v>
      </c>
      <c r="AS258">
        <v>0</v>
      </c>
      <c r="AT258">
        <v>1</v>
      </c>
      <c r="AV258">
        <v>1</v>
      </c>
      <c r="AW258">
        <v>0</v>
      </c>
    </row>
    <row r="259" spans="1:49" x14ac:dyDescent="0.25">
      <c r="A259" t="str">
        <f>"255"</f>
        <v>255</v>
      </c>
      <c r="B259" t="str">
        <f t="shared" si="12"/>
        <v>1</v>
      </c>
      <c r="C259" t="str">
        <f t="shared" si="14"/>
        <v>11</v>
      </c>
      <c r="D259" t="str">
        <f>"18"</f>
        <v>18</v>
      </c>
      <c r="E259" t="str">
        <f>"1-11-18"</f>
        <v>1-11-18</v>
      </c>
      <c r="F259" t="s">
        <v>83</v>
      </c>
      <c r="G259" t="s">
        <v>84</v>
      </c>
      <c r="H259" t="s">
        <v>85</v>
      </c>
      <c r="AC259">
        <v>0</v>
      </c>
      <c r="AD259">
        <v>1</v>
      </c>
      <c r="AE259">
        <v>0</v>
      </c>
      <c r="AF259">
        <v>0</v>
      </c>
      <c r="AG259">
        <v>1</v>
      </c>
      <c r="AJ259">
        <v>1</v>
      </c>
      <c r="AK259">
        <v>0</v>
      </c>
      <c r="AL259">
        <v>0</v>
      </c>
      <c r="AM259">
        <v>1</v>
      </c>
      <c r="AN259">
        <v>0</v>
      </c>
      <c r="AO259">
        <v>0</v>
      </c>
      <c r="AP259">
        <v>1</v>
      </c>
      <c r="AQ259">
        <v>0</v>
      </c>
      <c r="AR259">
        <v>1</v>
      </c>
      <c r="AS259">
        <v>0</v>
      </c>
      <c r="AT259">
        <v>1</v>
      </c>
      <c r="AV259">
        <v>1</v>
      </c>
      <c r="AW259">
        <v>0</v>
      </c>
    </row>
    <row r="260" spans="1:49" x14ac:dyDescent="0.25">
      <c r="A260" t="str">
        <f>"256"</f>
        <v>256</v>
      </c>
      <c r="B260" t="str">
        <f t="shared" si="12"/>
        <v>1</v>
      </c>
      <c r="C260" t="str">
        <f t="shared" si="14"/>
        <v>11</v>
      </c>
      <c r="D260" t="str">
        <f>"9"</f>
        <v>9</v>
      </c>
      <c r="E260" t="str">
        <f>"1-11-9"</f>
        <v>1-11-9</v>
      </c>
      <c r="F260" t="s">
        <v>83</v>
      </c>
      <c r="G260" t="s">
        <v>84</v>
      </c>
      <c r="H260" t="s">
        <v>85</v>
      </c>
      <c r="AC260">
        <v>0</v>
      </c>
      <c r="AD260">
        <v>1</v>
      </c>
      <c r="AE260">
        <v>0</v>
      </c>
      <c r="AF260">
        <v>0</v>
      </c>
      <c r="AG260">
        <v>1</v>
      </c>
      <c r="AJ260">
        <v>1</v>
      </c>
      <c r="AK260">
        <v>0</v>
      </c>
      <c r="AL260">
        <v>0</v>
      </c>
      <c r="AM260">
        <v>0</v>
      </c>
      <c r="AN260">
        <v>1</v>
      </c>
      <c r="AO260">
        <v>1</v>
      </c>
      <c r="AP260">
        <v>1</v>
      </c>
      <c r="AQ260">
        <v>1</v>
      </c>
      <c r="AR260">
        <v>1</v>
      </c>
      <c r="AS260">
        <v>0</v>
      </c>
      <c r="AT260">
        <v>1</v>
      </c>
      <c r="AV260">
        <v>1</v>
      </c>
      <c r="AW260">
        <v>0</v>
      </c>
    </row>
    <row r="261" spans="1:49" x14ac:dyDescent="0.25">
      <c r="A261" t="str">
        <f>"257"</f>
        <v>257</v>
      </c>
      <c r="B261" t="str">
        <f t="shared" si="12"/>
        <v>1</v>
      </c>
      <c r="C261" t="str">
        <f t="shared" si="14"/>
        <v>11</v>
      </c>
      <c r="D261" t="str">
        <f>"4"</f>
        <v>4</v>
      </c>
      <c r="E261" t="str">
        <f>"1-11-4"</f>
        <v>1-11-4</v>
      </c>
      <c r="F261" t="s">
        <v>83</v>
      </c>
      <c r="G261" t="s">
        <v>84</v>
      </c>
      <c r="H261" t="s">
        <v>85</v>
      </c>
      <c r="AC261">
        <v>1</v>
      </c>
      <c r="AD261">
        <v>0</v>
      </c>
      <c r="AE261">
        <v>0</v>
      </c>
      <c r="AF261">
        <v>0</v>
      </c>
      <c r="AG261">
        <v>1</v>
      </c>
      <c r="AJ261">
        <v>1</v>
      </c>
      <c r="AK261">
        <v>0</v>
      </c>
      <c r="AL261">
        <v>0</v>
      </c>
      <c r="AM261">
        <v>0</v>
      </c>
      <c r="AN261">
        <v>1</v>
      </c>
      <c r="AO261">
        <v>1</v>
      </c>
      <c r="AP261">
        <v>1</v>
      </c>
      <c r="AQ261">
        <v>1</v>
      </c>
      <c r="AR261">
        <v>1</v>
      </c>
      <c r="AS261">
        <v>0</v>
      </c>
      <c r="AT261">
        <v>1</v>
      </c>
      <c r="AV261">
        <v>1</v>
      </c>
      <c r="AW261">
        <v>1</v>
      </c>
    </row>
    <row r="262" spans="1:49" x14ac:dyDescent="0.25">
      <c r="A262" t="str">
        <f>"258"</f>
        <v>258</v>
      </c>
      <c r="B262" t="str">
        <f t="shared" si="12"/>
        <v>1</v>
      </c>
      <c r="C262" t="str">
        <f t="shared" si="14"/>
        <v>11</v>
      </c>
      <c r="D262" t="str">
        <f>"19"</f>
        <v>19</v>
      </c>
      <c r="E262" t="str">
        <f>"1-11-19"</f>
        <v>1-11-19</v>
      </c>
      <c r="F262" t="s">
        <v>83</v>
      </c>
      <c r="G262" t="s">
        <v>84</v>
      </c>
      <c r="H262" t="s">
        <v>85</v>
      </c>
      <c r="AC262">
        <v>1</v>
      </c>
      <c r="AD262">
        <v>0</v>
      </c>
      <c r="AE262">
        <v>0</v>
      </c>
      <c r="AF262">
        <v>0</v>
      </c>
      <c r="AG262">
        <v>1</v>
      </c>
      <c r="AJ262">
        <v>0</v>
      </c>
      <c r="AK262">
        <v>1</v>
      </c>
      <c r="AL262">
        <v>0</v>
      </c>
      <c r="AM262">
        <v>1</v>
      </c>
      <c r="AN262">
        <v>0</v>
      </c>
      <c r="AO262">
        <v>1</v>
      </c>
      <c r="AP262">
        <v>1</v>
      </c>
      <c r="AQ262">
        <v>1</v>
      </c>
      <c r="AR262">
        <v>1</v>
      </c>
      <c r="AS262">
        <v>1</v>
      </c>
      <c r="AT262">
        <v>0</v>
      </c>
      <c r="AV262">
        <v>1</v>
      </c>
      <c r="AW262">
        <v>1</v>
      </c>
    </row>
    <row r="263" spans="1:49" x14ac:dyDescent="0.25">
      <c r="A263" t="str">
        <f>"259"</f>
        <v>259</v>
      </c>
      <c r="B263" t="str">
        <f t="shared" si="12"/>
        <v>1</v>
      </c>
      <c r="C263" t="str">
        <f t="shared" si="14"/>
        <v>11</v>
      </c>
      <c r="D263" t="str">
        <f>"10"</f>
        <v>10</v>
      </c>
      <c r="E263" t="str">
        <f>"1-11-10"</f>
        <v>1-11-10</v>
      </c>
      <c r="F263" t="s">
        <v>83</v>
      </c>
      <c r="G263" t="s">
        <v>88</v>
      </c>
      <c r="H263" t="s">
        <v>89</v>
      </c>
      <c r="AC263">
        <v>1</v>
      </c>
      <c r="AD263">
        <v>0</v>
      </c>
      <c r="AE263">
        <v>0</v>
      </c>
      <c r="AF263">
        <v>0</v>
      </c>
      <c r="AH263">
        <v>0</v>
      </c>
      <c r="AI263">
        <v>1</v>
      </c>
      <c r="AJ263">
        <v>0</v>
      </c>
      <c r="AK263">
        <v>1</v>
      </c>
      <c r="AL263">
        <v>1</v>
      </c>
      <c r="AM263">
        <v>0</v>
      </c>
      <c r="AN263">
        <v>0</v>
      </c>
      <c r="AO263">
        <v>1</v>
      </c>
      <c r="AP263">
        <v>1</v>
      </c>
      <c r="AQ263">
        <v>1</v>
      </c>
      <c r="AR263">
        <v>1</v>
      </c>
      <c r="AS263">
        <v>0</v>
      </c>
      <c r="AT263">
        <v>1</v>
      </c>
      <c r="AV263">
        <v>1</v>
      </c>
      <c r="AW263">
        <v>1</v>
      </c>
    </row>
    <row r="264" spans="1:49" x14ac:dyDescent="0.25">
      <c r="A264" t="str">
        <f>"260"</f>
        <v>260</v>
      </c>
      <c r="B264" t="str">
        <f t="shared" si="12"/>
        <v>1</v>
      </c>
      <c r="C264" t="str">
        <f t="shared" si="14"/>
        <v>11</v>
      </c>
      <c r="D264" t="str">
        <f>"2"</f>
        <v>2</v>
      </c>
      <c r="E264" t="str">
        <f>"1-11-2"</f>
        <v>1-11-2</v>
      </c>
      <c r="F264" t="s">
        <v>83</v>
      </c>
      <c r="G264" t="s">
        <v>84</v>
      </c>
      <c r="H264" t="s">
        <v>85</v>
      </c>
      <c r="AC264">
        <v>0</v>
      </c>
      <c r="AD264">
        <v>1</v>
      </c>
      <c r="AE264">
        <v>0</v>
      </c>
      <c r="AF264">
        <v>0</v>
      </c>
      <c r="AG264">
        <v>1</v>
      </c>
      <c r="AJ264">
        <v>0</v>
      </c>
      <c r="AK264">
        <v>1</v>
      </c>
      <c r="AL264">
        <v>0</v>
      </c>
      <c r="AM264">
        <v>0</v>
      </c>
      <c r="AN264">
        <v>1</v>
      </c>
      <c r="AO264">
        <v>1</v>
      </c>
      <c r="AP264">
        <v>1</v>
      </c>
      <c r="AQ264">
        <v>1</v>
      </c>
      <c r="AR264">
        <v>1</v>
      </c>
      <c r="AS264">
        <v>0</v>
      </c>
      <c r="AT264">
        <v>1</v>
      </c>
      <c r="AV264">
        <v>1</v>
      </c>
      <c r="AW264">
        <v>1</v>
      </c>
    </row>
    <row r="265" spans="1:49" x14ac:dyDescent="0.25">
      <c r="A265" t="str">
        <f>"261"</f>
        <v>261</v>
      </c>
      <c r="B265" t="str">
        <f t="shared" si="12"/>
        <v>1</v>
      </c>
      <c r="C265" t="str">
        <f t="shared" si="14"/>
        <v>11</v>
      </c>
      <c r="D265" t="str">
        <f>"21"</f>
        <v>21</v>
      </c>
      <c r="E265" t="str">
        <f>"1-11-21"</f>
        <v>1-11-21</v>
      </c>
      <c r="F265" t="s">
        <v>83</v>
      </c>
      <c r="G265" t="s">
        <v>86</v>
      </c>
      <c r="H265" t="s">
        <v>87</v>
      </c>
      <c r="AC265">
        <v>0</v>
      </c>
      <c r="AD265">
        <v>0</v>
      </c>
      <c r="AE265">
        <v>0</v>
      </c>
      <c r="AF265">
        <v>0</v>
      </c>
      <c r="AH265">
        <v>0</v>
      </c>
      <c r="AI265">
        <v>1</v>
      </c>
      <c r="AJ265">
        <v>1</v>
      </c>
      <c r="AK265">
        <v>0</v>
      </c>
      <c r="AL265">
        <v>0</v>
      </c>
      <c r="AM265">
        <v>0</v>
      </c>
      <c r="AN265">
        <v>1</v>
      </c>
      <c r="AO265">
        <v>0</v>
      </c>
      <c r="AP265">
        <v>0</v>
      </c>
      <c r="AQ265">
        <v>0</v>
      </c>
      <c r="AU265">
        <v>0</v>
      </c>
      <c r="AV265">
        <v>0</v>
      </c>
      <c r="AW265">
        <v>0</v>
      </c>
    </row>
    <row r="266" spans="1:49" x14ac:dyDescent="0.25">
      <c r="A266" t="str">
        <f>"262"</f>
        <v>262</v>
      </c>
      <c r="B266" t="str">
        <f t="shared" si="12"/>
        <v>1</v>
      </c>
      <c r="C266" t="str">
        <f t="shared" si="14"/>
        <v>11</v>
      </c>
      <c r="D266" t="str">
        <f>"11"</f>
        <v>11</v>
      </c>
      <c r="E266" t="str">
        <f>"1-11-11"</f>
        <v>1-11-11</v>
      </c>
      <c r="F266" t="s">
        <v>83</v>
      </c>
      <c r="G266" t="s">
        <v>84</v>
      </c>
      <c r="H266" t="s">
        <v>85</v>
      </c>
      <c r="AC266">
        <v>0</v>
      </c>
      <c r="AD266">
        <v>1</v>
      </c>
      <c r="AE266">
        <v>0</v>
      </c>
      <c r="AF266">
        <v>0</v>
      </c>
      <c r="AG266">
        <v>1</v>
      </c>
      <c r="AJ266">
        <v>1</v>
      </c>
      <c r="AK266">
        <v>0</v>
      </c>
      <c r="AL266">
        <v>0</v>
      </c>
      <c r="AM266">
        <v>1</v>
      </c>
      <c r="AN266">
        <v>0</v>
      </c>
      <c r="AO266">
        <v>1</v>
      </c>
      <c r="AP266">
        <v>1</v>
      </c>
      <c r="AQ266">
        <v>1</v>
      </c>
      <c r="AR266">
        <v>1</v>
      </c>
      <c r="AS266">
        <v>0</v>
      </c>
      <c r="AT266">
        <v>1</v>
      </c>
      <c r="AV266">
        <v>1</v>
      </c>
      <c r="AW266">
        <v>1</v>
      </c>
    </row>
    <row r="267" spans="1:49" x14ac:dyDescent="0.25">
      <c r="A267" t="str">
        <f>"263"</f>
        <v>263</v>
      </c>
      <c r="B267" t="str">
        <f t="shared" si="12"/>
        <v>1</v>
      </c>
      <c r="C267" t="str">
        <f t="shared" si="14"/>
        <v>11</v>
      </c>
      <c r="D267" t="str">
        <f>"7"</f>
        <v>7</v>
      </c>
      <c r="E267" t="str">
        <f>"1-11-7"</f>
        <v>1-11-7</v>
      </c>
      <c r="F267" t="s">
        <v>83</v>
      </c>
      <c r="G267" t="s">
        <v>84</v>
      </c>
      <c r="H267" t="s">
        <v>85</v>
      </c>
      <c r="AC267">
        <v>1</v>
      </c>
      <c r="AD267">
        <v>0</v>
      </c>
      <c r="AE267">
        <v>0</v>
      </c>
      <c r="AF267">
        <v>0</v>
      </c>
      <c r="AG267">
        <v>1</v>
      </c>
      <c r="AJ267">
        <v>0</v>
      </c>
      <c r="AK267">
        <v>1</v>
      </c>
      <c r="AL267">
        <v>0</v>
      </c>
      <c r="AM267">
        <v>1</v>
      </c>
      <c r="AN267">
        <v>0</v>
      </c>
      <c r="AO267">
        <v>1</v>
      </c>
      <c r="AP267">
        <v>1</v>
      </c>
      <c r="AQ267">
        <v>1</v>
      </c>
      <c r="AR267">
        <v>1</v>
      </c>
      <c r="AS267">
        <v>1</v>
      </c>
      <c r="AT267">
        <v>0</v>
      </c>
      <c r="AV267">
        <v>1</v>
      </c>
      <c r="AW267">
        <v>1</v>
      </c>
    </row>
    <row r="268" spans="1:49" x14ac:dyDescent="0.25">
      <c r="A268" t="str">
        <f>"264"</f>
        <v>264</v>
      </c>
      <c r="B268" t="str">
        <f t="shared" si="12"/>
        <v>1</v>
      </c>
      <c r="C268" t="str">
        <f t="shared" si="14"/>
        <v>11</v>
      </c>
      <c r="D268" t="str">
        <f>"20"</f>
        <v>20</v>
      </c>
      <c r="E268" t="str">
        <f>"1-11-20"</f>
        <v>1-11-20</v>
      </c>
      <c r="F268" t="s">
        <v>83</v>
      </c>
      <c r="G268" t="s">
        <v>84</v>
      </c>
      <c r="H268" t="s">
        <v>85</v>
      </c>
      <c r="AC268">
        <v>0</v>
      </c>
      <c r="AD268">
        <v>1</v>
      </c>
      <c r="AE268">
        <v>0</v>
      </c>
      <c r="AF268">
        <v>0</v>
      </c>
      <c r="AG268">
        <v>1</v>
      </c>
      <c r="AJ268">
        <v>0</v>
      </c>
      <c r="AK268">
        <v>1</v>
      </c>
      <c r="AL268">
        <v>0</v>
      </c>
      <c r="AM268">
        <v>1</v>
      </c>
      <c r="AN268">
        <v>0</v>
      </c>
      <c r="AO268">
        <v>1</v>
      </c>
      <c r="AP268">
        <v>1</v>
      </c>
      <c r="AQ268">
        <v>1</v>
      </c>
      <c r="AR268">
        <v>1</v>
      </c>
      <c r="AS268">
        <v>0</v>
      </c>
      <c r="AT268">
        <v>1</v>
      </c>
      <c r="AV268">
        <v>1</v>
      </c>
      <c r="AW268">
        <v>1</v>
      </c>
    </row>
    <row r="269" spans="1:49" x14ac:dyDescent="0.25">
      <c r="A269" t="str">
        <f>"265"</f>
        <v>265</v>
      </c>
      <c r="B269" t="str">
        <f t="shared" si="12"/>
        <v>1</v>
      </c>
      <c r="C269" t="str">
        <f t="shared" si="14"/>
        <v>11</v>
      </c>
      <c r="D269" t="str">
        <f>"12"</f>
        <v>12</v>
      </c>
      <c r="E269" t="str">
        <f>"1-11-12"</f>
        <v>1-11-12</v>
      </c>
      <c r="F269" t="s">
        <v>83</v>
      </c>
      <c r="G269" t="s">
        <v>84</v>
      </c>
      <c r="H269" t="s">
        <v>85</v>
      </c>
      <c r="AC269">
        <v>0</v>
      </c>
      <c r="AD269">
        <v>1</v>
      </c>
      <c r="AE269">
        <v>0</v>
      </c>
      <c r="AF269">
        <v>0</v>
      </c>
      <c r="AG269">
        <v>0</v>
      </c>
      <c r="AJ269">
        <v>1</v>
      </c>
      <c r="AK269">
        <v>0</v>
      </c>
      <c r="AL269">
        <v>0</v>
      </c>
      <c r="AM269">
        <v>1</v>
      </c>
      <c r="AN269">
        <v>0</v>
      </c>
      <c r="AO269">
        <v>1</v>
      </c>
      <c r="AP269">
        <v>1</v>
      </c>
      <c r="AQ269">
        <v>1</v>
      </c>
      <c r="AR269">
        <v>1</v>
      </c>
      <c r="AS269">
        <v>0</v>
      </c>
      <c r="AT269">
        <v>1</v>
      </c>
      <c r="AV269">
        <v>1</v>
      </c>
      <c r="AW269">
        <v>1</v>
      </c>
    </row>
    <row r="270" spans="1:49" x14ac:dyDescent="0.25">
      <c r="A270" t="str">
        <f>"266"</f>
        <v>266</v>
      </c>
      <c r="B270" t="str">
        <f t="shared" si="12"/>
        <v>1</v>
      </c>
      <c r="C270" t="str">
        <f t="shared" si="14"/>
        <v>11</v>
      </c>
      <c r="D270" t="str">
        <f>"1"</f>
        <v>1</v>
      </c>
      <c r="E270" t="str">
        <f>"1-11-1"</f>
        <v>1-11-1</v>
      </c>
      <c r="F270" t="s">
        <v>83</v>
      </c>
      <c r="G270" t="s">
        <v>84</v>
      </c>
      <c r="H270" t="s">
        <v>85</v>
      </c>
      <c r="AC270">
        <v>1</v>
      </c>
      <c r="AD270">
        <v>0</v>
      </c>
      <c r="AE270">
        <v>0</v>
      </c>
      <c r="AF270">
        <v>0</v>
      </c>
      <c r="AG270">
        <v>1</v>
      </c>
      <c r="AJ270">
        <v>1</v>
      </c>
      <c r="AK270">
        <v>0</v>
      </c>
      <c r="AL270">
        <v>0</v>
      </c>
      <c r="AM270">
        <v>0</v>
      </c>
      <c r="AN270">
        <v>1</v>
      </c>
      <c r="AO270">
        <v>1</v>
      </c>
      <c r="AP270">
        <v>1</v>
      </c>
      <c r="AQ270">
        <v>1</v>
      </c>
      <c r="AR270">
        <v>1</v>
      </c>
      <c r="AS270">
        <v>1</v>
      </c>
      <c r="AT270">
        <v>0</v>
      </c>
      <c r="AV270">
        <v>1</v>
      </c>
      <c r="AW270">
        <v>1</v>
      </c>
    </row>
    <row r="271" spans="1:49" x14ac:dyDescent="0.25">
      <c r="A271" t="str">
        <f>"267"</f>
        <v>267</v>
      </c>
      <c r="B271" t="str">
        <f t="shared" si="12"/>
        <v>1</v>
      </c>
      <c r="C271" t="str">
        <f t="shared" si="14"/>
        <v>11</v>
      </c>
      <c r="D271" t="str">
        <f>"22"</f>
        <v>22</v>
      </c>
      <c r="E271" t="str">
        <f>"1-11-22"</f>
        <v>1-11-22</v>
      </c>
      <c r="F271" t="s">
        <v>83</v>
      </c>
      <c r="G271" t="s">
        <v>84</v>
      </c>
      <c r="H271" t="s">
        <v>85</v>
      </c>
      <c r="AC271">
        <v>1</v>
      </c>
      <c r="AD271">
        <v>0</v>
      </c>
      <c r="AE271">
        <v>0</v>
      </c>
      <c r="AF271">
        <v>0</v>
      </c>
      <c r="AG271">
        <v>1</v>
      </c>
      <c r="AJ271">
        <v>1</v>
      </c>
      <c r="AK271">
        <v>0</v>
      </c>
      <c r="AL271">
        <v>1</v>
      </c>
      <c r="AM271">
        <v>0</v>
      </c>
      <c r="AN271">
        <v>0</v>
      </c>
      <c r="AO271">
        <v>1</v>
      </c>
      <c r="AP271">
        <v>1</v>
      </c>
      <c r="AQ271">
        <v>1</v>
      </c>
      <c r="AR271">
        <v>1</v>
      </c>
      <c r="AS271">
        <v>1</v>
      </c>
      <c r="AT271">
        <v>0</v>
      </c>
      <c r="AV271">
        <v>1</v>
      </c>
      <c r="AW271">
        <v>1</v>
      </c>
    </row>
    <row r="272" spans="1:49" x14ac:dyDescent="0.25">
      <c r="A272" t="str">
        <f>"268"</f>
        <v>268</v>
      </c>
      <c r="B272" t="str">
        <f t="shared" si="12"/>
        <v>1</v>
      </c>
      <c r="C272" t="str">
        <f t="shared" si="14"/>
        <v>11</v>
      </c>
      <c r="D272" t="str">
        <f>"13"</f>
        <v>13</v>
      </c>
      <c r="E272" t="str">
        <f>"1-11-13"</f>
        <v>1-11-13</v>
      </c>
      <c r="F272" t="s">
        <v>83</v>
      </c>
      <c r="G272" t="s">
        <v>84</v>
      </c>
      <c r="H272" t="s">
        <v>85</v>
      </c>
      <c r="AC272">
        <v>1</v>
      </c>
      <c r="AD272">
        <v>0</v>
      </c>
      <c r="AE272">
        <v>0</v>
      </c>
      <c r="AF272">
        <v>0</v>
      </c>
      <c r="AG272">
        <v>1</v>
      </c>
      <c r="AJ272">
        <v>1</v>
      </c>
      <c r="AK272">
        <v>0</v>
      </c>
      <c r="AL272">
        <v>1</v>
      </c>
      <c r="AM272">
        <v>0</v>
      </c>
      <c r="AN272">
        <v>0</v>
      </c>
      <c r="AO272">
        <v>1</v>
      </c>
      <c r="AP272">
        <v>1</v>
      </c>
      <c r="AQ272">
        <v>1</v>
      </c>
      <c r="AR272">
        <v>1</v>
      </c>
      <c r="AS272">
        <v>0</v>
      </c>
      <c r="AT272">
        <v>1</v>
      </c>
      <c r="AV272">
        <v>1</v>
      </c>
      <c r="AW272">
        <v>1</v>
      </c>
    </row>
    <row r="273" spans="1:49" x14ac:dyDescent="0.25">
      <c r="A273" t="str">
        <f>"269"</f>
        <v>269</v>
      </c>
      <c r="B273" t="str">
        <f t="shared" si="12"/>
        <v>1</v>
      </c>
      <c r="C273" t="str">
        <f t="shared" si="14"/>
        <v>11</v>
      </c>
      <c r="D273" t="str">
        <f>"6"</f>
        <v>6</v>
      </c>
      <c r="E273" t="str">
        <f>"1-11-6"</f>
        <v>1-11-6</v>
      </c>
      <c r="F273" t="s">
        <v>83</v>
      </c>
      <c r="G273" t="s">
        <v>84</v>
      </c>
      <c r="H273" t="s">
        <v>85</v>
      </c>
      <c r="AC273">
        <v>1</v>
      </c>
      <c r="AD273">
        <v>0</v>
      </c>
      <c r="AE273">
        <v>0</v>
      </c>
      <c r="AF273">
        <v>0</v>
      </c>
      <c r="AG273">
        <v>1</v>
      </c>
      <c r="AJ273">
        <v>0</v>
      </c>
      <c r="AK273">
        <v>1</v>
      </c>
      <c r="AL273">
        <v>0</v>
      </c>
      <c r="AM273">
        <v>0</v>
      </c>
      <c r="AN273">
        <v>1</v>
      </c>
      <c r="AO273">
        <v>1</v>
      </c>
      <c r="AP273">
        <v>1</v>
      </c>
      <c r="AQ273">
        <v>1</v>
      </c>
      <c r="AR273">
        <v>1</v>
      </c>
      <c r="AS273">
        <v>0</v>
      </c>
      <c r="AT273">
        <v>1</v>
      </c>
      <c r="AV273">
        <v>1</v>
      </c>
      <c r="AW273">
        <v>1</v>
      </c>
    </row>
    <row r="274" spans="1:49" x14ac:dyDescent="0.25">
      <c r="A274" t="str">
        <f>"270"</f>
        <v>270</v>
      </c>
      <c r="B274" t="str">
        <f t="shared" si="12"/>
        <v>1</v>
      </c>
      <c r="C274" t="str">
        <f t="shared" si="14"/>
        <v>11</v>
      </c>
      <c r="D274" t="str">
        <f>"23"</f>
        <v>23</v>
      </c>
      <c r="E274" t="str">
        <f>"1-11-23"</f>
        <v>1-11-23</v>
      </c>
      <c r="F274" t="s">
        <v>83</v>
      </c>
      <c r="G274" t="s">
        <v>88</v>
      </c>
      <c r="H274" t="s">
        <v>89</v>
      </c>
      <c r="AC274">
        <v>1</v>
      </c>
      <c r="AD274">
        <v>0</v>
      </c>
      <c r="AE274">
        <v>0</v>
      </c>
      <c r="AF274">
        <v>0</v>
      </c>
      <c r="AH274">
        <v>0</v>
      </c>
      <c r="AI274">
        <v>1</v>
      </c>
      <c r="AJ274">
        <v>0</v>
      </c>
      <c r="AK274">
        <v>1</v>
      </c>
      <c r="AL274">
        <v>1</v>
      </c>
      <c r="AM274">
        <v>0</v>
      </c>
      <c r="AN274">
        <v>0</v>
      </c>
      <c r="AO274">
        <v>1</v>
      </c>
      <c r="AP274">
        <v>1</v>
      </c>
      <c r="AQ274">
        <v>1</v>
      </c>
      <c r="AR274">
        <v>1</v>
      </c>
      <c r="AS274">
        <v>0</v>
      </c>
      <c r="AT274">
        <v>1</v>
      </c>
      <c r="AV274">
        <v>1</v>
      </c>
      <c r="AW274">
        <v>1</v>
      </c>
    </row>
    <row r="275" spans="1:49" x14ac:dyDescent="0.25">
      <c r="A275" t="str">
        <f>"271"</f>
        <v>271</v>
      </c>
      <c r="B275" t="str">
        <f t="shared" si="12"/>
        <v>1</v>
      </c>
      <c r="C275" t="str">
        <f t="shared" si="14"/>
        <v>11</v>
      </c>
      <c r="D275" t="str">
        <f>"5"</f>
        <v>5</v>
      </c>
      <c r="E275" t="str">
        <f>"1-11-5"</f>
        <v>1-11-5</v>
      </c>
      <c r="F275" t="s">
        <v>83</v>
      </c>
      <c r="G275" t="s">
        <v>84</v>
      </c>
      <c r="H275" t="s">
        <v>85</v>
      </c>
      <c r="AC275">
        <v>1</v>
      </c>
      <c r="AD275">
        <v>0</v>
      </c>
      <c r="AE275">
        <v>0</v>
      </c>
      <c r="AF275">
        <v>0</v>
      </c>
      <c r="AG275">
        <v>1</v>
      </c>
      <c r="AJ275">
        <v>1</v>
      </c>
      <c r="AK275">
        <v>0</v>
      </c>
      <c r="AL275">
        <v>0</v>
      </c>
      <c r="AM275">
        <v>0</v>
      </c>
      <c r="AN275">
        <v>1</v>
      </c>
      <c r="AO275">
        <v>1</v>
      </c>
      <c r="AP275">
        <v>1</v>
      </c>
      <c r="AQ275">
        <v>1</v>
      </c>
      <c r="AR275">
        <v>1</v>
      </c>
      <c r="AS275">
        <v>1</v>
      </c>
      <c r="AT275">
        <v>0</v>
      </c>
      <c r="AV275">
        <v>1</v>
      </c>
      <c r="AW275">
        <v>1</v>
      </c>
    </row>
    <row r="276" spans="1:49" x14ac:dyDescent="0.25">
      <c r="A276" t="str">
        <f>"272"</f>
        <v>272</v>
      </c>
      <c r="B276" t="str">
        <f t="shared" si="12"/>
        <v>1</v>
      </c>
      <c r="C276" t="str">
        <f t="shared" si="14"/>
        <v>11</v>
      </c>
      <c r="D276" t="str">
        <f>"14"</f>
        <v>14</v>
      </c>
      <c r="E276" t="str">
        <f>"1-11-14"</f>
        <v>1-11-14</v>
      </c>
      <c r="F276" t="s">
        <v>83</v>
      </c>
      <c r="G276" t="s">
        <v>84</v>
      </c>
      <c r="H276" t="s">
        <v>85</v>
      </c>
      <c r="AC276">
        <v>0</v>
      </c>
      <c r="AD276">
        <v>0</v>
      </c>
      <c r="AE276">
        <v>0</v>
      </c>
      <c r="AF276">
        <v>0</v>
      </c>
      <c r="AG276">
        <v>1</v>
      </c>
      <c r="AJ276">
        <v>0</v>
      </c>
      <c r="AK276">
        <v>1</v>
      </c>
      <c r="AL276">
        <v>1</v>
      </c>
      <c r="AM276">
        <v>0</v>
      </c>
      <c r="AN276">
        <v>0</v>
      </c>
      <c r="AO276">
        <v>1</v>
      </c>
      <c r="AP276">
        <v>1</v>
      </c>
      <c r="AQ276">
        <v>1</v>
      </c>
      <c r="AR276">
        <v>1</v>
      </c>
      <c r="AS276">
        <v>0</v>
      </c>
      <c r="AT276">
        <v>1</v>
      </c>
      <c r="AV276">
        <v>1</v>
      </c>
      <c r="AW276">
        <v>1</v>
      </c>
    </row>
    <row r="277" spans="1:49" x14ac:dyDescent="0.25">
      <c r="A277" t="str">
        <f>"273"</f>
        <v>273</v>
      </c>
      <c r="B277" t="str">
        <f t="shared" si="12"/>
        <v>1</v>
      </c>
      <c r="C277" t="str">
        <f t="shared" ref="C277:C301" si="15">"12"</f>
        <v>12</v>
      </c>
      <c r="D277" t="str">
        <f>"25"</f>
        <v>25</v>
      </c>
      <c r="E277" t="str">
        <f>"1-12-25"</f>
        <v>1-12-25</v>
      </c>
      <c r="F277" t="s">
        <v>83</v>
      </c>
      <c r="G277" t="s">
        <v>84</v>
      </c>
      <c r="H277" t="s">
        <v>85</v>
      </c>
      <c r="AC277">
        <v>0</v>
      </c>
      <c r="AD277">
        <v>1</v>
      </c>
      <c r="AE277">
        <v>0</v>
      </c>
      <c r="AF277">
        <v>0</v>
      </c>
      <c r="AG277">
        <v>1</v>
      </c>
      <c r="AJ277">
        <v>1</v>
      </c>
      <c r="AK277">
        <v>0</v>
      </c>
      <c r="AL277">
        <v>1</v>
      </c>
      <c r="AM277">
        <v>0</v>
      </c>
      <c r="AN277">
        <v>0</v>
      </c>
      <c r="AO277">
        <v>1</v>
      </c>
      <c r="AP277">
        <v>1</v>
      </c>
      <c r="AQ277">
        <v>1</v>
      </c>
      <c r="AR277">
        <v>1</v>
      </c>
      <c r="AS277">
        <v>1</v>
      </c>
      <c r="AT277">
        <v>0</v>
      </c>
      <c r="AV277">
        <v>1</v>
      </c>
      <c r="AW277">
        <v>0</v>
      </c>
    </row>
    <row r="278" spans="1:49" x14ac:dyDescent="0.25">
      <c r="A278" t="str">
        <f>"274"</f>
        <v>274</v>
      </c>
      <c r="B278" t="str">
        <f t="shared" si="12"/>
        <v>1</v>
      </c>
      <c r="C278" t="str">
        <f t="shared" si="15"/>
        <v>12</v>
      </c>
      <c r="D278" t="str">
        <f>"24"</f>
        <v>24</v>
      </c>
      <c r="E278" t="str">
        <f>"1-12-24"</f>
        <v>1-12-24</v>
      </c>
      <c r="F278" t="s">
        <v>83</v>
      </c>
      <c r="G278" t="s">
        <v>84</v>
      </c>
      <c r="H278" t="s">
        <v>85</v>
      </c>
      <c r="AC278">
        <v>0</v>
      </c>
      <c r="AD278">
        <v>0</v>
      </c>
      <c r="AE278">
        <v>0</v>
      </c>
      <c r="AF278">
        <v>0</v>
      </c>
      <c r="AG278">
        <v>1</v>
      </c>
      <c r="AJ278">
        <v>0</v>
      </c>
      <c r="AK278">
        <v>0</v>
      </c>
      <c r="AL278">
        <v>0</v>
      </c>
      <c r="AM278">
        <v>0</v>
      </c>
      <c r="AN278">
        <v>0</v>
      </c>
      <c r="AO278">
        <v>1</v>
      </c>
      <c r="AP278">
        <v>1</v>
      </c>
      <c r="AQ278">
        <v>1</v>
      </c>
      <c r="AR278">
        <v>1</v>
      </c>
      <c r="AS278">
        <v>0</v>
      </c>
      <c r="AT278">
        <v>0</v>
      </c>
      <c r="AV278">
        <v>1</v>
      </c>
      <c r="AW278">
        <v>1</v>
      </c>
    </row>
    <row r="279" spans="1:49" x14ac:dyDescent="0.25">
      <c r="A279" t="str">
        <f>"275"</f>
        <v>275</v>
      </c>
      <c r="B279" t="str">
        <f t="shared" si="12"/>
        <v>1</v>
      </c>
      <c r="C279" t="str">
        <f t="shared" si="15"/>
        <v>12</v>
      </c>
      <c r="D279" t="str">
        <f>"17"</f>
        <v>17</v>
      </c>
      <c r="E279" t="str">
        <f>"1-12-17"</f>
        <v>1-12-17</v>
      </c>
      <c r="F279" t="s">
        <v>83</v>
      </c>
      <c r="G279" t="s">
        <v>86</v>
      </c>
      <c r="H279" t="s">
        <v>87</v>
      </c>
      <c r="AC279">
        <v>0</v>
      </c>
      <c r="AD279">
        <v>1</v>
      </c>
      <c r="AE279">
        <v>0</v>
      </c>
      <c r="AF279">
        <v>0</v>
      </c>
      <c r="AH279">
        <v>0</v>
      </c>
      <c r="AI279">
        <v>1</v>
      </c>
      <c r="AJ279">
        <v>0</v>
      </c>
      <c r="AK279">
        <v>1</v>
      </c>
      <c r="AL279">
        <v>0</v>
      </c>
      <c r="AM279">
        <v>1</v>
      </c>
      <c r="AN279">
        <v>0</v>
      </c>
      <c r="AO279">
        <v>1</v>
      </c>
      <c r="AP279">
        <v>1</v>
      </c>
      <c r="AQ279">
        <v>1</v>
      </c>
      <c r="AU279">
        <v>1</v>
      </c>
      <c r="AV279">
        <v>1</v>
      </c>
      <c r="AW279">
        <v>0</v>
      </c>
    </row>
    <row r="280" spans="1:49" x14ac:dyDescent="0.25">
      <c r="A280" t="str">
        <f>"276"</f>
        <v>276</v>
      </c>
      <c r="B280" t="str">
        <f t="shared" si="12"/>
        <v>1</v>
      </c>
      <c r="C280" t="str">
        <f t="shared" si="15"/>
        <v>12</v>
      </c>
      <c r="D280" t="str">
        <f>"16"</f>
        <v>16</v>
      </c>
      <c r="E280" t="str">
        <f>"1-12-16"</f>
        <v>1-12-16</v>
      </c>
      <c r="F280" t="s">
        <v>83</v>
      </c>
      <c r="G280" t="s">
        <v>86</v>
      </c>
      <c r="H280" t="s">
        <v>87</v>
      </c>
      <c r="AC280">
        <v>1</v>
      </c>
      <c r="AD280">
        <v>0</v>
      </c>
      <c r="AE280">
        <v>0</v>
      </c>
      <c r="AF280">
        <v>0</v>
      </c>
      <c r="AH280">
        <v>1</v>
      </c>
      <c r="AI280">
        <v>0</v>
      </c>
      <c r="AJ280">
        <v>1</v>
      </c>
      <c r="AK280">
        <v>0</v>
      </c>
      <c r="AL280">
        <v>0</v>
      </c>
      <c r="AM280">
        <v>0</v>
      </c>
      <c r="AN280">
        <v>0</v>
      </c>
      <c r="AO280">
        <v>1</v>
      </c>
      <c r="AP280">
        <v>1</v>
      </c>
      <c r="AQ280">
        <v>1</v>
      </c>
      <c r="AU280">
        <v>1</v>
      </c>
      <c r="AV280">
        <v>1</v>
      </c>
      <c r="AW280">
        <v>1</v>
      </c>
    </row>
    <row r="281" spans="1:49" x14ac:dyDescent="0.25">
      <c r="A281" t="str">
        <f>"277"</f>
        <v>277</v>
      </c>
      <c r="B281" t="str">
        <f t="shared" si="12"/>
        <v>1</v>
      </c>
      <c r="C281" t="str">
        <f t="shared" si="15"/>
        <v>12</v>
      </c>
      <c r="D281" t="str">
        <f>"13"</f>
        <v>13</v>
      </c>
      <c r="E281" t="str">
        <f>"1-12-13"</f>
        <v>1-12-13</v>
      </c>
      <c r="F281" t="s">
        <v>83</v>
      </c>
      <c r="G281" t="s">
        <v>86</v>
      </c>
      <c r="H281" t="s">
        <v>87</v>
      </c>
      <c r="AC281">
        <v>0</v>
      </c>
      <c r="AD281">
        <v>1</v>
      </c>
      <c r="AE281">
        <v>0</v>
      </c>
      <c r="AF281">
        <v>0</v>
      </c>
      <c r="AH281">
        <v>1</v>
      </c>
      <c r="AI281">
        <v>0</v>
      </c>
      <c r="AJ281">
        <v>1</v>
      </c>
      <c r="AK281">
        <v>0</v>
      </c>
      <c r="AL281">
        <v>0</v>
      </c>
      <c r="AM281">
        <v>1</v>
      </c>
      <c r="AN281">
        <v>0</v>
      </c>
      <c r="AO281">
        <v>1</v>
      </c>
      <c r="AP281">
        <v>0</v>
      </c>
      <c r="AQ281">
        <v>1</v>
      </c>
      <c r="AU281">
        <v>1</v>
      </c>
      <c r="AV281">
        <v>1</v>
      </c>
      <c r="AW281">
        <v>1</v>
      </c>
    </row>
    <row r="282" spans="1:49" x14ac:dyDescent="0.25">
      <c r="A282" t="str">
        <f>"278"</f>
        <v>278</v>
      </c>
      <c r="B282" t="str">
        <f t="shared" si="12"/>
        <v>1</v>
      </c>
      <c r="C282" t="str">
        <f t="shared" si="15"/>
        <v>12</v>
      </c>
      <c r="D282" t="str">
        <f>"8"</f>
        <v>8</v>
      </c>
      <c r="E282" t="str">
        <f>"1-12-8"</f>
        <v>1-12-8</v>
      </c>
      <c r="F282" t="s">
        <v>83</v>
      </c>
      <c r="G282" t="s">
        <v>86</v>
      </c>
      <c r="H282" t="s">
        <v>87</v>
      </c>
      <c r="AC282">
        <v>0</v>
      </c>
      <c r="AD282">
        <v>1</v>
      </c>
      <c r="AE282">
        <v>0</v>
      </c>
      <c r="AF282">
        <v>0</v>
      </c>
      <c r="AH282">
        <v>0</v>
      </c>
      <c r="AI282">
        <v>1</v>
      </c>
      <c r="AJ282">
        <v>0</v>
      </c>
      <c r="AK282">
        <v>1</v>
      </c>
      <c r="AL282">
        <v>0</v>
      </c>
      <c r="AM282">
        <v>0</v>
      </c>
      <c r="AN282">
        <v>1</v>
      </c>
      <c r="AO282">
        <v>0</v>
      </c>
      <c r="AP282">
        <v>0</v>
      </c>
      <c r="AQ282">
        <v>0</v>
      </c>
      <c r="AU282">
        <v>0</v>
      </c>
      <c r="AV282">
        <v>0</v>
      </c>
      <c r="AW282">
        <v>0</v>
      </c>
    </row>
    <row r="283" spans="1:49" x14ac:dyDescent="0.25">
      <c r="A283" t="str">
        <f>"279"</f>
        <v>279</v>
      </c>
      <c r="B283" t="str">
        <f t="shared" si="12"/>
        <v>1</v>
      </c>
      <c r="C283" t="str">
        <f t="shared" si="15"/>
        <v>12</v>
      </c>
      <c r="D283" t="str">
        <f>"1"</f>
        <v>1</v>
      </c>
      <c r="E283" t="str">
        <f>"1-12-1"</f>
        <v>1-12-1</v>
      </c>
      <c r="F283" t="s">
        <v>83</v>
      </c>
      <c r="G283" t="s">
        <v>84</v>
      </c>
      <c r="H283" t="s">
        <v>85</v>
      </c>
      <c r="AC283">
        <v>0</v>
      </c>
      <c r="AD283">
        <v>1</v>
      </c>
      <c r="AE283">
        <v>0</v>
      </c>
      <c r="AF283">
        <v>0</v>
      </c>
      <c r="AG283">
        <v>1</v>
      </c>
      <c r="AJ283">
        <v>0</v>
      </c>
      <c r="AK283">
        <v>1</v>
      </c>
      <c r="AL283">
        <v>0</v>
      </c>
      <c r="AM283">
        <v>0</v>
      </c>
      <c r="AN283">
        <v>1</v>
      </c>
      <c r="AO283">
        <v>1</v>
      </c>
      <c r="AP283">
        <v>1</v>
      </c>
      <c r="AQ283">
        <v>1</v>
      </c>
      <c r="AR283">
        <v>1</v>
      </c>
      <c r="AS283">
        <v>0</v>
      </c>
      <c r="AT283">
        <v>1</v>
      </c>
      <c r="AV283">
        <v>1</v>
      </c>
      <c r="AW283">
        <v>1</v>
      </c>
    </row>
    <row r="284" spans="1:49" x14ac:dyDescent="0.25">
      <c r="A284" t="str">
        <f>"280"</f>
        <v>280</v>
      </c>
      <c r="B284" t="str">
        <f t="shared" si="12"/>
        <v>1</v>
      </c>
      <c r="C284" t="str">
        <f t="shared" si="15"/>
        <v>12</v>
      </c>
      <c r="D284" t="str">
        <f>"18"</f>
        <v>18</v>
      </c>
      <c r="E284" t="str">
        <f>"1-12-18"</f>
        <v>1-12-18</v>
      </c>
      <c r="F284" t="s">
        <v>83</v>
      </c>
      <c r="G284" t="s">
        <v>86</v>
      </c>
      <c r="H284" t="s">
        <v>87</v>
      </c>
      <c r="AC284">
        <v>0</v>
      </c>
      <c r="AD284">
        <v>0</v>
      </c>
      <c r="AE284">
        <v>0</v>
      </c>
      <c r="AF284">
        <v>0</v>
      </c>
      <c r="AH284">
        <v>0</v>
      </c>
      <c r="AI284">
        <v>1</v>
      </c>
      <c r="AJ284">
        <v>0</v>
      </c>
      <c r="AK284">
        <v>0</v>
      </c>
      <c r="AL284">
        <v>0</v>
      </c>
      <c r="AM284">
        <v>0</v>
      </c>
      <c r="AN284">
        <v>0</v>
      </c>
      <c r="AO284">
        <v>0</v>
      </c>
      <c r="AP284">
        <v>0</v>
      </c>
      <c r="AQ284">
        <v>0</v>
      </c>
      <c r="AU284">
        <v>0</v>
      </c>
      <c r="AV284">
        <v>0</v>
      </c>
      <c r="AW284">
        <v>0</v>
      </c>
    </row>
    <row r="285" spans="1:49" x14ac:dyDescent="0.25">
      <c r="A285" t="str">
        <f>"281"</f>
        <v>281</v>
      </c>
      <c r="B285" t="str">
        <f t="shared" si="12"/>
        <v>1</v>
      </c>
      <c r="C285" t="str">
        <f t="shared" si="15"/>
        <v>12</v>
      </c>
      <c r="D285" t="str">
        <f>"9"</f>
        <v>9</v>
      </c>
      <c r="E285" t="str">
        <f>"1-12-9"</f>
        <v>1-12-9</v>
      </c>
      <c r="F285" t="s">
        <v>83</v>
      </c>
      <c r="G285" t="s">
        <v>86</v>
      </c>
      <c r="H285" t="s">
        <v>87</v>
      </c>
      <c r="AC285">
        <v>0</v>
      </c>
      <c r="AD285">
        <v>0</v>
      </c>
      <c r="AE285">
        <v>0</v>
      </c>
      <c r="AF285">
        <v>0</v>
      </c>
      <c r="AH285">
        <v>1</v>
      </c>
      <c r="AI285">
        <v>0</v>
      </c>
      <c r="AJ285">
        <v>0</v>
      </c>
      <c r="AK285">
        <v>0</v>
      </c>
      <c r="AL285">
        <v>0</v>
      </c>
      <c r="AM285">
        <v>0</v>
      </c>
      <c r="AN285">
        <v>0</v>
      </c>
      <c r="AO285">
        <v>0</v>
      </c>
      <c r="AP285">
        <v>0</v>
      </c>
      <c r="AQ285">
        <v>0</v>
      </c>
      <c r="AU285">
        <v>0</v>
      </c>
      <c r="AV285">
        <v>0</v>
      </c>
      <c r="AW285">
        <v>0</v>
      </c>
    </row>
    <row r="286" spans="1:49" x14ac:dyDescent="0.25">
      <c r="A286" t="str">
        <f>"282"</f>
        <v>282</v>
      </c>
      <c r="B286" t="str">
        <f t="shared" ref="B286:B349" si="16">"1"</f>
        <v>1</v>
      </c>
      <c r="C286" t="str">
        <f t="shared" si="15"/>
        <v>12</v>
      </c>
      <c r="D286" t="str">
        <f>"4"</f>
        <v>4</v>
      </c>
      <c r="E286" t="str">
        <f>"1-12-4"</f>
        <v>1-12-4</v>
      </c>
      <c r="F286" t="s">
        <v>83</v>
      </c>
      <c r="G286" t="s">
        <v>86</v>
      </c>
      <c r="H286" t="s">
        <v>87</v>
      </c>
      <c r="AC286">
        <v>0</v>
      </c>
      <c r="AD286">
        <v>1</v>
      </c>
      <c r="AE286">
        <v>0</v>
      </c>
      <c r="AF286">
        <v>0</v>
      </c>
      <c r="AH286">
        <v>0</v>
      </c>
      <c r="AI286">
        <v>1</v>
      </c>
      <c r="AJ286">
        <v>0</v>
      </c>
      <c r="AK286">
        <v>1</v>
      </c>
      <c r="AL286">
        <v>0</v>
      </c>
      <c r="AM286">
        <v>0</v>
      </c>
      <c r="AN286">
        <v>1</v>
      </c>
      <c r="AO286">
        <v>0</v>
      </c>
      <c r="AP286">
        <v>0</v>
      </c>
      <c r="AQ286">
        <v>0</v>
      </c>
      <c r="AU286">
        <v>0</v>
      </c>
      <c r="AV286">
        <v>0</v>
      </c>
      <c r="AW286">
        <v>0</v>
      </c>
    </row>
    <row r="287" spans="1:49" x14ac:dyDescent="0.25">
      <c r="A287" t="str">
        <f>"283"</f>
        <v>283</v>
      </c>
      <c r="B287" t="str">
        <f t="shared" si="16"/>
        <v>1</v>
      </c>
      <c r="C287" t="str">
        <f t="shared" si="15"/>
        <v>12</v>
      </c>
      <c r="D287" t="str">
        <f>"19"</f>
        <v>19</v>
      </c>
      <c r="E287" t="str">
        <f>"1-12-19"</f>
        <v>1-12-19</v>
      </c>
      <c r="F287" t="s">
        <v>83</v>
      </c>
      <c r="G287" t="s">
        <v>86</v>
      </c>
      <c r="H287" t="s">
        <v>87</v>
      </c>
      <c r="AC287">
        <v>0</v>
      </c>
      <c r="AD287">
        <v>1</v>
      </c>
      <c r="AE287">
        <v>0</v>
      </c>
      <c r="AF287">
        <v>0</v>
      </c>
      <c r="AH287">
        <v>0</v>
      </c>
      <c r="AI287">
        <v>1</v>
      </c>
      <c r="AJ287">
        <v>0</v>
      </c>
      <c r="AK287">
        <v>1</v>
      </c>
      <c r="AL287">
        <v>0</v>
      </c>
      <c r="AM287">
        <v>0</v>
      </c>
      <c r="AN287">
        <v>1</v>
      </c>
      <c r="AO287">
        <v>1</v>
      </c>
      <c r="AP287">
        <v>1</v>
      </c>
      <c r="AQ287">
        <v>1</v>
      </c>
      <c r="AU287">
        <v>1</v>
      </c>
      <c r="AV287">
        <v>1</v>
      </c>
      <c r="AW287">
        <v>1</v>
      </c>
    </row>
    <row r="288" spans="1:49" x14ac:dyDescent="0.25">
      <c r="A288" t="str">
        <f>"284"</f>
        <v>284</v>
      </c>
      <c r="B288" t="str">
        <f t="shared" si="16"/>
        <v>1</v>
      </c>
      <c r="C288" t="str">
        <f t="shared" si="15"/>
        <v>12</v>
      </c>
      <c r="D288" t="str">
        <f>"10"</f>
        <v>10</v>
      </c>
      <c r="E288" t="str">
        <f>"1-12-10"</f>
        <v>1-12-10</v>
      </c>
      <c r="F288" t="s">
        <v>83</v>
      </c>
      <c r="G288" t="s">
        <v>86</v>
      </c>
      <c r="H288" t="s">
        <v>87</v>
      </c>
      <c r="AC288">
        <v>0</v>
      </c>
      <c r="AD288">
        <v>1</v>
      </c>
      <c r="AE288">
        <v>0</v>
      </c>
      <c r="AF288">
        <v>0</v>
      </c>
      <c r="AH288">
        <v>1</v>
      </c>
      <c r="AI288">
        <v>0</v>
      </c>
      <c r="AJ288">
        <v>1</v>
      </c>
      <c r="AK288">
        <v>0</v>
      </c>
      <c r="AL288">
        <v>0</v>
      </c>
      <c r="AM288">
        <v>1</v>
      </c>
      <c r="AN288">
        <v>0</v>
      </c>
      <c r="AO288">
        <v>1</v>
      </c>
      <c r="AP288">
        <v>1</v>
      </c>
      <c r="AQ288">
        <v>1</v>
      </c>
      <c r="AU288">
        <v>1</v>
      </c>
      <c r="AV288">
        <v>1</v>
      </c>
      <c r="AW288">
        <v>1</v>
      </c>
    </row>
    <row r="289" spans="1:49" x14ac:dyDescent="0.25">
      <c r="A289" t="str">
        <f>"285"</f>
        <v>285</v>
      </c>
      <c r="B289" t="str">
        <f t="shared" si="16"/>
        <v>1</v>
      </c>
      <c r="C289" t="str">
        <f t="shared" si="15"/>
        <v>12</v>
      </c>
      <c r="D289" t="str">
        <f>"5"</f>
        <v>5</v>
      </c>
      <c r="E289" t="str">
        <f>"1-12-5"</f>
        <v>1-12-5</v>
      </c>
      <c r="F289" t="s">
        <v>83</v>
      </c>
      <c r="G289" t="s">
        <v>86</v>
      </c>
      <c r="H289" t="s">
        <v>87</v>
      </c>
      <c r="AC289">
        <v>0</v>
      </c>
      <c r="AD289">
        <v>0</v>
      </c>
      <c r="AE289">
        <v>0</v>
      </c>
      <c r="AF289">
        <v>0</v>
      </c>
      <c r="AH289">
        <v>0</v>
      </c>
      <c r="AI289">
        <v>1</v>
      </c>
      <c r="AJ289">
        <v>0</v>
      </c>
      <c r="AK289">
        <v>0</v>
      </c>
      <c r="AL289">
        <v>0</v>
      </c>
      <c r="AM289">
        <v>0</v>
      </c>
      <c r="AN289">
        <v>0</v>
      </c>
      <c r="AO289">
        <v>0</v>
      </c>
      <c r="AP289">
        <v>0</v>
      </c>
      <c r="AQ289">
        <v>0</v>
      </c>
      <c r="AU289">
        <v>0</v>
      </c>
      <c r="AV289">
        <v>0</v>
      </c>
      <c r="AW289">
        <v>0</v>
      </c>
    </row>
    <row r="290" spans="1:49" x14ac:dyDescent="0.25">
      <c r="A290" t="str">
        <f>"286"</f>
        <v>286</v>
      </c>
      <c r="B290" t="str">
        <f t="shared" si="16"/>
        <v>1</v>
      </c>
      <c r="C290" t="str">
        <f t="shared" si="15"/>
        <v>12</v>
      </c>
      <c r="D290" t="str">
        <f>"21"</f>
        <v>21</v>
      </c>
      <c r="E290" t="str">
        <f>"1-12-21"</f>
        <v>1-12-21</v>
      </c>
      <c r="F290" t="s">
        <v>83</v>
      </c>
      <c r="G290" t="s">
        <v>86</v>
      </c>
      <c r="H290" t="s">
        <v>87</v>
      </c>
      <c r="AC290">
        <v>0</v>
      </c>
      <c r="AD290">
        <v>0</v>
      </c>
      <c r="AE290">
        <v>0</v>
      </c>
      <c r="AF290">
        <v>0</v>
      </c>
      <c r="AH290">
        <v>0</v>
      </c>
      <c r="AI290">
        <v>1</v>
      </c>
      <c r="AJ290">
        <v>0</v>
      </c>
      <c r="AK290">
        <v>0</v>
      </c>
      <c r="AL290">
        <v>0</v>
      </c>
      <c r="AM290">
        <v>0</v>
      </c>
      <c r="AN290">
        <v>0</v>
      </c>
      <c r="AO290">
        <v>0</v>
      </c>
      <c r="AP290">
        <v>0</v>
      </c>
      <c r="AQ290">
        <v>0</v>
      </c>
      <c r="AU290">
        <v>0</v>
      </c>
      <c r="AV290">
        <v>0</v>
      </c>
      <c r="AW290">
        <v>0</v>
      </c>
    </row>
    <row r="291" spans="1:49" x14ac:dyDescent="0.25">
      <c r="A291" t="str">
        <f>"287"</f>
        <v>287</v>
      </c>
      <c r="B291" t="str">
        <f t="shared" si="16"/>
        <v>1</v>
      </c>
      <c r="C291" t="str">
        <f t="shared" si="15"/>
        <v>12</v>
      </c>
      <c r="D291" t="str">
        <f>"11"</f>
        <v>11</v>
      </c>
      <c r="E291" t="str">
        <f>"1-12-11"</f>
        <v>1-12-11</v>
      </c>
      <c r="F291" t="s">
        <v>83</v>
      </c>
      <c r="G291" t="s">
        <v>86</v>
      </c>
      <c r="H291" t="s">
        <v>87</v>
      </c>
      <c r="AC291">
        <v>0</v>
      </c>
      <c r="AD291">
        <v>1</v>
      </c>
      <c r="AE291">
        <v>0</v>
      </c>
      <c r="AF291">
        <v>0</v>
      </c>
      <c r="AH291">
        <v>0</v>
      </c>
      <c r="AI291">
        <v>1</v>
      </c>
      <c r="AJ291">
        <v>0</v>
      </c>
      <c r="AK291">
        <v>1</v>
      </c>
      <c r="AL291">
        <v>0</v>
      </c>
      <c r="AM291">
        <v>1</v>
      </c>
      <c r="AN291">
        <v>0</v>
      </c>
      <c r="AO291">
        <v>1</v>
      </c>
      <c r="AP291">
        <v>1</v>
      </c>
      <c r="AQ291">
        <v>1</v>
      </c>
      <c r="AU291">
        <v>1</v>
      </c>
      <c r="AV291">
        <v>1</v>
      </c>
      <c r="AW291">
        <v>1</v>
      </c>
    </row>
    <row r="292" spans="1:49" x14ac:dyDescent="0.25">
      <c r="A292" t="str">
        <f>"288"</f>
        <v>288</v>
      </c>
      <c r="B292" t="str">
        <f t="shared" si="16"/>
        <v>1</v>
      </c>
      <c r="C292" t="str">
        <f t="shared" si="15"/>
        <v>12</v>
      </c>
      <c r="D292" t="str">
        <f>"3"</f>
        <v>3</v>
      </c>
      <c r="E292" t="str">
        <f>"1-12-3"</f>
        <v>1-12-3</v>
      </c>
      <c r="F292" t="s">
        <v>83</v>
      </c>
      <c r="G292" t="s">
        <v>86</v>
      </c>
      <c r="H292" t="s">
        <v>87</v>
      </c>
      <c r="AC292">
        <v>0</v>
      </c>
      <c r="AD292">
        <v>1</v>
      </c>
      <c r="AE292">
        <v>0</v>
      </c>
      <c r="AF292">
        <v>0</v>
      </c>
      <c r="AH292">
        <v>0</v>
      </c>
      <c r="AI292">
        <v>1</v>
      </c>
      <c r="AJ292">
        <v>0</v>
      </c>
      <c r="AK292">
        <v>1</v>
      </c>
      <c r="AL292">
        <v>0</v>
      </c>
      <c r="AM292">
        <v>0</v>
      </c>
      <c r="AN292">
        <v>1</v>
      </c>
      <c r="AO292">
        <v>0</v>
      </c>
      <c r="AP292">
        <v>0</v>
      </c>
      <c r="AQ292">
        <v>0</v>
      </c>
      <c r="AU292">
        <v>0</v>
      </c>
      <c r="AV292">
        <v>0</v>
      </c>
      <c r="AW292">
        <v>0</v>
      </c>
    </row>
    <row r="293" spans="1:49" x14ac:dyDescent="0.25">
      <c r="A293" t="str">
        <f>"289"</f>
        <v>289</v>
      </c>
      <c r="B293" t="str">
        <f t="shared" si="16"/>
        <v>1</v>
      </c>
      <c r="C293" t="str">
        <f t="shared" si="15"/>
        <v>12</v>
      </c>
      <c r="D293" t="str">
        <f>"20"</f>
        <v>20</v>
      </c>
      <c r="E293" t="str">
        <f>"1-12-20"</f>
        <v>1-12-20</v>
      </c>
      <c r="F293" t="s">
        <v>83</v>
      </c>
      <c r="G293" t="s">
        <v>86</v>
      </c>
      <c r="H293" t="s">
        <v>87</v>
      </c>
      <c r="AC293">
        <v>0</v>
      </c>
      <c r="AD293">
        <v>1</v>
      </c>
      <c r="AE293">
        <v>0</v>
      </c>
      <c r="AF293">
        <v>0</v>
      </c>
      <c r="AH293">
        <v>0</v>
      </c>
      <c r="AI293">
        <v>1</v>
      </c>
      <c r="AJ293">
        <v>0</v>
      </c>
      <c r="AK293">
        <v>1</v>
      </c>
      <c r="AL293">
        <v>0</v>
      </c>
      <c r="AM293">
        <v>0</v>
      </c>
      <c r="AN293">
        <v>1</v>
      </c>
      <c r="AO293">
        <v>1</v>
      </c>
      <c r="AP293">
        <v>1</v>
      </c>
      <c r="AQ293">
        <v>1</v>
      </c>
      <c r="AU293">
        <v>1</v>
      </c>
      <c r="AV293">
        <v>1</v>
      </c>
      <c r="AW293">
        <v>1</v>
      </c>
    </row>
    <row r="294" spans="1:49" x14ac:dyDescent="0.25">
      <c r="A294" t="str">
        <f>"290"</f>
        <v>290</v>
      </c>
      <c r="B294" t="str">
        <f t="shared" si="16"/>
        <v>1</v>
      </c>
      <c r="C294" t="str">
        <f t="shared" si="15"/>
        <v>12</v>
      </c>
      <c r="D294" t="str">
        <f>"12"</f>
        <v>12</v>
      </c>
      <c r="E294" t="str">
        <f>"1-12-12"</f>
        <v>1-12-12</v>
      </c>
      <c r="F294" t="s">
        <v>83</v>
      </c>
      <c r="G294" t="s">
        <v>86</v>
      </c>
      <c r="H294" t="s">
        <v>87</v>
      </c>
      <c r="AC294">
        <v>0</v>
      </c>
      <c r="AD294">
        <v>1</v>
      </c>
      <c r="AE294">
        <v>0</v>
      </c>
      <c r="AF294">
        <v>0</v>
      </c>
      <c r="AH294">
        <v>0</v>
      </c>
      <c r="AI294">
        <v>1</v>
      </c>
      <c r="AJ294">
        <v>0</v>
      </c>
      <c r="AK294">
        <v>1</v>
      </c>
      <c r="AL294">
        <v>0</v>
      </c>
      <c r="AM294">
        <v>0</v>
      </c>
      <c r="AN294">
        <v>1</v>
      </c>
      <c r="AO294">
        <v>1</v>
      </c>
      <c r="AP294">
        <v>1</v>
      </c>
      <c r="AQ294">
        <v>1</v>
      </c>
      <c r="AU294">
        <v>1</v>
      </c>
      <c r="AV294">
        <v>1</v>
      </c>
      <c r="AW294">
        <v>1</v>
      </c>
    </row>
    <row r="295" spans="1:49" x14ac:dyDescent="0.25">
      <c r="A295" t="str">
        <f>"291"</f>
        <v>291</v>
      </c>
      <c r="B295" t="str">
        <f t="shared" si="16"/>
        <v>1</v>
      </c>
      <c r="C295" t="str">
        <f t="shared" si="15"/>
        <v>12</v>
      </c>
      <c r="D295" t="str">
        <f>"7"</f>
        <v>7</v>
      </c>
      <c r="E295" t="str">
        <f>"1-12-7"</f>
        <v>1-12-7</v>
      </c>
      <c r="F295" t="s">
        <v>83</v>
      </c>
      <c r="G295" t="s">
        <v>86</v>
      </c>
      <c r="H295" t="s">
        <v>87</v>
      </c>
      <c r="AC295">
        <v>0</v>
      </c>
      <c r="AD295">
        <v>1</v>
      </c>
      <c r="AE295">
        <v>0</v>
      </c>
      <c r="AF295">
        <v>0</v>
      </c>
      <c r="AH295">
        <v>0</v>
      </c>
      <c r="AI295">
        <v>1</v>
      </c>
      <c r="AJ295">
        <v>0</v>
      </c>
      <c r="AK295">
        <v>1</v>
      </c>
      <c r="AL295">
        <v>0</v>
      </c>
      <c r="AM295">
        <v>0</v>
      </c>
      <c r="AN295">
        <v>1</v>
      </c>
      <c r="AO295">
        <v>0</v>
      </c>
      <c r="AP295">
        <v>0</v>
      </c>
      <c r="AQ295">
        <v>0</v>
      </c>
      <c r="AU295">
        <v>0</v>
      </c>
      <c r="AV295">
        <v>0</v>
      </c>
      <c r="AW295">
        <v>0</v>
      </c>
    </row>
    <row r="296" spans="1:49" x14ac:dyDescent="0.25">
      <c r="A296" t="str">
        <f>"292"</f>
        <v>292</v>
      </c>
      <c r="B296" t="str">
        <f t="shared" si="16"/>
        <v>1</v>
      </c>
      <c r="C296" t="str">
        <f t="shared" si="15"/>
        <v>12</v>
      </c>
      <c r="D296" t="str">
        <f>"23"</f>
        <v>23</v>
      </c>
      <c r="E296" t="str">
        <f>"1-12-23"</f>
        <v>1-12-23</v>
      </c>
      <c r="F296" t="s">
        <v>83</v>
      </c>
      <c r="G296" t="s">
        <v>84</v>
      </c>
      <c r="H296" t="s">
        <v>85</v>
      </c>
      <c r="AC296">
        <v>0</v>
      </c>
      <c r="AD296">
        <v>0</v>
      </c>
      <c r="AE296">
        <v>0</v>
      </c>
      <c r="AF296">
        <v>0</v>
      </c>
      <c r="AG296">
        <v>1</v>
      </c>
      <c r="AJ296">
        <v>1</v>
      </c>
      <c r="AK296">
        <v>0</v>
      </c>
      <c r="AL296">
        <v>1</v>
      </c>
      <c r="AM296">
        <v>0</v>
      </c>
      <c r="AN296">
        <v>0</v>
      </c>
      <c r="AO296">
        <v>1</v>
      </c>
      <c r="AP296">
        <v>1</v>
      </c>
      <c r="AQ296">
        <v>1</v>
      </c>
      <c r="AR296">
        <v>1</v>
      </c>
      <c r="AS296">
        <v>0</v>
      </c>
      <c r="AT296">
        <v>0</v>
      </c>
      <c r="AV296">
        <v>1</v>
      </c>
      <c r="AW296">
        <v>1</v>
      </c>
    </row>
    <row r="297" spans="1:49" x14ac:dyDescent="0.25">
      <c r="A297" t="str">
        <f>"293"</f>
        <v>293</v>
      </c>
      <c r="B297" t="str">
        <f t="shared" si="16"/>
        <v>1</v>
      </c>
      <c r="C297" t="str">
        <f t="shared" si="15"/>
        <v>12</v>
      </c>
      <c r="D297" t="str">
        <f>"14"</f>
        <v>14</v>
      </c>
      <c r="E297" t="str">
        <f>"1-12-14"</f>
        <v>1-12-14</v>
      </c>
      <c r="F297" t="s">
        <v>83</v>
      </c>
      <c r="G297" t="s">
        <v>86</v>
      </c>
      <c r="H297" t="s">
        <v>87</v>
      </c>
      <c r="AC297">
        <v>0</v>
      </c>
      <c r="AD297">
        <v>1</v>
      </c>
      <c r="AE297">
        <v>0</v>
      </c>
      <c r="AF297">
        <v>0</v>
      </c>
      <c r="AH297">
        <v>0</v>
      </c>
      <c r="AI297">
        <v>1</v>
      </c>
      <c r="AJ297">
        <v>0</v>
      </c>
      <c r="AK297">
        <v>1</v>
      </c>
      <c r="AL297">
        <v>0</v>
      </c>
      <c r="AM297">
        <v>1</v>
      </c>
      <c r="AN297">
        <v>0</v>
      </c>
      <c r="AO297">
        <v>1</v>
      </c>
      <c r="AP297">
        <v>0</v>
      </c>
      <c r="AQ297">
        <v>1</v>
      </c>
      <c r="AU297">
        <v>1</v>
      </c>
      <c r="AV297">
        <v>1</v>
      </c>
      <c r="AW297">
        <v>1</v>
      </c>
    </row>
    <row r="298" spans="1:49" x14ac:dyDescent="0.25">
      <c r="A298" t="str">
        <f>"294"</f>
        <v>294</v>
      </c>
      <c r="B298" t="str">
        <f t="shared" si="16"/>
        <v>1</v>
      </c>
      <c r="C298" t="str">
        <f t="shared" si="15"/>
        <v>12</v>
      </c>
      <c r="D298" t="str">
        <f>"2"</f>
        <v>2</v>
      </c>
      <c r="E298" t="str">
        <f>"1-12-2"</f>
        <v>1-12-2</v>
      </c>
      <c r="F298" t="s">
        <v>83</v>
      </c>
      <c r="G298" t="s">
        <v>86</v>
      </c>
      <c r="H298" t="s">
        <v>87</v>
      </c>
      <c r="AC298">
        <v>0</v>
      </c>
      <c r="AD298">
        <v>1</v>
      </c>
      <c r="AE298">
        <v>0</v>
      </c>
      <c r="AF298">
        <v>0</v>
      </c>
      <c r="AH298">
        <v>0</v>
      </c>
      <c r="AI298">
        <v>1</v>
      </c>
      <c r="AJ298">
        <v>0</v>
      </c>
      <c r="AK298">
        <v>1</v>
      </c>
      <c r="AL298">
        <v>0</v>
      </c>
      <c r="AM298">
        <v>0</v>
      </c>
      <c r="AN298">
        <v>1</v>
      </c>
      <c r="AO298">
        <v>0</v>
      </c>
      <c r="AP298">
        <v>0</v>
      </c>
      <c r="AQ298">
        <v>0</v>
      </c>
      <c r="AU298">
        <v>0</v>
      </c>
      <c r="AV298">
        <v>0</v>
      </c>
      <c r="AW298">
        <v>0</v>
      </c>
    </row>
    <row r="299" spans="1:49" x14ac:dyDescent="0.25">
      <c r="A299" t="str">
        <f>"295"</f>
        <v>295</v>
      </c>
      <c r="B299" t="str">
        <f t="shared" si="16"/>
        <v>1</v>
      </c>
      <c r="C299" t="str">
        <f t="shared" si="15"/>
        <v>12</v>
      </c>
      <c r="D299" t="str">
        <f>"22"</f>
        <v>22</v>
      </c>
      <c r="E299" t="str">
        <f>"1-12-22"</f>
        <v>1-12-22</v>
      </c>
      <c r="F299" t="s">
        <v>83</v>
      </c>
      <c r="G299" t="s">
        <v>86</v>
      </c>
      <c r="H299" t="s">
        <v>87</v>
      </c>
      <c r="AC299">
        <v>0</v>
      </c>
      <c r="AD299">
        <v>1</v>
      </c>
      <c r="AE299">
        <v>0</v>
      </c>
      <c r="AF299">
        <v>0</v>
      </c>
      <c r="AH299">
        <v>0</v>
      </c>
      <c r="AI299">
        <v>1</v>
      </c>
      <c r="AJ299">
        <v>0</v>
      </c>
      <c r="AK299">
        <v>0</v>
      </c>
      <c r="AL299">
        <v>0</v>
      </c>
      <c r="AM299">
        <v>1</v>
      </c>
      <c r="AN299">
        <v>0</v>
      </c>
      <c r="AO299">
        <v>0</v>
      </c>
      <c r="AP299">
        <v>0</v>
      </c>
      <c r="AQ299">
        <v>0</v>
      </c>
      <c r="AU299">
        <v>0</v>
      </c>
      <c r="AV299">
        <v>0</v>
      </c>
      <c r="AW299">
        <v>0</v>
      </c>
    </row>
    <row r="300" spans="1:49" x14ac:dyDescent="0.25">
      <c r="A300" t="str">
        <f>"296"</f>
        <v>296</v>
      </c>
      <c r="B300" t="str">
        <f t="shared" si="16"/>
        <v>1</v>
      </c>
      <c r="C300" t="str">
        <f t="shared" si="15"/>
        <v>12</v>
      </c>
      <c r="D300" t="str">
        <f>"15"</f>
        <v>15</v>
      </c>
      <c r="E300" t="str">
        <f>"1-12-15"</f>
        <v>1-12-15</v>
      </c>
      <c r="F300" t="s">
        <v>83</v>
      </c>
      <c r="G300" t="s">
        <v>86</v>
      </c>
      <c r="H300" t="s">
        <v>87</v>
      </c>
      <c r="AC300">
        <v>1</v>
      </c>
      <c r="AD300">
        <v>0</v>
      </c>
      <c r="AE300">
        <v>0</v>
      </c>
      <c r="AF300">
        <v>0</v>
      </c>
      <c r="AH300">
        <v>0</v>
      </c>
      <c r="AI300">
        <v>1</v>
      </c>
      <c r="AJ300">
        <v>0</v>
      </c>
      <c r="AK300">
        <v>1</v>
      </c>
      <c r="AL300">
        <v>0</v>
      </c>
      <c r="AM300">
        <v>0</v>
      </c>
      <c r="AN300">
        <v>1</v>
      </c>
      <c r="AO300">
        <v>0</v>
      </c>
      <c r="AP300">
        <v>0</v>
      </c>
      <c r="AQ300">
        <v>0</v>
      </c>
      <c r="AU300">
        <v>0</v>
      </c>
      <c r="AV300">
        <v>0</v>
      </c>
      <c r="AW300">
        <v>0</v>
      </c>
    </row>
    <row r="301" spans="1:49" x14ac:dyDescent="0.25">
      <c r="A301" t="str">
        <f>"297"</f>
        <v>297</v>
      </c>
      <c r="B301" t="str">
        <f t="shared" si="16"/>
        <v>1</v>
      </c>
      <c r="C301" t="str">
        <f t="shared" si="15"/>
        <v>12</v>
      </c>
      <c r="D301" t="str">
        <f>"6"</f>
        <v>6</v>
      </c>
      <c r="E301" t="str">
        <f>"1-12-6"</f>
        <v>1-12-6</v>
      </c>
      <c r="F301" t="s">
        <v>83</v>
      </c>
      <c r="G301" t="s">
        <v>86</v>
      </c>
      <c r="H301" t="s">
        <v>87</v>
      </c>
      <c r="AC301">
        <v>0</v>
      </c>
      <c r="AD301">
        <v>1</v>
      </c>
      <c r="AE301">
        <v>0</v>
      </c>
      <c r="AF301">
        <v>0</v>
      </c>
      <c r="AH301">
        <v>0</v>
      </c>
      <c r="AI301">
        <v>1</v>
      </c>
      <c r="AJ301">
        <v>0</v>
      </c>
      <c r="AK301">
        <v>1</v>
      </c>
      <c r="AL301">
        <v>0</v>
      </c>
      <c r="AM301">
        <v>0</v>
      </c>
      <c r="AN301">
        <v>1</v>
      </c>
      <c r="AO301">
        <v>0</v>
      </c>
      <c r="AP301">
        <v>0</v>
      </c>
      <c r="AQ301">
        <v>0</v>
      </c>
      <c r="AU301">
        <v>0</v>
      </c>
      <c r="AV301">
        <v>0</v>
      </c>
      <c r="AW301">
        <v>0</v>
      </c>
    </row>
    <row r="302" spans="1:49" x14ac:dyDescent="0.25">
      <c r="A302" t="str">
        <f>"298"</f>
        <v>298</v>
      </c>
      <c r="B302" t="str">
        <f t="shared" si="16"/>
        <v>1</v>
      </c>
      <c r="C302" t="str">
        <f t="shared" ref="C302:C325" si="17">"13"</f>
        <v>13</v>
      </c>
      <c r="D302" t="str">
        <f>"24"</f>
        <v>24</v>
      </c>
      <c r="E302" t="str">
        <f>"1-13-24"</f>
        <v>1-13-24</v>
      </c>
      <c r="F302" t="s">
        <v>83</v>
      </c>
      <c r="G302" t="s">
        <v>84</v>
      </c>
      <c r="H302" t="s">
        <v>92</v>
      </c>
      <c r="I302">
        <v>1</v>
      </c>
      <c r="J302">
        <v>1</v>
      </c>
      <c r="N302">
        <v>1</v>
      </c>
      <c r="O302">
        <v>1</v>
      </c>
      <c r="P302">
        <v>1</v>
      </c>
      <c r="Q302">
        <v>1</v>
      </c>
      <c r="R302">
        <v>1</v>
      </c>
      <c r="S302">
        <v>1</v>
      </c>
      <c r="T302">
        <v>1</v>
      </c>
      <c r="W302">
        <v>1</v>
      </c>
      <c r="X302">
        <v>1</v>
      </c>
      <c r="Y302">
        <v>1</v>
      </c>
      <c r="Z302">
        <v>1</v>
      </c>
      <c r="AA302">
        <v>1</v>
      </c>
      <c r="AB302">
        <v>1</v>
      </c>
    </row>
    <row r="303" spans="1:49" x14ac:dyDescent="0.25">
      <c r="A303" t="str">
        <f>"299"</f>
        <v>299</v>
      </c>
      <c r="B303" t="str">
        <f t="shared" si="16"/>
        <v>1</v>
      </c>
      <c r="C303" t="str">
        <f t="shared" si="17"/>
        <v>13</v>
      </c>
      <c r="D303" t="str">
        <f>"17"</f>
        <v>17</v>
      </c>
      <c r="E303" t="str">
        <f>"1-13-17"</f>
        <v>1-13-17</v>
      </c>
      <c r="F303" t="s">
        <v>83</v>
      </c>
      <c r="G303" t="s">
        <v>84</v>
      </c>
      <c r="H303" t="s">
        <v>92</v>
      </c>
      <c r="I303">
        <v>1</v>
      </c>
      <c r="J303">
        <v>1</v>
      </c>
      <c r="N303">
        <v>1</v>
      </c>
      <c r="O303">
        <v>1</v>
      </c>
      <c r="P303">
        <v>1</v>
      </c>
      <c r="Q303">
        <v>1</v>
      </c>
      <c r="R303">
        <v>1</v>
      </c>
      <c r="S303">
        <v>1</v>
      </c>
      <c r="T303">
        <v>1</v>
      </c>
      <c r="W303">
        <v>1</v>
      </c>
      <c r="X303">
        <v>1</v>
      </c>
      <c r="Y303">
        <v>1</v>
      </c>
      <c r="Z303">
        <v>1</v>
      </c>
      <c r="AA303">
        <v>1</v>
      </c>
      <c r="AB303">
        <v>1</v>
      </c>
    </row>
    <row r="304" spans="1:49" x14ac:dyDescent="0.25">
      <c r="A304" t="str">
        <f>"300"</f>
        <v>300</v>
      </c>
      <c r="B304" t="str">
        <f t="shared" si="16"/>
        <v>1</v>
      </c>
      <c r="C304" t="str">
        <f t="shared" si="17"/>
        <v>13</v>
      </c>
      <c r="D304" t="str">
        <f>"16"</f>
        <v>16</v>
      </c>
      <c r="E304" t="str">
        <f>"1-13-16"</f>
        <v>1-13-16</v>
      </c>
      <c r="F304" t="s">
        <v>83</v>
      </c>
      <c r="G304" t="s">
        <v>84</v>
      </c>
      <c r="H304" t="s">
        <v>92</v>
      </c>
      <c r="I304">
        <v>1</v>
      </c>
      <c r="J304">
        <v>1</v>
      </c>
      <c r="N304">
        <v>1</v>
      </c>
      <c r="O304">
        <v>1</v>
      </c>
      <c r="P304">
        <v>1</v>
      </c>
      <c r="Q304">
        <v>1</v>
      </c>
      <c r="R304">
        <v>1</v>
      </c>
      <c r="S304">
        <v>1</v>
      </c>
      <c r="T304">
        <v>1</v>
      </c>
      <c r="W304">
        <v>1</v>
      </c>
      <c r="X304">
        <v>1</v>
      </c>
      <c r="Y304">
        <v>1</v>
      </c>
      <c r="Z304">
        <v>1</v>
      </c>
      <c r="AA304">
        <v>1</v>
      </c>
      <c r="AB304">
        <v>1</v>
      </c>
    </row>
    <row r="305" spans="1:28" x14ac:dyDescent="0.25">
      <c r="A305" t="str">
        <f>"301"</f>
        <v>301</v>
      </c>
      <c r="B305" t="str">
        <f t="shared" si="16"/>
        <v>1</v>
      </c>
      <c r="C305" t="str">
        <f t="shared" si="17"/>
        <v>13</v>
      </c>
      <c r="D305" t="str">
        <f>"11"</f>
        <v>11</v>
      </c>
      <c r="E305" t="str">
        <f>"1-13-11"</f>
        <v>1-13-11</v>
      </c>
      <c r="F305" t="s">
        <v>83</v>
      </c>
      <c r="G305" t="s">
        <v>84</v>
      </c>
      <c r="H305" t="s">
        <v>92</v>
      </c>
      <c r="I305">
        <v>1</v>
      </c>
      <c r="J305">
        <v>0</v>
      </c>
      <c r="N305">
        <v>1</v>
      </c>
      <c r="O305">
        <v>1</v>
      </c>
      <c r="P305">
        <v>1</v>
      </c>
      <c r="Q305">
        <v>1</v>
      </c>
      <c r="R305">
        <v>1</v>
      </c>
      <c r="S305">
        <v>1</v>
      </c>
      <c r="T305">
        <v>1</v>
      </c>
      <c r="W305">
        <v>1</v>
      </c>
      <c r="X305">
        <v>1</v>
      </c>
      <c r="Y305">
        <v>1</v>
      </c>
      <c r="Z305">
        <v>1</v>
      </c>
      <c r="AA305">
        <v>1</v>
      </c>
      <c r="AB305">
        <v>1</v>
      </c>
    </row>
    <row r="306" spans="1:28" x14ac:dyDescent="0.25">
      <c r="A306" t="str">
        <f>"302"</f>
        <v>302</v>
      </c>
      <c r="B306" t="str">
        <f t="shared" si="16"/>
        <v>1</v>
      </c>
      <c r="C306" t="str">
        <f t="shared" si="17"/>
        <v>13</v>
      </c>
      <c r="D306" t="str">
        <f>"8"</f>
        <v>8</v>
      </c>
      <c r="E306" t="str">
        <f>"1-13-8"</f>
        <v>1-13-8</v>
      </c>
      <c r="F306" t="s">
        <v>83</v>
      </c>
      <c r="G306" t="s">
        <v>84</v>
      </c>
      <c r="H306" t="s">
        <v>92</v>
      </c>
      <c r="I306">
        <v>1</v>
      </c>
      <c r="J306">
        <v>1</v>
      </c>
      <c r="N306">
        <v>1</v>
      </c>
      <c r="O306">
        <v>1</v>
      </c>
      <c r="P306">
        <v>1</v>
      </c>
      <c r="Q306">
        <v>1</v>
      </c>
      <c r="R306">
        <v>0</v>
      </c>
      <c r="S306">
        <v>1</v>
      </c>
      <c r="T306">
        <v>1</v>
      </c>
      <c r="W306">
        <v>1</v>
      </c>
      <c r="X306">
        <v>1</v>
      </c>
      <c r="Y306">
        <v>1</v>
      </c>
      <c r="Z306">
        <v>1</v>
      </c>
      <c r="AA306">
        <v>1</v>
      </c>
      <c r="AB306">
        <v>1</v>
      </c>
    </row>
    <row r="307" spans="1:28" x14ac:dyDescent="0.25">
      <c r="A307" t="str">
        <f>"303"</f>
        <v>303</v>
      </c>
      <c r="B307" t="str">
        <f t="shared" si="16"/>
        <v>1</v>
      </c>
      <c r="C307" t="str">
        <f t="shared" si="17"/>
        <v>13</v>
      </c>
      <c r="D307" t="str">
        <f>"1"</f>
        <v>1</v>
      </c>
      <c r="E307" t="str">
        <f>"1-13-1"</f>
        <v>1-13-1</v>
      </c>
      <c r="F307" t="s">
        <v>83</v>
      </c>
      <c r="G307" t="s">
        <v>84</v>
      </c>
      <c r="H307" t="s">
        <v>92</v>
      </c>
      <c r="I307">
        <v>1</v>
      </c>
      <c r="J307">
        <v>1</v>
      </c>
      <c r="N307">
        <v>1</v>
      </c>
      <c r="O307">
        <v>1</v>
      </c>
      <c r="P307">
        <v>1</v>
      </c>
      <c r="Q307">
        <v>1</v>
      </c>
      <c r="R307">
        <v>1</v>
      </c>
      <c r="S307">
        <v>1</v>
      </c>
      <c r="T307">
        <v>1</v>
      </c>
      <c r="W307">
        <v>1</v>
      </c>
      <c r="X307">
        <v>1</v>
      </c>
      <c r="Y307">
        <v>1</v>
      </c>
      <c r="Z307">
        <v>1</v>
      </c>
      <c r="AA307">
        <v>1</v>
      </c>
      <c r="AB307">
        <v>1</v>
      </c>
    </row>
    <row r="308" spans="1:28" x14ac:dyDescent="0.25">
      <c r="A308" t="str">
        <f>"304"</f>
        <v>304</v>
      </c>
      <c r="B308" t="str">
        <f t="shared" si="16"/>
        <v>1</v>
      </c>
      <c r="C308" t="str">
        <f t="shared" si="17"/>
        <v>13</v>
      </c>
      <c r="D308" t="str">
        <f>"18"</f>
        <v>18</v>
      </c>
      <c r="E308" t="str">
        <f>"1-13-18"</f>
        <v>1-13-18</v>
      </c>
      <c r="F308" t="s">
        <v>83</v>
      </c>
      <c r="G308" t="s">
        <v>84</v>
      </c>
      <c r="H308" t="s">
        <v>92</v>
      </c>
      <c r="I308">
        <v>1</v>
      </c>
      <c r="J308">
        <v>1</v>
      </c>
      <c r="N308">
        <v>1</v>
      </c>
      <c r="O308">
        <v>1</v>
      </c>
      <c r="P308">
        <v>1</v>
      </c>
      <c r="Q308">
        <v>1</v>
      </c>
      <c r="R308">
        <v>1</v>
      </c>
      <c r="S308">
        <v>1</v>
      </c>
      <c r="T308">
        <v>1</v>
      </c>
      <c r="W308">
        <v>1</v>
      </c>
      <c r="X308">
        <v>1</v>
      </c>
      <c r="Y308">
        <v>1</v>
      </c>
      <c r="Z308">
        <v>1</v>
      </c>
      <c r="AA308">
        <v>1</v>
      </c>
      <c r="AB308">
        <v>1</v>
      </c>
    </row>
    <row r="309" spans="1:28" x14ac:dyDescent="0.25">
      <c r="A309" t="str">
        <f>"305"</f>
        <v>305</v>
      </c>
      <c r="B309" t="str">
        <f t="shared" si="16"/>
        <v>1</v>
      </c>
      <c r="C309" t="str">
        <f t="shared" si="17"/>
        <v>13</v>
      </c>
      <c r="D309" t="str">
        <f>"9"</f>
        <v>9</v>
      </c>
      <c r="E309" t="str">
        <f>"1-13-9"</f>
        <v>1-13-9</v>
      </c>
      <c r="F309" t="s">
        <v>83</v>
      </c>
      <c r="G309" t="s">
        <v>84</v>
      </c>
      <c r="H309" t="s">
        <v>92</v>
      </c>
      <c r="I309">
        <v>1</v>
      </c>
      <c r="J309">
        <v>1</v>
      </c>
      <c r="N309">
        <v>1</v>
      </c>
      <c r="O309">
        <v>1</v>
      </c>
      <c r="P309">
        <v>1</v>
      </c>
      <c r="Q309">
        <v>1</v>
      </c>
      <c r="R309">
        <v>1</v>
      </c>
      <c r="S309">
        <v>1</v>
      </c>
      <c r="T309">
        <v>1</v>
      </c>
      <c r="W309">
        <v>1</v>
      </c>
      <c r="X309">
        <v>1</v>
      </c>
      <c r="Y309">
        <v>1</v>
      </c>
      <c r="Z309">
        <v>1</v>
      </c>
      <c r="AA309">
        <v>1</v>
      </c>
      <c r="AB309">
        <v>1</v>
      </c>
    </row>
    <row r="310" spans="1:28" x14ac:dyDescent="0.25">
      <c r="A310" t="str">
        <f>"306"</f>
        <v>306</v>
      </c>
      <c r="B310" t="str">
        <f t="shared" si="16"/>
        <v>1</v>
      </c>
      <c r="C310" t="str">
        <f t="shared" si="17"/>
        <v>13</v>
      </c>
      <c r="D310" t="str">
        <f>"2"</f>
        <v>2</v>
      </c>
      <c r="E310" t="str">
        <f>"1-13-2"</f>
        <v>1-13-2</v>
      </c>
      <c r="F310" t="s">
        <v>83</v>
      </c>
      <c r="G310" t="s">
        <v>84</v>
      </c>
      <c r="H310" t="s">
        <v>92</v>
      </c>
      <c r="I310">
        <v>1</v>
      </c>
      <c r="J310">
        <v>1</v>
      </c>
      <c r="N310">
        <v>1</v>
      </c>
      <c r="O310">
        <v>1</v>
      </c>
      <c r="P310">
        <v>1</v>
      </c>
      <c r="Q310">
        <v>1</v>
      </c>
      <c r="R310">
        <v>1</v>
      </c>
      <c r="S310">
        <v>1</v>
      </c>
      <c r="T310">
        <v>1</v>
      </c>
      <c r="W310">
        <v>1</v>
      </c>
      <c r="X310">
        <v>1</v>
      </c>
      <c r="Y310">
        <v>1</v>
      </c>
      <c r="Z310">
        <v>1</v>
      </c>
      <c r="AA310">
        <v>1</v>
      </c>
      <c r="AB310">
        <v>1</v>
      </c>
    </row>
    <row r="311" spans="1:28" x14ac:dyDescent="0.25">
      <c r="A311" t="str">
        <f>"307"</f>
        <v>307</v>
      </c>
      <c r="B311" t="str">
        <f t="shared" si="16"/>
        <v>1</v>
      </c>
      <c r="C311" t="str">
        <f t="shared" si="17"/>
        <v>13</v>
      </c>
      <c r="D311" t="str">
        <f>"19"</f>
        <v>19</v>
      </c>
      <c r="E311" t="str">
        <f>"1-13-19"</f>
        <v>1-13-19</v>
      </c>
      <c r="F311" t="s">
        <v>83</v>
      </c>
      <c r="G311" t="s">
        <v>84</v>
      </c>
      <c r="H311" t="s">
        <v>92</v>
      </c>
      <c r="I311">
        <v>1</v>
      </c>
      <c r="J311">
        <v>1</v>
      </c>
      <c r="N311">
        <v>1</v>
      </c>
      <c r="O311">
        <v>1</v>
      </c>
      <c r="P311">
        <v>1</v>
      </c>
      <c r="Q311">
        <v>1</v>
      </c>
      <c r="R311">
        <v>1</v>
      </c>
      <c r="S311">
        <v>1</v>
      </c>
      <c r="T311">
        <v>1</v>
      </c>
      <c r="W311">
        <v>1</v>
      </c>
      <c r="X311">
        <v>1</v>
      </c>
      <c r="Y311">
        <v>1</v>
      </c>
      <c r="Z311">
        <v>1</v>
      </c>
      <c r="AA311">
        <v>1</v>
      </c>
      <c r="AB311">
        <v>1</v>
      </c>
    </row>
    <row r="312" spans="1:28" x14ac:dyDescent="0.25">
      <c r="A312" t="str">
        <f>"308"</f>
        <v>308</v>
      </c>
      <c r="B312" t="str">
        <f t="shared" si="16"/>
        <v>1</v>
      </c>
      <c r="C312" t="str">
        <f t="shared" si="17"/>
        <v>13</v>
      </c>
      <c r="D312" t="str">
        <f>"10"</f>
        <v>10</v>
      </c>
      <c r="E312" t="str">
        <f>"1-13-10"</f>
        <v>1-13-10</v>
      </c>
      <c r="F312" t="s">
        <v>83</v>
      </c>
      <c r="G312" t="s">
        <v>84</v>
      </c>
      <c r="H312" t="s">
        <v>92</v>
      </c>
      <c r="I312">
        <v>1</v>
      </c>
      <c r="J312">
        <v>1</v>
      </c>
      <c r="N312">
        <v>1</v>
      </c>
      <c r="O312">
        <v>1</v>
      </c>
      <c r="P312">
        <v>1</v>
      </c>
      <c r="Q312">
        <v>1</v>
      </c>
      <c r="R312">
        <v>1</v>
      </c>
      <c r="S312">
        <v>1</v>
      </c>
      <c r="T312">
        <v>1</v>
      </c>
      <c r="W312">
        <v>1</v>
      </c>
      <c r="X312">
        <v>1</v>
      </c>
      <c r="Y312">
        <v>1</v>
      </c>
      <c r="Z312">
        <v>1</v>
      </c>
      <c r="AA312">
        <v>1</v>
      </c>
      <c r="AB312">
        <v>1</v>
      </c>
    </row>
    <row r="313" spans="1:28" x14ac:dyDescent="0.25">
      <c r="A313" t="str">
        <f>"309"</f>
        <v>309</v>
      </c>
      <c r="B313" t="str">
        <f t="shared" si="16"/>
        <v>1</v>
      </c>
      <c r="C313" t="str">
        <f t="shared" si="17"/>
        <v>13</v>
      </c>
      <c r="D313" t="str">
        <f>"5"</f>
        <v>5</v>
      </c>
      <c r="E313" t="str">
        <f>"1-13-5"</f>
        <v>1-13-5</v>
      </c>
      <c r="F313" t="s">
        <v>83</v>
      </c>
      <c r="G313" t="s">
        <v>84</v>
      </c>
      <c r="H313" t="s">
        <v>92</v>
      </c>
      <c r="I313">
        <v>1</v>
      </c>
      <c r="J313">
        <v>1</v>
      </c>
      <c r="N313">
        <v>1</v>
      </c>
      <c r="O313">
        <v>1</v>
      </c>
      <c r="P313">
        <v>1</v>
      </c>
      <c r="Q313">
        <v>1</v>
      </c>
      <c r="R313">
        <v>1</v>
      </c>
      <c r="S313">
        <v>1</v>
      </c>
      <c r="T313">
        <v>1</v>
      </c>
      <c r="W313">
        <v>1</v>
      </c>
      <c r="X313">
        <v>1</v>
      </c>
      <c r="Y313">
        <v>1</v>
      </c>
      <c r="Z313">
        <v>1</v>
      </c>
      <c r="AA313">
        <v>1</v>
      </c>
      <c r="AB313">
        <v>1</v>
      </c>
    </row>
    <row r="314" spans="1:28" x14ac:dyDescent="0.25">
      <c r="A314" t="str">
        <f>"310"</f>
        <v>310</v>
      </c>
      <c r="B314" t="str">
        <f t="shared" si="16"/>
        <v>1</v>
      </c>
      <c r="C314" t="str">
        <f t="shared" si="17"/>
        <v>13</v>
      </c>
      <c r="D314" t="str">
        <f>"20"</f>
        <v>20</v>
      </c>
      <c r="E314" t="str">
        <f>"1-13-20"</f>
        <v>1-13-20</v>
      </c>
      <c r="F314" t="s">
        <v>83</v>
      </c>
      <c r="G314" t="s">
        <v>84</v>
      </c>
      <c r="H314" t="s">
        <v>92</v>
      </c>
      <c r="I314">
        <v>1</v>
      </c>
      <c r="J314">
        <v>1</v>
      </c>
      <c r="N314">
        <v>1</v>
      </c>
      <c r="O314">
        <v>1</v>
      </c>
      <c r="P314">
        <v>1</v>
      </c>
      <c r="Q314">
        <v>1</v>
      </c>
      <c r="R314">
        <v>1</v>
      </c>
      <c r="S314">
        <v>1</v>
      </c>
      <c r="T314">
        <v>1</v>
      </c>
      <c r="W314">
        <v>1</v>
      </c>
      <c r="X314">
        <v>1</v>
      </c>
      <c r="Y314">
        <v>1</v>
      </c>
      <c r="Z314">
        <v>1</v>
      </c>
      <c r="AA314">
        <v>1</v>
      </c>
      <c r="AB314">
        <v>1</v>
      </c>
    </row>
    <row r="315" spans="1:28" x14ac:dyDescent="0.25">
      <c r="A315" t="str">
        <f>"311"</f>
        <v>311</v>
      </c>
      <c r="B315" t="str">
        <f t="shared" si="16"/>
        <v>1</v>
      </c>
      <c r="C315" t="str">
        <f t="shared" si="17"/>
        <v>13</v>
      </c>
      <c r="D315" t="str">
        <f>"12"</f>
        <v>12</v>
      </c>
      <c r="E315" t="str">
        <f>"1-13-12"</f>
        <v>1-13-12</v>
      </c>
      <c r="F315" t="s">
        <v>83</v>
      </c>
      <c r="G315" t="s">
        <v>84</v>
      </c>
      <c r="H315" t="s">
        <v>92</v>
      </c>
      <c r="I315">
        <v>1</v>
      </c>
      <c r="J315">
        <v>1</v>
      </c>
      <c r="N315">
        <v>1</v>
      </c>
      <c r="O315">
        <v>1</v>
      </c>
      <c r="P315">
        <v>1</v>
      </c>
      <c r="Q315">
        <v>1</v>
      </c>
      <c r="R315">
        <v>1</v>
      </c>
      <c r="S315">
        <v>1</v>
      </c>
      <c r="T315">
        <v>1</v>
      </c>
      <c r="W315">
        <v>1</v>
      </c>
      <c r="X315">
        <v>1</v>
      </c>
      <c r="Y315">
        <v>1</v>
      </c>
      <c r="Z315">
        <v>1</v>
      </c>
      <c r="AA315">
        <v>1</v>
      </c>
      <c r="AB315">
        <v>1</v>
      </c>
    </row>
    <row r="316" spans="1:28" x14ac:dyDescent="0.25">
      <c r="A316" t="str">
        <f>"312"</f>
        <v>312</v>
      </c>
      <c r="B316" t="str">
        <f t="shared" si="16"/>
        <v>1</v>
      </c>
      <c r="C316" t="str">
        <f t="shared" si="17"/>
        <v>13</v>
      </c>
      <c r="D316" t="str">
        <f>"6"</f>
        <v>6</v>
      </c>
      <c r="E316" t="str">
        <f>"1-13-6"</f>
        <v>1-13-6</v>
      </c>
      <c r="F316" t="s">
        <v>83</v>
      </c>
      <c r="G316" t="s">
        <v>84</v>
      </c>
      <c r="H316" t="s">
        <v>92</v>
      </c>
      <c r="I316">
        <v>1</v>
      </c>
      <c r="J316">
        <v>1</v>
      </c>
      <c r="N316">
        <v>1</v>
      </c>
      <c r="O316">
        <v>0</v>
      </c>
      <c r="P316">
        <v>0</v>
      </c>
      <c r="Q316">
        <v>0</v>
      </c>
      <c r="R316">
        <v>0</v>
      </c>
      <c r="S316">
        <v>1</v>
      </c>
      <c r="T316">
        <v>0</v>
      </c>
      <c r="W316">
        <v>1</v>
      </c>
      <c r="X316">
        <v>1</v>
      </c>
      <c r="Y316">
        <v>1</v>
      </c>
      <c r="Z316">
        <v>0</v>
      </c>
      <c r="AA316">
        <v>0</v>
      </c>
      <c r="AB316">
        <v>0</v>
      </c>
    </row>
    <row r="317" spans="1:28" x14ac:dyDescent="0.25">
      <c r="A317" t="str">
        <f>"313"</f>
        <v>313</v>
      </c>
      <c r="B317" t="str">
        <f t="shared" si="16"/>
        <v>1</v>
      </c>
      <c r="C317" t="str">
        <f t="shared" si="17"/>
        <v>13</v>
      </c>
      <c r="D317" t="str">
        <f>"22"</f>
        <v>22</v>
      </c>
      <c r="E317" t="str">
        <f>"1-13-22"</f>
        <v>1-13-22</v>
      </c>
      <c r="F317" t="s">
        <v>83</v>
      </c>
      <c r="G317" t="s">
        <v>84</v>
      </c>
      <c r="H317" t="s">
        <v>92</v>
      </c>
      <c r="I317">
        <v>1</v>
      </c>
      <c r="J317">
        <v>1</v>
      </c>
      <c r="N317">
        <v>1</v>
      </c>
      <c r="O317">
        <v>1</v>
      </c>
      <c r="P317">
        <v>1</v>
      </c>
      <c r="Q317">
        <v>1</v>
      </c>
      <c r="R317">
        <v>1</v>
      </c>
      <c r="S317">
        <v>1</v>
      </c>
      <c r="T317">
        <v>1</v>
      </c>
      <c r="W317">
        <v>1</v>
      </c>
      <c r="X317">
        <v>1</v>
      </c>
      <c r="Y317">
        <v>1</v>
      </c>
      <c r="Z317">
        <v>1</v>
      </c>
      <c r="AA317">
        <v>1</v>
      </c>
      <c r="AB317">
        <v>1</v>
      </c>
    </row>
    <row r="318" spans="1:28" x14ac:dyDescent="0.25">
      <c r="A318" t="str">
        <f>"314"</f>
        <v>314</v>
      </c>
      <c r="B318" t="str">
        <f t="shared" si="16"/>
        <v>1</v>
      </c>
      <c r="C318" t="str">
        <f t="shared" si="17"/>
        <v>13</v>
      </c>
      <c r="D318" t="str">
        <f>"13"</f>
        <v>13</v>
      </c>
      <c r="E318" t="str">
        <f>"1-13-13"</f>
        <v>1-13-13</v>
      </c>
      <c r="F318" t="s">
        <v>83</v>
      </c>
      <c r="G318" t="s">
        <v>84</v>
      </c>
      <c r="H318" t="s">
        <v>92</v>
      </c>
      <c r="I318">
        <v>1</v>
      </c>
      <c r="J318">
        <v>0</v>
      </c>
      <c r="N318">
        <v>1</v>
      </c>
      <c r="O318">
        <v>0</v>
      </c>
      <c r="P318">
        <v>0</v>
      </c>
      <c r="Q318">
        <v>0</v>
      </c>
      <c r="R318">
        <v>0</v>
      </c>
      <c r="S318">
        <v>1</v>
      </c>
      <c r="T318">
        <v>1</v>
      </c>
      <c r="W318">
        <v>1</v>
      </c>
      <c r="X318">
        <v>1</v>
      </c>
      <c r="Y318">
        <v>1</v>
      </c>
      <c r="Z318">
        <v>1</v>
      </c>
      <c r="AA318">
        <v>0</v>
      </c>
      <c r="AB318">
        <v>1</v>
      </c>
    </row>
    <row r="319" spans="1:28" x14ac:dyDescent="0.25">
      <c r="A319" t="str">
        <f>"315"</f>
        <v>315</v>
      </c>
      <c r="B319" t="str">
        <f t="shared" si="16"/>
        <v>1</v>
      </c>
      <c r="C319" t="str">
        <f t="shared" si="17"/>
        <v>13</v>
      </c>
      <c r="D319" t="str">
        <f>"7"</f>
        <v>7</v>
      </c>
      <c r="E319" t="str">
        <f>"1-13-7"</f>
        <v>1-13-7</v>
      </c>
      <c r="F319" t="s">
        <v>83</v>
      </c>
      <c r="G319" t="s">
        <v>84</v>
      </c>
      <c r="H319" t="s">
        <v>92</v>
      </c>
      <c r="I319">
        <v>1</v>
      </c>
      <c r="J319">
        <v>0</v>
      </c>
      <c r="N319">
        <v>1</v>
      </c>
      <c r="O319">
        <v>0</v>
      </c>
      <c r="P319">
        <v>0</v>
      </c>
      <c r="Q319">
        <v>0</v>
      </c>
      <c r="R319">
        <v>0</v>
      </c>
      <c r="S319">
        <v>1</v>
      </c>
      <c r="T319">
        <v>0</v>
      </c>
      <c r="W319">
        <v>1</v>
      </c>
      <c r="X319">
        <v>0</v>
      </c>
      <c r="Y319">
        <v>0</v>
      </c>
      <c r="Z319">
        <v>0</v>
      </c>
      <c r="AA319">
        <v>0</v>
      </c>
      <c r="AB319">
        <v>0</v>
      </c>
    </row>
    <row r="320" spans="1:28" x14ac:dyDescent="0.25">
      <c r="A320" t="str">
        <f>"316"</f>
        <v>316</v>
      </c>
      <c r="B320" t="str">
        <f t="shared" si="16"/>
        <v>1</v>
      </c>
      <c r="C320" t="str">
        <f t="shared" si="17"/>
        <v>13</v>
      </c>
      <c r="D320" t="str">
        <f>"21"</f>
        <v>21</v>
      </c>
      <c r="E320" t="str">
        <f>"1-13-21"</f>
        <v>1-13-21</v>
      </c>
      <c r="F320" t="s">
        <v>83</v>
      </c>
      <c r="G320" t="s">
        <v>84</v>
      </c>
      <c r="H320" t="s">
        <v>92</v>
      </c>
      <c r="I320">
        <v>1</v>
      </c>
      <c r="J320">
        <v>1</v>
      </c>
      <c r="N320">
        <v>1</v>
      </c>
      <c r="O320">
        <v>1</v>
      </c>
      <c r="P320">
        <v>1</v>
      </c>
      <c r="Q320">
        <v>1</v>
      </c>
      <c r="R320">
        <v>1</v>
      </c>
      <c r="S320">
        <v>1</v>
      </c>
      <c r="T320">
        <v>1</v>
      </c>
      <c r="W320">
        <v>1</v>
      </c>
      <c r="X320">
        <v>1</v>
      </c>
      <c r="Y320">
        <v>1</v>
      </c>
      <c r="Z320">
        <v>1</v>
      </c>
      <c r="AA320">
        <v>1</v>
      </c>
      <c r="AB320">
        <v>1</v>
      </c>
    </row>
    <row r="321" spans="1:28" x14ac:dyDescent="0.25">
      <c r="A321" t="str">
        <f>"317"</f>
        <v>317</v>
      </c>
      <c r="B321" t="str">
        <f t="shared" si="16"/>
        <v>1</v>
      </c>
      <c r="C321" t="str">
        <f t="shared" si="17"/>
        <v>13</v>
      </c>
      <c r="D321" t="str">
        <f>"14"</f>
        <v>14</v>
      </c>
      <c r="E321" t="str">
        <f>"1-13-14"</f>
        <v>1-13-14</v>
      </c>
      <c r="F321" t="s">
        <v>83</v>
      </c>
      <c r="G321" t="s">
        <v>84</v>
      </c>
      <c r="H321" t="s">
        <v>92</v>
      </c>
      <c r="I321">
        <v>1</v>
      </c>
      <c r="J321">
        <v>1</v>
      </c>
      <c r="N321">
        <v>1</v>
      </c>
      <c r="O321">
        <v>1</v>
      </c>
      <c r="P321">
        <v>1</v>
      </c>
      <c r="Q321">
        <v>1</v>
      </c>
      <c r="R321">
        <v>1</v>
      </c>
      <c r="S321">
        <v>1</v>
      </c>
      <c r="T321">
        <v>1</v>
      </c>
      <c r="W321">
        <v>1</v>
      </c>
      <c r="X321">
        <v>1</v>
      </c>
      <c r="Y321">
        <v>1</v>
      </c>
      <c r="Z321">
        <v>1</v>
      </c>
      <c r="AA321">
        <v>1</v>
      </c>
      <c r="AB321">
        <v>1</v>
      </c>
    </row>
    <row r="322" spans="1:28" x14ac:dyDescent="0.25">
      <c r="A322" t="str">
        <f>"318"</f>
        <v>318</v>
      </c>
      <c r="B322" t="str">
        <f t="shared" si="16"/>
        <v>1</v>
      </c>
      <c r="C322" t="str">
        <f t="shared" si="17"/>
        <v>13</v>
      </c>
      <c r="D322" t="str">
        <f>"4"</f>
        <v>4</v>
      </c>
      <c r="E322" t="str">
        <f>"1-13-4"</f>
        <v>1-13-4</v>
      </c>
      <c r="F322" t="s">
        <v>83</v>
      </c>
      <c r="G322" t="s">
        <v>84</v>
      </c>
      <c r="H322" t="s">
        <v>92</v>
      </c>
      <c r="I322">
        <v>0</v>
      </c>
      <c r="J322">
        <v>1</v>
      </c>
      <c r="N322">
        <v>1</v>
      </c>
      <c r="O322">
        <v>1</v>
      </c>
      <c r="P322">
        <v>1</v>
      </c>
      <c r="Q322">
        <v>1</v>
      </c>
      <c r="R322">
        <v>1</v>
      </c>
      <c r="S322">
        <v>1</v>
      </c>
      <c r="T322">
        <v>1</v>
      </c>
      <c r="W322">
        <v>1</v>
      </c>
      <c r="X322">
        <v>1</v>
      </c>
      <c r="Y322">
        <v>1</v>
      </c>
      <c r="Z322">
        <v>1</v>
      </c>
      <c r="AA322">
        <v>1</v>
      </c>
      <c r="AB322">
        <v>1</v>
      </c>
    </row>
    <row r="323" spans="1:28" x14ac:dyDescent="0.25">
      <c r="A323" t="str">
        <f>"319"</f>
        <v>319</v>
      </c>
      <c r="B323" t="str">
        <f t="shared" si="16"/>
        <v>1</v>
      </c>
      <c r="C323" t="str">
        <f t="shared" si="17"/>
        <v>13</v>
      </c>
      <c r="D323" t="str">
        <f>"23"</f>
        <v>23</v>
      </c>
      <c r="E323" t="str">
        <f>"1-13-23"</f>
        <v>1-13-23</v>
      </c>
      <c r="F323" t="s">
        <v>83</v>
      </c>
      <c r="G323" t="s">
        <v>84</v>
      </c>
      <c r="H323" t="s">
        <v>92</v>
      </c>
      <c r="I323">
        <v>1</v>
      </c>
      <c r="J323">
        <v>1</v>
      </c>
      <c r="N323">
        <v>1</v>
      </c>
      <c r="O323">
        <v>1</v>
      </c>
      <c r="P323">
        <v>1</v>
      </c>
      <c r="Q323">
        <v>1</v>
      </c>
      <c r="R323">
        <v>1</v>
      </c>
      <c r="S323">
        <v>1</v>
      </c>
      <c r="T323">
        <v>1</v>
      </c>
      <c r="W323">
        <v>1</v>
      </c>
      <c r="X323">
        <v>1</v>
      </c>
      <c r="Y323">
        <v>1</v>
      </c>
      <c r="Z323">
        <v>1</v>
      </c>
      <c r="AA323">
        <v>1</v>
      </c>
      <c r="AB323">
        <v>1</v>
      </c>
    </row>
    <row r="324" spans="1:28" x14ac:dyDescent="0.25">
      <c r="A324" t="str">
        <f>"320"</f>
        <v>320</v>
      </c>
      <c r="B324" t="str">
        <f t="shared" si="16"/>
        <v>1</v>
      </c>
      <c r="C324" t="str">
        <f t="shared" si="17"/>
        <v>13</v>
      </c>
      <c r="D324" t="str">
        <f>"15"</f>
        <v>15</v>
      </c>
      <c r="E324" t="str">
        <f>"1-13-15"</f>
        <v>1-13-15</v>
      </c>
      <c r="F324" t="s">
        <v>83</v>
      </c>
      <c r="G324" t="s">
        <v>84</v>
      </c>
      <c r="H324" t="s">
        <v>92</v>
      </c>
      <c r="I324">
        <v>1</v>
      </c>
      <c r="J324">
        <v>1</v>
      </c>
      <c r="N324">
        <v>1</v>
      </c>
      <c r="O324">
        <v>1</v>
      </c>
      <c r="P324">
        <v>1</v>
      </c>
      <c r="Q324">
        <v>1</v>
      </c>
      <c r="R324">
        <v>1</v>
      </c>
      <c r="S324">
        <v>1</v>
      </c>
      <c r="T324">
        <v>1</v>
      </c>
      <c r="W324">
        <v>1</v>
      </c>
      <c r="X324">
        <v>1</v>
      </c>
      <c r="Y324">
        <v>1</v>
      </c>
      <c r="Z324">
        <v>1</v>
      </c>
      <c r="AA324">
        <v>1</v>
      </c>
      <c r="AB324">
        <v>1</v>
      </c>
    </row>
    <row r="325" spans="1:28" x14ac:dyDescent="0.25">
      <c r="A325" t="str">
        <f>"321"</f>
        <v>321</v>
      </c>
      <c r="B325" t="str">
        <f t="shared" si="16"/>
        <v>1</v>
      </c>
      <c r="C325" t="str">
        <f t="shared" si="17"/>
        <v>13</v>
      </c>
      <c r="D325" t="str">
        <f>"3"</f>
        <v>3</v>
      </c>
      <c r="E325" t="str">
        <f>"1-13-3"</f>
        <v>1-13-3</v>
      </c>
      <c r="F325" t="s">
        <v>83</v>
      </c>
      <c r="G325" t="s">
        <v>84</v>
      </c>
      <c r="H325" t="s">
        <v>92</v>
      </c>
      <c r="I325">
        <v>1</v>
      </c>
      <c r="J325">
        <v>1</v>
      </c>
      <c r="N325">
        <v>1</v>
      </c>
      <c r="O325">
        <v>1</v>
      </c>
      <c r="P325">
        <v>1</v>
      </c>
      <c r="Q325">
        <v>1</v>
      </c>
      <c r="R325">
        <v>1</v>
      </c>
      <c r="S325">
        <v>1</v>
      </c>
      <c r="T325">
        <v>1</v>
      </c>
      <c r="W325">
        <v>1</v>
      </c>
      <c r="X325">
        <v>1</v>
      </c>
      <c r="Y325">
        <v>1</v>
      </c>
      <c r="Z325">
        <v>1</v>
      </c>
      <c r="AA325">
        <v>1</v>
      </c>
      <c r="AB325">
        <v>1</v>
      </c>
    </row>
    <row r="326" spans="1:28" x14ac:dyDescent="0.25">
      <c r="A326" t="str">
        <f>"322"</f>
        <v>322</v>
      </c>
      <c r="B326" t="str">
        <f t="shared" si="16"/>
        <v>1</v>
      </c>
      <c r="C326" t="str">
        <f t="shared" ref="C326:C350" si="18">"14"</f>
        <v>14</v>
      </c>
      <c r="D326" t="str">
        <f>"17"</f>
        <v>17</v>
      </c>
      <c r="E326" t="str">
        <f>"1-14-17"</f>
        <v>1-14-17</v>
      </c>
      <c r="F326" t="s">
        <v>83</v>
      </c>
      <c r="G326" t="s">
        <v>84</v>
      </c>
      <c r="H326" t="s">
        <v>92</v>
      </c>
      <c r="I326">
        <v>0</v>
      </c>
      <c r="J326">
        <v>1</v>
      </c>
      <c r="N326">
        <v>1</v>
      </c>
      <c r="O326">
        <v>1</v>
      </c>
      <c r="P326">
        <v>1</v>
      </c>
      <c r="Q326">
        <v>0</v>
      </c>
      <c r="R326">
        <v>0</v>
      </c>
      <c r="S326">
        <v>1</v>
      </c>
      <c r="T326">
        <v>1</v>
      </c>
      <c r="W326">
        <v>1</v>
      </c>
      <c r="X326">
        <v>1</v>
      </c>
      <c r="Y326">
        <v>1</v>
      </c>
      <c r="Z326">
        <v>1</v>
      </c>
      <c r="AA326">
        <v>1</v>
      </c>
      <c r="AB326">
        <v>1</v>
      </c>
    </row>
    <row r="327" spans="1:28" x14ac:dyDescent="0.25">
      <c r="A327" t="str">
        <f>"323"</f>
        <v>323</v>
      </c>
      <c r="B327" t="str">
        <f t="shared" si="16"/>
        <v>1</v>
      </c>
      <c r="C327" t="str">
        <f t="shared" si="18"/>
        <v>14</v>
      </c>
      <c r="D327" t="str">
        <f>"16"</f>
        <v>16</v>
      </c>
      <c r="E327" t="str">
        <f>"1-14-16"</f>
        <v>1-14-16</v>
      </c>
      <c r="F327" t="s">
        <v>83</v>
      </c>
      <c r="G327" t="s">
        <v>84</v>
      </c>
      <c r="H327" t="s">
        <v>92</v>
      </c>
      <c r="I327">
        <v>1</v>
      </c>
      <c r="J327">
        <v>1</v>
      </c>
      <c r="N327">
        <v>1</v>
      </c>
      <c r="O327">
        <v>1</v>
      </c>
      <c r="P327">
        <v>1</v>
      </c>
      <c r="Q327">
        <v>1</v>
      </c>
      <c r="R327">
        <v>1</v>
      </c>
      <c r="S327">
        <v>1</v>
      </c>
      <c r="T327">
        <v>1</v>
      </c>
      <c r="W327">
        <v>1</v>
      </c>
      <c r="X327">
        <v>1</v>
      </c>
      <c r="Y327">
        <v>1</v>
      </c>
      <c r="Z327">
        <v>1</v>
      </c>
      <c r="AA327">
        <v>1</v>
      </c>
      <c r="AB327">
        <v>1</v>
      </c>
    </row>
    <row r="328" spans="1:28" x14ac:dyDescent="0.25">
      <c r="A328" t="str">
        <f>"324"</f>
        <v>324</v>
      </c>
      <c r="B328" t="str">
        <f t="shared" si="16"/>
        <v>1</v>
      </c>
      <c r="C328" t="str">
        <f t="shared" si="18"/>
        <v>14</v>
      </c>
      <c r="D328" t="str">
        <f>"15"</f>
        <v>15</v>
      </c>
      <c r="E328" t="str">
        <f>"1-14-15"</f>
        <v>1-14-15</v>
      </c>
      <c r="F328" t="s">
        <v>83</v>
      </c>
      <c r="G328" t="s">
        <v>84</v>
      </c>
      <c r="H328" t="s">
        <v>92</v>
      </c>
      <c r="I328">
        <v>1</v>
      </c>
      <c r="J328">
        <v>1</v>
      </c>
      <c r="N328">
        <v>1</v>
      </c>
      <c r="O328">
        <v>1</v>
      </c>
      <c r="P328">
        <v>1</v>
      </c>
      <c r="Q328">
        <v>1</v>
      </c>
      <c r="R328">
        <v>1</v>
      </c>
      <c r="S328">
        <v>1</v>
      </c>
      <c r="T328">
        <v>1</v>
      </c>
      <c r="W328">
        <v>1</v>
      </c>
      <c r="X328">
        <v>1</v>
      </c>
      <c r="Y328">
        <v>1</v>
      </c>
      <c r="Z328">
        <v>1</v>
      </c>
      <c r="AA328">
        <v>1</v>
      </c>
      <c r="AB328">
        <v>1</v>
      </c>
    </row>
    <row r="329" spans="1:28" x14ac:dyDescent="0.25">
      <c r="A329" t="str">
        <f>"325"</f>
        <v>325</v>
      </c>
      <c r="B329" t="str">
        <f t="shared" si="16"/>
        <v>1</v>
      </c>
      <c r="C329" t="str">
        <f t="shared" si="18"/>
        <v>14</v>
      </c>
      <c r="D329" t="str">
        <f>"8"</f>
        <v>8</v>
      </c>
      <c r="E329" t="str">
        <f>"1-14-8"</f>
        <v>1-14-8</v>
      </c>
      <c r="F329" t="s">
        <v>83</v>
      </c>
      <c r="G329" t="s">
        <v>84</v>
      </c>
      <c r="H329" t="s">
        <v>92</v>
      </c>
      <c r="I329">
        <v>1</v>
      </c>
      <c r="J329">
        <v>1</v>
      </c>
      <c r="N329">
        <v>1</v>
      </c>
      <c r="O329">
        <v>1</v>
      </c>
      <c r="P329">
        <v>1</v>
      </c>
      <c r="Q329">
        <v>1</v>
      </c>
      <c r="R329">
        <v>1</v>
      </c>
      <c r="S329">
        <v>1</v>
      </c>
      <c r="T329">
        <v>1</v>
      </c>
      <c r="W329">
        <v>1</v>
      </c>
      <c r="X329">
        <v>1</v>
      </c>
      <c r="Y329">
        <v>1</v>
      </c>
      <c r="Z329">
        <v>1</v>
      </c>
      <c r="AA329">
        <v>1</v>
      </c>
      <c r="AB329">
        <v>1</v>
      </c>
    </row>
    <row r="330" spans="1:28" x14ac:dyDescent="0.25">
      <c r="A330" t="str">
        <f>"326"</f>
        <v>326</v>
      </c>
      <c r="B330" t="str">
        <f t="shared" si="16"/>
        <v>1</v>
      </c>
      <c r="C330" t="str">
        <f t="shared" si="18"/>
        <v>14</v>
      </c>
      <c r="D330" t="str">
        <f>"3"</f>
        <v>3</v>
      </c>
      <c r="E330" t="str">
        <f>"1-14-3"</f>
        <v>1-14-3</v>
      </c>
      <c r="F330" t="s">
        <v>83</v>
      </c>
      <c r="G330" t="s">
        <v>84</v>
      </c>
      <c r="H330" t="s">
        <v>92</v>
      </c>
      <c r="I330">
        <v>1</v>
      </c>
      <c r="J330">
        <v>1</v>
      </c>
      <c r="N330">
        <v>1</v>
      </c>
      <c r="O330">
        <v>1</v>
      </c>
      <c r="P330">
        <v>1</v>
      </c>
      <c r="Q330">
        <v>1</v>
      </c>
      <c r="R330">
        <v>1</v>
      </c>
      <c r="S330">
        <v>1</v>
      </c>
      <c r="T330">
        <v>1</v>
      </c>
      <c r="W330">
        <v>1</v>
      </c>
      <c r="X330">
        <v>1</v>
      </c>
      <c r="Y330">
        <v>1</v>
      </c>
      <c r="Z330">
        <v>1</v>
      </c>
      <c r="AA330">
        <v>1</v>
      </c>
      <c r="AB330">
        <v>1</v>
      </c>
    </row>
    <row r="331" spans="1:28" x14ac:dyDescent="0.25">
      <c r="A331" t="str">
        <f>"327"</f>
        <v>327</v>
      </c>
      <c r="B331" t="str">
        <f t="shared" si="16"/>
        <v>1</v>
      </c>
      <c r="C331" t="str">
        <f t="shared" si="18"/>
        <v>14</v>
      </c>
      <c r="D331" t="str">
        <f>"25"</f>
        <v>25</v>
      </c>
      <c r="E331" t="str">
        <f>"1-14-25"</f>
        <v>1-14-25</v>
      </c>
      <c r="F331" t="s">
        <v>83</v>
      </c>
      <c r="G331" t="s">
        <v>84</v>
      </c>
      <c r="H331" t="s">
        <v>92</v>
      </c>
      <c r="I331">
        <v>1</v>
      </c>
      <c r="J331">
        <v>1</v>
      </c>
      <c r="N331">
        <v>1</v>
      </c>
      <c r="O331">
        <v>1</v>
      </c>
      <c r="P331">
        <v>1</v>
      </c>
      <c r="Q331">
        <v>1</v>
      </c>
      <c r="R331">
        <v>1</v>
      </c>
      <c r="S331">
        <v>1</v>
      </c>
      <c r="T331">
        <v>1</v>
      </c>
      <c r="W331">
        <v>1</v>
      </c>
      <c r="X331">
        <v>1</v>
      </c>
      <c r="Y331">
        <v>1</v>
      </c>
      <c r="Z331">
        <v>1</v>
      </c>
      <c r="AA331">
        <v>1</v>
      </c>
      <c r="AB331">
        <v>1</v>
      </c>
    </row>
    <row r="332" spans="1:28" x14ac:dyDescent="0.25">
      <c r="A332" t="str">
        <f>"328"</f>
        <v>328</v>
      </c>
      <c r="B332" t="str">
        <f t="shared" si="16"/>
        <v>1</v>
      </c>
      <c r="C332" t="str">
        <f t="shared" si="18"/>
        <v>14</v>
      </c>
      <c r="D332" t="str">
        <f>"24"</f>
        <v>24</v>
      </c>
      <c r="E332" t="str">
        <f>"1-14-24"</f>
        <v>1-14-24</v>
      </c>
      <c r="F332" t="s">
        <v>83</v>
      </c>
      <c r="G332" t="s">
        <v>86</v>
      </c>
      <c r="H332" t="s">
        <v>93</v>
      </c>
      <c r="I332">
        <v>1</v>
      </c>
      <c r="K332">
        <v>1</v>
      </c>
      <c r="L332">
        <v>0</v>
      </c>
      <c r="M332">
        <v>0</v>
      </c>
      <c r="N332">
        <v>1</v>
      </c>
      <c r="O332">
        <v>1</v>
      </c>
      <c r="P332">
        <v>1</v>
      </c>
      <c r="Q332">
        <v>1</v>
      </c>
      <c r="R332">
        <v>1</v>
      </c>
      <c r="U332">
        <v>0</v>
      </c>
      <c r="V332">
        <v>1</v>
      </c>
      <c r="W332">
        <v>1</v>
      </c>
      <c r="X332">
        <v>1</v>
      </c>
      <c r="Y332">
        <v>1</v>
      </c>
      <c r="Z332">
        <v>1</v>
      </c>
      <c r="AA332">
        <v>1</v>
      </c>
      <c r="AB332">
        <v>1</v>
      </c>
    </row>
    <row r="333" spans="1:28" x14ac:dyDescent="0.25">
      <c r="A333" t="str">
        <f>"329"</f>
        <v>329</v>
      </c>
      <c r="B333" t="str">
        <f t="shared" si="16"/>
        <v>1</v>
      </c>
      <c r="C333" t="str">
        <f t="shared" si="18"/>
        <v>14</v>
      </c>
      <c r="D333" t="str">
        <f>"18"</f>
        <v>18</v>
      </c>
      <c r="E333" t="str">
        <f>"1-14-18"</f>
        <v>1-14-18</v>
      </c>
      <c r="F333" t="s">
        <v>83</v>
      </c>
      <c r="G333" t="s">
        <v>84</v>
      </c>
      <c r="H333" t="s">
        <v>92</v>
      </c>
      <c r="I333">
        <v>1</v>
      </c>
      <c r="J333">
        <v>1</v>
      </c>
      <c r="N333">
        <v>1</v>
      </c>
      <c r="O333">
        <v>1</v>
      </c>
      <c r="P333">
        <v>1</v>
      </c>
      <c r="Q333">
        <v>1</v>
      </c>
      <c r="R333">
        <v>1</v>
      </c>
      <c r="S333">
        <v>1</v>
      </c>
      <c r="T333">
        <v>1</v>
      </c>
      <c r="W333">
        <v>1</v>
      </c>
      <c r="X333">
        <v>1</v>
      </c>
      <c r="Y333">
        <v>1</v>
      </c>
      <c r="Z333">
        <v>1</v>
      </c>
      <c r="AA333">
        <v>1</v>
      </c>
      <c r="AB333">
        <v>1</v>
      </c>
    </row>
    <row r="334" spans="1:28" x14ac:dyDescent="0.25">
      <c r="A334" t="str">
        <f>"330"</f>
        <v>330</v>
      </c>
      <c r="B334" t="str">
        <f t="shared" si="16"/>
        <v>1</v>
      </c>
      <c r="C334" t="str">
        <f t="shared" si="18"/>
        <v>14</v>
      </c>
      <c r="D334" t="str">
        <f>"9"</f>
        <v>9</v>
      </c>
      <c r="E334" t="str">
        <f>"1-14-9"</f>
        <v>1-14-9</v>
      </c>
      <c r="F334" t="s">
        <v>83</v>
      </c>
      <c r="G334" t="s">
        <v>84</v>
      </c>
      <c r="H334" t="s">
        <v>92</v>
      </c>
      <c r="I334">
        <v>1</v>
      </c>
      <c r="J334">
        <v>1</v>
      </c>
      <c r="N334">
        <v>1</v>
      </c>
      <c r="O334">
        <v>1</v>
      </c>
      <c r="P334">
        <v>1</v>
      </c>
      <c r="Q334">
        <v>1</v>
      </c>
      <c r="R334">
        <v>1</v>
      </c>
      <c r="S334">
        <v>1</v>
      </c>
      <c r="T334">
        <v>1</v>
      </c>
      <c r="W334">
        <v>1</v>
      </c>
      <c r="X334">
        <v>1</v>
      </c>
      <c r="Y334">
        <v>1</v>
      </c>
      <c r="Z334">
        <v>1</v>
      </c>
      <c r="AA334">
        <v>1</v>
      </c>
      <c r="AB334">
        <v>1</v>
      </c>
    </row>
    <row r="335" spans="1:28" x14ac:dyDescent="0.25">
      <c r="A335" t="str">
        <f>"331"</f>
        <v>331</v>
      </c>
      <c r="B335" t="str">
        <f t="shared" si="16"/>
        <v>1</v>
      </c>
      <c r="C335" t="str">
        <f t="shared" si="18"/>
        <v>14</v>
      </c>
      <c r="D335" t="str">
        <f>"2"</f>
        <v>2</v>
      </c>
      <c r="E335" t="str">
        <f>"1-14-2"</f>
        <v>1-14-2</v>
      </c>
      <c r="F335" t="s">
        <v>83</v>
      </c>
      <c r="G335" t="s">
        <v>84</v>
      </c>
      <c r="H335" t="s">
        <v>92</v>
      </c>
      <c r="I335">
        <v>1</v>
      </c>
      <c r="J335">
        <v>1</v>
      </c>
      <c r="N335">
        <v>1</v>
      </c>
      <c r="O335">
        <v>1</v>
      </c>
      <c r="P335">
        <v>1</v>
      </c>
      <c r="Q335">
        <v>1</v>
      </c>
      <c r="R335">
        <v>1</v>
      </c>
      <c r="S335">
        <v>1</v>
      </c>
      <c r="T335">
        <v>1</v>
      </c>
      <c r="W335">
        <v>1</v>
      </c>
      <c r="X335">
        <v>1</v>
      </c>
      <c r="Y335">
        <v>1</v>
      </c>
      <c r="Z335">
        <v>1</v>
      </c>
      <c r="AA335">
        <v>1</v>
      </c>
      <c r="AB335">
        <v>1</v>
      </c>
    </row>
    <row r="336" spans="1:28" x14ac:dyDescent="0.25">
      <c r="A336" t="str">
        <f>"332"</f>
        <v>332</v>
      </c>
      <c r="B336" t="str">
        <f t="shared" si="16"/>
        <v>1</v>
      </c>
      <c r="C336" t="str">
        <f t="shared" si="18"/>
        <v>14</v>
      </c>
      <c r="D336" t="str">
        <f>"19"</f>
        <v>19</v>
      </c>
      <c r="E336" t="str">
        <f>"1-14-19"</f>
        <v>1-14-19</v>
      </c>
      <c r="F336" t="s">
        <v>83</v>
      </c>
      <c r="G336" t="s">
        <v>84</v>
      </c>
      <c r="H336" t="s">
        <v>92</v>
      </c>
      <c r="I336">
        <v>1</v>
      </c>
      <c r="J336">
        <v>1</v>
      </c>
      <c r="N336">
        <v>1</v>
      </c>
      <c r="O336">
        <v>1</v>
      </c>
      <c r="P336">
        <v>1</v>
      </c>
      <c r="Q336">
        <v>1</v>
      </c>
      <c r="R336">
        <v>1</v>
      </c>
      <c r="S336">
        <v>1</v>
      </c>
      <c r="T336">
        <v>1</v>
      </c>
      <c r="W336">
        <v>1</v>
      </c>
      <c r="X336">
        <v>1</v>
      </c>
      <c r="Y336">
        <v>1</v>
      </c>
      <c r="Z336">
        <v>1</v>
      </c>
      <c r="AA336">
        <v>1</v>
      </c>
      <c r="AB336">
        <v>1</v>
      </c>
    </row>
    <row r="337" spans="1:28" x14ac:dyDescent="0.25">
      <c r="A337" t="str">
        <f>"333"</f>
        <v>333</v>
      </c>
      <c r="B337" t="str">
        <f t="shared" si="16"/>
        <v>1</v>
      </c>
      <c r="C337" t="str">
        <f t="shared" si="18"/>
        <v>14</v>
      </c>
      <c r="D337" t="str">
        <f>"10"</f>
        <v>10</v>
      </c>
      <c r="E337" t="str">
        <f>"1-14-10"</f>
        <v>1-14-10</v>
      </c>
      <c r="F337" t="s">
        <v>83</v>
      </c>
      <c r="G337" t="s">
        <v>84</v>
      </c>
      <c r="H337" t="s">
        <v>92</v>
      </c>
      <c r="I337">
        <v>1</v>
      </c>
      <c r="J337">
        <v>1</v>
      </c>
      <c r="N337">
        <v>1</v>
      </c>
      <c r="O337">
        <v>1</v>
      </c>
      <c r="P337">
        <v>1</v>
      </c>
      <c r="Q337">
        <v>1</v>
      </c>
      <c r="R337">
        <v>1</v>
      </c>
      <c r="S337">
        <v>1</v>
      </c>
      <c r="T337">
        <v>1</v>
      </c>
      <c r="W337">
        <v>1</v>
      </c>
      <c r="X337">
        <v>1</v>
      </c>
      <c r="Y337">
        <v>1</v>
      </c>
      <c r="Z337">
        <v>1</v>
      </c>
      <c r="AA337">
        <v>1</v>
      </c>
      <c r="AB337">
        <v>1</v>
      </c>
    </row>
    <row r="338" spans="1:28" x14ac:dyDescent="0.25">
      <c r="A338" t="str">
        <f>"334"</f>
        <v>334</v>
      </c>
      <c r="B338" t="str">
        <f t="shared" si="16"/>
        <v>1</v>
      </c>
      <c r="C338" t="str">
        <f t="shared" si="18"/>
        <v>14</v>
      </c>
      <c r="D338" t="str">
        <f>"7"</f>
        <v>7</v>
      </c>
      <c r="E338" t="str">
        <f>"1-14-7"</f>
        <v>1-14-7</v>
      </c>
      <c r="F338" t="s">
        <v>83</v>
      </c>
      <c r="G338" t="s">
        <v>84</v>
      </c>
      <c r="H338" t="s">
        <v>92</v>
      </c>
      <c r="I338">
        <v>1</v>
      </c>
      <c r="J338">
        <v>1</v>
      </c>
      <c r="N338">
        <v>1</v>
      </c>
      <c r="O338">
        <v>1</v>
      </c>
      <c r="P338">
        <v>1</v>
      </c>
      <c r="Q338">
        <v>1</v>
      </c>
      <c r="R338">
        <v>1</v>
      </c>
      <c r="S338">
        <v>1</v>
      </c>
      <c r="T338">
        <v>1</v>
      </c>
      <c r="W338">
        <v>1</v>
      </c>
      <c r="X338">
        <v>1</v>
      </c>
      <c r="Y338">
        <v>1</v>
      </c>
      <c r="Z338">
        <v>1</v>
      </c>
      <c r="AA338">
        <v>1</v>
      </c>
      <c r="AB338">
        <v>1</v>
      </c>
    </row>
    <row r="339" spans="1:28" x14ac:dyDescent="0.25">
      <c r="A339" t="str">
        <f>"335"</f>
        <v>335</v>
      </c>
      <c r="B339" t="str">
        <f t="shared" si="16"/>
        <v>1</v>
      </c>
      <c r="C339" t="str">
        <f t="shared" si="18"/>
        <v>14</v>
      </c>
      <c r="D339" t="str">
        <f>"20"</f>
        <v>20</v>
      </c>
      <c r="E339" t="str">
        <f>"1-14-20"</f>
        <v>1-14-20</v>
      </c>
      <c r="F339" t="s">
        <v>83</v>
      </c>
      <c r="G339" t="s">
        <v>84</v>
      </c>
      <c r="H339" t="s">
        <v>92</v>
      </c>
      <c r="I339">
        <v>1</v>
      </c>
      <c r="J339">
        <v>1</v>
      </c>
      <c r="N339">
        <v>1</v>
      </c>
      <c r="O339">
        <v>1</v>
      </c>
      <c r="P339">
        <v>1</v>
      </c>
      <c r="Q339">
        <v>1</v>
      </c>
      <c r="R339">
        <v>1</v>
      </c>
      <c r="S339">
        <v>1</v>
      </c>
      <c r="T339">
        <v>1</v>
      </c>
      <c r="W339">
        <v>1</v>
      </c>
      <c r="X339">
        <v>1</v>
      </c>
      <c r="Y339">
        <v>1</v>
      </c>
      <c r="Z339">
        <v>1</v>
      </c>
      <c r="AA339">
        <v>1</v>
      </c>
      <c r="AB339">
        <v>1</v>
      </c>
    </row>
    <row r="340" spans="1:28" x14ac:dyDescent="0.25">
      <c r="A340" t="str">
        <f>"336"</f>
        <v>336</v>
      </c>
      <c r="B340" t="str">
        <f t="shared" si="16"/>
        <v>1</v>
      </c>
      <c r="C340" t="str">
        <f t="shared" si="18"/>
        <v>14</v>
      </c>
      <c r="D340" t="str">
        <f>"11"</f>
        <v>11</v>
      </c>
      <c r="E340" t="str">
        <f>"1-14-11"</f>
        <v>1-14-11</v>
      </c>
      <c r="F340" t="s">
        <v>83</v>
      </c>
      <c r="G340" t="s">
        <v>84</v>
      </c>
      <c r="H340" t="s">
        <v>92</v>
      </c>
      <c r="I340">
        <v>1</v>
      </c>
      <c r="J340">
        <v>1</v>
      </c>
      <c r="N340">
        <v>1</v>
      </c>
      <c r="O340">
        <v>1</v>
      </c>
      <c r="P340">
        <v>1</v>
      </c>
      <c r="Q340">
        <v>1</v>
      </c>
      <c r="R340">
        <v>1</v>
      </c>
      <c r="S340">
        <v>1</v>
      </c>
      <c r="T340">
        <v>1</v>
      </c>
      <c r="W340">
        <v>1</v>
      </c>
      <c r="X340">
        <v>1</v>
      </c>
      <c r="Y340">
        <v>1</v>
      </c>
      <c r="Z340">
        <v>1</v>
      </c>
      <c r="AA340">
        <v>1</v>
      </c>
      <c r="AB340">
        <v>1</v>
      </c>
    </row>
    <row r="341" spans="1:28" x14ac:dyDescent="0.25">
      <c r="A341" t="str">
        <f>"337"</f>
        <v>337</v>
      </c>
      <c r="B341" t="str">
        <f t="shared" si="16"/>
        <v>1</v>
      </c>
      <c r="C341" t="str">
        <f t="shared" si="18"/>
        <v>14</v>
      </c>
      <c r="D341" t="str">
        <f>"6"</f>
        <v>6</v>
      </c>
      <c r="E341" t="str">
        <f>"1-14-6"</f>
        <v>1-14-6</v>
      </c>
      <c r="F341" t="s">
        <v>83</v>
      </c>
      <c r="G341" t="s">
        <v>84</v>
      </c>
      <c r="H341" t="s">
        <v>92</v>
      </c>
      <c r="I341">
        <v>1</v>
      </c>
      <c r="J341">
        <v>1</v>
      </c>
      <c r="N341">
        <v>1</v>
      </c>
      <c r="O341">
        <v>1</v>
      </c>
      <c r="P341">
        <v>1</v>
      </c>
      <c r="Q341">
        <v>1</v>
      </c>
      <c r="R341">
        <v>1</v>
      </c>
      <c r="S341">
        <v>1</v>
      </c>
      <c r="T341">
        <v>1</v>
      </c>
      <c r="W341">
        <v>1</v>
      </c>
      <c r="X341">
        <v>1</v>
      </c>
      <c r="Y341">
        <v>1</v>
      </c>
      <c r="Z341">
        <v>1</v>
      </c>
      <c r="AA341">
        <v>1</v>
      </c>
      <c r="AB341">
        <v>1</v>
      </c>
    </row>
    <row r="342" spans="1:28" x14ac:dyDescent="0.25">
      <c r="A342" t="str">
        <f>"338"</f>
        <v>338</v>
      </c>
      <c r="B342" t="str">
        <f t="shared" si="16"/>
        <v>1</v>
      </c>
      <c r="C342" t="str">
        <f t="shared" si="18"/>
        <v>14</v>
      </c>
      <c r="D342" t="str">
        <f>"21"</f>
        <v>21</v>
      </c>
      <c r="E342" t="str">
        <f>"1-14-21"</f>
        <v>1-14-21</v>
      </c>
      <c r="F342" t="s">
        <v>83</v>
      </c>
      <c r="G342" t="s">
        <v>84</v>
      </c>
      <c r="H342" t="s">
        <v>92</v>
      </c>
      <c r="I342">
        <v>1</v>
      </c>
      <c r="J342">
        <v>1</v>
      </c>
      <c r="N342">
        <v>1</v>
      </c>
      <c r="O342">
        <v>1</v>
      </c>
      <c r="P342">
        <v>1</v>
      </c>
      <c r="Q342">
        <v>1</v>
      </c>
      <c r="R342">
        <v>1</v>
      </c>
      <c r="S342">
        <v>1</v>
      </c>
      <c r="T342">
        <v>1</v>
      </c>
      <c r="W342">
        <v>1</v>
      </c>
      <c r="X342">
        <v>1</v>
      </c>
      <c r="Y342">
        <v>1</v>
      </c>
      <c r="Z342">
        <v>1</v>
      </c>
      <c r="AA342">
        <v>1</v>
      </c>
      <c r="AB342">
        <v>1</v>
      </c>
    </row>
    <row r="343" spans="1:28" x14ac:dyDescent="0.25">
      <c r="A343" t="str">
        <f>"339"</f>
        <v>339</v>
      </c>
      <c r="B343" t="str">
        <f t="shared" si="16"/>
        <v>1</v>
      </c>
      <c r="C343" t="str">
        <f t="shared" si="18"/>
        <v>14</v>
      </c>
      <c r="D343" t="str">
        <f>"12"</f>
        <v>12</v>
      </c>
      <c r="E343" t="str">
        <f>"1-14-12"</f>
        <v>1-14-12</v>
      </c>
      <c r="F343" t="s">
        <v>83</v>
      </c>
      <c r="G343" t="s">
        <v>84</v>
      </c>
      <c r="H343" t="s">
        <v>92</v>
      </c>
      <c r="I343">
        <v>1</v>
      </c>
      <c r="J343">
        <v>1</v>
      </c>
      <c r="N343">
        <v>1</v>
      </c>
      <c r="O343">
        <v>1</v>
      </c>
      <c r="P343">
        <v>1</v>
      </c>
      <c r="Q343">
        <v>1</v>
      </c>
      <c r="R343">
        <v>1</v>
      </c>
      <c r="S343">
        <v>1</v>
      </c>
      <c r="T343">
        <v>1</v>
      </c>
      <c r="W343">
        <v>1</v>
      </c>
      <c r="X343">
        <v>1</v>
      </c>
      <c r="Y343">
        <v>1</v>
      </c>
      <c r="Z343">
        <v>1</v>
      </c>
      <c r="AA343">
        <v>1</v>
      </c>
      <c r="AB343">
        <v>1</v>
      </c>
    </row>
    <row r="344" spans="1:28" x14ac:dyDescent="0.25">
      <c r="A344" t="str">
        <f>"340"</f>
        <v>340</v>
      </c>
      <c r="B344" t="str">
        <f t="shared" si="16"/>
        <v>1</v>
      </c>
      <c r="C344" t="str">
        <f t="shared" si="18"/>
        <v>14</v>
      </c>
      <c r="D344" t="str">
        <f>"1"</f>
        <v>1</v>
      </c>
      <c r="E344" t="str">
        <f>"1-14-1"</f>
        <v>1-14-1</v>
      </c>
      <c r="F344" t="s">
        <v>83</v>
      </c>
      <c r="G344" t="s">
        <v>84</v>
      </c>
      <c r="H344" t="s">
        <v>92</v>
      </c>
      <c r="I344">
        <v>1</v>
      </c>
      <c r="J344">
        <v>1</v>
      </c>
      <c r="N344">
        <v>1</v>
      </c>
      <c r="O344">
        <v>1</v>
      </c>
      <c r="P344">
        <v>1</v>
      </c>
      <c r="Q344">
        <v>1</v>
      </c>
      <c r="R344">
        <v>0</v>
      </c>
      <c r="S344">
        <v>1</v>
      </c>
      <c r="T344">
        <v>0</v>
      </c>
      <c r="W344">
        <v>1</v>
      </c>
      <c r="X344">
        <v>1</v>
      </c>
      <c r="Y344">
        <v>1</v>
      </c>
      <c r="Z344">
        <v>0</v>
      </c>
      <c r="AA344">
        <v>0</v>
      </c>
      <c r="AB344">
        <v>0</v>
      </c>
    </row>
    <row r="345" spans="1:28" x14ac:dyDescent="0.25">
      <c r="A345" t="str">
        <f>"341"</f>
        <v>341</v>
      </c>
      <c r="B345" t="str">
        <f t="shared" si="16"/>
        <v>1</v>
      </c>
      <c r="C345" t="str">
        <f t="shared" si="18"/>
        <v>14</v>
      </c>
      <c r="D345" t="str">
        <f>"23"</f>
        <v>23</v>
      </c>
      <c r="E345" t="str">
        <f>"1-14-23"</f>
        <v>1-14-23</v>
      </c>
      <c r="F345" t="s">
        <v>83</v>
      </c>
      <c r="G345" t="s">
        <v>86</v>
      </c>
      <c r="H345" t="s">
        <v>93</v>
      </c>
      <c r="I345">
        <v>1</v>
      </c>
      <c r="K345">
        <v>0</v>
      </c>
      <c r="L345">
        <v>0</v>
      </c>
      <c r="M345">
        <v>1</v>
      </c>
      <c r="N345">
        <v>1</v>
      </c>
      <c r="O345">
        <v>1</v>
      </c>
      <c r="P345">
        <v>1</v>
      </c>
      <c r="Q345">
        <v>1</v>
      </c>
      <c r="R345">
        <v>1</v>
      </c>
      <c r="U345">
        <v>1</v>
      </c>
      <c r="V345">
        <v>0</v>
      </c>
      <c r="W345">
        <v>1</v>
      </c>
      <c r="X345">
        <v>1</v>
      </c>
      <c r="Y345">
        <v>1</v>
      </c>
      <c r="Z345">
        <v>1</v>
      </c>
      <c r="AA345">
        <v>1</v>
      </c>
      <c r="AB345">
        <v>1</v>
      </c>
    </row>
    <row r="346" spans="1:28" x14ac:dyDescent="0.25">
      <c r="A346" t="str">
        <f>"342"</f>
        <v>342</v>
      </c>
      <c r="B346" t="str">
        <f t="shared" si="16"/>
        <v>1</v>
      </c>
      <c r="C346" t="str">
        <f t="shared" si="18"/>
        <v>14</v>
      </c>
      <c r="D346" t="str">
        <f>"13"</f>
        <v>13</v>
      </c>
      <c r="E346" t="str">
        <f>"1-14-13"</f>
        <v>1-14-13</v>
      </c>
      <c r="F346" t="s">
        <v>83</v>
      </c>
      <c r="G346" t="s">
        <v>84</v>
      </c>
      <c r="H346" t="s">
        <v>92</v>
      </c>
      <c r="I346">
        <v>1</v>
      </c>
      <c r="J346">
        <v>1</v>
      </c>
      <c r="N346">
        <v>1</v>
      </c>
      <c r="O346">
        <v>1</v>
      </c>
      <c r="P346">
        <v>1</v>
      </c>
      <c r="Q346">
        <v>1</v>
      </c>
      <c r="R346">
        <v>1</v>
      </c>
      <c r="S346">
        <v>1</v>
      </c>
      <c r="T346">
        <v>1</v>
      </c>
      <c r="W346">
        <v>1</v>
      </c>
      <c r="X346">
        <v>1</v>
      </c>
      <c r="Y346">
        <v>1</v>
      </c>
      <c r="Z346">
        <v>1</v>
      </c>
      <c r="AA346">
        <v>1</v>
      </c>
      <c r="AB346">
        <v>1</v>
      </c>
    </row>
    <row r="347" spans="1:28" x14ac:dyDescent="0.25">
      <c r="A347" t="str">
        <f>"343"</f>
        <v>343</v>
      </c>
      <c r="B347" t="str">
        <f t="shared" si="16"/>
        <v>1</v>
      </c>
      <c r="C347" t="str">
        <f t="shared" si="18"/>
        <v>14</v>
      </c>
      <c r="D347" t="str">
        <f>"4"</f>
        <v>4</v>
      </c>
      <c r="E347" t="str">
        <f>"1-14-4"</f>
        <v>1-14-4</v>
      </c>
      <c r="F347" t="s">
        <v>83</v>
      </c>
      <c r="G347" t="s">
        <v>84</v>
      </c>
      <c r="H347" t="s">
        <v>92</v>
      </c>
      <c r="I347">
        <v>1</v>
      </c>
      <c r="J347">
        <v>1</v>
      </c>
      <c r="N347">
        <v>1</v>
      </c>
      <c r="O347">
        <v>1</v>
      </c>
      <c r="P347">
        <v>1</v>
      </c>
      <c r="Q347">
        <v>1</v>
      </c>
      <c r="R347">
        <v>1</v>
      </c>
      <c r="S347">
        <v>1</v>
      </c>
      <c r="T347">
        <v>1</v>
      </c>
      <c r="W347">
        <v>1</v>
      </c>
      <c r="X347">
        <v>1</v>
      </c>
      <c r="Y347">
        <v>1</v>
      </c>
      <c r="Z347">
        <v>1</v>
      </c>
      <c r="AA347">
        <v>1</v>
      </c>
      <c r="AB347">
        <v>1</v>
      </c>
    </row>
    <row r="348" spans="1:28" x14ac:dyDescent="0.25">
      <c r="A348" t="str">
        <f>"344"</f>
        <v>344</v>
      </c>
      <c r="B348" t="str">
        <f t="shared" si="16"/>
        <v>1</v>
      </c>
      <c r="C348" t="str">
        <f t="shared" si="18"/>
        <v>14</v>
      </c>
      <c r="D348" t="str">
        <f>"22"</f>
        <v>22</v>
      </c>
      <c r="E348" t="str">
        <f>"1-14-22"</f>
        <v>1-14-22</v>
      </c>
      <c r="F348" t="s">
        <v>83</v>
      </c>
      <c r="G348" t="s">
        <v>84</v>
      </c>
      <c r="H348" t="s">
        <v>92</v>
      </c>
      <c r="I348">
        <v>1</v>
      </c>
      <c r="J348">
        <v>1</v>
      </c>
      <c r="N348">
        <v>1</v>
      </c>
      <c r="O348">
        <v>1</v>
      </c>
      <c r="P348">
        <v>1</v>
      </c>
      <c r="Q348">
        <v>1</v>
      </c>
      <c r="R348">
        <v>1</v>
      </c>
      <c r="S348">
        <v>1</v>
      </c>
      <c r="T348">
        <v>1</v>
      </c>
      <c r="W348">
        <v>1</v>
      </c>
      <c r="X348">
        <v>1</v>
      </c>
      <c r="Y348">
        <v>1</v>
      </c>
      <c r="Z348">
        <v>1</v>
      </c>
      <c r="AA348">
        <v>1</v>
      </c>
      <c r="AB348">
        <v>1</v>
      </c>
    </row>
    <row r="349" spans="1:28" x14ac:dyDescent="0.25">
      <c r="A349" t="str">
        <f>"345"</f>
        <v>345</v>
      </c>
      <c r="B349" t="str">
        <f t="shared" si="16"/>
        <v>1</v>
      </c>
      <c r="C349" t="str">
        <f t="shared" si="18"/>
        <v>14</v>
      </c>
      <c r="D349" t="str">
        <f>"14"</f>
        <v>14</v>
      </c>
      <c r="E349" t="str">
        <f>"1-14-14"</f>
        <v>1-14-14</v>
      </c>
      <c r="F349" t="s">
        <v>83</v>
      </c>
      <c r="G349" t="s">
        <v>84</v>
      </c>
      <c r="H349" t="s">
        <v>92</v>
      </c>
      <c r="I349">
        <v>1</v>
      </c>
      <c r="J349">
        <v>1</v>
      </c>
      <c r="N349">
        <v>1</v>
      </c>
      <c r="O349">
        <v>1</v>
      </c>
      <c r="P349">
        <v>1</v>
      </c>
      <c r="Q349">
        <v>1</v>
      </c>
      <c r="R349">
        <v>0</v>
      </c>
      <c r="S349">
        <v>1</v>
      </c>
      <c r="T349">
        <v>1</v>
      </c>
      <c r="W349">
        <v>1</v>
      </c>
      <c r="X349">
        <v>1</v>
      </c>
      <c r="Y349">
        <v>1</v>
      </c>
      <c r="Z349">
        <v>1</v>
      </c>
      <c r="AA349">
        <v>1</v>
      </c>
      <c r="AB349">
        <v>1</v>
      </c>
    </row>
    <row r="350" spans="1:28" x14ac:dyDescent="0.25">
      <c r="A350" t="str">
        <f>"346"</f>
        <v>346</v>
      </c>
      <c r="B350" t="str">
        <f t="shared" ref="B350:B413" si="19">"1"</f>
        <v>1</v>
      </c>
      <c r="C350" t="str">
        <f t="shared" si="18"/>
        <v>14</v>
      </c>
      <c r="D350" t="str">
        <f>"5"</f>
        <v>5</v>
      </c>
      <c r="E350" t="str">
        <f>"1-14-5"</f>
        <v>1-14-5</v>
      </c>
      <c r="F350" t="s">
        <v>83</v>
      </c>
      <c r="G350" t="s">
        <v>84</v>
      </c>
      <c r="H350" t="s">
        <v>92</v>
      </c>
      <c r="I350">
        <v>1</v>
      </c>
      <c r="J350">
        <v>1</v>
      </c>
      <c r="N350">
        <v>1</v>
      </c>
      <c r="O350">
        <v>1</v>
      </c>
      <c r="P350">
        <v>1</v>
      </c>
      <c r="Q350">
        <v>1</v>
      </c>
      <c r="R350">
        <v>1</v>
      </c>
      <c r="S350">
        <v>1</v>
      </c>
      <c r="T350">
        <v>1</v>
      </c>
      <c r="W350">
        <v>1</v>
      </c>
      <c r="X350">
        <v>1</v>
      </c>
      <c r="Y350">
        <v>1</v>
      </c>
      <c r="Z350">
        <v>1</v>
      </c>
      <c r="AA350">
        <v>1</v>
      </c>
      <c r="AB350">
        <v>1</v>
      </c>
    </row>
    <row r="351" spans="1:28" x14ac:dyDescent="0.25">
      <c r="A351" t="str">
        <f>"347"</f>
        <v>347</v>
      </c>
      <c r="B351" t="str">
        <f t="shared" si="19"/>
        <v>1</v>
      </c>
      <c r="C351" t="str">
        <f t="shared" ref="C351:C374" si="20">"15"</f>
        <v>15</v>
      </c>
      <c r="D351" t="str">
        <f>"17"</f>
        <v>17</v>
      </c>
      <c r="E351" t="str">
        <f>"1-15-17"</f>
        <v>1-15-17</v>
      </c>
      <c r="F351" t="s">
        <v>83</v>
      </c>
      <c r="G351" t="s">
        <v>84</v>
      </c>
      <c r="H351" t="s">
        <v>92</v>
      </c>
      <c r="I351">
        <v>1</v>
      </c>
      <c r="J351">
        <v>1</v>
      </c>
      <c r="N351">
        <v>1</v>
      </c>
      <c r="O351">
        <v>1</v>
      </c>
      <c r="P351">
        <v>1</v>
      </c>
      <c r="Q351">
        <v>1</v>
      </c>
      <c r="R351">
        <v>1</v>
      </c>
      <c r="S351">
        <v>1</v>
      </c>
      <c r="T351">
        <v>1</v>
      </c>
      <c r="W351">
        <v>1</v>
      </c>
      <c r="X351">
        <v>1</v>
      </c>
      <c r="Y351">
        <v>1</v>
      </c>
      <c r="Z351">
        <v>1</v>
      </c>
      <c r="AA351">
        <v>1</v>
      </c>
      <c r="AB351">
        <v>1</v>
      </c>
    </row>
    <row r="352" spans="1:28" x14ac:dyDescent="0.25">
      <c r="A352" t="str">
        <f>"348"</f>
        <v>348</v>
      </c>
      <c r="B352" t="str">
        <f t="shared" si="19"/>
        <v>1</v>
      </c>
      <c r="C352" t="str">
        <f t="shared" si="20"/>
        <v>15</v>
      </c>
      <c r="D352" t="str">
        <f>"16"</f>
        <v>16</v>
      </c>
      <c r="E352" t="str">
        <f>"1-15-16"</f>
        <v>1-15-16</v>
      </c>
      <c r="F352" t="s">
        <v>83</v>
      </c>
      <c r="G352" t="s">
        <v>84</v>
      </c>
      <c r="H352" t="s">
        <v>92</v>
      </c>
      <c r="I352">
        <v>1</v>
      </c>
      <c r="J352">
        <v>1</v>
      </c>
      <c r="N352">
        <v>1</v>
      </c>
      <c r="O352">
        <v>1</v>
      </c>
      <c r="P352">
        <v>1</v>
      </c>
      <c r="Q352">
        <v>1</v>
      </c>
      <c r="R352">
        <v>1</v>
      </c>
      <c r="S352">
        <v>1</v>
      </c>
      <c r="T352">
        <v>1</v>
      </c>
      <c r="W352">
        <v>1</v>
      </c>
      <c r="X352">
        <v>1</v>
      </c>
      <c r="Y352">
        <v>1</v>
      </c>
      <c r="Z352">
        <v>1</v>
      </c>
      <c r="AA352">
        <v>1</v>
      </c>
      <c r="AB352">
        <v>1</v>
      </c>
    </row>
    <row r="353" spans="1:28" x14ac:dyDescent="0.25">
      <c r="A353" t="str">
        <f>"349"</f>
        <v>349</v>
      </c>
      <c r="B353" t="str">
        <f t="shared" si="19"/>
        <v>1</v>
      </c>
      <c r="C353" t="str">
        <f t="shared" si="20"/>
        <v>15</v>
      </c>
      <c r="D353" t="str">
        <f>"11"</f>
        <v>11</v>
      </c>
      <c r="E353" t="str">
        <f>"1-15-11"</f>
        <v>1-15-11</v>
      </c>
      <c r="F353" t="s">
        <v>83</v>
      </c>
      <c r="G353" t="s">
        <v>84</v>
      </c>
      <c r="H353" t="s">
        <v>92</v>
      </c>
      <c r="I353">
        <v>1</v>
      </c>
      <c r="J353">
        <v>1</v>
      </c>
      <c r="N353">
        <v>1</v>
      </c>
      <c r="O353">
        <v>1</v>
      </c>
      <c r="P353">
        <v>1</v>
      </c>
      <c r="Q353">
        <v>1</v>
      </c>
      <c r="R353">
        <v>1</v>
      </c>
      <c r="S353">
        <v>1</v>
      </c>
      <c r="T353">
        <v>1</v>
      </c>
      <c r="W353">
        <v>1</v>
      </c>
      <c r="X353">
        <v>1</v>
      </c>
      <c r="Y353">
        <v>1</v>
      </c>
      <c r="Z353">
        <v>1</v>
      </c>
      <c r="AA353">
        <v>1</v>
      </c>
      <c r="AB353">
        <v>1</v>
      </c>
    </row>
    <row r="354" spans="1:28" x14ac:dyDescent="0.25">
      <c r="A354" t="str">
        <f>"350"</f>
        <v>350</v>
      </c>
      <c r="B354" t="str">
        <f t="shared" si="19"/>
        <v>1</v>
      </c>
      <c r="C354" t="str">
        <f t="shared" si="20"/>
        <v>15</v>
      </c>
      <c r="D354" t="str">
        <f>"8"</f>
        <v>8</v>
      </c>
      <c r="E354" t="str">
        <f>"1-15-8"</f>
        <v>1-15-8</v>
      </c>
      <c r="F354" t="s">
        <v>83</v>
      </c>
      <c r="G354" t="s">
        <v>84</v>
      </c>
      <c r="H354" t="s">
        <v>92</v>
      </c>
      <c r="I354">
        <v>1</v>
      </c>
      <c r="J354">
        <v>1</v>
      </c>
      <c r="N354">
        <v>1</v>
      </c>
      <c r="O354">
        <v>1</v>
      </c>
      <c r="P354">
        <v>1</v>
      </c>
      <c r="Q354">
        <v>1</v>
      </c>
      <c r="R354">
        <v>1</v>
      </c>
      <c r="S354">
        <v>1</v>
      </c>
      <c r="T354">
        <v>1</v>
      </c>
      <c r="W354">
        <v>1</v>
      </c>
      <c r="X354">
        <v>1</v>
      </c>
      <c r="Y354">
        <v>1</v>
      </c>
      <c r="Z354">
        <v>1</v>
      </c>
      <c r="AA354">
        <v>1</v>
      </c>
      <c r="AB354">
        <v>1</v>
      </c>
    </row>
    <row r="355" spans="1:28" x14ac:dyDescent="0.25">
      <c r="A355" t="str">
        <f>"351"</f>
        <v>351</v>
      </c>
      <c r="B355" t="str">
        <f t="shared" si="19"/>
        <v>1</v>
      </c>
      <c r="C355" t="str">
        <f t="shared" si="20"/>
        <v>15</v>
      </c>
      <c r="D355" t="str">
        <f>"1"</f>
        <v>1</v>
      </c>
      <c r="E355" t="str">
        <f>"1-15-1"</f>
        <v>1-15-1</v>
      </c>
      <c r="F355" t="s">
        <v>83</v>
      </c>
      <c r="G355" t="s">
        <v>84</v>
      </c>
      <c r="H355" t="s">
        <v>92</v>
      </c>
      <c r="I355">
        <v>1</v>
      </c>
      <c r="J355">
        <v>1</v>
      </c>
      <c r="N355">
        <v>1</v>
      </c>
      <c r="O355">
        <v>1</v>
      </c>
      <c r="P355">
        <v>1</v>
      </c>
      <c r="Q355">
        <v>1</v>
      </c>
      <c r="R355">
        <v>1</v>
      </c>
      <c r="S355">
        <v>1</v>
      </c>
      <c r="T355">
        <v>1</v>
      </c>
      <c r="W355">
        <v>1</v>
      </c>
      <c r="X355">
        <v>1</v>
      </c>
      <c r="Y355">
        <v>1</v>
      </c>
      <c r="Z355">
        <v>1</v>
      </c>
      <c r="AA355">
        <v>1</v>
      </c>
      <c r="AB355">
        <v>1</v>
      </c>
    </row>
    <row r="356" spans="1:28" x14ac:dyDescent="0.25">
      <c r="A356" t="str">
        <f>"352"</f>
        <v>352</v>
      </c>
      <c r="B356" t="str">
        <f t="shared" si="19"/>
        <v>1</v>
      </c>
      <c r="C356" t="str">
        <f t="shared" si="20"/>
        <v>15</v>
      </c>
      <c r="D356" t="str">
        <f>"24"</f>
        <v>24</v>
      </c>
      <c r="E356" t="str">
        <f>"1-15-24"</f>
        <v>1-15-24</v>
      </c>
      <c r="F356" t="s">
        <v>83</v>
      </c>
      <c r="G356" t="s">
        <v>84</v>
      </c>
      <c r="H356" t="s">
        <v>92</v>
      </c>
      <c r="I356">
        <v>1</v>
      </c>
      <c r="J356">
        <v>1</v>
      </c>
      <c r="N356">
        <v>1</v>
      </c>
      <c r="O356">
        <v>1</v>
      </c>
      <c r="P356">
        <v>1</v>
      </c>
      <c r="Q356">
        <v>1</v>
      </c>
      <c r="R356">
        <v>0</v>
      </c>
      <c r="S356">
        <v>1</v>
      </c>
      <c r="T356">
        <v>0</v>
      </c>
      <c r="W356">
        <v>1</v>
      </c>
      <c r="X356">
        <v>1</v>
      </c>
      <c r="Y356">
        <v>1</v>
      </c>
      <c r="Z356">
        <v>1</v>
      </c>
      <c r="AA356">
        <v>0</v>
      </c>
      <c r="AB356">
        <v>1</v>
      </c>
    </row>
    <row r="357" spans="1:28" x14ac:dyDescent="0.25">
      <c r="A357" t="str">
        <f>"353"</f>
        <v>353</v>
      </c>
      <c r="B357" t="str">
        <f t="shared" si="19"/>
        <v>1</v>
      </c>
      <c r="C357" t="str">
        <f t="shared" si="20"/>
        <v>15</v>
      </c>
      <c r="D357" t="str">
        <f>"18"</f>
        <v>18</v>
      </c>
      <c r="E357" t="str">
        <f>"1-15-18"</f>
        <v>1-15-18</v>
      </c>
      <c r="F357" t="s">
        <v>83</v>
      </c>
      <c r="G357" t="s">
        <v>84</v>
      </c>
      <c r="H357" t="s">
        <v>92</v>
      </c>
      <c r="I357">
        <v>1</v>
      </c>
      <c r="J357">
        <v>1</v>
      </c>
      <c r="N357">
        <v>1</v>
      </c>
      <c r="O357">
        <v>1</v>
      </c>
      <c r="P357">
        <v>1</v>
      </c>
      <c r="Q357">
        <v>1</v>
      </c>
      <c r="R357">
        <v>1</v>
      </c>
      <c r="S357">
        <v>1</v>
      </c>
      <c r="T357">
        <v>1</v>
      </c>
      <c r="W357">
        <v>1</v>
      </c>
      <c r="X357">
        <v>1</v>
      </c>
      <c r="Y357">
        <v>1</v>
      </c>
      <c r="Z357">
        <v>1</v>
      </c>
      <c r="AA357">
        <v>1</v>
      </c>
      <c r="AB357">
        <v>1</v>
      </c>
    </row>
    <row r="358" spans="1:28" x14ac:dyDescent="0.25">
      <c r="A358" t="str">
        <f>"354"</f>
        <v>354</v>
      </c>
      <c r="B358" t="str">
        <f t="shared" si="19"/>
        <v>1</v>
      </c>
      <c r="C358" t="str">
        <f t="shared" si="20"/>
        <v>15</v>
      </c>
      <c r="D358" t="str">
        <f>"9"</f>
        <v>9</v>
      </c>
      <c r="E358" t="str">
        <f>"1-15-9"</f>
        <v>1-15-9</v>
      </c>
      <c r="F358" t="s">
        <v>83</v>
      </c>
      <c r="G358" t="s">
        <v>84</v>
      </c>
      <c r="H358" t="s">
        <v>92</v>
      </c>
      <c r="I358">
        <v>1</v>
      </c>
      <c r="J358">
        <v>0</v>
      </c>
      <c r="N358">
        <v>1</v>
      </c>
      <c r="O358">
        <v>1</v>
      </c>
      <c r="P358">
        <v>1</v>
      </c>
      <c r="Q358">
        <v>1</v>
      </c>
      <c r="R358">
        <v>1</v>
      </c>
      <c r="S358">
        <v>1</v>
      </c>
      <c r="T358">
        <v>1</v>
      </c>
      <c r="W358">
        <v>1</v>
      </c>
      <c r="X358">
        <v>1</v>
      </c>
      <c r="Y358">
        <v>1</v>
      </c>
      <c r="Z358">
        <v>1</v>
      </c>
      <c r="AA358">
        <v>1</v>
      </c>
      <c r="AB358">
        <v>1</v>
      </c>
    </row>
    <row r="359" spans="1:28" x14ac:dyDescent="0.25">
      <c r="A359" t="str">
        <f>"355"</f>
        <v>355</v>
      </c>
      <c r="B359" t="str">
        <f t="shared" si="19"/>
        <v>1</v>
      </c>
      <c r="C359" t="str">
        <f t="shared" si="20"/>
        <v>15</v>
      </c>
      <c r="D359" t="str">
        <f>"7"</f>
        <v>7</v>
      </c>
      <c r="E359" t="str">
        <f>"1-15-7"</f>
        <v>1-15-7</v>
      </c>
      <c r="F359" t="s">
        <v>83</v>
      </c>
      <c r="G359" t="s">
        <v>84</v>
      </c>
      <c r="H359" t="s">
        <v>92</v>
      </c>
      <c r="I359">
        <v>1</v>
      </c>
      <c r="J359">
        <v>1</v>
      </c>
      <c r="N359">
        <v>1</v>
      </c>
      <c r="O359">
        <v>1</v>
      </c>
      <c r="P359">
        <v>1</v>
      </c>
      <c r="Q359">
        <v>1</v>
      </c>
      <c r="R359">
        <v>1</v>
      </c>
      <c r="S359">
        <v>1</v>
      </c>
      <c r="T359">
        <v>1</v>
      </c>
      <c r="W359">
        <v>1</v>
      </c>
      <c r="X359">
        <v>1</v>
      </c>
      <c r="Y359">
        <v>1</v>
      </c>
      <c r="Z359">
        <v>1</v>
      </c>
      <c r="AA359">
        <v>1</v>
      </c>
      <c r="AB359">
        <v>1</v>
      </c>
    </row>
    <row r="360" spans="1:28" x14ac:dyDescent="0.25">
      <c r="A360" t="str">
        <f>"356"</f>
        <v>356</v>
      </c>
      <c r="B360" t="str">
        <f t="shared" si="19"/>
        <v>1</v>
      </c>
      <c r="C360" t="str">
        <f t="shared" si="20"/>
        <v>15</v>
      </c>
      <c r="D360" t="str">
        <f>"19"</f>
        <v>19</v>
      </c>
      <c r="E360" t="str">
        <f>"1-15-19"</f>
        <v>1-15-19</v>
      </c>
      <c r="F360" t="s">
        <v>83</v>
      </c>
      <c r="G360" t="s">
        <v>84</v>
      </c>
      <c r="H360" t="s">
        <v>92</v>
      </c>
      <c r="I360">
        <v>1</v>
      </c>
      <c r="J360">
        <v>1</v>
      </c>
      <c r="N360">
        <v>1</v>
      </c>
      <c r="O360">
        <v>1</v>
      </c>
      <c r="P360">
        <v>1</v>
      </c>
      <c r="Q360">
        <v>1</v>
      </c>
      <c r="R360">
        <v>1</v>
      </c>
      <c r="S360">
        <v>1</v>
      </c>
      <c r="T360">
        <v>1</v>
      </c>
      <c r="W360">
        <v>1</v>
      </c>
      <c r="X360">
        <v>1</v>
      </c>
      <c r="Y360">
        <v>1</v>
      </c>
      <c r="Z360">
        <v>1</v>
      </c>
      <c r="AA360">
        <v>1</v>
      </c>
      <c r="AB360">
        <v>1</v>
      </c>
    </row>
    <row r="361" spans="1:28" x14ac:dyDescent="0.25">
      <c r="A361" t="str">
        <f>"357"</f>
        <v>357</v>
      </c>
      <c r="B361" t="str">
        <f t="shared" si="19"/>
        <v>1</v>
      </c>
      <c r="C361" t="str">
        <f t="shared" si="20"/>
        <v>15</v>
      </c>
      <c r="D361" t="str">
        <f>"10"</f>
        <v>10</v>
      </c>
      <c r="E361" t="str">
        <f>"1-15-10"</f>
        <v>1-15-10</v>
      </c>
      <c r="F361" t="s">
        <v>83</v>
      </c>
      <c r="G361" t="s">
        <v>84</v>
      </c>
      <c r="H361" t="s">
        <v>92</v>
      </c>
      <c r="I361">
        <v>1</v>
      </c>
      <c r="J361">
        <v>1</v>
      </c>
      <c r="N361">
        <v>1</v>
      </c>
      <c r="O361">
        <v>1</v>
      </c>
      <c r="P361">
        <v>1</v>
      </c>
      <c r="Q361">
        <v>1</v>
      </c>
      <c r="R361">
        <v>1</v>
      </c>
      <c r="S361">
        <v>1</v>
      </c>
      <c r="T361">
        <v>1</v>
      </c>
      <c r="W361">
        <v>1</v>
      </c>
      <c r="X361">
        <v>1</v>
      </c>
      <c r="Y361">
        <v>1</v>
      </c>
      <c r="Z361">
        <v>1</v>
      </c>
      <c r="AA361">
        <v>1</v>
      </c>
      <c r="AB361">
        <v>1</v>
      </c>
    </row>
    <row r="362" spans="1:28" x14ac:dyDescent="0.25">
      <c r="A362" t="str">
        <f>"358"</f>
        <v>358</v>
      </c>
      <c r="B362" t="str">
        <f t="shared" si="19"/>
        <v>1</v>
      </c>
      <c r="C362" t="str">
        <f t="shared" si="20"/>
        <v>15</v>
      </c>
      <c r="D362" t="str">
        <f>"2"</f>
        <v>2</v>
      </c>
      <c r="E362" t="str">
        <f>"1-15-2"</f>
        <v>1-15-2</v>
      </c>
      <c r="F362" t="s">
        <v>83</v>
      </c>
      <c r="G362" t="s">
        <v>84</v>
      </c>
      <c r="H362" t="s">
        <v>92</v>
      </c>
      <c r="I362">
        <v>1</v>
      </c>
      <c r="J362">
        <v>1</v>
      </c>
      <c r="N362">
        <v>1</v>
      </c>
      <c r="O362">
        <v>1</v>
      </c>
      <c r="P362">
        <v>1</v>
      </c>
      <c r="Q362">
        <v>1</v>
      </c>
      <c r="R362">
        <v>1</v>
      </c>
      <c r="S362">
        <v>1</v>
      </c>
      <c r="T362">
        <v>1</v>
      </c>
      <c r="W362">
        <v>1</v>
      </c>
      <c r="X362">
        <v>1</v>
      </c>
      <c r="Y362">
        <v>1</v>
      </c>
      <c r="Z362">
        <v>1</v>
      </c>
      <c r="AA362">
        <v>1</v>
      </c>
      <c r="AB362">
        <v>1</v>
      </c>
    </row>
    <row r="363" spans="1:28" x14ac:dyDescent="0.25">
      <c r="A363" t="str">
        <f>"359"</f>
        <v>359</v>
      </c>
      <c r="B363" t="str">
        <f t="shared" si="19"/>
        <v>1</v>
      </c>
      <c r="C363" t="str">
        <f t="shared" si="20"/>
        <v>15</v>
      </c>
      <c r="D363" t="str">
        <f>"21"</f>
        <v>21</v>
      </c>
      <c r="E363" t="str">
        <f>"1-15-21"</f>
        <v>1-15-21</v>
      </c>
      <c r="F363" t="s">
        <v>83</v>
      </c>
      <c r="G363" t="s">
        <v>84</v>
      </c>
      <c r="H363" t="s">
        <v>92</v>
      </c>
      <c r="I363">
        <v>0</v>
      </c>
      <c r="J363">
        <v>1</v>
      </c>
      <c r="N363">
        <v>1</v>
      </c>
      <c r="O363">
        <v>0</v>
      </c>
      <c r="P363">
        <v>1</v>
      </c>
      <c r="Q363">
        <v>0</v>
      </c>
      <c r="R363">
        <v>1</v>
      </c>
      <c r="S363">
        <v>0</v>
      </c>
      <c r="T363">
        <v>0</v>
      </c>
      <c r="W363">
        <v>0</v>
      </c>
      <c r="X363">
        <v>0</v>
      </c>
      <c r="Y363">
        <v>1</v>
      </c>
      <c r="Z363">
        <v>0</v>
      </c>
      <c r="AA363">
        <v>0</v>
      </c>
      <c r="AB363">
        <v>0</v>
      </c>
    </row>
    <row r="364" spans="1:28" x14ac:dyDescent="0.25">
      <c r="A364" t="str">
        <f>"360"</f>
        <v>360</v>
      </c>
      <c r="B364" t="str">
        <f t="shared" si="19"/>
        <v>1</v>
      </c>
      <c r="C364" t="str">
        <f t="shared" si="20"/>
        <v>15</v>
      </c>
      <c r="D364" t="str">
        <f>"12"</f>
        <v>12</v>
      </c>
      <c r="E364" t="str">
        <f>"1-15-12"</f>
        <v>1-15-12</v>
      </c>
      <c r="F364" t="s">
        <v>83</v>
      </c>
      <c r="G364" t="s">
        <v>84</v>
      </c>
      <c r="H364" t="s">
        <v>92</v>
      </c>
      <c r="I364">
        <v>1</v>
      </c>
      <c r="J364">
        <v>1</v>
      </c>
      <c r="N364">
        <v>1</v>
      </c>
      <c r="O364">
        <v>1</v>
      </c>
      <c r="P364">
        <v>1</v>
      </c>
      <c r="Q364">
        <v>1</v>
      </c>
      <c r="R364">
        <v>1</v>
      </c>
      <c r="S364">
        <v>1</v>
      </c>
      <c r="T364">
        <v>1</v>
      </c>
      <c r="W364">
        <v>1</v>
      </c>
      <c r="X364">
        <v>1</v>
      </c>
      <c r="Y364">
        <v>1</v>
      </c>
      <c r="Z364">
        <v>1</v>
      </c>
      <c r="AA364">
        <v>1</v>
      </c>
      <c r="AB364">
        <v>1</v>
      </c>
    </row>
    <row r="365" spans="1:28" x14ac:dyDescent="0.25">
      <c r="A365" t="str">
        <f>"361"</f>
        <v>361</v>
      </c>
      <c r="B365" t="str">
        <f t="shared" si="19"/>
        <v>1</v>
      </c>
      <c r="C365" t="str">
        <f t="shared" si="20"/>
        <v>15</v>
      </c>
      <c r="D365" t="str">
        <f>"5"</f>
        <v>5</v>
      </c>
      <c r="E365" t="str">
        <f>"1-15-5"</f>
        <v>1-15-5</v>
      </c>
      <c r="F365" t="s">
        <v>83</v>
      </c>
      <c r="G365" t="s">
        <v>84</v>
      </c>
      <c r="H365" t="s">
        <v>92</v>
      </c>
      <c r="I365">
        <v>1</v>
      </c>
      <c r="J365">
        <v>1</v>
      </c>
      <c r="N365">
        <v>1</v>
      </c>
      <c r="O365">
        <v>1</v>
      </c>
      <c r="P365">
        <v>1</v>
      </c>
      <c r="Q365">
        <v>1</v>
      </c>
      <c r="R365">
        <v>1</v>
      </c>
      <c r="S365">
        <v>1</v>
      </c>
      <c r="T365">
        <v>1</v>
      </c>
      <c r="W365">
        <v>1</v>
      </c>
      <c r="X365">
        <v>1</v>
      </c>
      <c r="Y365">
        <v>1</v>
      </c>
      <c r="Z365">
        <v>1</v>
      </c>
      <c r="AA365">
        <v>1</v>
      </c>
      <c r="AB365">
        <v>1</v>
      </c>
    </row>
    <row r="366" spans="1:28" x14ac:dyDescent="0.25">
      <c r="A366" t="str">
        <f>"362"</f>
        <v>362</v>
      </c>
      <c r="B366" t="str">
        <f t="shared" si="19"/>
        <v>1</v>
      </c>
      <c r="C366" t="str">
        <f t="shared" si="20"/>
        <v>15</v>
      </c>
      <c r="D366" t="str">
        <f>"20"</f>
        <v>20</v>
      </c>
      <c r="E366" t="str">
        <f>"1-15-20"</f>
        <v>1-15-20</v>
      </c>
      <c r="F366" t="s">
        <v>83</v>
      </c>
      <c r="G366" t="s">
        <v>84</v>
      </c>
      <c r="H366" t="s">
        <v>92</v>
      </c>
      <c r="I366">
        <v>1</v>
      </c>
      <c r="J366">
        <v>1</v>
      </c>
      <c r="N366">
        <v>1</v>
      </c>
      <c r="O366">
        <v>1</v>
      </c>
      <c r="P366">
        <v>1</v>
      </c>
      <c r="Q366">
        <v>1</v>
      </c>
      <c r="R366">
        <v>1</v>
      </c>
      <c r="S366">
        <v>1</v>
      </c>
      <c r="T366">
        <v>1</v>
      </c>
      <c r="W366">
        <v>1</v>
      </c>
      <c r="X366">
        <v>1</v>
      </c>
      <c r="Y366">
        <v>1</v>
      </c>
      <c r="Z366">
        <v>1</v>
      </c>
      <c r="AA366">
        <v>1</v>
      </c>
      <c r="AB366">
        <v>1</v>
      </c>
    </row>
    <row r="367" spans="1:28" x14ac:dyDescent="0.25">
      <c r="A367" t="str">
        <f>"363"</f>
        <v>363</v>
      </c>
      <c r="B367" t="str">
        <f t="shared" si="19"/>
        <v>1</v>
      </c>
      <c r="C367" t="str">
        <f t="shared" si="20"/>
        <v>15</v>
      </c>
      <c r="D367" t="str">
        <f>"13"</f>
        <v>13</v>
      </c>
      <c r="E367" t="str">
        <f>"1-15-13"</f>
        <v>1-15-13</v>
      </c>
      <c r="F367" t="s">
        <v>83</v>
      </c>
      <c r="G367" t="s">
        <v>84</v>
      </c>
      <c r="H367" t="s">
        <v>92</v>
      </c>
      <c r="I367">
        <v>1</v>
      </c>
      <c r="J367">
        <v>1</v>
      </c>
      <c r="N367">
        <v>1</v>
      </c>
      <c r="O367">
        <v>1</v>
      </c>
      <c r="P367">
        <v>1</v>
      </c>
      <c r="Q367">
        <v>1</v>
      </c>
      <c r="R367">
        <v>1</v>
      </c>
      <c r="S367">
        <v>1</v>
      </c>
      <c r="T367">
        <v>1</v>
      </c>
      <c r="W367">
        <v>1</v>
      </c>
      <c r="X367">
        <v>1</v>
      </c>
      <c r="Y367">
        <v>1</v>
      </c>
      <c r="Z367">
        <v>1</v>
      </c>
      <c r="AA367">
        <v>1</v>
      </c>
      <c r="AB367">
        <v>1</v>
      </c>
    </row>
    <row r="368" spans="1:28" x14ac:dyDescent="0.25">
      <c r="A368" t="str">
        <f>"364"</f>
        <v>364</v>
      </c>
      <c r="B368" t="str">
        <f t="shared" si="19"/>
        <v>1</v>
      </c>
      <c r="C368" t="str">
        <f t="shared" si="20"/>
        <v>15</v>
      </c>
      <c r="D368" t="str">
        <f>"4"</f>
        <v>4</v>
      </c>
      <c r="E368" t="str">
        <f>"1-15-4"</f>
        <v>1-15-4</v>
      </c>
      <c r="F368" t="s">
        <v>83</v>
      </c>
      <c r="G368" t="s">
        <v>84</v>
      </c>
      <c r="H368" t="s">
        <v>92</v>
      </c>
      <c r="I368">
        <v>1</v>
      </c>
      <c r="J368">
        <v>1</v>
      </c>
      <c r="N368">
        <v>1</v>
      </c>
      <c r="O368">
        <v>1</v>
      </c>
      <c r="P368">
        <v>1</v>
      </c>
      <c r="Q368">
        <v>1</v>
      </c>
      <c r="R368">
        <v>1</v>
      </c>
      <c r="S368">
        <v>1</v>
      </c>
      <c r="T368">
        <v>1</v>
      </c>
      <c r="W368">
        <v>1</v>
      </c>
      <c r="X368">
        <v>1</v>
      </c>
      <c r="Y368">
        <v>1</v>
      </c>
      <c r="Z368">
        <v>1</v>
      </c>
      <c r="AA368">
        <v>1</v>
      </c>
      <c r="AB368">
        <v>1</v>
      </c>
    </row>
    <row r="369" spans="1:28" x14ac:dyDescent="0.25">
      <c r="A369" t="str">
        <f>"365"</f>
        <v>365</v>
      </c>
      <c r="B369" t="str">
        <f t="shared" si="19"/>
        <v>1</v>
      </c>
      <c r="C369" t="str">
        <f t="shared" si="20"/>
        <v>15</v>
      </c>
      <c r="D369" t="str">
        <f>"14"</f>
        <v>14</v>
      </c>
      <c r="E369" t="str">
        <f>"1-15-14"</f>
        <v>1-15-14</v>
      </c>
      <c r="F369" t="s">
        <v>83</v>
      </c>
      <c r="G369" t="s">
        <v>84</v>
      </c>
      <c r="H369" t="s">
        <v>92</v>
      </c>
      <c r="I369">
        <v>1</v>
      </c>
      <c r="J369">
        <v>1</v>
      </c>
      <c r="N369">
        <v>1</v>
      </c>
      <c r="O369">
        <v>1</v>
      </c>
      <c r="P369">
        <v>1</v>
      </c>
      <c r="Q369">
        <v>1</v>
      </c>
      <c r="R369">
        <v>1</v>
      </c>
      <c r="S369">
        <v>1</v>
      </c>
      <c r="T369">
        <v>1</v>
      </c>
      <c r="W369">
        <v>1</v>
      </c>
      <c r="X369">
        <v>1</v>
      </c>
      <c r="Y369">
        <v>1</v>
      </c>
      <c r="Z369">
        <v>1</v>
      </c>
      <c r="AA369">
        <v>1</v>
      </c>
      <c r="AB369">
        <v>1</v>
      </c>
    </row>
    <row r="370" spans="1:28" x14ac:dyDescent="0.25">
      <c r="A370" t="str">
        <f>"366"</f>
        <v>366</v>
      </c>
      <c r="B370" t="str">
        <f t="shared" si="19"/>
        <v>1</v>
      </c>
      <c r="C370" t="str">
        <f t="shared" si="20"/>
        <v>15</v>
      </c>
      <c r="D370" t="str">
        <f>"3"</f>
        <v>3</v>
      </c>
      <c r="E370" t="str">
        <f>"1-15-3"</f>
        <v>1-15-3</v>
      </c>
      <c r="F370" t="s">
        <v>83</v>
      </c>
      <c r="G370" t="s">
        <v>84</v>
      </c>
      <c r="H370" t="s">
        <v>92</v>
      </c>
      <c r="I370">
        <v>1</v>
      </c>
      <c r="J370">
        <v>1</v>
      </c>
      <c r="N370">
        <v>1</v>
      </c>
      <c r="O370">
        <v>1</v>
      </c>
      <c r="P370">
        <v>1</v>
      </c>
      <c r="Q370">
        <v>1</v>
      </c>
      <c r="R370">
        <v>0</v>
      </c>
      <c r="S370">
        <v>1</v>
      </c>
      <c r="T370">
        <v>1</v>
      </c>
      <c r="W370">
        <v>1</v>
      </c>
      <c r="X370">
        <v>1</v>
      </c>
      <c r="Y370">
        <v>1</v>
      </c>
      <c r="Z370">
        <v>1</v>
      </c>
      <c r="AA370">
        <v>1</v>
      </c>
      <c r="AB370">
        <v>1</v>
      </c>
    </row>
    <row r="371" spans="1:28" x14ac:dyDescent="0.25">
      <c r="A371" t="str">
        <f>"367"</f>
        <v>367</v>
      </c>
      <c r="B371" t="str">
        <f t="shared" si="19"/>
        <v>1</v>
      </c>
      <c r="C371" t="str">
        <f t="shared" si="20"/>
        <v>15</v>
      </c>
      <c r="D371" t="str">
        <f>"22"</f>
        <v>22</v>
      </c>
      <c r="E371" t="str">
        <f>"1-15-22"</f>
        <v>1-15-22</v>
      </c>
      <c r="F371" t="s">
        <v>83</v>
      </c>
      <c r="G371" t="s">
        <v>84</v>
      </c>
      <c r="H371" t="s">
        <v>92</v>
      </c>
      <c r="I371">
        <v>1</v>
      </c>
      <c r="J371">
        <v>1</v>
      </c>
      <c r="N371">
        <v>1</v>
      </c>
      <c r="O371">
        <v>1</v>
      </c>
      <c r="P371">
        <v>1</v>
      </c>
      <c r="Q371">
        <v>1</v>
      </c>
      <c r="R371">
        <v>1</v>
      </c>
      <c r="S371">
        <v>1</v>
      </c>
      <c r="T371">
        <v>1</v>
      </c>
      <c r="W371">
        <v>1</v>
      </c>
      <c r="X371">
        <v>1</v>
      </c>
      <c r="Y371">
        <v>1</v>
      </c>
      <c r="Z371">
        <v>1</v>
      </c>
      <c r="AA371">
        <v>1</v>
      </c>
      <c r="AB371">
        <v>1</v>
      </c>
    </row>
    <row r="372" spans="1:28" x14ac:dyDescent="0.25">
      <c r="A372" t="str">
        <f>"368"</f>
        <v>368</v>
      </c>
      <c r="B372" t="str">
        <f t="shared" si="19"/>
        <v>1</v>
      </c>
      <c r="C372" t="str">
        <f t="shared" si="20"/>
        <v>15</v>
      </c>
      <c r="D372" t="str">
        <f>"15"</f>
        <v>15</v>
      </c>
      <c r="E372" t="str">
        <f>"1-15-15"</f>
        <v>1-15-15</v>
      </c>
      <c r="F372" t="s">
        <v>83</v>
      </c>
      <c r="G372" t="s">
        <v>84</v>
      </c>
      <c r="H372" t="s">
        <v>92</v>
      </c>
      <c r="I372">
        <v>1</v>
      </c>
      <c r="J372">
        <v>1</v>
      </c>
      <c r="N372">
        <v>1</v>
      </c>
      <c r="O372">
        <v>1</v>
      </c>
      <c r="P372">
        <v>1</v>
      </c>
      <c r="Q372">
        <v>1</v>
      </c>
      <c r="R372">
        <v>1</v>
      </c>
      <c r="S372">
        <v>1</v>
      </c>
      <c r="T372">
        <v>1</v>
      </c>
      <c r="W372">
        <v>1</v>
      </c>
      <c r="X372">
        <v>1</v>
      </c>
      <c r="Y372">
        <v>1</v>
      </c>
      <c r="Z372">
        <v>1</v>
      </c>
      <c r="AA372">
        <v>1</v>
      </c>
      <c r="AB372">
        <v>1</v>
      </c>
    </row>
    <row r="373" spans="1:28" x14ac:dyDescent="0.25">
      <c r="A373" t="str">
        <f>"369"</f>
        <v>369</v>
      </c>
      <c r="B373" t="str">
        <f t="shared" si="19"/>
        <v>1</v>
      </c>
      <c r="C373" t="str">
        <f t="shared" si="20"/>
        <v>15</v>
      </c>
      <c r="D373" t="str">
        <f>"6"</f>
        <v>6</v>
      </c>
      <c r="E373" t="str">
        <f>"1-15-6"</f>
        <v>1-15-6</v>
      </c>
      <c r="F373" t="s">
        <v>83</v>
      </c>
      <c r="G373" t="s">
        <v>84</v>
      </c>
      <c r="H373" t="s">
        <v>92</v>
      </c>
      <c r="I373">
        <v>1</v>
      </c>
      <c r="J373">
        <v>1</v>
      </c>
      <c r="N373">
        <v>1</v>
      </c>
      <c r="O373">
        <v>1</v>
      </c>
      <c r="P373">
        <v>1</v>
      </c>
      <c r="Q373">
        <v>1</v>
      </c>
      <c r="R373">
        <v>1</v>
      </c>
      <c r="S373">
        <v>1</v>
      </c>
      <c r="T373">
        <v>1</v>
      </c>
      <c r="W373">
        <v>1</v>
      </c>
      <c r="X373">
        <v>1</v>
      </c>
      <c r="Y373">
        <v>1</v>
      </c>
      <c r="Z373">
        <v>1</v>
      </c>
      <c r="AA373">
        <v>1</v>
      </c>
      <c r="AB373">
        <v>1</v>
      </c>
    </row>
    <row r="374" spans="1:28" x14ac:dyDescent="0.25">
      <c r="A374" t="str">
        <f>"370"</f>
        <v>370</v>
      </c>
      <c r="B374" t="str">
        <f t="shared" si="19"/>
        <v>1</v>
      </c>
      <c r="C374" t="str">
        <f t="shared" si="20"/>
        <v>15</v>
      </c>
      <c r="D374" t="str">
        <f>"23"</f>
        <v>23</v>
      </c>
      <c r="E374" t="str">
        <f>"1-15-23"</f>
        <v>1-15-23</v>
      </c>
      <c r="F374" t="s">
        <v>83</v>
      </c>
      <c r="G374" t="s">
        <v>84</v>
      </c>
      <c r="H374" t="s">
        <v>92</v>
      </c>
      <c r="I374">
        <v>1</v>
      </c>
      <c r="J374">
        <v>0</v>
      </c>
      <c r="N374">
        <v>1</v>
      </c>
      <c r="O374">
        <v>1</v>
      </c>
      <c r="P374">
        <v>1</v>
      </c>
      <c r="Q374">
        <v>1</v>
      </c>
      <c r="R374">
        <v>1</v>
      </c>
      <c r="S374">
        <v>0</v>
      </c>
      <c r="T374">
        <v>1</v>
      </c>
      <c r="W374">
        <v>0</v>
      </c>
      <c r="X374">
        <v>1</v>
      </c>
      <c r="Y374">
        <v>1</v>
      </c>
      <c r="Z374">
        <v>1</v>
      </c>
      <c r="AA374">
        <v>1</v>
      </c>
      <c r="AB374">
        <v>1</v>
      </c>
    </row>
    <row r="375" spans="1:28" x14ac:dyDescent="0.25">
      <c r="A375" t="str">
        <f>"371"</f>
        <v>371</v>
      </c>
      <c r="B375" t="str">
        <f t="shared" si="19"/>
        <v>1</v>
      </c>
      <c r="C375" t="str">
        <f t="shared" ref="C375:C399" si="21">"16"</f>
        <v>16</v>
      </c>
      <c r="D375" t="str">
        <f>"17"</f>
        <v>17</v>
      </c>
      <c r="E375" t="str">
        <f>"1-16-17"</f>
        <v>1-16-17</v>
      </c>
      <c r="F375" t="s">
        <v>83</v>
      </c>
      <c r="G375" t="s">
        <v>84</v>
      </c>
      <c r="H375" t="s">
        <v>92</v>
      </c>
      <c r="I375">
        <v>1</v>
      </c>
      <c r="J375">
        <v>1</v>
      </c>
      <c r="N375">
        <v>1</v>
      </c>
      <c r="O375">
        <v>1</v>
      </c>
      <c r="P375">
        <v>1</v>
      </c>
      <c r="Q375">
        <v>1</v>
      </c>
      <c r="R375">
        <v>1</v>
      </c>
      <c r="S375">
        <v>1</v>
      </c>
      <c r="T375">
        <v>1</v>
      </c>
      <c r="W375">
        <v>1</v>
      </c>
      <c r="X375">
        <v>1</v>
      </c>
      <c r="Y375">
        <v>1</v>
      </c>
      <c r="Z375">
        <v>1</v>
      </c>
      <c r="AA375">
        <v>1</v>
      </c>
      <c r="AB375">
        <v>1</v>
      </c>
    </row>
    <row r="376" spans="1:28" x14ac:dyDescent="0.25">
      <c r="A376" t="str">
        <f>"372"</f>
        <v>372</v>
      </c>
      <c r="B376" t="str">
        <f t="shared" si="19"/>
        <v>1</v>
      </c>
      <c r="C376" t="str">
        <f t="shared" si="21"/>
        <v>16</v>
      </c>
      <c r="D376" t="str">
        <f>"16"</f>
        <v>16</v>
      </c>
      <c r="E376" t="str">
        <f>"1-16-16"</f>
        <v>1-16-16</v>
      </c>
      <c r="F376" t="s">
        <v>83</v>
      </c>
      <c r="G376" t="s">
        <v>84</v>
      </c>
      <c r="H376" t="s">
        <v>92</v>
      </c>
      <c r="I376">
        <v>1</v>
      </c>
      <c r="J376">
        <v>1</v>
      </c>
      <c r="N376">
        <v>1</v>
      </c>
      <c r="O376">
        <v>1</v>
      </c>
      <c r="P376">
        <v>1</v>
      </c>
      <c r="Q376">
        <v>1</v>
      </c>
      <c r="R376">
        <v>1</v>
      </c>
      <c r="S376">
        <v>1</v>
      </c>
      <c r="T376">
        <v>1</v>
      </c>
      <c r="W376">
        <v>1</v>
      </c>
      <c r="X376">
        <v>1</v>
      </c>
      <c r="Y376">
        <v>1</v>
      </c>
      <c r="Z376">
        <v>1</v>
      </c>
      <c r="AA376">
        <v>1</v>
      </c>
      <c r="AB376">
        <v>1</v>
      </c>
    </row>
    <row r="377" spans="1:28" x14ac:dyDescent="0.25">
      <c r="A377" t="str">
        <f>"373"</f>
        <v>373</v>
      </c>
      <c r="B377" t="str">
        <f t="shared" si="19"/>
        <v>1</v>
      </c>
      <c r="C377" t="str">
        <f t="shared" si="21"/>
        <v>16</v>
      </c>
      <c r="D377" t="str">
        <f>"13"</f>
        <v>13</v>
      </c>
      <c r="E377" t="str">
        <f>"1-16-13"</f>
        <v>1-16-13</v>
      </c>
      <c r="F377" t="s">
        <v>83</v>
      </c>
      <c r="G377" t="s">
        <v>84</v>
      </c>
      <c r="H377" t="s">
        <v>92</v>
      </c>
      <c r="I377">
        <v>1</v>
      </c>
      <c r="J377">
        <v>0</v>
      </c>
      <c r="N377">
        <v>1</v>
      </c>
      <c r="O377">
        <v>1</v>
      </c>
      <c r="P377">
        <v>1</v>
      </c>
      <c r="Q377">
        <v>1</v>
      </c>
      <c r="R377">
        <v>1</v>
      </c>
      <c r="S377">
        <v>1</v>
      </c>
      <c r="T377">
        <v>0</v>
      </c>
      <c r="W377">
        <v>1</v>
      </c>
      <c r="X377">
        <v>1</v>
      </c>
      <c r="Y377">
        <v>1</v>
      </c>
      <c r="Z377">
        <v>1</v>
      </c>
      <c r="AA377">
        <v>1</v>
      </c>
      <c r="AB377">
        <v>1</v>
      </c>
    </row>
    <row r="378" spans="1:28" x14ac:dyDescent="0.25">
      <c r="A378" t="str">
        <f>"374"</f>
        <v>374</v>
      </c>
      <c r="B378" t="str">
        <f t="shared" si="19"/>
        <v>1</v>
      </c>
      <c r="C378" t="str">
        <f t="shared" si="21"/>
        <v>16</v>
      </c>
      <c r="D378" t="str">
        <f>"8"</f>
        <v>8</v>
      </c>
      <c r="E378" t="str">
        <f>"1-16-8"</f>
        <v>1-16-8</v>
      </c>
      <c r="F378" t="s">
        <v>83</v>
      </c>
      <c r="G378" t="s">
        <v>84</v>
      </c>
      <c r="H378" t="s">
        <v>92</v>
      </c>
      <c r="I378">
        <v>1</v>
      </c>
      <c r="J378">
        <v>1</v>
      </c>
      <c r="N378">
        <v>1</v>
      </c>
      <c r="O378">
        <v>1</v>
      </c>
      <c r="P378">
        <v>1</v>
      </c>
      <c r="Q378">
        <v>1</v>
      </c>
      <c r="R378">
        <v>1</v>
      </c>
      <c r="S378">
        <v>1</v>
      </c>
      <c r="T378">
        <v>1</v>
      </c>
      <c r="W378">
        <v>1</v>
      </c>
      <c r="X378">
        <v>1</v>
      </c>
      <c r="Y378">
        <v>1</v>
      </c>
      <c r="Z378">
        <v>1</v>
      </c>
      <c r="AA378">
        <v>1</v>
      </c>
      <c r="AB378">
        <v>1</v>
      </c>
    </row>
    <row r="379" spans="1:28" x14ac:dyDescent="0.25">
      <c r="A379" t="str">
        <f>"375"</f>
        <v>375</v>
      </c>
      <c r="B379" t="str">
        <f t="shared" si="19"/>
        <v>1</v>
      </c>
      <c r="C379" t="str">
        <f t="shared" si="21"/>
        <v>16</v>
      </c>
      <c r="D379" t="str">
        <f>"5"</f>
        <v>5</v>
      </c>
      <c r="E379" t="str">
        <f>"1-16-5"</f>
        <v>1-16-5</v>
      </c>
      <c r="F379" t="s">
        <v>83</v>
      </c>
      <c r="G379" t="s">
        <v>84</v>
      </c>
      <c r="H379" t="s">
        <v>92</v>
      </c>
      <c r="I379">
        <v>1</v>
      </c>
      <c r="J379">
        <v>1</v>
      </c>
      <c r="N379">
        <v>1</v>
      </c>
      <c r="O379">
        <v>1</v>
      </c>
      <c r="P379">
        <v>1</v>
      </c>
      <c r="Q379">
        <v>1</v>
      </c>
      <c r="R379">
        <v>1</v>
      </c>
      <c r="S379">
        <v>1</v>
      </c>
      <c r="T379">
        <v>1</v>
      </c>
      <c r="W379">
        <v>1</v>
      </c>
      <c r="X379">
        <v>1</v>
      </c>
      <c r="Y379">
        <v>1</v>
      </c>
      <c r="Z379">
        <v>1</v>
      </c>
      <c r="AA379">
        <v>1</v>
      </c>
      <c r="AB379">
        <v>1</v>
      </c>
    </row>
    <row r="380" spans="1:28" x14ac:dyDescent="0.25">
      <c r="A380" t="str">
        <f>"376"</f>
        <v>376</v>
      </c>
      <c r="B380" t="str">
        <f t="shared" si="19"/>
        <v>1</v>
      </c>
      <c r="C380" t="str">
        <f t="shared" si="21"/>
        <v>16</v>
      </c>
      <c r="D380" t="str">
        <f>"18"</f>
        <v>18</v>
      </c>
      <c r="E380" t="str">
        <f>"1-16-18"</f>
        <v>1-16-18</v>
      </c>
      <c r="F380" t="s">
        <v>83</v>
      </c>
      <c r="G380" t="s">
        <v>84</v>
      </c>
      <c r="H380" t="s">
        <v>92</v>
      </c>
      <c r="I380">
        <v>1</v>
      </c>
      <c r="J380">
        <v>1</v>
      </c>
      <c r="N380">
        <v>1</v>
      </c>
      <c r="O380">
        <v>1</v>
      </c>
      <c r="P380">
        <v>1</v>
      </c>
      <c r="Q380">
        <v>1</v>
      </c>
      <c r="R380">
        <v>1</v>
      </c>
      <c r="S380">
        <v>1</v>
      </c>
      <c r="T380">
        <v>1</v>
      </c>
      <c r="W380">
        <v>1</v>
      </c>
      <c r="X380">
        <v>1</v>
      </c>
      <c r="Y380">
        <v>1</v>
      </c>
      <c r="Z380">
        <v>1</v>
      </c>
      <c r="AA380">
        <v>1</v>
      </c>
      <c r="AB380">
        <v>1</v>
      </c>
    </row>
    <row r="381" spans="1:28" x14ac:dyDescent="0.25">
      <c r="A381" t="str">
        <f>"377"</f>
        <v>377</v>
      </c>
      <c r="B381" t="str">
        <f t="shared" si="19"/>
        <v>1</v>
      </c>
      <c r="C381" t="str">
        <f t="shared" si="21"/>
        <v>16</v>
      </c>
      <c r="D381" t="str">
        <f>"4"</f>
        <v>4</v>
      </c>
      <c r="E381" t="str">
        <f>"1-16-4"</f>
        <v>1-16-4</v>
      </c>
      <c r="F381" t="s">
        <v>83</v>
      </c>
      <c r="G381" t="s">
        <v>84</v>
      </c>
      <c r="H381" t="s">
        <v>92</v>
      </c>
      <c r="I381">
        <v>1</v>
      </c>
      <c r="J381">
        <v>1</v>
      </c>
      <c r="N381">
        <v>1</v>
      </c>
      <c r="O381">
        <v>1</v>
      </c>
      <c r="P381">
        <v>1</v>
      </c>
      <c r="Q381">
        <v>1</v>
      </c>
      <c r="R381">
        <v>1</v>
      </c>
      <c r="S381">
        <v>1</v>
      </c>
      <c r="T381">
        <v>1</v>
      </c>
      <c r="W381">
        <v>1</v>
      </c>
      <c r="X381">
        <v>1</v>
      </c>
      <c r="Y381">
        <v>1</v>
      </c>
      <c r="Z381">
        <v>1</v>
      </c>
      <c r="AA381">
        <v>1</v>
      </c>
      <c r="AB381">
        <v>1</v>
      </c>
    </row>
    <row r="382" spans="1:28" x14ac:dyDescent="0.25">
      <c r="A382" t="str">
        <f>"378"</f>
        <v>378</v>
      </c>
      <c r="B382" t="str">
        <f t="shared" si="19"/>
        <v>1</v>
      </c>
      <c r="C382" t="str">
        <f t="shared" si="21"/>
        <v>16</v>
      </c>
      <c r="D382" t="str">
        <f>"25"</f>
        <v>25</v>
      </c>
      <c r="E382" t="str">
        <f>"1-16-25"</f>
        <v>1-16-25</v>
      </c>
      <c r="F382" t="s">
        <v>83</v>
      </c>
      <c r="G382" t="s">
        <v>84</v>
      </c>
      <c r="H382" t="s">
        <v>92</v>
      </c>
      <c r="I382">
        <v>0</v>
      </c>
      <c r="J382">
        <v>1</v>
      </c>
      <c r="N382">
        <v>1</v>
      </c>
      <c r="O382">
        <v>1</v>
      </c>
      <c r="P382">
        <v>1</v>
      </c>
      <c r="Q382">
        <v>1</v>
      </c>
      <c r="R382">
        <v>1</v>
      </c>
      <c r="S382">
        <v>0</v>
      </c>
      <c r="T382">
        <v>1</v>
      </c>
      <c r="W382">
        <v>0</v>
      </c>
      <c r="X382">
        <v>1</v>
      </c>
      <c r="Y382">
        <v>1</v>
      </c>
      <c r="Z382">
        <v>1</v>
      </c>
      <c r="AA382">
        <v>1</v>
      </c>
      <c r="AB382">
        <v>0</v>
      </c>
    </row>
    <row r="383" spans="1:28" x14ac:dyDescent="0.25">
      <c r="A383" t="str">
        <f>"379"</f>
        <v>379</v>
      </c>
      <c r="B383" t="str">
        <f t="shared" si="19"/>
        <v>1</v>
      </c>
      <c r="C383" t="str">
        <f t="shared" si="21"/>
        <v>16</v>
      </c>
      <c r="D383" t="str">
        <f>"24"</f>
        <v>24</v>
      </c>
      <c r="E383" t="str">
        <f>"1-16-24"</f>
        <v>1-16-24</v>
      </c>
      <c r="F383" t="s">
        <v>83</v>
      </c>
      <c r="G383" t="s">
        <v>84</v>
      </c>
      <c r="H383" t="s">
        <v>92</v>
      </c>
      <c r="I383">
        <v>1</v>
      </c>
      <c r="J383">
        <v>1</v>
      </c>
      <c r="N383">
        <v>1</v>
      </c>
      <c r="O383">
        <v>1</v>
      </c>
      <c r="P383">
        <v>1</v>
      </c>
      <c r="Q383">
        <v>1</v>
      </c>
      <c r="R383">
        <v>1</v>
      </c>
      <c r="S383">
        <v>1</v>
      </c>
      <c r="T383">
        <v>1</v>
      </c>
      <c r="W383">
        <v>1</v>
      </c>
      <c r="X383">
        <v>1</v>
      </c>
      <c r="Y383">
        <v>1</v>
      </c>
      <c r="Z383">
        <v>1</v>
      </c>
      <c r="AA383">
        <v>1</v>
      </c>
      <c r="AB383">
        <v>1</v>
      </c>
    </row>
    <row r="384" spans="1:28" x14ac:dyDescent="0.25">
      <c r="A384" t="str">
        <f>"380"</f>
        <v>380</v>
      </c>
      <c r="B384" t="str">
        <f t="shared" si="19"/>
        <v>1</v>
      </c>
      <c r="C384" t="str">
        <f t="shared" si="21"/>
        <v>16</v>
      </c>
      <c r="D384" t="str">
        <f>"19"</f>
        <v>19</v>
      </c>
      <c r="E384" t="str">
        <f>"1-16-19"</f>
        <v>1-16-19</v>
      </c>
      <c r="F384" t="s">
        <v>83</v>
      </c>
      <c r="G384" t="s">
        <v>84</v>
      </c>
      <c r="H384" t="s">
        <v>92</v>
      </c>
      <c r="I384">
        <v>1</v>
      </c>
      <c r="J384">
        <v>1</v>
      </c>
      <c r="N384">
        <v>1</v>
      </c>
      <c r="O384">
        <v>1</v>
      </c>
      <c r="P384">
        <v>1</v>
      </c>
      <c r="Q384">
        <v>1</v>
      </c>
      <c r="R384">
        <v>1</v>
      </c>
      <c r="S384">
        <v>1</v>
      </c>
      <c r="T384">
        <v>1</v>
      </c>
      <c r="W384">
        <v>1</v>
      </c>
      <c r="X384">
        <v>1</v>
      </c>
      <c r="Y384">
        <v>1</v>
      </c>
      <c r="Z384">
        <v>1</v>
      </c>
      <c r="AA384">
        <v>1</v>
      </c>
      <c r="AB384">
        <v>1</v>
      </c>
    </row>
    <row r="385" spans="1:28" x14ac:dyDescent="0.25">
      <c r="A385" t="str">
        <f>"381"</f>
        <v>381</v>
      </c>
      <c r="B385" t="str">
        <f t="shared" si="19"/>
        <v>1</v>
      </c>
      <c r="C385" t="str">
        <f t="shared" si="21"/>
        <v>16</v>
      </c>
      <c r="D385" t="str">
        <f>"10"</f>
        <v>10</v>
      </c>
      <c r="E385" t="str">
        <f>"1-16-10"</f>
        <v>1-16-10</v>
      </c>
      <c r="F385" t="s">
        <v>83</v>
      </c>
      <c r="G385" t="s">
        <v>86</v>
      </c>
      <c r="H385" t="s">
        <v>93</v>
      </c>
      <c r="I385">
        <v>1</v>
      </c>
      <c r="K385">
        <v>0</v>
      </c>
      <c r="L385">
        <v>0</v>
      </c>
      <c r="M385">
        <v>1</v>
      </c>
      <c r="N385">
        <v>1</v>
      </c>
      <c r="O385">
        <v>1</v>
      </c>
      <c r="P385">
        <v>1</v>
      </c>
      <c r="Q385">
        <v>1</v>
      </c>
      <c r="R385">
        <v>1</v>
      </c>
      <c r="U385">
        <v>1</v>
      </c>
      <c r="V385">
        <v>0</v>
      </c>
      <c r="W385">
        <v>1</v>
      </c>
      <c r="X385">
        <v>1</v>
      </c>
      <c r="Y385">
        <v>1</v>
      </c>
      <c r="Z385">
        <v>1</v>
      </c>
      <c r="AA385">
        <v>1</v>
      </c>
      <c r="AB385">
        <v>1</v>
      </c>
    </row>
    <row r="386" spans="1:28" x14ac:dyDescent="0.25">
      <c r="A386" t="str">
        <f>"382"</f>
        <v>382</v>
      </c>
      <c r="B386" t="str">
        <f t="shared" si="19"/>
        <v>1</v>
      </c>
      <c r="C386" t="str">
        <f t="shared" si="21"/>
        <v>16</v>
      </c>
      <c r="D386" t="str">
        <f>"3"</f>
        <v>3</v>
      </c>
      <c r="E386" t="str">
        <f>"1-16-3"</f>
        <v>1-16-3</v>
      </c>
      <c r="F386" t="s">
        <v>83</v>
      </c>
      <c r="G386" t="s">
        <v>84</v>
      </c>
      <c r="H386" t="s">
        <v>92</v>
      </c>
      <c r="I386">
        <v>1</v>
      </c>
      <c r="J386">
        <v>1</v>
      </c>
      <c r="N386">
        <v>1</v>
      </c>
      <c r="O386">
        <v>1</v>
      </c>
      <c r="P386">
        <v>1</v>
      </c>
      <c r="Q386">
        <v>1</v>
      </c>
      <c r="R386">
        <v>1</v>
      </c>
      <c r="S386">
        <v>1</v>
      </c>
      <c r="T386">
        <v>1</v>
      </c>
      <c r="W386">
        <v>1</v>
      </c>
      <c r="X386">
        <v>0</v>
      </c>
      <c r="Y386">
        <v>0</v>
      </c>
      <c r="Z386">
        <v>1</v>
      </c>
      <c r="AA386">
        <v>1</v>
      </c>
      <c r="AB386">
        <v>1</v>
      </c>
    </row>
    <row r="387" spans="1:28" x14ac:dyDescent="0.25">
      <c r="A387" t="str">
        <f>"383"</f>
        <v>383</v>
      </c>
      <c r="B387" t="str">
        <f t="shared" si="19"/>
        <v>1</v>
      </c>
      <c r="C387" t="str">
        <f t="shared" si="21"/>
        <v>16</v>
      </c>
      <c r="D387" t="str">
        <f>"20"</f>
        <v>20</v>
      </c>
      <c r="E387" t="str">
        <f>"1-16-20"</f>
        <v>1-16-20</v>
      </c>
      <c r="F387" t="s">
        <v>83</v>
      </c>
      <c r="G387" t="s">
        <v>84</v>
      </c>
      <c r="H387" t="s">
        <v>92</v>
      </c>
      <c r="I387">
        <v>1</v>
      </c>
      <c r="J387">
        <v>1</v>
      </c>
      <c r="N387">
        <v>1</v>
      </c>
      <c r="O387">
        <v>1</v>
      </c>
      <c r="P387">
        <v>1</v>
      </c>
      <c r="Q387">
        <v>1</v>
      </c>
      <c r="R387">
        <v>1</v>
      </c>
      <c r="S387">
        <v>1</v>
      </c>
      <c r="T387">
        <v>1</v>
      </c>
      <c r="W387">
        <v>1</v>
      </c>
      <c r="X387">
        <v>1</v>
      </c>
      <c r="Y387">
        <v>1</v>
      </c>
      <c r="Z387">
        <v>1</v>
      </c>
      <c r="AA387">
        <v>1</v>
      </c>
      <c r="AB387">
        <v>1</v>
      </c>
    </row>
    <row r="388" spans="1:28" x14ac:dyDescent="0.25">
      <c r="A388" t="str">
        <f>"384"</f>
        <v>384</v>
      </c>
      <c r="B388" t="str">
        <f t="shared" si="19"/>
        <v>1</v>
      </c>
      <c r="C388" t="str">
        <f t="shared" si="21"/>
        <v>16</v>
      </c>
      <c r="D388" t="str">
        <f>"11"</f>
        <v>11</v>
      </c>
      <c r="E388" t="str">
        <f>"1-16-11"</f>
        <v>1-16-11</v>
      </c>
      <c r="F388" t="s">
        <v>83</v>
      </c>
      <c r="G388" t="s">
        <v>84</v>
      </c>
      <c r="H388" t="s">
        <v>92</v>
      </c>
      <c r="I388">
        <v>1</v>
      </c>
      <c r="J388">
        <v>1</v>
      </c>
      <c r="N388">
        <v>1</v>
      </c>
      <c r="O388">
        <v>1</v>
      </c>
      <c r="P388">
        <v>1</v>
      </c>
      <c r="Q388">
        <v>1</v>
      </c>
      <c r="R388">
        <v>1</v>
      </c>
      <c r="S388">
        <v>1</v>
      </c>
      <c r="T388">
        <v>1</v>
      </c>
      <c r="W388">
        <v>1</v>
      </c>
      <c r="X388">
        <v>1</v>
      </c>
      <c r="Y388">
        <v>1</v>
      </c>
      <c r="Z388">
        <v>1</v>
      </c>
      <c r="AA388">
        <v>1</v>
      </c>
      <c r="AB388">
        <v>1</v>
      </c>
    </row>
    <row r="389" spans="1:28" x14ac:dyDescent="0.25">
      <c r="A389" t="str">
        <f>"385"</f>
        <v>385</v>
      </c>
      <c r="B389" t="str">
        <f t="shared" si="19"/>
        <v>1</v>
      </c>
      <c r="C389" t="str">
        <f t="shared" si="21"/>
        <v>16</v>
      </c>
      <c r="D389" t="str">
        <f>"6"</f>
        <v>6</v>
      </c>
      <c r="E389" t="str">
        <f>"1-16-6"</f>
        <v>1-16-6</v>
      </c>
      <c r="F389" t="s">
        <v>83</v>
      </c>
      <c r="G389" t="s">
        <v>84</v>
      </c>
      <c r="H389" t="s">
        <v>92</v>
      </c>
      <c r="I389">
        <v>1</v>
      </c>
      <c r="J389">
        <v>1</v>
      </c>
      <c r="N389">
        <v>1</v>
      </c>
      <c r="O389">
        <v>1</v>
      </c>
      <c r="P389">
        <v>1</v>
      </c>
      <c r="Q389">
        <v>1</v>
      </c>
      <c r="R389">
        <v>1</v>
      </c>
      <c r="S389">
        <v>1</v>
      </c>
      <c r="T389">
        <v>1</v>
      </c>
      <c r="W389">
        <v>1</v>
      </c>
      <c r="X389">
        <v>1</v>
      </c>
      <c r="Y389">
        <v>1</v>
      </c>
      <c r="Z389">
        <v>1</v>
      </c>
      <c r="AA389">
        <v>1</v>
      </c>
      <c r="AB389">
        <v>1</v>
      </c>
    </row>
    <row r="390" spans="1:28" x14ac:dyDescent="0.25">
      <c r="A390" t="str">
        <f>"386"</f>
        <v>386</v>
      </c>
      <c r="B390" t="str">
        <f t="shared" si="19"/>
        <v>1</v>
      </c>
      <c r="C390" t="str">
        <f t="shared" si="21"/>
        <v>16</v>
      </c>
      <c r="D390" t="str">
        <f>"21"</f>
        <v>21</v>
      </c>
      <c r="E390" t="str">
        <f>"1-16-21"</f>
        <v>1-16-21</v>
      </c>
      <c r="F390" t="s">
        <v>83</v>
      </c>
      <c r="G390" t="s">
        <v>84</v>
      </c>
      <c r="H390" t="s">
        <v>92</v>
      </c>
      <c r="I390">
        <v>1</v>
      </c>
      <c r="J390">
        <v>1</v>
      </c>
      <c r="N390">
        <v>1</v>
      </c>
      <c r="O390">
        <v>1</v>
      </c>
      <c r="P390">
        <v>1</v>
      </c>
      <c r="Q390">
        <v>1</v>
      </c>
      <c r="R390">
        <v>1</v>
      </c>
      <c r="S390">
        <v>1</v>
      </c>
      <c r="T390">
        <v>1</v>
      </c>
      <c r="W390">
        <v>1</v>
      </c>
      <c r="X390">
        <v>1</v>
      </c>
      <c r="Y390">
        <v>1</v>
      </c>
      <c r="Z390">
        <v>1</v>
      </c>
      <c r="AA390">
        <v>1</v>
      </c>
      <c r="AB390">
        <v>1</v>
      </c>
    </row>
    <row r="391" spans="1:28" x14ac:dyDescent="0.25">
      <c r="A391" t="str">
        <f>"387"</f>
        <v>387</v>
      </c>
      <c r="B391" t="str">
        <f t="shared" si="19"/>
        <v>1</v>
      </c>
      <c r="C391" t="str">
        <f t="shared" si="21"/>
        <v>16</v>
      </c>
      <c r="D391" t="str">
        <f>"12"</f>
        <v>12</v>
      </c>
      <c r="E391" t="str">
        <f>"1-16-12"</f>
        <v>1-16-12</v>
      </c>
      <c r="F391" t="s">
        <v>83</v>
      </c>
      <c r="G391" t="s">
        <v>86</v>
      </c>
      <c r="H391" t="s">
        <v>93</v>
      </c>
      <c r="I391">
        <v>1</v>
      </c>
      <c r="K391">
        <v>0</v>
      </c>
      <c r="L391">
        <v>0</v>
      </c>
      <c r="M391">
        <v>1</v>
      </c>
      <c r="N391">
        <v>1</v>
      </c>
      <c r="O391">
        <v>1</v>
      </c>
      <c r="P391">
        <v>1</v>
      </c>
      <c r="Q391">
        <v>1</v>
      </c>
      <c r="R391">
        <v>1</v>
      </c>
      <c r="U391">
        <v>1</v>
      </c>
      <c r="V391">
        <v>0</v>
      </c>
      <c r="W391">
        <v>1</v>
      </c>
      <c r="X391">
        <v>1</v>
      </c>
      <c r="Y391">
        <v>1</v>
      </c>
      <c r="Z391">
        <v>1</v>
      </c>
      <c r="AA391">
        <v>1</v>
      </c>
      <c r="AB391">
        <v>1</v>
      </c>
    </row>
    <row r="392" spans="1:28" x14ac:dyDescent="0.25">
      <c r="A392" t="str">
        <f>"388"</f>
        <v>388</v>
      </c>
      <c r="B392" t="str">
        <f t="shared" si="19"/>
        <v>1</v>
      </c>
      <c r="C392" t="str">
        <f t="shared" si="21"/>
        <v>16</v>
      </c>
      <c r="D392" t="str">
        <f>"1"</f>
        <v>1</v>
      </c>
      <c r="E392" t="str">
        <f>"1-16-1"</f>
        <v>1-16-1</v>
      </c>
      <c r="F392" t="s">
        <v>83</v>
      </c>
      <c r="G392" t="s">
        <v>84</v>
      </c>
      <c r="H392" t="s">
        <v>92</v>
      </c>
      <c r="I392">
        <v>1</v>
      </c>
      <c r="J392">
        <v>1</v>
      </c>
      <c r="N392">
        <v>1</v>
      </c>
      <c r="O392">
        <v>1</v>
      </c>
      <c r="P392">
        <v>1</v>
      </c>
      <c r="Q392">
        <v>1</v>
      </c>
      <c r="R392">
        <v>1</v>
      </c>
      <c r="S392">
        <v>1</v>
      </c>
      <c r="T392">
        <v>1</v>
      </c>
      <c r="W392">
        <v>1</v>
      </c>
      <c r="X392">
        <v>1</v>
      </c>
      <c r="Y392">
        <v>1</v>
      </c>
      <c r="Z392">
        <v>1</v>
      </c>
      <c r="AA392">
        <v>1</v>
      </c>
      <c r="AB392">
        <v>1</v>
      </c>
    </row>
    <row r="393" spans="1:28" x14ac:dyDescent="0.25">
      <c r="A393" t="str">
        <f>"389"</f>
        <v>389</v>
      </c>
      <c r="B393" t="str">
        <f t="shared" si="19"/>
        <v>1</v>
      </c>
      <c r="C393" t="str">
        <f t="shared" si="21"/>
        <v>16</v>
      </c>
      <c r="D393" t="str">
        <f>"23"</f>
        <v>23</v>
      </c>
      <c r="E393" t="str">
        <f>"1-16-23"</f>
        <v>1-16-23</v>
      </c>
      <c r="F393" t="s">
        <v>83</v>
      </c>
      <c r="G393" t="s">
        <v>84</v>
      </c>
      <c r="H393" t="s">
        <v>92</v>
      </c>
      <c r="I393">
        <v>1</v>
      </c>
      <c r="J393">
        <v>1</v>
      </c>
      <c r="N393">
        <v>1</v>
      </c>
      <c r="O393">
        <v>1</v>
      </c>
      <c r="P393">
        <v>1</v>
      </c>
      <c r="Q393">
        <v>1</v>
      </c>
      <c r="R393">
        <v>1</v>
      </c>
      <c r="S393">
        <v>1</v>
      </c>
      <c r="T393">
        <v>1</v>
      </c>
      <c r="W393">
        <v>1</v>
      </c>
      <c r="X393">
        <v>1</v>
      </c>
      <c r="Y393">
        <v>1</v>
      </c>
      <c r="Z393">
        <v>1</v>
      </c>
      <c r="AA393">
        <v>1</v>
      </c>
      <c r="AB393">
        <v>1</v>
      </c>
    </row>
    <row r="394" spans="1:28" x14ac:dyDescent="0.25">
      <c r="A394" t="str">
        <f>"390"</f>
        <v>390</v>
      </c>
      <c r="B394" t="str">
        <f t="shared" si="19"/>
        <v>1</v>
      </c>
      <c r="C394" t="str">
        <f t="shared" si="21"/>
        <v>16</v>
      </c>
      <c r="D394" t="str">
        <f>"14"</f>
        <v>14</v>
      </c>
      <c r="E394" t="str">
        <f>"1-16-14"</f>
        <v>1-16-14</v>
      </c>
      <c r="F394" t="s">
        <v>83</v>
      </c>
      <c r="G394" t="s">
        <v>84</v>
      </c>
      <c r="H394" t="s">
        <v>92</v>
      </c>
      <c r="I394">
        <v>1</v>
      </c>
      <c r="J394">
        <v>1</v>
      </c>
      <c r="N394">
        <v>1</v>
      </c>
      <c r="O394">
        <v>1</v>
      </c>
      <c r="P394">
        <v>1</v>
      </c>
      <c r="Q394">
        <v>1</v>
      </c>
      <c r="R394">
        <v>1</v>
      </c>
      <c r="S394">
        <v>1</v>
      </c>
      <c r="T394">
        <v>1</v>
      </c>
      <c r="W394">
        <v>1</v>
      </c>
      <c r="X394">
        <v>1</v>
      </c>
      <c r="Y394">
        <v>1</v>
      </c>
      <c r="Z394">
        <v>1</v>
      </c>
      <c r="AA394">
        <v>1</v>
      </c>
      <c r="AB394">
        <v>1</v>
      </c>
    </row>
    <row r="395" spans="1:28" x14ac:dyDescent="0.25">
      <c r="A395" t="str">
        <f>"391"</f>
        <v>391</v>
      </c>
      <c r="B395" t="str">
        <f t="shared" si="19"/>
        <v>1</v>
      </c>
      <c r="C395" t="str">
        <f t="shared" si="21"/>
        <v>16</v>
      </c>
      <c r="D395" t="str">
        <f>"7"</f>
        <v>7</v>
      </c>
      <c r="E395" t="str">
        <f>"1-16-7"</f>
        <v>1-16-7</v>
      </c>
      <c r="F395" t="s">
        <v>83</v>
      </c>
      <c r="G395" t="s">
        <v>84</v>
      </c>
      <c r="H395" t="s">
        <v>92</v>
      </c>
      <c r="I395">
        <v>1</v>
      </c>
      <c r="J395">
        <v>1</v>
      </c>
      <c r="N395">
        <v>1</v>
      </c>
      <c r="O395">
        <v>1</v>
      </c>
      <c r="P395">
        <v>1</v>
      </c>
      <c r="Q395">
        <v>1</v>
      </c>
      <c r="R395">
        <v>1</v>
      </c>
      <c r="S395">
        <v>1</v>
      </c>
      <c r="T395">
        <v>1</v>
      </c>
      <c r="W395">
        <v>1</v>
      </c>
      <c r="X395">
        <v>1</v>
      </c>
      <c r="Y395">
        <v>1</v>
      </c>
      <c r="Z395">
        <v>1</v>
      </c>
      <c r="AA395">
        <v>1</v>
      </c>
      <c r="AB395">
        <v>1</v>
      </c>
    </row>
    <row r="396" spans="1:28" x14ac:dyDescent="0.25">
      <c r="A396" t="str">
        <f>"392"</f>
        <v>392</v>
      </c>
      <c r="B396" t="str">
        <f t="shared" si="19"/>
        <v>1</v>
      </c>
      <c r="C396" t="str">
        <f t="shared" si="21"/>
        <v>16</v>
      </c>
      <c r="D396" t="str">
        <f>"22"</f>
        <v>22</v>
      </c>
      <c r="E396" t="str">
        <f>"1-16-22"</f>
        <v>1-16-22</v>
      </c>
      <c r="F396" t="s">
        <v>83</v>
      </c>
      <c r="G396" t="s">
        <v>84</v>
      </c>
      <c r="H396" t="s">
        <v>92</v>
      </c>
      <c r="I396">
        <v>1</v>
      </c>
      <c r="J396">
        <v>1</v>
      </c>
      <c r="N396">
        <v>1</v>
      </c>
      <c r="O396">
        <v>1</v>
      </c>
      <c r="P396">
        <v>1</v>
      </c>
      <c r="Q396">
        <v>1</v>
      </c>
      <c r="R396">
        <v>1</v>
      </c>
      <c r="S396">
        <v>1</v>
      </c>
      <c r="T396">
        <v>1</v>
      </c>
      <c r="W396">
        <v>1</v>
      </c>
      <c r="X396">
        <v>1</v>
      </c>
      <c r="Y396">
        <v>1</v>
      </c>
      <c r="Z396">
        <v>1</v>
      </c>
      <c r="AA396">
        <v>1</v>
      </c>
      <c r="AB396">
        <v>1</v>
      </c>
    </row>
    <row r="397" spans="1:28" x14ac:dyDescent="0.25">
      <c r="A397" t="str">
        <f>"393"</f>
        <v>393</v>
      </c>
      <c r="B397" t="str">
        <f t="shared" si="19"/>
        <v>1</v>
      </c>
      <c r="C397" t="str">
        <f t="shared" si="21"/>
        <v>16</v>
      </c>
      <c r="D397" t="str">
        <f>"15"</f>
        <v>15</v>
      </c>
      <c r="E397" t="str">
        <f>"1-16-15"</f>
        <v>1-16-15</v>
      </c>
      <c r="F397" t="s">
        <v>83</v>
      </c>
      <c r="G397" t="s">
        <v>84</v>
      </c>
      <c r="H397" t="s">
        <v>92</v>
      </c>
      <c r="I397">
        <v>1</v>
      </c>
      <c r="J397">
        <v>1</v>
      </c>
      <c r="N397">
        <v>1</v>
      </c>
      <c r="O397">
        <v>1</v>
      </c>
      <c r="P397">
        <v>1</v>
      </c>
      <c r="Q397">
        <v>1</v>
      </c>
      <c r="R397">
        <v>1</v>
      </c>
      <c r="S397">
        <v>1</v>
      </c>
      <c r="T397">
        <v>1</v>
      </c>
      <c r="W397">
        <v>1</v>
      </c>
      <c r="X397">
        <v>1</v>
      </c>
      <c r="Y397">
        <v>1</v>
      </c>
      <c r="Z397">
        <v>1</v>
      </c>
      <c r="AA397">
        <v>1</v>
      </c>
      <c r="AB397">
        <v>1</v>
      </c>
    </row>
    <row r="398" spans="1:28" x14ac:dyDescent="0.25">
      <c r="A398" t="str">
        <f>"394"</f>
        <v>394</v>
      </c>
      <c r="B398" t="str">
        <f t="shared" si="19"/>
        <v>1</v>
      </c>
      <c r="C398" t="str">
        <f t="shared" si="21"/>
        <v>16</v>
      </c>
      <c r="D398" t="str">
        <f>"2"</f>
        <v>2</v>
      </c>
      <c r="E398" t="str">
        <f>"1-16-2"</f>
        <v>1-16-2</v>
      </c>
      <c r="F398" t="s">
        <v>83</v>
      </c>
      <c r="G398" t="s">
        <v>84</v>
      </c>
      <c r="H398" t="s">
        <v>92</v>
      </c>
      <c r="I398">
        <v>1</v>
      </c>
      <c r="J398">
        <v>1</v>
      </c>
      <c r="N398">
        <v>1</v>
      </c>
      <c r="O398">
        <v>1</v>
      </c>
      <c r="P398">
        <v>1</v>
      </c>
      <c r="Q398">
        <v>1</v>
      </c>
      <c r="R398">
        <v>1</v>
      </c>
      <c r="S398">
        <v>1</v>
      </c>
      <c r="T398">
        <v>1</v>
      </c>
      <c r="W398">
        <v>1</v>
      </c>
      <c r="X398">
        <v>1</v>
      </c>
      <c r="Y398">
        <v>1</v>
      </c>
      <c r="Z398">
        <v>1</v>
      </c>
      <c r="AA398">
        <v>1</v>
      </c>
      <c r="AB398">
        <v>1</v>
      </c>
    </row>
    <row r="399" spans="1:28" x14ac:dyDescent="0.25">
      <c r="A399" t="str">
        <f>"395"</f>
        <v>395</v>
      </c>
      <c r="B399" t="str">
        <f t="shared" si="19"/>
        <v>1</v>
      </c>
      <c r="C399" t="str">
        <f t="shared" si="21"/>
        <v>16</v>
      </c>
      <c r="D399" t="str">
        <f>"9"</f>
        <v>9</v>
      </c>
      <c r="E399" t="str">
        <f>"1-16-9"</f>
        <v>1-16-9</v>
      </c>
      <c r="F399" t="s">
        <v>83</v>
      </c>
      <c r="G399" t="s">
        <v>84</v>
      </c>
      <c r="H399" t="s">
        <v>92</v>
      </c>
      <c r="I399">
        <v>1</v>
      </c>
      <c r="J399">
        <v>1</v>
      </c>
      <c r="N399">
        <v>1</v>
      </c>
      <c r="O399">
        <v>1</v>
      </c>
      <c r="P399">
        <v>1</v>
      </c>
      <c r="Q399">
        <v>1</v>
      </c>
      <c r="R399">
        <v>1</v>
      </c>
      <c r="S399">
        <v>1</v>
      </c>
      <c r="T399">
        <v>1</v>
      </c>
      <c r="W399">
        <v>1</v>
      </c>
      <c r="X399">
        <v>1</v>
      </c>
      <c r="Y399">
        <v>1</v>
      </c>
      <c r="Z399">
        <v>1</v>
      </c>
      <c r="AA399">
        <v>1</v>
      </c>
      <c r="AB399">
        <v>1</v>
      </c>
    </row>
    <row r="400" spans="1:28" x14ac:dyDescent="0.25">
      <c r="A400" t="str">
        <f>"396"</f>
        <v>396</v>
      </c>
      <c r="B400" t="str">
        <f t="shared" si="19"/>
        <v>1</v>
      </c>
      <c r="C400" t="str">
        <f t="shared" ref="C400:C424" si="22">"17"</f>
        <v>17</v>
      </c>
      <c r="D400" t="str">
        <f>"25"</f>
        <v>25</v>
      </c>
      <c r="E400" t="str">
        <f>"1-17-25"</f>
        <v>1-17-25</v>
      </c>
      <c r="F400" t="s">
        <v>83</v>
      </c>
      <c r="G400" t="s">
        <v>84</v>
      </c>
      <c r="H400" t="s">
        <v>92</v>
      </c>
      <c r="I400">
        <v>1</v>
      </c>
      <c r="J400">
        <v>1</v>
      </c>
      <c r="N400">
        <v>1</v>
      </c>
      <c r="O400">
        <v>1</v>
      </c>
      <c r="P400">
        <v>1</v>
      </c>
      <c r="Q400">
        <v>1</v>
      </c>
      <c r="R400">
        <v>1</v>
      </c>
      <c r="S400">
        <v>1</v>
      </c>
      <c r="T400">
        <v>1</v>
      </c>
      <c r="W400">
        <v>1</v>
      </c>
      <c r="X400">
        <v>1</v>
      </c>
      <c r="Y400">
        <v>1</v>
      </c>
      <c r="Z400">
        <v>1</v>
      </c>
      <c r="AA400">
        <v>1</v>
      </c>
      <c r="AB400">
        <v>1</v>
      </c>
    </row>
    <row r="401" spans="1:49" x14ac:dyDescent="0.25">
      <c r="A401" t="str">
        <f>"397"</f>
        <v>397</v>
      </c>
      <c r="B401" t="str">
        <f t="shared" si="19"/>
        <v>1</v>
      </c>
      <c r="C401" t="str">
        <f t="shared" si="22"/>
        <v>17</v>
      </c>
      <c r="D401" t="str">
        <f>"24"</f>
        <v>24</v>
      </c>
      <c r="E401" t="str">
        <f>"1-17-24"</f>
        <v>1-17-24</v>
      </c>
      <c r="F401" t="s">
        <v>83</v>
      </c>
      <c r="G401" t="s">
        <v>84</v>
      </c>
      <c r="H401" t="s">
        <v>85</v>
      </c>
      <c r="AC401">
        <v>0</v>
      </c>
      <c r="AD401">
        <v>1</v>
      </c>
      <c r="AE401">
        <v>0</v>
      </c>
      <c r="AF401">
        <v>0</v>
      </c>
      <c r="AG401">
        <v>1</v>
      </c>
      <c r="AJ401">
        <v>1</v>
      </c>
      <c r="AK401">
        <v>0</v>
      </c>
      <c r="AL401">
        <v>0</v>
      </c>
      <c r="AM401">
        <v>1</v>
      </c>
      <c r="AN401">
        <v>0</v>
      </c>
      <c r="AO401">
        <v>1</v>
      </c>
      <c r="AP401">
        <v>1</v>
      </c>
      <c r="AQ401">
        <v>1</v>
      </c>
      <c r="AR401">
        <v>1</v>
      </c>
      <c r="AS401">
        <v>1</v>
      </c>
      <c r="AT401">
        <v>0</v>
      </c>
      <c r="AV401">
        <v>0</v>
      </c>
      <c r="AW401">
        <v>1</v>
      </c>
    </row>
    <row r="402" spans="1:49" x14ac:dyDescent="0.25">
      <c r="A402" t="str">
        <f>"398"</f>
        <v>398</v>
      </c>
      <c r="B402" t="str">
        <f t="shared" si="19"/>
        <v>1</v>
      </c>
      <c r="C402" t="str">
        <f t="shared" si="22"/>
        <v>17</v>
      </c>
      <c r="D402" t="str">
        <f>"17"</f>
        <v>17</v>
      </c>
      <c r="E402" t="str">
        <f>"1-17-17"</f>
        <v>1-17-17</v>
      </c>
      <c r="F402" t="s">
        <v>83</v>
      </c>
      <c r="G402" t="s">
        <v>86</v>
      </c>
      <c r="H402" t="s">
        <v>93</v>
      </c>
      <c r="I402">
        <v>1</v>
      </c>
      <c r="K402">
        <v>0</v>
      </c>
      <c r="L402">
        <v>0</v>
      </c>
      <c r="M402">
        <v>0</v>
      </c>
      <c r="N402">
        <v>1</v>
      </c>
      <c r="O402">
        <v>1</v>
      </c>
      <c r="P402">
        <v>1</v>
      </c>
      <c r="Q402">
        <v>1</v>
      </c>
      <c r="R402">
        <v>0</v>
      </c>
      <c r="U402">
        <v>0</v>
      </c>
      <c r="V402">
        <v>1</v>
      </c>
      <c r="W402">
        <v>1</v>
      </c>
      <c r="X402">
        <v>0</v>
      </c>
      <c r="Y402">
        <v>0</v>
      </c>
      <c r="Z402">
        <v>1</v>
      </c>
      <c r="AA402">
        <v>1</v>
      </c>
      <c r="AB402">
        <v>0</v>
      </c>
    </row>
    <row r="403" spans="1:49" x14ac:dyDescent="0.25">
      <c r="A403" t="str">
        <f>"399"</f>
        <v>399</v>
      </c>
      <c r="B403" t="str">
        <f t="shared" si="19"/>
        <v>1</v>
      </c>
      <c r="C403" t="str">
        <f t="shared" si="22"/>
        <v>17</v>
      </c>
      <c r="D403" t="str">
        <f>"16"</f>
        <v>16</v>
      </c>
      <c r="E403" t="str">
        <f>"1-17-16"</f>
        <v>1-17-16</v>
      </c>
      <c r="F403" t="s">
        <v>83</v>
      </c>
      <c r="G403" t="s">
        <v>84</v>
      </c>
      <c r="H403" t="s">
        <v>92</v>
      </c>
      <c r="I403">
        <v>1</v>
      </c>
      <c r="J403">
        <v>0</v>
      </c>
      <c r="N403">
        <v>1</v>
      </c>
      <c r="O403">
        <v>1</v>
      </c>
      <c r="P403">
        <v>1</v>
      </c>
      <c r="Q403">
        <v>1</v>
      </c>
      <c r="R403">
        <v>1</v>
      </c>
      <c r="S403">
        <v>1</v>
      </c>
      <c r="T403">
        <v>1</v>
      </c>
      <c r="W403">
        <v>1</v>
      </c>
      <c r="X403">
        <v>1</v>
      </c>
      <c r="Y403">
        <v>1</v>
      </c>
      <c r="Z403">
        <v>1</v>
      </c>
      <c r="AA403">
        <v>1</v>
      </c>
      <c r="AB403">
        <v>1</v>
      </c>
    </row>
    <row r="404" spans="1:49" x14ac:dyDescent="0.25">
      <c r="A404" t="str">
        <f>"400"</f>
        <v>400</v>
      </c>
      <c r="B404" t="str">
        <f t="shared" si="19"/>
        <v>1</v>
      </c>
      <c r="C404" t="str">
        <f t="shared" si="22"/>
        <v>17</v>
      </c>
      <c r="D404" t="str">
        <f>"11"</f>
        <v>11</v>
      </c>
      <c r="E404" t="str">
        <f>"1-17-11"</f>
        <v>1-17-11</v>
      </c>
      <c r="F404" t="s">
        <v>83</v>
      </c>
      <c r="G404" t="s">
        <v>84</v>
      </c>
      <c r="H404" t="s">
        <v>85</v>
      </c>
      <c r="AC404">
        <v>0</v>
      </c>
      <c r="AD404">
        <v>1</v>
      </c>
      <c r="AE404">
        <v>0</v>
      </c>
      <c r="AF404">
        <v>0</v>
      </c>
      <c r="AG404">
        <v>1</v>
      </c>
      <c r="AJ404">
        <v>0</v>
      </c>
      <c r="AK404">
        <v>1</v>
      </c>
      <c r="AL404">
        <v>0</v>
      </c>
      <c r="AM404">
        <v>0</v>
      </c>
      <c r="AN404">
        <v>1</v>
      </c>
      <c r="AO404">
        <v>1</v>
      </c>
      <c r="AP404">
        <v>1</v>
      </c>
      <c r="AQ404">
        <v>1</v>
      </c>
      <c r="AR404">
        <v>1</v>
      </c>
      <c r="AS404">
        <v>1</v>
      </c>
      <c r="AT404">
        <v>0</v>
      </c>
      <c r="AV404">
        <v>1</v>
      </c>
      <c r="AW404">
        <v>1</v>
      </c>
    </row>
    <row r="405" spans="1:49" x14ac:dyDescent="0.25">
      <c r="A405" t="str">
        <f>"401"</f>
        <v>401</v>
      </c>
      <c r="B405" t="str">
        <f t="shared" si="19"/>
        <v>1</v>
      </c>
      <c r="C405" t="str">
        <f t="shared" si="22"/>
        <v>17</v>
      </c>
      <c r="D405" t="str">
        <f>"8"</f>
        <v>8</v>
      </c>
      <c r="E405" t="str">
        <f>"1-17-8"</f>
        <v>1-17-8</v>
      </c>
      <c r="F405" t="s">
        <v>83</v>
      </c>
      <c r="G405" t="s">
        <v>84</v>
      </c>
      <c r="H405" t="s">
        <v>92</v>
      </c>
      <c r="I405">
        <v>1</v>
      </c>
      <c r="J405">
        <v>1</v>
      </c>
      <c r="N405">
        <v>1</v>
      </c>
      <c r="O405">
        <v>1</v>
      </c>
      <c r="P405">
        <v>1</v>
      </c>
      <c r="Q405">
        <v>1</v>
      </c>
      <c r="R405">
        <v>0</v>
      </c>
      <c r="S405">
        <v>1</v>
      </c>
      <c r="T405">
        <v>0</v>
      </c>
      <c r="W405">
        <v>0</v>
      </c>
      <c r="X405">
        <v>1</v>
      </c>
      <c r="Y405">
        <v>1</v>
      </c>
      <c r="Z405">
        <v>1</v>
      </c>
      <c r="AA405">
        <v>0</v>
      </c>
      <c r="AB405">
        <v>1</v>
      </c>
    </row>
    <row r="406" spans="1:49" x14ac:dyDescent="0.25">
      <c r="A406" t="str">
        <f>"402"</f>
        <v>402</v>
      </c>
      <c r="B406" t="str">
        <f t="shared" si="19"/>
        <v>1</v>
      </c>
      <c r="C406" t="str">
        <f t="shared" si="22"/>
        <v>17</v>
      </c>
      <c r="D406" t="str">
        <f>"1"</f>
        <v>1</v>
      </c>
      <c r="E406" t="str">
        <f>"1-17-1"</f>
        <v>1-17-1</v>
      </c>
      <c r="F406" t="s">
        <v>83</v>
      </c>
      <c r="G406" t="s">
        <v>86</v>
      </c>
      <c r="H406" t="s">
        <v>87</v>
      </c>
      <c r="AC406">
        <v>0</v>
      </c>
      <c r="AD406">
        <v>1</v>
      </c>
      <c r="AE406">
        <v>0</v>
      </c>
      <c r="AF406">
        <v>0</v>
      </c>
      <c r="AH406">
        <v>0</v>
      </c>
      <c r="AI406">
        <v>1</v>
      </c>
      <c r="AJ406">
        <v>0</v>
      </c>
      <c r="AK406">
        <v>1</v>
      </c>
      <c r="AL406">
        <v>0</v>
      </c>
      <c r="AM406">
        <v>0</v>
      </c>
      <c r="AN406">
        <v>0</v>
      </c>
      <c r="AO406">
        <v>0</v>
      </c>
      <c r="AP406">
        <v>0</v>
      </c>
      <c r="AQ406">
        <v>0</v>
      </c>
      <c r="AU406">
        <v>0</v>
      </c>
      <c r="AV406">
        <v>0</v>
      </c>
      <c r="AW406">
        <v>0</v>
      </c>
    </row>
    <row r="407" spans="1:49" x14ac:dyDescent="0.25">
      <c r="A407" t="str">
        <f>"403"</f>
        <v>403</v>
      </c>
      <c r="B407" t="str">
        <f t="shared" si="19"/>
        <v>1</v>
      </c>
      <c r="C407" t="str">
        <f t="shared" si="22"/>
        <v>17</v>
      </c>
      <c r="D407" t="str">
        <f>"18"</f>
        <v>18</v>
      </c>
      <c r="E407" t="str">
        <f>"1-17-18"</f>
        <v>1-17-18</v>
      </c>
      <c r="F407" t="s">
        <v>83</v>
      </c>
      <c r="G407" t="s">
        <v>86</v>
      </c>
      <c r="H407" t="s">
        <v>87</v>
      </c>
      <c r="AC407">
        <v>0</v>
      </c>
      <c r="AD407">
        <v>0</v>
      </c>
      <c r="AE407">
        <v>0</v>
      </c>
      <c r="AF407">
        <v>0</v>
      </c>
      <c r="AH407">
        <v>0</v>
      </c>
      <c r="AI407">
        <v>1</v>
      </c>
      <c r="AJ407">
        <v>0</v>
      </c>
      <c r="AK407">
        <v>0</v>
      </c>
      <c r="AL407">
        <v>0</v>
      </c>
      <c r="AM407">
        <v>0</v>
      </c>
      <c r="AN407">
        <v>0</v>
      </c>
      <c r="AO407">
        <v>0</v>
      </c>
      <c r="AP407">
        <v>0</v>
      </c>
      <c r="AQ407">
        <v>0</v>
      </c>
      <c r="AU407">
        <v>1</v>
      </c>
      <c r="AV407">
        <v>0</v>
      </c>
      <c r="AW407">
        <v>1</v>
      </c>
    </row>
    <row r="408" spans="1:49" x14ac:dyDescent="0.25">
      <c r="A408" t="str">
        <f>"404"</f>
        <v>404</v>
      </c>
      <c r="B408" t="str">
        <f t="shared" si="19"/>
        <v>1</v>
      </c>
      <c r="C408" t="str">
        <f t="shared" si="22"/>
        <v>17</v>
      </c>
      <c r="D408" t="str">
        <f>"9"</f>
        <v>9</v>
      </c>
      <c r="E408" t="str">
        <f>"1-17-9"</f>
        <v>1-17-9</v>
      </c>
      <c r="F408" t="s">
        <v>83</v>
      </c>
      <c r="G408" t="s">
        <v>84</v>
      </c>
      <c r="H408" t="s">
        <v>92</v>
      </c>
      <c r="I408">
        <v>1</v>
      </c>
      <c r="J408">
        <v>1</v>
      </c>
      <c r="N408">
        <v>1</v>
      </c>
      <c r="O408">
        <v>1</v>
      </c>
      <c r="P408">
        <v>1</v>
      </c>
      <c r="Q408">
        <v>1</v>
      </c>
      <c r="R408">
        <v>1</v>
      </c>
      <c r="S408">
        <v>1</v>
      </c>
      <c r="T408">
        <v>1</v>
      </c>
      <c r="W408">
        <v>1</v>
      </c>
      <c r="X408">
        <v>1</v>
      </c>
      <c r="Y408">
        <v>1</v>
      </c>
      <c r="Z408">
        <v>1</v>
      </c>
      <c r="AA408">
        <v>1</v>
      </c>
      <c r="AB408">
        <v>1</v>
      </c>
    </row>
    <row r="409" spans="1:49" x14ac:dyDescent="0.25">
      <c r="A409" t="str">
        <f>"405"</f>
        <v>405</v>
      </c>
      <c r="B409" t="str">
        <f t="shared" si="19"/>
        <v>1</v>
      </c>
      <c r="C409" t="str">
        <f t="shared" si="22"/>
        <v>17</v>
      </c>
      <c r="D409" t="str">
        <f>"6"</f>
        <v>6</v>
      </c>
      <c r="E409" t="str">
        <f>"1-17-6"</f>
        <v>1-17-6</v>
      </c>
      <c r="F409" t="s">
        <v>83</v>
      </c>
      <c r="G409" t="s">
        <v>84</v>
      </c>
      <c r="H409" t="s">
        <v>85</v>
      </c>
      <c r="AC409">
        <v>0</v>
      </c>
      <c r="AD409">
        <v>1</v>
      </c>
      <c r="AE409">
        <v>0</v>
      </c>
      <c r="AF409">
        <v>0</v>
      </c>
      <c r="AG409">
        <v>0</v>
      </c>
      <c r="AJ409">
        <v>0</v>
      </c>
      <c r="AK409">
        <v>0</v>
      </c>
      <c r="AL409">
        <v>0</v>
      </c>
      <c r="AM409">
        <v>0</v>
      </c>
      <c r="AN409">
        <v>0</v>
      </c>
      <c r="AO409">
        <v>0</v>
      </c>
      <c r="AP409">
        <v>0</v>
      </c>
      <c r="AQ409">
        <v>0</v>
      </c>
      <c r="AR409">
        <v>0</v>
      </c>
      <c r="AS409">
        <v>0</v>
      </c>
      <c r="AT409">
        <v>0</v>
      </c>
      <c r="AV409">
        <v>0</v>
      </c>
      <c r="AW409">
        <v>0</v>
      </c>
    </row>
    <row r="410" spans="1:49" x14ac:dyDescent="0.25">
      <c r="A410" t="str">
        <f>"406"</f>
        <v>406</v>
      </c>
      <c r="B410" t="str">
        <f t="shared" si="19"/>
        <v>1</v>
      </c>
      <c r="C410" t="str">
        <f t="shared" si="22"/>
        <v>17</v>
      </c>
      <c r="D410" t="str">
        <f>"19"</f>
        <v>19</v>
      </c>
      <c r="E410" t="str">
        <f>"1-17-19"</f>
        <v>1-17-19</v>
      </c>
      <c r="F410" t="s">
        <v>83</v>
      </c>
      <c r="G410" t="s">
        <v>84</v>
      </c>
      <c r="H410" t="s">
        <v>92</v>
      </c>
      <c r="I410">
        <v>1</v>
      </c>
      <c r="J410">
        <v>1</v>
      </c>
      <c r="N410">
        <v>1</v>
      </c>
      <c r="O410">
        <v>1</v>
      </c>
      <c r="P410">
        <v>1</v>
      </c>
      <c r="Q410">
        <v>1</v>
      </c>
      <c r="R410">
        <v>1</v>
      </c>
      <c r="S410">
        <v>1</v>
      </c>
      <c r="T410">
        <v>1</v>
      </c>
      <c r="W410">
        <v>1</v>
      </c>
      <c r="X410">
        <v>1</v>
      </c>
      <c r="Y410">
        <v>1</v>
      </c>
      <c r="Z410">
        <v>1</v>
      </c>
      <c r="AA410">
        <v>1</v>
      </c>
      <c r="AB410">
        <v>1</v>
      </c>
    </row>
    <row r="411" spans="1:49" x14ac:dyDescent="0.25">
      <c r="A411" t="str">
        <f>"407"</f>
        <v>407</v>
      </c>
      <c r="B411" t="str">
        <f t="shared" si="19"/>
        <v>1</v>
      </c>
      <c r="C411" t="str">
        <f t="shared" si="22"/>
        <v>17</v>
      </c>
      <c r="D411" t="str">
        <f>"10"</f>
        <v>10</v>
      </c>
      <c r="E411" t="str">
        <f>"1-17-10"</f>
        <v>1-17-10</v>
      </c>
      <c r="F411" t="s">
        <v>83</v>
      </c>
      <c r="G411" t="s">
        <v>84</v>
      </c>
      <c r="H411" t="s">
        <v>85</v>
      </c>
      <c r="AC411">
        <v>0</v>
      </c>
      <c r="AD411">
        <v>1</v>
      </c>
      <c r="AE411">
        <v>0</v>
      </c>
      <c r="AF411">
        <v>0</v>
      </c>
      <c r="AG411">
        <v>0</v>
      </c>
      <c r="AJ411">
        <v>0</v>
      </c>
      <c r="AK411">
        <v>1</v>
      </c>
      <c r="AL411">
        <v>0</v>
      </c>
      <c r="AM411">
        <v>1</v>
      </c>
      <c r="AN411">
        <v>0</v>
      </c>
      <c r="AO411">
        <v>1</v>
      </c>
      <c r="AP411">
        <v>1</v>
      </c>
      <c r="AQ411">
        <v>1</v>
      </c>
      <c r="AR411">
        <v>1</v>
      </c>
      <c r="AS411">
        <v>0</v>
      </c>
      <c r="AT411">
        <v>1</v>
      </c>
      <c r="AV411">
        <v>1</v>
      </c>
      <c r="AW411">
        <v>1</v>
      </c>
    </row>
    <row r="412" spans="1:49" x14ac:dyDescent="0.25">
      <c r="A412" t="str">
        <f>"408"</f>
        <v>408</v>
      </c>
      <c r="B412" t="str">
        <f t="shared" si="19"/>
        <v>1</v>
      </c>
      <c r="C412" t="str">
        <f t="shared" si="22"/>
        <v>17</v>
      </c>
      <c r="D412" t="str">
        <f>"3"</f>
        <v>3</v>
      </c>
      <c r="E412" t="str">
        <f>"1-17-3"</f>
        <v>1-17-3</v>
      </c>
      <c r="F412" t="s">
        <v>83</v>
      </c>
      <c r="G412" t="s">
        <v>84</v>
      </c>
      <c r="H412" t="s">
        <v>85</v>
      </c>
      <c r="AC412">
        <v>1</v>
      </c>
      <c r="AD412">
        <v>0</v>
      </c>
      <c r="AE412">
        <v>0</v>
      </c>
      <c r="AF412">
        <v>0</v>
      </c>
      <c r="AG412">
        <v>1</v>
      </c>
      <c r="AJ412">
        <v>1</v>
      </c>
      <c r="AK412">
        <v>0</v>
      </c>
      <c r="AL412">
        <v>0</v>
      </c>
      <c r="AM412">
        <v>1</v>
      </c>
      <c r="AN412">
        <v>0</v>
      </c>
      <c r="AO412">
        <v>1</v>
      </c>
      <c r="AP412">
        <v>1</v>
      </c>
      <c r="AQ412">
        <v>1</v>
      </c>
      <c r="AR412">
        <v>1</v>
      </c>
      <c r="AS412">
        <v>1</v>
      </c>
      <c r="AT412">
        <v>0</v>
      </c>
      <c r="AV412">
        <v>1</v>
      </c>
      <c r="AW412">
        <v>1</v>
      </c>
    </row>
    <row r="413" spans="1:49" x14ac:dyDescent="0.25">
      <c r="A413" t="str">
        <f>"409"</f>
        <v>409</v>
      </c>
      <c r="B413" t="str">
        <f t="shared" si="19"/>
        <v>1</v>
      </c>
      <c r="C413" t="str">
        <f t="shared" si="22"/>
        <v>17</v>
      </c>
      <c r="D413" t="str">
        <f>"20"</f>
        <v>20</v>
      </c>
      <c r="E413" t="str">
        <f>"1-17-20"</f>
        <v>1-17-20</v>
      </c>
      <c r="F413" t="s">
        <v>83</v>
      </c>
      <c r="G413" t="s">
        <v>84</v>
      </c>
      <c r="H413" t="s">
        <v>85</v>
      </c>
      <c r="AC413">
        <v>0</v>
      </c>
      <c r="AD413">
        <v>1</v>
      </c>
      <c r="AE413">
        <v>0</v>
      </c>
      <c r="AF413">
        <v>0</v>
      </c>
      <c r="AG413">
        <v>1</v>
      </c>
      <c r="AJ413">
        <v>0</v>
      </c>
      <c r="AK413">
        <v>1</v>
      </c>
      <c r="AL413">
        <v>0</v>
      </c>
      <c r="AM413">
        <v>0</v>
      </c>
      <c r="AN413">
        <v>1</v>
      </c>
      <c r="AO413">
        <v>1</v>
      </c>
      <c r="AP413">
        <v>1</v>
      </c>
      <c r="AQ413">
        <v>1</v>
      </c>
      <c r="AR413">
        <v>1</v>
      </c>
      <c r="AS413">
        <v>0</v>
      </c>
      <c r="AT413">
        <v>1</v>
      </c>
      <c r="AV413">
        <v>1</v>
      </c>
      <c r="AW413">
        <v>0</v>
      </c>
    </row>
    <row r="414" spans="1:49" x14ac:dyDescent="0.25">
      <c r="A414" t="str">
        <f>"410"</f>
        <v>410</v>
      </c>
      <c r="B414" t="str">
        <f t="shared" ref="B414:B477" si="23">"1"</f>
        <v>1</v>
      </c>
      <c r="C414" t="str">
        <f t="shared" si="22"/>
        <v>17</v>
      </c>
      <c r="D414" t="str">
        <f>"12"</f>
        <v>12</v>
      </c>
      <c r="E414" t="str">
        <f>"1-17-12"</f>
        <v>1-17-12</v>
      </c>
      <c r="F414" t="s">
        <v>83</v>
      </c>
      <c r="G414" t="s">
        <v>84</v>
      </c>
      <c r="H414" t="s">
        <v>85</v>
      </c>
      <c r="AC414">
        <v>1</v>
      </c>
      <c r="AD414">
        <v>0</v>
      </c>
      <c r="AE414">
        <v>0</v>
      </c>
      <c r="AF414">
        <v>0</v>
      </c>
      <c r="AG414">
        <v>1</v>
      </c>
      <c r="AJ414">
        <v>1</v>
      </c>
      <c r="AK414">
        <v>0</v>
      </c>
      <c r="AL414">
        <v>0</v>
      </c>
      <c r="AM414">
        <v>1</v>
      </c>
      <c r="AN414">
        <v>0</v>
      </c>
      <c r="AO414">
        <v>1</v>
      </c>
      <c r="AP414">
        <v>1</v>
      </c>
      <c r="AQ414">
        <v>1</v>
      </c>
      <c r="AR414">
        <v>1</v>
      </c>
      <c r="AS414">
        <v>0</v>
      </c>
      <c r="AT414">
        <v>1</v>
      </c>
      <c r="AV414">
        <v>0</v>
      </c>
      <c r="AW414">
        <v>0</v>
      </c>
    </row>
    <row r="415" spans="1:49" x14ac:dyDescent="0.25">
      <c r="A415" t="str">
        <f>"411"</f>
        <v>411</v>
      </c>
      <c r="B415" t="str">
        <f t="shared" si="23"/>
        <v>1</v>
      </c>
      <c r="C415" t="str">
        <f t="shared" si="22"/>
        <v>17</v>
      </c>
      <c r="D415" t="str">
        <f>"7"</f>
        <v>7</v>
      </c>
      <c r="E415" t="str">
        <f>"1-17-7"</f>
        <v>1-17-7</v>
      </c>
      <c r="F415" t="s">
        <v>83</v>
      </c>
      <c r="G415" t="s">
        <v>84</v>
      </c>
      <c r="H415" t="s">
        <v>92</v>
      </c>
      <c r="I415">
        <v>0</v>
      </c>
      <c r="J415">
        <v>0</v>
      </c>
      <c r="N415">
        <v>0</v>
      </c>
      <c r="O415">
        <v>1</v>
      </c>
      <c r="P415">
        <v>1</v>
      </c>
      <c r="Q415">
        <v>1</v>
      </c>
      <c r="R415">
        <v>1</v>
      </c>
      <c r="S415">
        <v>1</v>
      </c>
      <c r="T415">
        <v>1</v>
      </c>
      <c r="W415">
        <v>1</v>
      </c>
      <c r="X415">
        <v>1</v>
      </c>
      <c r="Y415">
        <v>1</v>
      </c>
      <c r="Z415">
        <v>1</v>
      </c>
      <c r="AA415">
        <v>1</v>
      </c>
      <c r="AB415">
        <v>1</v>
      </c>
    </row>
    <row r="416" spans="1:49" x14ac:dyDescent="0.25">
      <c r="A416" t="str">
        <f>"412"</f>
        <v>412</v>
      </c>
      <c r="B416" t="str">
        <f t="shared" si="23"/>
        <v>1</v>
      </c>
      <c r="C416" t="str">
        <f t="shared" si="22"/>
        <v>17</v>
      </c>
      <c r="D416" t="str">
        <f>"21"</f>
        <v>21</v>
      </c>
      <c r="E416" t="str">
        <f>"1-17-21"</f>
        <v>1-17-21</v>
      </c>
      <c r="F416" t="s">
        <v>83</v>
      </c>
      <c r="G416" t="s">
        <v>86</v>
      </c>
      <c r="H416" t="s">
        <v>93</v>
      </c>
      <c r="I416">
        <v>1</v>
      </c>
      <c r="K416">
        <v>0</v>
      </c>
      <c r="L416">
        <v>0</v>
      </c>
      <c r="M416">
        <v>1</v>
      </c>
      <c r="N416">
        <v>1</v>
      </c>
      <c r="O416">
        <v>1</v>
      </c>
      <c r="P416">
        <v>1</v>
      </c>
      <c r="Q416">
        <v>1</v>
      </c>
      <c r="R416">
        <v>1</v>
      </c>
      <c r="U416">
        <v>1</v>
      </c>
      <c r="V416">
        <v>0</v>
      </c>
      <c r="W416">
        <v>1</v>
      </c>
      <c r="X416">
        <v>1</v>
      </c>
      <c r="Y416">
        <v>1</v>
      </c>
      <c r="Z416">
        <v>1</v>
      </c>
      <c r="AA416">
        <v>1</v>
      </c>
      <c r="AB416">
        <v>1</v>
      </c>
    </row>
    <row r="417" spans="1:49" x14ac:dyDescent="0.25">
      <c r="A417" t="str">
        <f>"413"</f>
        <v>413</v>
      </c>
      <c r="B417" t="str">
        <f t="shared" si="23"/>
        <v>1</v>
      </c>
      <c r="C417" t="str">
        <f t="shared" si="22"/>
        <v>17</v>
      </c>
      <c r="D417" t="str">
        <f>"13"</f>
        <v>13</v>
      </c>
      <c r="E417" t="str">
        <f>"1-17-13"</f>
        <v>1-17-13</v>
      </c>
      <c r="F417" t="s">
        <v>83</v>
      </c>
      <c r="G417" t="s">
        <v>86</v>
      </c>
      <c r="H417" t="s">
        <v>93</v>
      </c>
      <c r="I417">
        <v>1</v>
      </c>
      <c r="K417">
        <v>0</v>
      </c>
      <c r="L417">
        <v>0</v>
      </c>
      <c r="M417">
        <v>1</v>
      </c>
      <c r="N417">
        <v>1</v>
      </c>
      <c r="O417">
        <v>1</v>
      </c>
      <c r="P417">
        <v>1</v>
      </c>
      <c r="Q417">
        <v>1</v>
      </c>
      <c r="R417">
        <v>1</v>
      </c>
      <c r="U417">
        <v>1</v>
      </c>
      <c r="V417">
        <v>0</v>
      </c>
      <c r="W417">
        <v>1</v>
      </c>
      <c r="X417">
        <v>1</v>
      </c>
      <c r="Y417">
        <v>1</v>
      </c>
      <c r="Z417">
        <v>1</v>
      </c>
      <c r="AA417">
        <v>1</v>
      </c>
      <c r="AB417">
        <v>1</v>
      </c>
    </row>
    <row r="418" spans="1:49" x14ac:dyDescent="0.25">
      <c r="A418" t="str">
        <f>"414"</f>
        <v>414</v>
      </c>
      <c r="B418" t="str">
        <f t="shared" si="23"/>
        <v>1</v>
      </c>
      <c r="C418" t="str">
        <f t="shared" si="22"/>
        <v>17</v>
      </c>
      <c r="D418" t="str">
        <f>"2"</f>
        <v>2</v>
      </c>
      <c r="E418" t="str">
        <f>"1-17-2"</f>
        <v>1-17-2</v>
      </c>
      <c r="F418" t="s">
        <v>83</v>
      </c>
      <c r="G418" t="s">
        <v>84</v>
      </c>
      <c r="H418" t="s">
        <v>85</v>
      </c>
      <c r="AC418">
        <v>0</v>
      </c>
      <c r="AD418">
        <v>1</v>
      </c>
      <c r="AE418">
        <v>0</v>
      </c>
      <c r="AF418">
        <v>0</v>
      </c>
      <c r="AG418">
        <v>1</v>
      </c>
      <c r="AJ418">
        <v>0</v>
      </c>
      <c r="AK418">
        <v>1</v>
      </c>
      <c r="AL418">
        <v>0</v>
      </c>
      <c r="AM418">
        <v>1</v>
      </c>
      <c r="AN418">
        <v>0</v>
      </c>
      <c r="AO418">
        <v>1</v>
      </c>
      <c r="AP418">
        <v>1</v>
      </c>
      <c r="AQ418">
        <v>1</v>
      </c>
      <c r="AR418">
        <v>1</v>
      </c>
      <c r="AS418">
        <v>1</v>
      </c>
      <c r="AT418">
        <v>0</v>
      </c>
      <c r="AV418">
        <v>1</v>
      </c>
      <c r="AW418">
        <v>1</v>
      </c>
    </row>
    <row r="419" spans="1:49" x14ac:dyDescent="0.25">
      <c r="A419" t="str">
        <f>"415"</f>
        <v>415</v>
      </c>
      <c r="B419" t="str">
        <f t="shared" si="23"/>
        <v>1</v>
      </c>
      <c r="C419" t="str">
        <f t="shared" si="22"/>
        <v>17</v>
      </c>
      <c r="D419" t="str">
        <f>"22"</f>
        <v>22</v>
      </c>
      <c r="E419" t="str">
        <f>"1-17-22"</f>
        <v>1-17-22</v>
      </c>
      <c r="F419" t="s">
        <v>83</v>
      </c>
      <c r="G419" t="s">
        <v>86</v>
      </c>
      <c r="H419" t="s">
        <v>87</v>
      </c>
      <c r="AC419">
        <v>0</v>
      </c>
      <c r="AD419">
        <v>1</v>
      </c>
      <c r="AE419">
        <v>0</v>
      </c>
      <c r="AF419">
        <v>0</v>
      </c>
      <c r="AH419">
        <v>1</v>
      </c>
      <c r="AI419">
        <v>0</v>
      </c>
      <c r="AJ419">
        <v>0</v>
      </c>
      <c r="AK419">
        <v>1</v>
      </c>
      <c r="AL419">
        <v>1</v>
      </c>
      <c r="AM419">
        <v>0</v>
      </c>
      <c r="AN419">
        <v>0</v>
      </c>
      <c r="AO419">
        <v>1</v>
      </c>
      <c r="AP419">
        <v>1</v>
      </c>
      <c r="AQ419">
        <v>1</v>
      </c>
      <c r="AU419">
        <v>1</v>
      </c>
      <c r="AV419">
        <v>1</v>
      </c>
      <c r="AW419">
        <v>0</v>
      </c>
    </row>
    <row r="420" spans="1:49" x14ac:dyDescent="0.25">
      <c r="A420" t="str">
        <f>"416"</f>
        <v>416</v>
      </c>
      <c r="B420" t="str">
        <f t="shared" si="23"/>
        <v>1</v>
      </c>
      <c r="C420" t="str">
        <f t="shared" si="22"/>
        <v>17</v>
      </c>
      <c r="D420" t="str">
        <f>"14"</f>
        <v>14</v>
      </c>
      <c r="E420" t="str">
        <f>"1-17-14"</f>
        <v>1-17-14</v>
      </c>
      <c r="F420" t="s">
        <v>83</v>
      </c>
      <c r="G420" t="s">
        <v>84</v>
      </c>
      <c r="H420" t="s">
        <v>92</v>
      </c>
      <c r="I420">
        <v>1</v>
      </c>
      <c r="J420">
        <v>0</v>
      </c>
      <c r="N420">
        <v>1</v>
      </c>
      <c r="O420">
        <v>1</v>
      </c>
      <c r="P420">
        <v>1</v>
      </c>
      <c r="Q420">
        <v>1</v>
      </c>
      <c r="R420">
        <v>1</v>
      </c>
      <c r="S420">
        <v>1</v>
      </c>
      <c r="T420">
        <v>1</v>
      </c>
      <c r="W420">
        <v>1</v>
      </c>
      <c r="X420">
        <v>1</v>
      </c>
      <c r="Y420">
        <v>1</v>
      </c>
      <c r="Z420">
        <v>1</v>
      </c>
      <c r="AA420">
        <v>1</v>
      </c>
      <c r="AB420">
        <v>1</v>
      </c>
    </row>
    <row r="421" spans="1:49" x14ac:dyDescent="0.25">
      <c r="A421" t="str">
        <f>"417"</f>
        <v>417</v>
      </c>
      <c r="B421" t="str">
        <f t="shared" si="23"/>
        <v>1</v>
      </c>
      <c r="C421" t="str">
        <f t="shared" si="22"/>
        <v>17</v>
      </c>
      <c r="D421" t="str">
        <f>"5"</f>
        <v>5</v>
      </c>
      <c r="E421" t="str">
        <f>"1-17-5"</f>
        <v>1-17-5</v>
      </c>
      <c r="F421" t="s">
        <v>83</v>
      </c>
      <c r="G421" t="s">
        <v>86</v>
      </c>
      <c r="H421" t="s">
        <v>87</v>
      </c>
      <c r="AC421">
        <v>0</v>
      </c>
      <c r="AD421">
        <v>1</v>
      </c>
      <c r="AE421">
        <v>0</v>
      </c>
      <c r="AF421">
        <v>0</v>
      </c>
      <c r="AH421">
        <v>0</v>
      </c>
      <c r="AI421">
        <v>1</v>
      </c>
      <c r="AJ421">
        <v>1</v>
      </c>
      <c r="AK421">
        <v>0</v>
      </c>
      <c r="AL421">
        <v>0</v>
      </c>
      <c r="AM421">
        <v>1</v>
      </c>
      <c r="AN421">
        <v>0</v>
      </c>
      <c r="AO421">
        <v>1</v>
      </c>
      <c r="AP421">
        <v>1</v>
      </c>
      <c r="AQ421">
        <v>1</v>
      </c>
      <c r="AU421">
        <v>1</v>
      </c>
      <c r="AV421">
        <v>1</v>
      </c>
      <c r="AW421">
        <v>1</v>
      </c>
    </row>
    <row r="422" spans="1:49" x14ac:dyDescent="0.25">
      <c r="A422" t="str">
        <f>"418"</f>
        <v>418</v>
      </c>
      <c r="B422" t="str">
        <f t="shared" si="23"/>
        <v>1</v>
      </c>
      <c r="C422" t="str">
        <f t="shared" si="22"/>
        <v>17</v>
      </c>
      <c r="D422" t="str">
        <f>"23"</f>
        <v>23</v>
      </c>
      <c r="E422" t="str">
        <f>"1-17-23"</f>
        <v>1-17-23</v>
      </c>
      <c r="F422" t="s">
        <v>83</v>
      </c>
      <c r="G422" t="s">
        <v>84</v>
      </c>
      <c r="H422" t="s">
        <v>92</v>
      </c>
      <c r="I422">
        <v>1</v>
      </c>
      <c r="J422">
        <v>0</v>
      </c>
      <c r="N422">
        <v>1</v>
      </c>
      <c r="O422">
        <v>1</v>
      </c>
      <c r="P422">
        <v>1</v>
      </c>
      <c r="Q422">
        <v>1</v>
      </c>
      <c r="R422">
        <v>1</v>
      </c>
      <c r="S422">
        <v>1</v>
      </c>
      <c r="T422">
        <v>1</v>
      </c>
      <c r="W422">
        <v>1</v>
      </c>
      <c r="X422">
        <v>1</v>
      </c>
      <c r="Y422">
        <v>1</v>
      </c>
      <c r="Z422">
        <v>1</v>
      </c>
      <c r="AA422">
        <v>1</v>
      </c>
      <c r="AB422">
        <v>1</v>
      </c>
    </row>
    <row r="423" spans="1:49" x14ac:dyDescent="0.25">
      <c r="A423" t="str">
        <f>"419"</f>
        <v>419</v>
      </c>
      <c r="B423" t="str">
        <f t="shared" si="23"/>
        <v>1</v>
      </c>
      <c r="C423" t="str">
        <f t="shared" si="22"/>
        <v>17</v>
      </c>
      <c r="D423" t="str">
        <f>"15"</f>
        <v>15</v>
      </c>
      <c r="E423" t="str">
        <f>"1-17-15"</f>
        <v>1-17-15</v>
      </c>
      <c r="F423" t="s">
        <v>83</v>
      </c>
      <c r="G423" t="s">
        <v>84</v>
      </c>
      <c r="H423" t="s">
        <v>92</v>
      </c>
      <c r="I423">
        <v>1</v>
      </c>
      <c r="J423">
        <v>1</v>
      </c>
      <c r="N423">
        <v>1</v>
      </c>
      <c r="O423">
        <v>1</v>
      </c>
      <c r="P423">
        <v>1</v>
      </c>
      <c r="Q423">
        <v>1</v>
      </c>
      <c r="R423">
        <v>1</v>
      </c>
      <c r="S423">
        <v>1</v>
      </c>
      <c r="T423">
        <v>1</v>
      </c>
      <c r="W423">
        <v>1</v>
      </c>
      <c r="X423">
        <v>1</v>
      </c>
      <c r="Y423">
        <v>1</v>
      </c>
      <c r="Z423">
        <v>1</v>
      </c>
      <c r="AA423">
        <v>1</v>
      </c>
      <c r="AB423">
        <v>1</v>
      </c>
    </row>
    <row r="424" spans="1:49" x14ac:dyDescent="0.25">
      <c r="A424" t="str">
        <f>"420"</f>
        <v>420</v>
      </c>
      <c r="B424" t="str">
        <f t="shared" si="23"/>
        <v>1</v>
      </c>
      <c r="C424" t="str">
        <f t="shared" si="22"/>
        <v>17</v>
      </c>
      <c r="D424" t="str">
        <f>"4"</f>
        <v>4</v>
      </c>
      <c r="E424" t="str">
        <f>"1-17-4"</f>
        <v>1-17-4</v>
      </c>
      <c r="F424" t="s">
        <v>83</v>
      </c>
      <c r="G424" t="s">
        <v>84</v>
      </c>
      <c r="H424" t="s">
        <v>85</v>
      </c>
      <c r="AC424">
        <v>0</v>
      </c>
      <c r="AD424">
        <v>1</v>
      </c>
      <c r="AE424">
        <v>0</v>
      </c>
      <c r="AF424">
        <v>0</v>
      </c>
      <c r="AG424">
        <v>0</v>
      </c>
      <c r="AJ424">
        <v>0</v>
      </c>
      <c r="AK424">
        <v>1</v>
      </c>
      <c r="AL424">
        <v>0</v>
      </c>
      <c r="AM424">
        <v>0</v>
      </c>
      <c r="AN424">
        <v>1</v>
      </c>
      <c r="AO424">
        <v>0</v>
      </c>
      <c r="AP424">
        <v>0</v>
      </c>
      <c r="AQ424">
        <v>0</v>
      </c>
      <c r="AR424">
        <v>0</v>
      </c>
      <c r="AS424">
        <v>0</v>
      </c>
      <c r="AT424">
        <v>0</v>
      </c>
      <c r="AV424">
        <v>0</v>
      </c>
      <c r="AW424">
        <v>0</v>
      </c>
    </row>
    <row r="425" spans="1:49" x14ac:dyDescent="0.25">
      <c r="A425" t="str">
        <f>"421"</f>
        <v>421</v>
      </c>
      <c r="B425" t="str">
        <f t="shared" si="23"/>
        <v>1</v>
      </c>
      <c r="C425" t="str">
        <f>"18"</f>
        <v>18</v>
      </c>
      <c r="D425" t="str">
        <f>"1"</f>
        <v>1</v>
      </c>
      <c r="E425" t="str">
        <f>"1-18-1"</f>
        <v>1-18-1</v>
      </c>
      <c r="F425" t="s">
        <v>83</v>
      </c>
      <c r="G425" t="s">
        <v>86</v>
      </c>
      <c r="H425" t="s">
        <v>93</v>
      </c>
      <c r="I425">
        <v>1</v>
      </c>
      <c r="K425">
        <v>0</v>
      </c>
      <c r="L425">
        <v>0</v>
      </c>
      <c r="M425">
        <v>1</v>
      </c>
      <c r="N425">
        <v>1</v>
      </c>
      <c r="O425">
        <v>1</v>
      </c>
      <c r="P425">
        <v>1</v>
      </c>
      <c r="Q425">
        <v>1</v>
      </c>
      <c r="R425">
        <v>1</v>
      </c>
      <c r="U425">
        <v>1</v>
      </c>
      <c r="V425">
        <v>0</v>
      </c>
      <c r="W425">
        <v>1</v>
      </c>
      <c r="X425">
        <v>1</v>
      </c>
      <c r="Y425">
        <v>1</v>
      </c>
      <c r="Z425">
        <v>1</v>
      </c>
      <c r="AA425">
        <v>1</v>
      </c>
      <c r="AB425">
        <v>1</v>
      </c>
    </row>
    <row r="426" spans="1:49" x14ac:dyDescent="0.25">
      <c r="A426" t="str">
        <f>"422"</f>
        <v>422</v>
      </c>
      <c r="B426" t="str">
        <f t="shared" si="23"/>
        <v>1</v>
      </c>
      <c r="C426" t="str">
        <f>"18"</f>
        <v>18</v>
      </c>
      <c r="D426" t="str">
        <f>"3"</f>
        <v>3</v>
      </c>
      <c r="E426" t="str">
        <f>"1-18-3"</f>
        <v>1-18-3</v>
      </c>
      <c r="F426" t="s">
        <v>83</v>
      </c>
      <c r="G426" t="s">
        <v>84</v>
      </c>
      <c r="H426" t="s">
        <v>92</v>
      </c>
      <c r="I426">
        <v>0</v>
      </c>
      <c r="J426">
        <v>0</v>
      </c>
      <c r="N426">
        <v>1</v>
      </c>
      <c r="O426">
        <v>1</v>
      </c>
      <c r="P426">
        <v>0</v>
      </c>
      <c r="Q426">
        <v>1</v>
      </c>
      <c r="R426">
        <v>0</v>
      </c>
      <c r="S426">
        <v>0</v>
      </c>
      <c r="T426">
        <v>0</v>
      </c>
      <c r="W426">
        <v>0</v>
      </c>
      <c r="X426">
        <v>0</v>
      </c>
      <c r="Y426">
        <v>1</v>
      </c>
      <c r="Z426">
        <v>0</v>
      </c>
      <c r="AA426">
        <v>0</v>
      </c>
      <c r="AB426">
        <v>1</v>
      </c>
    </row>
    <row r="427" spans="1:49" x14ac:dyDescent="0.25">
      <c r="A427" t="str">
        <f>"423"</f>
        <v>423</v>
      </c>
      <c r="B427" t="str">
        <f t="shared" si="23"/>
        <v>1</v>
      </c>
      <c r="C427" t="str">
        <f>"18"</f>
        <v>18</v>
      </c>
      <c r="D427" t="str">
        <f>"4"</f>
        <v>4</v>
      </c>
      <c r="E427" t="str">
        <f>"1-18-4"</f>
        <v>1-18-4</v>
      </c>
      <c r="F427" t="s">
        <v>83</v>
      </c>
      <c r="G427" t="s">
        <v>84</v>
      </c>
      <c r="H427" t="s">
        <v>92</v>
      </c>
      <c r="I427">
        <v>1</v>
      </c>
      <c r="J427">
        <v>1</v>
      </c>
      <c r="N427">
        <v>1</v>
      </c>
      <c r="O427">
        <v>1</v>
      </c>
      <c r="P427">
        <v>1</v>
      </c>
      <c r="Q427">
        <v>1</v>
      </c>
      <c r="R427">
        <v>1</v>
      </c>
      <c r="S427">
        <v>1</v>
      </c>
      <c r="T427">
        <v>1</v>
      </c>
      <c r="W427">
        <v>1</v>
      </c>
      <c r="X427">
        <v>1</v>
      </c>
      <c r="Y427">
        <v>1</v>
      </c>
      <c r="Z427">
        <v>1</v>
      </c>
      <c r="AA427">
        <v>1</v>
      </c>
      <c r="AB427">
        <v>1</v>
      </c>
    </row>
    <row r="428" spans="1:49" x14ac:dyDescent="0.25">
      <c r="A428" t="str">
        <f>"424"</f>
        <v>424</v>
      </c>
      <c r="B428" t="str">
        <f t="shared" si="23"/>
        <v>1</v>
      </c>
      <c r="C428" t="str">
        <f>"18"</f>
        <v>18</v>
      </c>
      <c r="D428" t="str">
        <f>"2"</f>
        <v>2</v>
      </c>
      <c r="E428" t="str">
        <f>"1-18-2"</f>
        <v>1-18-2</v>
      </c>
      <c r="F428" t="s">
        <v>83</v>
      </c>
      <c r="G428" t="s">
        <v>84</v>
      </c>
      <c r="H428" t="s">
        <v>85</v>
      </c>
      <c r="AC428">
        <v>0</v>
      </c>
      <c r="AD428">
        <v>1</v>
      </c>
      <c r="AE428">
        <v>0</v>
      </c>
      <c r="AF428">
        <v>0</v>
      </c>
      <c r="AG428">
        <v>1</v>
      </c>
      <c r="AJ428">
        <v>1</v>
      </c>
      <c r="AK428">
        <v>0</v>
      </c>
      <c r="AL428">
        <v>0</v>
      </c>
      <c r="AM428">
        <v>1</v>
      </c>
      <c r="AN428">
        <v>0</v>
      </c>
      <c r="AO428">
        <v>1</v>
      </c>
      <c r="AP428">
        <v>1</v>
      </c>
      <c r="AQ428">
        <v>1</v>
      </c>
      <c r="AR428">
        <v>1</v>
      </c>
      <c r="AS428">
        <v>1</v>
      </c>
      <c r="AT428">
        <v>0</v>
      </c>
      <c r="AV428">
        <v>1</v>
      </c>
      <c r="AW428">
        <v>1</v>
      </c>
    </row>
    <row r="429" spans="1:49" x14ac:dyDescent="0.25">
      <c r="A429" t="str">
        <f>"425"</f>
        <v>425</v>
      </c>
      <c r="B429" t="str">
        <f t="shared" si="23"/>
        <v>1</v>
      </c>
      <c r="C429" t="str">
        <f t="shared" ref="C429:C453" si="24">"19"</f>
        <v>19</v>
      </c>
      <c r="D429" t="str">
        <f>"25"</f>
        <v>25</v>
      </c>
      <c r="E429" t="str">
        <f>"1-19-25"</f>
        <v>1-19-25</v>
      </c>
      <c r="F429" t="s">
        <v>83</v>
      </c>
      <c r="G429" t="s">
        <v>84</v>
      </c>
      <c r="H429" t="s">
        <v>92</v>
      </c>
      <c r="I429">
        <v>1</v>
      </c>
      <c r="J429">
        <v>1</v>
      </c>
      <c r="N429">
        <v>1</v>
      </c>
      <c r="O429">
        <v>1</v>
      </c>
      <c r="P429">
        <v>1</v>
      </c>
      <c r="Q429">
        <v>1</v>
      </c>
      <c r="R429">
        <v>1</v>
      </c>
      <c r="S429">
        <v>1</v>
      </c>
      <c r="T429">
        <v>1</v>
      </c>
      <c r="W429">
        <v>1</v>
      </c>
      <c r="X429">
        <v>1</v>
      </c>
      <c r="Y429">
        <v>1</v>
      </c>
      <c r="Z429">
        <v>1</v>
      </c>
      <c r="AA429">
        <v>1</v>
      </c>
      <c r="AB429">
        <v>1</v>
      </c>
    </row>
    <row r="430" spans="1:49" x14ac:dyDescent="0.25">
      <c r="A430" t="str">
        <f>"426"</f>
        <v>426</v>
      </c>
      <c r="B430" t="str">
        <f t="shared" si="23"/>
        <v>1</v>
      </c>
      <c r="C430" t="str">
        <f t="shared" si="24"/>
        <v>19</v>
      </c>
      <c r="D430" t="str">
        <f>"24"</f>
        <v>24</v>
      </c>
      <c r="E430" t="str">
        <f>"1-19-24"</f>
        <v>1-19-24</v>
      </c>
      <c r="F430" t="s">
        <v>83</v>
      </c>
      <c r="G430" t="s">
        <v>84</v>
      </c>
      <c r="H430" t="s">
        <v>92</v>
      </c>
      <c r="I430">
        <v>1</v>
      </c>
      <c r="J430">
        <v>1</v>
      </c>
      <c r="N430">
        <v>1</v>
      </c>
      <c r="O430">
        <v>1</v>
      </c>
      <c r="P430">
        <v>1</v>
      </c>
      <c r="Q430">
        <v>1</v>
      </c>
      <c r="R430">
        <v>1</v>
      </c>
      <c r="S430">
        <v>1</v>
      </c>
      <c r="T430">
        <v>1</v>
      </c>
      <c r="W430">
        <v>1</v>
      </c>
      <c r="X430">
        <v>1</v>
      </c>
      <c r="Y430">
        <v>1</v>
      </c>
      <c r="Z430">
        <v>1</v>
      </c>
      <c r="AA430">
        <v>1</v>
      </c>
      <c r="AB430">
        <v>1</v>
      </c>
    </row>
    <row r="431" spans="1:49" x14ac:dyDescent="0.25">
      <c r="A431" t="str">
        <f>"427"</f>
        <v>427</v>
      </c>
      <c r="B431" t="str">
        <f t="shared" si="23"/>
        <v>1</v>
      </c>
      <c r="C431" t="str">
        <f t="shared" si="24"/>
        <v>19</v>
      </c>
      <c r="D431" t="str">
        <f>"16"</f>
        <v>16</v>
      </c>
      <c r="E431" t="str">
        <f>"1-19-16"</f>
        <v>1-19-16</v>
      </c>
      <c r="F431" t="s">
        <v>83</v>
      </c>
      <c r="G431" t="s">
        <v>86</v>
      </c>
      <c r="H431" t="s">
        <v>87</v>
      </c>
      <c r="AC431">
        <v>0</v>
      </c>
      <c r="AD431">
        <v>0</v>
      </c>
      <c r="AE431">
        <v>0</v>
      </c>
      <c r="AF431">
        <v>0</v>
      </c>
      <c r="AH431">
        <v>0</v>
      </c>
      <c r="AI431">
        <v>1</v>
      </c>
      <c r="AJ431">
        <v>0</v>
      </c>
      <c r="AK431">
        <v>1</v>
      </c>
      <c r="AL431">
        <v>0</v>
      </c>
      <c r="AM431">
        <v>0</v>
      </c>
      <c r="AN431">
        <v>1</v>
      </c>
      <c r="AO431">
        <v>0</v>
      </c>
      <c r="AP431">
        <v>0</v>
      </c>
      <c r="AQ431">
        <v>0</v>
      </c>
      <c r="AU431">
        <v>0</v>
      </c>
      <c r="AV431">
        <v>0</v>
      </c>
      <c r="AW431">
        <v>0</v>
      </c>
    </row>
    <row r="432" spans="1:49" x14ac:dyDescent="0.25">
      <c r="A432" t="str">
        <f>"428"</f>
        <v>428</v>
      </c>
      <c r="B432" t="str">
        <f t="shared" si="23"/>
        <v>1</v>
      </c>
      <c r="C432" t="str">
        <f t="shared" si="24"/>
        <v>19</v>
      </c>
      <c r="D432" t="str">
        <f>"11"</f>
        <v>11</v>
      </c>
      <c r="E432" t="str">
        <f>"1-19-11"</f>
        <v>1-19-11</v>
      </c>
      <c r="F432" t="s">
        <v>83</v>
      </c>
      <c r="G432" t="s">
        <v>86</v>
      </c>
      <c r="H432" t="s">
        <v>87</v>
      </c>
      <c r="AC432">
        <v>0</v>
      </c>
      <c r="AD432">
        <v>0</v>
      </c>
      <c r="AE432">
        <v>0</v>
      </c>
      <c r="AF432">
        <v>0</v>
      </c>
      <c r="AH432">
        <v>0</v>
      </c>
      <c r="AI432">
        <v>1</v>
      </c>
      <c r="AJ432">
        <v>0</v>
      </c>
      <c r="AK432">
        <v>0</v>
      </c>
      <c r="AL432">
        <v>0</v>
      </c>
      <c r="AM432">
        <v>0</v>
      </c>
      <c r="AN432">
        <v>0</v>
      </c>
      <c r="AO432">
        <v>0</v>
      </c>
      <c r="AP432">
        <v>0</v>
      </c>
      <c r="AQ432">
        <v>0</v>
      </c>
      <c r="AU432">
        <v>0</v>
      </c>
      <c r="AV432">
        <v>0</v>
      </c>
      <c r="AW432">
        <v>0</v>
      </c>
    </row>
    <row r="433" spans="1:49" x14ac:dyDescent="0.25">
      <c r="A433" t="str">
        <f>"429"</f>
        <v>429</v>
      </c>
      <c r="B433" t="str">
        <f t="shared" si="23"/>
        <v>1</v>
      </c>
      <c r="C433" t="str">
        <f t="shared" si="24"/>
        <v>19</v>
      </c>
      <c r="D433" t="str">
        <f>"8"</f>
        <v>8</v>
      </c>
      <c r="E433" t="str">
        <f>"1-19-8"</f>
        <v>1-19-8</v>
      </c>
      <c r="F433" t="s">
        <v>83</v>
      </c>
      <c r="G433" t="s">
        <v>86</v>
      </c>
      <c r="H433" t="s">
        <v>87</v>
      </c>
      <c r="AC433">
        <v>1</v>
      </c>
      <c r="AD433">
        <v>0</v>
      </c>
      <c r="AE433">
        <v>0</v>
      </c>
      <c r="AF433">
        <v>0</v>
      </c>
      <c r="AH433">
        <v>0</v>
      </c>
      <c r="AI433">
        <v>1</v>
      </c>
      <c r="AJ433">
        <v>1</v>
      </c>
      <c r="AK433">
        <v>0</v>
      </c>
      <c r="AL433">
        <v>0</v>
      </c>
      <c r="AM433">
        <v>1</v>
      </c>
      <c r="AN433">
        <v>0</v>
      </c>
      <c r="AO433">
        <v>1</v>
      </c>
      <c r="AP433">
        <v>1</v>
      </c>
      <c r="AQ433">
        <v>1</v>
      </c>
      <c r="AU433">
        <v>1</v>
      </c>
      <c r="AV433">
        <v>1</v>
      </c>
      <c r="AW433">
        <v>1</v>
      </c>
    </row>
    <row r="434" spans="1:49" x14ac:dyDescent="0.25">
      <c r="A434" t="str">
        <f>"430"</f>
        <v>430</v>
      </c>
      <c r="B434" t="str">
        <f t="shared" si="23"/>
        <v>1</v>
      </c>
      <c r="C434" t="str">
        <f t="shared" si="24"/>
        <v>19</v>
      </c>
      <c r="D434" t="str">
        <f>"1"</f>
        <v>1</v>
      </c>
      <c r="E434" t="str">
        <f>"1-19-1"</f>
        <v>1-19-1</v>
      </c>
      <c r="F434" t="s">
        <v>83</v>
      </c>
      <c r="G434" t="s">
        <v>86</v>
      </c>
      <c r="H434" t="s">
        <v>87</v>
      </c>
      <c r="AC434">
        <v>0</v>
      </c>
      <c r="AD434">
        <v>0</v>
      </c>
      <c r="AE434">
        <v>0</v>
      </c>
      <c r="AF434">
        <v>0</v>
      </c>
      <c r="AH434">
        <v>0</v>
      </c>
      <c r="AI434">
        <v>1</v>
      </c>
      <c r="AJ434">
        <v>0</v>
      </c>
      <c r="AK434">
        <v>0</v>
      </c>
      <c r="AL434">
        <v>0</v>
      </c>
      <c r="AM434">
        <v>0</v>
      </c>
      <c r="AN434">
        <v>0</v>
      </c>
      <c r="AO434">
        <v>0</v>
      </c>
      <c r="AP434">
        <v>0</v>
      </c>
      <c r="AQ434">
        <v>0</v>
      </c>
      <c r="AU434">
        <v>0</v>
      </c>
      <c r="AV434">
        <v>0</v>
      </c>
      <c r="AW434">
        <v>0</v>
      </c>
    </row>
    <row r="435" spans="1:49" x14ac:dyDescent="0.25">
      <c r="A435" t="str">
        <f>"431"</f>
        <v>431</v>
      </c>
      <c r="B435" t="str">
        <f t="shared" si="23"/>
        <v>1</v>
      </c>
      <c r="C435" t="str">
        <f t="shared" si="24"/>
        <v>19</v>
      </c>
      <c r="D435" t="str">
        <f>"18"</f>
        <v>18</v>
      </c>
      <c r="E435" t="str">
        <f>"1-19-18"</f>
        <v>1-19-18</v>
      </c>
      <c r="F435" t="s">
        <v>83</v>
      </c>
      <c r="G435" t="s">
        <v>86</v>
      </c>
      <c r="H435" t="s">
        <v>93</v>
      </c>
      <c r="I435">
        <v>1</v>
      </c>
      <c r="K435">
        <v>0</v>
      </c>
      <c r="L435">
        <v>0</v>
      </c>
      <c r="M435">
        <v>1</v>
      </c>
      <c r="N435">
        <v>1</v>
      </c>
      <c r="O435">
        <v>1</v>
      </c>
      <c r="P435">
        <v>1</v>
      </c>
      <c r="Q435">
        <v>1</v>
      </c>
      <c r="R435">
        <v>1</v>
      </c>
      <c r="U435">
        <v>0</v>
      </c>
      <c r="V435">
        <v>1</v>
      </c>
      <c r="W435">
        <v>1</v>
      </c>
      <c r="X435">
        <v>1</v>
      </c>
      <c r="Y435">
        <v>1</v>
      </c>
      <c r="Z435">
        <v>1</v>
      </c>
      <c r="AA435">
        <v>1</v>
      </c>
      <c r="AB435">
        <v>1</v>
      </c>
    </row>
    <row r="436" spans="1:49" x14ac:dyDescent="0.25">
      <c r="A436" t="str">
        <f>"432"</f>
        <v>432</v>
      </c>
      <c r="B436" t="str">
        <f t="shared" si="23"/>
        <v>1</v>
      </c>
      <c r="C436" t="str">
        <f t="shared" si="24"/>
        <v>19</v>
      </c>
      <c r="D436" t="str">
        <f>"9"</f>
        <v>9</v>
      </c>
      <c r="E436" t="str">
        <f>"1-19-9"</f>
        <v>1-19-9</v>
      </c>
      <c r="F436" t="s">
        <v>83</v>
      </c>
      <c r="G436" t="s">
        <v>86</v>
      </c>
      <c r="H436" t="s">
        <v>87</v>
      </c>
      <c r="AC436">
        <v>0</v>
      </c>
      <c r="AD436">
        <v>1</v>
      </c>
      <c r="AE436">
        <v>0</v>
      </c>
      <c r="AF436">
        <v>0</v>
      </c>
      <c r="AH436">
        <v>0</v>
      </c>
      <c r="AI436">
        <v>1</v>
      </c>
      <c r="AJ436">
        <v>0</v>
      </c>
      <c r="AK436">
        <v>1</v>
      </c>
      <c r="AL436">
        <v>0</v>
      </c>
      <c r="AM436">
        <v>0</v>
      </c>
      <c r="AN436">
        <v>1</v>
      </c>
      <c r="AO436">
        <v>1</v>
      </c>
      <c r="AP436">
        <v>1</v>
      </c>
      <c r="AQ436">
        <v>1</v>
      </c>
      <c r="AU436">
        <v>1</v>
      </c>
      <c r="AV436">
        <v>1</v>
      </c>
      <c r="AW436">
        <v>1</v>
      </c>
    </row>
    <row r="437" spans="1:49" x14ac:dyDescent="0.25">
      <c r="A437" t="str">
        <f>"433"</f>
        <v>433</v>
      </c>
      <c r="B437" t="str">
        <f t="shared" si="23"/>
        <v>1</v>
      </c>
      <c r="C437" t="str">
        <f t="shared" si="24"/>
        <v>19</v>
      </c>
      <c r="D437" t="str">
        <f>"6"</f>
        <v>6</v>
      </c>
      <c r="E437" t="str">
        <f>"1-19-6"</f>
        <v>1-19-6</v>
      </c>
      <c r="F437" t="s">
        <v>83</v>
      </c>
      <c r="G437" t="s">
        <v>86</v>
      </c>
      <c r="H437" t="s">
        <v>87</v>
      </c>
      <c r="AC437">
        <v>0</v>
      </c>
      <c r="AD437">
        <v>1</v>
      </c>
      <c r="AE437">
        <v>0</v>
      </c>
      <c r="AF437">
        <v>0</v>
      </c>
      <c r="AH437">
        <v>1</v>
      </c>
      <c r="AI437">
        <v>0</v>
      </c>
      <c r="AJ437">
        <v>1</v>
      </c>
      <c r="AK437">
        <v>0</v>
      </c>
      <c r="AL437">
        <v>0</v>
      </c>
      <c r="AM437">
        <v>0</v>
      </c>
      <c r="AN437">
        <v>1</v>
      </c>
      <c r="AO437">
        <v>0</v>
      </c>
      <c r="AP437">
        <v>0</v>
      </c>
      <c r="AQ437">
        <v>0</v>
      </c>
      <c r="AU437">
        <v>0</v>
      </c>
      <c r="AV437">
        <v>0</v>
      </c>
      <c r="AW437">
        <v>1</v>
      </c>
    </row>
    <row r="438" spans="1:49" x14ac:dyDescent="0.25">
      <c r="A438" t="str">
        <f>"434"</f>
        <v>434</v>
      </c>
      <c r="B438" t="str">
        <f t="shared" si="23"/>
        <v>1</v>
      </c>
      <c r="C438" t="str">
        <f t="shared" si="24"/>
        <v>19</v>
      </c>
      <c r="D438" t="str">
        <f>"19"</f>
        <v>19</v>
      </c>
      <c r="E438" t="str">
        <f>"1-19-19"</f>
        <v>1-19-19</v>
      </c>
      <c r="F438" t="s">
        <v>83</v>
      </c>
      <c r="G438" t="s">
        <v>86</v>
      </c>
      <c r="H438" t="s">
        <v>93</v>
      </c>
      <c r="I438">
        <v>1</v>
      </c>
      <c r="K438">
        <v>1</v>
      </c>
      <c r="L438">
        <v>0</v>
      </c>
      <c r="M438">
        <v>0</v>
      </c>
      <c r="N438">
        <v>1</v>
      </c>
      <c r="O438">
        <v>1</v>
      </c>
      <c r="P438">
        <v>1</v>
      </c>
      <c r="Q438">
        <v>1</v>
      </c>
      <c r="R438">
        <v>1</v>
      </c>
      <c r="U438">
        <v>0</v>
      </c>
      <c r="V438">
        <v>1</v>
      </c>
      <c r="W438">
        <v>1</v>
      </c>
      <c r="X438">
        <v>1</v>
      </c>
      <c r="Y438">
        <v>1</v>
      </c>
      <c r="Z438">
        <v>1</v>
      </c>
      <c r="AA438">
        <v>1</v>
      </c>
      <c r="AB438">
        <v>1</v>
      </c>
    </row>
    <row r="439" spans="1:49" x14ac:dyDescent="0.25">
      <c r="A439" t="str">
        <f>"435"</f>
        <v>435</v>
      </c>
      <c r="B439" t="str">
        <f t="shared" si="23"/>
        <v>1</v>
      </c>
      <c r="C439" t="str">
        <f t="shared" si="24"/>
        <v>19</v>
      </c>
      <c r="D439" t="str">
        <f>"10"</f>
        <v>10</v>
      </c>
      <c r="E439" t="str">
        <f>"1-19-10"</f>
        <v>1-19-10</v>
      </c>
      <c r="F439" t="s">
        <v>83</v>
      </c>
      <c r="G439" t="s">
        <v>86</v>
      </c>
      <c r="H439" t="s">
        <v>87</v>
      </c>
      <c r="AC439">
        <v>0</v>
      </c>
      <c r="AD439">
        <v>0</v>
      </c>
      <c r="AE439">
        <v>0</v>
      </c>
      <c r="AF439">
        <v>0</v>
      </c>
      <c r="AH439">
        <v>0</v>
      </c>
      <c r="AI439">
        <v>1</v>
      </c>
      <c r="AJ439">
        <v>0</v>
      </c>
      <c r="AK439">
        <v>0</v>
      </c>
      <c r="AL439">
        <v>0</v>
      </c>
      <c r="AM439">
        <v>1</v>
      </c>
      <c r="AN439">
        <v>0</v>
      </c>
      <c r="AO439">
        <v>0</v>
      </c>
      <c r="AP439">
        <v>0</v>
      </c>
      <c r="AQ439">
        <v>0</v>
      </c>
      <c r="AU439">
        <v>0</v>
      </c>
      <c r="AV439">
        <v>0</v>
      </c>
      <c r="AW439">
        <v>0</v>
      </c>
    </row>
    <row r="440" spans="1:49" x14ac:dyDescent="0.25">
      <c r="A440" t="str">
        <f>"436"</f>
        <v>436</v>
      </c>
      <c r="B440" t="str">
        <f t="shared" si="23"/>
        <v>1</v>
      </c>
      <c r="C440" t="str">
        <f t="shared" si="24"/>
        <v>19</v>
      </c>
      <c r="D440" t="str">
        <f>"2"</f>
        <v>2</v>
      </c>
      <c r="E440" t="str">
        <f>"1-19-2"</f>
        <v>1-19-2</v>
      </c>
      <c r="F440" t="s">
        <v>83</v>
      </c>
      <c r="G440" t="s">
        <v>86</v>
      </c>
      <c r="H440" t="s">
        <v>87</v>
      </c>
      <c r="AC440">
        <v>0</v>
      </c>
      <c r="AD440">
        <v>1</v>
      </c>
      <c r="AE440">
        <v>0</v>
      </c>
      <c r="AF440">
        <v>0</v>
      </c>
      <c r="AH440">
        <v>1</v>
      </c>
      <c r="AI440">
        <v>0</v>
      </c>
      <c r="AJ440">
        <v>0</v>
      </c>
      <c r="AK440">
        <v>1</v>
      </c>
      <c r="AL440">
        <v>0</v>
      </c>
      <c r="AM440">
        <v>1</v>
      </c>
      <c r="AN440">
        <v>0</v>
      </c>
      <c r="AO440">
        <v>1</v>
      </c>
      <c r="AP440">
        <v>1</v>
      </c>
      <c r="AQ440">
        <v>1</v>
      </c>
      <c r="AU440">
        <v>1</v>
      </c>
      <c r="AV440">
        <v>1</v>
      </c>
      <c r="AW440">
        <v>1</v>
      </c>
    </row>
    <row r="441" spans="1:49" x14ac:dyDescent="0.25">
      <c r="A441" t="str">
        <f>"437"</f>
        <v>437</v>
      </c>
      <c r="B441" t="str">
        <f t="shared" si="23"/>
        <v>1</v>
      </c>
      <c r="C441" t="str">
        <f t="shared" si="24"/>
        <v>19</v>
      </c>
      <c r="D441" t="str">
        <f>"21"</f>
        <v>21</v>
      </c>
      <c r="E441" t="str">
        <f>"1-19-21"</f>
        <v>1-19-21</v>
      </c>
      <c r="F441" t="s">
        <v>83</v>
      </c>
      <c r="G441" t="s">
        <v>86</v>
      </c>
      <c r="H441" t="s">
        <v>87</v>
      </c>
      <c r="AC441">
        <v>0</v>
      </c>
      <c r="AD441">
        <v>1</v>
      </c>
      <c r="AE441">
        <v>0</v>
      </c>
      <c r="AF441">
        <v>0</v>
      </c>
      <c r="AH441">
        <v>1</v>
      </c>
      <c r="AI441">
        <v>0</v>
      </c>
      <c r="AJ441">
        <v>0</v>
      </c>
      <c r="AK441">
        <v>0</v>
      </c>
      <c r="AL441">
        <v>1</v>
      </c>
      <c r="AM441">
        <v>0</v>
      </c>
      <c r="AN441">
        <v>0</v>
      </c>
      <c r="AO441">
        <v>0</v>
      </c>
      <c r="AP441">
        <v>0</v>
      </c>
      <c r="AQ441">
        <v>0</v>
      </c>
      <c r="AU441">
        <v>1</v>
      </c>
      <c r="AV441">
        <v>0</v>
      </c>
      <c r="AW441">
        <v>1</v>
      </c>
    </row>
    <row r="442" spans="1:49" x14ac:dyDescent="0.25">
      <c r="A442" t="str">
        <f>"438"</f>
        <v>438</v>
      </c>
      <c r="B442" t="str">
        <f t="shared" si="23"/>
        <v>1</v>
      </c>
      <c r="C442" t="str">
        <f t="shared" si="24"/>
        <v>19</v>
      </c>
      <c r="D442" t="str">
        <f>"12"</f>
        <v>12</v>
      </c>
      <c r="E442" t="str">
        <f>"1-19-12"</f>
        <v>1-19-12</v>
      </c>
      <c r="F442" t="s">
        <v>83</v>
      </c>
      <c r="G442" t="s">
        <v>86</v>
      </c>
      <c r="H442" t="s">
        <v>87</v>
      </c>
      <c r="AC442">
        <v>0</v>
      </c>
      <c r="AD442">
        <v>1</v>
      </c>
      <c r="AE442">
        <v>0</v>
      </c>
      <c r="AF442">
        <v>0</v>
      </c>
      <c r="AH442">
        <v>1</v>
      </c>
      <c r="AI442">
        <v>0</v>
      </c>
      <c r="AJ442">
        <v>1</v>
      </c>
      <c r="AK442">
        <v>0</v>
      </c>
      <c r="AL442">
        <v>1</v>
      </c>
      <c r="AM442">
        <v>0</v>
      </c>
      <c r="AN442">
        <v>0</v>
      </c>
      <c r="AO442">
        <v>0</v>
      </c>
      <c r="AP442">
        <v>0</v>
      </c>
      <c r="AQ442">
        <v>0</v>
      </c>
      <c r="AU442">
        <v>0</v>
      </c>
      <c r="AV442">
        <v>0</v>
      </c>
      <c r="AW442">
        <v>0</v>
      </c>
    </row>
    <row r="443" spans="1:49" x14ac:dyDescent="0.25">
      <c r="A443" t="str">
        <f>"439"</f>
        <v>439</v>
      </c>
      <c r="B443" t="str">
        <f t="shared" si="23"/>
        <v>1</v>
      </c>
      <c r="C443" t="str">
        <f t="shared" si="24"/>
        <v>19</v>
      </c>
      <c r="D443" t="str">
        <f>"5"</f>
        <v>5</v>
      </c>
      <c r="E443" t="str">
        <f>"1-19-5"</f>
        <v>1-19-5</v>
      </c>
      <c r="F443" t="s">
        <v>83</v>
      </c>
      <c r="G443" t="s">
        <v>86</v>
      </c>
      <c r="H443" t="s">
        <v>87</v>
      </c>
      <c r="AC443">
        <v>0</v>
      </c>
      <c r="AD443">
        <v>0</v>
      </c>
      <c r="AE443">
        <v>0</v>
      </c>
      <c r="AF443">
        <v>0</v>
      </c>
      <c r="AH443">
        <v>1</v>
      </c>
      <c r="AI443">
        <v>0</v>
      </c>
      <c r="AJ443">
        <v>0</v>
      </c>
      <c r="AK443">
        <v>0</v>
      </c>
      <c r="AL443">
        <v>0</v>
      </c>
      <c r="AM443">
        <v>0</v>
      </c>
      <c r="AN443">
        <v>0</v>
      </c>
      <c r="AO443">
        <v>0</v>
      </c>
      <c r="AP443">
        <v>0</v>
      </c>
      <c r="AQ443">
        <v>0</v>
      </c>
      <c r="AU443">
        <v>0</v>
      </c>
      <c r="AV443">
        <v>0</v>
      </c>
      <c r="AW443">
        <v>0</v>
      </c>
    </row>
    <row r="444" spans="1:49" x14ac:dyDescent="0.25">
      <c r="A444" t="str">
        <f>"440"</f>
        <v>440</v>
      </c>
      <c r="B444" t="str">
        <f t="shared" si="23"/>
        <v>1</v>
      </c>
      <c r="C444" t="str">
        <f t="shared" si="24"/>
        <v>19</v>
      </c>
      <c r="D444" t="str">
        <f>"20"</f>
        <v>20</v>
      </c>
      <c r="E444" t="str">
        <f>"1-19-20"</f>
        <v>1-19-20</v>
      </c>
      <c r="F444" t="s">
        <v>83</v>
      </c>
      <c r="G444" t="s">
        <v>86</v>
      </c>
      <c r="H444" t="s">
        <v>87</v>
      </c>
      <c r="AC444">
        <v>0</v>
      </c>
      <c r="AD444">
        <v>1</v>
      </c>
      <c r="AE444">
        <v>0</v>
      </c>
      <c r="AF444">
        <v>0</v>
      </c>
      <c r="AH444">
        <v>1</v>
      </c>
      <c r="AI444">
        <v>0</v>
      </c>
      <c r="AJ444">
        <v>1</v>
      </c>
      <c r="AK444">
        <v>0</v>
      </c>
      <c r="AL444">
        <v>0</v>
      </c>
      <c r="AM444">
        <v>1</v>
      </c>
      <c r="AN444">
        <v>0</v>
      </c>
      <c r="AO444">
        <v>1</v>
      </c>
      <c r="AP444">
        <v>1</v>
      </c>
      <c r="AQ444">
        <v>1</v>
      </c>
      <c r="AU444">
        <v>1</v>
      </c>
      <c r="AV444">
        <v>1</v>
      </c>
      <c r="AW444">
        <v>1</v>
      </c>
    </row>
    <row r="445" spans="1:49" x14ac:dyDescent="0.25">
      <c r="A445" t="str">
        <f>"441"</f>
        <v>441</v>
      </c>
      <c r="B445" t="str">
        <f t="shared" si="23"/>
        <v>1</v>
      </c>
      <c r="C445" t="str">
        <f t="shared" si="24"/>
        <v>19</v>
      </c>
      <c r="D445" t="str">
        <f>"13"</f>
        <v>13</v>
      </c>
      <c r="E445" t="str">
        <f>"1-19-13"</f>
        <v>1-19-13</v>
      </c>
      <c r="F445" t="s">
        <v>83</v>
      </c>
      <c r="G445" t="s">
        <v>86</v>
      </c>
      <c r="H445" t="s">
        <v>87</v>
      </c>
      <c r="AC445">
        <v>1</v>
      </c>
      <c r="AD445">
        <v>0</v>
      </c>
      <c r="AE445">
        <v>0</v>
      </c>
      <c r="AF445">
        <v>0</v>
      </c>
      <c r="AH445">
        <v>0</v>
      </c>
      <c r="AI445">
        <v>1</v>
      </c>
      <c r="AJ445">
        <v>0</v>
      </c>
      <c r="AK445">
        <v>1</v>
      </c>
      <c r="AL445">
        <v>0</v>
      </c>
      <c r="AM445">
        <v>0</v>
      </c>
      <c r="AN445">
        <v>1</v>
      </c>
      <c r="AO445">
        <v>0</v>
      </c>
      <c r="AP445">
        <v>0</v>
      </c>
      <c r="AQ445">
        <v>0</v>
      </c>
      <c r="AU445">
        <v>0</v>
      </c>
      <c r="AV445">
        <v>0</v>
      </c>
      <c r="AW445">
        <v>0</v>
      </c>
    </row>
    <row r="446" spans="1:49" s="2" customFormat="1" x14ac:dyDescent="0.25">
      <c r="A446" s="1" t="str">
        <f>"442"</f>
        <v>442</v>
      </c>
      <c r="B446" s="1" t="str">
        <f t="shared" si="23"/>
        <v>1</v>
      </c>
      <c r="C446" s="1" t="str">
        <f t="shared" si="24"/>
        <v>19</v>
      </c>
      <c r="D446" s="1" t="str">
        <f>"4"</f>
        <v>4</v>
      </c>
      <c r="E446" s="1" t="str">
        <f>"1-19-4"</f>
        <v>1-19-4</v>
      </c>
      <c r="F446" s="1" t="s">
        <v>83</v>
      </c>
      <c r="G446" s="4" t="s">
        <v>96</v>
      </c>
      <c r="I446" s="4"/>
    </row>
    <row r="447" spans="1:49" x14ac:dyDescent="0.25">
      <c r="A447" t="str">
        <f>"443"</f>
        <v>443</v>
      </c>
      <c r="B447" t="str">
        <f t="shared" si="23"/>
        <v>1</v>
      </c>
      <c r="C447" t="str">
        <f t="shared" si="24"/>
        <v>19</v>
      </c>
      <c r="D447" t="str">
        <f>"22"</f>
        <v>22</v>
      </c>
      <c r="E447" t="str">
        <f>"1-19-22"</f>
        <v>1-19-22</v>
      </c>
      <c r="F447" t="s">
        <v>83</v>
      </c>
      <c r="G447" t="s">
        <v>84</v>
      </c>
      <c r="H447" t="s">
        <v>92</v>
      </c>
      <c r="I447">
        <v>1</v>
      </c>
      <c r="J447">
        <v>1</v>
      </c>
      <c r="N447">
        <v>1</v>
      </c>
      <c r="O447">
        <v>1</v>
      </c>
      <c r="P447">
        <v>0</v>
      </c>
      <c r="Q447">
        <v>0</v>
      </c>
      <c r="R447">
        <v>0</v>
      </c>
      <c r="S447">
        <v>0</v>
      </c>
      <c r="T447">
        <v>0</v>
      </c>
      <c r="W447">
        <v>1</v>
      </c>
      <c r="X447">
        <v>1</v>
      </c>
      <c r="Y447">
        <v>1</v>
      </c>
      <c r="Z447">
        <v>1</v>
      </c>
      <c r="AA447">
        <v>1</v>
      </c>
      <c r="AB447">
        <v>1</v>
      </c>
    </row>
    <row r="448" spans="1:49" x14ac:dyDescent="0.25">
      <c r="A448" t="str">
        <f>"444"</f>
        <v>444</v>
      </c>
      <c r="B448" t="str">
        <f t="shared" si="23"/>
        <v>1</v>
      </c>
      <c r="C448" t="str">
        <f t="shared" si="24"/>
        <v>19</v>
      </c>
      <c r="D448" t="str">
        <f>"14"</f>
        <v>14</v>
      </c>
      <c r="E448" t="str">
        <f>"1-19-14"</f>
        <v>1-19-14</v>
      </c>
      <c r="F448" t="s">
        <v>83</v>
      </c>
      <c r="G448" t="s">
        <v>86</v>
      </c>
      <c r="H448" t="s">
        <v>87</v>
      </c>
      <c r="AC448">
        <v>0</v>
      </c>
      <c r="AD448">
        <v>0</v>
      </c>
      <c r="AE448">
        <v>0</v>
      </c>
      <c r="AF448">
        <v>0</v>
      </c>
      <c r="AH448">
        <v>0</v>
      </c>
      <c r="AI448">
        <v>1</v>
      </c>
      <c r="AJ448">
        <v>0</v>
      </c>
      <c r="AK448">
        <v>0</v>
      </c>
      <c r="AL448">
        <v>0</v>
      </c>
      <c r="AM448">
        <v>0</v>
      </c>
      <c r="AN448">
        <v>1</v>
      </c>
      <c r="AO448">
        <v>0</v>
      </c>
      <c r="AP448">
        <v>0</v>
      </c>
      <c r="AQ448">
        <v>0</v>
      </c>
      <c r="AU448">
        <v>0</v>
      </c>
      <c r="AV448">
        <v>0</v>
      </c>
      <c r="AW448">
        <v>0</v>
      </c>
    </row>
    <row r="449" spans="1:49" x14ac:dyDescent="0.25">
      <c r="A449" t="str">
        <f>"445"</f>
        <v>445</v>
      </c>
      <c r="B449" t="str">
        <f t="shared" si="23"/>
        <v>1</v>
      </c>
      <c r="C449" t="str">
        <f t="shared" si="24"/>
        <v>19</v>
      </c>
      <c r="D449" t="str">
        <f>"7"</f>
        <v>7</v>
      </c>
      <c r="E449" t="str">
        <f>"1-19-7"</f>
        <v>1-19-7</v>
      </c>
      <c r="F449" t="s">
        <v>83</v>
      </c>
      <c r="G449" t="s">
        <v>86</v>
      </c>
      <c r="H449" t="s">
        <v>87</v>
      </c>
      <c r="AC449">
        <v>1</v>
      </c>
      <c r="AD449">
        <v>0</v>
      </c>
      <c r="AE449">
        <v>0</v>
      </c>
      <c r="AF449">
        <v>0</v>
      </c>
      <c r="AH449">
        <v>0</v>
      </c>
      <c r="AI449">
        <v>1</v>
      </c>
      <c r="AJ449">
        <v>1</v>
      </c>
      <c r="AK449">
        <v>0</v>
      </c>
      <c r="AL449">
        <v>0</v>
      </c>
      <c r="AM449">
        <v>1</v>
      </c>
      <c r="AN449">
        <v>0</v>
      </c>
      <c r="AO449">
        <v>1</v>
      </c>
      <c r="AP449">
        <v>1</v>
      </c>
      <c r="AQ449">
        <v>1</v>
      </c>
      <c r="AU449">
        <v>1</v>
      </c>
      <c r="AV449">
        <v>1</v>
      </c>
      <c r="AW449">
        <v>1</v>
      </c>
    </row>
    <row r="450" spans="1:49" x14ac:dyDescent="0.25">
      <c r="A450" t="str">
        <f>"446"</f>
        <v>446</v>
      </c>
      <c r="B450" t="str">
        <f t="shared" si="23"/>
        <v>1</v>
      </c>
      <c r="C450" t="str">
        <f t="shared" si="24"/>
        <v>19</v>
      </c>
      <c r="D450" t="str">
        <f>"23"</f>
        <v>23</v>
      </c>
      <c r="E450" t="str">
        <f>"1-19-23"</f>
        <v>1-19-23</v>
      </c>
      <c r="F450" t="s">
        <v>83</v>
      </c>
      <c r="G450" t="s">
        <v>84</v>
      </c>
      <c r="H450" t="s">
        <v>85</v>
      </c>
      <c r="AC450">
        <v>0</v>
      </c>
      <c r="AD450">
        <v>1</v>
      </c>
      <c r="AE450">
        <v>0</v>
      </c>
      <c r="AF450">
        <v>0</v>
      </c>
      <c r="AG450">
        <v>1</v>
      </c>
      <c r="AJ450">
        <v>0</v>
      </c>
      <c r="AK450">
        <v>1</v>
      </c>
      <c r="AL450">
        <v>0</v>
      </c>
      <c r="AM450">
        <v>0</v>
      </c>
      <c r="AN450">
        <v>1</v>
      </c>
      <c r="AO450">
        <v>1</v>
      </c>
      <c r="AP450">
        <v>1</v>
      </c>
      <c r="AQ450">
        <v>1</v>
      </c>
      <c r="AR450">
        <v>1</v>
      </c>
      <c r="AS450">
        <v>1</v>
      </c>
      <c r="AT450">
        <v>0</v>
      </c>
      <c r="AV450">
        <v>1</v>
      </c>
      <c r="AW450">
        <v>1</v>
      </c>
    </row>
    <row r="451" spans="1:49" x14ac:dyDescent="0.25">
      <c r="A451" t="str">
        <f>"447"</f>
        <v>447</v>
      </c>
      <c r="B451" t="str">
        <f t="shared" si="23"/>
        <v>1</v>
      </c>
      <c r="C451" t="str">
        <f t="shared" si="24"/>
        <v>19</v>
      </c>
      <c r="D451" t="str">
        <f>"15"</f>
        <v>15</v>
      </c>
      <c r="E451" t="str">
        <f>"1-19-15"</f>
        <v>1-19-15</v>
      </c>
      <c r="F451" t="s">
        <v>83</v>
      </c>
      <c r="G451" t="s">
        <v>86</v>
      </c>
      <c r="H451" t="s">
        <v>87</v>
      </c>
      <c r="AC451">
        <v>0</v>
      </c>
      <c r="AD451">
        <v>1</v>
      </c>
      <c r="AE451">
        <v>0</v>
      </c>
      <c r="AF451">
        <v>0</v>
      </c>
      <c r="AH451">
        <v>1</v>
      </c>
      <c r="AI451">
        <v>0</v>
      </c>
      <c r="AJ451">
        <v>0</v>
      </c>
      <c r="AK451">
        <v>0</v>
      </c>
      <c r="AL451">
        <v>0</v>
      </c>
      <c r="AM451">
        <v>0</v>
      </c>
      <c r="AN451">
        <v>0</v>
      </c>
      <c r="AO451">
        <v>0</v>
      </c>
      <c r="AP451">
        <v>0</v>
      </c>
      <c r="AQ451">
        <v>0</v>
      </c>
      <c r="AU451">
        <v>0</v>
      </c>
      <c r="AV451">
        <v>0</v>
      </c>
      <c r="AW451">
        <v>0</v>
      </c>
    </row>
    <row r="452" spans="1:49" x14ac:dyDescent="0.25">
      <c r="A452" t="str">
        <f>"448"</f>
        <v>448</v>
      </c>
      <c r="B452" t="str">
        <f t="shared" si="23"/>
        <v>1</v>
      </c>
      <c r="C452" t="str">
        <f t="shared" si="24"/>
        <v>19</v>
      </c>
      <c r="D452" t="str">
        <f>"3"</f>
        <v>3</v>
      </c>
      <c r="E452" t="str">
        <f>"1-19-3"</f>
        <v>1-19-3</v>
      </c>
      <c r="F452" t="s">
        <v>83</v>
      </c>
      <c r="G452" t="s">
        <v>86</v>
      </c>
      <c r="H452" t="s">
        <v>93</v>
      </c>
      <c r="I452">
        <v>1</v>
      </c>
      <c r="K452">
        <v>0</v>
      </c>
      <c r="L452">
        <v>0</v>
      </c>
      <c r="M452">
        <v>1</v>
      </c>
      <c r="N452">
        <v>1</v>
      </c>
      <c r="O452">
        <v>1</v>
      </c>
      <c r="P452">
        <v>1</v>
      </c>
      <c r="Q452">
        <v>1</v>
      </c>
      <c r="R452">
        <v>1</v>
      </c>
      <c r="U452">
        <v>1</v>
      </c>
      <c r="V452">
        <v>0</v>
      </c>
      <c r="W452">
        <v>1</v>
      </c>
      <c r="X452">
        <v>1</v>
      </c>
      <c r="Y452">
        <v>1</v>
      </c>
      <c r="Z452">
        <v>1</v>
      </c>
      <c r="AA452">
        <v>1</v>
      </c>
      <c r="AB452">
        <v>1</v>
      </c>
    </row>
    <row r="453" spans="1:49" x14ac:dyDescent="0.25">
      <c r="A453" t="str">
        <f>"449"</f>
        <v>449</v>
      </c>
      <c r="B453" t="str">
        <f t="shared" si="23"/>
        <v>1</v>
      </c>
      <c r="C453" t="str">
        <f t="shared" si="24"/>
        <v>19</v>
      </c>
      <c r="D453" t="str">
        <f>"17"</f>
        <v>17</v>
      </c>
      <c r="E453" t="str">
        <f>"1-19-17"</f>
        <v>1-19-17</v>
      </c>
      <c r="F453" t="s">
        <v>83</v>
      </c>
      <c r="G453" t="s">
        <v>86</v>
      </c>
      <c r="H453" t="s">
        <v>87</v>
      </c>
      <c r="AC453">
        <v>0</v>
      </c>
      <c r="AD453">
        <v>0</v>
      </c>
      <c r="AE453">
        <v>0</v>
      </c>
      <c r="AF453">
        <v>0</v>
      </c>
      <c r="AH453">
        <v>0</v>
      </c>
      <c r="AI453">
        <v>1</v>
      </c>
      <c r="AJ453">
        <v>0</v>
      </c>
      <c r="AK453">
        <v>1</v>
      </c>
      <c r="AL453">
        <v>0</v>
      </c>
      <c r="AM453">
        <v>1</v>
      </c>
      <c r="AN453">
        <v>0</v>
      </c>
      <c r="AO453">
        <v>0</v>
      </c>
      <c r="AP453">
        <v>0</v>
      </c>
      <c r="AQ453">
        <v>0</v>
      </c>
      <c r="AU453">
        <v>1</v>
      </c>
      <c r="AV453">
        <v>1</v>
      </c>
      <c r="AW453">
        <v>1</v>
      </c>
    </row>
    <row r="454" spans="1:49" x14ac:dyDescent="0.25">
      <c r="A454" t="str">
        <f>"450"</f>
        <v>450</v>
      </c>
      <c r="B454" t="str">
        <f t="shared" si="23"/>
        <v>1</v>
      </c>
      <c r="C454" t="str">
        <f t="shared" ref="C454:C474" si="25">"20"</f>
        <v>20</v>
      </c>
      <c r="D454" t="str">
        <f>"15"</f>
        <v>15</v>
      </c>
      <c r="E454" t="str">
        <f>"1-20-15"</f>
        <v>1-20-15</v>
      </c>
      <c r="F454" t="s">
        <v>83</v>
      </c>
      <c r="G454" t="s">
        <v>84</v>
      </c>
      <c r="H454" t="s">
        <v>85</v>
      </c>
      <c r="AC454">
        <v>0</v>
      </c>
      <c r="AD454">
        <v>1</v>
      </c>
      <c r="AE454">
        <v>0</v>
      </c>
      <c r="AF454">
        <v>0</v>
      </c>
      <c r="AG454">
        <v>0</v>
      </c>
      <c r="AJ454">
        <v>0</v>
      </c>
      <c r="AK454">
        <v>1</v>
      </c>
      <c r="AL454">
        <v>0</v>
      </c>
      <c r="AM454">
        <v>0</v>
      </c>
      <c r="AN454">
        <v>1</v>
      </c>
      <c r="AO454">
        <v>0</v>
      </c>
      <c r="AP454">
        <v>0</v>
      </c>
      <c r="AQ454">
        <v>0</v>
      </c>
      <c r="AR454">
        <v>0</v>
      </c>
      <c r="AS454">
        <v>0</v>
      </c>
      <c r="AT454">
        <v>1</v>
      </c>
      <c r="AV454">
        <v>0</v>
      </c>
      <c r="AW454">
        <v>0</v>
      </c>
    </row>
    <row r="455" spans="1:49" x14ac:dyDescent="0.25">
      <c r="A455" t="str">
        <f>"451"</f>
        <v>451</v>
      </c>
      <c r="B455" t="str">
        <f t="shared" si="23"/>
        <v>1</v>
      </c>
      <c r="C455" t="str">
        <f t="shared" si="25"/>
        <v>20</v>
      </c>
      <c r="D455" t="str">
        <f>"9"</f>
        <v>9</v>
      </c>
      <c r="E455" t="str">
        <f>"1-20-9"</f>
        <v>1-20-9</v>
      </c>
      <c r="F455" t="s">
        <v>83</v>
      </c>
      <c r="G455" t="s">
        <v>84</v>
      </c>
      <c r="H455" t="s">
        <v>85</v>
      </c>
      <c r="AC455">
        <v>0</v>
      </c>
      <c r="AD455">
        <v>1</v>
      </c>
      <c r="AE455">
        <v>0</v>
      </c>
      <c r="AF455">
        <v>0</v>
      </c>
      <c r="AG455">
        <v>1</v>
      </c>
      <c r="AJ455">
        <v>1</v>
      </c>
      <c r="AK455">
        <v>0</v>
      </c>
      <c r="AL455">
        <v>0</v>
      </c>
      <c r="AM455">
        <v>1</v>
      </c>
      <c r="AN455">
        <v>0</v>
      </c>
      <c r="AO455">
        <v>1</v>
      </c>
      <c r="AP455">
        <v>1</v>
      </c>
      <c r="AQ455">
        <v>1</v>
      </c>
      <c r="AR455">
        <v>1</v>
      </c>
      <c r="AS455">
        <v>1</v>
      </c>
      <c r="AT455">
        <v>0</v>
      </c>
      <c r="AV455">
        <v>1</v>
      </c>
      <c r="AW455">
        <v>1</v>
      </c>
    </row>
    <row r="456" spans="1:49" x14ac:dyDescent="0.25">
      <c r="A456" t="str">
        <f>"452"</f>
        <v>452</v>
      </c>
      <c r="B456" t="str">
        <f t="shared" si="23"/>
        <v>1</v>
      </c>
      <c r="C456" t="str">
        <f t="shared" si="25"/>
        <v>20</v>
      </c>
      <c r="D456" t="str">
        <f>"7"</f>
        <v>7</v>
      </c>
      <c r="E456" t="str">
        <f>"1-20-7"</f>
        <v>1-20-7</v>
      </c>
      <c r="F456" t="s">
        <v>83</v>
      </c>
      <c r="G456" t="s">
        <v>84</v>
      </c>
      <c r="H456" t="s">
        <v>92</v>
      </c>
      <c r="I456">
        <v>1</v>
      </c>
      <c r="J456">
        <v>1</v>
      </c>
      <c r="N456">
        <v>1</v>
      </c>
      <c r="O456">
        <v>1</v>
      </c>
      <c r="P456">
        <v>1</v>
      </c>
      <c r="Q456">
        <v>1</v>
      </c>
      <c r="R456">
        <v>1</v>
      </c>
      <c r="S456">
        <v>1</v>
      </c>
      <c r="T456">
        <v>1</v>
      </c>
      <c r="W456">
        <v>1</v>
      </c>
      <c r="X456">
        <v>1</v>
      </c>
      <c r="Y456">
        <v>1</v>
      </c>
      <c r="Z456">
        <v>1</v>
      </c>
      <c r="AA456">
        <v>1</v>
      </c>
      <c r="AB456">
        <v>1</v>
      </c>
    </row>
    <row r="457" spans="1:49" x14ac:dyDescent="0.25">
      <c r="A457" t="str">
        <f>"453"</f>
        <v>453</v>
      </c>
      <c r="B457" t="str">
        <f t="shared" si="23"/>
        <v>1</v>
      </c>
      <c r="C457" t="str">
        <f t="shared" si="25"/>
        <v>20</v>
      </c>
      <c r="D457" t="str">
        <f>"20"</f>
        <v>20</v>
      </c>
      <c r="E457" t="str">
        <f>"1-20-20"</f>
        <v>1-20-20</v>
      </c>
      <c r="F457" t="s">
        <v>83</v>
      </c>
      <c r="G457" t="s">
        <v>84</v>
      </c>
      <c r="H457" t="s">
        <v>92</v>
      </c>
      <c r="I457">
        <v>1</v>
      </c>
      <c r="J457">
        <v>1</v>
      </c>
      <c r="N457">
        <v>1</v>
      </c>
      <c r="O457">
        <v>1</v>
      </c>
      <c r="P457">
        <v>1</v>
      </c>
      <c r="Q457">
        <v>1</v>
      </c>
      <c r="R457">
        <v>1</v>
      </c>
      <c r="S457">
        <v>1</v>
      </c>
      <c r="T457">
        <v>1</v>
      </c>
      <c r="W457">
        <v>1</v>
      </c>
      <c r="X457">
        <v>1</v>
      </c>
      <c r="Y457">
        <v>1</v>
      </c>
      <c r="Z457">
        <v>1</v>
      </c>
      <c r="AA457">
        <v>1</v>
      </c>
      <c r="AB457">
        <v>1</v>
      </c>
    </row>
    <row r="458" spans="1:49" x14ac:dyDescent="0.25">
      <c r="A458" t="str">
        <f>"454"</f>
        <v>454</v>
      </c>
      <c r="B458" t="str">
        <f t="shared" si="23"/>
        <v>1</v>
      </c>
      <c r="C458" t="str">
        <f t="shared" si="25"/>
        <v>20</v>
      </c>
      <c r="D458" t="str">
        <f>"14"</f>
        <v>14</v>
      </c>
      <c r="E458" t="str">
        <f>"1-20-14"</f>
        <v>1-20-14</v>
      </c>
      <c r="F458" t="s">
        <v>83</v>
      </c>
      <c r="G458" t="s">
        <v>84</v>
      </c>
      <c r="H458" t="s">
        <v>92</v>
      </c>
      <c r="I458">
        <v>1</v>
      </c>
      <c r="J458">
        <v>1</v>
      </c>
      <c r="N458">
        <v>1</v>
      </c>
      <c r="O458">
        <v>1</v>
      </c>
      <c r="P458">
        <v>1</v>
      </c>
      <c r="Q458">
        <v>1</v>
      </c>
      <c r="R458">
        <v>1</v>
      </c>
      <c r="S458">
        <v>1</v>
      </c>
      <c r="T458">
        <v>1</v>
      </c>
      <c r="W458">
        <v>1</v>
      </c>
      <c r="X458">
        <v>1</v>
      </c>
      <c r="Y458">
        <v>1</v>
      </c>
      <c r="Z458">
        <v>1</v>
      </c>
      <c r="AA458">
        <v>1</v>
      </c>
      <c r="AB458">
        <v>1</v>
      </c>
    </row>
    <row r="459" spans="1:49" x14ac:dyDescent="0.25">
      <c r="A459" t="str">
        <f>"455"</f>
        <v>455</v>
      </c>
      <c r="B459" t="str">
        <f t="shared" si="23"/>
        <v>1</v>
      </c>
      <c r="C459" t="str">
        <f t="shared" si="25"/>
        <v>20</v>
      </c>
      <c r="D459" t="str">
        <f>"8"</f>
        <v>8</v>
      </c>
      <c r="E459" t="str">
        <f>"1-20-8"</f>
        <v>1-20-8</v>
      </c>
      <c r="F459" t="s">
        <v>83</v>
      </c>
      <c r="G459" t="s">
        <v>84</v>
      </c>
      <c r="H459" t="s">
        <v>85</v>
      </c>
      <c r="AC459">
        <v>0</v>
      </c>
      <c r="AD459">
        <v>0</v>
      </c>
      <c r="AE459">
        <v>0</v>
      </c>
      <c r="AF459">
        <v>0</v>
      </c>
      <c r="AG459">
        <v>0</v>
      </c>
      <c r="AJ459">
        <v>1</v>
      </c>
      <c r="AK459">
        <v>0</v>
      </c>
      <c r="AL459">
        <v>0</v>
      </c>
      <c r="AM459">
        <v>0</v>
      </c>
      <c r="AN459">
        <v>0</v>
      </c>
      <c r="AO459">
        <v>0</v>
      </c>
      <c r="AP459">
        <v>0</v>
      </c>
      <c r="AQ459">
        <v>0</v>
      </c>
      <c r="AR459">
        <v>0</v>
      </c>
      <c r="AS459">
        <v>1</v>
      </c>
      <c r="AT459">
        <v>0</v>
      </c>
      <c r="AV459">
        <v>0</v>
      </c>
      <c r="AW459">
        <v>1</v>
      </c>
    </row>
    <row r="460" spans="1:49" x14ac:dyDescent="0.25">
      <c r="A460" t="str">
        <f>"456"</f>
        <v>456</v>
      </c>
      <c r="B460" t="str">
        <f t="shared" si="23"/>
        <v>1</v>
      </c>
      <c r="C460" t="str">
        <f t="shared" si="25"/>
        <v>20</v>
      </c>
      <c r="D460" t="str">
        <f>"3"</f>
        <v>3</v>
      </c>
      <c r="E460" t="str">
        <f>"1-20-3"</f>
        <v>1-20-3</v>
      </c>
      <c r="F460" t="s">
        <v>83</v>
      </c>
      <c r="G460" t="s">
        <v>84</v>
      </c>
      <c r="H460" t="s">
        <v>92</v>
      </c>
      <c r="I460">
        <v>1</v>
      </c>
      <c r="J460">
        <v>1</v>
      </c>
      <c r="N460">
        <v>1</v>
      </c>
      <c r="O460">
        <v>1</v>
      </c>
      <c r="P460">
        <v>1</v>
      </c>
      <c r="Q460">
        <v>1</v>
      </c>
      <c r="R460">
        <v>1</v>
      </c>
      <c r="S460">
        <v>1</v>
      </c>
      <c r="T460">
        <v>1</v>
      </c>
      <c r="W460">
        <v>1</v>
      </c>
      <c r="X460">
        <v>1</v>
      </c>
      <c r="Y460">
        <v>1</v>
      </c>
      <c r="Z460">
        <v>1</v>
      </c>
      <c r="AA460">
        <v>1</v>
      </c>
      <c r="AB460">
        <v>1</v>
      </c>
    </row>
    <row r="461" spans="1:49" x14ac:dyDescent="0.25">
      <c r="A461" t="str">
        <f>"457"</f>
        <v>457</v>
      </c>
      <c r="B461" t="str">
        <f t="shared" si="23"/>
        <v>1</v>
      </c>
      <c r="C461" t="str">
        <f t="shared" si="25"/>
        <v>20</v>
      </c>
      <c r="D461" t="str">
        <f>"17"</f>
        <v>17</v>
      </c>
      <c r="E461" t="str">
        <f>"1-20-17"</f>
        <v>1-20-17</v>
      </c>
      <c r="F461" t="s">
        <v>83</v>
      </c>
      <c r="G461" t="s">
        <v>84</v>
      </c>
      <c r="H461" t="s">
        <v>85</v>
      </c>
      <c r="AC461">
        <v>0</v>
      </c>
      <c r="AD461">
        <v>1</v>
      </c>
      <c r="AE461">
        <v>0</v>
      </c>
      <c r="AF461">
        <v>0</v>
      </c>
      <c r="AG461">
        <v>0</v>
      </c>
      <c r="AJ461">
        <v>0</v>
      </c>
      <c r="AK461">
        <v>1</v>
      </c>
      <c r="AL461">
        <v>0</v>
      </c>
      <c r="AM461">
        <v>0</v>
      </c>
      <c r="AN461">
        <v>1</v>
      </c>
      <c r="AO461">
        <v>0</v>
      </c>
      <c r="AP461">
        <v>0</v>
      </c>
      <c r="AQ461">
        <v>0</v>
      </c>
      <c r="AR461">
        <v>0</v>
      </c>
      <c r="AS461">
        <v>0</v>
      </c>
      <c r="AT461">
        <v>1</v>
      </c>
      <c r="AV461">
        <v>0</v>
      </c>
      <c r="AW461">
        <v>0</v>
      </c>
    </row>
    <row r="462" spans="1:49" x14ac:dyDescent="0.25">
      <c r="A462" t="str">
        <f>"458"</f>
        <v>458</v>
      </c>
      <c r="B462" t="str">
        <f t="shared" si="23"/>
        <v>1</v>
      </c>
      <c r="C462" t="str">
        <f t="shared" si="25"/>
        <v>20</v>
      </c>
      <c r="D462" t="str">
        <f>"10"</f>
        <v>10</v>
      </c>
      <c r="E462" t="str">
        <f>"1-20-10"</f>
        <v>1-20-10</v>
      </c>
      <c r="F462" t="s">
        <v>83</v>
      </c>
      <c r="G462" t="s">
        <v>84</v>
      </c>
      <c r="H462" t="s">
        <v>85</v>
      </c>
      <c r="AC462">
        <v>1</v>
      </c>
      <c r="AD462">
        <v>0</v>
      </c>
      <c r="AE462">
        <v>0</v>
      </c>
      <c r="AF462">
        <v>0</v>
      </c>
      <c r="AG462">
        <v>1</v>
      </c>
      <c r="AJ462">
        <v>1</v>
      </c>
      <c r="AK462">
        <v>0</v>
      </c>
      <c r="AL462">
        <v>1</v>
      </c>
      <c r="AM462">
        <v>0</v>
      </c>
      <c r="AN462">
        <v>0</v>
      </c>
      <c r="AO462">
        <v>1</v>
      </c>
      <c r="AP462">
        <v>1</v>
      </c>
      <c r="AQ462">
        <v>1</v>
      </c>
      <c r="AR462">
        <v>1</v>
      </c>
      <c r="AS462">
        <v>0</v>
      </c>
      <c r="AT462">
        <v>1</v>
      </c>
      <c r="AV462">
        <v>1</v>
      </c>
      <c r="AW462">
        <v>1</v>
      </c>
    </row>
    <row r="463" spans="1:49" x14ac:dyDescent="0.25">
      <c r="A463" t="str">
        <f>"459"</f>
        <v>459</v>
      </c>
      <c r="B463" t="str">
        <f t="shared" si="23"/>
        <v>1</v>
      </c>
      <c r="C463" t="str">
        <f t="shared" si="25"/>
        <v>20</v>
      </c>
      <c r="D463" t="str">
        <f>"1"</f>
        <v>1</v>
      </c>
      <c r="E463" t="str">
        <f>"1-20-1"</f>
        <v>1-20-1</v>
      </c>
      <c r="F463" t="s">
        <v>83</v>
      </c>
      <c r="G463" t="s">
        <v>88</v>
      </c>
      <c r="H463" t="s">
        <v>89</v>
      </c>
      <c r="AC463">
        <v>0</v>
      </c>
      <c r="AD463">
        <v>1</v>
      </c>
      <c r="AE463">
        <v>0</v>
      </c>
      <c r="AF463">
        <v>0</v>
      </c>
      <c r="AH463">
        <v>1</v>
      </c>
      <c r="AI463">
        <v>0</v>
      </c>
      <c r="AJ463">
        <v>1</v>
      </c>
      <c r="AK463">
        <v>0</v>
      </c>
      <c r="AL463">
        <v>0</v>
      </c>
      <c r="AM463">
        <v>1</v>
      </c>
      <c r="AN463">
        <v>0</v>
      </c>
      <c r="AO463">
        <v>1</v>
      </c>
      <c r="AP463">
        <v>1</v>
      </c>
      <c r="AQ463">
        <v>1</v>
      </c>
      <c r="AR463">
        <v>1</v>
      </c>
      <c r="AS463">
        <v>0</v>
      </c>
      <c r="AT463">
        <v>1</v>
      </c>
      <c r="AV463">
        <v>1</v>
      </c>
      <c r="AW463">
        <v>1</v>
      </c>
    </row>
    <row r="464" spans="1:49" x14ac:dyDescent="0.25">
      <c r="A464" t="str">
        <f>"460"</f>
        <v>460</v>
      </c>
      <c r="B464" t="str">
        <f t="shared" si="23"/>
        <v>1</v>
      </c>
      <c r="C464" t="str">
        <f t="shared" si="25"/>
        <v>20</v>
      </c>
      <c r="D464" t="str">
        <f>"16"</f>
        <v>16</v>
      </c>
      <c r="E464" t="str">
        <f>"1-20-16"</f>
        <v>1-20-16</v>
      </c>
      <c r="F464" t="s">
        <v>83</v>
      </c>
      <c r="G464" t="s">
        <v>84</v>
      </c>
      <c r="H464" t="s">
        <v>85</v>
      </c>
      <c r="AC464">
        <v>0</v>
      </c>
      <c r="AD464">
        <v>1</v>
      </c>
      <c r="AE464">
        <v>0</v>
      </c>
      <c r="AF464">
        <v>0</v>
      </c>
      <c r="AG464">
        <v>1</v>
      </c>
      <c r="AJ464">
        <v>0</v>
      </c>
      <c r="AK464">
        <v>1</v>
      </c>
      <c r="AL464">
        <v>0</v>
      </c>
      <c r="AM464">
        <v>0</v>
      </c>
      <c r="AN464">
        <v>1</v>
      </c>
      <c r="AO464">
        <v>1</v>
      </c>
      <c r="AP464">
        <v>1</v>
      </c>
      <c r="AQ464">
        <v>1</v>
      </c>
      <c r="AR464">
        <v>1</v>
      </c>
      <c r="AS464">
        <v>0</v>
      </c>
      <c r="AT464">
        <v>1</v>
      </c>
      <c r="AV464">
        <v>1</v>
      </c>
      <c r="AW464">
        <v>1</v>
      </c>
    </row>
    <row r="465" spans="1:49" x14ac:dyDescent="0.25">
      <c r="A465" t="str">
        <f>"461"</f>
        <v>461</v>
      </c>
      <c r="B465" t="str">
        <f t="shared" si="23"/>
        <v>1</v>
      </c>
      <c r="C465" t="str">
        <f t="shared" si="25"/>
        <v>20</v>
      </c>
      <c r="D465" t="str">
        <f>"11"</f>
        <v>11</v>
      </c>
      <c r="E465" t="str">
        <f>"1-20-11"</f>
        <v>1-20-11</v>
      </c>
      <c r="F465" t="s">
        <v>83</v>
      </c>
      <c r="G465" t="s">
        <v>84</v>
      </c>
      <c r="H465" t="s">
        <v>92</v>
      </c>
      <c r="I465">
        <v>1</v>
      </c>
      <c r="J465">
        <v>0</v>
      </c>
      <c r="N465">
        <v>1</v>
      </c>
      <c r="O465">
        <v>1</v>
      </c>
      <c r="P465">
        <v>1</v>
      </c>
      <c r="Q465">
        <v>1</v>
      </c>
      <c r="R465">
        <v>1</v>
      </c>
      <c r="S465">
        <v>1</v>
      </c>
      <c r="T465">
        <v>1</v>
      </c>
      <c r="W465">
        <v>1</v>
      </c>
      <c r="X465">
        <v>1</v>
      </c>
      <c r="Y465">
        <v>1</v>
      </c>
      <c r="Z465">
        <v>1</v>
      </c>
      <c r="AA465">
        <v>1</v>
      </c>
      <c r="AB465">
        <v>1</v>
      </c>
    </row>
    <row r="466" spans="1:49" x14ac:dyDescent="0.25">
      <c r="A466" t="str">
        <f>"462"</f>
        <v>462</v>
      </c>
      <c r="B466" t="str">
        <f t="shared" si="23"/>
        <v>1</v>
      </c>
      <c r="C466" t="str">
        <f t="shared" si="25"/>
        <v>20</v>
      </c>
      <c r="D466" t="str">
        <f>"6"</f>
        <v>6</v>
      </c>
      <c r="E466" t="str">
        <f>"1-20-6"</f>
        <v>1-20-6</v>
      </c>
      <c r="F466" t="s">
        <v>83</v>
      </c>
      <c r="G466" t="s">
        <v>84</v>
      </c>
      <c r="H466" t="s">
        <v>85</v>
      </c>
      <c r="AC466">
        <v>0</v>
      </c>
      <c r="AD466">
        <v>1</v>
      </c>
      <c r="AE466">
        <v>0</v>
      </c>
      <c r="AF466">
        <v>0</v>
      </c>
      <c r="AG466">
        <v>1</v>
      </c>
      <c r="AJ466">
        <v>0</v>
      </c>
      <c r="AK466">
        <v>1</v>
      </c>
      <c r="AL466">
        <v>0</v>
      </c>
      <c r="AM466">
        <v>0</v>
      </c>
      <c r="AN466">
        <v>1</v>
      </c>
      <c r="AO466">
        <v>1</v>
      </c>
      <c r="AP466">
        <v>1</v>
      </c>
      <c r="AQ466">
        <v>1</v>
      </c>
      <c r="AR466">
        <v>1</v>
      </c>
      <c r="AS466">
        <v>0</v>
      </c>
      <c r="AT466">
        <v>1</v>
      </c>
      <c r="AV466">
        <v>1</v>
      </c>
      <c r="AW466">
        <v>1</v>
      </c>
    </row>
    <row r="467" spans="1:49" x14ac:dyDescent="0.25">
      <c r="A467" t="str">
        <f>"463"</f>
        <v>463</v>
      </c>
      <c r="B467" t="str">
        <f t="shared" si="23"/>
        <v>1</v>
      </c>
      <c r="C467" t="str">
        <f t="shared" si="25"/>
        <v>20</v>
      </c>
      <c r="D467" t="str">
        <f>"19"</f>
        <v>19</v>
      </c>
      <c r="E467" t="str">
        <f>"1-20-19"</f>
        <v>1-20-19</v>
      </c>
      <c r="F467" t="s">
        <v>83</v>
      </c>
      <c r="G467" t="s">
        <v>86</v>
      </c>
      <c r="H467" t="s">
        <v>87</v>
      </c>
      <c r="AC467">
        <v>0</v>
      </c>
      <c r="AD467">
        <v>0</v>
      </c>
      <c r="AE467">
        <v>0</v>
      </c>
      <c r="AF467">
        <v>0</v>
      </c>
      <c r="AH467">
        <v>0</v>
      </c>
      <c r="AI467">
        <v>1</v>
      </c>
      <c r="AJ467">
        <v>0</v>
      </c>
      <c r="AK467">
        <v>0</v>
      </c>
      <c r="AL467">
        <v>0</v>
      </c>
      <c r="AM467">
        <v>0</v>
      </c>
      <c r="AN467">
        <v>1</v>
      </c>
      <c r="AO467">
        <v>0</v>
      </c>
      <c r="AP467">
        <v>0</v>
      </c>
      <c r="AQ467">
        <v>0</v>
      </c>
      <c r="AU467">
        <v>0</v>
      </c>
      <c r="AV467">
        <v>0</v>
      </c>
      <c r="AW467">
        <v>0</v>
      </c>
    </row>
    <row r="468" spans="1:49" x14ac:dyDescent="0.25">
      <c r="A468" t="str">
        <f>"464"</f>
        <v>464</v>
      </c>
      <c r="B468" t="str">
        <f t="shared" si="23"/>
        <v>1</v>
      </c>
      <c r="C468" t="str">
        <f t="shared" si="25"/>
        <v>20</v>
      </c>
      <c r="D468" t="str">
        <f>"12"</f>
        <v>12</v>
      </c>
      <c r="E468" t="str">
        <f>"1-20-12"</f>
        <v>1-20-12</v>
      </c>
      <c r="F468" t="s">
        <v>83</v>
      </c>
      <c r="G468" t="s">
        <v>84</v>
      </c>
      <c r="H468" t="s">
        <v>85</v>
      </c>
      <c r="AC468">
        <v>0</v>
      </c>
      <c r="AD468">
        <v>1</v>
      </c>
      <c r="AE468">
        <v>0</v>
      </c>
      <c r="AF468">
        <v>0</v>
      </c>
      <c r="AG468">
        <v>1</v>
      </c>
      <c r="AJ468">
        <v>1</v>
      </c>
      <c r="AK468">
        <v>0</v>
      </c>
      <c r="AL468">
        <v>0</v>
      </c>
      <c r="AM468">
        <v>1</v>
      </c>
      <c r="AN468">
        <v>0</v>
      </c>
      <c r="AO468">
        <v>1</v>
      </c>
      <c r="AP468">
        <v>1</v>
      </c>
      <c r="AQ468">
        <v>1</v>
      </c>
      <c r="AR468">
        <v>1</v>
      </c>
      <c r="AS468">
        <v>1</v>
      </c>
      <c r="AT468">
        <v>0</v>
      </c>
      <c r="AV468">
        <v>1</v>
      </c>
      <c r="AW468">
        <v>1</v>
      </c>
    </row>
    <row r="469" spans="1:49" x14ac:dyDescent="0.25">
      <c r="A469" t="str">
        <f>"465"</f>
        <v>465</v>
      </c>
      <c r="B469" t="str">
        <f t="shared" si="23"/>
        <v>1</v>
      </c>
      <c r="C469" t="str">
        <f t="shared" si="25"/>
        <v>20</v>
      </c>
      <c r="D469" t="str">
        <f>"5"</f>
        <v>5</v>
      </c>
      <c r="E469" t="str">
        <f>"1-20-5"</f>
        <v>1-20-5</v>
      </c>
      <c r="F469" t="s">
        <v>83</v>
      </c>
      <c r="G469" t="s">
        <v>84</v>
      </c>
      <c r="H469" t="s">
        <v>92</v>
      </c>
      <c r="I469">
        <v>1</v>
      </c>
      <c r="J469">
        <v>1</v>
      </c>
      <c r="N469">
        <v>1</v>
      </c>
      <c r="O469">
        <v>1</v>
      </c>
      <c r="P469">
        <v>1</v>
      </c>
      <c r="Q469">
        <v>1</v>
      </c>
      <c r="R469">
        <v>1</v>
      </c>
      <c r="S469">
        <v>1</v>
      </c>
      <c r="T469">
        <v>0</v>
      </c>
      <c r="W469">
        <v>1</v>
      </c>
      <c r="X469">
        <v>1</v>
      </c>
      <c r="Y469">
        <v>1</v>
      </c>
      <c r="Z469">
        <v>1</v>
      </c>
      <c r="AA469">
        <v>1</v>
      </c>
      <c r="AB469">
        <v>1</v>
      </c>
    </row>
    <row r="470" spans="1:49" x14ac:dyDescent="0.25">
      <c r="A470" t="str">
        <f>"466"</f>
        <v>466</v>
      </c>
      <c r="B470" t="str">
        <f t="shared" si="23"/>
        <v>1</v>
      </c>
      <c r="C470" t="str">
        <f t="shared" si="25"/>
        <v>20</v>
      </c>
      <c r="D470" t="str">
        <f>"18"</f>
        <v>18</v>
      </c>
      <c r="E470" t="str">
        <f>"1-20-18"</f>
        <v>1-20-18</v>
      </c>
      <c r="F470" t="s">
        <v>83</v>
      </c>
      <c r="G470" t="s">
        <v>84</v>
      </c>
      <c r="H470" t="s">
        <v>92</v>
      </c>
      <c r="I470">
        <v>1</v>
      </c>
      <c r="J470">
        <v>1</v>
      </c>
      <c r="N470">
        <v>1</v>
      </c>
      <c r="O470">
        <v>1</v>
      </c>
      <c r="P470">
        <v>1</v>
      </c>
      <c r="Q470">
        <v>1</v>
      </c>
      <c r="R470">
        <v>1</v>
      </c>
      <c r="S470">
        <v>1</v>
      </c>
      <c r="T470">
        <v>1</v>
      </c>
      <c r="W470">
        <v>1</v>
      </c>
      <c r="X470">
        <v>1</v>
      </c>
      <c r="Y470">
        <v>1</v>
      </c>
      <c r="Z470">
        <v>1</v>
      </c>
      <c r="AA470">
        <v>1</v>
      </c>
      <c r="AB470">
        <v>1</v>
      </c>
    </row>
    <row r="471" spans="1:49" x14ac:dyDescent="0.25">
      <c r="A471" t="str">
        <f>"467"</f>
        <v>467</v>
      </c>
      <c r="B471" t="str">
        <f t="shared" si="23"/>
        <v>1</v>
      </c>
      <c r="C471" t="str">
        <f t="shared" si="25"/>
        <v>20</v>
      </c>
      <c r="D471" t="str">
        <f>"13"</f>
        <v>13</v>
      </c>
      <c r="E471" t="str">
        <f>"1-20-13"</f>
        <v>1-20-13</v>
      </c>
      <c r="F471" t="s">
        <v>83</v>
      </c>
      <c r="G471" t="s">
        <v>84</v>
      </c>
      <c r="H471" t="s">
        <v>85</v>
      </c>
      <c r="AC471">
        <v>0</v>
      </c>
      <c r="AD471">
        <v>1</v>
      </c>
      <c r="AE471">
        <v>0</v>
      </c>
      <c r="AF471">
        <v>0</v>
      </c>
      <c r="AG471">
        <v>0</v>
      </c>
      <c r="AJ471">
        <v>1</v>
      </c>
      <c r="AK471">
        <v>0</v>
      </c>
      <c r="AL471">
        <v>0</v>
      </c>
      <c r="AM471">
        <v>1</v>
      </c>
      <c r="AN471">
        <v>0</v>
      </c>
      <c r="AO471">
        <v>0</v>
      </c>
      <c r="AP471">
        <v>0</v>
      </c>
      <c r="AQ471">
        <v>0</v>
      </c>
      <c r="AR471">
        <v>0</v>
      </c>
      <c r="AS471">
        <v>0</v>
      </c>
      <c r="AT471">
        <v>0</v>
      </c>
      <c r="AV471">
        <v>0</v>
      </c>
      <c r="AW471">
        <v>0</v>
      </c>
    </row>
    <row r="472" spans="1:49" x14ac:dyDescent="0.25">
      <c r="A472" t="str">
        <f>"468"</f>
        <v>468</v>
      </c>
      <c r="B472" t="str">
        <f t="shared" si="23"/>
        <v>1</v>
      </c>
      <c r="C472" t="str">
        <f t="shared" si="25"/>
        <v>20</v>
      </c>
      <c r="D472" t="str">
        <f>"2"</f>
        <v>2</v>
      </c>
      <c r="E472" t="str">
        <f>"1-20-2"</f>
        <v>1-20-2</v>
      </c>
      <c r="F472" t="s">
        <v>83</v>
      </c>
      <c r="G472" t="s">
        <v>84</v>
      </c>
      <c r="H472" t="s">
        <v>92</v>
      </c>
      <c r="I472">
        <v>1</v>
      </c>
      <c r="J472">
        <v>1</v>
      </c>
      <c r="N472">
        <v>1</v>
      </c>
      <c r="O472">
        <v>1</v>
      </c>
      <c r="P472">
        <v>1</v>
      </c>
      <c r="Q472">
        <v>1</v>
      </c>
      <c r="R472">
        <v>1</v>
      </c>
      <c r="S472">
        <v>1</v>
      </c>
      <c r="T472">
        <v>1</v>
      </c>
      <c r="W472">
        <v>1</v>
      </c>
      <c r="X472">
        <v>1</v>
      </c>
      <c r="Y472">
        <v>1</v>
      </c>
      <c r="Z472">
        <v>1</v>
      </c>
      <c r="AA472">
        <v>1</v>
      </c>
      <c r="AB472">
        <v>1</v>
      </c>
    </row>
    <row r="473" spans="1:49" x14ac:dyDescent="0.25">
      <c r="A473" t="str">
        <f>"469"</f>
        <v>469</v>
      </c>
      <c r="B473" t="str">
        <f t="shared" si="23"/>
        <v>1</v>
      </c>
      <c r="C473" t="str">
        <f t="shared" si="25"/>
        <v>20</v>
      </c>
      <c r="D473" t="str">
        <f>"4"</f>
        <v>4</v>
      </c>
      <c r="E473" t="str">
        <f>"1-20-4"</f>
        <v>1-20-4</v>
      </c>
      <c r="F473" t="s">
        <v>83</v>
      </c>
      <c r="G473" t="s">
        <v>90</v>
      </c>
      <c r="H473" t="s">
        <v>94</v>
      </c>
      <c r="I473">
        <v>0</v>
      </c>
      <c r="K473">
        <v>0</v>
      </c>
      <c r="L473">
        <v>0</v>
      </c>
      <c r="M473">
        <v>0</v>
      </c>
      <c r="N473">
        <v>0</v>
      </c>
      <c r="O473">
        <v>1</v>
      </c>
      <c r="P473">
        <v>0</v>
      </c>
      <c r="Q473">
        <v>0</v>
      </c>
      <c r="R473">
        <v>0</v>
      </c>
      <c r="S473">
        <v>0</v>
      </c>
      <c r="U473">
        <v>0</v>
      </c>
      <c r="V473">
        <v>1</v>
      </c>
      <c r="W473">
        <v>0</v>
      </c>
      <c r="X473">
        <v>0</v>
      </c>
      <c r="Y473">
        <v>0</v>
      </c>
      <c r="Z473">
        <v>0</v>
      </c>
      <c r="AA473">
        <v>0</v>
      </c>
      <c r="AB473">
        <v>0</v>
      </c>
    </row>
    <row r="474" spans="1:49" x14ac:dyDescent="0.25">
      <c r="A474" t="str">
        <f>"470"</f>
        <v>470</v>
      </c>
      <c r="B474" t="str">
        <f t="shared" si="23"/>
        <v>1</v>
      </c>
      <c r="C474" t="str">
        <f t="shared" si="25"/>
        <v>20</v>
      </c>
      <c r="D474" t="str">
        <f>"21"</f>
        <v>21</v>
      </c>
      <c r="E474" t="str">
        <f>"1-20-21"</f>
        <v>1-20-21</v>
      </c>
      <c r="F474" t="s">
        <v>83</v>
      </c>
      <c r="G474" t="s">
        <v>84</v>
      </c>
      <c r="H474" t="s">
        <v>85</v>
      </c>
      <c r="AC474">
        <v>0</v>
      </c>
      <c r="AD474">
        <v>1</v>
      </c>
      <c r="AE474">
        <v>0</v>
      </c>
      <c r="AF474">
        <v>0</v>
      </c>
      <c r="AG474">
        <v>1</v>
      </c>
      <c r="AJ474">
        <v>0</v>
      </c>
      <c r="AK474">
        <v>1</v>
      </c>
      <c r="AL474">
        <v>0</v>
      </c>
      <c r="AM474">
        <v>0</v>
      </c>
      <c r="AN474">
        <v>1</v>
      </c>
      <c r="AO474">
        <v>1</v>
      </c>
      <c r="AP474">
        <v>1</v>
      </c>
      <c r="AQ474">
        <v>1</v>
      </c>
      <c r="AR474">
        <v>1</v>
      </c>
      <c r="AS474">
        <v>0</v>
      </c>
      <c r="AT474">
        <v>1</v>
      </c>
      <c r="AV474">
        <v>1</v>
      </c>
      <c r="AW474">
        <v>1</v>
      </c>
    </row>
    <row r="475" spans="1:49" x14ac:dyDescent="0.25">
      <c r="A475" t="str">
        <f>"471"</f>
        <v>471</v>
      </c>
      <c r="B475" t="str">
        <f t="shared" si="23"/>
        <v>1</v>
      </c>
      <c r="C475" t="str">
        <f t="shared" ref="C475:C499" si="26">"21"</f>
        <v>21</v>
      </c>
      <c r="D475" t="str">
        <f>"25"</f>
        <v>25</v>
      </c>
      <c r="E475" t="str">
        <f>"1-21-25"</f>
        <v>1-21-25</v>
      </c>
      <c r="F475" t="s">
        <v>83</v>
      </c>
      <c r="G475" t="s">
        <v>86</v>
      </c>
      <c r="H475" t="s">
        <v>87</v>
      </c>
      <c r="AC475">
        <v>0</v>
      </c>
      <c r="AD475">
        <v>1</v>
      </c>
      <c r="AE475">
        <v>0</v>
      </c>
      <c r="AF475">
        <v>0</v>
      </c>
      <c r="AH475">
        <v>0</v>
      </c>
      <c r="AI475">
        <v>1</v>
      </c>
      <c r="AJ475">
        <v>0</v>
      </c>
      <c r="AK475">
        <v>1</v>
      </c>
      <c r="AL475">
        <v>0</v>
      </c>
      <c r="AM475">
        <v>0</v>
      </c>
      <c r="AN475">
        <v>1</v>
      </c>
      <c r="AO475">
        <v>0</v>
      </c>
      <c r="AP475">
        <v>0</v>
      </c>
      <c r="AQ475">
        <v>0</v>
      </c>
      <c r="AU475">
        <v>0</v>
      </c>
      <c r="AV475">
        <v>0</v>
      </c>
      <c r="AW475">
        <v>0</v>
      </c>
    </row>
    <row r="476" spans="1:49" x14ac:dyDescent="0.25">
      <c r="A476" t="str">
        <f>"472"</f>
        <v>472</v>
      </c>
      <c r="B476" t="str">
        <f t="shared" si="23"/>
        <v>1</v>
      </c>
      <c r="C476" t="str">
        <f t="shared" si="26"/>
        <v>21</v>
      </c>
      <c r="D476" t="str">
        <f>"24"</f>
        <v>24</v>
      </c>
      <c r="E476" t="str">
        <f>"1-21-24"</f>
        <v>1-21-24</v>
      </c>
      <c r="F476" t="s">
        <v>83</v>
      </c>
      <c r="G476" t="s">
        <v>86</v>
      </c>
      <c r="H476" t="s">
        <v>87</v>
      </c>
      <c r="AC476">
        <v>0</v>
      </c>
      <c r="AD476">
        <v>1</v>
      </c>
      <c r="AE476">
        <v>0</v>
      </c>
      <c r="AF476">
        <v>0</v>
      </c>
      <c r="AH476">
        <v>0</v>
      </c>
      <c r="AI476">
        <v>1</v>
      </c>
      <c r="AJ476">
        <v>0</v>
      </c>
      <c r="AK476">
        <v>1</v>
      </c>
      <c r="AL476">
        <v>0</v>
      </c>
      <c r="AM476">
        <v>0</v>
      </c>
      <c r="AN476">
        <v>1</v>
      </c>
      <c r="AO476">
        <v>0</v>
      </c>
      <c r="AP476">
        <v>0</v>
      </c>
      <c r="AQ476">
        <v>0</v>
      </c>
      <c r="AU476">
        <v>0</v>
      </c>
      <c r="AV476">
        <v>0</v>
      </c>
      <c r="AW476">
        <v>0</v>
      </c>
    </row>
    <row r="477" spans="1:49" x14ac:dyDescent="0.25">
      <c r="A477" t="str">
        <f>"473"</f>
        <v>473</v>
      </c>
      <c r="B477" t="str">
        <f t="shared" si="23"/>
        <v>1</v>
      </c>
      <c r="C477" t="str">
        <f t="shared" si="26"/>
        <v>21</v>
      </c>
      <c r="D477" t="str">
        <f>"17"</f>
        <v>17</v>
      </c>
      <c r="E477" t="str">
        <f>"1-21-17"</f>
        <v>1-21-17</v>
      </c>
      <c r="F477" t="s">
        <v>83</v>
      </c>
      <c r="G477" t="s">
        <v>84</v>
      </c>
      <c r="H477" t="s">
        <v>92</v>
      </c>
      <c r="I477">
        <v>1</v>
      </c>
      <c r="J477">
        <v>1</v>
      </c>
      <c r="N477">
        <v>1</v>
      </c>
      <c r="O477">
        <v>1</v>
      </c>
      <c r="P477">
        <v>1</v>
      </c>
      <c r="Q477">
        <v>1</v>
      </c>
      <c r="R477">
        <v>1</v>
      </c>
      <c r="S477">
        <v>1</v>
      </c>
      <c r="T477">
        <v>1</v>
      </c>
      <c r="W477">
        <v>1</v>
      </c>
      <c r="X477">
        <v>1</v>
      </c>
      <c r="Y477">
        <v>1</v>
      </c>
      <c r="Z477">
        <v>1</v>
      </c>
      <c r="AA477">
        <v>1</v>
      </c>
      <c r="AB477">
        <v>1</v>
      </c>
    </row>
    <row r="478" spans="1:49" x14ac:dyDescent="0.25">
      <c r="A478" t="str">
        <f>"474"</f>
        <v>474</v>
      </c>
      <c r="B478" t="str">
        <f t="shared" ref="B478:B541" si="27">"1"</f>
        <v>1</v>
      </c>
      <c r="C478" t="str">
        <f t="shared" si="26"/>
        <v>21</v>
      </c>
      <c r="D478" t="str">
        <f>"16"</f>
        <v>16</v>
      </c>
      <c r="E478" t="str">
        <f>"1-21-16"</f>
        <v>1-21-16</v>
      </c>
      <c r="F478" t="s">
        <v>83</v>
      </c>
      <c r="G478" t="s">
        <v>84</v>
      </c>
      <c r="H478" t="s">
        <v>92</v>
      </c>
      <c r="I478">
        <v>1</v>
      </c>
      <c r="J478">
        <v>1</v>
      </c>
      <c r="N478">
        <v>1</v>
      </c>
      <c r="O478">
        <v>1</v>
      </c>
      <c r="P478">
        <v>1</v>
      </c>
      <c r="Q478">
        <v>1</v>
      </c>
      <c r="R478">
        <v>1</v>
      </c>
      <c r="S478">
        <v>1</v>
      </c>
      <c r="T478">
        <v>1</v>
      </c>
      <c r="W478">
        <v>1</v>
      </c>
      <c r="X478">
        <v>1</v>
      </c>
      <c r="Y478">
        <v>1</v>
      </c>
      <c r="Z478">
        <v>1</v>
      </c>
      <c r="AA478">
        <v>1</v>
      </c>
      <c r="AB478">
        <v>1</v>
      </c>
    </row>
    <row r="479" spans="1:49" x14ac:dyDescent="0.25">
      <c r="A479" t="str">
        <f>"475"</f>
        <v>475</v>
      </c>
      <c r="B479" t="str">
        <f t="shared" si="27"/>
        <v>1</v>
      </c>
      <c r="C479" t="str">
        <f t="shared" si="26"/>
        <v>21</v>
      </c>
      <c r="D479" t="str">
        <f>"11"</f>
        <v>11</v>
      </c>
      <c r="E479" t="str">
        <f>"1-21-11"</f>
        <v>1-21-11</v>
      </c>
      <c r="F479" t="s">
        <v>83</v>
      </c>
      <c r="G479" t="s">
        <v>84</v>
      </c>
      <c r="H479" t="s">
        <v>92</v>
      </c>
      <c r="I479">
        <v>1</v>
      </c>
      <c r="J479">
        <v>1</v>
      </c>
      <c r="N479">
        <v>1</v>
      </c>
      <c r="O479">
        <v>1</v>
      </c>
      <c r="P479">
        <v>1</v>
      </c>
      <c r="Q479">
        <v>1</v>
      </c>
      <c r="R479">
        <v>1</v>
      </c>
      <c r="S479">
        <v>1</v>
      </c>
      <c r="T479">
        <v>1</v>
      </c>
      <c r="W479">
        <v>1</v>
      </c>
      <c r="X479">
        <v>1</v>
      </c>
      <c r="Y479">
        <v>1</v>
      </c>
      <c r="Z479">
        <v>1</v>
      </c>
      <c r="AA479">
        <v>1</v>
      </c>
      <c r="AB479">
        <v>1</v>
      </c>
    </row>
    <row r="480" spans="1:49" x14ac:dyDescent="0.25">
      <c r="A480" t="str">
        <f>"476"</f>
        <v>476</v>
      </c>
      <c r="B480" t="str">
        <f t="shared" si="27"/>
        <v>1</v>
      </c>
      <c r="C480" t="str">
        <f t="shared" si="26"/>
        <v>21</v>
      </c>
      <c r="D480" t="str">
        <f>"8"</f>
        <v>8</v>
      </c>
      <c r="E480" t="str">
        <f>"1-21-8"</f>
        <v>1-21-8</v>
      </c>
      <c r="F480" t="s">
        <v>83</v>
      </c>
      <c r="G480" t="s">
        <v>86</v>
      </c>
      <c r="H480" t="s">
        <v>87</v>
      </c>
      <c r="AC480">
        <v>0</v>
      </c>
      <c r="AD480">
        <v>1</v>
      </c>
      <c r="AE480">
        <v>0</v>
      </c>
      <c r="AF480">
        <v>0</v>
      </c>
      <c r="AH480">
        <v>0</v>
      </c>
      <c r="AI480">
        <v>1</v>
      </c>
      <c r="AJ480">
        <v>0</v>
      </c>
      <c r="AK480">
        <v>1</v>
      </c>
      <c r="AL480">
        <v>0</v>
      </c>
      <c r="AM480">
        <v>0</v>
      </c>
      <c r="AN480">
        <v>1</v>
      </c>
      <c r="AO480">
        <v>1</v>
      </c>
      <c r="AP480">
        <v>1</v>
      </c>
      <c r="AQ480">
        <v>1</v>
      </c>
      <c r="AU480">
        <v>1</v>
      </c>
      <c r="AV480">
        <v>1</v>
      </c>
      <c r="AW480">
        <v>1</v>
      </c>
    </row>
    <row r="481" spans="1:49" x14ac:dyDescent="0.25">
      <c r="A481" t="str">
        <f>"477"</f>
        <v>477</v>
      </c>
      <c r="B481" t="str">
        <f t="shared" si="27"/>
        <v>1</v>
      </c>
      <c r="C481" t="str">
        <f t="shared" si="26"/>
        <v>21</v>
      </c>
      <c r="D481" t="str">
        <f>"1"</f>
        <v>1</v>
      </c>
      <c r="E481" t="str">
        <f>"1-21-1"</f>
        <v>1-21-1</v>
      </c>
      <c r="F481" t="s">
        <v>83</v>
      </c>
      <c r="G481" t="s">
        <v>86</v>
      </c>
      <c r="H481" t="s">
        <v>87</v>
      </c>
      <c r="AC481">
        <v>0</v>
      </c>
      <c r="AD481">
        <v>1</v>
      </c>
      <c r="AE481">
        <v>0</v>
      </c>
      <c r="AF481">
        <v>0</v>
      </c>
      <c r="AH481">
        <v>1</v>
      </c>
      <c r="AI481">
        <v>0</v>
      </c>
      <c r="AJ481">
        <v>1</v>
      </c>
      <c r="AK481">
        <v>0</v>
      </c>
      <c r="AL481">
        <v>0</v>
      </c>
      <c r="AM481">
        <v>1</v>
      </c>
      <c r="AN481">
        <v>0</v>
      </c>
      <c r="AO481">
        <v>1</v>
      </c>
      <c r="AP481">
        <v>1</v>
      </c>
      <c r="AQ481">
        <v>1</v>
      </c>
      <c r="AU481">
        <v>1</v>
      </c>
      <c r="AV481">
        <v>1</v>
      </c>
      <c r="AW481">
        <v>1</v>
      </c>
    </row>
    <row r="482" spans="1:49" x14ac:dyDescent="0.25">
      <c r="A482" t="str">
        <f>"478"</f>
        <v>478</v>
      </c>
      <c r="B482" t="str">
        <f t="shared" si="27"/>
        <v>1</v>
      </c>
      <c r="C482" t="str">
        <f t="shared" si="26"/>
        <v>21</v>
      </c>
      <c r="D482" t="str">
        <f>"18"</f>
        <v>18</v>
      </c>
      <c r="E482" t="str">
        <f>"1-21-18"</f>
        <v>1-21-18</v>
      </c>
      <c r="F482" t="s">
        <v>83</v>
      </c>
      <c r="G482" t="s">
        <v>84</v>
      </c>
      <c r="H482" t="s">
        <v>92</v>
      </c>
      <c r="I482">
        <v>1</v>
      </c>
      <c r="J482">
        <v>1</v>
      </c>
      <c r="N482">
        <v>1</v>
      </c>
      <c r="O482">
        <v>1</v>
      </c>
      <c r="P482">
        <v>1</v>
      </c>
      <c r="Q482">
        <v>1</v>
      </c>
      <c r="R482">
        <v>1</v>
      </c>
      <c r="S482">
        <v>1</v>
      </c>
      <c r="T482">
        <v>1</v>
      </c>
      <c r="W482">
        <v>1</v>
      </c>
      <c r="X482">
        <v>1</v>
      </c>
      <c r="Y482">
        <v>1</v>
      </c>
      <c r="Z482">
        <v>1</v>
      </c>
      <c r="AA482">
        <v>1</v>
      </c>
      <c r="AB482">
        <v>1</v>
      </c>
    </row>
    <row r="483" spans="1:49" x14ac:dyDescent="0.25">
      <c r="A483" t="str">
        <f>"479"</f>
        <v>479</v>
      </c>
      <c r="B483" t="str">
        <f t="shared" si="27"/>
        <v>1</v>
      </c>
      <c r="C483" t="str">
        <f t="shared" si="26"/>
        <v>21</v>
      </c>
      <c r="D483" t="str">
        <f>"9"</f>
        <v>9</v>
      </c>
      <c r="E483" t="str">
        <f>"1-21-9"</f>
        <v>1-21-9</v>
      </c>
      <c r="F483" t="s">
        <v>83</v>
      </c>
      <c r="G483" t="s">
        <v>84</v>
      </c>
      <c r="H483" t="s">
        <v>92</v>
      </c>
      <c r="I483">
        <v>1</v>
      </c>
      <c r="J483">
        <v>1</v>
      </c>
      <c r="N483">
        <v>1</v>
      </c>
      <c r="O483">
        <v>1</v>
      </c>
      <c r="P483">
        <v>1</v>
      </c>
      <c r="Q483">
        <v>1</v>
      </c>
      <c r="R483">
        <v>1</v>
      </c>
      <c r="S483">
        <v>1</v>
      </c>
      <c r="T483">
        <v>1</v>
      </c>
      <c r="W483">
        <v>1</v>
      </c>
      <c r="X483">
        <v>1</v>
      </c>
      <c r="Y483">
        <v>1</v>
      </c>
      <c r="Z483">
        <v>1</v>
      </c>
      <c r="AA483">
        <v>1</v>
      </c>
      <c r="AB483">
        <v>1</v>
      </c>
    </row>
    <row r="484" spans="1:49" x14ac:dyDescent="0.25">
      <c r="A484" t="str">
        <f>"480"</f>
        <v>480</v>
      </c>
      <c r="B484" t="str">
        <f t="shared" si="27"/>
        <v>1</v>
      </c>
      <c r="C484" t="str">
        <f t="shared" si="26"/>
        <v>21</v>
      </c>
      <c r="D484" t="str">
        <f>"4"</f>
        <v>4</v>
      </c>
      <c r="E484" t="str">
        <f>"1-21-4"</f>
        <v>1-21-4</v>
      </c>
      <c r="F484" t="s">
        <v>83</v>
      </c>
      <c r="G484" t="s">
        <v>84</v>
      </c>
      <c r="H484" t="s">
        <v>85</v>
      </c>
      <c r="AC484">
        <v>0</v>
      </c>
      <c r="AD484">
        <v>1</v>
      </c>
      <c r="AE484">
        <v>0</v>
      </c>
      <c r="AF484">
        <v>0</v>
      </c>
      <c r="AG484">
        <v>0</v>
      </c>
      <c r="AJ484">
        <v>1</v>
      </c>
      <c r="AK484">
        <v>0</v>
      </c>
      <c r="AL484">
        <v>0</v>
      </c>
      <c r="AM484">
        <v>0</v>
      </c>
      <c r="AN484">
        <v>1</v>
      </c>
      <c r="AO484">
        <v>0</v>
      </c>
      <c r="AP484">
        <v>0</v>
      </c>
      <c r="AQ484">
        <v>0</v>
      </c>
      <c r="AR484">
        <v>0</v>
      </c>
      <c r="AS484">
        <v>0</v>
      </c>
      <c r="AT484">
        <v>1</v>
      </c>
      <c r="AV484">
        <v>0</v>
      </c>
      <c r="AW484">
        <v>0</v>
      </c>
    </row>
    <row r="485" spans="1:49" x14ac:dyDescent="0.25">
      <c r="A485" t="str">
        <f>"481"</f>
        <v>481</v>
      </c>
      <c r="B485" t="str">
        <f t="shared" si="27"/>
        <v>1</v>
      </c>
      <c r="C485" t="str">
        <f t="shared" si="26"/>
        <v>21</v>
      </c>
      <c r="D485" t="str">
        <f>"19"</f>
        <v>19</v>
      </c>
      <c r="E485" t="str">
        <f>"1-21-19"</f>
        <v>1-21-19</v>
      </c>
      <c r="F485" t="s">
        <v>83</v>
      </c>
      <c r="G485" t="s">
        <v>84</v>
      </c>
      <c r="H485" t="s">
        <v>92</v>
      </c>
      <c r="I485">
        <v>1</v>
      </c>
      <c r="J485">
        <v>1</v>
      </c>
      <c r="N485">
        <v>1</v>
      </c>
      <c r="O485">
        <v>1</v>
      </c>
      <c r="P485">
        <v>1</v>
      </c>
      <c r="Q485">
        <v>1</v>
      </c>
      <c r="R485">
        <v>1</v>
      </c>
      <c r="S485">
        <v>1</v>
      </c>
      <c r="T485">
        <v>1</v>
      </c>
      <c r="W485">
        <v>1</v>
      </c>
      <c r="X485">
        <v>1</v>
      </c>
      <c r="Y485">
        <v>1</v>
      </c>
      <c r="Z485">
        <v>1</v>
      </c>
      <c r="AA485">
        <v>1</v>
      </c>
      <c r="AB485">
        <v>1</v>
      </c>
    </row>
    <row r="486" spans="1:49" x14ac:dyDescent="0.25">
      <c r="A486" t="str">
        <f>"482"</f>
        <v>482</v>
      </c>
      <c r="B486" t="str">
        <f t="shared" si="27"/>
        <v>1</v>
      </c>
      <c r="C486" t="str">
        <f t="shared" si="26"/>
        <v>21</v>
      </c>
      <c r="D486" t="str">
        <f>"10"</f>
        <v>10</v>
      </c>
      <c r="E486" t="str">
        <f>"1-21-10"</f>
        <v>1-21-10</v>
      </c>
      <c r="F486" t="s">
        <v>83</v>
      </c>
      <c r="G486" t="s">
        <v>84</v>
      </c>
      <c r="H486" t="s">
        <v>92</v>
      </c>
      <c r="I486">
        <v>0</v>
      </c>
      <c r="J486">
        <v>0</v>
      </c>
      <c r="N486">
        <v>1</v>
      </c>
      <c r="O486">
        <v>0</v>
      </c>
      <c r="P486">
        <v>0</v>
      </c>
      <c r="Q486">
        <v>0</v>
      </c>
      <c r="R486">
        <v>0</v>
      </c>
      <c r="S486">
        <v>0</v>
      </c>
      <c r="T486">
        <v>0</v>
      </c>
      <c r="W486">
        <v>0</v>
      </c>
      <c r="X486">
        <v>0</v>
      </c>
      <c r="Y486">
        <v>0</v>
      </c>
      <c r="Z486">
        <v>0</v>
      </c>
      <c r="AA486">
        <v>0</v>
      </c>
      <c r="AB486">
        <v>0</v>
      </c>
    </row>
    <row r="487" spans="1:49" x14ac:dyDescent="0.25">
      <c r="A487" t="str">
        <f>"483"</f>
        <v>483</v>
      </c>
      <c r="B487" t="str">
        <f t="shared" si="27"/>
        <v>1</v>
      </c>
      <c r="C487" t="str">
        <f t="shared" si="26"/>
        <v>21</v>
      </c>
      <c r="D487" t="str">
        <f>"3"</f>
        <v>3</v>
      </c>
      <c r="E487" t="str">
        <f>"1-21-3"</f>
        <v>1-21-3</v>
      </c>
      <c r="F487" t="s">
        <v>83</v>
      </c>
      <c r="G487" t="s">
        <v>84</v>
      </c>
      <c r="H487" t="s">
        <v>85</v>
      </c>
      <c r="AC487">
        <v>0</v>
      </c>
      <c r="AD487">
        <v>1</v>
      </c>
      <c r="AE487">
        <v>0</v>
      </c>
      <c r="AF487">
        <v>0</v>
      </c>
      <c r="AG487">
        <v>1</v>
      </c>
      <c r="AJ487">
        <v>0</v>
      </c>
      <c r="AK487">
        <v>1</v>
      </c>
      <c r="AL487">
        <v>0</v>
      </c>
      <c r="AM487">
        <v>0</v>
      </c>
      <c r="AN487">
        <v>1</v>
      </c>
      <c r="AO487">
        <v>1</v>
      </c>
      <c r="AP487">
        <v>1</v>
      </c>
      <c r="AQ487">
        <v>1</v>
      </c>
      <c r="AR487">
        <v>1</v>
      </c>
      <c r="AS487">
        <v>1</v>
      </c>
      <c r="AT487">
        <v>0</v>
      </c>
      <c r="AV487">
        <v>1</v>
      </c>
      <c r="AW487">
        <v>1</v>
      </c>
    </row>
    <row r="488" spans="1:49" x14ac:dyDescent="0.25">
      <c r="A488" t="str">
        <f>"484"</f>
        <v>484</v>
      </c>
      <c r="B488" t="str">
        <f t="shared" si="27"/>
        <v>1</v>
      </c>
      <c r="C488" t="str">
        <f t="shared" si="26"/>
        <v>21</v>
      </c>
      <c r="D488" t="str">
        <f>"20"</f>
        <v>20</v>
      </c>
      <c r="E488" t="str">
        <f>"1-21-20"</f>
        <v>1-21-20</v>
      </c>
      <c r="F488" t="s">
        <v>83</v>
      </c>
      <c r="G488" t="s">
        <v>84</v>
      </c>
      <c r="H488" t="s">
        <v>92</v>
      </c>
      <c r="I488">
        <v>1</v>
      </c>
      <c r="J488">
        <v>1</v>
      </c>
      <c r="N488">
        <v>1</v>
      </c>
      <c r="O488">
        <v>1</v>
      </c>
      <c r="P488">
        <v>1</v>
      </c>
      <c r="Q488">
        <v>1</v>
      </c>
      <c r="R488">
        <v>1</v>
      </c>
      <c r="S488">
        <v>1</v>
      </c>
      <c r="T488">
        <v>1</v>
      </c>
      <c r="W488">
        <v>1</v>
      </c>
      <c r="X488">
        <v>1</v>
      </c>
      <c r="Y488">
        <v>1</v>
      </c>
      <c r="Z488">
        <v>1</v>
      </c>
      <c r="AA488">
        <v>1</v>
      </c>
      <c r="AB488">
        <v>1</v>
      </c>
    </row>
    <row r="489" spans="1:49" x14ac:dyDescent="0.25">
      <c r="A489" t="str">
        <f>"485"</f>
        <v>485</v>
      </c>
      <c r="B489" t="str">
        <f t="shared" si="27"/>
        <v>1</v>
      </c>
      <c r="C489" t="str">
        <f t="shared" si="26"/>
        <v>21</v>
      </c>
      <c r="D489" t="str">
        <f>"12"</f>
        <v>12</v>
      </c>
      <c r="E489" t="str">
        <f>"1-21-12"</f>
        <v>1-21-12</v>
      </c>
      <c r="F489" t="s">
        <v>83</v>
      </c>
      <c r="G489" t="s">
        <v>86</v>
      </c>
      <c r="H489" t="s">
        <v>93</v>
      </c>
      <c r="I489">
        <v>1</v>
      </c>
      <c r="K489">
        <v>0</v>
      </c>
      <c r="L489">
        <v>1</v>
      </c>
      <c r="M489">
        <v>0</v>
      </c>
      <c r="N489">
        <v>1</v>
      </c>
      <c r="O489">
        <v>1</v>
      </c>
      <c r="P489">
        <v>1</v>
      </c>
      <c r="Q489">
        <v>1</v>
      </c>
      <c r="R489">
        <v>1</v>
      </c>
      <c r="U489">
        <v>1</v>
      </c>
      <c r="V489">
        <v>0</v>
      </c>
      <c r="W489">
        <v>1</v>
      </c>
      <c r="X489">
        <v>1</v>
      </c>
      <c r="Y489">
        <v>1</v>
      </c>
      <c r="Z489">
        <v>1</v>
      </c>
      <c r="AA489">
        <v>1</v>
      </c>
      <c r="AB489">
        <v>1</v>
      </c>
    </row>
    <row r="490" spans="1:49" x14ac:dyDescent="0.25">
      <c r="A490" t="str">
        <f>"486"</f>
        <v>486</v>
      </c>
      <c r="B490" t="str">
        <f t="shared" si="27"/>
        <v>1</v>
      </c>
      <c r="C490" t="str">
        <f t="shared" si="26"/>
        <v>21</v>
      </c>
      <c r="D490" t="str">
        <f>"5"</f>
        <v>5</v>
      </c>
      <c r="E490" t="str">
        <f>"1-21-5"</f>
        <v>1-21-5</v>
      </c>
      <c r="F490" t="s">
        <v>83</v>
      </c>
      <c r="G490" t="s">
        <v>84</v>
      </c>
      <c r="H490" t="s">
        <v>92</v>
      </c>
      <c r="I490">
        <v>1</v>
      </c>
      <c r="J490">
        <v>1</v>
      </c>
      <c r="N490">
        <v>1</v>
      </c>
      <c r="O490">
        <v>1</v>
      </c>
      <c r="P490">
        <v>1</v>
      </c>
      <c r="Q490">
        <v>1</v>
      </c>
      <c r="R490">
        <v>1</v>
      </c>
      <c r="S490">
        <v>1</v>
      </c>
      <c r="T490">
        <v>1</v>
      </c>
      <c r="W490">
        <v>1</v>
      </c>
      <c r="X490">
        <v>1</v>
      </c>
      <c r="Y490">
        <v>1</v>
      </c>
      <c r="Z490">
        <v>1</v>
      </c>
      <c r="AA490">
        <v>1</v>
      </c>
      <c r="AB490">
        <v>1</v>
      </c>
    </row>
    <row r="491" spans="1:49" x14ac:dyDescent="0.25">
      <c r="A491" t="str">
        <f>"487"</f>
        <v>487</v>
      </c>
      <c r="B491" t="str">
        <f t="shared" si="27"/>
        <v>1</v>
      </c>
      <c r="C491" t="str">
        <f t="shared" si="26"/>
        <v>21</v>
      </c>
      <c r="D491" t="str">
        <f>"21"</f>
        <v>21</v>
      </c>
      <c r="E491" t="str">
        <f>"1-21-21"</f>
        <v>1-21-21</v>
      </c>
      <c r="F491" t="s">
        <v>83</v>
      </c>
      <c r="G491" t="s">
        <v>86</v>
      </c>
      <c r="H491" t="s">
        <v>93</v>
      </c>
      <c r="I491">
        <v>0</v>
      </c>
      <c r="K491">
        <v>0</v>
      </c>
      <c r="L491">
        <v>0</v>
      </c>
      <c r="M491">
        <v>1</v>
      </c>
      <c r="N491">
        <v>0</v>
      </c>
      <c r="O491">
        <v>0</v>
      </c>
      <c r="P491">
        <v>0</v>
      </c>
      <c r="Q491">
        <v>0</v>
      </c>
      <c r="R491">
        <v>0</v>
      </c>
      <c r="U491">
        <v>0</v>
      </c>
      <c r="V491">
        <v>1</v>
      </c>
      <c r="W491">
        <v>0</v>
      </c>
      <c r="X491">
        <v>0</v>
      </c>
      <c r="Y491">
        <v>0</v>
      </c>
      <c r="Z491">
        <v>0</v>
      </c>
      <c r="AA491">
        <v>0</v>
      </c>
      <c r="AB491">
        <v>0</v>
      </c>
    </row>
    <row r="492" spans="1:49" x14ac:dyDescent="0.25">
      <c r="A492" t="str">
        <f>"488"</f>
        <v>488</v>
      </c>
      <c r="B492" t="str">
        <f t="shared" si="27"/>
        <v>1</v>
      </c>
      <c r="C492" t="str">
        <f t="shared" si="26"/>
        <v>21</v>
      </c>
      <c r="D492" t="str">
        <f>"13"</f>
        <v>13</v>
      </c>
      <c r="E492" t="str">
        <f>"1-21-13"</f>
        <v>1-21-13</v>
      </c>
      <c r="F492" t="s">
        <v>83</v>
      </c>
      <c r="G492" t="s">
        <v>84</v>
      </c>
      <c r="H492" t="s">
        <v>92</v>
      </c>
      <c r="I492">
        <v>1</v>
      </c>
      <c r="J492">
        <v>1</v>
      </c>
      <c r="N492">
        <v>1</v>
      </c>
      <c r="O492">
        <v>1</v>
      </c>
      <c r="P492">
        <v>1</v>
      </c>
      <c r="Q492">
        <v>1</v>
      </c>
      <c r="R492">
        <v>0</v>
      </c>
      <c r="S492">
        <v>0</v>
      </c>
      <c r="T492">
        <v>0</v>
      </c>
      <c r="W492">
        <v>1</v>
      </c>
      <c r="X492">
        <v>1</v>
      </c>
      <c r="Y492">
        <v>1</v>
      </c>
      <c r="Z492">
        <v>0</v>
      </c>
      <c r="AA492">
        <v>1</v>
      </c>
      <c r="AB492">
        <v>1</v>
      </c>
    </row>
    <row r="493" spans="1:49" x14ac:dyDescent="0.25">
      <c r="A493" t="str">
        <f>"489"</f>
        <v>489</v>
      </c>
      <c r="B493" t="str">
        <f t="shared" si="27"/>
        <v>1</v>
      </c>
      <c r="C493" t="str">
        <f t="shared" si="26"/>
        <v>21</v>
      </c>
      <c r="D493" t="str">
        <f>"6"</f>
        <v>6</v>
      </c>
      <c r="E493" t="str">
        <f>"1-21-6"</f>
        <v>1-21-6</v>
      </c>
      <c r="F493" t="s">
        <v>83</v>
      </c>
      <c r="G493" t="s">
        <v>86</v>
      </c>
      <c r="H493" t="s">
        <v>87</v>
      </c>
      <c r="AC493">
        <v>0</v>
      </c>
      <c r="AD493">
        <v>1</v>
      </c>
      <c r="AE493">
        <v>0</v>
      </c>
      <c r="AF493">
        <v>0</v>
      </c>
      <c r="AH493">
        <v>0</v>
      </c>
      <c r="AI493">
        <v>1</v>
      </c>
      <c r="AJ493">
        <v>0</v>
      </c>
      <c r="AK493">
        <v>1</v>
      </c>
      <c r="AL493">
        <v>0</v>
      </c>
      <c r="AM493">
        <v>0</v>
      </c>
      <c r="AN493">
        <v>1</v>
      </c>
      <c r="AO493">
        <v>0</v>
      </c>
      <c r="AP493">
        <v>0</v>
      </c>
      <c r="AQ493">
        <v>0</v>
      </c>
      <c r="AU493">
        <v>0</v>
      </c>
      <c r="AV493">
        <v>0</v>
      </c>
      <c r="AW493">
        <v>0</v>
      </c>
    </row>
    <row r="494" spans="1:49" x14ac:dyDescent="0.25">
      <c r="A494" t="str">
        <f>"490"</f>
        <v>490</v>
      </c>
      <c r="B494" t="str">
        <f t="shared" si="27"/>
        <v>1</v>
      </c>
      <c r="C494" t="str">
        <f t="shared" si="26"/>
        <v>21</v>
      </c>
      <c r="D494" t="str">
        <f>"22"</f>
        <v>22</v>
      </c>
      <c r="E494" t="str">
        <f>"1-21-22"</f>
        <v>1-21-22</v>
      </c>
      <c r="F494" t="s">
        <v>83</v>
      </c>
      <c r="G494" t="s">
        <v>86</v>
      </c>
      <c r="H494" t="s">
        <v>93</v>
      </c>
      <c r="I494">
        <v>0</v>
      </c>
      <c r="K494">
        <v>0</v>
      </c>
      <c r="L494">
        <v>0</v>
      </c>
      <c r="M494">
        <v>1</v>
      </c>
      <c r="N494">
        <v>0</v>
      </c>
      <c r="O494">
        <v>0</v>
      </c>
      <c r="P494">
        <v>0</v>
      </c>
      <c r="Q494">
        <v>0</v>
      </c>
      <c r="R494">
        <v>0</v>
      </c>
      <c r="U494">
        <v>0</v>
      </c>
      <c r="V494">
        <v>1</v>
      </c>
      <c r="W494">
        <v>0</v>
      </c>
      <c r="X494">
        <v>0</v>
      </c>
      <c r="Y494">
        <v>0</v>
      </c>
      <c r="Z494">
        <v>0</v>
      </c>
      <c r="AA494">
        <v>0</v>
      </c>
      <c r="AB494">
        <v>0</v>
      </c>
    </row>
    <row r="495" spans="1:49" x14ac:dyDescent="0.25">
      <c r="A495" t="str">
        <f>"491"</f>
        <v>491</v>
      </c>
      <c r="B495" t="str">
        <f t="shared" si="27"/>
        <v>1</v>
      </c>
      <c r="C495" t="str">
        <f t="shared" si="26"/>
        <v>21</v>
      </c>
      <c r="D495" t="str">
        <f>"14"</f>
        <v>14</v>
      </c>
      <c r="E495" t="str">
        <f>"1-21-14"</f>
        <v>1-21-14</v>
      </c>
      <c r="F495" t="s">
        <v>83</v>
      </c>
      <c r="G495" t="s">
        <v>84</v>
      </c>
      <c r="H495" t="s">
        <v>85</v>
      </c>
      <c r="AC495">
        <v>0</v>
      </c>
      <c r="AD495">
        <v>1</v>
      </c>
      <c r="AE495">
        <v>0</v>
      </c>
      <c r="AF495">
        <v>0</v>
      </c>
      <c r="AG495">
        <v>1</v>
      </c>
      <c r="AJ495">
        <v>0</v>
      </c>
      <c r="AK495">
        <v>1</v>
      </c>
      <c r="AL495">
        <v>0</v>
      </c>
      <c r="AM495">
        <v>0</v>
      </c>
      <c r="AN495">
        <v>1</v>
      </c>
      <c r="AO495">
        <v>1</v>
      </c>
      <c r="AP495">
        <v>1</v>
      </c>
      <c r="AQ495">
        <v>1</v>
      </c>
      <c r="AR495">
        <v>1</v>
      </c>
      <c r="AS495">
        <v>0</v>
      </c>
      <c r="AT495">
        <v>1</v>
      </c>
      <c r="AV495">
        <v>1</v>
      </c>
      <c r="AW495">
        <v>1</v>
      </c>
    </row>
    <row r="496" spans="1:49" x14ac:dyDescent="0.25">
      <c r="A496" t="str">
        <f>"492"</f>
        <v>492</v>
      </c>
      <c r="B496" t="str">
        <f t="shared" si="27"/>
        <v>1</v>
      </c>
      <c r="C496" t="str">
        <f t="shared" si="26"/>
        <v>21</v>
      </c>
      <c r="D496" t="str">
        <f>"2"</f>
        <v>2</v>
      </c>
      <c r="E496" t="str">
        <f>"1-21-2"</f>
        <v>1-21-2</v>
      </c>
      <c r="F496" t="s">
        <v>83</v>
      </c>
      <c r="G496" t="s">
        <v>84</v>
      </c>
      <c r="H496" t="s">
        <v>85</v>
      </c>
      <c r="AC496">
        <v>0</v>
      </c>
      <c r="AD496">
        <v>1</v>
      </c>
      <c r="AE496">
        <v>0</v>
      </c>
      <c r="AF496">
        <v>0</v>
      </c>
      <c r="AG496">
        <v>1</v>
      </c>
      <c r="AJ496">
        <v>0</v>
      </c>
      <c r="AK496">
        <v>1</v>
      </c>
      <c r="AL496">
        <v>0</v>
      </c>
      <c r="AM496">
        <v>0</v>
      </c>
      <c r="AN496">
        <v>1</v>
      </c>
      <c r="AO496">
        <v>1</v>
      </c>
      <c r="AP496">
        <v>1</v>
      </c>
      <c r="AQ496">
        <v>1</v>
      </c>
      <c r="AR496">
        <v>1</v>
      </c>
      <c r="AS496">
        <v>0</v>
      </c>
      <c r="AT496">
        <v>1</v>
      </c>
      <c r="AV496">
        <v>1</v>
      </c>
      <c r="AW496">
        <v>1</v>
      </c>
    </row>
    <row r="497" spans="1:49" x14ac:dyDescent="0.25">
      <c r="A497" t="str">
        <f>"493"</f>
        <v>493</v>
      </c>
      <c r="B497" t="str">
        <f t="shared" si="27"/>
        <v>1</v>
      </c>
      <c r="C497" t="str">
        <f t="shared" si="26"/>
        <v>21</v>
      </c>
      <c r="D497" t="str">
        <f>"23"</f>
        <v>23</v>
      </c>
      <c r="E497" t="str">
        <f>"1-21-23"</f>
        <v>1-21-23</v>
      </c>
      <c r="F497" t="s">
        <v>83</v>
      </c>
      <c r="G497" t="s">
        <v>86</v>
      </c>
      <c r="H497" t="s">
        <v>87</v>
      </c>
      <c r="AC497">
        <v>0</v>
      </c>
      <c r="AD497">
        <v>0</v>
      </c>
      <c r="AE497">
        <v>0</v>
      </c>
      <c r="AF497">
        <v>0</v>
      </c>
      <c r="AH497">
        <v>0</v>
      </c>
      <c r="AI497">
        <v>1</v>
      </c>
      <c r="AJ497">
        <v>0</v>
      </c>
      <c r="AK497">
        <v>0</v>
      </c>
      <c r="AL497">
        <v>0</v>
      </c>
      <c r="AM497">
        <v>0</v>
      </c>
      <c r="AN497">
        <v>0</v>
      </c>
      <c r="AO497">
        <v>0</v>
      </c>
      <c r="AP497">
        <v>0</v>
      </c>
      <c r="AQ497">
        <v>0</v>
      </c>
      <c r="AU497">
        <v>0</v>
      </c>
      <c r="AV497">
        <v>0</v>
      </c>
      <c r="AW497">
        <v>0</v>
      </c>
    </row>
    <row r="498" spans="1:49" x14ac:dyDescent="0.25">
      <c r="A498" t="str">
        <f>"494"</f>
        <v>494</v>
      </c>
      <c r="B498" t="str">
        <f t="shared" si="27"/>
        <v>1</v>
      </c>
      <c r="C498" t="str">
        <f t="shared" si="26"/>
        <v>21</v>
      </c>
      <c r="D498" t="str">
        <f>"15"</f>
        <v>15</v>
      </c>
      <c r="E498" t="str">
        <f>"1-21-15"</f>
        <v>1-21-15</v>
      </c>
      <c r="F498" t="s">
        <v>83</v>
      </c>
      <c r="G498" t="s">
        <v>84</v>
      </c>
      <c r="H498" t="s">
        <v>92</v>
      </c>
      <c r="I498">
        <v>1</v>
      </c>
      <c r="J498">
        <v>1</v>
      </c>
      <c r="N498">
        <v>1</v>
      </c>
      <c r="O498">
        <v>1</v>
      </c>
      <c r="P498">
        <v>1</v>
      </c>
      <c r="Q498">
        <v>1</v>
      </c>
      <c r="R498">
        <v>1</v>
      </c>
      <c r="S498">
        <v>1</v>
      </c>
      <c r="T498">
        <v>1</v>
      </c>
      <c r="W498">
        <v>1</v>
      </c>
      <c r="X498">
        <v>1</v>
      </c>
      <c r="Y498">
        <v>1</v>
      </c>
      <c r="Z498">
        <v>1</v>
      </c>
      <c r="AA498">
        <v>1</v>
      </c>
      <c r="AB498">
        <v>1</v>
      </c>
    </row>
    <row r="499" spans="1:49" x14ac:dyDescent="0.25">
      <c r="A499" t="str">
        <f>"495"</f>
        <v>495</v>
      </c>
      <c r="B499" t="str">
        <f t="shared" si="27"/>
        <v>1</v>
      </c>
      <c r="C499" t="str">
        <f t="shared" si="26"/>
        <v>21</v>
      </c>
      <c r="D499" t="str">
        <f>"7"</f>
        <v>7</v>
      </c>
      <c r="E499" t="str">
        <f>"1-21-7"</f>
        <v>1-21-7</v>
      </c>
      <c r="F499" t="s">
        <v>83</v>
      </c>
      <c r="G499" t="s">
        <v>86</v>
      </c>
      <c r="H499" t="s">
        <v>93</v>
      </c>
      <c r="I499">
        <v>1</v>
      </c>
      <c r="K499">
        <v>0</v>
      </c>
      <c r="L499">
        <v>0</v>
      </c>
      <c r="M499">
        <v>1</v>
      </c>
      <c r="N499">
        <v>1</v>
      </c>
      <c r="O499">
        <v>1</v>
      </c>
      <c r="P499">
        <v>1</v>
      </c>
      <c r="Q499">
        <v>1</v>
      </c>
      <c r="R499">
        <v>1</v>
      </c>
      <c r="U499">
        <v>0</v>
      </c>
      <c r="V499">
        <v>1</v>
      </c>
      <c r="W499">
        <v>1</v>
      </c>
      <c r="X499">
        <v>1</v>
      </c>
      <c r="Y499">
        <v>1</v>
      </c>
      <c r="Z499">
        <v>1</v>
      </c>
      <c r="AA499">
        <v>1</v>
      </c>
      <c r="AB499">
        <v>1</v>
      </c>
    </row>
    <row r="500" spans="1:49" x14ac:dyDescent="0.25">
      <c r="A500" t="str">
        <f>"496"</f>
        <v>496</v>
      </c>
      <c r="B500" t="str">
        <f t="shared" si="27"/>
        <v>1</v>
      </c>
      <c r="C500" t="str">
        <f t="shared" ref="C500:C518" si="28">"22"</f>
        <v>22</v>
      </c>
      <c r="D500" t="str">
        <f>"17"</f>
        <v>17</v>
      </c>
      <c r="E500" t="str">
        <f>"1-22-17"</f>
        <v>1-22-17</v>
      </c>
      <c r="F500" t="s">
        <v>83</v>
      </c>
      <c r="G500" t="s">
        <v>86</v>
      </c>
      <c r="H500" t="s">
        <v>87</v>
      </c>
      <c r="AC500">
        <v>0</v>
      </c>
      <c r="AD500">
        <v>1</v>
      </c>
      <c r="AE500">
        <v>0</v>
      </c>
      <c r="AF500">
        <v>0</v>
      </c>
      <c r="AH500">
        <v>0</v>
      </c>
      <c r="AI500">
        <v>1</v>
      </c>
      <c r="AJ500">
        <v>0</v>
      </c>
      <c r="AK500">
        <v>1</v>
      </c>
      <c r="AL500">
        <v>0</v>
      </c>
      <c r="AM500">
        <v>0</v>
      </c>
      <c r="AN500">
        <v>1</v>
      </c>
      <c r="AO500">
        <v>0</v>
      </c>
      <c r="AP500">
        <v>0</v>
      </c>
      <c r="AQ500">
        <v>0</v>
      </c>
      <c r="AU500">
        <v>0</v>
      </c>
      <c r="AV500">
        <v>0</v>
      </c>
      <c r="AW500">
        <v>0</v>
      </c>
    </row>
    <row r="501" spans="1:49" x14ac:dyDescent="0.25">
      <c r="A501" t="str">
        <f>"497"</f>
        <v>497</v>
      </c>
      <c r="B501" t="str">
        <f t="shared" si="27"/>
        <v>1</v>
      </c>
      <c r="C501" t="str">
        <f t="shared" si="28"/>
        <v>22</v>
      </c>
      <c r="D501" t="str">
        <f>"16"</f>
        <v>16</v>
      </c>
      <c r="E501" t="str">
        <f>"1-22-16"</f>
        <v>1-22-16</v>
      </c>
      <c r="F501" t="s">
        <v>83</v>
      </c>
      <c r="G501" t="s">
        <v>86</v>
      </c>
      <c r="H501" t="s">
        <v>87</v>
      </c>
      <c r="AC501">
        <v>0</v>
      </c>
      <c r="AD501">
        <v>1</v>
      </c>
      <c r="AE501">
        <v>0</v>
      </c>
      <c r="AF501">
        <v>0</v>
      </c>
      <c r="AH501">
        <v>0</v>
      </c>
      <c r="AI501">
        <v>1</v>
      </c>
      <c r="AJ501">
        <v>0</v>
      </c>
      <c r="AK501">
        <v>1</v>
      </c>
      <c r="AL501">
        <v>0</v>
      </c>
      <c r="AM501">
        <v>0</v>
      </c>
      <c r="AN501">
        <v>1</v>
      </c>
      <c r="AO501">
        <v>0</v>
      </c>
      <c r="AP501">
        <v>0</v>
      </c>
      <c r="AQ501">
        <v>0</v>
      </c>
      <c r="AU501">
        <v>0</v>
      </c>
      <c r="AV501">
        <v>0</v>
      </c>
      <c r="AW501">
        <v>0</v>
      </c>
    </row>
    <row r="502" spans="1:49" x14ac:dyDescent="0.25">
      <c r="A502" t="str">
        <f>"498"</f>
        <v>498</v>
      </c>
      <c r="B502" t="str">
        <f t="shared" si="27"/>
        <v>1</v>
      </c>
      <c r="C502" t="str">
        <f t="shared" si="28"/>
        <v>22</v>
      </c>
      <c r="D502" t="str">
        <f>"11"</f>
        <v>11</v>
      </c>
      <c r="E502" t="str">
        <f>"1-22-11"</f>
        <v>1-22-11</v>
      </c>
      <c r="F502" t="s">
        <v>83</v>
      </c>
      <c r="G502" t="s">
        <v>86</v>
      </c>
      <c r="H502" t="s">
        <v>93</v>
      </c>
      <c r="I502">
        <v>1</v>
      </c>
      <c r="K502">
        <v>0</v>
      </c>
      <c r="L502">
        <v>0</v>
      </c>
      <c r="M502">
        <v>1</v>
      </c>
      <c r="N502">
        <v>1</v>
      </c>
      <c r="O502">
        <v>1</v>
      </c>
      <c r="P502">
        <v>1</v>
      </c>
      <c r="Q502">
        <v>1</v>
      </c>
      <c r="R502">
        <v>0</v>
      </c>
      <c r="U502">
        <v>0</v>
      </c>
      <c r="V502">
        <v>1</v>
      </c>
      <c r="W502">
        <v>1</v>
      </c>
      <c r="X502">
        <v>1</v>
      </c>
      <c r="Y502">
        <v>1</v>
      </c>
      <c r="Z502">
        <v>1</v>
      </c>
      <c r="AA502">
        <v>1</v>
      </c>
      <c r="AB502">
        <v>1</v>
      </c>
    </row>
    <row r="503" spans="1:49" x14ac:dyDescent="0.25">
      <c r="A503" t="str">
        <f>"499"</f>
        <v>499</v>
      </c>
      <c r="B503" t="str">
        <f t="shared" si="27"/>
        <v>1</v>
      </c>
      <c r="C503" t="str">
        <f t="shared" si="28"/>
        <v>22</v>
      </c>
      <c r="D503" t="str">
        <f>"8"</f>
        <v>8</v>
      </c>
      <c r="E503" t="str">
        <f>"1-22-8"</f>
        <v>1-22-8</v>
      </c>
      <c r="F503" t="s">
        <v>83</v>
      </c>
      <c r="G503" t="s">
        <v>86</v>
      </c>
      <c r="H503" t="s">
        <v>93</v>
      </c>
      <c r="I503">
        <v>1</v>
      </c>
      <c r="K503">
        <v>0</v>
      </c>
      <c r="L503">
        <v>0</v>
      </c>
      <c r="M503">
        <v>1</v>
      </c>
      <c r="N503">
        <v>1</v>
      </c>
      <c r="O503">
        <v>1</v>
      </c>
      <c r="P503">
        <v>1</v>
      </c>
      <c r="Q503">
        <v>1</v>
      </c>
      <c r="R503">
        <v>1</v>
      </c>
      <c r="U503">
        <v>1</v>
      </c>
      <c r="V503">
        <v>0</v>
      </c>
      <c r="W503">
        <v>1</v>
      </c>
      <c r="X503">
        <v>1</v>
      </c>
      <c r="Y503">
        <v>1</v>
      </c>
      <c r="Z503">
        <v>1</v>
      </c>
      <c r="AA503">
        <v>1</v>
      </c>
      <c r="AB503">
        <v>1</v>
      </c>
    </row>
    <row r="504" spans="1:49" x14ac:dyDescent="0.25">
      <c r="A504" t="str">
        <f>"500"</f>
        <v>500</v>
      </c>
      <c r="B504" t="str">
        <f t="shared" si="27"/>
        <v>1</v>
      </c>
      <c r="C504" t="str">
        <f t="shared" si="28"/>
        <v>22</v>
      </c>
      <c r="D504" t="str">
        <f>"2"</f>
        <v>2</v>
      </c>
      <c r="E504" t="str">
        <f>"1-22-2"</f>
        <v>1-22-2</v>
      </c>
      <c r="F504" t="s">
        <v>83</v>
      </c>
      <c r="G504" t="s">
        <v>86</v>
      </c>
      <c r="H504" t="s">
        <v>93</v>
      </c>
      <c r="I504">
        <v>1</v>
      </c>
      <c r="K504">
        <v>0</v>
      </c>
      <c r="L504">
        <v>0</v>
      </c>
      <c r="M504">
        <v>1</v>
      </c>
      <c r="N504">
        <v>1</v>
      </c>
      <c r="O504">
        <v>1</v>
      </c>
      <c r="P504">
        <v>0</v>
      </c>
      <c r="Q504">
        <v>1</v>
      </c>
      <c r="R504">
        <v>0</v>
      </c>
      <c r="U504">
        <v>0</v>
      </c>
      <c r="V504">
        <v>0</v>
      </c>
      <c r="W504">
        <v>0</v>
      </c>
      <c r="X504">
        <v>1</v>
      </c>
      <c r="Y504">
        <v>0</v>
      </c>
      <c r="Z504">
        <v>0</v>
      </c>
      <c r="AA504">
        <v>0</v>
      </c>
      <c r="AB504">
        <v>1</v>
      </c>
    </row>
    <row r="505" spans="1:49" x14ac:dyDescent="0.25">
      <c r="A505" t="str">
        <f>"501"</f>
        <v>501</v>
      </c>
      <c r="B505" t="str">
        <f t="shared" si="27"/>
        <v>1</v>
      </c>
      <c r="C505" t="str">
        <f t="shared" si="28"/>
        <v>22</v>
      </c>
      <c r="D505" t="str">
        <f>"18"</f>
        <v>18</v>
      </c>
      <c r="E505" t="str">
        <f>"1-22-18"</f>
        <v>1-22-18</v>
      </c>
      <c r="F505" t="s">
        <v>83</v>
      </c>
      <c r="G505" t="s">
        <v>84</v>
      </c>
      <c r="H505" t="s">
        <v>85</v>
      </c>
      <c r="AC505">
        <v>0</v>
      </c>
      <c r="AD505">
        <v>1</v>
      </c>
      <c r="AE505">
        <v>0</v>
      </c>
      <c r="AF505">
        <v>0</v>
      </c>
      <c r="AG505">
        <v>0</v>
      </c>
      <c r="AJ505">
        <v>0</v>
      </c>
      <c r="AK505">
        <v>1</v>
      </c>
      <c r="AL505">
        <v>1</v>
      </c>
      <c r="AM505">
        <v>0</v>
      </c>
      <c r="AN505">
        <v>0</v>
      </c>
      <c r="AO505">
        <v>0</v>
      </c>
      <c r="AP505">
        <v>0</v>
      </c>
      <c r="AQ505">
        <v>0</v>
      </c>
      <c r="AR505">
        <v>0</v>
      </c>
      <c r="AS505">
        <v>1</v>
      </c>
      <c r="AT505">
        <v>0</v>
      </c>
      <c r="AV505">
        <v>0</v>
      </c>
      <c r="AW505">
        <v>0</v>
      </c>
    </row>
    <row r="506" spans="1:49" x14ac:dyDescent="0.25">
      <c r="A506" t="str">
        <f>"502"</f>
        <v>502</v>
      </c>
      <c r="B506" t="str">
        <f t="shared" si="27"/>
        <v>1</v>
      </c>
      <c r="C506" t="str">
        <f t="shared" si="28"/>
        <v>22</v>
      </c>
      <c r="D506" t="str">
        <f>"9"</f>
        <v>9</v>
      </c>
      <c r="E506" t="str">
        <f>"1-22-9"</f>
        <v>1-22-9</v>
      </c>
      <c r="F506" t="s">
        <v>83</v>
      </c>
      <c r="G506" t="s">
        <v>86</v>
      </c>
      <c r="H506" t="s">
        <v>87</v>
      </c>
      <c r="AC506">
        <v>0</v>
      </c>
      <c r="AD506">
        <v>0</v>
      </c>
      <c r="AE506">
        <v>0</v>
      </c>
      <c r="AF506">
        <v>0</v>
      </c>
      <c r="AH506">
        <v>0</v>
      </c>
      <c r="AI506">
        <v>1</v>
      </c>
      <c r="AJ506">
        <v>0</v>
      </c>
      <c r="AK506">
        <v>0</v>
      </c>
      <c r="AL506">
        <v>0</v>
      </c>
      <c r="AM506">
        <v>0</v>
      </c>
      <c r="AN506">
        <v>0</v>
      </c>
      <c r="AO506">
        <v>0</v>
      </c>
      <c r="AP506">
        <v>0</v>
      </c>
      <c r="AQ506">
        <v>0</v>
      </c>
      <c r="AU506">
        <v>0</v>
      </c>
      <c r="AV506">
        <v>0</v>
      </c>
      <c r="AW506">
        <v>0</v>
      </c>
    </row>
    <row r="507" spans="1:49" x14ac:dyDescent="0.25">
      <c r="A507" t="str">
        <f>"503"</f>
        <v>503</v>
      </c>
      <c r="B507" t="str">
        <f t="shared" si="27"/>
        <v>1</v>
      </c>
      <c r="C507" t="str">
        <f t="shared" si="28"/>
        <v>22</v>
      </c>
      <c r="D507" t="str">
        <f>"1"</f>
        <v>1</v>
      </c>
      <c r="E507" t="str">
        <f>"1-22-1"</f>
        <v>1-22-1</v>
      </c>
      <c r="F507" t="s">
        <v>83</v>
      </c>
      <c r="G507" t="s">
        <v>86</v>
      </c>
      <c r="H507" t="s">
        <v>87</v>
      </c>
      <c r="AC507">
        <v>0</v>
      </c>
      <c r="AD507">
        <v>1</v>
      </c>
      <c r="AE507">
        <v>0</v>
      </c>
      <c r="AF507">
        <v>0</v>
      </c>
      <c r="AH507">
        <v>0</v>
      </c>
      <c r="AI507">
        <v>1</v>
      </c>
      <c r="AJ507">
        <v>0</v>
      </c>
      <c r="AK507">
        <v>1</v>
      </c>
      <c r="AL507">
        <v>0</v>
      </c>
      <c r="AM507">
        <v>0</v>
      </c>
      <c r="AN507">
        <v>1</v>
      </c>
      <c r="AO507">
        <v>0</v>
      </c>
      <c r="AP507">
        <v>0</v>
      </c>
      <c r="AQ507">
        <v>0</v>
      </c>
      <c r="AU507">
        <v>0</v>
      </c>
      <c r="AV507">
        <v>0</v>
      </c>
      <c r="AW507">
        <v>0</v>
      </c>
    </row>
    <row r="508" spans="1:49" x14ac:dyDescent="0.25">
      <c r="A508" t="str">
        <f>"504"</f>
        <v>504</v>
      </c>
      <c r="B508" t="str">
        <f t="shared" si="27"/>
        <v>1</v>
      </c>
      <c r="C508" t="str">
        <f t="shared" si="28"/>
        <v>22</v>
      </c>
      <c r="D508" t="str">
        <f>"19"</f>
        <v>19</v>
      </c>
      <c r="E508" t="str">
        <f>"1-22-19"</f>
        <v>1-22-19</v>
      </c>
      <c r="F508" t="s">
        <v>83</v>
      </c>
      <c r="G508" t="s">
        <v>84</v>
      </c>
      <c r="H508" t="s">
        <v>85</v>
      </c>
      <c r="AC508">
        <v>0</v>
      </c>
      <c r="AD508">
        <v>0</v>
      </c>
      <c r="AE508">
        <v>0</v>
      </c>
      <c r="AF508">
        <v>0</v>
      </c>
      <c r="AG508">
        <v>0</v>
      </c>
      <c r="AJ508">
        <v>0</v>
      </c>
      <c r="AK508">
        <v>1</v>
      </c>
      <c r="AL508">
        <v>1</v>
      </c>
      <c r="AM508">
        <v>0</v>
      </c>
      <c r="AN508">
        <v>0</v>
      </c>
      <c r="AO508">
        <v>0</v>
      </c>
      <c r="AP508">
        <v>0</v>
      </c>
      <c r="AQ508">
        <v>0</v>
      </c>
      <c r="AR508">
        <v>1</v>
      </c>
      <c r="AS508">
        <v>0</v>
      </c>
      <c r="AT508">
        <v>0</v>
      </c>
      <c r="AV508">
        <v>0</v>
      </c>
      <c r="AW508">
        <v>0</v>
      </c>
    </row>
    <row r="509" spans="1:49" x14ac:dyDescent="0.25">
      <c r="A509" t="str">
        <f>"505"</f>
        <v>505</v>
      </c>
      <c r="B509" t="str">
        <f t="shared" si="27"/>
        <v>1</v>
      </c>
      <c r="C509" t="str">
        <f t="shared" si="28"/>
        <v>22</v>
      </c>
      <c r="D509" t="str">
        <f>"10"</f>
        <v>10</v>
      </c>
      <c r="E509" t="str">
        <f>"1-22-10"</f>
        <v>1-22-10</v>
      </c>
      <c r="F509" t="s">
        <v>83</v>
      </c>
      <c r="G509" t="s">
        <v>86</v>
      </c>
      <c r="H509" t="s">
        <v>87</v>
      </c>
      <c r="AC509">
        <v>0</v>
      </c>
      <c r="AD509">
        <v>1</v>
      </c>
      <c r="AE509">
        <v>0</v>
      </c>
      <c r="AF509">
        <v>0</v>
      </c>
      <c r="AH509">
        <v>0</v>
      </c>
      <c r="AI509">
        <v>1</v>
      </c>
      <c r="AJ509">
        <v>0</v>
      </c>
      <c r="AK509">
        <v>1</v>
      </c>
      <c r="AL509">
        <v>0</v>
      </c>
      <c r="AM509">
        <v>0</v>
      </c>
      <c r="AN509">
        <v>1</v>
      </c>
      <c r="AO509">
        <v>0</v>
      </c>
      <c r="AP509">
        <v>0</v>
      </c>
      <c r="AQ509">
        <v>0</v>
      </c>
      <c r="AU509">
        <v>0</v>
      </c>
      <c r="AV509">
        <v>0</v>
      </c>
      <c r="AW509">
        <v>0</v>
      </c>
    </row>
    <row r="510" spans="1:49" x14ac:dyDescent="0.25">
      <c r="A510" t="str">
        <f>"506"</f>
        <v>506</v>
      </c>
      <c r="B510" t="str">
        <f t="shared" si="27"/>
        <v>1</v>
      </c>
      <c r="C510" t="str">
        <f t="shared" si="28"/>
        <v>22</v>
      </c>
      <c r="D510" t="str">
        <f>"7"</f>
        <v>7</v>
      </c>
      <c r="E510" t="str">
        <f>"1-22-7"</f>
        <v>1-22-7</v>
      </c>
      <c r="F510" t="s">
        <v>83</v>
      </c>
      <c r="G510" t="s">
        <v>86</v>
      </c>
      <c r="H510" t="s">
        <v>87</v>
      </c>
      <c r="AC510">
        <v>0</v>
      </c>
      <c r="AD510">
        <v>1</v>
      </c>
      <c r="AE510">
        <v>0</v>
      </c>
      <c r="AF510">
        <v>0</v>
      </c>
      <c r="AH510">
        <v>0</v>
      </c>
      <c r="AI510">
        <v>1</v>
      </c>
      <c r="AJ510">
        <v>0</v>
      </c>
      <c r="AK510">
        <v>1</v>
      </c>
      <c r="AL510">
        <v>0</v>
      </c>
      <c r="AM510">
        <v>0</v>
      </c>
      <c r="AN510">
        <v>1</v>
      </c>
      <c r="AO510">
        <v>0</v>
      </c>
      <c r="AP510">
        <v>0</v>
      </c>
      <c r="AQ510">
        <v>0</v>
      </c>
      <c r="AU510">
        <v>0</v>
      </c>
      <c r="AV510">
        <v>0</v>
      </c>
      <c r="AW510">
        <v>0</v>
      </c>
    </row>
    <row r="511" spans="1:49" x14ac:dyDescent="0.25">
      <c r="A511" t="str">
        <f>"507"</f>
        <v>507</v>
      </c>
      <c r="B511" t="str">
        <f t="shared" si="27"/>
        <v>1</v>
      </c>
      <c r="C511" t="str">
        <f t="shared" si="28"/>
        <v>22</v>
      </c>
      <c r="D511" t="str">
        <f>"12"</f>
        <v>12</v>
      </c>
      <c r="E511" t="str">
        <f>"1-22-12"</f>
        <v>1-22-12</v>
      </c>
      <c r="F511" t="s">
        <v>83</v>
      </c>
      <c r="G511" t="s">
        <v>86</v>
      </c>
      <c r="H511" t="s">
        <v>87</v>
      </c>
      <c r="AC511">
        <v>0</v>
      </c>
      <c r="AD511">
        <v>1</v>
      </c>
      <c r="AE511">
        <v>0</v>
      </c>
      <c r="AF511">
        <v>0</v>
      </c>
      <c r="AH511">
        <v>0</v>
      </c>
      <c r="AI511">
        <v>1</v>
      </c>
      <c r="AJ511">
        <v>0</v>
      </c>
      <c r="AK511">
        <v>1</v>
      </c>
      <c r="AL511">
        <v>0</v>
      </c>
      <c r="AM511">
        <v>1</v>
      </c>
      <c r="AN511">
        <v>0</v>
      </c>
      <c r="AO511">
        <v>0</v>
      </c>
      <c r="AP511">
        <v>0</v>
      </c>
      <c r="AQ511">
        <v>0</v>
      </c>
      <c r="AU511">
        <v>0</v>
      </c>
      <c r="AV511">
        <v>0</v>
      </c>
      <c r="AW511">
        <v>0</v>
      </c>
    </row>
    <row r="512" spans="1:49" x14ac:dyDescent="0.25">
      <c r="A512" t="str">
        <f>"508"</f>
        <v>508</v>
      </c>
      <c r="B512" t="str">
        <f t="shared" si="27"/>
        <v>1</v>
      </c>
      <c r="C512" t="str">
        <f t="shared" si="28"/>
        <v>22</v>
      </c>
      <c r="D512" t="str">
        <f>"5"</f>
        <v>5</v>
      </c>
      <c r="E512" t="str">
        <f>"1-22-5"</f>
        <v>1-22-5</v>
      </c>
      <c r="F512" t="s">
        <v>83</v>
      </c>
      <c r="G512" t="s">
        <v>86</v>
      </c>
      <c r="H512" t="s">
        <v>87</v>
      </c>
      <c r="AC512">
        <v>1</v>
      </c>
      <c r="AD512">
        <v>0</v>
      </c>
      <c r="AE512">
        <v>0</v>
      </c>
      <c r="AF512">
        <v>0</v>
      </c>
      <c r="AH512">
        <v>1</v>
      </c>
      <c r="AI512">
        <v>0</v>
      </c>
      <c r="AJ512">
        <v>1</v>
      </c>
      <c r="AK512">
        <v>0</v>
      </c>
      <c r="AL512">
        <v>0</v>
      </c>
      <c r="AM512">
        <v>0</v>
      </c>
      <c r="AN512">
        <v>1</v>
      </c>
      <c r="AO512">
        <v>1</v>
      </c>
      <c r="AP512">
        <v>1</v>
      </c>
      <c r="AQ512">
        <v>1</v>
      </c>
      <c r="AU512">
        <v>1</v>
      </c>
      <c r="AV512">
        <v>1</v>
      </c>
      <c r="AW512">
        <v>1</v>
      </c>
    </row>
    <row r="513" spans="1:49" x14ac:dyDescent="0.25">
      <c r="A513" t="str">
        <f>"509"</f>
        <v>509</v>
      </c>
      <c r="B513" t="str">
        <f t="shared" si="27"/>
        <v>1</v>
      </c>
      <c r="C513" t="str">
        <f t="shared" si="28"/>
        <v>22</v>
      </c>
      <c r="D513" t="str">
        <f>"13"</f>
        <v>13</v>
      </c>
      <c r="E513" t="str">
        <f>"1-22-13"</f>
        <v>1-22-13</v>
      </c>
      <c r="F513" t="s">
        <v>83</v>
      </c>
      <c r="G513" t="s">
        <v>86</v>
      </c>
      <c r="H513" t="s">
        <v>93</v>
      </c>
      <c r="I513">
        <v>1</v>
      </c>
      <c r="K513">
        <v>0</v>
      </c>
      <c r="L513">
        <v>0</v>
      </c>
      <c r="M513">
        <v>1</v>
      </c>
      <c r="N513">
        <v>1</v>
      </c>
      <c r="O513">
        <v>1</v>
      </c>
      <c r="P513">
        <v>1</v>
      </c>
      <c r="Q513">
        <v>1</v>
      </c>
      <c r="R513">
        <v>1</v>
      </c>
      <c r="U513">
        <v>1</v>
      </c>
      <c r="V513">
        <v>0</v>
      </c>
      <c r="W513">
        <v>1</v>
      </c>
      <c r="X513">
        <v>1</v>
      </c>
      <c r="Y513">
        <v>1</v>
      </c>
      <c r="Z513">
        <v>1</v>
      </c>
      <c r="AA513">
        <v>1</v>
      </c>
      <c r="AB513">
        <v>1</v>
      </c>
    </row>
    <row r="514" spans="1:49" x14ac:dyDescent="0.25">
      <c r="A514" t="str">
        <f>"510"</f>
        <v>510</v>
      </c>
      <c r="B514" t="str">
        <f t="shared" si="27"/>
        <v>1</v>
      </c>
      <c r="C514" t="str">
        <f t="shared" si="28"/>
        <v>22</v>
      </c>
      <c r="D514" t="str">
        <f>"3"</f>
        <v>3</v>
      </c>
      <c r="E514" t="str">
        <f>"1-22-3"</f>
        <v>1-22-3</v>
      </c>
      <c r="F514" t="s">
        <v>83</v>
      </c>
      <c r="G514" t="s">
        <v>86</v>
      </c>
      <c r="H514" t="s">
        <v>93</v>
      </c>
      <c r="I514">
        <v>0</v>
      </c>
      <c r="K514">
        <v>0</v>
      </c>
      <c r="L514">
        <v>0</v>
      </c>
      <c r="M514">
        <v>1</v>
      </c>
      <c r="N514">
        <v>0</v>
      </c>
      <c r="O514">
        <v>0</v>
      </c>
      <c r="P514">
        <v>0</v>
      </c>
      <c r="Q514">
        <v>0</v>
      </c>
      <c r="R514">
        <v>0</v>
      </c>
      <c r="U514">
        <v>0</v>
      </c>
      <c r="V514">
        <v>1</v>
      </c>
      <c r="W514">
        <v>0</v>
      </c>
      <c r="X514">
        <v>0</v>
      </c>
      <c r="Y514">
        <v>0</v>
      </c>
      <c r="Z514">
        <v>0</v>
      </c>
      <c r="AA514">
        <v>0</v>
      </c>
      <c r="AB514">
        <v>0</v>
      </c>
    </row>
    <row r="515" spans="1:49" x14ac:dyDescent="0.25">
      <c r="A515" t="str">
        <f>"511"</f>
        <v>511</v>
      </c>
      <c r="B515" t="str">
        <f t="shared" si="27"/>
        <v>1</v>
      </c>
      <c r="C515" t="str">
        <f t="shared" si="28"/>
        <v>22</v>
      </c>
      <c r="D515" t="str">
        <f>"14"</f>
        <v>14</v>
      </c>
      <c r="E515" t="str">
        <f>"1-22-14"</f>
        <v>1-22-14</v>
      </c>
      <c r="F515" t="s">
        <v>83</v>
      </c>
      <c r="G515" t="s">
        <v>86</v>
      </c>
      <c r="H515" t="s">
        <v>93</v>
      </c>
      <c r="I515">
        <v>1</v>
      </c>
      <c r="K515">
        <v>0</v>
      </c>
      <c r="L515">
        <v>0</v>
      </c>
      <c r="M515">
        <v>1</v>
      </c>
      <c r="N515">
        <v>1</v>
      </c>
      <c r="O515">
        <v>1</v>
      </c>
      <c r="P515">
        <v>1</v>
      </c>
      <c r="Q515">
        <v>1</v>
      </c>
      <c r="R515">
        <v>1</v>
      </c>
      <c r="U515">
        <v>1</v>
      </c>
      <c r="V515">
        <v>0</v>
      </c>
      <c r="W515">
        <v>1</v>
      </c>
      <c r="X515">
        <v>1</v>
      </c>
      <c r="Y515">
        <v>1</v>
      </c>
      <c r="Z515">
        <v>1</v>
      </c>
      <c r="AA515">
        <v>1</v>
      </c>
      <c r="AB515">
        <v>1</v>
      </c>
    </row>
    <row r="516" spans="1:49" x14ac:dyDescent="0.25">
      <c r="A516" t="str">
        <f>"512"</f>
        <v>512</v>
      </c>
      <c r="B516" t="str">
        <f t="shared" si="27"/>
        <v>1</v>
      </c>
      <c r="C516" t="str">
        <f t="shared" si="28"/>
        <v>22</v>
      </c>
      <c r="D516" t="str">
        <f>"4"</f>
        <v>4</v>
      </c>
      <c r="E516" t="str">
        <f>"1-22-4"</f>
        <v>1-22-4</v>
      </c>
      <c r="F516" t="s">
        <v>83</v>
      </c>
      <c r="G516" t="s">
        <v>86</v>
      </c>
      <c r="H516" t="s">
        <v>87</v>
      </c>
      <c r="AC516">
        <v>0</v>
      </c>
      <c r="AD516">
        <v>0</v>
      </c>
      <c r="AE516">
        <v>0</v>
      </c>
      <c r="AF516">
        <v>0</v>
      </c>
      <c r="AH516">
        <v>0</v>
      </c>
      <c r="AI516">
        <v>1</v>
      </c>
      <c r="AJ516">
        <v>0</v>
      </c>
      <c r="AK516">
        <v>0</v>
      </c>
      <c r="AL516">
        <v>0</v>
      </c>
      <c r="AM516">
        <v>0</v>
      </c>
      <c r="AN516">
        <v>0</v>
      </c>
      <c r="AO516">
        <v>0</v>
      </c>
      <c r="AP516">
        <v>0</v>
      </c>
      <c r="AQ516">
        <v>0</v>
      </c>
      <c r="AU516">
        <v>0</v>
      </c>
      <c r="AV516">
        <v>1</v>
      </c>
      <c r="AW516">
        <v>1</v>
      </c>
    </row>
    <row r="517" spans="1:49" x14ac:dyDescent="0.25">
      <c r="A517" t="str">
        <f>"513"</f>
        <v>513</v>
      </c>
      <c r="B517" t="str">
        <f t="shared" si="27"/>
        <v>1</v>
      </c>
      <c r="C517" t="str">
        <f t="shared" si="28"/>
        <v>22</v>
      </c>
      <c r="D517" t="str">
        <f>"15"</f>
        <v>15</v>
      </c>
      <c r="E517" t="str">
        <f>"1-22-15"</f>
        <v>1-22-15</v>
      </c>
      <c r="F517" t="s">
        <v>83</v>
      </c>
      <c r="G517" t="s">
        <v>86</v>
      </c>
      <c r="H517" t="s">
        <v>87</v>
      </c>
      <c r="AC517">
        <v>1</v>
      </c>
      <c r="AD517">
        <v>0</v>
      </c>
      <c r="AE517">
        <v>0</v>
      </c>
      <c r="AF517">
        <v>0</v>
      </c>
      <c r="AH517">
        <v>1</v>
      </c>
      <c r="AI517">
        <v>0</v>
      </c>
      <c r="AJ517">
        <v>1</v>
      </c>
      <c r="AK517">
        <v>0</v>
      </c>
      <c r="AL517">
        <v>1</v>
      </c>
      <c r="AM517">
        <v>0</v>
      </c>
      <c r="AN517">
        <v>0</v>
      </c>
      <c r="AO517">
        <v>1</v>
      </c>
      <c r="AP517">
        <v>1</v>
      </c>
      <c r="AQ517">
        <v>1</v>
      </c>
      <c r="AU517">
        <v>1</v>
      </c>
      <c r="AV517">
        <v>1</v>
      </c>
      <c r="AW517">
        <v>1</v>
      </c>
    </row>
    <row r="518" spans="1:49" x14ac:dyDescent="0.25">
      <c r="A518" t="str">
        <f>"514"</f>
        <v>514</v>
      </c>
      <c r="B518" t="str">
        <f t="shared" si="27"/>
        <v>1</v>
      </c>
      <c r="C518" t="str">
        <f t="shared" si="28"/>
        <v>22</v>
      </c>
      <c r="D518" t="str">
        <f>"6"</f>
        <v>6</v>
      </c>
      <c r="E518" t="str">
        <f>"1-22-6"</f>
        <v>1-22-6</v>
      </c>
      <c r="F518" t="s">
        <v>83</v>
      </c>
      <c r="G518" t="s">
        <v>86</v>
      </c>
      <c r="H518" t="s">
        <v>93</v>
      </c>
      <c r="I518">
        <v>1</v>
      </c>
      <c r="K518">
        <v>0</v>
      </c>
      <c r="L518">
        <v>0</v>
      </c>
      <c r="M518">
        <v>1</v>
      </c>
      <c r="N518">
        <v>1</v>
      </c>
      <c r="O518">
        <v>1</v>
      </c>
      <c r="P518">
        <v>1</v>
      </c>
      <c r="Q518">
        <v>1</v>
      </c>
      <c r="R518">
        <v>0</v>
      </c>
      <c r="U518">
        <v>0</v>
      </c>
      <c r="V518">
        <v>1</v>
      </c>
      <c r="W518">
        <v>1</v>
      </c>
      <c r="X518">
        <v>1</v>
      </c>
      <c r="Y518">
        <v>1</v>
      </c>
      <c r="Z518">
        <v>1</v>
      </c>
      <c r="AA518">
        <v>1</v>
      </c>
      <c r="AB518">
        <v>1</v>
      </c>
    </row>
    <row r="519" spans="1:49" x14ac:dyDescent="0.25">
      <c r="A519" t="str">
        <f>"515"</f>
        <v>515</v>
      </c>
      <c r="B519" t="str">
        <f t="shared" si="27"/>
        <v>1</v>
      </c>
      <c r="C519" t="str">
        <f t="shared" ref="C519:C540" si="29">"23"</f>
        <v>23</v>
      </c>
      <c r="D519" t="str">
        <f>"17"</f>
        <v>17</v>
      </c>
      <c r="E519" t="str">
        <f>"1-23-17"</f>
        <v>1-23-17</v>
      </c>
      <c r="F519" t="s">
        <v>83</v>
      </c>
      <c r="G519" t="s">
        <v>86</v>
      </c>
      <c r="H519" t="s">
        <v>87</v>
      </c>
      <c r="AC519">
        <v>0</v>
      </c>
      <c r="AD519">
        <v>0</v>
      </c>
      <c r="AE519">
        <v>0</v>
      </c>
      <c r="AF519">
        <v>0</v>
      </c>
      <c r="AH519">
        <v>0</v>
      </c>
      <c r="AI519">
        <v>1</v>
      </c>
      <c r="AJ519">
        <v>0</v>
      </c>
      <c r="AK519">
        <v>0</v>
      </c>
      <c r="AL519">
        <v>0</v>
      </c>
      <c r="AM519">
        <v>0</v>
      </c>
      <c r="AN519">
        <v>0</v>
      </c>
      <c r="AO519">
        <v>0</v>
      </c>
      <c r="AP519">
        <v>0</v>
      </c>
      <c r="AQ519">
        <v>0</v>
      </c>
      <c r="AU519">
        <v>0</v>
      </c>
      <c r="AV519">
        <v>0</v>
      </c>
      <c r="AW519">
        <v>0</v>
      </c>
    </row>
    <row r="520" spans="1:49" x14ac:dyDescent="0.25">
      <c r="A520" t="str">
        <f>"516"</f>
        <v>516</v>
      </c>
      <c r="B520" t="str">
        <f t="shared" si="27"/>
        <v>1</v>
      </c>
      <c r="C520" t="str">
        <f t="shared" si="29"/>
        <v>23</v>
      </c>
      <c r="D520" t="str">
        <f>"16"</f>
        <v>16</v>
      </c>
      <c r="E520" t="str">
        <f>"1-23-16"</f>
        <v>1-23-16</v>
      </c>
      <c r="F520" t="s">
        <v>83</v>
      </c>
      <c r="G520" t="s">
        <v>86</v>
      </c>
      <c r="H520" t="s">
        <v>93</v>
      </c>
      <c r="I520">
        <v>1</v>
      </c>
      <c r="K520">
        <v>0</v>
      </c>
      <c r="L520">
        <v>0</v>
      </c>
      <c r="M520">
        <v>1</v>
      </c>
      <c r="N520">
        <v>1</v>
      </c>
      <c r="O520">
        <v>1</v>
      </c>
      <c r="P520">
        <v>1</v>
      </c>
      <c r="Q520">
        <v>1</v>
      </c>
      <c r="R520">
        <v>1</v>
      </c>
      <c r="U520">
        <v>0</v>
      </c>
      <c r="V520">
        <v>0</v>
      </c>
      <c r="W520">
        <v>1</v>
      </c>
      <c r="X520">
        <v>1</v>
      </c>
      <c r="Y520">
        <v>1</v>
      </c>
      <c r="Z520">
        <v>1</v>
      </c>
      <c r="AA520">
        <v>1</v>
      </c>
      <c r="AB520">
        <v>1</v>
      </c>
    </row>
    <row r="521" spans="1:49" x14ac:dyDescent="0.25">
      <c r="A521" t="str">
        <f>"517"</f>
        <v>517</v>
      </c>
      <c r="B521" t="str">
        <f t="shared" si="27"/>
        <v>1</v>
      </c>
      <c r="C521" t="str">
        <f t="shared" si="29"/>
        <v>23</v>
      </c>
      <c r="D521" t="str">
        <f>"12"</f>
        <v>12</v>
      </c>
      <c r="E521" t="str">
        <f>"1-23-12"</f>
        <v>1-23-12</v>
      </c>
      <c r="F521" t="s">
        <v>83</v>
      </c>
      <c r="G521" t="s">
        <v>84</v>
      </c>
      <c r="H521" t="s">
        <v>85</v>
      </c>
      <c r="AC521">
        <v>1</v>
      </c>
      <c r="AD521">
        <v>0</v>
      </c>
      <c r="AE521">
        <v>0</v>
      </c>
      <c r="AF521">
        <v>0</v>
      </c>
      <c r="AG521">
        <v>0</v>
      </c>
      <c r="AJ521">
        <v>0</v>
      </c>
      <c r="AK521">
        <v>0</v>
      </c>
      <c r="AL521">
        <v>1</v>
      </c>
      <c r="AM521">
        <v>0</v>
      </c>
      <c r="AN521">
        <v>0</v>
      </c>
      <c r="AO521">
        <v>0</v>
      </c>
      <c r="AP521">
        <v>0</v>
      </c>
      <c r="AQ521">
        <v>0</v>
      </c>
      <c r="AR521">
        <v>0</v>
      </c>
      <c r="AS521">
        <v>1</v>
      </c>
      <c r="AT521">
        <v>0</v>
      </c>
      <c r="AV521">
        <v>1</v>
      </c>
      <c r="AW521">
        <v>1</v>
      </c>
    </row>
    <row r="522" spans="1:49" x14ac:dyDescent="0.25">
      <c r="A522" t="str">
        <f>"518"</f>
        <v>518</v>
      </c>
      <c r="B522" t="str">
        <f t="shared" si="27"/>
        <v>1</v>
      </c>
      <c r="C522" t="str">
        <f t="shared" si="29"/>
        <v>23</v>
      </c>
      <c r="D522" t="str">
        <f>"8"</f>
        <v>8</v>
      </c>
      <c r="E522" t="str">
        <f>"1-23-8"</f>
        <v>1-23-8</v>
      </c>
      <c r="F522" t="s">
        <v>83</v>
      </c>
      <c r="G522" t="s">
        <v>88</v>
      </c>
      <c r="H522" t="s">
        <v>89</v>
      </c>
      <c r="AC522">
        <v>1</v>
      </c>
      <c r="AD522">
        <v>0</v>
      </c>
      <c r="AE522">
        <v>0</v>
      </c>
      <c r="AF522">
        <v>0</v>
      </c>
      <c r="AH522">
        <v>1</v>
      </c>
      <c r="AI522">
        <v>0</v>
      </c>
      <c r="AJ522">
        <v>0</v>
      </c>
      <c r="AK522">
        <v>1</v>
      </c>
      <c r="AL522">
        <v>1</v>
      </c>
      <c r="AM522">
        <v>0</v>
      </c>
      <c r="AN522">
        <v>0</v>
      </c>
      <c r="AO522">
        <v>0</v>
      </c>
      <c r="AP522">
        <v>0</v>
      </c>
      <c r="AQ522">
        <v>0</v>
      </c>
      <c r="AR522">
        <v>0</v>
      </c>
      <c r="AS522">
        <v>0</v>
      </c>
      <c r="AT522">
        <v>1</v>
      </c>
      <c r="AV522">
        <v>0</v>
      </c>
      <c r="AW522">
        <v>0</v>
      </c>
    </row>
    <row r="523" spans="1:49" x14ac:dyDescent="0.25">
      <c r="A523" t="str">
        <f>"519"</f>
        <v>519</v>
      </c>
      <c r="B523" t="str">
        <f t="shared" si="27"/>
        <v>1</v>
      </c>
      <c r="C523" t="str">
        <f t="shared" si="29"/>
        <v>23</v>
      </c>
      <c r="D523" t="str">
        <f>"3"</f>
        <v>3</v>
      </c>
      <c r="E523" t="str">
        <f>"1-23-3"</f>
        <v>1-23-3</v>
      </c>
      <c r="F523" t="s">
        <v>83</v>
      </c>
      <c r="G523" t="s">
        <v>84</v>
      </c>
      <c r="H523" t="s">
        <v>85</v>
      </c>
      <c r="AC523">
        <v>1</v>
      </c>
      <c r="AD523">
        <v>0</v>
      </c>
      <c r="AE523">
        <v>0</v>
      </c>
      <c r="AF523">
        <v>0</v>
      </c>
      <c r="AG523">
        <v>1</v>
      </c>
      <c r="AJ523">
        <v>1</v>
      </c>
      <c r="AK523">
        <v>0</v>
      </c>
      <c r="AL523">
        <v>1</v>
      </c>
      <c r="AM523">
        <v>0</v>
      </c>
      <c r="AN523">
        <v>0</v>
      </c>
      <c r="AO523">
        <v>1</v>
      </c>
      <c r="AP523">
        <v>1</v>
      </c>
      <c r="AQ523">
        <v>1</v>
      </c>
      <c r="AR523">
        <v>1</v>
      </c>
      <c r="AS523">
        <v>1</v>
      </c>
      <c r="AT523">
        <v>0</v>
      </c>
      <c r="AV523">
        <v>1</v>
      </c>
      <c r="AW523">
        <v>1</v>
      </c>
    </row>
    <row r="524" spans="1:49" x14ac:dyDescent="0.25">
      <c r="A524" t="str">
        <f>"520"</f>
        <v>520</v>
      </c>
      <c r="B524" t="str">
        <f t="shared" si="27"/>
        <v>1</v>
      </c>
      <c r="C524" t="str">
        <f t="shared" si="29"/>
        <v>23</v>
      </c>
      <c r="D524" t="str">
        <f>"18"</f>
        <v>18</v>
      </c>
      <c r="E524" t="str">
        <f>"1-23-18"</f>
        <v>1-23-18</v>
      </c>
      <c r="F524" t="s">
        <v>83</v>
      </c>
      <c r="G524" t="s">
        <v>86</v>
      </c>
      <c r="H524" t="s">
        <v>87</v>
      </c>
      <c r="AC524">
        <v>1</v>
      </c>
      <c r="AD524">
        <v>0</v>
      </c>
      <c r="AE524">
        <v>0</v>
      </c>
      <c r="AF524">
        <v>0</v>
      </c>
      <c r="AH524">
        <v>0</v>
      </c>
      <c r="AI524">
        <v>1</v>
      </c>
      <c r="AJ524">
        <v>1</v>
      </c>
      <c r="AK524">
        <v>0</v>
      </c>
      <c r="AL524">
        <v>0</v>
      </c>
      <c r="AM524">
        <v>0</v>
      </c>
      <c r="AN524">
        <v>0</v>
      </c>
      <c r="AO524">
        <v>0</v>
      </c>
      <c r="AP524">
        <v>0</v>
      </c>
      <c r="AQ524">
        <v>0</v>
      </c>
      <c r="AU524">
        <v>0</v>
      </c>
      <c r="AV524">
        <v>0</v>
      </c>
      <c r="AW524">
        <v>0</v>
      </c>
    </row>
    <row r="525" spans="1:49" x14ac:dyDescent="0.25">
      <c r="A525" t="str">
        <f>"521"</f>
        <v>521</v>
      </c>
      <c r="B525" t="str">
        <f t="shared" si="27"/>
        <v>1</v>
      </c>
      <c r="C525" t="str">
        <f t="shared" si="29"/>
        <v>23</v>
      </c>
      <c r="D525" t="str">
        <f>"9"</f>
        <v>9</v>
      </c>
      <c r="E525" t="str">
        <f>"1-23-9"</f>
        <v>1-23-9</v>
      </c>
      <c r="F525" t="s">
        <v>83</v>
      </c>
      <c r="G525" t="s">
        <v>84</v>
      </c>
      <c r="H525" t="s">
        <v>92</v>
      </c>
      <c r="I525">
        <v>1</v>
      </c>
      <c r="J525">
        <v>0</v>
      </c>
      <c r="N525">
        <v>1</v>
      </c>
      <c r="O525">
        <v>1</v>
      </c>
      <c r="P525">
        <v>0</v>
      </c>
      <c r="Q525">
        <v>1</v>
      </c>
      <c r="R525">
        <v>1</v>
      </c>
      <c r="S525">
        <v>1</v>
      </c>
      <c r="T525">
        <v>1</v>
      </c>
      <c r="W525">
        <v>1</v>
      </c>
      <c r="X525">
        <v>1</v>
      </c>
      <c r="Y525">
        <v>1</v>
      </c>
      <c r="Z525">
        <v>1</v>
      </c>
      <c r="AA525">
        <v>1</v>
      </c>
      <c r="AB525">
        <v>1</v>
      </c>
    </row>
    <row r="526" spans="1:49" x14ac:dyDescent="0.25">
      <c r="A526" t="str">
        <f>"522"</f>
        <v>522</v>
      </c>
      <c r="B526" t="str">
        <f t="shared" si="27"/>
        <v>1</v>
      </c>
      <c r="C526" t="str">
        <f t="shared" si="29"/>
        <v>23</v>
      </c>
      <c r="D526" t="str">
        <f>"5"</f>
        <v>5</v>
      </c>
      <c r="E526" t="str">
        <f>"1-23-5"</f>
        <v>1-23-5</v>
      </c>
      <c r="F526" t="s">
        <v>83</v>
      </c>
      <c r="G526" t="s">
        <v>86</v>
      </c>
      <c r="H526" t="s">
        <v>87</v>
      </c>
      <c r="AC526">
        <v>0</v>
      </c>
      <c r="AD526">
        <v>1</v>
      </c>
      <c r="AE526">
        <v>0</v>
      </c>
      <c r="AF526">
        <v>0</v>
      </c>
      <c r="AH526">
        <v>0</v>
      </c>
      <c r="AI526">
        <v>1</v>
      </c>
      <c r="AJ526">
        <v>0</v>
      </c>
      <c r="AK526">
        <v>1</v>
      </c>
      <c r="AL526">
        <v>0</v>
      </c>
      <c r="AM526">
        <v>0</v>
      </c>
      <c r="AN526">
        <v>1</v>
      </c>
      <c r="AO526">
        <v>0</v>
      </c>
      <c r="AP526">
        <v>0</v>
      </c>
      <c r="AQ526">
        <v>0</v>
      </c>
      <c r="AU526">
        <v>0</v>
      </c>
      <c r="AV526">
        <v>0</v>
      </c>
      <c r="AW526">
        <v>0</v>
      </c>
    </row>
    <row r="527" spans="1:49" x14ac:dyDescent="0.25">
      <c r="A527" t="str">
        <f>"523"</f>
        <v>523</v>
      </c>
      <c r="B527" t="str">
        <f t="shared" si="27"/>
        <v>1</v>
      </c>
      <c r="C527" t="str">
        <f t="shared" si="29"/>
        <v>23</v>
      </c>
      <c r="D527" t="str">
        <f>"19"</f>
        <v>19</v>
      </c>
      <c r="E527" t="str">
        <f>"1-23-19"</f>
        <v>1-23-19</v>
      </c>
      <c r="F527" t="s">
        <v>83</v>
      </c>
      <c r="G527" t="s">
        <v>86</v>
      </c>
      <c r="H527" t="s">
        <v>87</v>
      </c>
      <c r="AC527">
        <v>0</v>
      </c>
      <c r="AD527">
        <v>1</v>
      </c>
      <c r="AE527">
        <v>0</v>
      </c>
      <c r="AF527">
        <v>0</v>
      </c>
      <c r="AH527">
        <v>0</v>
      </c>
      <c r="AI527">
        <v>1</v>
      </c>
      <c r="AJ527">
        <v>0</v>
      </c>
      <c r="AK527">
        <v>1</v>
      </c>
      <c r="AL527">
        <v>0</v>
      </c>
      <c r="AM527">
        <v>0</v>
      </c>
      <c r="AN527">
        <v>1</v>
      </c>
      <c r="AO527">
        <v>0</v>
      </c>
      <c r="AP527">
        <v>0</v>
      </c>
      <c r="AQ527">
        <v>0</v>
      </c>
      <c r="AU527">
        <v>0</v>
      </c>
      <c r="AV527">
        <v>0</v>
      </c>
      <c r="AW527">
        <v>0</v>
      </c>
    </row>
    <row r="528" spans="1:49" x14ac:dyDescent="0.25">
      <c r="A528" t="str">
        <f>"524"</f>
        <v>524</v>
      </c>
      <c r="B528" t="str">
        <f t="shared" si="27"/>
        <v>1</v>
      </c>
      <c r="C528" t="str">
        <f t="shared" si="29"/>
        <v>23</v>
      </c>
      <c r="D528" t="str">
        <f>"10"</f>
        <v>10</v>
      </c>
      <c r="E528" t="str">
        <f>"1-23-10"</f>
        <v>1-23-10</v>
      </c>
      <c r="F528" t="s">
        <v>83</v>
      </c>
      <c r="G528" t="s">
        <v>84</v>
      </c>
      <c r="H528" t="s">
        <v>92</v>
      </c>
      <c r="I528">
        <v>1</v>
      </c>
      <c r="J528">
        <v>1</v>
      </c>
      <c r="N528">
        <v>1</v>
      </c>
      <c r="O528">
        <v>1</v>
      </c>
      <c r="P528">
        <v>1</v>
      </c>
      <c r="Q528">
        <v>1</v>
      </c>
      <c r="R528">
        <v>1</v>
      </c>
      <c r="S528">
        <v>1</v>
      </c>
      <c r="T528">
        <v>1</v>
      </c>
      <c r="W528">
        <v>1</v>
      </c>
      <c r="X528">
        <v>1</v>
      </c>
      <c r="Y528">
        <v>1</v>
      </c>
      <c r="Z528">
        <v>1</v>
      </c>
      <c r="AA528">
        <v>1</v>
      </c>
      <c r="AB528">
        <v>1</v>
      </c>
    </row>
    <row r="529" spans="1:49" x14ac:dyDescent="0.25">
      <c r="A529" t="str">
        <f>"525"</f>
        <v>525</v>
      </c>
      <c r="B529" t="str">
        <f t="shared" si="27"/>
        <v>1</v>
      </c>
      <c r="C529" t="str">
        <f t="shared" si="29"/>
        <v>23</v>
      </c>
      <c r="D529" t="str">
        <f>"1"</f>
        <v>1</v>
      </c>
      <c r="E529" t="str">
        <f>"1-23-1"</f>
        <v>1-23-1</v>
      </c>
      <c r="F529" t="s">
        <v>83</v>
      </c>
      <c r="G529" t="s">
        <v>84</v>
      </c>
      <c r="H529" t="s">
        <v>85</v>
      </c>
      <c r="AC529">
        <v>0</v>
      </c>
      <c r="AD529">
        <v>1</v>
      </c>
      <c r="AE529">
        <v>0</v>
      </c>
      <c r="AF529">
        <v>0</v>
      </c>
      <c r="AG529">
        <v>0</v>
      </c>
      <c r="AJ529">
        <v>0</v>
      </c>
      <c r="AK529">
        <v>1</v>
      </c>
      <c r="AL529">
        <v>0</v>
      </c>
      <c r="AM529">
        <v>0</v>
      </c>
      <c r="AN529">
        <v>1</v>
      </c>
      <c r="AO529">
        <v>0</v>
      </c>
      <c r="AP529">
        <v>0</v>
      </c>
      <c r="AQ529">
        <v>0</v>
      </c>
      <c r="AR529">
        <v>0</v>
      </c>
      <c r="AS529">
        <v>1</v>
      </c>
      <c r="AT529">
        <v>0</v>
      </c>
      <c r="AV529">
        <v>0</v>
      </c>
      <c r="AW529">
        <v>1</v>
      </c>
    </row>
    <row r="530" spans="1:49" x14ac:dyDescent="0.25">
      <c r="A530" t="str">
        <f>"526"</f>
        <v>526</v>
      </c>
      <c r="B530" t="str">
        <f t="shared" si="27"/>
        <v>1</v>
      </c>
      <c r="C530" t="str">
        <f t="shared" si="29"/>
        <v>23</v>
      </c>
      <c r="D530" t="str">
        <f>"20"</f>
        <v>20</v>
      </c>
      <c r="E530" t="str">
        <f>"1-23-20"</f>
        <v>1-23-20</v>
      </c>
      <c r="F530" t="s">
        <v>83</v>
      </c>
      <c r="G530" t="s">
        <v>86</v>
      </c>
      <c r="H530" t="s">
        <v>87</v>
      </c>
      <c r="AC530">
        <v>0</v>
      </c>
      <c r="AD530">
        <v>0</v>
      </c>
      <c r="AE530">
        <v>0</v>
      </c>
      <c r="AF530">
        <v>0</v>
      </c>
      <c r="AH530">
        <v>0</v>
      </c>
      <c r="AI530">
        <v>1</v>
      </c>
      <c r="AJ530">
        <v>0</v>
      </c>
      <c r="AK530">
        <v>0</v>
      </c>
      <c r="AL530">
        <v>0</v>
      </c>
      <c r="AM530">
        <v>0</v>
      </c>
      <c r="AN530">
        <v>0</v>
      </c>
      <c r="AO530">
        <v>0</v>
      </c>
      <c r="AP530">
        <v>0</v>
      </c>
      <c r="AQ530">
        <v>0</v>
      </c>
      <c r="AU530">
        <v>0</v>
      </c>
      <c r="AV530">
        <v>0</v>
      </c>
      <c r="AW530">
        <v>0</v>
      </c>
    </row>
    <row r="531" spans="1:49" x14ac:dyDescent="0.25">
      <c r="A531" t="str">
        <f>"527"</f>
        <v>527</v>
      </c>
      <c r="B531" t="str">
        <f t="shared" si="27"/>
        <v>1</v>
      </c>
      <c r="C531" t="str">
        <f t="shared" si="29"/>
        <v>23</v>
      </c>
      <c r="D531" t="str">
        <f>"11"</f>
        <v>11</v>
      </c>
      <c r="E531" t="str">
        <f>"1-23-11"</f>
        <v>1-23-11</v>
      </c>
      <c r="F531" t="s">
        <v>83</v>
      </c>
      <c r="G531" t="s">
        <v>84</v>
      </c>
      <c r="H531" t="s">
        <v>85</v>
      </c>
      <c r="AC531">
        <v>1</v>
      </c>
      <c r="AD531">
        <v>0</v>
      </c>
      <c r="AE531">
        <v>0</v>
      </c>
      <c r="AF531">
        <v>0</v>
      </c>
      <c r="AG531">
        <v>0</v>
      </c>
      <c r="AJ531">
        <v>0</v>
      </c>
      <c r="AK531">
        <v>1</v>
      </c>
      <c r="AL531">
        <v>0</v>
      </c>
      <c r="AM531">
        <v>1</v>
      </c>
      <c r="AN531">
        <v>0</v>
      </c>
      <c r="AO531">
        <v>1</v>
      </c>
      <c r="AP531">
        <v>1</v>
      </c>
      <c r="AQ531">
        <v>1</v>
      </c>
      <c r="AR531">
        <v>1</v>
      </c>
      <c r="AS531">
        <v>0</v>
      </c>
      <c r="AT531">
        <v>1</v>
      </c>
      <c r="AV531">
        <v>1</v>
      </c>
      <c r="AW531">
        <v>1</v>
      </c>
    </row>
    <row r="532" spans="1:49" x14ac:dyDescent="0.25">
      <c r="A532" t="str">
        <f>"528"</f>
        <v>528</v>
      </c>
      <c r="B532" t="str">
        <f t="shared" si="27"/>
        <v>1</v>
      </c>
      <c r="C532" t="str">
        <f t="shared" si="29"/>
        <v>23</v>
      </c>
      <c r="D532" t="str">
        <f>"4"</f>
        <v>4</v>
      </c>
      <c r="E532" t="str">
        <f>"1-23-4"</f>
        <v>1-23-4</v>
      </c>
      <c r="F532" t="s">
        <v>83</v>
      </c>
      <c r="G532" t="s">
        <v>86</v>
      </c>
      <c r="H532" t="s">
        <v>87</v>
      </c>
      <c r="AC532">
        <v>0</v>
      </c>
      <c r="AD532">
        <v>0</v>
      </c>
      <c r="AE532">
        <v>0</v>
      </c>
      <c r="AF532">
        <v>0</v>
      </c>
      <c r="AH532">
        <v>0</v>
      </c>
      <c r="AI532">
        <v>1</v>
      </c>
      <c r="AJ532">
        <v>0</v>
      </c>
      <c r="AK532">
        <v>0</v>
      </c>
      <c r="AL532">
        <v>0</v>
      </c>
      <c r="AM532">
        <v>0</v>
      </c>
      <c r="AN532">
        <v>0</v>
      </c>
      <c r="AO532">
        <v>0</v>
      </c>
      <c r="AP532">
        <v>0</v>
      </c>
      <c r="AQ532">
        <v>0</v>
      </c>
      <c r="AU532">
        <v>0</v>
      </c>
      <c r="AV532">
        <v>0</v>
      </c>
      <c r="AW532">
        <v>0</v>
      </c>
    </row>
    <row r="533" spans="1:49" x14ac:dyDescent="0.25">
      <c r="A533" t="str">
        <f>"529"</f>
        <v>529</v>
      </c>
      <c r="B533" t="str">
        <f t="shared" si="27"/>
        <v>1</v>
      </c>
      <c r="C533" t="str">
        <f t="shared" si="29"/>
        <v>23</v>
      </c>
      <c r="D533" t="str">
        <f>"21"</f>
        <v>21</v>
      </c>
      <c r="E533" t="str">
        <f>"1-23-21"</f>
        <v>1-23-21</v>
      </c>
      <c r="F533" t="s">
        <v>83</v>
      </c>
      <c r="G533" t="s">
        <v>86</v>
      </c>
      <c r="H533" t="s">
        <v>93</v>
      </c>
      <c r="I533">
        <v>1</v>
      </c>
      <c r="K533">
        <v>1</v>
      </c>
      <c r="L533">
        <v>0</v>
      </c>
      <c r="M533">
        <v>0</v>
      </c>
      <c r="N533">
        <v>1</v>
      </c>
      <c r="O533">
        <v>1</v>
      </c>
      <c r="P533">
        <v>1</v>
      </c>
      <c r="Q533">
        <v>1</v>
      </c>
      <c r="R533">
        <v>1</v>
      </c>
      <c r="U533">
        <v>0</v>
      </c>
      <c r="V533">
        <v>0</v>
      </c>
      <c r="W533">
        <v>1</v>
      </c>
      <c r="X533">
        <v>1</v>
      </c>
      <c r="Y533">
        <v>1</v>
      </c>
      <c r="Z533">
        <v>1</v>
      </c>
      <c r="AA533">
        <v>1</v>
      </c>
      <c r="AB533">
        <v>1</v>
      </c>
    </row>
    <row r="534" spans="1:49" x14ac:dyDescent="0.25">
      <c r="A534" t="str">
        <f>"530"</f>
        <v>530</v>
      </c>
      <c r="B534" t="str">
        <f t="shared" si="27"/>
        <v>1</v>
      </c>
      <c r="C534" t="str">
        <f t="shared" si="29"/>
        <v>23</v>
      </c>
      <c r="D534" t="str">
        <f>"13"</f>
        <v>13</v>
      </c>
      <c r="E534" t="str">
        <f>"1-23-13"</f>
        <v>1-23-13</v>
      </c>
      <c r="F534" t="s">
        <v>83</v>
      </c>
      <c r="G534" t="s">
        <v>84</v>
      </c>
      <c r="H534" t="s">
        <v>85</v>
      </c>
      <c r="AC534">
        <v>1</v>
      </c>
      <c r="AD534">
        <v>0</v>
      </c>
      <c r="AE534">
        <v>0</v>
      </c>
      <c r="AF534">
        <v>0</v>
      </c>
      <c r="AG534">
        <v>0</v>
      </c>
      <c r="AJ534">
        <v>0</v>
      </c>
      <c r="AK534">
        <v>0</v>
      </c>
      <c r="AL534">
        <v>1</v>
      </c>
      <c r="AM534">
        <v>0</v>
      </c>
      <c r="AN534">
        <v>0</v>
      </c>
      <c r="AO534">
        <v>0</v>
      </c>
      <c r="AP534">
        <v>0</v>
      </c>
      <c r="AQ534">
        <v>0</v>
      </c>
      <c r="AR534">
        <v>0</v>
      </c>
      <c r="AS534">
        <v>1</v>
      </c>
      <c r="AT534">
        <v>0</v>
      </c>
      <c r="AV534">
        <v>1</v>
      </c>
      <c r="AW534">
        <v>1</v>
      </c>
    </row>
    <row r="535" spans="1:49" x14ac:dyDescent="0.25">
      <c r="A535" t="str">
        <f>"531"</f>
        <v>531</v>
      </c>
      <c r="B535" t="str">
        <f t="shared" si="27"/>
        <v>1</v>
      </c>
      <c r="C535" t="str">
        <f t="shared" si="29"/>
        <v>23</v>
      </c>
      <c r="D535" t="str">
        <f>"2"</f>
        <v>2</v>
      </c>
      <c r="E535" t="str">
        <f>"1-23-2"</f>
        <v>1-23-2</v>
      </c>
      <c r="F535" t="s">
        <v>83</v>
      </c>
      <c r="G535" t="s">
        <v>84</v>
      </c>
      <c r="H535" t="s">
        <v>85</v>
      </c>
      <c r="AC535">
        <v>1</v>
      </c>
      <c r="AD535">
        <v>0</v>
      </c>
      <c r="AE535">
        <v>0</v>
      </c>
      <c r="AF535">
        <v>0</v>
      </c>
      <c r="AG535">
        <v>0</v>
      </c>
      <c r="AJ535">
        <v>1</v>
      </c>
      <c r="AK535">
        <v>0</v>
      </c>
      <c r="AL535">
        <v>0</v>
      </c>
      <c r="AM535">
        <v>0</v>
      </c>
      <c r="AN535">
        <v>1</v>
      </c>
      <c r="AO535">
        <v>1</v>
      </c>
      <c r="AP535">
        <v>1</v>
      </c>
      <c r="AQ535">
        <v>1</v>
      </c>
      <c r="AR535">
        <v>1</v>
      </c>
      <c r="AS535">
        <v>0</v>
      </c>
      <c r="AT535">
        <v>1</v>
      </c>
      <c r="AV535">
        <v>1</v>
      </c>
      <c r="AW535">
        <v>1</v>
      </c>
    </row>
    <row r="536" spans="1:49" x14ac:dyDescent="0.25">
      <c r="A536" t="str">
        <f>"532"</f>
        <v>532</v>
      </c>
      <c r="B536" t="str">
        <f t="shared" si="27"/>
        <v>1</v>
      </c>
      <c r="C536" t="str">
        <f t="shared" si="29"/>
        <v>23</v>
      </c>
      <c r="D536" t="str">
        <f>"14"</f>
        <v>14</v>
      </c>
      <c r="E536" t="str">
        <f>"1-23-14"</f>
        <v>1-23-14</v>
      </c>
      <c r="F536" t="s">
        <v>83</v>
      </c>
      <c r="G536" t="s">
        <v>84</v>
      </c>
      <c r="H536" t="s">
        <v>85</v>
      </c>
      <c r="AC536">
        <v>1</v>
      </c>
      <c r="AD536">
        <v>0</v>
      </c>
      <c r="AE536">
        <v>0</v>
      </c>
      <c r="AF536">
        <v>0</v>
      </c>
      <c r="AG536">
        <v>1</v>
      </c>
      <c r="AJ536">
        <v>1</v>
      </c>
      <c r="AK536">
        <v>0</v>
      </c>
      <c r="AL536">
        <v>0</v>
      </c>
      <c r="AM536">
        <v>1</v>
      </c>
      <c r="AN536">
        <v>0</v>
      </c>
      <c r="AO536">
        <v>1</v>
      </c>
      <c r="AP536">
        <v>1</v>
      </c>
      <c r="AQ536">
        <v>1</v>
      </c>
      <c r="AR536">
        <v>1</v>
      </c>
      <c r="AS536">
        <v>0</v>
      </c>
      <c r="AT536">
        <v>0</v>
      </c>
      <c r="AV536">
        <v>1</v>
      </c>
      <c r="AW536">
        <v>1</v>
      </c>
    </row>
    <row r="537" spans="1:49" x14ac:dyDescent="0.25">
      <c r="A537" t="str">
        <f>"533"</f>
        <v>533</v>
      </c>
      <c r="B537" t="str">
        <f t="shared" si="27"/>
        <v>1</v>
      </c>
      <c r="C537" t="str">
        <f t="shared" si="29"/>
        <v>23</v>
      </c>
      <c r="D537" t="str">
        <f>"7"</f>
        <v>7</v>
      </c>
      <c r="E537" t="str">
        <f>"1-23-7"</f>
        <v>1-23-7</v>
      </c>
      <c r="F537" t="s">
        <v>83</v>
      </c>
      <c r="G537" t="s">
        <v>84</v>
      </c>
      <c r="H537" t="s">
        <v>92</v>
      </c>
      <c r="I537">
        <v>1</v>
      </c>
      <c r="J537">
        <v>1</v>
      </c>
      <c r="N537">
        <v>1</v>
      </c>
      <c r="O537">
        <v>1</v>
      </c>
      <c r="P537">
        <v>1</v>
      </c>
      <c r="Q537">
        <v>1</v>
      </c>
      <c r="R537">
        <v>1</v>
      </c>
      <c r="S537">
        <v>1</v>
      </c>
      <c r="T537">
        <v>1</v>
      </c>
      <c r="W537">
        <v>1</v>
      </c>
      <c r="X537">
        <v>1</v>
      </c>
      <c r="Y537">
        <v>1</v>
      </c>
      <c r="Z537">
        <v>1</v>
      </c>
      <c r="AA537">
        <v>1</v>
      </c>
      <c r="AB537">
        <v>1</v>
      </c>
    </row>
    <row r="538" spans="1:49" x14ac:dyDescent="0.25">
      <c r="A538" t="str">
        <f>"534"</f>
        <v>534</v>
      </c>
      <c r="B538" t="str">
        <f t="shared" si="27"/>
        <v>1</v>
      </c>
      <c r="C538" t="str">
        <f t="shared" si="29"/>
        <v>23</v>
      </c>
      <c r="D538" t="str">
        <f>"22"</f>
        <v>22</v>
      </c>
      <c r="E538" t="str">
        <f>"1-23-22"</f>
        <v>1-23-22</v>
      </c>
      <c r="F538" t="s">
        <v>83</v>
      </c>
      <c r="G538" t="s">
        <v>86</v>
      </c>
      <c r="H538" t="s">
        <v>93</v>
      </c>
      <c r="I538">
        <v>1</v>
      </c>
      <c r="K538">
        <v>1</v>
      </c>
      <c r="L538">
        <v>0</v>
      </c>
      <c r="M538">
        <v>0</v>
      </c>
      <c r="N538">
        <v>1</v>
      </c>
      <c r="O538">
        <v>1</v>
      </c>
      <c r="P538">
        <v>1</v>
      </c>
      <c r="Q538">
        <v>1</v>
      </c>
      <c r="R538">
        <v>1</v>
      </c>
      <c r="U538">
        <v>0</v>
      </c>
      <c r="V538">
        <v>1</v>
      </c>
      <c r="W538">
        <v>1</v>
      </c>
      <c r="X538">
        <v>1</v>
      </c>
      <c r="Y538">
        <v>1</v>
      </c>
      <c r="Z538">
        <v>1</v>
      </c>
      <c r="AA538">
        <v>1</v>
      </c>
      <c r="AB538">
        <v>1</v>
      </c>
    </row>
    <row r="539" spans="1:49" x14ac:dyDescent="0.25">
      <c r="A539" t="str">
        <f>"535"</f>
        <v>535</v>
      </c>
      <c r="B539" t="str">
        <f t="shared" si="27"/>
        <v>1</v>
      </c>
      <c r="C539" t="str">
        <f t="shared" si="29"/>
        <v>23</v>
      </c>
      <c r="D539" t="str">
        <f>"15"</f>
        <v>15</v>
      </c>
      <c r="E539" t="str">
        <f>"1-23-15"</f>
        <v>1-23-15</v>
      </c>
      <c r="F539" t="s">
        <v>83</v>
      </c>
      <c r="G539" t="s">
        <v>86</v>
      </c>
      <c r="H539" t="s">
        <v>87</v>
      </c>
      <c r="AC539">
        <v>0</v>
      </c>
      <c r="AD539">
        <v>1</v>
      </c>
      <c r="AE539">
        <v>0</v>
      </c>
      <c r="AF539">
        <v>0</v>
      </c>
      <c r="AH539">
        <v>0</v>
      </c>
      <c r="AI539">
        <v>1</v>
      </c>
      <c r="AJ539">
        <v>0</v>
      </c>
      <c r="AK539">
        <v>1</v>
      </c>
      <c r="AL539">
        <v>0</v>
      </c>
      <c r="AM539">
        <v>0</v>
      </c>
      <c r="AN539">
        <v>1</v>
      </c>
      <c r="AO539">
        <v>0</v>
      </c>
      <c r="AP539">
        <v>0</v>
      </c>
      <c r="AQ539">
        <v>0</v>
      </c>
      <c r="AU539">
        <v>0</v>
      </c>
      <c r="AV539">
        <v>0</v>
      </c>
      <c r="AW539">
        <v>0</v>
      </c>
    </row>
    <row r="540" spans="1:49" x14ac:dyDescent="0.25">
      <c r="A540" t="str">
        <f>"536"</f>
        <v>536</v>
      </c>
      <c r="B540" t="str">
        <f t="shared" si="27"/>
        <v>1</v>
      </c>
      <c r="C540" t="str">
        <f t="shared" si="29"/>
        <v>23</v>
      </c>
      <c r="D540" t="str">
        <f>"6"</f>
        <v>6</v>
      </c>
      <c r="E540" t="str">
        <f>"1-23-6"</f>
        <v>1-23-6</v>
      </c>
      <c r="F540" t="s">
        <v>83</v>
      </c>
      <c r="G540" t="s">
        <v>86</v>
      </c>
      <c r="H540" t="s">
        <v>93</v>
      </c>
      <c r="I540">
        <v>1</v>
      </c>
      <c r="K540">
        <v>0</v>
      </c>
      <c r="L540">
        <v>0</v>
      </c>
      <c r="M540">
        <v>1</v>
      </c>
      <c r="N540">
        <v>1</v>
      </c>
      <c r="O540">
        <v>1</v>
      </c>
      <c r="P540">
        <v>1</v>
      </c>
      <c r="Q540">
        <v>1</v>
      </c>
      <c r="R540">
        <v>1</v>
      </c>
      <c r="U540">
        <v>0</v>
      </c>
      <c r="V540">
        <v>1</v>
      </c>
      <c r="W540">
        <v>1</v>
      </c>
      <c r="X540">
        <v>1</v>
      </c>
      <c r="Y540">
        <v>1</v>
      </c>
      <c r="Z540">
        <v>1</v>
      </c>
      <c r="AA540">
        <v>1</v>
      </c>
      <c r="AB540">
        <v>1</v>
      </c>
    </row>
    <row r="541" spans="1:49" x14ac:dyDescent="0.25">
      <c r="A541" t="str">
        <f>"537"</f>
        <v>537</v>
      </c>
      <c r="B541" t="str">
        <f t="shared" si="27"/>
        <v>1</v>
      </c>
      <c r="C541" t="str">
        <f t="shared" ref="C541:C565" si="30">"24"</f>
        <v>24</v>
      </c>
      <c r="D541" t="str">
        <f>"25"</f>
        <v>25</v>
      </c>
      <c r="E541" t="str">
        <f>"1-24-25"</f>
        <v>1-24-25</v>
      </c>
      <c r="F541" t="s">
        <v>83</v>
      </c>
      <c r="G541" t="s">
        <v>88</v>
      </c>
      <c r="H541" t="s">
        <v>89</v>
      </c>
      <c r="AC541">
        <v>0</v>
      </c>
      <c r="AD541">
        <v>1</v>
      </c>
      <c r="AE541">
        <v>0</v>
      </c>
      <c r="AF541">
        <v>0</v>
      </c>
      <c r="AH541">
        <v>1</v>
      </c>
      <c r="AI541">
        <v>0</v>
      </c>
      <c r="AJ541">
        <v>1</v>
      </c>
      <c r="AK541">
        <v>0</v>
      </c>
      <c r="AL541">
        <v>0</v>
      </c>
      <c r="AM541">
        <v>0</v>
      </c>
      <c r="AN541">
        <v>1</v>
      </c>
      <c r="AO541">
        <v>1</v>
      </c>
      <c r="AP541">
        <v>1</v>
      </c>
      <c r="AQ541">
        <v>0</v>
      </c>
      <c r="AR541">
        <v>1</v>
      </c>
      <c r="AS541">
        <v>0</v>
      </c>
      <c r="AT541">
        <v>1</v>
      </c>
      <c r="AV541">
        <v>1</v>
      </c>
      <c r="AW541">
        <v>0</v>
      </c>
    </row>
    <row r="542" spans="1:49" x14ac:dyDescent="0.25">
      <c r="A542" t="str">
        <f>"538"</f>
        <v>538</v>
      </c>
      <c r="B542" t="str">
        <f t="shared" ref="B542:B605" si="31">"1"</f>
        <v>1</v>
      </c>
      <c r="C542" t="str">
        <f t="shared" si="30"/>
        <v>24</v>
      </c>
      <c r="D542" t="str">
        <f>"24"</f>
        <v>24</v>
      </c>
      <c r="E542" t="str">
        <f>"1-24-24"</f>
        <v>1-24-24</v>
      </c>
      <c r="F542" t="s">
        <v>83</v>
      </c>
      <c r="G542" t="s">
        <v>84</v>
      </c>
      <c r="H542" t="s">
        <v>85</v>
      </c>
      <c r="AC542">
        <v>0</v>
      </c>
      <c r="AD542">
        <v>1</v>
      </c>
      <c r="AE542">
        <v>0</v>
      </c>
      <c r="AF542">
        <v>0</v>
      </c>
      <c r="AG542">
        <v>0</v>
      </c>
      <c r="AJ542">
        <v>1</v>
      </c>
      <c r="AK542">
        <v>0</v>
      </c>
      <c r="AL542">
        <v>0</v>
      </c>
      <c r="AM542">
        <v>0</v>
      </c>
      <c r="AN542">
        <v>1</v>
      </c>
      <c r="AO542">
        <v>0</v>
      </c>
      <c r="AP542">
        <v>0</v>
      </c>
      <c r="AQ542">
        <v>0</v>
      </c>
      <c r="AR542">
        <v>0</v>
      </c>
      <c r="AS542">
        <v>0</v>
      </c>
      <c r="AT542">
        <v>1</v>
      </c>
      <c r="AV542">
        <v>0</v>
      </c>
      <c r="AW542">
        <v>0</v>
      </c>
    </row>
    <row r="543" spans="1:49" x14ac:dyDescent="0.25">
      <c r="A543" t="str">
        <f>"539"</f>
        <v>539</v>
      </c>
      <c r="B543" t="str">
        <f t="shared" si="31"/>
        <v>1</v>
      </c>
      <c r="C543" t="str">
        <f t="shared" si="30"/>
        <v>24</v>
      </c>
      <c r="D543" t="str">
        <f>"17"</f>
        <v>17</v>
      </c>
      <c r="E543" t="str">
        <f>"1-24-17"</f>
        <v>1-24-17</v>
      </c>
      <c r="F543" t="s">
        <v>83</v>
      </c>
      <c r="G543" t="s">
        <v>84</v>
      </c>
      <c r="H543" t="s">
        <v>85</v>
      </c>
      <c r="AC543">
        <v>0</v>
      </c>
      <c r="AD543">
        <v>1</v>
      </c>
      <c r="AE543">
        <v>0</v>
      </c>
      <c r="AF543">
        <v>0</v>
      </c>
      <c r="AG543">
        <v>0</v>
      </c>
      <c r="AJ543">
        <v>0</v>
      </c>
      <c r="AK543">
        <v>1</v>
      </c>
      <c r="AL543">
        <v>0</v>
      </c>
      <c r="AM543">
        <v>1</v>
      </c>
      <c r="AN543">
        <v>0</v>
      </c>
      <c r="AO543">
        <v>1</v>
      </c>
      <c r="AP543">
        <v>1</v>
      </c>
      <c r="AQ543">
        <v>1</v>
      </c>
      <c r="AR543">
        <v>1</v>
      </c>
      <c r="AS543">
        <v>0</v>
      </c>
      <c r="AT543">
        <v>1</v>
      </c>
      <c r="AV543">
        <v>1</v>
      </c>
      <c r="AW543">
        <v>1</v>
      </c>
    </row>
    <row r="544" spans="1:49" x14ac:dyDescent="0.25">
      <c r="A544" t="str">
        <f>"540"</f>
        <v>540</v>
      </c>
      <c r="B544" t="str">
        <f t="shared" si="31"/>
        <v>1</v>
      </c>
      <c r="C544" t="str">
        <f t="shared" si="30"/>
        <v>24</v>
      </c>
      <c r="D544" t="str">
        <f>"16"</f>
        <v>16</v>
      </c>
      <c r="E544" t="str">
        <f>"1-24-16"</f>
        <v>1-24-16</v>
      </c>
      <c r="F544" t="s">
        <v>83</v>
      </c>
      <c r="G544" t="s">
        <v>84</v>
      </c>
      <c r="H544" t="s">
        <v>85</v>
      </c>
      <c r="AC544">
        <v>0</v>
      </c>
      <c r="AD544">
        <v>1</v>
      </c>
      <c r="AE544">
        <v>0</v>
      </c>
      <c r="AF544">
        <v>0</v>
      </c>
      <c r="AG544">
        <v>1</v>
      </c>
      <c r="AJ544">
        <v>1</v>
      </c>
      <c r="AK544">
        <v>0</v>
      </c>
      <c r="AL544">
        <v>0</v>
      </c>
      <c r="AM544">
        <v>1</v>
      </c>
      <c r="AN544">
        <v>0</v>
      </c>
      <c r="AO544">
        <v>1</v>
      </c>
      <c r="AP544">
        <v>1</v>
      </c>
      <c r="AQ544">
        <v>1</v>
      </c>
      <c r="AR544">
        <v>1</v>
      </c>
      <c r="AS544">
        <v>0</v>
      </c>
      <c r="AT544">
        <v>1</v>
      </c>
      <c r="AV544">
        <v>1</v>
      </c>
      <c r="AW544">
        <v>1</v>
      </c>
    </row>
    <row r="545" spans="1:49" x14ac:dyDescent="0.25">
      <c r="A545" t="str">
        <f>"541"</f>
        <v>541</v>
      </c>
      <c r="B545" t="str">
        <f t="shared" si="31"/>
        <v>1</v>
      </c>
      <c r="C545" t="str">
        <f t="shared" si="30"/>
        <v>24</v>
      </c>
      <c r="D545" t="str">
        <f>"11"</f>
        <v>11</v>
      </c>
      <c r="E545" t="str">
        <f>"1-24-11"</f>
        <v>1-24-11</v>
      </c>
      <c r="F545" t="s">
        <v>83</v>
      </c>
      <c r="G545" t="s">
        <v>84</v>
      </c>
      <c r="H545" t="s">
        <v>85</v>
      </c>
      <c r="AC545">
        <v>1</v>
      </c>
      <c r="AD545">
        <v>0</v>
      </c>
      <c r="AE545">
        <v>0</v>
      </c>
      <c r="AF545">
        <v>0</v>
      </c>
      <c r="AG545">
        <v>1</v>
      </c>
      <c r="AJ545">
        <v>1</v>
      </c>
      <c r="AK545">
        <v>0</v>
      </c>
      <c r="AL545">
        <v>0</v>
      </c>
      <c r="AM545">
        <v>1</v>
      </c>
      <c r="AN545">
        <v>0</v>
      </c>
      <c r="AO545">
        <v>1</v>
      </c>
      <c r="AP545">
        <v>1</v>
      </c>
      <c r="AQ545">
        <v>1</v>
      </c>
      <c r="AR545">
        <v>1</v>
      </c>
      <c r="AS545">
        <v>0</v>
      </c>
      <c r="AT545">
        <v>1</v>
      </c>
      <c r="AV545">
        <v>1</v>
      </c>
      <c r="AW545">
        <v>1</v>
      </c>
    </row>
    <row r="546" spans="1:49" x14ac:dyDescent="0.25">
      <c r="A546" t="str">
        <f>"542"</f>
        <v>542</v>
      </c>
      <c r="B546" t="str">
        <f t="shared" si="31"/>
        <v>1</v>
      </c>
      <c r="C546" t="str">
        <f t="shared" si="30"/>
        <v>24</v>
      </c>
      <c r="D546" t="str">
        <f>"8"</f>
        <v>8</v>
      </c>
      <c r="E546" t="str">
        <f>"1-24-8"</f>
        <v>1-24-8</v>
      </c>
      <c r="F546" t="s">
        <v>83</v>
      </c>
      <c r="G546" t="s">
        <v>84</v>
      </c>
      <c r="H546" t="s">
        <v>85</v>
      </c>
      <c r="AC546">
        <v>0</v>
      </c>
      <c r="AD546">
        <v>1</v>
      </c>
      <c r="AE546">
        <v>0</v>
      </c>
      <c r="AF546">
        <v>0</v>
      </c>
      <c r="AG546">
        <v>1</v>
      </c>
      <c r="AJ546">
        <v>0</v>
      </c>
      <c r="AK546">
        <v>1</v>
      </c>
      <c r="AL546">
        <v>0</v>
      </c>
      <c r="AM546">
        <v>0</v>
      </c>
      <c r="AN546">
        <v>1</v>
      </c>
      <c r="AO546">
        <v>1</v>
      </c>
      <c r="AP546">
        <v>1</v>
      </c>
      <c r="AQ546">
        <v>1</v>
      </c>
      <c r="AR546">
        <v>1</v>
      </c>
      <c r="AS546">
        <v>0</v>
      </c>
      <c r="AT546">
        <v>1</v>
      </c>
      <c r="AV546">
        <v>1</v>
      </c>
      <c r="AW546">
        <v>1</v>
      </c>
    </row>
    <row r="547" spans="1:49" x14ac:dyDescent="0.25">
      <c r="A547" t="str">
        <f>"543"</f>
        <v>543</v>
      </c>
      <c r="B547" t="str">
        <f t="shared" si="31"/>
        <v>1</v>
      </c>
      <c r="C547" t="str">
        <f t="shared" si="30"/>
        <v>24</v>
      </c>
      <c r="D547" t="str">
        <f>"1"</f>
        <v>1</v>
      </c>
      <c r="E547" t="str">
        <f>"1-24-1"</f>
        <v>1-24-1</v>
      </c>
      <c r="F547" t="s">
        <v>83</v>
      </c>
      <c r="G547" t="s">
        <v>84</v>
      </c>
      <c r="H547" t="s">
        <v>92</v>
      </c>
      <c r="I547">
        <v>1</v>
      </c>
      <c r="J547">
        <v>1</v>
      </c>
      <c r="N547">
        <v>1</v>
      </c>
      <c r="O547">
        <v>1</v>
      </c>
      <c r="P547">
        <v>1</v>
      </c>
      <c r="Q547">
        <v>1</v>
      </c>
      <c r="R547">
        <v>1</v>
      </c>
      <c r="S547">
        <v>1</v>
      </c>
      <c r="T547">
        <v>1</v>
      </c>
      <c r="W547">
        <v>1</v>
      </c>
      <c r="X547">
        <v>1</v>
      </c>
      <c r="Y547">
        <v>0</v>
      </c>
      <c r="Z547">
        <v>0</v>
      </c>
      <c r="AA547">
        <v>1</v>
      </c>
      <c r="AB547">
        <v>0</v>
      </c>
    </row>
    <row r="548" spans="1:49" x14ac:dyDescent="0.25">
      <c r="A548" t="str">
        <f>"544"</f>
        <v>544</v>
      </c>
      <c r="B548" t="str">
        <f t="shared" si="31"/>
        <v>1</v>
      </c>
      <c r="C548" t="str">
        <f t="shared" si="30"/>
        <v>24</v>
      </c>
      <c r="D548" t="str">
        <f>"18"</f>
        <v>18</v>
      </c>
      <c r="E548" t="str">
        <f>"1-24-18"</f>
        <v>1-24-18</v>
      </c>
      <c r="F548" t="s">
        <v>83</v>
      </c>
      <c r="G548" t="s">
        <v>84</v>
      </c>
      <c r="H548" t="s">
        <v>92</v>
      </c>
      <c r="I548">
        <v>1</v>
      </c>
      <c r="J548">
        <v>1</v>
      </c>
      <c r="N548">
        <v>1</v>
      </c>
      <c r="O548">
        <v>1</v>
      </c>
      <c r="P548">
        <v>1</v>
      </c>
      <c r="Q548">
        <v>1</v>
      </c>
      <c r="R548">
        <v>1</v>
      </c>
      <c r="S548">
        <v>1</v>
      </c>
      <c r="T548">
        <v>1</v>
      </c>
      <c r="W548">
        <v>1</v>
      </c>
      <c r="X548">
        <v>1</v>
      </c>
      <c r="Y548">
        <v>1</v>
      </c>
      <c r="Z548">
        <v>1</v>
      </c>
      <c r="AA548">
        <v>1</v>
      </c>
      <c r="AB548">
        <v>1</v>
      </c>
    </row>
    <row r="549" spans="1:49" x14ac:dyDescent="0.25">
      <c r="A549" t="str">
        <f>"545"</f>
        <v>545</v>
      </c>
      <c r="B549" t="str">
        <f t="shared" si="31"/>
        <v>1</v>
      </c>
      <c r="C549" t="str">
        <f t="shared" si="30"/>
        <v>24</v>
      </c>
      <c r="D549" t="str">
        <f>"9"</f>
        <v>9</v>
      </c>
      <c r="E549" t="str">
        <f>"1-24-9"</f>
        <v>1-24-9</v>
      </c>
      <c r="F549" t="s">
        <v>83</v>
      </c>
      <c r="G549" t="s">
        <v>84</v>
      </c>
      <c r="H549" t="s">
        <v>92</v>
      </c>
      <c r="I549">
        <v>1</v>
      </c>
      <c r="J549">
        <v>1</v>
      </c>
      <c r="N549">
        <v>1</v>
      </c>
      <c r="O549">
        <v>1</v>
      </c>
      <c r="P549">
        <v>1</v>
      </c>
      <c r="Q549">
        <v>1</v>
      </c>
      <c r="R549">
        <v>1</v>
      </c>
      <c r="S549">
        <v>1</v>
      </c>
      <c r="T549">
        <v>1</v>
      </c>
      <c r="W549">
        <v>1</v>
      </c>
      <c r="X549">
        <v>1</v>
      </c>
      <c r="Y549">
        <v>1</v>
      </c>
      <c r="Z549">
        <v>1</v>
      </c>
      <c r="AA549">
        <v>1</v>
      </c>
      <c r="AB549">
        <v>1</v>
      </c>
    </row>
    <row r="550" spans="1:49" x14ac:dyDescent="0.25">
      <c r="A550" t="str">
        <f>"546"</f>
        <v>546</v>
      </c>
      <c r="B550" t="str">
        <f t="shared" si="31"/>
        <v>1</v>
      </c>
      <c r="C550" t="str">
        <f t="shared" si="30"/>
        <v>24</v>
      </c>
      <c r="D550" t="str">
        <f>"6"</f>
        <v>6</v>
      </c>
      <c r="E550" t="str">
        <f>"1-24-6"</f>
        <v>1-24-6</v>
      </c>
      <c r="F550" t="s">
        <v>83</v>
      </c>
      <c r="G550" t="s">
        <v>84</v>
      </c>
      <c r="H550" t="s">
        <v>92</v>
      </c>
      <c r="I550">
        <v>1</v>
      </c>
      <c r="J550">
        <v>1</v>
      </c>
      <c r="N550">
        <v>1</v>
      </c>
      <c r="O550">
        <v>1</v>
      </c>
      <c r="P550">
        <v>1</v>
      </c>
      <c r="Q550">
        <v>1</v>
      </c>
      <c r="R550">
        <v>1</v>
      </c>
      <c r="S550">
        <v>1</v>
      </c>
      <c r="T550">
        <v>1</v>
      </c>
      <c r="W550">
        <v>1</v>
      </c>
      <c r="X550">
        <v>1</v>
      </c>
      <c r="Y550">
        <v>1</v>
      </c>
      <c r="Z550">
        <v>1</v>
      </c>
      <c r="AA550">
        <v>1</v>
      </c>
      <c r="AB550">
        <v>1</v>
      </c>
    </row>
    <row r="551" spans="1:49" s="2" customFormat="1" x14ac:dyDescent="0.25">
      <c r="A551" s="1" t="str">
        <f>"547"</f>
        <v>547</v>
      </c>
      <c r="B551" s="1" t="str">
        <f t="shared" si="31"/>
        <v>1</v>
      </c>
      <c r="C551" s="1" t="str">
        <f t="shared" si="30"/>
        <v>24</v>
      </c>
      <c r="D551" s="1" t="str">
        <f>"19"</f>
        <v>19</v>
      </c>
      <c r="E551" s="1" t="str">
        <f>"1-24-19"</f>
        <v>1-24-19</v>
      </c>
      <c r="F551" s="1" t="s">
        <v>83</v>
      </c>
      <c r="G551" s="4" t="s">
        <v>96</v>
      </c>
      <c r="I551" s="4"/>
    </row>
    <row r="552" spans="1:49" x14ac:dyDescent="0.25">
      <c r="A552" t="str">
        <f>"548"</f>
        <v>548</v>
      </c>
      <c r="B552" t="str">
        <f t="shared" si="31"/>
        <v>1</v>
      </c>
      <c r="C552" t="str">
        <f t="shared" si="30"/>
        <v>24</v>
      </c>
      <c r="D552" t="str">
        <f>"10"</f>
        <v>10</v>
      </c>
      <c r="E552" t="str">
        <f>"1-24-10"</f>
        <v>1-24-10</v>
      </c>
      <c r="F552" t="s">
        <v>83</v>
      </c>
      <c r="G552" t="s">
        <v>84</v>
      </c>
      <c r="H552" t="s">
        <v>85</v>
      </c>
      <c r="AC552">
        <v>0</v>
      </c>
      <c r="AD552">
        <v>1</v>
      </c>
      <c r="AE552">
        <v>0</v>
      </c>
      <c r="AF552">
        <v>0</v>
      </c>
      <c r="AG552">
        <v>0</v>
      </c>
      <c r="AJ552">
        <v>0</v>
      </c>
      <c r="AK552">
        <v>1</v>
      </c>
      <c r="AL552">
        <v>1</v>
      </c>
      <c r="AM552">
        <v>0</v>
      </c>
      <c r="AN552">
        <v>0</v>
      </c>
      <c r="AO552">
        <v>0</v>
      </c>
      <c r="AP552">
        <v>0</v>
      </c>
      <c r="AQ552">
        <v>0</v>
      </c>
      <c r="AR552">
        <v>0</v>
      </c>
      <c r="AS552">
        <v>1</v>
      </c>
      <c r="AT552">
        <v>0</v>
      </c>
      <c r="AV552">
        <v>0</v>
      </c>
      <c r="AW552">
        <v>0</v>
      </c>
    </row>
    <row r="553" spans="1:49" x14ac:dyDescent="0.25">
      <c r="A553" t="str">
        <f>"549"</f>
        <v>549</v>
      </c>
      <c r="B553" t="str">
        <f t="shared" si="31"/>
        <v>1</v>
      </c>
      <c r="C553" t="str">
        <f t="shared" si="30"/>
        <v>24</v>
      </c>
      <c r="D553" t="str">
        <f>"3"</f>
        <v>3</v>
      </c>
      <c r="E553" t="str">
        <f>"1-24-3"</f>
        <v>1-24-3</v>
      </c>
      <c r="F553" t="s">
        <v>83</v>
      </c>
      <c r="G553" t="s">
        <v>84</v>
      </c>
      <c r="H553" t="s">
        <v>92</v>
      </c>
      <c r="I553">
        <v>1</v>
      </c>
      <c r="J553">
        <v>1</v>
      </c>
      <c r="N553">
        <v>1</v>
      </c>
      <c r="O553">
        <v>1</v>
      </c>
      <c r="P553">
        <v>1</v>
      </c>
      <c r="Q553">
        <v>1</v>
      </c>
      <c r="R553">
        <v>1</v>
      </c>
      <c r="S553">
        <v>1</v>
      </c>
      <c r="T553">
        <v>1</v>
      </c>
      <c r="W553">
        <v>1</v>
      </c>
      <c r="X553">
        <v>1</v>
      </c>
      <c r="Y553">
        <v>1</v>
      </c>
      <c r="Z553">
        <v>1</v>
      </c>
      <c r="AA553">
        <v>1</v>
      </c>
      <c r="AB553">
        <v>1</v>
      </c>
    </row>
    <row r="554" spans="1:49" x14ac:dyDescent="0.25">
      <c r="A554" t="str">
        <f>"550"</f>
        <v>550</v>
      </c>
      <c r="B554" t="str">
        <f t="shared" si="31"/>
        <v>1</v>
      </c>
      <c r="C554" t="str">
        <f t="shared" si="30"/>
        <v>24</v>
      </c>
      <c r="D554" t="str">
        <f>"20"</f>
        <v>20</v>
      </c>
      <c r="E554" t="str">
        <f>"1-24-20"</f>
        <v>1-24-20</v>
      </c>
      <c r="F554" t="s">
        <v>83</v>
      </c>
      <c r="G554" t="s">
        <v>84</v>
      </c>
      <c r="H554" t="s">
        <v>85</v>
      </c>
      <c r="AC554">
        <v>0</v>
      </c>
      <c r="AD554">
        <v>1</v>
      </c>
      <c r="AE554">
        <v>0</v>
      </c>
      <c r="AF554">
        <v>0</v>
      </c>
      <c r="AG554">
        <v>1</v>
      </c>
      <c r="AJ554">
        <v>0</v>
      </c>
      <c r="AK554">
        <v>1</v>
      </c>
      <c r="AL554">
        <v>0</v>
      </c>
      <c r="AM554">
        <v>1</v>
      </c>
      <c r="AN554">
        <v>0</v>
      </c>
      <c r="AO554">
        <v>1</v>
      </c>
      <c r="AP554">
        <v>1</v>
      </c>
      <c r="AQ554">
        <v>1</v>
      </c>
      <c r="AR554">
        <v>1</v>
      </c>
      <c r="AS554">
        <v>0</v>
      </c>
      <c r="AT554">
        <v>1</v>
      </c>
      <c r="AV554">
        <v>1</v>
      </c>
      <c r="AW554">
        <v>1</v>
      </c>
    </row>
    <row r="555" spans="1:49" x14ac:dyDescent="0.25">
      <c r="A555" t="str">
        <f>"551"</f>
        <v>551</v>
      </c>
      <c r="B555" t="str">
        <f t="shared" si="31"/>
        <v>1</v>
      </c>
      <c r="C555" t="str">
        <f t="shared" si="30"/>
        <v>24</v>
      </c>
      <c r="D555" t="str">
        <f>"12"</f>
        <v>12</v>
      </c>
      <c r="E555" t="str">
        <f>"1-24-12"</f>
        <v>1-24-12</v>
      </c>
      <c r="F555" t="s">
        <v>83</v>
      </c>
      <c r="G555" t="s">
        <v>84</v>
      </c>
      <c r="H555" t="s">
        <v>85</v>
      </c>
      <c r="AC555">
        <v>0</v>
      </c>
      <c r="AD555">
        <v>1</v>
      </c>
      <c r="AE555">
        <v>0</v>
      </c>
      <c r="AF555">
        <v>0</v>
      </c>
      <c r="AG555">
        <v>1</v>
      </c>
      <c r="AJ555">
        <v>0</v>
      </c>
      <c r="AK555">
        <v>1</v>
      </c>
      <c r="AL555">
        <v>0</v>
      </c>
      <c r="AM555">
        <v>1</v>
      </c>
      <c r="AN555">
        <v>0</v>
      </c>
      <c r="AO555">
        <v>1</v>
      </c>
      <c r="AP555">
        <v>1</v>
      </c>
      <c r="AQ555">
        <v>1</v>
      </c>
      <c r="AR555">
        <v>1</v>
      </c>
      <c r="AS555">
        <v>1</v>
      </c>
      <c r="AT555">
        <v>0</v>
      </c>
      <c r="AV555">
        <v>1</v>
      </c>
      <c r="AW555">
        <v>1</v>
      </c>
    </row>
    <row r="556" spans="1:49" x14ac:dyDescent="0.25">
      <c r="A556" t="str">
        <f>"552"</f>
        <v>552</v>
      </c>
      <c r="B556" t="str">
        <f t="shared" si="31"/>
        <v>1</v>
      </c>
      <c r="C556" t="str">
        <f t="shared" si="30"/>
        <v>24</v>
      </c>
      <c r="D556" t="str">
        <f>"4"</f>
        <v>4</v>
      </c>
      <c r="E556" t="str">
        <f>"1-24-4"</f>
        <v>1-24-4</v>
      </c>
      <c r="F556" t="s">
        <v>83</v>
      </c>
      <c r="G556" t="s">
        <v>84</v>
      </c>
      <c r="H556" t="s">
        <v>85</v>
      </c>
      <c r="AC556">
        <v>0</v>
      </c>
      <c r="AD556">
        <v>1</v>
      </c>
      <c r="AE556">
        <v>0</v>
      </c>
      <c r="AF556">
        <v>0</v>
      </c>
      <c r="AG556">
        <v>1</v>
      </c>
      <c r="AJ556">
        <v>0</v>
      </c>
      <c r="AK556">
        <v>1</v>
      </c>
      <c r="AL556">
        <v>0</v>
      </c>
      <c r="AM556">
        <v>1</v>
      </c>
      <c r="AN556">
        <v>0</v>
      </c>
      <c r="AO556">
        <v>1</v>
      </c>
      <c r="AP556">
        <v>1</v>
      </c>
      <c r="AQ556">
        <v>1</v>
      </c>
      <c r="AR556">
        <v>1</v>
      </c>
      <c r="AS556">
        <v>0</v>
      </c>
      <c r="AT556">
        <v>0</v>
      </c>
      <c r="AV556">
        <v>1</v>
      </c>
      <c r="AW556">
        <v>1</v>
      </c>
    </row>
    <row r="557" spans="1:49" x14ac:dyDescent="0.25">
      <c r="A557" t="str">
        <f>"553"</f>
        <v>553</v>
      </c>
      <c r="B557" t="str">
        <f t="shared" si="31"/>
        <v>1</v>
      </c>
      <c r="C557" t="str">
        <f t="shared" si="30"/>
        <v>24</v>
      </c>
      <c r="D557" t="str">
        <f>"21"</f>
        <v>21</v>
      </c>
      <c r="E557" t="str">
        <f>"1-24-21"</f>
        <v>1-24-21</v>
      </c>
      <c r="F557" t="s">
        <v>83</v>
      </c>
      <c r="G557" t="s">
        <v>84</v>
      </c>
      <c r="H557" t="s">
        <v>85</v>
      </c>
      <c r="AC557">
        <v>0</v>
      </c>
      <c r="AD557">
        <v>1</v>
      </c>
      <c r="AE557">
        <v>0</v>
      </c>
      <c r="AF557">
        <v>0</v>
      </c>
      <c r="AG557">
        <v>0</v>
      </c>
      <c r="AJ557">
        <v>0</v>
      </c>
      <c r="AK557">
        <v>1</v>
      </c>
      <c r="AL557">
        <v>0</v>
      </c>
      <c r="AM557">
        <v>0</v>
      </c>
      <c r="AN557">
        <v>1</v>
      </c>
      <c r="AO557">
        <v>0</v>
      </c>
      <c r="AP557">
        <v>0</v>
      </c>
      <c r="AQ557">
        <v>0</v>
      </c>
      <c r="AR557">
        <v>0</v>
      </c>
      <c r="AS557">
        <v>0</v>
      </c>
      <c r="AT557">
        <v>1</v>
      </c>
      <c r="AV557">
        <v>0</v>
      </c>
      <c r="AW557">
        <v>0</v>
      </c>
    </row>
    <row r="558" spans="1:49" x14ac:dyDescent="0.25">
      <c r="A558" t="str">
        <f>"554"</f>
        <v>554</v>
      </c>
      <c r="B558" t="str">
        <f t="shared" si="31"/>
        <v>1</v>
      </c>
      <c r="C558" t="str">
        <f t="shared" si="30"/>
        <v>24</v>
      </c>
      <c r="D558" t="str">
        <f>"13"</f>
        <v>13</v>
      </c>
      <c r="E558" t="str">
        <f>"1-24-13"</f>
        <v>1-24-13</v>
      </c>
      <c r="F558" t="s">
        <v>83</v>
      </c>
      <c r="G558" t="s">
        <v>84</v>
      </c>
      <c r="H558" t="s">
        <v>85</v>
      </c>
      <c r="AC558">
        <v>0</v>
      </c>
      <c r="AD558">
        <v>0</v>
      </c>
      <c r="AE558">
        <v>0</v>
      </c>
      <c r="AF558">
        <v>0</v>
      </c>
      <c r="AG558">
        <v>0</v>
      </c>
      <c r="AJ558">
        <v>0</v>
      </c>
      <c r="AK558">
        <v>0</v>
      </c>
      <c r="AL558">
        <v>0</v>
      </c>
      <c r="AM558">
        <v>0</v>
      </c>
      <c r="AN558">
        <v>0</v>
      </c>
      <c r="AO558">
        <v>0</v>
      </c>
      <c r="AP558">
        <v>0</v>
      </c>
      <c r="AQ558">
        <v>0</v>
      </c>
      <c r="AR558">
        <v>0</v>
      </c>
      <c r="AS558">
        <v>1</v>
      </c>
      <c r="AT558">
        <v>0</v>
      </c>
      <c r="AV558">
        <v>0</v>
      </c>
      <c r="AW558">
        <v>0</v>
      </c>
    </row>
    <row r="559" spans="1:49" x14ac:dyDescent="0.25">
      <c r="A559" t="str">
        <f>"555"</f>
        <v>555</v>
      </c>
      <c r="B559" t="str">
        <f t="shared" si="31"/>
        <v>1</v>
      </c>
      <c r="C559" t="str">
        <f t="shared" si="30"/>
        <v>24</v>
      </c>
      <c r="D559" t="str">
        <f>"23"</f>
        <v>23</v>
      </c>
      <c r="E559" t="str">
        <f>"1-24-23"</f>
        <v>1-24-23</v>
      </c>
      <c r="F559" t="s">
        <v>83</v>
      </c>
      <c r="G559" t="s">
        <v>86</v>
      </c>
      <c r="H559" t="s">
        <v>87</v>
      </c>
      <c r="AC559">
        <v>0</v>
      </c>
      <c r="AD559">
        <v>0</v>
      </c>
      <c r="AE559">
        <v>0</v>
      </c>
      <c r="AF559">
        <v>0</v>
      </c>
      <c r="AH559">
        <v>0</v>
      </c>
      <c r="AI559">
        <v>1</v>
      </c>
      <c r="AJ559">
        <v>0</v>
      </c>
      <c r="AK559">
        <v>0</v>
      </c>
      <c r="AL559">
        <v>0</v>
      </c>
      <c r="AM559">
        <v>0</v>
      </c>
      <c r="AN559">
        <v>0</v>
      </c>
      <c r="AO559">
        <v>0</v>
      </c>
      <c r="AP559">
        <v>0</v>
      </c>
      <c r="AQ559">
        <v>0</v>
      </c>
      <c r="AU559">
        <v>0</v>
      </c>
      <c r="AV559">
        <v>0</v>
      </c>
      <c r="AW559">
        <v>0</v>
      </c>
    </row>
    <row r="560" spans="1:49" x14ac:dyDescent="0.25">
      <c r="A560" t="str">
        <f>"556"</f>
        <v>556</v>
      </c>
      <c r="B560" t="str">
        <f t="shared" si="31"/>
        <v>1</v>
      </c>
      <c r="C560" t="str">
        <f t="shared" si="30"/>
        <v>24</v>
      </c>
      <c r="D560" t="str">
        <f>"22"</f>
        <v>22</v>
      </c>
      <c r="E560" t="str">
        <f>"1-24-22"</f>
        <v>1-24-22</v>
      </c>
      <c r="F560" t="s">
        <v>83</v>
      </c>
      <c r="G560" t="s">
        <v>84</v>
      </c>
      <c r="H560" t="s">
        <v>92</v>
      </c>
      <c r="I560">
        <v>1</v>
      </c>
      <c r="J560">
        <v>1</v>
      </c>
      <c r="N560">
        <v>1</v>
      </c>
      <c r="O560">
        <v>1</v>
      </c>
      <c r="P560">
        <v>1</v>
      </c>
      <c r="Q560">
        <v>1</v>
      </c>
      <c r="R560">
        <v>1</v>
      </c>
      <c r="S560">
        <v>1</v>
      </c>
      <c r="T560">
        <v>1</v>
      </c>
      <c r="W560">
        <v>1</v>
      </c>
      <c r="X560">
        <v>1</v>
      </c>
      <c r="Y560">
        <v>1</v>
      </c>
      <c r="Z560">
        <v>1</v>
      </c>
      <c r="AA560">
        <v>1</v>
      </c>
      <c r="AB560">
        <v>1</v>
      </c>
    </row>
    <row r="561" spans="1:49" x14ac:dyDescent="0.25">
      <c r="A561" t="str">
        <f>"557"</f>
        <v>557</v>
      </c>
      <c r="B561" t="str">
        <f t="shared" si="31"/>
        <v>1</v>
      </c>
      <c r="C561" t="str">
        <f t="shared" si="30"/>
        <v>24</v>
      </c>
      <c r="D561" t="str">
        <f>"15"</f>
        <v>15</v>
      </c>
      <c r="E561" t="str">
        <f>"1-24-15"</f>
        <v>1-24-15</v>
      </c>
      <c r="F561" t="s">
        <v>83</v>
      </c>
      <c r="G561" t="s">
        <v>84</v>
      </c>
      <c r="H561" t="s">
        <v>92</v>
      </c>
      <c r="I561">
        <v>1</v>
      </c>
      <c r="J561">
        <v>1</v>
      </c>
      <c r="N561">
        <v>1</v>
      </c>
      <c r="O561">
        <v>1</v>
      </c>
      <c r="P561">
        <v>1</v>
      </c>
      <c r="Q561">
        <v>1</v>
      </c>
      <c r="R561">
        <v>1</v>
      </c>
      <c r="S561">
        <v>1</v>
      </c>
      <c r="T561">
        <v>1</v>
      </c>
      <c r="W561">
        <v>1</v>
      </c>
      <c r="X561">
        <v>1</v>
      </c>
      <c r="Y561">
        <v>1</v>
      </c>
      <c r="Z561">
        <v>1</v>
      </c>
      <c r="AA561">
        <v>1</v>
      </c>
      <c r="AB561">
        <v>1</v>
      </c>
    </row>
    <row r="562" spans="1:49" x14ac:dyDescent="0.25">
      <c r="A562" t="str">
        <f>"558"</f>
        <v>558</v>
      </c>
      <c r="B562" t="str">
        <f t="shared" si="31"/>
        <v>1</v>
      </c>
      <c r="C562" t="str">
        <f t="shared" si="30"/>
        <v>24</v>
      </c>
      <c r="D562" t="str">
        <f>"7"</f>
        <v>7</v>
      </c>
      <c r="E562" t="str">
        <f>"1-24-7"</f>
        <v>1-24-7</v>
      </c>
      <c r="F562" t="s">
        <v>83</v>
      </c>
      <c r="G562" t="s">
        <v>84</v>
      </c>
      <c r="H562" t="s">
        <v>85</v>
      </c>
      <c r="AC562">
        <v>1</v>
      </c>
      <c r="AD562">
        <v>0</v>
      </c>
      <c r="AE562">
        <v>0</v>
      </c>
      <c r="AF562">
        <v>0</v>
      </c>
      <c r="AG562">
        <v>1</v>
      </c>
      <c r="AJ562">
        <v>1</v>
      </c>
      <c r="AK562">
        <v>0</v>
      </c>
      <c r="AL562">
        <v>1</v>
      </c>
      <c r="AM562">
        <v>0</v>
      </c>
      <c r="AN562">
        <v>0</v>
      </c>
      <c r="AO562">
        <v>1</v>
      </c>
      <c r="AP562">
        <v>1</v>
      </c>
      <c r="AQ562">
        <v>1</v>
      </c>
      <c r="AR562">
        <v>1</v>
      </c>
      <c r="AS562">
        <v>1</v>
      </c>
      <c r="AT562">
        <v>0</v>
      </c>
      <c r="AV562">
        <v>1</v>
      </c>
      <c r="AW562">
        <v>1</v>
      </c>
    </row>
    <row r="563" spans="1:49" x14ac:dyDescent="0.25">
      <c r="A563" t="str">
        <f>"559"</f>
        <v>559</v>
      </c>
      <c r="B563" t="str">
        <f t="shared" si="31"/>
        <v>1</v>
      </c>
      <c r="C563" t="str">
        <f t="shared" si="30"/>
        <v>24</v>
      </c>
      <c r="D563" t="str">
        <f>"5"</f>
        <v>5</v>
      </c>
      <c r="E563" t="str">
        <f>"1-24-5"</f>
        <v>1-24-5</v>
      </c>
      <c r="F563" t="s">
        <v>83</v>
      </c>
      <c r="G563" t="s">
        <v>90</v>
      </c>
      <c r="H563" t="s">
        <v>91</v>
      </c>
      <c r="AC563">
        <v>0</v>
      </c>
      <c r="AD563">
        <v>0</v>
      </c>
      <c r="AE563">
        <v>0</v>
      </c>
      <c r="AF563">
        <v>0</v>
      </c>
      <c r="AH563">
        <v>0</v>
      </c>
      <c r="AI563">
        <v>1</v>
      </c>
      <c r="AJ563">
        <v>0</v>
      </c>
      <c r="AK563">
        <v>1</v>
      </c>
      <c r="AL563">
        <v>0</v>
      </c>
      <c r="AM563">
        <v>0</v>
      </c>
      <c r="AN563">
        <v>1</v>
      </c>
      <c r="AO563">
        <v>0</v>
      </c>
      <c r="AP563">
        <v>0</v>
      </c>
      <c r="AQ563">
        <v>0</v>
      </c>
      <c r="AR563">
        <v>0</v>
      </c>
      <c r="AU563">
        <v>0</v>
      </c>
      <c r="AV563">
        <v>0</v>
      </c>
      <c r="AW563">
        <v>1</v>
      </c>
    </row>
    <row r="564" spans="1:49" x14ac:dyDescent="0.25">
      <c r="A564" t="str">
        <f>"560"</f>
        <v>560</v>
      </c>
      <c r="B564" t="str">
        <f t="shared" si="31"/>
        <v>1</v>
      </c>
      <c r="C564" t="str">
        <f t="shared" si="30"/>
        <v>24</v>
      </c>
      <c r="D564" t="str">
        <f>"2"</f>
        <v>2</v>
      </c>
      <c r="E564" t="str">
        <f>"1-24-2"</f>
        <v>1-24-2</v>
      </c>
      <c r="F564" t="s">
        <v>83</v>
      </c>
      <c r="G564" t="s">
        <v>90</v>
      </c>
      <c r="H564" t="s">
        <v>91</v>
      </c>
      <c r="AC564">
        <v>0</v>
      </c>
      <c r="AD564">
        <v>0</v>
      </c>
      <c r="AE564">
        <v>0</v>
      </c>
      <c r="AF564">
        <v>0</v>
      </c>
      <c r="AH564">
        <v>0</v>
      </c>
      <c r="AI564">
        <v>1</v>
      </c>
      <c r="AJ564">
        <v>0</v>
      </c>
      <c r="AK564">
        <v>1</v>
      </c>
      <c r="AL564">
        <v>0</v>
      </c>
      <c r="AM564">
        <v>0</v>
      </c>
      <c r="AN564">
        <v>1</v>
      </c>
      <c r="AO564">
        <v>0</v>
      </c>
      <c r="AP564">
        <v>0</v>
      </c>
      <c r="AQ564">
        <v>0</v>
      </c>
      <c r="AR564">
        <v>0</v>
      </c>
      <c r="AU564">
        <v>0</v>
      </c>
      <c r="AV564">
        <v>0</v>
      </c>
      <c r="AW564">
        <v>1</v>
      </c>
    </row>
    <row r="565" spans="1:49" x14ac:dyDescent="0.25">
      <c r="A565" t="str">
        <f>"561"</f>
        <v>561</v>
      </c>
      <c r="B565" t="str">
        <f t="shared" si="31"/>
        <v>1</v>
      </c>
      <c r="C565" t="str">
        <f t="shared" si="30"/>
        <v>24</v>
      </c>
      <c r="D565" t="str">
        <f>"14"</f>
        <v>14</v>
      </c>
      <c r="E565" t="str">
        <f>"1-24-14"</f>
        <v>1-24-14</v>
      </c>
      <c r="F565" t="s">
        <v>83</v>
      </c>
      <c r="G565" t="s">
        <v>90</v>
      </c>
      <c r="H565" t="s">
        <v>91</v>
      </c>
      <c r="AC565">
        <v>0</v>
      </c>
      <c r="AD565">
        <v>0</v>
      </c>
      <c r="AE565">
        <v>0</v>
      </c>
      <c r="AF565">
        <v>0</v>
      </c>
      <c r="AH565">
        <v>0</v>
      </c>
      <c r="AI565">
        <v>1</v>
      </c>
      <c r="AJ565">
        <v>0</v>
      </c>
      <c r="AK565">
        <v>1</v>
      </c>
      <c r="AL565">
        <v>0</v>
      </c>
      <c r="AM565">
        <v>0</v>
      </c>
      <c r="AN565">
        <v>1</v>
      </c>
      <c r="AO565">
        <v>0</v>
      </c>
      <c r="AP565">
        <v>0</v>
      </c>
      <c r="AQ565">
        <v>0</v>
      </c>
      <c r="AR565">
        <v>0</v>
      </c>
      <c r="AU565">
        <v>0</v>
      </c>
      <c r="AV565">
        <v>0</v>
      </c>
      <c r="AW565">
        <v>1</v>
      </c>
    </row>
    <row r="566" spans="1:49" x14ac:dyDescent="0.25">
      <c r="A566" t="str">
        <f>"562"</f>
        <v>562</v>
      </c>
      <c r="B566" t="str">
        <f t="shared" si="31"/>
        <v>1</v>
      </c>
      <c r="C566" t="str">
        <f>"25"</f>
        <v>25</v>
      </c>
      <c r="D566" t="str">
        <f>"25"</f>
        <v>25</v>
      </c>
      <c r="E566" t="str">
        <f>"1-25-25"</f>
        <v>1-25-25</v>
      </c>
      <c r="F566" t="s">
        <v>83</v>
      </c>
      <c r="G566" t="s">
        <v>84</v>
      </c>
      <c r="H566" t="s">
        <v>92</v>
      </c>
      <c r="I566">
        <v>0</v>
      </c>
      <c r="J566">
        <v>1</v>
      </c>
      <c r="N566">
        <v>1</v>
      </c>
      <c r="O566">
        <v>1</v>
      </c>
      <c r="P566">
        <v>0</v>
      </c>
      <c r="Q566">
        <v>1</v>
      </c>
      <c r="R566">
        <v>0</v>
      </c>
      <c r="S566">
        <v>0</v>
      </c>
      <c r="T566">
        <v>0</v>
      </c>
      <c r="W566">
        <v>0</v>
      </c>
      <c r="X566">
        <v>0</v>
      </c>
      <c r="Y566">
        <v>0</v>
      </c>
      <c r="Z566">
        <v>1</v>
      </c>
      <c r="AA566">
        <v>1</v>
      </c>
      <c r="AB566">
        <v>1</v>
      </c>
    </row>
    <row r="567" spans="1:49" x14ac:dyDescent="0.25">
      <c r="A567" t="str">
        <f>"563"</f>
        <v>563</v>
      </c>
      <c r="B567" t="str">
        <f t="shared" si="31"/>
        <v>1</v>
      </c>
      <c r="C567" t="str">
        <f t="shared" ref="C567:C590" si="32">"25"</f>
        <v>25</v>
      </c>
      <c r="D567" t="str">
        <f>"24"</f>
        <v>24</v>
      </c>
      <c r="E567" t="str">
        <f>"1-25-24"</f>
        <v>1-25-24</v>
      </c>
      <c r="F567" t="s">
        <v>83</v>
      </c>
      <c r="G567" t="s">
        <v>84</v>
      </c>
      <c r="H567" t="s">
        <v>85</v>
      </c>
      <c r="AC567">
        <v>0</v>
      </c>
      <c r="AD567">
        <v>1</v>
      </c>
      <c r="AE567">
        <v>0</v>
      </c>
      <c r="AF567">
        <v>0</v>
      </c>
      <c r="AG567">
        <v>0</v>
      </c>
      <c r="AJ567">
        <v>0</v>
      </c>
      <c r="AK567">
        <v>1</v>
      </c>
      <c r="AL567">
        <v>0</v>
      </c>
      <c r="AM567">
        <v>0</v>
      </c>
      <c r="AN567">
        <v>1</v>
      </c>
      <c r="AO567">
        <v>0</v>
      </c>
      <c r="AP567">
        <v>0</v>
      </c>
      <c r="AQ567">
        <v>0</v>
      </c>
      <c r="AR567">
        <v>1</v>
      </c>
      <c r="AS567">
        <v>0</v>
      </c>
      <c r="AT567">
        <v>1</v>
      </c>
      <c r="AV567">
        <v>0</v>
      </c>
      <c r="AW567">
        <v>1</v>
      </c>
    </row>
    <row r="568" spans="1:49" x14ac:dyDescent="0.25">
      <c r="A568" t="str">
        <f>"564"</f>
        <v>564</v>
      </c>
      <c r="B568" t="str">
        <f t="shared" si="31"/>
        <v>1</v>
      </c>
      <c r="C568" t="str">
        <f t="shared" si="32"/>
        <v>25</v>
      </c>
      <c r="D568" t="str">
        <f>"17"</f>
        <v>17</v>
      </c>
      <c r="E568" t="str">
        <f>"1-25-17"</f>
        <v>1-25-17</v>
      </c>
      <c r="F568" t="s">
        <v>83</v>
      </c>
      <c r="G568" t="s">
        <v>84</v>
      </c>
      <c r="H568" t="s">
        <v>85</v>
      </c>
      <c r="AC568">
        <v>1</v>
      </c>
      <c r="AD568">
        <v>0</v>
      </c>
      <c r="AE568">
        <v>0</v>
      </c>
      <c r="AF568">
        <v>0</v>
      </c>
      <c r="AG568">
        <v>1</v>
      </c>
      <c r="AJ568">
        <v>1</v>
      </c>
      <c r="AK568">
        <v>0</v>
      </c>
      <c r="AL568">
        <v>0</v>
      </c>
      <c r="AM568">
        <v>1</v>
      </c>
      <c r="AN568">
        <v>0</v>
      </c>
      <c r="AO568">
        <v>1</v>
      </c>
      <c r="AP568">
        <v>1</v>
      </c>
      <c r="AQ568">
        <v>1</v>
      </c>
      <c r="AR568">
        <v>1</v>
      </c>
      <c r="AS568">
        <v>1</v>
      </c>
      <c r="AT568">
        <v>0</v>
      </c>
      <c r="AV568">
        <v>1</v>
      </c>
      <c r="AW568">
        <v>1</v>
      </c>
    </row>
    <row r="569" spans="1:49" x14ac:dyDescent="0.25">
      <c r="A569" t="str">
        <f>"565"</f>
        <v>565</v>
      </c>
      <c r="B569" t="str">
        <f t="shared" si="31"/>
        <v>1</v>
      </c>
      <c r="C569" t="str">
        <f t="shared" si="32"/>
        <v>25</v>
      </c>
      <c r="D569" t="str">
        <f>"16"</f>
        <v>16</v>
      </c>
      <c r="E569" t="str">
        <f>"1-25-16"</f>
        <v>1-25-16</v>
      </c>
      <c r="F569" t="s">
        <v>83</v>
      </c>
      <c r="G569" t="s">
        <v>84</v>
      </c>
      <c r="H569" t="s">
        <v>85</v>
      </c>
      <c r="AC569">
        <v>0</v>
      </c>
      <c r="AD569">
        <v>1</v>
      </c>
      <c r="AE569">
        <v>0</v>
      </c>
      <c r="AF569">
        <v>0</v>
      </c>
      <c r="AG569">
        <v>0</v>
      </c>
      <c r="AJ569">
        <v>0</v>
      </c>
      <c r="AK569">
        <v>1</v>
      </c>
      <c r="AL569">
        <v>0</v>
      </c>
      <c r="AM569">
        <v>0</v>
      </c>
      <c r="AN569">
        <v>1</v>
      </c>
      <c r="AO569">
        <v>0</v>
      </c>
      <c r="AP569">
        <v>0</v>
      </c>
      <c r="AQ569">
        <v>0</v>
      </c>
      <c r="AR569">
        <v>0</v>
      </c>
      <c r="AS569">
        <v>0</v>
      </c>
      <c r="AT569">
        <v>1</v>
      </c>
      <c r="AV569">
        <v>0</v>
      </c>
      <c r="AW569">
        <v>1</v>
      </c>
    </row>
    <row r="570" spans="1:49" x14ac:dyDescent="0.25">
      <c r="A570" t="str">
        <f>"566"</f>
        <v>566</v>
      </c>
      <c r="B570" t="str">
        <f t="shared" si="31"/>
        <v>1</v>
      </c>
      <c r="C570" t="str">
        <f t="shared" si="32"/>
        <v>25</v>
      </c>
      <c r="D570" t="str">
        <f>"10"</f>
        <v>10</v>
      </c>
      <c r="E570" t="str">
        <f>"1-25-10"</f>
        <v>1-25-10</v>
      </c>
      <c r="F570" t="s">
        <v>83</v>
      </c>
      <c r="G570" t="s">
        <v>84</v>
      </c>
      <c r="H570" t="s">
        <v>85</v>
      </c>
      <c r="AC570">
        <v>1</v>
      </c>
      <c r="AD570">
        <v>0</v>
      </c>
      <c r="AE570">
        <v>0</v>
      </c>
      <c r="AF570">
        <v>0</v>
      </c>
      <c r="AG570">
        <v>0</v>
      </c>
      <c r="AJ570">
        <v>1</v>
      </c>
      <c r="AK570">
        <v>0</v>
      </c>
      <c r="AL570">
        <v>1</v>
      </c>
      <c r="AM570">
        <v>0</v>
      </c>
      <c r="AN570">
        <v>0</v>
      </c>
      <c r="AO570">
        <v>0</v>
      </c>
      <c r="AP570">
        <v>0</v>
      </c>
      <c r="AQ570">
        <v>0</v>
      </c>
      <c r="AR570">
        <v>0</v>
      </c>
      <c r="AS570">
        <v>1</v>
      </c>
      <c r="AT570">
        <v>0</v>
      </c>
      <c r="AV570">
        <v>0</v>
      </c>
      <c r="AW570">
        <v>0</v>
      </c>
    </row>
    <row r="571" spans="1:49" x14ac:dyDescent="0.25">
      <c r="A571" t="str">
        <f>"567"</f>
        <v>567</v>
      </c>
      <c r="B571" t="str">
        <f t="shared" si="31"/>
        <v>1</v>
      </c>
      <c r="C571" t="str">
        <f t="shared" si="32"/>
        <v>25</v>
      </c>
      <c r="D571" t="str">
        <f>"8"</f>
        <v>8</v>
      </c>
      <c r="E571" t="str">
        <f>"1-25-8"</f>
        <v>1-25-8</v>
      </c>
      <c r="F571" t="s">
        <v>83</v>
      </c>
      <c r="G571" t="s">
        <v>84</v>
      </c>
      <c r="H571" t="s">
        <v>85</v>
      </c>
      <c r="AC571">
        <v>1</v>
      </c>
      <c r="AD571">
        <v>0</v>
      </c>
      <c r="AE571">
        <v>0</v>
      </c>
      <c r="AF571">
        <v>0</v>
      </c>
      <c r="AG571">
        <v>1</v>
      </c>
      <c r="AJ571">
        <v>1</v>
      </c>
      <c r="AK571">
        <v>0</v>
      </c>
      <c r="AL571">
        <v>0</v>
      </c>
      <c r="AM571">
        <v>1</v>
      </c>
      <c r="AN571">
        <v>0</v>
      </c>
      <c r="AO571">
        <v>1</v>
      </c>
      <c r="AP571">
        <v>1</v>
      </c>
      <c r="AQ571">
        <v>1</v>
      </c>
      <c r="AR571">
        <v>1</v>
      </c>
      <c r="AS571">
        <v>0</v>
      </c>
      <c r="AT571">
        <v>1</v>
      </c>
      <c r="AV571">
        <v>1</v>
      </c>
      <c r="AW571">
        <v>1</v>
      </c>
    </row>
    <row r="572" spans="1:49" x14ac:dyDescent="0.25">
      <c r="A572" t="str">
        <f>"568"</f>
        <v>568</v>
      </c>
      <c r="B572" t="str">
        <f t="shared" si="31"/>
        <v>1</v>
      </c>
      <c r="C572" t="str">
        <f t="shared" si="32"/>
        <v>25</v>
      </c>
      <c r="D572" t="str">
        <f>"2"</f>
        <v>2</v>
      </c>
      <c r="E572" t="str">
        <f>"1-25-2"</f>
        <v>1-25-2</v>
      </c>
      <c r="F572" t="s">
        <v>83</v>
      </c>
      <c r="G572" t="s">
        <v>86</v>
      </c>
      <c r="H572" t="s">
        <v>93</v>
      </c>
      <c r="I572">
        <v>1</v>
      </c>
      <c r="K572">
        <v>1</v>
      </c>
      <c r="L572">
        <v>0</v>
      </c>
      <c r="M572">
        <v>0</v>
      </c>
      <c r="N572">
        <v>1</v>
      </c>
      <c r="O572">
        <v>1</v>
      </c>
      <c r="P572">
        <v>1</v>
      </c>
      <c r="Q572">
        <v>1</v>
      </c>
      <c r="R572">
        <v>1</v>
      </c>
      <c r="U572">
        <v>0</v>
      </c>
      <c r="V572">
        <v>1</v>
      </c>
      <c r="W572">
        <v>1</v>
      </c>
      <c r="X572">
        <v>1</v>
      </c>
      <c r="Y572">
        <v>1</v>
      </c>
      <c r="Z572">
        <v>1</v>
      </c>
      <c r="AA572">
        <v>1</v>
      </c>
      <c r="AB572">
        <v>1</v>
      </c>
    </row>
    <row r="573" spans="1:49" x14ac:dyDescent="0.25">
      <c r="A573" t="str">
        <f>"569"</f>
        <v>569</v>
      </c>
      <c r="B573" t="str">
        <f t="shared" si="31"/>
        <v>1</v>
      </c>
      <c r="C573" t="str">
        <f t="shared" si="32"/>
        <v>25</v>
      </c>
      <c r="D573" t="str">
        <f>"18"</f>
        <v>18</v>
      </c>
      <c r="E573" t="str">
        <f>"1-25-18"</f>
        <v>1-25-18</v>
      </c>
      <c r="F573" t="s">
        <v>83</v>
      </c>
      <c r="G573" t="s">
        <v>84</v>
      </c>
      <c r="H573" t="s">
        <v>85</v>
      </c>
      <c r="AC573">
        <v>0</v>
      </c>
      <c r="AD573">
        <v>1</v>
      </c>
      <c r="AE573">
        <v>0</v>
      </c>
      <c r="AF573">
        <v>0</v>
      </c>
      <c r="AG573">
        <v>1</v>
      </c>
      <c r="AJ573">
        <v>0</v>
      </c>
      <c r="AK573">
        <v>1</v>
      </c>
      <c r="AL573">
        <v>0</v>
      </c>
      <c r="AM573">
        <v>0</v>
      </c>
      <c r="AN573">
        <v>1</v>
      </c>
      <c r="AO573">
        <v>1</v>
      </c>
      <c r="AP573">
        <v>1</v>
      </c>
      <c r="AQ573">
        <v>1</v>
      </c>
      <c r="AR573">
        <v>1</v>
      </c>
      <c r="AS573">
        <v>0</v>
      </c>
      <c r="AT573">
        <v>1</v>
      </c>
      <c r="AV573">
        <v>1</v>
      </c>
      <c r="AW573">
        <v>1</v>
      </c>
    </row>
    <row r="574" spans="1:49" x14ac:dyDescent="0.25">
      <c r="A574" t="str">
        <f>"570"</f>
        <v>570</v>
      </c>
      <c r="B574" t="str">
        <f t="shared" si="31"/>
        <v>1</v>
      </c>
      <c r="C574" t="str">
        <f t="shared" si="32"/>
        <v>25</v>
      </c>
      <c r="D574" t="str">
        <f>"9"</f>
        <v>9</v>
      </c>
      <c r="E574" t="str">
        <f>"1-25-9"</f>
        <v>1-25-9</v>
      </c>
      <c r="F574" t="s">
        <v>83</v>
      </c>
      <c r="G574" t="s">
        <v>84</v>
      </c>
      <c r="H574" t="s">
        <v>92</v>
      </c>
      <c r="I574">
        <v>1</v>
      </c>
      <c r="J574">
        <v>1</v>
      </c>
      <c r="N574">
        <v>1</v>
      </c>
      <c r="O574">
        <v>1</v>
      </c>
      <c r="P574">
        <v>1</v>
      </c>
      <c r="Q574">
        <v>1</v>
      </c>
      <c r="R574">
        <v>1</v>
      </c>
      <c r="S574">
        <v>1</v>
      </c>
      <c r="T574">
        <v>1</v>
      </c>
      <c r="W574">
        <v>1</v>
      </c>
      <c r="X574">
        <v>1</v>
      </c>
      <c r="Y574">
        <v>1</v>
      </c>
      <c r="Z574">
        <v>1</v>
      </c>
      <c r="AA574">
        <v>1</v>
      </c>
      <c r="AB574">
        <v>1</v>
      </c>
    </row>
    <row r="575" spans="1:49" x14ac:dyDescent="0.25">
      <c r="A575" t="str">
        <f>"571"</f>
        <v>571</v>
      </c>
      <c r="B575" t="str">
        <f t="shared" si="31"/>
        <v>1</v>
      </c>
      <c r="C575" t="str">
        <f t="shared" si="32"/>
        <v>25</v>
      </c>
      <c r="D575" t="str">
        <f>"4"</f>
        <v>4</v>
      </c>
      <c r="E575" t="str">
        <f>"1-25-4"</f>
        <v>1-25-4</v>
      </c>
      <c r="F575" t="s">
        <v>83</v>
      </c>
      <c r="G575" t="s">
        <v>86</v>
      </c>
      <c r="H575" t="s">
        <v>87</v>
      </c>
      <c r="AC575">
        <v>0</v>
      </c>
      <c r="AD575">
        <v>0</v>
      </c>
      <c r="AE575">
        <v>0</v>
      </c>
      <c r="AF575">
        <v>0</v>
      </c>
      <c r="AH575">
        <v>0</v>
      </c>
      <c r="AI575">
        <v>1</v>
      </c>
      <c r="AJ575">
        <v>0</v>
      </c>
      <c r="AK575">
        <v>0</v>
      </c>
      <c r="AL575">
        <v>0</v>
      </c>
      <c r="AM575">
        <v>0</v>
      </c>
      <c r="AN575">
        <v>0</v>
      </c>
      <c r="AO575">
        <v>0</v>
      </c>
      <c r="AP575">
        <v>0</v>
      </c>
      <c r="AQ575">
        <v>0</v>
      </c>
      <c r="AU575">
        <v>0</v>
      </c>
      <c r="AV575">
        <v>0</v>
      </c>
      <c r="AW575">
        <v>0</v>
      </c>
    </row>
    <row r="576" spans="1:49" x14ac:dyDescent="0.25">
      <c r="A576" t="str">
        <f>"572"</f>
        <v>572</v>
      </c>
      <c r="B576" t="str">
        <f t="shared" si="31"/>
        <v>1</v>
      </c>
      <c r="C576" t="str">
        <f t="shared" si="32"/>
        <v>25</v>
      </c>
      <c r="D576" t="str">
        <f>"20"</f>
        <v>20</v>
      </c>
      <c r="E576" t="str">
        <f>"1-25-20"</f>
        <v>1-25-20</v>
      </c>
      <c r="F576" t="s">
        <v>83</v>
      </c>
      <c r="G576" t="s">
        <v>84</v>
      </c>
      <c r="H576" t="s">
        <v>92</v>
      </c>
      <c r="I576">
        <v>1</v>
      </c>
      <c r="J576">
        <v>1</v>
      </c>
      <c r="N576">
        <v>1</v>
      </c>
      <c r="O576">
        <v>1</v>
      </c>
      <c r="P576">
        <v>1</v>
      </c>
      <c r="Q576">
        <v>1</v>
      </c>
      <c r="R576">
        <v>1</v>
      </c>
      <c r="S576">
        <v>1</v>
      </c>
      <c r="T576">
        <v>1</v>
      </c>
      <c r="W576">
        <v>1</v>
      </c>
      <c r="X576">
        <v>1</v>
      </c>
      <c r="Y576">
        <v>1</v>
      </c>
      <c r="Z576">
        <v>1</v>
      </c>
      <c r="AA576">
        <v>1</v>
      </c>
      <c r="AB576">
        <v>1</v>
      </c>
    </row>
    <row r="577" spans="1:49" x14ac:dyDescent="0.25">
      <c r="A577" t="str">
        <f>"573"</f>
        <v>573</v>
      </c>
      <c r="B577" t="str">
        <f t="shared" si="31"/>
        <v>1</v>
      </c>
      <c r="C577" t="str">
        <f t="shared" si="32"/>
        <v>25</v>
      </c>
      <c r="D577" t="str">
        <f>"11"</f>
        <v>11</v>
      </c>
      <c r="E577" t="str">
        <f>"1-25-11"</f>
        <v>1-25-11</v>
      </c>
      <c r="F577" t="s">
        <v>83</v>
      </c>
      <c r="G577" t="s">
        <v>84</v>
      </c>
      <c r="H577" t="s">
        <v>85</v>
      </c>
      <c r="AC577">
        <v>1</v>
      </c>
      <c r="AD577">
        <v>0</v>
      </c>
      <c r="AE577">
        <v>0</v>
      </c>
      <c r="AF577">
        <v>0</v>
      </c>
      <c r="AG577">
        <v>1</v>
      </c>
      <c r="AJ577">
        <v>1</v>
      </c>
      <c r="AK577">
        <v>0</v>
      </c>
      <c r="AL577">
        <v>0</v>
      </c>
      <c r="AM577">
        <v>1</v>
      </c>
      <c r="AN577">
        <v>0</v>
      </c>
      <c r="AO577">
        <v>1</v>
      </c>
      <c r="AP577">
        <v>1</v>
      </c>
      <c r="AQ577">
        <v>1</v>
      </c>
      <c r="AR577">
        <v>1</v>
      </c>
      <c r="AS577">
        <v>0</v>
      </c>
      <c r="AT577">
        <v>1</v>
      </c>
      <c r="AV577">
        <v>1</v>
      </c>
      <c r="AW577">
        <v>1</v>
      </c>
    </row>
    <row r="578" spans="1:49" x14ac:dyDescent="0.25">
      <c r="A578" t="str">
        <f>"574"</f>
        <v>574</v>
      </c>
      <c r="B578" t="str">
        <f t="shared" si="31"/>
        <v>1</v>
      </c>
      <c r="C578" t="str">
        <f t="shared" si="32"/>
        <v>25</v>
      </c>
      <c r="D578" t="str">
        <f>"3"</f>
        <v>3</v>
      </c>
      <c r="E578" t="str">
        <f>"1-25-3"</f>
        <v>1-25-3</v>
      </c>
      <c r="F578" t="s">
        <v>83</v>
      </c>
      <c r="G578" t="s">
        <v>86</v>
      </c>
      <c r="H578" t="s">
        <v>87</v>
      </c>
      <c r="AC578">
        <v>0</v>
      </c>
      <c r="AD578">
        <v>0</v>
      </c>
      <c r="AE578">
        <v>0</v>
      </c>
      <c r="AF578">
        <v>0</v>
      </c>
      <c r="AH578">
        <v>0</v>
      </c>
      <c r="AI578">
        <v>1</v>
      </c>
      <c r="AJ578">
        <v>0</v>
      </c>
      <c r="AK578">
        <v>0</v>
      </c>
      <c r="AL578">
        <v>0</v>
      </c>
      <c r="AM578">
        <v>0</v>
      </c>
      <c r="AN578">
        <v>0</v>
      </c>
      <c r="AO578">
        <v>0</v>
      </c>
      <c r="AP578">
        <v>0</v>
      </c>
      <c r="AQ578">
        <v>0</v>
      </c>
      <c r="AU578">
        <v>0</v>
      </c>
      <c r="AV578">
        <v>0</v>
      </c>
      <c r="AW578">
        <v>0</v>
      </c>
    </row>
    <row r="579" spans="1:49" x14ac:dyDescent="0.25">
      <c r="A579" t="str">
        <f>"575"</f>
        <v>575</v>
      </c>
      <c r="B579" t="str">
        <f t="shared" si="31"/>
        <v>1</v>
      </c>
      <c r="C579" t="str">
        <f t="shared" si="32"/>
        <v>25</v>
      </c>
      <c r="D579" t="str">
        <f>"19"</f>
        <v>19</v>
      </c>
      <c r="E579" t="str">
        <f>"1-25-19"</f>
        <v>1-25-19</v>
      </c>
      <c r="F579" t="s">
        <v>83</v>
      </c>
      <c r="G579" t="s">
        <v>84</v>
      </c>
      <c r="H579" t="s">
        <v>92</v>
      </c>
      <c r="I579">
        <v>1</v>
      </c>
      <c r="J579">
        <v>1</v>
      </c>
      <c r="N579">
        <v>1</v>
      </c>
      <c r="O579">
        <v>1</v>
      </c>
      <c r="P579">
        <v>1</v>
      </c>
      <c r="Q579">
        <v>1</v>
      </c>
      <c r="R579">
        <v>1</v>
      </c>
      <c r="S579">
        <v>1</v>
      </c>
      <c r="T579">
        <v>1</v>
      </c>
      <c r="W579">
        <v>1</v>
      </c>
      <c r="X579">
        <v>1</v>
      </c>
      <c r="Y579">
        <v>1</v>
      </c>
      <c r="Z579">
        <v>1</v>
      </c>
      <c r="AA579">
        <v>1</v>
      </c>
      <c r="AB579">
        <v>1</v>
      </c>
    </row>
    <row r="580" spans="1:49" x14ac:dyDescent="0.25">
      <c r="A580" t="str">
        <f>"576"</f>
        <v>576</v>
      </c>
      <c r="B580" t="str">
        <f t="shared" si="31"/>
        <v>1</v>
      </c>
      <c r="C580" t="str">
        <f t="shared" si="32"/>
        <v>25</v>
      </c>
      <c r="D580" t="str">
        <f>"12"</f>
        <v>12</v>
      </c>
      <c r="E580" t="str">
        <f>"1-25-12"</f>
        <v>1-25-12</v>
      </c>
      <c r="F580" t="s">
        <v>83</v>
      </c>
      <c r="G580" t="s">
        <v>84</v>
      </c>
      <c r="H580" t="s">
        <v>85</v>
      </c>
      <c r="AC580">
        <v>1</v>
      </c>
      <c r="AD580">
        <v>0</v>
      </c>
      <c r="AE580">
        <v>0</v>
      </c>
      <c r="AF580">
        <v>0</v>
      </c>
      <c r="AG580">
        <v>1</v>
      </c>
      <c r="AJ580">
        <v>0</v>
      </c>
      <c r="AK580">
        <v>1</v>
      </c>
      <c r="AL580">
        <v>0</v>
      </c>
      <c r="AM580">
        <v>1</v>
      </c>
      <c r="AN580">
        <v>0</v>
      </c>
      <c r="AO580">
        <v>1</v>
      </c>
      <c r="AP580">
        <v>1</v>
      </c>
      <c r="AQ580">
        <v>1</v>
      </c>
      <c r="AR580">
        <v>1</v>
      </c>
      <c r="AS580">
        <v>0</v>
      </c>
      <c r="AT580">
        <v>1</v>
      </c>
      <c r="AV580">
        <v>1</v>
      </c>
      <c r="AW580">
        <v>1</v>
      </c>
    </row>
    <row r="581" spans="1:49" x14ac:dyDescent="0.25">
      <c r="A581" t="str">
        <f>"577"</f>
        <v>577</v>
      </c>
      <c r="B581" t="str">
        <f t="shared" si="31"/>
        <v>1</v>
      </c>
      <c r="C581" t="str">
        <f t="shared" si="32"/>
        <v>25</v>
      </c>
      <c r="D581" t="str">
        <f>"1"</f>
        <v>1</v>
      </c>
      <c r="E581" t="str">
        <f>"1-25-1"</f>
        <v>1-25-1</v>
      </c>
      <c r="F581" t="s">
        <v>83</v>
      </c>
      <c r="G581" t="s">
        <v>84</v>
      </c>
      <c r="H581" t="s">
        <v>85</v>
      </c>
      <c r="AC581">
        <v>1</v>
      </c>
      <c r="AD581">
        <v>0</v>
      </c>
      <c r="AE581">
        <v>0</v>
      </c>
      <c r="AF581">
        <v>0</v>
      </c>
      <c r="AG581">
        <v>0</v>
      </c>
      <c r="AJ581">
        <v>1</v>
      </c>
      <c r="AK581">
        <v>0</v>
      </c>
      <c r="AL581">
        <v>0</v>
      </c>
      <c r="AM581">
        <v>1</v>
      </c>
      <c r="AN581">
        <v>0</v>
      </c>
      <c r="AO581">
        <v>0</v>
      </c>
      <c r="AP581">
        <v>0</v>
      </c>
      <c r="AQ581">
        <v>0</v>
      </c>
      <c r="AR581">
        <v>0</v>
      </c>
      <c r="AS581">
        <v>1</v>
      </c>
      <c r="AT581">
        <v>0</v>
      </c>
      <c r="AV581">
        <v>0</v>
      </c>
      <c r="AW581">
        <v>0</v>
      </c>
    </row>
    <row r="582" spans="1:49" x14ac:dyDescent="0.25">
      <c r="A582" t="str">
        <f>"578"</f>
        <v>578</v>
      </c>
      <c r="B582" t="str">
        <f t="shared" si="31"/>
        <v>1</v>
      </c>
      <c r="C582" t="str">
        <f t="shared" si="32"/>
        <v>25</v>
      </c>
      <c r="D582" t="str">
        <f>"21"</f>
        <v>21</v>
      </c>
      <c r="E582" t="str">
        <f>"1-25-21"</f>
        <v>1-25-21</v>
      </c>
      <c r="F582" t="s">
        <v>83</v>
      </c>
      <c r="G582" t="s">
        <v>84</v>
      </c>
      <c r="H582" t="s">
        <v>92</v>
      </c>
      <c r="I582">
        <v>1</v>
      </c>
      <c r="J582">
        <v>1</v>
      </c>
      <c r="N582">
        <v>1</v>
      </c>
      <c r="O582">
        <v>1</v>
      </c>
      <c r="P582">
        <v>1</v>
      </c>
      <c r="Q582">
        <v>1</v>
      </c>
      <c r="R582">
        <v>1</v>
      </c>
      <c r="S582">
        <v>1</v>
      </c>
      <c r="T582">
        <v>1</v>
      </c>
      <c r="W582">
        <v>1</v>
      </c>
      <c r="X582">
        <v>1</v>
      </c>
      <c r="Y582">
        <v>1</v>
      </c>
      <c r="Z582">
        <v>1</v>
      </c>
      <c r="AA582">
        <v>1</v>
      </c>
      <c r="AB582">
        <v>1</v>
      </c>
    </row>
    <row r="583" spans="1:49" x14ac:dyDescent="0.25">
      <c r="A583" t="str">
        <f>"579"</f>
        <v>579</v>
      </c>
      <c r="B583" t="str">
        <f t="shared" si="31"/>
        <v>1</v>
      </c>
      <c r="C583" t="str">
        <f t="shared" si="32"/>
        <v>25</v>
      </c>
      <c r="D583" t="str">
        <f>"13"</f>
        <v>13</v>
      </c>
      <c r="E583" t="str">
        <f>"1-25-13"</f>
        <v>1-25-13</v>
      </c>
      <c r="F583" t="s">
        <v>83</v>
      </c>
      <c r="G583" t="s">
        <v>84</v>
      </c>
      <c r="H583" t="s">
        <v>85</v>
      </c>
      <c r="AC583">
        <v>0</v>
      </c>
      <c r="AD583">
        <v>1</v>
      </c>
      <c r="AE583">
        <v>0</v>
      </c>
      <c r="AF583">
        <v>0</v>
      </c>
      <c r="AG583">
        <v>0</v>
      </c>
      <c r="AJ583">
        <v>0</v>
      </c>
      <c r="AK583">
        <v>1</v>
      </c>
      <c r="AL583">
        <v>0</v>
      </c>
      <c r="AM583">
        <v>0</v>
      </c>
      <c r="AN583">
        <v>1</v>
      </c>
      <c r="AO583">
        <v>0</v>
      </c>
      <c r="AP583">
        <v>0</v>
      </c>
      <c r="AQ583">
        <v>0</v>
      </c>
      <c r="AR583">
        <v>0</v>
      </c>
      <c r="AS583">
        <v>0</v>
      </c>
      <c r="AT583">
        <v>0</v>
      </c>
      <c r="AV583">
        <v>0</v>
      </c>
      <c r="AW583">
        <v>1</v>
      </c>
    </row>
    <row r="584" spans="1:49" x14ac:dyDescent="0.25">
      <c r="A584" t="str">
        <f>"580"</f>
        <v>580</v>
      </c>
      <c r="B584" t="str">
        <f t="shared" si="31"/>
        <v>1</v>
      </c>
      <c r="C584" t="str">
        <f t="shared" si="32"/>
        <v>25</v>
      </c>
      <c r="D584" t="str">
        <f>"5"</f>
        <v>5</v>
      </c>
      <c r="E584" t="str">
        <f>"1-25-5"</f>
        <v>1-25-5</v>
      </c>
      <c r="F584" t="s">
        <v>83</v>
      </c>
      <c r="G584" t="s">
        <v>84</v>
      </c>
      <c r="H584" t="s">
        <v>85</v>
      </c>
      <c r="AC584">
        <v>0</v>
      </c>
      <c r="AD584">
        <v>1</v>
      </c>
      <c r="AE584">
        <v>0</v>
      </c>
      <c r="AF584">
        <v>0</v>
      </c>
      <c r="AG584">
        <v>1</v>
      </c>
      <c r="AJ584">
        <v>1</v>
      </c>
      <c r="AK584">
        <v>0</v>
      </c>
      <c r="AL584">
        <v>0</v>
      </c>
      <c r="AM584">
        <v>0</v>
      </c>
      <c r="AN584">
        <v>1</v>
      </c>
      <c r="AO584">
        <v>1</v>
      </c>
      <c r="AP584">
        <v>0</v>
      </c>
      <c r="AQ584">
        <v>1</v>
      </c>
      <c r="AR584">
        <v>1</v>
      </c>
      <c r="AS584">
        <v>0</v>
      </c>
      <c r="AT584">
        <v>1</v>
      </c>
      <c r="AV584">
        <v>1</v>
      </c>
      <c r="AW584">
        <v>1</v>
      </c>
    </row>
    <row r="585" spans="1:49" x14ac:dyDescent="0.25">
      <c r="A585" t="str">
        <f>"581"</f>
        <v>581</v>
      </c>
      <c r="B585" t="str">
        <f t="shared" si="31"/>
        <v>1</v>
      </c>
      <c r="C585" t="str">
        <f t="shared" si="32"/>
        <v>25</v>
      </c>
      <c r="D585" t="str">
        <f>"22"</f>
        <v>22</v>
      </c>
      <c r="E585" t="str">
        <f>"1-25-22"</f>
        <v>1-25-22</v>
      </c>
      <c r="F585" t="s">
        <v>83</v>
      </c>
      <c r="G585" t="s">
        <v>84</v>
      </c>
      <c r="H585" t="s">
        <v>92</v>
      </c>
      <c r="I585">
        <v>1</v>
      </c>
      <c r="J585">
        <v>1</v>
      </c>
      <c r="N585">
        <v>1</v>
      </c>
      <c r="O585">
        <v>1</v>
      </c>
      <c r="P585">
        <v>1</v>
      </c>
      <c r="Q585">
        <v>1</v>
      </c>
      <c r="R585">
        <v>1</v>
      </c>
      <c r="S585">
        <v>1</v>
      </c>
      <c r="T585">
        <v>1</v>
      </c>
      <c r="W585">
        <v>1</v>
      </c>
      <c r="X585">
        <v>1</v>
      </c>
      <c r="Y585">
        <v>1</v>
      </c>
      <c r="Z585">
        <v>1</v>
      </c>
      <c r="AA585">
        <v>1</v>
      </c>
      <c r="AB585">
        <v>1</v>
      </c>
    </row>
    <row r="586" spans="1:49" x14ac:dyDescent="0.25">
      <c r="A586" t="str">
        <f>"582"</f>
        <v>582</v>
      </c>
      <c r="B586" t="str">
        <f t="shared" si="31"/>
        <v>1</v>
      </c>
      <c r="C586" t="str">
        <f t="shared" si="32"/>
        <v>25</v>
      </c>
      <c r="D586" t="str">
        <f>"14"</f>
        <v>14</v>
      </c>
      <c r="E586" t="str">
        <f>"1-25-14"</f>
        <v>1-25-14</v>
      </c>
      <c r="F586" t="s">
        <v>83</v>
      </c>
      <c r="G586" t="s">
        <v>84</v>
      </c>
      <c r="H586" t="s">
        <v>92</v>
      </c>
      <c r="I586">
        <v>1</v>
      </c>
      <c r="J586">
        <v>1</v>
      </c>
      <c r="N586">
        <v>1</v>
      </c>
      <c r="O586">
        <v>1</v>
      </c>
      <c r="P586">
        <v>1</v>
      </c>
      <c r="Q586">
        <v>1</v>
      </c>
      <c r="R586">
        <v>1</v>
      </c>
      <c r="S586">
        <v>1</v>
      </c>
      <c r="T586">
        <v>1</v>
      </c>
      <c r="W586">
        <v>1</v>
      </c>
      <c r="X586">
        <v>1</v>
      </c>
      <c r="Y586">
        <v>1</v>
      </c>
      <c r="Z586">
        <v>1</v>
      </c>
      <c r="AA586">
        <v>1</v>
      </c>
      <c r="AB586">
        <v>1</v>
      </c>
    </row>
    <row r="587" spans="1:49" x14ac:dyDescent="0.25">
      <c r="A587" t="str">
        <f>"583"</f>
        <v>583</v>
      </c>
      <c r="B587" t="str">
        <f t="shared" si="31"/>
        <v>1</v>
      </c>
      <c r="C587" t="str">
        <f t="shared" si="32"/>
        <v>25</v>
      </c>
      <c r="D587" t="str">
        <f>"6"</f>
        <v>6</v>
      </c>
      <c r="E587" t="str">
        <f>"1-25-6"</f>
        <v>1-25-6</v>
      </c>
      <c r="F587" t="s">
        <v>83</v>
      </c>
      <c r="G587" t="s">
        <v>84</v>
      </c>
      <c r="H587" t="s">
        <v>85</v>
      </c>
      <c r="AC587">
        <v>0</v>
      </c>
      <c r="AD587">
        <v>1</v>
      </c>
      <c r="AE587">
        <v>0</v>
      </c>
      <c r="AF587">
        <v>0</v>
      </c>
      <c r="AG587">
        <v>0</v>
      </c>
      <c r="AJ587">
        <v>0</v>
      </c>
      <c r="AK587">
        <v>1</v>
      </c>
      <c r="AL587">
        <v>0</v>
      </c>
      <c r="AM587">
        <v>0</v>
      </c>
      <c r="AN587">
        <v>1</v>
      </c>
      <c r="AO587">
        <v>0</v>
      </c>
      <c r="AP587">
        <v>0</v>
      </c>
      <c r="AQ587">
        <v>0</v>
      </c>
      <c r="AR587">
        <v>0</v>
      </c>
      <c r="AS587">
        <v>0</v>
      </c>
      <c r="AT587">
        <v>1</v>
      </c>
      <c r="AV587">
        <v>0</v>
      </c>
      <c r="AW587">
        <v>0</v>
      </c>
    </row>
    <row r="588" spans="1:49" x14ac:dyDescent="0.25">
      <c r="A588" t="str">
        <f>"584"</f>
        <v>584</v>
      </c>
      <c r="B588" t="str">
        <f t="shared" si="31"/>
        <v>1</v>
      </c>
      <c r="C588" t="str">
        <f t="shared" si="32"/>
        <v>25</v>
      </c>
      <c r="D588" t="str">
        <f>"23"</f>
        <v>23</v>
      </c>
      <c r="E588" t="str">
        <f>"1-25-23"</f>
        <v>1-25-23</v>
      </c>
      <c r="F588" t="s">
        <v>83</v>
      </c>
      <c r="G588" t="s">
        <v>84</v>
      </c>
      <c r="H588" t="s">
        <v>92</v>
      </c>
      <c r="I588">
        <v>1</v>
      </c>
      <c r="J588">
        <v>1</v>
      </c>
      <c r="N588">
        <v>1</v>
      </c>
      <c r="O588">
        <v>1</v>
      </c>
      <c r="P588">
        <v>1</v>
      </c>
      <c r="Q588">
        <v>1</v>
      </c>
      <c r="R588">
        <v>1</v>
      </c>
      <c r="S588">
        <v>1</v>
      </c>
      <c r="T588">
        <v>1</v>
      </c>
      <c r="W588">
        <v>1</v>
      </c>
      <c r="X588">
        <v>1</v>
      </c>
      <c r="Y588">
        <v>0</v>
      </c>
      <c r="Z588">
        <v>1</v>
      </c>
      <c r="AA588">
        <v>1</v>
      </c>
      <c r="AB588">
        <v>1</v>
      </c>
    </row>
    <row r="589" spans="1:49" x14ac:dyDescent="0.25">
      <c r="A589" t="str">
        <f>"585"</f>
        <v>585</v>
      </c>
      <c r="B589" t="str">
        <f t="shared" si="31"/>
        <v>1</v>
      </c>
      <c r="C589" t="str">
        <f t="shared" si="32"/>
        <v>25</v>
      </c>
      <c r="D589" t="str">
        <f>"15"</f>
        <v>15</v>
      </c>
      <c r="E589" t="str">
        <f>"1-25-15"</f>
        <v>1-25-15</v>
      </c>
      <c r="F589" t="s">
        <v>83</v>
      </c>
      <c r="G589" t="s">
        <v>84</v>
      </c>
      <c r="H589" t="s">
        <v>85</v>
      </c>
      <c r="AC589">
        <v>1</v>
      </c>
      <c r="AD589">
        <v>0</v>
      </c>
      <c r="AE589">
        <v>0</v>
      </c>
      <c r="AF589">
        <v>0</v>
      </c>
      <c r="AG589">
        <v>1</v>
      </c>
      <c r="AJ589">
        <v>1</v>
      </c>
      <c r="AK589">
        <v>0</v>
      </c>
      <c r="AL589">
        <v>0</v>
      </c>
      <c r="AM589">
        <v>1</v>
      </c>
      <c r="AN589">
        <v>0</v>
      </c>
      <c r="AO589">
        <v>1</v>
      </c>
      <c r="AP589">
        <v>1</v>
      </c>
      <c r="AQ589">
        <v>1</v>
      </c>
      <c r="AR589">
        <v>1</v>
      </c>
      <c r="AS589">
        <v>0</v>
      </c>
      <c r="AT589">
        <v>1</v>
      </c>
      <c r="AV589">
        <v>1</v>
      </c>
      <c r="AW589">
        <v>1</v>
      </c>
    </row>
    <row r="590" spans="1:49" x14ac:dyDescent="0.25">
      <c r="A590" t="str">
        <f>"586"</f>
        <v>586</v>
      </c>
      <c r="B590" t="str">
        <f t="shared" si="31"/>
        <v>1</v>
      </c>
      <c r="C590" t="str">
        <f t="shared" si="32"/>
        <v>25</v>
      </c>
      <c r="D590" t="str">
        <f>"7"</f>
        <v>7</v>
      </c>
      <c r="E590" t="str">
        <f>"1-25-7"</f>
        <v>1-25-7</v>
      </c>
      <c r="F590" t="s">
        <v>83</v>
      </c>
      <c r="G590" t="s">
        <v>84</v>
      </c>
      <c r="H590" t="s">
        <v>85</v>
      </c>
      <c r="AC590">
        <v>1</v>
      </c>
      <c r="AD590">
        <v>0</v>
      </c>
      <c r="AE590">
        <v>0</v>
      </c>
      <c r="AF590">
        <v>0</v>
      </c>
      <c r="AG590">
        <v>0</v>
      </c>
      <c r="AJ590">
        <v>1</v>
      </c>
      <c r="AK590">
        <v>0</v>
      </c>
      <c r="AL590">
        <v>1</v>
      </c>
      <c r="AM590">
        <v>0</v>
      </c>
      <c r="AN590">
        <v>0</v>
      </c>
      <c r="AO590">
        <v>0</v>
      </c>
      <c r="AP590">
        <v>0</v>
      </c>
      <c r="AQ590">
        <v>0</v>
      </c>
      <c r="AR590">
        <v>0</v>
      </c>
      <c r="AS590">
        <v>1</v>
      </c>
      <c r="AT590">
        <v>0</v>
      </c>
      <c r="AV590">
        <v>0</v>
      </c>
      <c r="AW590">
        <v>0</v>
      </c>
    </row>
    <row r="591" spans="1:49" x14ac:dyDescent="0.25">
      <c r="A591" t="str">
        <f>"587"</f>
        <v>587</v>
      </c>
      <c r="B591" t="str">
        <f t="shared" si="31"/>
        <v>1</v>
      </c>
      <c r="C591" t="str">
        <f t="shared" ref="C591:C611" si="33">"26"</f>
        <v>26</v>
      </c>
      <c r="D591" t="str">
        <f>"17"</f>
        <v>17</v>
      </c>
      <c r="E591" t="str">
        <f>"1-26-17"</f>
        <v>1-26-17</v>
      </c>
      <c r="F591" t="s">
        <v>83</v>
      </c>
      <c r="G591" t="s">
        <v>86</v>
      </c>
      <c r="H591" t="s">
        <v>87</v>
      </c>
      <c r="AC591">
        <v>0</v>
      </c>
      <c r="AD591">
        <v>0</v>
      </c>
      <c r="AE591">
        <v>0</v>
      </c>
      <c r="AF591">
        <v>0</v>
      </c>
      <c r="AH591">
        <v>0</v>
      </c>
      <c r="AI591">
        <v>1</v>
      </c>
      <c r="AJ591">
        <v>0</v>
      </c>
      <c r="AK591">
        <v>1</v>
      </c>
      <c r="AL591">
        <v>0</v>
      </c>
      <c r="AM591">
        <v>0</v>
      </c>
      <c r="AN591">
        <v>1</v>
      </c>
      <c r="AO591">
        <v>0</v>
      </c>
      <c r="AP591">
        <v>0</v>
      </c>
      <c r="AQ591">
        <v>0</v>
      </c>
      <c r="AU591">
        <v>0</v>
      </c>
      <c r="AV591">
        <v>0</v>
      </c>
      <c r="AW591">
        <v>0</v>
      </c>
    </row>
    <row r="592" spans="1:49" x14ac:dyDescent="0.25">
      <c r="A592" t="str">
        <f>"588"</f>
        <v>588</v>
      </c>
      <c r="B592" t="str">
        <f t="shared" si="31"/>
        <v>1</v>
      </c>
      <c r="C592" t="str">
        <f t="shared" si="33"/>
        <v>26</v>
      </c>
      <c r="D592" t="str">
        <f>"16"</f>
        <v>16</v>
      </c>
      <c r="E592" t="str">
        <f>"1-26-16"</f>
        <v>1-26-16</v>
      </c>
      <c r="F592" t="s">
        <v>83</v>
      </c>
      <c r="G592" t="s">
        <v>86</v>
      </c>
      <c r="H592" t="s">
        <v>87</v>
      </c>
      <c r="AC592">
        <v>0</v>
      </c>
      <c r="AD592">
        <v>1</v>
      </c>
      <c r="AE592">
        <v>0</v>
      </c>
      <c r="AF592">
        <v>0</v>
      </c>
      <c r="AH592">
        <v>1</v>
      </c>
      <c r="AI592">
        <v>0</v>
      </c>
      <c r="AJ592">
        <v>1</v>
      </c>
      <c r="AK592">
        <v>0</v>
      </c>
      <c r="AL592">
        <v>1</v>
      </c>
      <c r="AM592">
        <v>0</v>
      </c>
      <c r="AN592">
        <v>0</v>
      </c>
      <c r="AO592">
        <v>1</v>
      </c>
      <c r="AP592">
        <v>1</v>
      </c>
      <c r="AQ592">
        <v>1</v>
      </c>
      <c r="AU592">
        <v>1</v>
      </c>
      <c r="AV592">
        <v>1</v>
      </c>
      <c r="AW592">
        <v>1</v>
      </c>
    </row>
    <row r="593" spans="1:49" x14ac:dyDescent="0.25">
      <c r="A593" t="str">
        <f>"589"</f>
        <v>589</v>
      </c>
      <c r="B593" t="str">
        <f t="shared" si="31"/>
        <v>1</v>
      </c>
      <c r="C593" t="str">
        <f t="shared" si="33"/>
        <v>26</v>
      </c>
      <c r="D593" t="str">
        <f>"15"</f>
        <v>15</v>
      </c>
      <c r="E593" t="str">
        <f>"1-26-15"</f>
        <v>1-26-15</v>
      </c>
      <c r="F593" t="s">
        <v>83</v>
      </c>
      <c r="G593" t="s">
        <v>86</v>
      </c>
      <c r="H593" t="s">
        <v>93</v>
      </c>
      <c r="I593">
        <v>1</v>
      </c>
      <c r="K593">
        <v>0</v>
      </c>
      <c r="L593">
        <v>0</v>
      </c>
      <c r="M593">
        <v>1</v>
      </c>
      <c r="N593">
        <v>1</v>
      </c>
      <c r="O593">
        <v>1</v>
      </c>
      <c r="P593">
        <v>1</v>
      </c>
      <c r="Q593">
        <v>1</v>
      </c>
      <c r="R593">
        <v>1</v>
      </c>
      <c r="U593">
        <v>1</v>
      </c>
      <c r="V593">
        <v>0</v>
      </c>
      <c r="W593">
        <v>1</v>
      </c>
      <c r="X593">
        <v>1</v>
      </c>
      <c r="Y593">
        <v>1</v>
      </c>
      <c r="Z593">
        <v>1</v>
      </c>
      <c r="AA593">
        <v>1</v>
      </c>
      <c r="AB593">
        <v>1</v>
      </c>
    </row>
    <row r="594" spans="1:49" x14ac:dyDescent="0.25">
      <c r="A594" t="str">
        <f>"590"</f>
        <v>590</v>
      </c>
      <c r="B594" t="str">
        <f t="shared" si="31"/>
        <v>1</v>
      </c>
      <c r="C594" t="str">
        <f t="shared" si="33"/>
        <v>26</v>
      </c>
      <c r="D594" t="str">
        <f>"8"</f>
        <v>8</v>
      </c>
      <c r="E594" t="str">
        <f>"1-26-8"</f>
        <v>1-26-8</v>
      </c>
      <c r="F594" t="s">
        <v>83</v>
      </c>
      <c r="G594" t="s">
        <v>86</v>
      </c>
      <c r="H594" t="s">
        <v>93</v>
      </c>
      <c r="I594">
        <v>1</v>
      </c>
      <c r="K594">
        <v>0</v>
      </c>
      <c r="L594">
        <v>0</v>
      </c>
      <c r="M594">
        <v>1</v>
      </c>
      <c r="N594">
        <v>1</v>
      </c>
      <c r="O594">
        <v>1</v>
      </c>
      <c r="P594">
        <v>1</v>
      </c>
      <c r="Q594">
        <v>1</v>
      </c>
      <c r="R594">
        <v>1</v>
      </c>
      <c r="U594">
        <v>0</v>
      </c>
      <c r="V594">
        <v>1</v>
      </c>
      <c r="W594">
        <v>1</v>
      </c>
      <c r="X594">
        <v>1</v>
      </c>
      <c r="Y594">
        <v>1</v>
      </c>
      <c r="Z594">
        <v>1</v>
      </c>
      <c r="AA594">
        <v>1</v>
      </c>
      <c r="AB594">
        <v>1</v>
      </c>
    </row>
    <row r="595" spans="1:49" x14ac:dyDescent="0.25">
      <c r="A595" t="str">
        <f>"591"</f>
        <v>591</v>
      </c>
      <c r="B595" t="str">
        <f t="shared" si="31"/>
        <v>1</v>
      </c>
      <c r="C595" t="str">
        <f t="shared" si="33"/>
        <v>26</v>
      </c>
      <c r="D595" t="str">
        <f>"4"</f>
        <v>4</v>
      </c>
      <c r="E595" t="str">
        <f>"1-26-4"</f>
        <v>1-26-4</v>
      </c>
      <c r="F595" t="s">
        <v>83</v>
      </c>
      <c r="G595" t="s">
        <v>86</v>
      </c>
      <c r="H595" t="s">
        <v>87</v>
      </c>
      <c r="AC595">
        <v>0</v>
      </c>
      <c r="AD595">
        <v>1</v>
      </c>
      <c r="AE595">
        <v>0</v>
      </c>
      <c r="AF595">
        <v>0</v>
      </c>
      <c r="AH595">
        <v>0</v>
      </c>
      <c r="AI595">
        <v>1</v>
      </c>
      <c r="AJ595">
        <v>0</v>
      </c>
      <c r="AK595">
        <v>1</v>
      </c>
      <c r="AL595">
        <v>0</v>
      </c>
      <c r="AM595">
        <v>0</v>
      </c>
      <c r="AN595">
        <v>1</v>
      </c>
      <c r="AO595">
        <v>0</v>
      </c>
      <c r="AP595">
        <v>0</v>
      </c>
      <c r="AQ595">
        <v>0</v>
      </c>
      <c r="AU595">
        <v>0</v>
      </c>
      <c r="AV595">
        <v>0</v>
      </c>
      <c r="AW595">
        <v>1</v>
      </c>
    </row>
    <row r="596" spans="1:49" x14ac:dyDescent="0.25">
      <c r="A596" t="str">
        <f>"592"</f>
        <v>592</v>
      </c>
      <c r="B596" t="str">
        <f t="shared" si="31"/>
        <v>1</v>
      </c>
      <c r="C596" t="str">
        <f t="shared" si="33"/>
        <v>26</v>
      </c>
      <c r="D596" t="str">
        <f>"18"</f>
        <v>18</v>
      </c>
      <c r="E596" t="str">
        <f>"1-26-18"</f>
        <v>1-26-18</v>
      </c>
      <c r="F596" t="s">
        <v>83</v>
      </c>
      <c r="G596" t="s">
        <v>86</v>
      </c>
      <c r="H596" t="s">
        <v>87</v>
      </c>
      <c r="AC596">
        <v>0</v>
      </c>
      <c r="AD596">
        <v>0</v>
      </c>
      <c r="AE596">
        <v>0</v>
      </c>
      <c r="AF596">
        <v>0</v>
      </c>
      <c r="AH596">
        <v>0</v>
      </c>
      <c r="AI596">
        <v>1</v>
      </c>
      <c r="AJ596">
        <v>1</v>
      </c>
      <c r="AK596">
        <v>0</v>
      </c>
      <c r="AL596">
        <v>1</v>
      </c>
      <c r="AM596">
        <v>0</v>
      </c>
      <c r="AN596">
        <v>0</v>
      </c>
      <c r="AO596">
        <v>0</v>
      </c>
      <c r="AP596">
        <v>0</v>
      </c>
      <c r="AQ596">
        <v>0</v>
      </c>
      <c r="AU596">
        <v>0</v>
      </c>
      <c r="AV596">
        <v>0</v>
      </c>
      <c r="AW596">
        <v>0</v>
      </c>
    </row>
    <row r="597" spans="1:49" x14ac:dyDescent="0.25">
      <c r="A597" t="str">
        <f>"593"</f>
        <v>593</v>
      </c>
      <c r="B597" t="str">
        <f t="shared" si="31"/>
        <v>1</v>
      </c>
      <c r="C597" t="str">
        <f t="shared" si="33"/>
        <v>26</v>
      </c>
      <c r="D597" t="str">
        <f>"9"</f>
        <v>9</v>
      </c>
      <c r="E597" t="str">
        <f>"1-26-9"</f>
        <v>1-26-9</v>
      </c>
      <c r="F597" t="s">
        <v>83</v>
      </c>
      <c r="G597" t="s">
        <v>86</v>
      </c>
      <c r="H597" t="s">
        <v>93</v>
      </c>
      <c r="I597">
        <v>1</v>
      </c>
      <c r="K597">
        <v>1</v>
      </c>
      <c r="L597">
        <v>0</v>
      </c>
      <c r="M597">
        <v>0</v>
      </c>
      <c r="N597">
        <v>1</v>
      </c>
      <c r="O597">
        <v>1</v>
      </c>
      <c r="P597">
        <v>1</v>
      </c>
      <c r="Q597">
        <v>1</v>
      </c>
      <c r="R597">
        <v>1</v>
      </c>
      <c r="U597">
        <v>0</v>
      </c>
      <c r="V597">
        <v>1</v>
      </c>
      <c r="W597">
        <v>1</v>
      </c>
      <c r="X597">
        <v>1</v>
      </c>
      <c r="Y597">
        <v>1</v>
      </c>
      <c r="Z597">
        <v>1</v>
      </c>
      <c r="AA597">
        <v>1</v>
      </c>
      <c r="AB597">
        <v>1</v>
      </c>
    </row>
    <row r="598" spans="1:49" x14ac:dyDescent="0.25">
      <c r="A598" t="str">
        <f>"594"</f>
        <v>594</v>
      </c>
      <c r="B598" t="str">
        <f t="shared" si="31"/>
        <v>1</v>
      </c>
      <c r="C598" t="str">
        <f t="shared" si="33"/>
        <v>26</v>
      </c>
      <c r="D598" t="str">
        <f>"5"</f>
        <v>5</v>
      </c>
      <c r="E598" t="str">
        <f>"1-26-5"</f>
        <v>1-26-5</v>
      </c>
      <c r="F598" t="s">
        <v>83</v>
      </c>
      <c r="G598" t="s">
        <v>86</v>
      </c>
      <c r="H598" t="s">
        <v>87</v>
      </c>
      <c r="AC598">
        <v>0</v>
      </c>
      <c r="AD598">
        <v>1</v>
      </c>
      <c r="AE598">
        <v>0</v>
      </c>
      <c r="AF598">
        <v>0</v>
      </c>
      <c r="AH598">
        <v>0</v>
      </c>
      <c r="AI598">
        <v>1</v>
      </c>
      <c r="AJ598">
        <v>0</v>
      </c>
      <c r="AK598">
        <v>1</v>
      </c>
      <c r="AL598">
        <v>0</v>
      </c>
      <c r="AM598">
        <v>0</v>
      </c>
      <c r="AN598">
        <v>1</v>
      </c>
      <c r="AO598">
        <v>0</v>
      </c>
      <c r="AP598">
        <v>0</v>
      </c>
      <c r="AQ598">
        <v>0</v>
      </c>
      <c r="AU598">
        <v>0</v>
      </c>
      <c r="AV598">
        <v>0</v>
      </c>
      <c r="AW598">
        <v>1</v>
      </c>
    </row>
    <row r="599" spans="1:49" x14ac:dyDescent="0.25">
      <c r="A599" t="str">
        <f>"595"</f>
        <v>595</v>
      </c>
      <c r="B599" t="str">
        <f t="shared" si="31"/>
        <v>1</v>
      </c>
      <c r="C599" t="str">
        <f t="shared" si="33"/>
        <v>26</v>
      </c>
      <c r="D599" t="str">
        <f>"19"</f>
        <v>19</v>
      </c>
      <c r="E599" t="str">
        <f>"1-26-19"</f>
        <v>1-26-19</v>
      </c>
      <c r="F599" t="s">
        <v>83</v>
      </c>
      <c r="G599" t="s">
        <v>86</v>
      </c>
      <c r="H599" t="s">
        <v>87</v>
      </c>
      <c r="AC599">
        <v>0</v>
      </c>
      <c r="AD599">
        <v>1</v>
      </c>
      <c r="AE599">
        <v>0</v>
      </c>
      <c r="AF599">
        <v>0</v>
      </c>
      <c r="AH599">
        <v>0</v>
      </c>
      <c r="AI599">
        <v>1</v>
      </c>
      <c r="AJ599">
        <v>0</v>
      </c>
      <c r="AK599">
        <v>1</v>
      </c>
      <c r="AL599">
        <v>0</v>
      </c>
      <c r="AM599">
        <v>0</v>
      </c>
      <c r="AN599">
        <v>1</v>
      </c>
      <c r="AO599">
        <v>0</v>
      </c>
      <c r="AP599">
        <v>0</v>
      </c>
      <c r="AQ599">
        <v>0</v>
      </c>
      <c r="AU599">
        <v>0</v>
      </c>
      <c r="AV599">
        <v>0</v>
      </c>
      <c r="AW599">
        <v>0</v>
      </c>
    </row>
    <row r="600" spans="1:49" x14ac:dyDescent="0.25">
      <c r="A600" t="str">
        <f>"596"</f>
        <v>596</v>
      </c>
      <c r="B600" t="str">
        <f t="shared" si="31"/>
        <v>1</v>
      </c>
      <c r="C600" t="str">
        <f t="shared" si="33"/>
        <v>26</v>
      </c>
      <c r="D600" t="str">
        <f>"10"</f>
        <v>10</v>
      </c>
      <c r="E600" t="str">
        <f>"1-26-10"</f>
        <v>1-26-10</v>
      </c>
      <c r="F600" t="s">
        <v>83</v>
      </c>
      <c r="G600" t="s">
        <v>86</v>
      </c>
      <c r="H600" t="s">
        <v>93</v>
      </c>
      <c r="I600">
        <v>1</v>
      </c>
      <c r="K600">
        <v>1</v>
      </c>
      <c r="L600">
        <v>0</v>
      </c>
      <c r="M600">
        <v>0</v>
      </c>
      <c r="N600">
        <v>1</v>
      </c>
      <c r="O600">
        <v>1</v>
      </c>
      <c r="P600">
        <v>1</v>
      </c>
      <c r="Q600">
        <v>1</v>
      </c>
      <c r="R600">
        <v>1</v>
      </c>
      <c r="U600">
        <v>0</v>
      </c>
      <c r="V600">
        <v>1</v>
      </c>
      <c r="W600">
        <v>1</v>
      </c>
      <c r="X600">
        <v>1</v>
      </c>
      <c r="Y600">
        <v>1</v>
      </c>
      <c r="Z600">
        <v>1</v>
      </c>
      <c r="AA600">
        <v>1</v>
      </c>
      <c r="AB600">
        <v>1</v>
      </c>
    </row>
    <row r="601" spans="1:49" x14ac:dyDescent="0.25">
      <c r="A601" t="str">
        <f>"597"</f>
        <v>597</v>
      </c>
      <c r="B601" t="str">
        <f t="shared" si="31"/>
        <v>1</v>
      </c>
      <c r="C601" t="str">
        <f t="shared" si="33"/>
        <v>26</v>
      </c>
      <c r="D601" t="str">
        <f>"1"</f>
        <v>1</v>
      </c>
      <c r="E601" t="str">
        <f>"1-26-1"</f>
        <v>1-26-1</v>
      </c>
      <c r="F601" t="s">
        <v>83</v>
      </c>
      <c r="G601" t="s">
        <v>86</v>
      </c>
      <c r="H601" t="s">
        <v>87</v>
      </c>
      <c r="AC601">
        <v>0</v>
      </c>
      <c r="AD601">
        <v>1</v>
      </c>
      <c r="AE601">
        <v>0</v>
      </c>
      <c r="AF601">
        <v>0</v>
      </c>
      <c r="AH601">
        <v>0</v>
      </c>
      <c r="AI601">
        <v>1</v>
      </c>
      <c r="AJ601">
        <v>1</v>
      </c>
      <c r="AK601">
        <v>0</v>
      </c>
      <c r="AL601">
        <v>0</v>
      </c>
      <c r="AM601">
        <v>0</v>
      </c>
      <c r="AN601">
        <v>1</v>
      </c>
      <c r="AO601">
        <v>1</v>
      </c>
      <c r="AP601">
        <v>1</v>
      </c>
      <c r="AQ601">
        <v>1</v>
      </c>
      <c r="AU601">
        <v>1</v>
      </c>
      <c r="AV601">
        <v>1</v>
      </c>
      <c r="AW601">
        <v>1</v>
      </c>
    </row>
    <row r="602" spans="1:49" x14ac:dyDescent="0.25">
      <c r="A602" t="str">
        <f>"598"</f>
        <v>598</v>
      </c>
      <c r="B602" t="str">
        <f t="shared" si="31"/>
        <v>1</v>
      </c>
      <c r="C602" t="str">
        <f t="shared" si="33"/>
        <v>26</v>
      </c>
      <c r="D602" t="str">
        <f>"20"</f>
        <v>20</v>
      </c>
      <c r="E602" t="str">
        <f>"1-26-20"</f>
        <v>1-26-20</v>
      </c>
      <c r="F602" t="s">
        <v>83</v>
      </c>
      <c r="G602" t="s">
        <v>84</v>
      </c>
      <c r="H602" t="s">
        <v>85</v>
      </c>
      <c r="AC602">
        <v>0</v>
      </c>
      <c r="AD602">
        <v>1</v>
      </c>
      <c r="AE602">
        <v>0</v>
      </c>
      <c r="AF602">
        <v>0</v>
      </c>
      <c r="AG602">
        <v>1</v>
      </c>
      <c r="AJ602">
        <v>1</v>
      </c>
      <c r="AK602">
        <v>0</v>
      </c>
      <c r="AL602">
        <v>0</v>
      </c>
      <c r="AM602">
        <v>0</v>
      </c>
      <c r="AN602">
        <v>1</v>
      </c>
      <c r="AO602">
        <v>1</v>
      </c>
      <c r="AP602">
        <v>1</v>
      </c>
      <c r="AQ602">
        <v>1</v>
      </c>
      <c r="AR602">
        <v>1</v>
      </c>
      <c r="AS602">
        <v>1</v>
      </c>
      <c r="AT602">
        <v>0</v>
      </c>
      <c r="AV602">
        <v>1</v>
      </c>
      <c r="AW602">
        <v>1</v>
      </c>
    </row>
    <row r="603" spans="1:49" x14ac:dyDescent="0.25">
      <c r="A603" t="str">
        <f>"599"</f>
        <v>599</v>
      </c>
      <c r="B603" t="str">
        <f t="shared" si="31"/>
        <v>1</v>
      </c>
      <c r="C603" t="str">
        <f t="shared" si="33"/>
        <v>26</v>
      </c>
      <c r="D603" t="str">
        <f>"11"</f>
        <v>11</v>
      </c>
      <c r="E603" t="str">
        <f>"1-26-11"</f>
        <v>1-26-11</v>
      </c>
      <c r="F603" t="s">
        <v>83</v>
      </c>
      <c r="G603" t="s">
        <v>84</v>
      </c>
      <c r="H603" t="s">
        <v>85</v>
      </c>
      <c r="AC603">
        <v>0</v>
      </c>
      <c r="AD603">
        <v>1</v>
      </c>
      <c r="AE603">
        <v>0</v>
      </c>
      <c r="AF603">
        <v>0</v>
      </c>
      <c r="AG603">
        <v>0</v>
      </c>
      <c r="AJ603">
        <v>0</v>
      </c>
      <c r="AK603">
        <v>1</v>
      </c>
      <c r="AL603">
        <v>0</v>
      </c>
      <c r="AM603">
        <v>0</v>
      </c>
      <c r="AN603">
        <v>1</v>
      </c>
      <c r="AO603">
        <v>1</v>
      </c>
      <c r="AP603">
        <v>1</v>
      </c>
      <c r="AQ603">
        <v>1</v>
      </c>
      <c r="AR603">
        <v>1</v>
      </c>
      <c r="AS603">
        <v>1</v>
      </c>
      <c r="AT603">
        <v>0</v>
      </c>
      <c r="AV603">
        <v>1</v>
      </c>
      <c r="AW603">
        <v>1</v>
      </c>
    </row>
    <row r="604" spans="1:49" x14ac:dyDescent="0.25">
      <c r="A604" t="str">
        <f>"600"</f>
        <v>600</v>
      </c>
      <c r="B604" t="str">
        <f t="shared" si="31"/>
        <v>1</v>
      </c>
      <c r="C604" t="str">
        <f t="shared" si="33"/>
        <v>26</v>
      </c>
      <c r="D604" t="str">
        <f>"6"</f>
        <v>6</v>
      </c>
      <c r="E604" t="str">
        <f>"1-26-6"</f>
        <v>1-26-6</v>
      </c>
      <c r="F604" t="s">
        <v>83</v>
      </c>
      <c r="G604" t="s">
        <v>86</v>
      </c>
      <c r="H604" t="s">
        <v>87</v>
      </c>
      <c r="AC604">
        <v>1</v>
      </c>
      <c r="AD604">
        <v>0</v>
      </c>
      <c r="AE604">
        <v>0</v>
      </c>
      <c r="AF604">
        <v>0</v>
      </c>
      <c r="AH604">
        <v>0</v>
      </c>
      <c r="AI604">
        <v>1</v>
      </c>
      <c r="AJ604">
        <v>0</v>
      </c>
      <c r="AK604">
        <v>0</v>
      </c>
      <c r="AL604">
        <v>0</v>
      </c>
      <c r="AM604">
        <v>0</v>
      </c>
      <c r="AN604">
        <v>0</v>
      </c>
      <c r="AO604">
        <v>0</v>
      </c>
      <c r="AP604">
        <v>1</v>
      </c>
      <c r="AQ604">
        <v>0</v>
      </c>
      <c r="AU604">
        <v>1</v>
      </c>
      <c r="AV604">
        <v>0</v>
      </c>
      <c r="AW604">
        <v>0</v>
      </c>
    </row>
    <row r="605" spans="1:49" x14ac:dyDescent="0.25">
      <c r="A605" t="str">
        <f>"601"</f>
        <v>601</v>
      </c>
      <c r="B605" t="str">
        <f t="shared" si="31"/>
        <v>1</v>
      </c>
      <c r="C605" t="str">
        <f t="shared" si="33"/>
        <v>26</v>
      </c>
      <c r="D605" t="str">
        <f>"21"</f>
        <v>21</v>
      </c>
      <c r="E605" t="str">
        <f>"1-26-21"</f>
        <v>1-26-21</v>
      </c>
      <c r="F605" t="s">
        <v>83</v>
      </c>
      <c r="G605" t="s">
        <v>86</v>
      </c>
      <c r="H605" t="s">
        <v>87</v>
      </c>
      <c r="AC605">
        <v>0</v>
      </c>
      <c r="AD605">
        <v>0</v>
      </c>
      <c r="AE605">
        <v>0</v>
      </c>
      <c r="AF605">
        <v>0</v>
      </c>
      <c r="AH605">
        <v>0</v>
      </c>
      <c r="AI605">
        <v>1</v>
      </c>
      <c r="AJ605">
        <v>0</v>
      </c>
      <c r="AK605">
        <v>0</v>
      </c>
      <c r="AL605">
        <v>0</v>
      </c>
      <c r="AM605">
        <v>0</v>
      </c>
      <c r="AN605">
        <v>1</v>
      </c>
      <c r="AO605">
        <v>0</v>
      </c>
      <c r="AP605">
        <v>0</v>
      </c>
      <c r="AQ605">
        <v>0</v>
      </c>
      <c r="AU605">
        <v>0</v>
      </c>
      <c r="AV605">
        <v>0</v>
      </c>
      <c r="AW605">
        <v>0</v>
      </c>
    </row>
    <row r="606" spans="1:49" x14ac:dyDescent="0.25">
      <c r="A606" t="str">
        <f>"602"</f>
        <v>602</v>
      </c>
      <c r="B606" t="str">
        <f t="shared" ref="B606:B669" si="34">"1"</f>
        <v>1</v>
      </c>
      <c r="C606" t="str">
        <f t="shared" si="33"/>
        <v>26</v>
      </c>
      <c r="D606" t="str">
        <f>"12"</f>
        <v>12</v>
      </c>
      <c r="E606" t="str">
        <f>"1-26-12"</f>
        <v>1-26-12</v>
      </c>
      <c r="F606" t="s">
        <v>83</v>
      </c>
      <c r="G606" t="s">
        <v>84</v>
      </c>
      <c r="H606" t="s">
        <v>92</v>
      </c>
      <c r="I606">
        <v>1</v>
      </c>
      <c r="J606">
        <v>1</v>
      </c>
      <c r="N606">
        <v>1</v>
      </c>
      <c r="O606">
        <v>1</v>
      </c>
      <c r="P606">
        <v>1</v>
      </c>
      <c r="Q606">
        <v>1</v>
      </c>
      <c r="R606">
        <v>1</v>
      </c>
      <c r="S606">
        <v>1</v>
      </c>
      <c r="T606">
        <v>1</v>
      </c>
      <c r="W606">
        <v>1</v>
      </c>
      <c r="X606">
        <v>1</v>
      </c>
      <c r="Y606">
        <v>1</v>
      </c>
      <c r="Z606">
        <v>1</v>
      </c>
      <c r="AA606">
        <v>1</v>
      </c>
      <c r="AB606">
        <v>1</v>
      </c>
    </row>
    <row r="607" spans="1:49" x14ac:dyDescent="0.25">
      <c r="A607" t="str">
        <f>"603"</f>
        <v>603</v>
      </c>
      <c r="B607" t="str">
        <f t="shared" si="34"/>
        <v>1</v>
      </c>
      <c r="C607" t="str">
        <f t="shared" si="33"/>
        <v>26</v>
      </c>
      <c r="D607" t="str">
        <f>"3"</f>
        <v>3</v>
      </c>
      <c r="E607" t="str">
        <f>"1-26-3"</f>
        <v>1-26-3</v>
      </c>
      <c r="F607" t="s">
        <v>83</v>
      </c>
      <c r="G607" t="s">
        <v>86</v>
      </c>
      <c r="H607" t="s">
        <v>93</v>
      </c>
      <c r="I607">
        <v>1</v>
      </c>
      <c r="K607">
        <v>0</v>
      </c>
      <c r="L607">
        <v>0</v>
      </c>
      <c r="M607">
        <v>1</v>
      </c>
      <c r="N607">
        <v>1</v>
      </c>
      <c r="O607">
        <v>1</v>
      </c>
      <c r="P607">
        <v>1</v>
      </c>
      <c r="Q607">
        <v>1</v>
      </c>
      <c r="R607">
        <v>1</v>
      </c>
      <c r="U607">
        <v>0</v>
      </c>
      <c r="V607">
        <v>1</v>
      </c>
      <c r="W607">
        <v>1</v>
      </c>
      <c r="X607">
        <v>1</v>
      </c>
      <c r="Y607">
        <v>1</v>
      </c>
      <c r="Z607">
        <v>1</v>
      </c>
      <c r="AA607">
        <v>1</v>
      </c>
      <c r="AB607">
        <v>1</v>
      </c>
    </row>
    <row r="608" spans="1:49" x14ac:dyDescent="0.25">
      <c r="A608" t="str">
        <f>"604"</f>
        <v>604</v>
      </c>
      <c r="B608" t="str">
        <f t="shared" si="34"/>
        <v>1</v>
      </c>
      <c r="C608" t="str">
        <f t="shared" si="33"/>
        <v>26</v>
      </c>
      <c r="D608" t="str">
        <f>"13"</f>
        <v>13</v>
      </c>
      <c r="E608" t="str">
        <f>"1-26-13"</f>
        <v>1-26-13</v>
      </c>
      <c r="F608" t="s">
        <v>83</v>
      </c>
      <c r="G608" t="s">
        <v>86</v>
      </c>
      <c r="H608" t="s">
        <v>93</v>
      </c>
      <c r="I608">
        <v>1</v>
      </c>
      <c r="K608">
        <v>1</v>
      </c>
      <c r="L608">
        <v>0</v>
      </c>
      <c r="M608">
        <v>0</v>
      </c>
      <c r="N608">
        <v>1</v>
      </c>
      <c r="O608">
        <v>1</v>
      </c>
      <c r="P608">
        <v>1</v>
      </c>
      <c r="Q608">
        <v>1</v>
      </c>
      <c r="R608">
        <v>1</v>
      </c>
      <c r="U608">
        <v>0</v>
      </c>
      <c r="V608">
        <v>1</v>
      </c>
      <c r="W608">
        <v>1</v>
      </c>
      <c r="X608">
        <v>1</v>
      </c>
      <c r="Y608">
        <v>1</v>
      </c>
      <c r="Z608">
        <v>1</v>
      </c>
      <c r="AA608">
        <v>1</v>
      </c>
      <c r="AB608">
        <v>1</v>
      </c>
    </row>
    <row r="609" spans="1:49" x14ac:dyDescent="0.25">
      <c r="A609" t="str">
        <f>"605"</f>
        <v>605</v>
      </c>
      <c r="B609" t="str">
        <f t="shared" si="34"/>
        <v>1</v>
      </c>
      <c r="C609" t="str">
        <f t="shared" si="33"/>
        <v>26</v>
      </c>
      <c r="D609" t="str">
        <f>"7"</f>
        <v>7</v>
      </c>
      <c r="E609" t="str">
        <f>"1-26-7"</f>
        <v>1-26-7</v>
      </c>
      <c r="F609" t="s">
        <v>83</v>
      </c>
      <c r="G609" t="s">
        <v>86</v>
      </c>
      <c r="H609" t="s">
        <v>87</v>
      </c>
      <c r="AC609">
        <v>0</v>
      </c>
      <c r="AD609">
        <v>1</v>
      </c>
      <c r="AE609">
        <v>0</v>
      </c>
      <c r="AF609">
        <v>0</v>
      </c>
      <c r="AH609">
        <v>0</v>
      </c>
      <c r="AI609">
        <v>1</v>
      </c>
      <c r="AJ609">
        <v>0</v>
      </c>
      <c r="AK609">
        <v>1</v>
      </c>
      <c r="AL609">
        <v>0</v>
      </c>
      <c r="AM609">
        <v>0</v>
      </c>
      <c r="AN609">
        <v>1</v>
      </c>
      <c r="AO609">
        <v>0</v>
      </c>
      <c r="AP609">
        <v>0</v>
      </c>
      <c r="AQ609">
        <v>0</v>
      </c>
      <c r="AU609">
        <v>0</v>
      </c>
      <c r="AV609">
        <v>0</v>
      </c>
      <c r="AW609">
        <v>1</v>
      </c>
    </row>
    <row r="610" spans="1:49" x14ac:dyDescent="0.25">
      <c r="A610" t="str">
        <f>"606"</f>
        <v>606</v>
      </c>
      <c r="B610" t="str">
        <f t="shared" si="34"/>
        <v>1</v>
      </c>
      <c r="C610" t="str">
        <f t="shared" si="33"/>
        <v>26</v>
      </c>
      <c r="D610" t="str">
        <f>"14"</f>
        <v>14</v>
      </c>
      <c r="E610" t="str">
        <f>"1-26-14"</f>
        <v>1-26-14</v>
      </c>
      <c r="F610" t="s">
        <v>83</v>
      </c>
      <c r="G610" t="s">
        <v>84</v>
      </c>
      <c r="H610" t="s">
        <v>85</v>
      </c>
      <c r="AC610">
        <v>0</v>
      </c>
      <c r="AD610">
        <v>1</v>
      </c>
      <c r="AE610">
        <v>0</v>
      </c>
      <c r="AF610">
        <v>0</v>
      </c>
      <c r="AG610">
        <v>1</v>
      </c>
      <c r="AJ610">
        <v>1</v>
      </c>
      <c r="AK610">
        <v>0</v>
      </c>
      <c r="AL610">
        <v>0</v>
      </c>
      <c r="AM610">
        <v>0</v>
      </c>
      <c r="AN610">
        <v>1</v>
      </c>
      <c r="AO610">
        <v>1</v>
      </c>
      <c r="AP610">
        <v>1</v>
      </c>
      <c r="AQ610">
        <v>1</v>
      </c>
      <c r="AR610">
        <v>1</v>
      </c>
      <c r="AS610">
        <v>1</v>
      </c>
      <c r="AT610">
        <v>0</v>
      </c>
      <c r="AV610">
        <v>1</v>
      </c>
      <c r="AW610">
        <v>1</v>
      </c>
    </row>
    <row r="611" spans="1:49" x14ac:dyDescent="0.25">
      <c r="A611" t="str">
        <f>"607"</f>
        <v>607</v>
      </c>
      <c r="B611" t="str">
        <f t="shared" si="34"/>
        <v>1</v>
      </c>
      <c r="C611" t="str">
        <f t="shared" si="33"/>
        <v>26</v>
      </c>
      <c r="D611" t="str">
        <f>"2"</f>
        <v>2</v>
      </c>
      <c r="E611" t="str">
        <f>"1-26-2"</f>
        <v>1-26-2</v>
      </c>
      <c r="F611" t="s">
        <v>83</v>
      </c>
      <c r="G611" t="s">
        <v>86</v>
      </c>
      <c r="H611" t="s">
        <v>93</v>
      </c>
      <c r="I611">
        <v>1</v>
      </c>
      <c r="K611">
        <v>0</v>
      </c>
      <c r="L611">
        <v>0</v>
      </c>
      <c r="M611">
        <v>1</v>
      </c>
      <c r="N611">
        <v>1</v>
      </c>
      <c r="O611">
        <v>0</v>
      </c>
      <c r="P611">
        <v>0</v>
      </c>
      <c r="Q611">
        <v>0</v>
      </c>
      <c r="R611">
        <v>0</v>
      </c>
      <c r="U611">
        <v>0</v>
      </c>
      <c r="V611">
        <v>1</v>
      </c>
      <c r="W611">
        <v>0</v>
      </c>
      <c r="X611">
        <v>0</v>
      </c>
      <c r="Y611">
        <v>0</v>
      </c>
      <c r="Z611">
        <v>0</v>
      </c>
      <c r="AA611">
        <v>0</v>
      </c>
      <c r="AB611">
        <v>0</v>
      </c>
    </row>
    <row r="612" spans="1:49" x14ac:dyDescent="0.25">
      <c r="A612" t="str">
        <f>"608"</f>
        <v>608</v>
      </c>
      <c r="B612" t="str">
        <f t="shared" si="34"/>
        <v>1</v>
      </c>
      <c r="C612" t="str">
        <f t="shared" ref="C612:C636" si="35">"27"</f>
        <v>27</v>
      </c>
      <c r="D612" t="str">
        <f>"25"</f>
        <v>25</v>
      </c>
      <c r="E612" t="str">
        <f>"1-27-25"</f>
        <v>1-27-25</v>
      </c>
      <c r="F612" t="s">
        <v>83</v>
      </c>
      <c r="G612" t="s">
        <v>84</v>
      </c>
      <c r="H612" t="s">
        <v>85</v>
      </c>
      <c r="AC612">
        <v>0</v>
      </c>
      <c r="AD612">
        <v>1</v>
      </c>
      <c r="AE612">
        <v>0</v>
      </c>
      <c r="AF612">
        <v>0</v>
      </c>
      <c r="AG612">
        <v>0</v>
      </c>
      <c r="AJ612">
        <v>1</v>
      </c>
      <c r="AK612">
        <v>0</v>
      </c>
      <c r="AL612">
        <v>0</v>
      </c>
      <c r="AM612">
        <v>0</v>
      </c>
      <c r="AN612">
        <v>1</v>
      </c>
      <c r="AO612">
        <v>1</v>
      </c>
      <c r="AP612">
        <v>1</v>
      </c>
      <c r="AQ612">
        <v>1</v>
      </c>
      <c r="AR612">
        <v>1</v>
      </c>
      <c r="AS612">
        <v>0</v>
      </c>
      <c r="AT612">
        <v>1</v>
      </c>
      <c r="AV612">
        <v>1</v>
      </c>
      <c r="AW612">
        <v>1</v>
      </c>
    </row>
    <row r="613" spans="1:49" x14ac:dyDescent="0.25">
      <c r="A613" t="str">
        <f>"609"</f>
        <v>609</v>
      </c>
      <c r="B613" t="str">
        <f t="shared" si="34"/>
        <v>1</v>
      </c>
      <c r="C613" t="str">
        <f t="shared" si="35"/>
        <v>27</v>
      </c>
      <c r="D613" t="str">
        <f>"24"</f>
        <v>24</v>
      </c>
      <c r="E613" t="str">
        <f>"1-27-24"</f>
        <v>1-27-24</v>
      </c>
      <c r="F613" t="s">
        <v>83</v>
      </c>
      <c r="G613" t="s">
        <v>84</v>
      </c>
      <c r="H613" t="s">
        <v>92</v>
      </c>
      <c r="I613">
        <v>1</v>
      </c>
      <c r="J613">
        <v>1</v>
      </c>
      <c r="N613">
        <v>1</v>
      </c>
      <c r="O613">
        <v>1</v>
      </c>
      <c r="P613">
        <v>1</v>
      </c>
      <c r="Q613">
        <v>1</v>
      </c>
      <c r="R613">
        <v>1</v>
      </c>
      <c r="S613">
        <v>1</v>
      </c>
      <c r="T613">
        <v>1</v>
      </c>
      <c r="W613">
        <v>1</v>
      </c>
      <c r="X613">
        <v>1</v>
      </c>
      <c r="Y613">
        <v>1</v>
      </c>
      <c r="Z613">
        <v>1</v>
      </c>
      <c r="AA613">
        <v>1</v>
      </c>
      <c r="AB613">
        <v>1</v>
      </c>
    </row>
    <row r="614" spans="1:49" x14ac:dyDescent="0.25">
      <c r="A614" t="str">
        <f>"610"</f>
        <v>610</v>
      </c>
      <c r="B614" t="str">
        <f t="shared" si="34"/>
        <v>1</v>
      </c>
      <c r="C614" t="str">
        <f t="shared" si="35"/>
        <v>27</v>
      </c>
      <c r="D614" t="str">
        <f>"17"</f>
        <v>17</v>
      </c>
      <c r="E614" t="str">
        <f>"1-27-17"</f>
        <v>1-27-17</v>
      </c>
      <c r="F614" t="s">
        <v>83</v>
      </c>
      <c r="G614" t="s">
        <v>84</v>
      </c>
      <c r="H614" t="s">
        <v>85</v>
      </c>
      <c r="AC614">
        <v>1</v>
      </c>
      <c r="AD614">
        <v>0</v>
      </c>
      <c r="AE614">
        <v>0</v>
      </c>
      <c r="AF614">
        <v>0</v>
      </c>
      <c r="AG614">
        <v>0</v>
      </c>
      <c r="AJ614">
        <v>0</v>
      </c>
      <c r="AK614">
        <v>1</v>
      </c>
      <c r="AL614">
        <v>0</v>
      </c>
      <c r="AM614">
        <v>0</v>
      </c>
      <c r="AN614">
        <v>1</v>
      </c>
      <c r="AO614">
        <v>0</v>
      </c>
      <c r="AP614">
        <v>0</v>
      </c>
      <c r="AQ614">
        <v>0</v>
      </c>
      <c r="AR614">
        <v>0</v>
      </c>
      <c r="AS614">
        <v>0</v>
      </c>
      <c r="AT614">
        <v>1</v>
      </c>
      <c r="AV614">
        <v>0</v>
      </c>
      <c r="AW614">
        <v>0</v>
      </c>
    </row>
    <row r="615" spans="1:49" x14ac:dyDescent="0.25">
      <c r="A615" t="str">
        <f>"611"</f>
        <v>611</v>
      </c>
      <c r="B615" t="str">
        <f t="shared" si="34"/>
        <v>1</v>
      </c>
      <c r="C615" t="str">
        <f t="shared" si="35"/>
        <v>27</v>
      </c>
      <c r="D615" t="str">
        <f>"16"</f>
        <v>16</v>
      </c>
      <c r="E615" t="str">
        <f>"1-27-16"</f>
        <v>1-27-16</v>
      </c>
      <c r="F615" t="s">
        <v>83</v>
      </c>
      <c r="G615" t="s">
        <v>84</v>
      </c>
      <c r="H615" t="s">
        <v>85</v>
      </c>
      <c r="AC615">
        <v>0</v>
      </c>
      <c r="AD615">
        <v>1</v>
      </c>
      <c r="AE615">
        <v>0</v>
      </c>
      <c r="AF615">
        <v>0</v>
      </c>
      <c r="AG615">
        <v>0</v>
      </c>
      <c r="AJ615">
        <v>0</v>
      </c>
      <c r="AK615">
        <v>1</v>
      </c>
      <c r="AL615">
        <v>0</v>
      </c>
      <c r="AM615">
        <v>0</v>
      </c>
      <c r="AN615">
        <v>1</v>
      </c>
      <c r="AO615">
        <v>1</v>
      </c>
      <c r="AP615">
        <v>1</v>
      </c>
      <c r="AQ615">
        <v>1</v>
      </c>
      <c r="AR615">
        <v>1</v>
      </c>
      <c r="AS615">
        <v>0</v>
      </c>
      <c r="AT615">
        <v>1</v>
      </c>
      <c r="AV615">
        <v>1</v>
      </c>
      <c r="AW615">
        <v>1</v>
      </c>
    </row>
    <row r="616" spans="1:49" x14ac:dyDescent="0.25">
      <c r="A616" t="str">
        <f>"612"</f>
        <v>612</v>
      </c>
      <c r="B616" t="str">
        <f t="shared" si="34"/>
        <v>1</v>
      </c>
      <c r="C616" t="str">
        <f t="shared" si="35"/>
        <v>27</v>
      </c>
      <c r="D616" t="str">
        <f>"12"</f>
        <v>12</v>
      </c>
      <c r="E616" t="str">
        <f>"1-27-12"</f>
        <v>1-27-12</v>
      </c>
      <c r="F616" t="s">
        <v>83</v>
      </c>
      <c r="G616" t="s">
        <v>84</v>
      </c>
      <c r="H616" t="s">
        <v>85</v>
      </c>
      <c r="AC616">
        <v>1</v>
      </c>
      <c r="AD616">
        <v>0</v>
      </c>
      <c r="AE616">
        <v>0</v>
      </c>
      <c r="AF616">
        <v>0</v>
      </c>
      <c r="AG616">
        <v>0</v>
      </c>
      <c r="AJ616">
        <v>0</v>
      </c>
      <c r="AK616">
        <v>1</v>
      </c>
      <c r="AL616">
        <v>0</v>
      </c>
      <c r="AM616">
        <v>0</v>
      </c>
      <c r="AN616">
        <v>1</v>
      </c>
      <c r="AO616">
        <v>0</v>
      </c>
      <c r="AP616">
        <v>0</v>
      </c>
      <c r="AQ616">
        <v>0</v>
      </c>
      <c r="AR616">
        <v>0</v>
      </c>
      <c r="AS616">
        <v>0</v>
      </c>
      <c r="AT616">
        <v>1</v>
      </c>
      <c r="AV616">
        <v>0</v>
      </c>
      <c r="AW616">
        <v>0</v>
      </c>
    </row>
    <row r="617" spans="1:49" x14ac:dyDescent="0.25">
      <c r="A617" t="str">
        <f>"613"</f>
        <v>613</v>
      </c>
      <c r="B617" t="str">
        <f t="shared" si="34"/>
        <v>1</v>
      </c>
      <c r="C617" t="str">
        <f t="shared" si="35"/>
        <v>27</v>
      </c>
      <c r="D617" t="str">
        <f>"8"</f>
        <v>8</v>
      </c>
      <c r="E617" t="str">
        <f>"1-27-8"</f>
        <v>1-27-8</v>
      </c>
      <c r="F617" t="s">
        <v>83</v>
      </c>
      <c r="G617" t="s">
        <v>84</v>
      </c>
      <c r="H617" t="s">
        <v>92</v>
      </c>
      <c r="I617">
        <v>1</v>
      </c>
      <c r="J617">
        <v>1</v>
      </c>
      <c r="N617">
        <v>1</v>
      </c>
      <c r="O617">
        <v>1</v>
      </c>
      <c r="P617">
        <v>1</v>
      </c>
      <c r="Q617">
        <v>1</v>
      </c>
      <c r="R617">
        <v>1</v>
      </c>
      <c r="S617">
        <v>1</v>
      </c>
      <c r="T617">
        <v>1</v>
      </c>
      <c r="W617">
        <v>1</v>
      </c>
      <c r="X617">
        <v>1</v>
      </c>
      <c r="Y617">
        <v>1</v>
      </c>
      <c r="Z617">
        <v>1</v>
      </c>
      <c r="AA617">
        <v>1</v>
      </c>
      <c r="AB617">
        <v>1</v>
      </c>
    </row>
    <row r="618" spans="1:49" x14ac:dyDescent="0.25">
      <c r="A618" t="str">
        <f>"614"</f>
        <v>614</v>
      </c>
      <c r="B618" t="str">
        <f t="shared" si="34"/>
        <v>1</v>
      </c>
      <c r="C618" t="str">
        <f t="shared" si="35"/>
        <v>27</v>
      </c>
      <c r="D618" t="str">
        <f>"1"</f>
        <v>1</v>
      </c>
      <c r="E618" t="str">
        <f>"1-27-1"</f>
        <v>1-27-1</v>
      </c>
      <c r="F618" t="s">
        <v>83</v>
      </c>
      <c r="G618" t="s">
        <v>84</v>
      </c>
      <c r="H618" t="s">
        <v>85</v>
      </c>
      <c r="AC618">
        <v>1</v>
      </c>
      <c r="AD618">
        <v>0</v>
      </c>
      <c r="AE618">
        <v>0</v>
      </c>
      <c r="AF618">
        <v>0</v>
      </c>
      <c r="AG618">
        <v>0</v>
      </c>
      <c r="AJ618">
        <v>1</v>
      </c>
      <c r="AK618">
        <v>0</v>
      </c>
      <c r="AL618">
        <v>0</v>
      </c>
      <c r="AM618">
        <v>0</v>
      </c>
      <c r="AN618">
        <v>1</v>
      </c>
      <c r="AO618">
        <v>0</v>
      </c>
      <c r="AP618">
        <v>0</v>
      </c>
      <c r="AQ618">
        <v>0</v>
      </c>
      <c r="AR618">
        <v>0</v>
      </c>
      <c r="AS618">
        <v>0</v>
      </c>
      <c r="AT618">
        <v>1</v>
      </c>
      <c r="AV618">
        <v>1</v>
      </c>
      <c r="AW618">
        <v>1</v>
      </c>
    </row>
    <row r="619" spans="1:49" x14ac:dyDescent="0.25">
      <c r="A619" t="str">
        <f>"615"</f>
        <v>615</v>
      </c>
      <c r="B619" t="str">
        <f t="shared" si="34"/>
        <v>1</v>
      </c>
      <c r="C619" t="str">
        <f t="shared" si="35"/>
        <v>27</v>
      </c>
      <c r="D619" t="str">
        <f>"19"</f>
        <v>19</v>
      </c>
      <c r="E619" t="str">
        <f>"1-27-19"</f>
        <v>1-27-19</v>
      </c>
      <c r="F619" t="s">
        <v>83</v>
      </c>
      <c r="G619" t="s">
        <v>84</v>
      </c>
      <c r="H619" t="s">
        <v>85</v>
      </c>
      <c r="AC619">
        <v>0</v>
      </c>
      <c r="AD619">
        <v>1</v>
      </c>
      <c r="AE619">
        <v>0</v>
      </c>
      <c r="AF619">
        <v>0</v>
      </c>
      <c r="AG619">
        <v>0</v>
      </c>
      <c r="AJ619">
        <v>1</v>
      </c>
      <c r="AK619">
        <v>0</v>
      </c>
      <c r="AL619">
        <v>0</v>
      </c>
      <c r="AM619">
        <v>0</v>
      </c>
      <c r="AN619">
        <v>1</v>
      </c>
      <c r="AO619">
        <v>0</v>
      </c>
      <c r="AP619">
        <v>0</v>
      </c>
      <c r="AQ619">
        <v>0</v>
      </c>
      <c r="AR619">
        <v>0</v>
      </c>
      <c r="AS619">
        <v>1</v>
      </c>
      <c r="AT619">
        <v>0</v>
      </c>
      <c r="AV619">
        <v>0</v>
      </c>
      <c r="AW619">
        <v>0</v>
      </c>
    </row>
    <row r="620" spans="1:49" x14ac:dyDescent="0.25">
      <c r="A620" t="str">
        <f>"616"</f>
        <v>616</v>
      </c>
      <c r="B620" t="str">
        <f t="shared" si="34"/>
        <v>1</v>
      </c>
      <c r="C620" t="str">
        <f t="shared" si="35"/>
        <v>27</v>
      </c>
      <c r="D620" t="str">
        <f>"9"</f>
        <v>9</v>
      </c>
      <c r="E620" t="str">
        <f>"1-27-9"</f>
        <v>1-27-9</v>
      </c>
      <c r="F620" t="s">
        <v>83</v>
      </c>
      <c r="G620" t="s">
        <v>88</v>
      </c>
      <c r="H620" t="s">
        <v>89</v>
      </c>
      <c r="AC620">
        <v>1</v>
      </c>
      <c r="AD620">
        <v>0</v>
      </c>
      <c r="AE620">
        <v>0</v>
      </c>
      <c r="AF620">
        <v>0</v>
      </c>
      <c r="AH620">
        <v>0</v>
      </c>
      <c r="AI620">
        <v>1</v>
      </c>
      <c r="AJ620">
        <v>0</v>
      </c>
      <c r="AK620">
        <v>0</v>
      </c>
      <c r="AL620">
        <v>0</v>
      </c>
      <c r="AM620">
        <v>0</v>
      </c>
      <c r="AN620">
        <v>1</v>
      </c>
      <c r="AO620">
        <v>0</v>
      </c>
      <c r="AP620">
        <v>0</v>
      </c>
      <c r="AQ620">
        <v>0</v>
      </c>
      <c r="AR620">
        <v>0</v>
      </c>
      <c r="AS620">
        <v>0</v>
      </c>
      <c r="AT620">
        <v>1</v>
      </c>
      <c r="AV620">
        <v>0</v>
      </c>
      <c r="AW620">
        <v>1</v>
      </c>
    </row>
    <row r="621" spans="1:49" x14ac:dyDescent="0.25">
      <c r="A621" t="str">
        <f>"617"</f>
        <v>617</v>
      </c>
      <c r="B621" t="str">
        <f t="shared" si="34"/>
        <v>1</v>
      </c>
      <c r="C621" t="str">
        <f t="shared" si="35"/>
        <v>27</v>
      </c>
      <c r="D621" t="str">
        <f>"5"</f>
        <v>5</v>
      </c>
      <c r="E621" t="str">
        <f>"1-27-5"</f>
        <v>1-27-5</v>
      </c>
      <c r="F621" t="s">
        <v>83</v>
      </c>
      <c r="G621" t="s">
        <v>84</v>
      </c>
      <c r="H621" t="s">
        <v>92</v>
      </c>
      <c r="I621">
        <v>1</v>
      </c>
      <c r="J621">
        <v>1</v>
      </c>
      <c r="N621">
        <v>1</v>
      </c>
      <c r="O621">
        <v>1</v>
      </c>
      <c r="P621">
        <v>1</v>
      </c>
      <c r="Q621">
        <v>1</v>
      </c>
      <c r="R621">
        <v>1</v>
      </c>
      <c r="S621">
        <v>1</v>
      </c>
      <c r="T621">
        <v>1</v>
      </c>
      <c r="W621">
        <v>1</v>
      </c>
      <c r="X621">
        <v>1</v>
      </c>
      <c r="Y621">
        <v>1</v>
      </c>
      <c r="Z621">
        <v>1</v>
      </c>
      <c r="AA621">
        <v>1</v>
      </c>
      <c r="AB621">
        <v>1</v>
      </c>
    </row>
    <row r="622" spans="1:49" x14ac:dyDescent="0.25">
      <c r="A622" t="str">
        <f>"618"</f>
        <v>618</v>
      </c>
      <c r="B622" t="str">
        <f t="shared" si="34"/>
        <v>1</v>
      </c>
      <c r="C622" t="str">
        <f t="shared" si="35"/>
        <v>27</v>
      </c>
      <c r="D622" t="str">
        <f>"18"</f>
        <v>18</v>
      </c>
      <c r="E622" t="str">
        <f>"1-27-18"</f>
        <v>1-27-18</v>
      </c>
      <c r="F622" t="s">
        <v>83</v>
      </c>
      <c r="G622" t="s">
        <v>84</v>
      </c>
      <c r="H622" t="s">
        <v>92</v>
      </c>
      <c r="I622">
        <v>1</v>
      </c>
      <c r="J622">
        <v>1</v>
      </c>
      <c r="N622">
        <v>1</v>
      </c>
      <c r="O622">
        <v>1</v>
      </c>
      <c r="P622">
        <v>1</v>
      </c>
      <c r="Q622">
        <v>1</v>
      </c>
      <c r="R622">
        <v>1</v>
      </c>
      <c r="S622">
        <v>1</v>
      </c>
      <c r="T622">
        <v>1</v>
      </c>
      <c r="W622">
        <v>1</v>
      </c>
      <c r="X622">
        <v>1</v>
      </c>
      <c r="Y622">
        <v>1</v>
      </c>
      <c r="Z622">
        <v>1</v>
      </c>
      <c r="AA622">
        <v>1</v>
      </c>
      <c r="AB622">
        <v>1</v>
      </c>
    </row>
    <row r="623" spans="1:49" x14ac:dyDescent="0.25">
      <c r="A623" t="str">
        <f>"619"</f>
        <v>619</v>
      </c>
      <c r="B623" t="str">
        <f t="shared" si="34"/>
        <v>1</v>
      </c>
      <c r="C623" t="str">
        <f t="shared" si="35"/>
        <v>27</v>
      </c>
      <c r="D623" t="str">
        <f>"10"</f>
        <v>10</v>
      </c>
      <c r="E623" t="str">
        <f>"1-27-10"</f>
        <v>1-27-10</v>
      </c>
      <c r="F623" t="s">
        <v>83</v>
      </c>
      <c r="G623" t="s">
        <v>84</v>
      </c>
      <c r="H623" t="s">
        <v>85</v>
      </c>
      <c r="AC623">
        <v>1</v>
      </c>
      <c r="AD623">
        <v>0</v>
      </c>
      <c r="AE623">
        <v>0</v>
      </c>
      <c r="AF623">
        <v>0</v>
      </c>
      <c r="AG623">
        <v>1</v>
      </c>
      <c r="AJ623">
        <v>1</v>
      </c>
      <c r="AK623">
        <v>0</v>
      </c>
      <c r="AL623">
        <v>1</v>
      </c>
      <c r="AM623">
        <v>0</v>
      </c>
      <c r="AN623">
        <v>0</v>
      </c>
      <c r="AO623">
        <v>1</v>
      </c>
      <c r="AP623">
        <v>1</v>
      </c>
      <c r="AQ623">
        <v>1</v>
      </c>
      <c r="AR623">
        <v>1</v>
      </c>
      <c r="AS623">
        <v>1</v>
      </c>
      <c r="AT623">
        <v>0</v>
      </c>
      <c r="AV623">
        <v>1</v>
      </c>
      <c r="AW623">
        <v>1</v>
      </c>
    </row>
    <row r="624" spans="1:49" x14ac:dyDescent="0.25">
      <c r="A624" t="str">
        <f>"620"</f>
        <v>620</v>
      </c>
      <c r="B624" t="str">
        <f t="shared" si="34"/>
        <v>1</v>
      </c>
      <c r="C624" t="str">
        <f t="shared" si="35"/>
        <v>27</v>
      </c>
      <c r="D624" t="str">
        <f>"2"</f>
        <v>2</v>
      </c>
      <c r="E624" t="str">
        <f>"1-27-2"</f>
        <v>1-27-2</v>
      </c>
      <c r="F624" t="s">
        <v>83</v>
      </c>
      <c r="G624" t="s">
        <v>84</v>
      </c>
      <c r="H624" t="s">
        <v>85</v>
      </c>
      <c r="AC624">
        <v>0</v>
      </c>
      <c r="AD624">
        <v>1</v>
      </c>
      <c r="AE624">
        <v>0</v>
      </c>
      <c r="AF624">
        <v>0</v>
      </c>
      <c r="AG624">
        <v>0</v>
      </c>
      <c r="AJ624">
        <v>0</v>
      </c>
      <c r="AK624">
        <v>1</v>
      </c>
      <c r="AL624">
        <v>0</v>
      </c>
      <c r="AM624">
        <v>0</v>
      </c>
      <c r="AN624">
        <v>1</v>
      </c>
      <c r="AO624">
        <v>0</v>
      </c>
      <c r="AP624">
        <v>0</v>
      </c>
      <c r="AQ624">
        <v>0</v>
      </c>
      <c r="AR624">
        <v>0</v>
      </c>
      <c r="AS624">
        <v>1</v>
      </c>
      <c r="AT624">
        <v>0</v>
      </c>
      <c r="AV624">
        <v>0</v>
      </c>
      <c r="AW624">
        <v>1</v>
      </c>
    </row>
    <row r="625" spans="1:49" x14ac:dyDescent="0.25">
      <c r="A625" t="str">
        <f>"621"</f>
        <v>621</v>
      </c>
      <c r="B625" t="str">
        <f t="shared" si="34"/>
        <v>1</v>
      </c>
      <c r="C625" t="str">
        <f t="shared" si="35"/>
        <v>27</v>
      </c>
      <c r="D625" t="str">
        <f>"20"</f>
        <v>20</v>
      </c>
      <c r="E625" t="str">
        <f>"1-27-20"</f>
        <v>1-27-20</v>
      </c>
      <c r="F625" t="s">
        <v>83</v>
      </c>
      <c r="G625" t="s">
        <v>88</v>
      </c>
      <c r="H625" t="s">
        <v>89</v>
      </c>
      <c r="AC625">
        <v>0</v>
      </c>
      <c r="AD625">
        <v>1</v>
      </c>
      <c r="AE625">
        <v>0</v>
      </c>
      <c r="AF625">
        <v>0</v>
      </c>
      <c r="AH625">
        <v>0</v>
      </c>
      <c r="AI625">
        <v>1</v>
      </c>
      <c r="AJ625">
        <v>1</v>
      </c>
      <c r="AK625">
        <v>0</v>
      </c>
      <c r="AL625">
        <v>0</v>
      </c>
      <c r="AM625">
        <v>1</v>
      </c>
      <c r="AN625">
        <v>0</v>
      </c>
      <c r="AO625">
        <v>1</v>
      </c>
      <c r="AP625">
        <v>1</v>
      </c>
      <c r="AQ625">
        <v>1</v>
      </c>
      <c r="AR625">
        <v>1</v>
      </c>
      <c r="AS625">
        <v>0</v>
      </c>
      <c r="AT625">
        <v>1</v>
      </c>
      <c r="AV625">
        <v>1</v>
      </c>
      <c r="AW625">
        <v>1</v>
      </c>
    </row>
    <row r="626" spans="1:49" x14ac:dyDescent="0.25">
      <c r="A626" t="str">
        <f>"622"</f>
        <v>622</v>
      </c>
      <c r="B626" t="str">
        <f t="shared" si="34"/>
        <v>1</v>
      </c>
      <c r="C626" t="str">
        <f t="shared" si="35"/>
        <v>27</v>
      </c>
      <c r="D626" t="str">
        <f>"11"</f>
        <v>11</v>
      </c>
      <c r="E626" t="str">
        <f>"1-27-11"</f>
        <v>1-27-11</v>
      </c>
      <c r="F626" t="s">
        <v>83</v>
      </c>
      <c r="G626" t="s">
        <v>84</v>
      </c>
      <c r="H626" t="s">
        <v>85</v>
      </c>
      <c r="AC626">
        <v>0</v>
      </c>
      <c r="AD626">
        <v>1</v>
      </c>
      <c r="AE626">
        <v>0</v>
      </c>
      <c r="AF626">
        <v>0</v>
      </c>
      <c r="AG626">
        <v>0</v>
      </c>
      <c r="AJ626">
        <v>0</v>
      </c>
      <c r="AK626">
        <v>1</v>
      </c>
      <c r="AL626">
        <v>0</v>
      </c>
      <c r="AM626">
        <v>0</v>
      </c>
      <c r="AN626">
        <v>1</v>
      </c>
      <c r="AO626">
        <v>0</v>
      </c>
      <c r="AP626">
        <v>0</v>
      </c>
      <c r="AQ626">
        <v>0</v>
      </c>
      <c r="AR626">
        <v>0</v>
      </c>
      <c r="AS626">
        <v>0</v>
      </c>
      <c r="AT626">
        <v>0</v>
      </c>
      <c r="AV626">
        <v>0</v>
      </c>
      <c r="AW626">
        <v>0</v>
      </c>
    </row>
    <row r="627" spans="1:49" x14ac:dyDescent="0.25">
      <c r="A627" t="str">
        <f>"623"</f>
        <v>623</v>
      </c>
      <c r="B627" t="str">
        <f t="shared" si="34"/>
        <v>1</v>
      </c>
      <c r="C627" t="str">
        <f t="shared" si="35"/>
        <v>27</v>
      </c>
      <c r="D627" t="str">
        <f>"6"</f>
        <v>6</v>
      </c>
      <c r="E627" t="str">
        <f>"1-27-6"</f>
        <v>1-27-6</v>
      </c>
      <c r="F627" t="s">
        <v>83</v>
      </c>
      <c r="G627" t="s">
        <v>84</v>
      </c>
      <c r="H627" t="s">
        <v>92</v>
      </c>
      <c r="I627">
        <v>1</v>
      </c>
      <c r="J627">
        <v>1</v>
      </c>
      <c r="N627">
        <v>1</v>
      </c>
      <c r="O627">
        <v>1</v>
      </c>
      <c r="P627">
        <v>1</v>
      </c>
      <c r="Q627">
        <v>1</v>
      </c>
      <c r="R627">
        <v>1</v>
      </c>
      <c r="S627">
        <v>1</v>
      </c>
      <c r="T627">
        <v>1</v>
      </c>
      <c r="W627">
        <v>1</v>
      </c>
      <c r="X627">
        <v>1</v>
      </c>
      <c r="Y627">
        <v>1</v>
      </c>
      <c r="Z627">
        <v>1</v>
      </c>
      <c r="AA627">
        <v>1</v>
      </c>
      <c r="AB627">
        <v>1</v>
      </c>
    </row>
    <row r="628" spans="1:49" x14ac:dyDescent="0.25">
      <c r="A628" t="str">
        <f>"624"</f>
        <v>624</v>
      </c>
      <c r="B628" t="str">
        <f t="shared" si="34"/>
        <v>1</v>
      </c>
      <c r="C628" t="str">
        <f t="shared" si="35"/>
        <v>27</v>
      </c>
      <c r="D628" t="str">
        <f>"21"</f>
        <v>21</v>
      </c>
      <c r="E628" t="str">
        <f>"1-27-21"</f>
        <v>1-27-21</v>
      </c>
      <c r="F628" t="s">
        <v>83</v>
      </c>
      <c r="G628" t="s">
        <v>84</v>
      </c>
      <c r="H628" t="s">
        <v>92</v>
      </c>
      <c r="I628">
        <v>0</v>
      </c>
      <c r="J628">
        <v>1</v>
      </c>
      <c r="N628">
        <v>0</v>
      </c>
      <c r="O628">
        <v>0</v>
      </c>
      <c r="P628">
        <v>0</v>
      </c>
      <c r="Q628">
        <v>0</v>
      </c>
      <c r="R628">
        <v>0</v>
      </c>
      <c r="S628">
        <v>1</v>
      </c>
      <c r="T628">
        <v>1</v>
      </c>
      <c r="W628">
        <v>0</v>
      </c>
      <c r="X628">
        <v>1</v>
      </c>
      <c r="Y628">
        <v>0</v>
      </c>
      <c r="Z628">
        <v>0</v>
      </c>
      <c r="AA628">
        <v>0</v>
      </c>
      <c r="AB628">
        <v>0</v>
      </c>
    </row>
    <row r="629" spans="1:49" x14ac:dyDescent="0.25">
      <c r="A629" t="str">
        <f>"625"</f>
        <v>625</v>
      </c>
      <c r="B629" t="str">
        <f t="shared" si="34"/>
        <v>1</v>
      </c>
      <c r="C629" t="str">
        <f t="shared" si="35"/>
        <v>27</v>
      </c>
      <c r="D629" t="str">
        <f>"13"</f>
        <v>13</v>
      </c>
      <c r="E629" t="str">
        <f>"1-27-13"</f>
        <v>1-27-13</v>
      </c>
      <c r="F629" t="s">
        <v>83</v>
      </c>
      <c r="G629" t="s">
        <v>84</v>
      </c>
      <c r="H629" t="s">
        <v>85</v>
      </c>
      <c r="AC629">
        <v>0</v>
      </c>
      <c r="AD629">
        <v>1</v>
      </c>
      <c r="AE629">
        <v>0</v>
      </c>
      <c r="AF629">
        <v>0</v>
      </c>
      <c r="AG629">
        <v>0</v>
      </c>
      <c r="AJ629">
        <v>0</v>
      </c>
      <c r="AK629">
        <v>1</v>
      </c>
      <c r="AL629">
        <v>0</v>
      </c>
      <c r="AM629">
        <v>0</v>
      </c>
      <c r="AN629">
        <v>1</v>
      </c>
      <c r="AO629">
        <v>0</v>
      </c>
      <c r="AP629">
        <v>0</v>
      </c>
      <c r="AQ629">
        <v>0</v>
      </c>
      <c r="AR629">
        <v>0</v>
      </c>
      <c r="AS629">
        <v>1</v>
      </c>
      <c r="AT629">
        <v>0</v>
      </c>
      <c r="AV629">
        <v>0</v>
      </c>
      <c r="AW629">
        <v>0</v>
      </c>
    </row>
    <row r="630" spans="1:49" x14ac:dyDescent="0.25">
      <c r="A630" t="str">
        <f>"626"</f>
        <v>626</v>
      </c>
      <c r="B630" t="str">
        <f t="shared" si="34"/>
        <v>1</v>
      </c>
      <c r="C630" t="str">
        <f t="shared" si="35"/>
        <v>27</v>
      </c>
      <c r="D630" t="str">
        <f>"3"</f>
        <v>3</v>
      </c>
      <c r="E630" t="str">
        <f>"1-27-3"</f>
        <v>1-27-3</v>
      </c>
      <c r="F630" t="s">
        <v>83</v>
      </c>
      <c r="G630" t="s">
        <v>88</v>
      </c>
      <c r="H630" t="s">
        <v>89</v>
      </c>
      <c r="AC630">
        <v>0</v>
      </c>
      <c r="AD630">
        <v>1</v>
      </c>
      <c r="AE630">
        <v>0</v>
      </c>
      <c r="AF630">
        <v>0</v>
      </c>
      <c r="AH630">
        <v>0</v>
      </c>
      <c r="AI630">
        <v>1</v>
      </c>
      <c r="AJ630">
        <v>0</v>
      </c>
      <c r="AK630">
        <v>1</v>
      </c>
      <c r="AL630">
        <v>0</v>
      </c>
      <c r="AM630">
        <v>1</v>
      </c>
      <c r="AN630">
        <v>0</v>
      </c>
      <c r="AO630">
        <v>1</v>
      </c>
      <c r="AP630">
        <v>1</v>
      </c>
      <c r="AQ630">
        <v>1</v>
      </c>
      <c r="AR630">
        <v>1</v>
      </c>
      <c r="AS630">
        <v>0</v>
      </c>
      <c r="AT630">
        <v>1</v>
      </c>
      <c r="AV630">
        <v>1</v>
      </c>
      <c r="AW630">
        <v>1</v>
      </c>
    </row>
    <row r="631" spans="1:49" x14ac:dyDescent="0.25">
      <c r="A631" t="str">
        <f>"627"</f>
        <v>627</v>
      </c>
      <c r="B631" t="str">
        <f t="shared" si="34"/>
        <v>1</v>
      </c>
      <c r="C631" t="str">
        <f t="shared" si="35"/>
        <v>27</v>
      </c>
      <c r="D631" t="str">
        <f>"22"</f>
        <v>22</v>
      </c>
      <c r="E631" t="str">
        <f>"1-27-22"</f>
        <v>1-27-22</v>
      </c>
      <c r="F631" t="s">
        <v>83</v>
      </c>
      <c r="G631" t="s">
        <v>84</v>
      </c>
      <c r="H631" t="s">
        <v>85</v>
      </c>
      <c r="AC631">
        <v>0</v>
      </c>
      <c r="AD631">
        <v>1</v>
      </c>
      <c r="AE631">
        <v>0</v>
      </c>
      <c r="AF631">
        <v>0</v>
      </c>
      <c r="AG631">
        <v>1</v>
      </c>
      <c r="AJ631">
        <v>0</v>
      </c>
      <c r="AK631">
        <v>1</v>
      </c>
      <c r="AL631">
        <v>0</v>
      </c>
      <c r="AM631">
        <v>0</v>
      </c>
      <c r="AN631">
        <v>1</v>
      </c>
      <c r="AO631">
        <v>1</v>
      </c>
      <c r="AP631">
        <v>1</v>
      </c>
      <c r="AQ631">
        <v>1</v>
      </c>
      <c r="AR631">
        <v>1</v>
      </c>
      <c r="AS631">
        <v>0</v>
      </c>
      <c r="AT631">
        <v>0</v>
      </c>
      <c r="AV631">
        <v>1</v>
      </c>
      <c r="AW631">
        <v>0</v>
      </c>
    </row>
    <row r="632" spans="1:49" x14ac:dyDescent="0.25">
      <c r="A632" t="str">
        <f>"628"</f>
        <v>628</v>
      </c>
      <c r="B632" t="str">
        <f t="shared" si="34"/>
        <v>1</v>
      </c>
      <c r="C632" t="str">
        <f t="shared" si="35"/>
        <v>27</v>
      </c>
      <c r="D632" t="str">
        <f>"14"</f>
        <v>14</v>
      </c>
      <c r="E632" t="str">
        <f>"1-27-14"</f>
        <v>1-27-14</v>
      </c>
      <c r="F632" t="s">
        <v>83</v>
      </c>
      <c r="G632" t="s">
        <v>84</v>
      </c>
      <c r="H632" t="s">
        <v>92</v>
      </c>
      <c r="I632">
        <v>1</v>
      </c>
      <c r="J632">
        <v>1</v>
      </c>
      <c r="N632">
        <v>1</v>
      </c>
      <c r="O632">
        <v>1</v>
      </c>
      <c r="P632">
        <v>1</v>
      </c>
      <c r="Q632">
        <v>1</v>
      </c>
      <c r="R632">
        <v>1</v>
      </c>
      <c r="S632">
        <v>1</v>
      </c>
      <c r="T632">
        <v>1</v>
      </c>
      <c r="W632">
        <v>1</v>
      </c>
      <c r="X632">
        <v>1</v>
      </c>
      <c r="Y632">
        <v>1</v>
      </c>
      <c r="Z632">
        <v>1</v>
      </c>
      <c r="AA632">
        <v>1</v>
      </c>
      <c r="AB632">
        <v>1</v>
      </c>
    </row>
    <row r="633" spans="1:49" x14ac:dyDescent="0.25">
      <c r="A633" t="str">
        <f>"629"</f>
        <v>629</v>
      </c>
      <c r="B633" t="str">
        <f t="shared" si="34"/>
        <v>1</v>
      </c>
      <c r="C633" t="str">
        <f t="shared" si="35"/>
        <v>27</v>
      </c>
      <c r="D633" t="str">
        <f>"7"</f>
        <v>7</v>
      </c>
      <c r="E633" t="str">
        <f>"1-27-7"</f>
        <v>1-27-7</v>
      </c>
      <c r="F633" t="s">
        <v>83</v>
      </c>
      <c r="G633" t="s">
        <v>84</v>
      </c>
      <c r="H633" t="s">
        <v>92</v>
      </c>
      <c r="I633">
        <v>1</v>
      </c>
      <c r="J633">
        <v>1</v>
      </c>
      <c r="N633">
        <v>1</v>
      </c>
      <c r="O633">
        <v>0</v>
      </c>
      <c r="P633">
        <v>0</v>
      </c>
      <c r="Q633">
        <v>0</v>
      </c>
      <c r="R633">
        <v>0</v>
      </c>
      <c r="S633">
        <v>1</v>
      </c>
      <c r="T633">
        <v>0</v>
      </c>
      <c r="W633">
        <v>0</v>
      </c>
      <c r="X633">
        <v>1</v>
      </c>
      <c r="Y633">
        <v>0</v>
      </c>
      <c r="Z633">
        <v>1</v>
      </c>
      <c r="AA633">
        <v>0</v>
      </c>
      <c r="AB633">
        <v>0</v>
      </c>
    </row>
    <row r="634" spans="1:49" x14ac:dyDescent="0.25">
      <c r="A634" t="str">
        <f>"630"</f>
        <v>630</v>
      </c>
      <c r="B634" t="str">
        <f t="shared" si="34"/>
        <v>1</v>
      </c>
      <c r="C634" t="str">
        <f t="shared" si="35"/>
        <v>27</v>
      </c>
      <c r="D634" t="str">
        <f>"23"</f>
        <v>23</v>
      </c>
      <c r="E634" t="str">
        <f>"1-27-23"</f>
        <v>1-27-23</v>
      </c>
      <c r="F634" t="s">
        <v>83</v>
      </c>
      <c r="G634" t="s">
        <v>84</v>
      </c>
      <c r="H634" t="s">
        <v>85</v>
      </c>
      <c r="AC634">
        <v>0</v>
      </c>
      <c r="AD634">
        <v>1</v>
      </c>
      <c r="AE634">
        <v>0</v>
      </c>
      <c r="AF634">
        <v>0</v>
      </c>
      <c r="AG634">
        <v>1</v>
      </c>
      <c r="AJ634">
        <v>0</v>
      </c>
      <c r="AK634">
        <v>1</v>
      </c>
      <c r="AL634">
        <v>0</v>
      </c>
      <c r="AM634">
        <v>1</v>
      </c>
      <c r="AN634">
        <v>0</v>
      </c>
      <c r="AO634">
        <v>1</v>
      </c>
      <c r="AP634">
        <v>1</v>
      </c>
      <c r="AQ634">
        <v>1</v>
      </c>
      <c r="AR634">
        <v>1</v>
      </c>
      <c r="AS634">
        <v>1</v>
      </c>
      <c r="AT634">
        <v>0</v>
      </c>
      <c r="AV634">
        <v>1</v>
      </c>
      <c r="AW634">
        <v>1</v>
      </c>
    </row>
    <row r="635" spans="1:49" x14ac:dyDescent="0.25">
      <c r="A635" t="str">
        <f>"631"</f>
        <v>631</v>
      </c>
      <c r="B635" t="str">
        <f t="shared" si="34"/>
        <v>1</v>
      </c>
      <c r="C635" t="str">
        <f t="shared" si="35"/>
        <v>27</v>
      </c>
      <c r="D635" t="str">
        <f>"15"</f>
        <v>15</v>
      </c>
      <c r="E635" t="str">
        <f>"1-27-15"</f>
        <v>1-27-15</v>
      </c>
      <c r="F635" t="s">
        <v>83</v>
      </c>
      <c r="G635" t="s">
        <v>84</v>
      </c>
      <c r="H635" t="s">
        <v>85</v>
      </c>
      <c r="AC635">
        <v>1</v>
      </c>
      <c r="AD635">
        <v>0</v>
      </c>
      <c r="AE635">
        <v>0</v>
      </c>
      <c r="AF635">
        <v>0</v>
      </c>
      <c r="AG635">
        <v>1</v>
      </c>
      <c r="AJ635">
        <v>0</v>
      </c>
      <c r="AK635">
        <v>1</v>
      </c>
      <c r="AL635">
        <v>1</v>
      </c>
      <c r="AM635">
        <v>0</v>
      </c>
      <c r="AN635">
        <v>0</v>
      </c>
      <c r="AO635">
        <v>1</v>
      </c>
      <c r="AP635">
        <v>1</v>
      </c>
      <c r="AQ635">
        <v>1</v>
      </c>
      <c r="AR635">
        <v>1</v>
      </c>
      <c r="AS635">
        <v>0</v>
      </c>
      <c r="AT635">
        <v>1</v>
      </c>
      <c r="AV635">
        <v>1</v>
      </c>
      <c r="AW635">
        <v>1</v>
      </c>
    </row>
    <row r="636" spans="1:49" x14ac:dyDescent="0.25">
      <c r="A636" t="str">
        <f>"632"</f>
        <v>632</v>
      </c>
      <c r="B636" t="str">
        <f t="shared" si="34"/>
        <v>1</v>
      </c>
      <c r="C636" t="str">
        <f t="shared" si="35"/>
        <v>27</v>
      </c>
      <c r="D636" t="str">
        <f>"4"</f>
        <v>4</v>
      </c>
      <c r="E636" t="str">
        <f>"1-27-4"</f>
        <v>1-27-4</v>
      </c>
      <c r="F636" t="s">
        <v>83</v>
      </c>
      <c r="G636" t="s">
        <v>88</v>
      </c>
      <c r="H636" t="s">
        <v>89</v>
      </c>
      <c r="AC636">
        <v>0</v>
      </c>
      <c r="AD636">
        <v>0</v>
      </c>
      <c r="AE636">
        <v>0</v>
      </c>
      <c r="AF636">
        <v>0</v>
      </c>
      <c r="AH636">
        <v>0</v>
      </c>
      <c r="AI636">
        <v>1</v>
      </c>
      <c r="AJ636">
        <v>0</v>
      </c>
      <c r="AK636">
        <v>0</v>
      </c>
      <c r="AL636">
        <v>0</v>
      </c>
      <c r="AM636">
        <v>0</v>
      </c>
      <c r="AN636">
        <v>1</v>
      </c>
      <c r="AO636">
        <v>0</v>
      </c>
      <c r="AP636">
        <v>0</v>
      </c>
      <c r="AQ636">
        <v>0</v>
      </c>
      <c r="AR636">
        <v>0</v>
      </c>
      <c r="AS636">
        <v>1</v>
      </c>
      <c r="AT636">
        <v>0</v>
      </c>
      <c r="AV636">
        <v>0</v>
      </c>
      <c r="AW636">
        <v>0</v>
      </c>
    </row>
    <row r="637" spans="1:49" x14ac:dyDescent="0.25">
      <c r="A637" t="str">
        <f>"633"</f>
        <v>633</v>
      </c>
      <c r="B637" t="str">
        <f t="shared" si="34"/>
        <v>1</v>
      </c>
      <c r="C637" t="str">
        <f t="shared" ref="C637:C656" si="36">"28"</f>
        <v>28</v>
      </c>
      <c r="D637" t="str">
        <f>"17"</f>
        <v>17</v>
      </c>
      <c r="E637" t="str">
        <f>"1-28-17"</f>
        <v>1-28-17</v>
      </c>
      <c r="F637" t="s">
        <v>83</v>
      </c>
      <c r="G637" t="s">
        <v>84</v>
      </c>
      <c r="H637" t="s">
        <v>92</v>
      </c>
      <c r="I637">
        <v>1</v>
      </c>
      <c r="J637">
        <v>1</v>
      </c>
      <c r="N637">
        <v>1</v>
      </c>
      <c r="O637">
        <v>1</v>
      </c>
      <c r="P637">
        <v>1</v>
      </c>
      <c r="Q637">
        <v>1</v>
      </c>
      <c r="R637">
        <v>1</v>
      </c>
      <c r="S637">
        <v>1</v>
      </c>
      <c r="T637">
        <v>1</v>
      </c>
      <c r="W637">
        <v>1</v>
      </c>
      <c r="X637">
        <v>1</v>
      </c>
      <c r="Y637">
        <v>1</v>
      </c>
      <c r="Z637">
        <v>1</v>
      </c>
      <c r="AA637">
        <v>1</v>
      </c>
      <c r="AB637">
        <v>1</v>
      </c>
    </row>
    <row r="638" spans="1:49" x14ac:dyDescent="0.25">
      <c r="A638" t="str">
        <f>"634"</f>
        <v>634</v>
      </c>
      <c r="B638" t="str">
        <f t="shared" si="34"/>
        <v>1</v>
      </c>
      <c r="C638" t="str">
        <f t="shared" si="36"/>
        <v>28</v>
      </c>
      <c r="D638" t="str">
        <f>"16"</f>
        <v>16</v>
      </c>
      <c r="E638" t="str">
        <f>"1-28-16"</f>
        <v>1-28-16</v>
      </c>
      <c r="F638" t="s">
        <v>83</v>
      </c>
      <c r="G638" t="s">
        <v>84</v>
      </c>
      <c r="H638" t="s">
        <v>92</v>
      </c>
      <c r="I638">
        <v>1</v>
      </c>
      <c r="J638">
        <v>1</v>
      </c>
      <c r="N638">
        <v>1</v>
      </c>
      <c r="O638">
        <v>1</v>
      </c>
      <c r="P638">
        <v>1</v>
      </c>
      <c r="Q638">
        <v>1</v>
      </c>
      <c r="R638">
        <v>1</v>
      </c>
      <c r="S638">
        <v>1</v>
      </c>
      <c r="T638">
        <v>1</v>
      </c>
      <c r="W638">
        <v>1</v>
      </c>
      <c r="X638">
        <v>1</v>
      </c>
      <c r="Y638">
        <v>1</v>
      </c>
      <c r="Z638">
        <v>1</v>
      </c>
      <c r="AA638">
        <v>1</v>
      </c>
      <c r="AB638">
        <v>1</v>
      </c>
    </row>
    <row r="639" spans="1:49" x14ac:dyDescent="0.25">
      <c r="A639" t="str">
        <f>"635"</f>
        <v>635</v>
      </c>
      <c r="B639" t="str">
        <f t="shared" si="34"/>
        <v>1</v>
      </c>
      <c r="C639" t="str">
        <f t="shared" si="36"/>
        <v>28</v>
      </c>
      <c r="D639" t="str">
        <f>"13"</f>
        <v>13</v>
      </c>
      <c r="E639" t="str">
        <f>"1-28-13"</f>
        <v>1-28-13</v>
      </c>
      <c r="F639" t="s">
        <v>83</v>
      </c>
      <c r="G639" t="s">
        <v>84</v>
      </c>
      <c r="H639" t="s">
        <v>85</v>
      </c>
      <c r="AC639">
        <v>0</v>
      </c>
      <c r="AD639">
        <v>1</v>
      </c>
      <c r="AE639">
        <v>0</v>
      </c>
      <c r="AF639">
        <v>0</v>
      </c>
      <c r="AG639">
        <v>1</v>
      </c>
      <c r="AJ639">
        <v>0</v>
      </c>
      <c r="AK639">
        <v>1</v>
      </c>
      <c r="AL639">
        <v>1</v>
      </c>
      <c r="AM639">
        <v>0</v>
      </c>
      <c r="AN639">
        <v>0</v>
      </c>
      <c r="AO639">
        <v>1</v>
      </c>
      <c r="AP639">
        <v>1</v>
      </c>
      <c r="AQ639">
        <v>1</v>
      </c>
      <c r="AR639">
        <v>1</v>
      </c>
      <c r="AS639">
        <v>0</v>
      </c>
      <c r="AT639">
        <v>1</v>
      </c>
      <c r="AV639">
        <v>1</v>
      </c>
      <c r="AW639">
        <v>1</v>
      </c>
    </row>
    <row r="640" spans="1:49" x14ac:dyDescent="0.25">
      <c r="A640" t="str">
        <f>"636"</f>
        <v>636</v>
      </c>
      <c r="B640" t="str">
        <f t="shared" si="34"/>
        <v>1</v>
      </c>
      <c r="C640" t="str">
        <f t="shared" si="36"/>
        <v>28</v>
      </c>
      <c r="D640" t="str">
        <f>"8"</f>
        <v>8</v>
      </c>
      <c r="E640" t="str">
        <f>"1-28-8"</f>
        <v>1-28-8</v>
      </c>
      <c r="F640" t="s">
        <v>83</v>
      </c>
      <c r="G640" t="s">
        <v>84</v>
      </c>
      <c r="H640" t="s">
        <v>85</v>
      </c>
      <c r="AC640">
        <v>0</v>
      </c>
      <c r="AD640">
        <v>1</v>
      </c>
      <c r="AE640">
        <v>0</v>
      </c>
      <c r="AF640">
        <v>0</v>
      </c>
      <c r="AG640">
        <v>0</v>
      </c>
      <c r="AJ640">
        <v>0</v>
      </c>
      <c r="AK640">
        <v>1</v>
      </c>
      <c r="AL640">
        <v>0</v>
      </c>
      <c r="AM640">
        <v>0</v>
      </c>
      <c r="AN640">
        <v>1</v>
      </c>
      <c r="AO640">
        <v>0</v>
      </c>
      <c r="AP640">
        <v>0</v>
      </c>
      <c r="AQ640">
        <v>0</v>
      </c>
      <c r="AR640">
        <v>0</v>
      </c>
      <c r="AS640">
        <v>0</v>
      </c>
      <c r="AT640">
        <v>1</v>
      </c>
      <c r="AV640">
        <v>0</v>
      </c>
      <c r="AW640">
        <v>0</v>
      </c>
    </row>
    <row r="641" spans="1:49" x14ac:dyDescent="0.25">
      <c r="A641" t="str">
        <f>"637"</f>
        <v>637</v>
      </c>
      <c r="B641" t="str">
        <f t="shared" si="34"/>
        <v>1</v>
      </c>
      <c r="C641" t="str">
        <f t="shared" si="36"/>
        <v>28</v>
      </c>
      <c r="D641" t="str">
        <f>"3"</f>
        <v>3</v>
      </c>
      <c r="E641" t="str">
        <f>"1-28-3"</f>
        <v>1-28-3</v>
      </c>
      <c r="F641" t="s">
        <v>83</v>
      </c>
      <c r="G641" t="s">
        <v>84</v>
      </c>
      <c r="H641" t="s">
        <v>85</v>
      </c>
      <c r="AC641">
        <v>0</v>
      </c>
      <c r="AD641">
        <v>1</v>
      </c>
      <c r="AE641">
        <v>0</v>
      </c>
      <c r="AF641">
        <v>0</v>
      </c>
      <c r="AG641">
        <v>0</v>
      </c>
      <c r="AJ641">
        <v>0</v>
      </c>
      <c r="AK641">
        <v>0</v>
      </c>
      <c r="AL641">
        <v>0</v>
      </c>
      <c r="AM641">
        <v>0</v>
      </c>
      <c r="AN641">
        <v>1</v>
      </c>
      <c r="AO641">
        <v>0</v>
      </c>
      <c r="AP641">
        <v>0</v>
      </c>
      <c r="AQ641">
        <v>0</v>
      </c>
      <c r="AR641">
        <v>0</v>
      </c>
      <c r="AS641">
        <v>0</v>
      </c>
      <c r="AT641">
        <v>0</v>
      </c>
      <c r="AV641">
        <v>0</v>
      </c>
      <c r="AW641">
        <v>1</v>
      </c>
    </row>
    <row r="642" spans="1:49" x14ac:dyDescent="0.25">
      <c r="A642" t="str">
        <f>"638"</f>
        <v>638</v>
      </c>
      <c r="B642" t="str">
        <f t="shared" si="34"/>
        <v>1</v>
      </c>
      <c r="C642" t="str">
        <f t="shared" si="36"/>
        <v>28</v>
      </c>
      <c r="D642" t="str">
        <f>"9"</f>
        <v>9</v>
      </c>
      <c r="E642" t="str">
        <f>"1-28-9"</f>
        <v>1-28-9</v>
      </c>
      <c r="F642" t="s">
        <v>83</v>
      </c>
      <c r="G642" t="s">
        <v>84</v>
      </c>
      <c r="H642" t="s">
        <v>92</v>
      </c>
      <c r="I642">
        <v>1</v>
      </c>
      <c r="J642">
        <v>1</v>
      </c>
      <c r="N642">
        <v>1</v>
      </c>
      <c r="O642">
        <v>1</v>
      </c>
      <c r="P642">
        <v>1</v>
      </c>
      <c r="Q642">
        <v>1</v>
      </c>
      <c r="R642">
        <v>1</v>
      </c>
      <c r="S642">
        <v>1</v>
      </c>
      <c r="T642">
        <v>1</v>
      </c>
      <c r="W642">
        <v>1</v>
      </c>
      <c r="X642">
        <v>1</v>
      </c>
      <c r="Y642">
        <v>1</v>
      </c>
      <c r="Z642">
        <v>1</v>
      </c>
      <c r="AA642">
        <v>1</v>
      </c>
      <c r="AB642">
        <v>1</v>
      </c>
    </row>
    <row r="643" spans="1:49" x14ac:dyDescent="0.25">
      <c r="A643" t="str">
        <f>"639"</f>
        <v>639</v>
      </c>
      <c r="B643" t="str">
        <f t="shared" si="34"/>
        <v>1</v>
      </c>
      <c r="C643" t="str">
        <f t="shared" si="36"/>
        <v>28</v>
      </c>
      <c r="D643" t="str">
        <f>"2"</f>
        <v>2</v>
      </c>
      <c r="E643" t="str">
        <f>"1-28-2"</f>
        <v>1-28-2</v>
      </c>
      <c r="F643" t="s">
        <v>83</v>
      </c>
      <c r="G643" t="s">
        <v>84</v>
      </c>
      <c r="H643" t="s">
        <v>92</v>
      </c>
      <c r="I643">
        <v>1</v>
      </c>
      <c r="J643">
        <v>1</v>
      </c>
      <c r="N643">
        <v>1</v>
      </c>
      <c r="O643">
        <v>1</v>
      </c>
      <c r="P643">
        <v>1</v>
      </c>
      <c r="Q643">
        <v>0</v>
      </c>
      <c r="R643">
        <v>1</v>
      </c>
      <c r="S643">
        <v>1</v>
      </c>
      <c r="T643">
        <v>1</v>
      </c>
      <c r="W643">
        <v>1</v>
      </c>
      <c r="X643">
        <v>1</v>
      </c>
      <c r="Y643">
        <v>1</v>
      </c>
      <c r="Z643">
        <v>1</v>
      </c>
      <c r="AA643">
        <v>1</v>
      </c>
      <c r="AB643">
        <v>1</v>
      </c>
    </row>
    <row r="644" spans="1:49" x14ac:dyDescent="0.25">
      <c r="A644" t="str">
        <f>"640"</f>
        <v>640</v>
      </c>
      <c r="B644" t="str">
        <f t="shared" si="34"/>
        <v>1</v>
      </c>
      <c r="C644" t="str">
        <f t="shared" si="36"/>
        <v>28</v>
      </c>
      <c r="D644" t="str">
        <f>"19"</f>
        <v>19</v>
      </c>
      <c r="E644" t="str">
        <f>"1-28-19"</f>
        <v>1-28-19</v>
      </c>
      <c r="F644" t="s">
        <v>83</v>
      </c>
      <c r="G644" t="s">
        <v>84</v>
      </c>
      <c r="H644" t="s">
        <v>85</v>
      </c>
      <c r="AC644">
        <v>1</v>
      </c>
      <c r="AD644">
        <v>0</v>
      </c>
      <c r="AE644">
        <v>0</v>
      </c>
      <c r="AF644">
        <v>0</v>
      </c>
      <c r="AG644">
        <v>1</v>
      </c>
      <c r="AJ644">
        <v>1</v>
      </c>
      <c r="AK644">
        <v>0</v>
      </c>
      <c r="AL644">
        <v>0</v>
      </c>
      <c r="AM644">
        <v>1</v>
      </c>
      <c r="AN644">
        <v>0</v>
      </c>
      <c r="AO644">
        <v>1</v>
      </c>
      <c r="AP644">
        <v>1</v>
      </c>
      <c r="AQ644">
        <v>1</v>
      </c>
      <c r="AR644">
        <v>1</v>
      </c>
      <c r="AS644">
        <v>0</v>
      </c>
      <c r="AT644">
        <v>1</v>
      </c>
      <c r="AV644">
        <v>1</v>
      </c>
      <c r="AW644">
        <v>1</v>
      </c>
    </row>
    <row r="645" spans="1:49" x14ac:dyDescent="0.25">
      <c r="A645" t="str">
        <f>"641"</f>
        <v>641</v>
      </c>
      <c r="B645" t="str">
        <f t="shared" si="34"/>
        <v>1</v>
      </c>
      <c r="C645" t="str">
        <f t="shared" si="36"/>
        <v>28</v>
      </c>
      <c r="D645" t="str">
        <f>"10"</f>
        <v>10</v>
      </c>
      <c r="E645" t="str">
        <f>"1-28-10"</f>
        <v>1-28-10</v>
      </c>
      <c r="F645" t="s">
        <v>83</v>
      </c>
      <c r="G645" t="s">
        <v>84</v>
      </c>
      <c r="H645" t="s">
        <v>85</v>
      </c>
      <c r="AC645">
        <v>0</v>
      </c>
      <c r="AD645">
        <v>0</v>
      </c>
      <c r="AE645">
        <v>0</v>
      </c>
      <c r="AF645">
        <v>0</v>
      </c>
      <c r="AG645">
        <v>0</v>
      </c>
      <c r="AJ645">
        <v>0</v>
      </c>
      <c r="AK645">
        <v>1</v>
      </c>
      <c r="AL645">
        <v>0</v>
      </c>
      <c r="AM645">
        <v>0</v>
      </c>
      <c r="AN645">
        <v>0</v>
      </c>
      <c r="AO645">
        <v>0</v>
      </c>
      <c r="AP645">
        <v>0</v>
      </c>
      <c r="AQ645">
        <v>0</v>
      </c>
      <c r="AR645">
        <v>0</v>
      </c>
      <c r="AS645">
        <v>0</v>
      </c>
      <c r="AT645">
        <v>0</v>
      </c>
      <c r="AV645">
        <v>0</v>
      </c>
      <c r="AW645">
        <v>0</v>
      </c>
    </row>
    <row r="646" spans="1:49" x14ac:dyDescent="0.25">
      <c r="A646" t="str">
        <f>"642"</f>
        <v>642</v>
      </c>
      <c r="B646" t="str">
        <f t="shared" si="34"/>
        <v>1</v>
      </c>
      <c r="C646" t="str">
        <f t="shared" si="36"/>
        <v>28</v>
      </c>
      <c r="D646" t="str">
        <f>"5"</f>
        <v>5</v>
      </c>
      <c r="E646" t="str">
        <f>"1-28-5"</f>
        <v>1-28-5</v>
      </c>
      <c r="F646" t="s">
        <v>83</v>
      </c>
      <c r="G646" t="s">
        <v>84</v>
      </c>
      <c r="H646" t="s">
        <v>92</v>
      </c>
      <c r="I646">
        <v>1</v>
      </c>
      <c r="J646">
        <v>1</v>
      </c>
      <c r="N646">
        <v>1</v>
      </c>
      <c r="O646">
        <v>1</v>
      </c>
      <c r="P646">
        <v>1</v>
      </c>
      <c r="Q646">
        <v>1</v>
      </c>
      <c r="R646">
        <v>1</v>
      </c>
      <c r="S646">
        <v>1</v>
      </c>
      <c r="T646">
        <v>1</v>
      </c>
      <c r="W646">
        <v>1</v>
      </c>
      <c r="X646">
        <v>1</v>
      </c>
      <c r="Y646">
        <v>1</v>
      </c>
      <c r="Z646">
        <v>1</v>
      </c>
      <c r="AA646">
        <v>1</v>
      </c>
      <c r="AB646">
        <v>1</v>
      </c>
    </row>
    <row r="647" spans="1:49" x14ac:dyDescent="0.25">
      <c r="A647" t="str">
        <f>"643"</f>
        <v>643</v>
      </c>
      <c r="B647" t="str">
        <f t="shared" si="34"/>
        <v>1</v>
      </c>
      <c r="C647" t="str">
        <f t="shared" si="36"/>
        <v>28</v>
      </c>
      <c r="D647" t="str">
        <f>"11"</f>
        <v>11</v>
      </c>
      <c r="E647" t="str">
        <f>"1-28-11"</f>
        <v>1-28-11</v>
      </c>
      <c r="F647" t="s">
        <v>83</v>
      </c>
      <c r="G647" t="s">
        <v>84</v>
      </c>
      <c r="H647" t="s">
        <v>85</v>
      </c>
      <c r="AC647">
        <v>0</v>
      </c>
      <c r="AD647">
        <v>1</v>
      </c>
      <c r="AE647">
        <v>0</v>
      </c>
      <c r="AF647">
        <v>0</v>
      </c>
      <c r="AG647">
        <v>0</v>
      </c>
      <c r="AJ647">
        <v>0</v>
      </c>
      <c r="AK647">
        <v>1</v>
      </c>
      <c r="AL647">
        <v>0</v>
      </c>
      <c r="AM647">
        <v>0</v>
      </c>
      <c r="AN647">
        <v>1</v>
      </c>
      <c r="AO647">
        <v>0</v>
      </c>
      <c r="AP647">
        <v>0</v>
      </c>
      <c r="AQ647">
        <v>0</v>
      </c>
      <c r="AR647">
        <v>0</v>
      </c>
      <c r="AS647">
        <v>1</v>
      </c>
      <c r="AT647">
        <v>0</v>
      </c>
      <c r="AV647">
        <v>0</v>
      </c>
      <c r="AW647">
        <v>0</v>
      </c>
    </row>
    <row r="648" spans="1:49" x14ac:dyDescent="0.25">
      <c r="A648" t="str">
        <f>"644"</f>
        <v>644</v>
      </c>
      <c r="B648" t="str">
        <f t="shared" si="34"/>
        <v>1</v>
      </c>
      <c r="C648" t="str">
        <f t="shared" si="36"/>
        <v>28</v>
      </c>
      <c r="D648" t="str">
        <f>"1"</f>
        <v>1</v>
      </c>
      <c r="E648" t="str">
        <f>"1-28-1"</f>
        <v>1-28-1</v>
      </c>
      <c r="F648" t="s">
        <v>83</v>
      </c>
      <c r="G648" t="s">
        <v>90</v>
      </c>
      <c r="H648" t="s">
        <v>91</v>
      </c>
      <c r="AC648">
        <v>0</v>
      </c>
      <c r="AD648">
        <v>1</v>
      </c>
      <c r="AE648">
        <v>0</v>
      </c>
      <c r="AF648">
        <v>0</v>
      </c>
      <c r="AH648">
        <v>0</v>
      </c>
      <c r="AI648">
        <v>1</v>
      </c>
      <c r="AJ648">
        <v>0</v>
      </c>
      <c r="AK648">
        <v>1</v>
      </c>
      <c r="AL648">
        <v>0</v>
      </c>
      <c r="AM648">
        <v>0</v>
      </c>
      <c r="AN648">
        <v>1</v>
      </c>
      <c r="AO648">
        <v>1</v>
      </c>
      <c r="AP648">
        <v>1</v>
      </c>
      <c r="AQ648">
        <v>1</v>
      </c>
      <c r="AR648">
        <v>1</v>
      </c>
      <c r="AU648">
        <v>1</v>
      </c>
      <c r="AV648">
        <v>1</v>
      </c>
      <c r="AW648">
        <v>1</v>
      </c>
    </row>
    <row r="649" spans="1:49" x14ac:dyDescent="0.25">
      <c r="A649" t="str">
        <f>"645"</f>
        <v>645</v>
      </c>
      <c r="B649" t="str">
        <f t="shared" si="34"/>
        <v>1</v>
      </c>
      <c r="C649" t="str">
        <f t="shared" si="36"/>
        <v>28</v>
      </c>
      <c r="D649" t="str">
        <f>"20"</f>
        <v>20</v>
      </c>
      <c r="E649" t="str">
        <f>"1-28-20"</f>
        <v>1-28-20</v>
      </c>
      <c r="F649" t="s">
        <v>83</v>
      </c>
      <c r="G649" t="s">
        <v>84</v>
      </c>
      <c r="H649" t="s">
        <v>92</v>
      </c>
      <c r="I649">
        <v>1</v>
      </c>
      <c r="J649">
        <v>1</v>
      </c>
      <c r="N649">
        <v>1</v>
      </c>
      <c r="O649">
        <v>1</v>
      </c>
      <c r="P649">
        <v>1</v>
      </c>
      <c r="Q649">
        <v>1</v>
      </c>
      <c r="R649">
        <v>1</v>
      </c>
      <c r="S649">
        <v>1</v>
      </c>
      <c r="T649">
        <v>1</v>
      </c>
      <c r="W649">
        <v>1</v>
      </c>
      <c r="X649">
        <v>1</v>
      </c>
      <c r="Y649">
        <v>1</v>
      </c>
      <c r="Z649">
        <v>1</v>
      </c>
      <c r="AA649">
        <v>1</v>
      </c>
      <c r="AB649">
        <v>1</v>
      </c>
    </row>
    <row r="650" spans="1:49" x14ac:dyDescent="0.25">
      <c r="A650" t="str">
        <f>"646"</f>
        <v>646</v>
      </c>
      <c r="B650" t="str">
        <f t="shared" si="34"/>
        <v>1</v>
      </c>
      <c r="C650" t="str">
        <f t="shared" si="36"/>
        <v>28</v>
      </c>
      <c r="D650" t="str">
        <f>"12"</f>
        <v>12</v>
      </c>
      <c r="E650" t="str">
        <f>"1-28-12"</f>
        <v>1-28-12</v>
      </c>
      <c r="F650" t="s">
        <v>83</v>
      </c>
      <c r="G650" t="s">
        <v>84</v>
      </c>
      <c r="H650" t="s">
        <v>92</v>
      </c>
      <c r="I650">
        <v>1</v>
      </c>
      <c r="J650">
        <v>1</v>
      </c>
      <c r="N650">
        <v>1</v>
      </c>
      <c r="O650">
        <v>1</v>
      </c>
      <c r="P650">
        <v>1</v>
      </c>
      <c r="Q650">
        <v>1</v>
      </c>
      <c r="R650">
        <v>1</v>
      </c>
      <c r="S650">
        <v>1</v>
      </c>
      <c r="T650">
        <v>1</v>
      </c>
      <c r="W650">
        <v>1</v>
      </c>
      <c r="X650">
        <v>1</v>
      </c>
      <c r="Y650">
        <v>1</v>
      </c>
      <c r="Z650">
        <v>1</v>
      </c>
      <c r="AA650">
        <v>1</v>
      </c>
      <c r="AB650">
        <v>1</v>
      </c>
    </row>
    <row r="651" spans="1:49" x14ac:dyDescent="0.25">
      <c r="A651" t="str">
        <f>"647"</f>
        <v>647</v>
      </c>
      <c r="B651" t="str">
        <f t="shared" si="34"/>
        <v>1</v>
      </c>
      <c r="C651" t="str">
        <f t="shared" si="36"/>
        <v>28</v>
      </c>
      <c r="D651" t="str">
        <f>"7"</f>
        <v>7</v>
      </c>
      <c r="E651" t="str">
        <f>"1-28-7"</f>
        <v>1-28-7</v>
      </c>
      <c r="F651" t="s">
        <v>83</v>
      </c>
      <c r="G651" t="s">
        <v>84</v>
      </c>
      <c r="H651" t="s">
        <v>92</v>
      </c>
      <c r="I651">
        <v>1</v>
      </c>
      <c r="J651">
        <v>1</v>
      </c>
      <c r="N651">
        <v>1</v>
      </c>
      <c r="O651">
        <v>1</v>
      </c>
      <c r="P651">
        <v>1</v>
      </c>
      <c r="Q651">
        <v>0</v>
      </c>
      <c r="R651">
        <v>1</v>
      </c>
      <c r="S651">
        <v>1</v>
      </c>
      <c r="T651">
        <v>1</v>
      </c>
      <c r="W651">
        <v>1</v>
      </c>
      <c r="X651">
        <v>1</v>
      </c>
      <c r="Y651">
        <v>1</v>
      </c>
      <c r="Z651">
        <v>1</v>
      </c>
      <c r="AA651">
        <v>1</v>
      </c>
      <c r="AB651">
        <v>1</v>
      </c>
    </row>
    <row r="652" spans="1:49" x14ac:dyDescent="0.25">
      <c r="A652" t="str">
        <f>"648"</f>
        <v>648</v>
      </c>
      <c r="B652" t="str">
        <f t="shared" si="34"/>
        <v>1</v>
      </c>
      <c r="C652" t="str">
        <f t="shared" si="36"/>
        <v>28</v>
      </c>
      <c r="D652" t="str">
        <f>"14"</f>
        <v>14</v>
      </c>
      <c r="E652" t="str">
        <f>"1-28-14"</f>
        <v>1-28-14</v>
      </c>
      <c r="F652" t="s">
        <v>83</v>
      </c>
      <c r="G652" t="s">
        <v>84</v>
      </c>
      <c r="H652" t="s">
        <v>85</v>
      </c>
      <c r="AC652">
        <v>0</v>
      </c>
      <c r="AD652">
        <v>1</v>
      </c>
      <c r="AE652">
        <v>0</v>
      </c>
      <c r="AF652">
        <v>0</v>
      </c>
      <c r="AG652">
        <v>0</v>
      </c>
      <c r="AJ652">
        <v>0</v>
      </c>
      <c r="AK652">
        <v>1</v>
      </c>
      <c r="AL652">
        <v>0</v>
      </c>
      <c r="AM652">
        <v>1</v>
      </c>
      <c r="AN652">
        <v>0</v>
      </c>
      <c r="AO652">
        <v>1</v>
      </c>
      <c r="AP652">
        <v>1</v>
      </c>
      <c r="AQ652">
        <v>1</v>
      </c>
      <c r="AR652">
        <v>1</v>
      </c>
      <c r="AS652">
        <v>1</v>
      </c>
      <c r="AT652">
        <v>0</v>
      </c>
      <c r="AV652">
        <v>1</v>
      </c>
      <c r="AW652">
        <v>1</v>
      </c>
    </row>
    <row r="653" spans="1:49" x14ac:dyDescent="0.25">
      <c r="A653" t="str">
        <f>"649"</f>
        <v>649</v>
      </c>
      <c r="B653" t="str">
        <f t="shared" si="34"/>
        <v>1</v>
      </c>
      <c r="C653" t="str">
        <f t="shared" si="36"/>
        <v>28</v>
      </c>
      <c r="D653" t="str">
        <f>"6"</f>
        <v>6</v>
      </c>
      <c r="E653" t="str">
        <f>"1-28-6"</f>
        <v>1-28-6</v>
      </c>
      <c r="F653" t="s">
        <v>83</v>
      </c>
      <c r="G653" t="s">
        <v>84</v>
      </c>
      <c r="H653" t="s">
        <v>85</v>
      </c>
      <c r="AC653">
        <v>0</v>
      </c>
      <c r="AD653">
        <v>1</v>
      </c>
      <c r="AE653">
        <v>0</v>
      </c>
      <c r="AF653">
        <v>0</v>
      </c>
      <c r="AG653">
        <v>0</v>
      </c>
      <c r="AJ653">
        <v>1</v>
      </c>
      <c r="AK653">
        <v>0</v>
      </c>
      <c r="AL653">
        <v>0</v>
      </c>
      <c r="AM653">
        <v>0</v>
      </c>
      <c r="AN653">
        <v>1</v>
      </c>
      <c r="AO653">
        <v>0</v>
      </c>
      <c r="AP653">
        <v>0</v>
      </c>
      <c r="AQ653">
        <v>0</v>
      </c>
      <c r="AR653">
        <v>0</v>
      </c>
      <c r="AS653">
        <v>0</v>
      </c>
      <c r="AT653">
        <v>0</v>
      </c>
      <c r="AV653">
        <v>0</v>
      </c>
      <c r="AW653">
        <v>1</v>
      </c>
    </row>
    <row r="654" spans="1:49" x14ac:dyDescent="0.25">
      <c r="A654" t="str">
        <f>"650"</f>
        <v>650</v>
      </c>
      <c r="B654" t="str">
        <f t="shared" si="34"/>
        <v>1</v>
      </c>
      <c r="C654" t="str">
        <f t="shared" si="36"/>
        <v>28</v>
      </c>
      <c r="D654" t="str">
        <f>"15"</f>
        <v>15</v>
      </c>
      <c r="E654" t="str">
        <f>"1-28-15"</f>
        <v>1-28-15</v>
      </c>
      <c r="F654" t="s">
        <v>83</v>
      </c>
      <c r="G654" t="s">
        <v>84</v>
      </c>
      <c r="H654" t="s">
        <v>85</v>
      </c>
      <c r="AC654">
        <v>0</v>
      </c>
      <c r="AD654">
        <v>1</v>
      </c>
      <c r="AE654">
        <v>0</v>
      </c>
      <c r="AF654">
        <v>0</v>
      </c>
      <c r="AG654">
        <v>1</v>
      </c>
      <c r="AJ654">
        <v>1</v>
      </c>
      <c r="AK654">
        <v>0</v>
      </c>
      <c r="AL654">
        <v>0</v>
      </c>
      <c r="AM654">
        <v>1</v>
      </c>
      <c r="AN654">
        <v>0</v>
      </c>
      <c r="AO654">
        <v>1</v>
      </c>
      <c r="AP654">
        <v>1</v>
      </c>
      <c r="AQ654">
        <v>1</v>
      </c>
      <c r="AR654">
        <v>1</v>
      </c>
      <c r="AS654">
        <v>0</v>
      </c>
      <c r="AT654">
        <v>1</v>
      </c>
      <c r="AV654">
        <v>0</v>
      </c>
      <c r="AW654">
        <v>1</v>
      </c>
    </row>
    <row r="655" spans="1:49" x14ac:dyDescent="0.25">
      <c r="A655" t="str">
        <f>"651"</f>
        <v>651</v>
      </c>
      <c r="B655" t="str">
        <f t="shared" si="34"/>
        <v>1</v>
      </c>
      <c r="C655" t="str">
        <f t="shared" si="36"/>
        <v>28</v>
      </c>
      <c r="D655" t="str">
        <f>"4"</f>
        <v>4</v>
      </c>
      <c r="E655" t="str">
        <f>"1-28-4"</f>
        <v>1-28-4</v>
      </c>
      <c r="F655" t="s">
        <v>83</v>
      </c>
      <c r="G655" t="s">
        <v>84</v>
      </c>
      <c r="H655" t="s">
        <v>85</v>
      </c>
      <c r="AC655">
        <v>1</v>
      </c>
      <c r="AD655">
        <v>0</v>
      </c>
      <c r="AE655">
        <v>0</v>
      </c>
      <c r="AF655">
        <v>0</v>
      </c>
      <c r="AG655">
        <v>1</v>
      </c>
      <c r="AJ655">
        <v>1</v>
      </c>
      <c r="AK655">
        <v>0</v>
      </c>
      <c r="AL655">
        <v>0</v>
      </c>
      <c r="AM655">
        <v>1</v>
      </c>
      <c r="AN655">
        <v>0</v>
      </c>
      <c r="AO655">
        <v>1</v>
      </c>
      <c r="AP655">
        <v>1</v>
      </c>
      <c r="AQ655">
        <v>1</v>
      </c>
      <c r="AR655">
        <v>1</v>
      </c>
      <c r="AS655">
        <v>0</v>
      </c>
      <c r="AT655">
        <v>1</v>
      </c>
      <c r="AV655">
        <v>1</v>
      </c>
      <c r="AW655">
        <v>1</v>
      </c>
    </row>
    <row r="656" spans="1:49" x14ac:dyDescent="0.25">
      <c r="A656" t="str">
        <f>"652"</f>
        <v>652</v>
      </c>
      <c r="B656" t="str">
        <f t="shared" si="34"/>
        <v>1</v>
      </c>
      <c r="C656" t="str">
        <f t="shared" si="36"/>
        <v>28</v>
      </c>
      <c r="D656" t="str">
        <f>"18"</f>
        <v>18</v>
      </c>
      <c r="E656" t="str">
        <f>"1-28-18"</f>
        <v>1-28-18</v>
      </c>
      <c r="F656" t="s">
        <v>83</v>
      </c>
      <c r="G656" t="s">
        <v>84</v>
      </c>
      <c r="H656" t="s">
        <v>85</v>
      </c>
      <c r="AC656">
        <v>1</v>
      </c>
      <c r="AD656">
        <v>0</v>
      </c>
      <c r="AE656">
        <v>0</v>
      </c>
      <c r="AF656">
        <v>0</v>
      </c>
      <c r="AG656">
        <v>0</v>
      </c>
      <c r="AJ656">
        <v>0</v>
      </c>
      <c r="AK656">
        <v>1</v>
      </c>
      <c r="AL656">
        <v>0</v>
      </c>
      <c r="AM656">
        <v>0</v>
      </c>
      <c r="AN656">
        <v>1</v>
      </c>
      <c r="AO656">
        <v>0</v>
      </c>
      <c r="AP656">
        <v>0</v>
      </c>
      <c r="AQ656">
        <v>0</v>
      </c>
      <c r="AR656">
        <v>0</v>
      </c>
      <c r="AS656">
        <v>0</v>
      </c>
      <c r="AT656">
        <v>0</v>
      </c>
      <c r="AV656">
        <v>0</v>
      </c>
      <c r="AW656">
        <v>0</v>
      </c>
    </row>
    <row r="657" spans="1:49" x14ac:dyDescent="0.25">
      <c r="A657" t="str">
        <f>"653"</f>
        <v>653</v>
      </c>
      <c r="B657" t="str">
        <f t="shared" si="34"/>
        <v>1</v>
      </c>
      <c r="C657" t="str">
        <f t="shared" ref="C657:C681" si="37">"29"</f>
        <v>29</v>
      </c>
      <c r="D657" t="str">
        <f>"25"</f>
        <v>25</v>
      </c>
      <c r="E657" t="str">
        <f>"1-29-25"</f>
        <v>1-29-25</v>
      </c>
      <c r="F657" t="s">
        <v>83</v>
      </c>
      <c r="G657" t="s">
        <v>84</v>
      </c>
      <c r="H657" t="s">
        <v>85</v>
      </c>
      <c r="AC657">
        <v>0</v>
      </c>
      <c r="AD657">
        <v>1</v>
      </c>
      <c r="AE657">
        <v>0</v>
      </c>
      <c r="AF657">
        <v>0</v>
      </c>
      <c r="AG657">
        <v>1</v>
      </c>
      <c r="AJ657">
        <v>0</v>
      </c>
      <c r="AK657">
        <v>1</v>
      </c>
      <c r="AL657">
        <v>0</v>
      </c>
      <c r="AM657">
        <v>0</v>
      </c>
      <c r="AN657">
        <v>1</v>
      </c>
      <c r="AO657">
        <v>1</v>
      </c>
      <c r="AP657">
        <v>1</v>
      </c>
      <c r="AQ657">
        <v>1</v>
      </c>
      <c r="AR657">
        <v>1</v>
      </c>
      <c r="AS657">
        <v>0</v>
      </c>
      <c r="AT657">
        <v>1</v>
      </c>
      <c r="AV657">
        <v>1</v>
      </c>
      <c r="AW657">
        <v>1</v>
      </c>
    </row>
    <row r="658" spans="1:49" x14ac:dyDescent="0.25">
      <c r="A658" t="str">
        <f>"654"</f>
        <v>654</v>
      </c>
      <c r="B658" t="str">
        <f t="shared" si="34"/>
        <v>1</v>
      </c>
      <c r="C658" t="str">
        <f t="shared" si="37"/>
        <v>29</v>
      </c>
      <c r="D658" t="str">
        <f>"24"</f>
        <v>24</v>
      </c>
      <c r="E658" t="str">
        <f>"1-29-24"</f>
        <v>1-29-24</v>
      </c>
      <c r="F658" t="s">
        <v>83</v>
      </c>
      <c r="G658" t="s">
        <v>84</v>
      </c>
      <c r="H658" t="s">
        <v>92</v>
      </c>
      <c r="I658">
        <v>1</v>
      </c>
      <c r="J658">
        <v>1</v>
      </c>
      <c r="N658">
        <v>1</v>
      </c>
      <c r="O658">
        <v>1</v>
      </c>
      <c r="P658">
        <v>1</v>
      </c>
      <c r="Q658">
        <v>1</v>
      </c>
      <c r="R658">
        <v>1</v>
      </c>
      <c r="S658">
        <v>1</v>
      </c>
      <c r="T658">
        <v>1</v>
      </c>
      <c r="W658">
        <v>1</v>
      </c>
      <c r="X658">
        <v>1</v>
      </c>
      <c r="Y658">
        <v>1</v>
      </c>
      <c r="Z658">
        <v>1</v>
      </c>
      <c r="AA658">
        <v>1</v>
      </c>
      <c r="AB658">
        <v>1</v>
      </c>
    </row>
    <row r="659" spans="1:49" x14ac:dyDescent="0.25">
      <c r="A659" t="str">
        <f>"655"</f>
        <v>655</v>
      </c>
      <c r="B659" t="str">
        <f t="shared" si="34"/>
        <v>1</v>
      </c>
      <c r="C659" t="str">
        <f t="shared" si="37"/>
        <v>29</v>
      </c>
      <c r="D659" t="str">
        <f>"17"</f>
        <v>17</v>
      </c>
      <c r="E659" t="str">
        <f>"1-29-17"</f>
        <v>1-29-17</v>
      </c>
      <c r="F659" t="s">
        <v>83</v>
      </c>
      <c r="G659" t="s">
        <v>84</v>
      </c>
      <c r="H659" t="s">
        <v>92</v>
      </c>
      <c r="I659">
        <v>1</v>
      </c>
      <c r="J659">
        <v>1</v>
      </c>
      <c r="N659">
        <v>1</v>
      </c>
      <c r="O659">
        <v>1</v>
      </c>
      <c r="P659">
        <v>1</v>
      </c>
      <c r="Q659">
        <v>1</v>
      </c>
      <c r="R659">
        <v>1</v>
      </c>
      <c r="S659">
        <v>1</v>
      </c>
      <c r="T659">
        <v>1</v>
      </c>
      <c r="W659">
        <v>1</v>
      </c>
      <c r="X659">
        <v>1</v>
      </c>
      <c r="Y659">
        <v>1</v>
      </c>
      <c r="Z659">
        <v>1</v>
      </c>
      <c r="AA659">
        <v>1</v>
      </c>
      <c r="AB659">
        <v>1</v>
      </c>
    </row>
    <row r="660" spans="1:49" x14ac:dyDescent="0.25">
      <c r="A660" t="str">
        <f>"656"</f>
        <v>656</v>
      </c>
      <c r="B660" t="str">
        <f t="shared" si="34"/>
        <v>1</v>
      </c>
      <c r="C660" t="str">
        <f t="shared" si="37"/>
        <v>29</v>
      </c>
      <c r="D660" t="str">
        <f>"16"</f>
        <v>16</v>
      </c>
      <c r="E660" t="str">
        <f>"1-29-16"</f>
        <v>1-29-16</v>
      </c>
      <c r="F660" t="s">
        <v>83</v>
      </c>
      <c r="G660" t="s">
        <v>84</v>
      </c>
      <c r="H660" t="s">
        <v>92</v>
      </c>
      <c r="I660">
        <v>1</v>
      </c>
      <c r="J660">
        <v>1</v>
      </c>
      <c r="N660">
        <v>1</v>
      </c>
      <c r="O660">
        <v>1</v>
      </c>
      <c r="P660">
        <v>1</v>
      </c>
      <c r="Q660">
        <v>1</v>
      </c>
      <c r="R660">
        <v>1</v>
      </c>
      <c r="S660">
        <v>1</v>
      </c>
      <c r="T660">
        <v>1</v>
      </c>
      <c r="W660">
        <v>1</v>
      </c>
      <c r="X660">
        <v>1</v>
      </c>
      <c r="Y660">
        <v>1</v>
      </c>
      <c r="Z660">
        <v>1</v>
      </c>
      <c r="AA660">
        <v>1</v>
      </c>
      <c r="AB660">
        <v>1</v>
      </c>
    </row>
    <row r="661" spans="1:49" x14ac:dyDescent="0.25">
      <c r="A661" t="str">
        <f>"657"</f>
        <v>657</v>
      </c>
      <c r="B661" t="str">
        <f t="shared" si="34"/>
        <v>1</v>
      </c>
      <c r="C661" t="str">
        <f t="shared" si="37"/>
        <v>29</v>
      </c>
      <c r="D661" t="str">
        <f>"9"</f>
        <v>9</v>
      </c>
      <c r="E661" t="str">
        <f>"1-29-9"</f>
        <v>1-29-9</v>
      </c>
      <c r="F661" t="s">
        <v>83</v>
      </c>
      <c r="G661" t="s">
        <v>84</v>
      </c>
      <c r="H661" t="s">
        <v>92</v>
      </c>
      <c r="I661">
        <v>1</v>
      </c>
      <c r="J661">
        <v>1</v>
      </c>
      <c r="N661">
        <v>1</v>
      </c>
      <c r="O661">
        <v>1</v>
      </c>
      <c r="P661">
        <v>1</v>
      </c>
      <c r="Q661">
        <v>1</v>
      </c>
      <c r="R661">
        <v>1</v>
      </c>
      <c r="S661">
        <v>1</v>
      </c>
      <c r="T661">
        <v>1</v>
      </c>
      <c r="W661">
        <v>1</v>
      </c>
      <c r="X661">
        <v>1</v>
      </c>
      <c r="Y661">
        <v>1</v>
      </c>
      <c r="Z661">
        <v>1</v>
      </c>
      <c r="AA661">
        <v>1</v>
      </c>
      <c r="AB661">
        <v>1</v>
      </c>
    </row>
    <row r="662" spans="1:49" x14ac:dyDescent="0.25">
      <c r="A662" t="str">
        <f>"658"</f>
        <v>658</v>
      </c>
      <c r="B662" t="str">
        <f t="shared" si="34"/>
        <v>1</v>
      </c>
      <c r="C662" t="str">
        <f t="shared" si="37"/>
        <v>29</v>
      </c>
      <c r="D662" t="str">
        <f>"8"</f>
        <v>8</v>
      </c>
      <c r="E662" t="str">
        <f>"1-29-8"</f>
        <v>1-29-8</v>
      </c>
      <c r="F662" t="s">
        <v>83</v>
      </c>
      <c r="G662" t="s">
        <v>84</v>
      </c>
      <c r="H662" t="s">
        <v>85</v>
      </c>
      <c r="AC662">
        <v>1</v>
      </c>
      <c r="AD662">
        <v>0</v>
      </c>
      <c r="AE662">
        <v>0</v>
      </c>
      <c r="AF662">
        <v>0</v>
      </c>
      <c r="AG662">
        <v>0</v>
      </c>
      <c r="AJ662">
        <v>1</v>
      </c>
      <c r="AK662">
        <v>0</v>
      </c>
      <c r="AL662">
        <v>1</v>
      </c>
      <c r="AM662">
        <v>0</v>
      </c>
      <c r="AN662">
        <v>0</v>
      </c>
      <c r="AO662">
        <v>0</v>
      </c>
      <c r="AP662">
        <v>0</v>
      </c>
      <c r="AQ662">
        <v>0</v>
      </c>
      <c r="AR662">
        <v>0</v>
      </c>
      <c r="AS662">
        <v>0</v>
      </c>
      <c r="AT662">
        <v>0</v>
      </c>
      <c r="AV662">
        <v>1</v>
      </c>
      <c r="AW662">
        <v>1</v>
      </c>
    </row>
    <row r="663" spans="1:49" x14ac:dyDescent="0.25">
      <c r="A663" t="str">
        <f>"659"</f>
        <v>659</v>
      </c>
      <c r="B663" t="str">
        <f t="shared" si="34"/>
        <v>1</v>
      </c>
      <c r="C663" t="str">
        <f t="shared" si="37"/>
        <v>29</v>
      </c>
      <c r="D663" t="str">
        <f>"2"</f>
        <v>2</v>
      </c>
      <c r="E663" t="str">
        <f>"1-29-2"</f>
        <v>1-29-2</v>
      </c>
      <c r="F663" t="s">
        <v>83</v>
      </c>
      <c r="G663" t="s">
        <v>84</v>
      </c>
      <c r="H663" t="s">
        <v>92</v>
      </c>
      <c r="I663">
        <v>1</v>
      </c>
      <c r="J663">
        <v>1</v>
      </c>
      <c r="N663">
        <v>1</v>
      </c>
      <c r="O663">
        <v>1</v>
      </c>
      <c r="P663">
        <v>1</v>
      </c>
      <c r="Q663">
        <v>1</v>
      </c>
      <c r="R663">
        <v>1</v>
      </c>
      <c r="S663">
        <v>1</v>
      </c>
      <c r="T663">
        <v>1</v>
      </c>
      <c r="W663">
        <v>1</v>
      </c>
      <c r="X663">
        <v>1</v>
      </c>
      <c r="Y663">
        <v>1</v>
      </c>
      <c r="Z663">
        <v>1</v>
      </c>
      <c r="AA663">
        <v>1</v>
      </c>
      <c r="AB663">
        <v>1</v>
      </c>
    </row>
    <row r="664" spans="1:49" x14ac:dyDescent="0.25">
      <c r="A664" t="str">
        <f>"660"</f>
        <v>660</v>
      </c>
      <c r="B664" t="str">
        <f t="shared" si="34"/>
        <v>1</v>
      </c>
      <c r="C664" t="str">
        <f t="shared" si="37"/>
        <v>29</v>
      </c>
      <c r="D664" t="str">
        <f>"18"</f>
        <v>18</v>
      </c>
      <c r="E664" t="str">
        <f>"1-29-18"</f>
        <v>1-29-18</v>
      </c>
      <c r="F664" t="s">
        <v>83</v>
      </c>
      <c r="G664" t="s">
        <v>84</v>
      </c>
      <c r="H664" t="s">
        <v>85</v>
      </c>
      <c r="AC664">
        <v>0</v>
      </c>
      <c r="AD664">
        <v>1</v>
      </c>
      <c r="AE664">
        <v>0</v>
      </c>
      <c r="AF664">
        <v>0</v>
      </c>
      <c r="AG664">
        <v>1</v>
      </c>
      <c r="AJ664">
        <v>0</v>
      </c>
      <c r="AK664">
        <v>0</v>
      </c>
      <c r="AL664">
        <v>0</v>
      </c>
      <c r="AM664">
        <v>0</v>
      </c>
      <c r="AN664">
        <v>1</v>
      </c>
      <c r="AO664">
        <v>1</v>
      </c>
      <c r="AP664">
        <v>1</v>
      </c>
      <c r="AQ664">
        <v>1</v>
      </c>
      <c r="AR664">
        <v>0</v>
      </c>
      <c r="AS664">
        <v>0</v>
      </c>
      <c r="AT664">
        <v>1</v>
      </c>
      <c r="AV664">
        <v>1</v>
      </c>
      <c r="AW664">
        <v>1</v>
      </c>
    </row>
    <row r="665" spans="1:49" x14ac:dyDescent="0.25">
      <c r="A665" t="str">
        <f>"661"</f>
        <v>661</v>
      </c>
      <c r="B665" t="str">
        <f t="shared" si="34"/>
        <v>1</v>
      </c>
      <c r="C665" t="str">
        <f t="shared" si="37"/>
        <v>29</v>
      </c>
      <c r="D665" t="str">
        <f>"10"</f>
        <v>10</v>
      </c>
      <c r="E665" t="str">
        <f>"1-29-10"</f>
        <v>1-29-10</v>
      </c>
      <c r="F665" t="s">
        <v>83</v>
      </c>
      <c r="G665" t="s">
        <v>84</v>
      </c>
      <c r="H665" t="s">
        <v>92</v>
      </c>
      <c r="I665">
        <v>1</v>
      </c>
      <c r="J665">
        <v>1</v>
      </c>
      <c r="N665">
        <v>1</v>
      </c>
      <c r="O665">
        <v>1</v>
      </c>
      <c r="P665">
        <v>1</v>
      </c>
      <c r="Q665">
        <v>1</v>
      </c>
      <c r="R665">
        <v>1</v>
      </c>
      <c r="S665">
        <v>1</v>
      </c>
      <c r="T665">
        <v>1</v>
      </c>
      <c r="W665">
        <v>1</v>
      </c>
      <c r="X665">
        <v>1</v>
      </c>
      <c r="Y665">
        <v>1</v>
      </c>
      <c r="Z665">
        <v>1</v>
      </c>
      <c r="AA665">
        <v>1</v>
      </c>
      <c r="AB665">
        <v>1</v>
      </c>
    </row>
    <row r="666" spans="1:49" x14ac:dyDescent="0.25">
      <c r="A666" t="str">
        <f>"662"</f>
        <v>662</v>
      </c>
      <c r="B666" t="str">
        <f t="shared" si="34"/>
        <v>1</v>
      </c>
      <c r="C666" t="str">
        <f t="shared" si="37"/>
        <v>29</v>
      </c>
      <c r="D666" t="str">
        <f>"1"</f>
        <v>1</v>
      </c>
      <c r="E666" t="str">
        <f>"1-29-1"</f>
        <v>1-29-1</v>
      </c>
      <c r="F666" t="s">
        <v>83</v>
      </c>
      <c r="G666" t="s">
        <v>84</v>
      </c>
      <c r="H666" t="s">
        <v>92</v>
      </c>
      <c r="I666">
        <v>1</v>
      </c>
      <c r="J666">
        <v>1</v>
      </c>
      <c r="N666">
        <v>1</v>
      </c>
      <c r="O666">
        <v>1</v>
      </c>
      <c r="P666">
        <v>1</v>
      </c>
      <c r="Q666">
        <v>0</v>
      </c>
      <c r="R666">
        <v>1</v>
      </c>
      <c r="S666">
        <v>0</v>
      </c>
      <c r="T666">
        <v>0</v>
      </c>
      <c r="W666">
        <v>1</v>
      </c>
      <c r="X666">
        <v>1</v>
      </c>
      <c r="Y666">
        <v>1</v>
      </c>
      <c r="Z666">
        <v>1</v>
      </c>
      <c r="AA666">
        <v>1</v>
      </c>
      <c r="AB666">
        <v>1</v>
      </c>
    </row>
    <row r="667" spans="1:49" x14ac:dyDescent="0.25">
      <c r="A667" t="str">
        <f>"663"</f>
        <v>663</v>
      </c>
      <c r="B667" t="str">
        <f t="shared" si="34"/>
        <v>1</v>
      </c>
      <c r="C667" t="str">
        <f t="shared" si="37"/>
        <v>29</v>
      </c>
      <c r="D667" t="str">
        <f>"19"</f>
        <v>19</v>
      </c>
      <c r="E667" t="str">
        <f>"1-29-19"</f>
        <v>1-29-19</v>
      </c>
      <c r="F667" t="s">
        <v>83</v>
      </c>
      <c r="G667" t="s">
        <v>84</v>
      </c>
      <c r="H667" t="s">
        <v>92</v>
      </c>
      <c r="I667">
        <v>1</v>
      </c>
      <c r="J667">
        <v>1</v>
      </c>
      <c r="N667">
        <v>1</v>
      </c>
      <c r="O667">
        <v>1</v>
      </c>
      <c r="P667">
        <v>1</v>
      </c>
      <c r="Q667">
        <v>1</v>
      </c>
      <c r="R667">
        <v>1</v>
      </c>
      <c r="S667">
        <v>1</v>
      </c>
      <c r="T667">
        <v>1</v>
      </c>
      <c r="W667">
        <v>1</v>
      </c>
      <c r="X667">
        <v>1</v>
      </c>
      <c r="Y667">
        <v>1</v>
      </c>
      <c r="Z667">
        <v>1</v>
      </c>
      <c r="AA667">
        <v>1</v>
      </c>
      <c r="AB667">
        <v>1</v>
      </c>
    </row>
    <row r="668" spans="1:49" x14ac:dyDescent="0.25">
      <c r="A668" t="str">
        <f>"664"</f>
        <v>664</v>
      </c>
      <c r="B668" t="str">
        <f t="shared" si="34"/>
        <v>1</v>
      </c>
      <c r="C668" t="str">
        <f t="shared" si="37"/>
        <v>29</v>
      </c>
      <c r="D668" t="str">
        <f>"11"</f>
        <v>11</v>
      </c>
      <c r="E668" t="str">
        <f>"1-29-11"</f>
        <v>1-29-11</v>
      </c>
      <c r="F668" t="s">
        <v>83</v>
      </c>
      <c r="G668" t="s">
        <v>84</v>
      </c>
      <c r="H668" t="s">
        <v>85</v>
      </c>
      <c r="AC668">
        <v>0</v>
      </c>
      <c r="AD668">
        <v>1</v>
      </c>
      <c r="AE668">
        <v>0</v>
      </c>
      <c r="AF668">
        <v>0</v>
      </c>
      <c r="AG668">
        <v>0</v>
      </c>
      <c r="AJ668">
        <v>0</v>
      </c>
      <c r="AK668">
        <v>1</v>
      </c>
      <c r="AL668">
        <v>0</v>
      </c>
      <c r="AM668">
        <v>0</v>
      </c>
      <c r="AN668">
        <v>1</v>
      </c>
      <c r="AO668">
        <v>0</v>
      </c>
      <c r="AP668">
        <v>0</v>
      </c>
      <c r="AQ668">
        <v>0</v>
      </c>
      <c r="AR668">
        <v>0</v>
      </c>
      <c r="AS668">
        <v>0</v>
      </c>
      <c r="AT668">
        <v>1</v>
      </c>
      <c r="AV668">
        <v>0</v>
      </c>
      <c r="AW668">
        <v>0</v>
      </c>
    </row>
    <row r="669" spans="1:49" x14ac:dyDescent="0.25">
      <c r="A669" t="str">
        <f>"665"</f>
        <v>665</v>
      </c>
      <c r="B669" t="str">
        <f t="shared" si="34"/>
        <v>1</v>
      </c>
      <c r="C669" t="str">
        <f t="shared" si="37"/>
        <v>29</v>
      </c>
      <c r="D669" t="str">
        <f>"5"</f>
        <v>5</v>
      </c>
      <c r="E669" t="str">
        <f>"1-29-5"</f>
        <v>1-29-5</v>
      </c>
      <c r="F669" t="s">
        <v>83</v>
      </c>
      <c r="G669" t="s">
        <v>84</v>
      </c>
      <c r="H669" t="s">
        <v>92</v>
      </c>
      <c r="I669">
        <v>1</v>
      </c>
      <c r="J669">
        <v>1</v>
      </c>
      <c r="N669">
        <v>1</v>
      </c>
      <c r="O669">
        <v>1</v>
      </c>
      <c r="P669">
        <v>1</v>
      </c>
      <c r="Q669">
        <v>1</v>
      </c>
      <c r="R669">
        <v>1</v>
      </c>
      <c r="S669">
        <v>1</v>
      </c>
      <c r="T669">
        <v>1</v>
      </c>
      <c r="W669">
        <v>1</v>
      </c>
      <c r="X669">
        <v>1</v>
      </c>
      <c r="Y669">
        <v>1</v>
      </c>
      <c r="Z669">
        <v>1</v>
      </c>
      <c r="AA669">
        <v>1</v>
      </c>
      <c r="AB669">
        <v>1</v>
      </c>
    </row>
    <row r="670" spans="1:49" x14ac:dyDescent="0.25">
      <c r="A670" t="str">
        <f>"666"</f>
        <v>666</v>
      </c>
      <c r="B670" t="str">
        <f t="shared" ref="B670:B733" si="38">"1"</f>
        <v>1</v>
      </c>
      <c r="C670" t="str">
        <f t="shared" si="37"/>
        <v>29</v>
      </c>
      <c r="D670" t="str">
        <f>"20"</f>
        <v>20</v>
      </c>
      <c r="E670" t="str">
        <f>"1-29-20"</f>
        <v>1-29-20</v>
      </c>
      <c r="F670" t="s">
        <v>83</v>
      </c>
      <c r="G670" t="s">
        <v>84</v>
      </c>
      <c r="H670" t="s">
        <v>92</v>
      </c>
      <c r="I670">
        <v>1</v>
      </c>
      <c r="J670">
        <v>1</v>
      </c>
      <c r="N670">
        <v>1</v>
      </c>
      <c r="O670">
        <v>1</v>
      </c>
      <c r="P670">
        <v>1</v>
      </c>
      <c r="Q670">
        <v>1</v>
      </c>
      <c r="R670">
        <v>1</v>
      </c>
      <c r="S670">
        <v>1</v>
      </c>
      <c r="T670">
        <v>1</v>
      </c>
      <c r="W670">
        <v>1</v>
      </c>
      <c r="X670">
        <v>1</v>
      </c>
      <c r="Y670">
        <v>1</v>
      </c>
      <c r="Z670">
        <v>1</v>
      </c>
      <c r="AA670">
        <v>1</v>
      </c>
      <c r="AB670">
        <v>1</v>
      </c>
    </row>
    <row r="671" spans="1:49" x14ac:dyDescent="0.25">
      <c r="A671" t="str">
        <f>"667"</f>
        <v>667</v>
      </c>
      <c r="B671" t="str">
        <f t="shared" si="38"/>
        <v>1</v>
      </c>
      <c r="C671" t="str">
        <f t="shared" si="37"/>
        <v>29</v>
      </c>
      <c r="D671" t="str">
        <f>"12"</f>
        <v>12</v>
      </c>
      <c r="E671" t="str">
        <f>"1-29-12"</f>
        <v>1-29-12</v>
      </c>
      <c r="F671" t="s">
        <v>83</v>
      </c>
      <c r="G671" t="s">
        <v>84</v>
      </c>
      <c r="H671" t="s">
        <v>92</v>
      </c>
      <c r="I671">
        <v>1</v>
      </c>
      <c r="J671">
        <v>1</v>
      </c>
      <c r="N671">
        <v>1</v>
      </c>
      <c r="O671">
        <v>1</v>
      </c>
      <c r="P671">
        <v>1</v>
      </c>
      <c r="Q671">
        <v>1</v>
      </c>
      <c r="R671">
        <v>1</v>
      </c>
      <c r="S671">
        <v>1</v>
      </c>
      <c r="T671">
        <v>1</v>
      </c>
      <c r="W671">
        <v>1</v>
      </c>
      <c r="X671">
        <v>1</v>
      </c>
      <c r="Y671">
        <v>1</v>
      </c>
      <c r="Z671">
        <v>1</v>
      </c>
      <c r="AA671">
        <v>1</v>
      </c>
      <c r="AB671">
        <v>1</v>
      </c>
    </row>
    <row r="672" spans="1:49" x14ac:dyDescent="0.25">
      <c r="A672" t="str">
        <f>"668"</f>
        <v>668</v>
      </c>
      <c r="B672" t="str">
        <f t="shared" si="38"/>
        <v>1</v>
      </c>
      <c r="C672" t="str">
        <f t="shared" si="37"/>
        <v>29</v>
      </c>
      <c r="D672" t="str">
        <f>"6"</f>
        <v>6</v>
      </c>
      <c r="E672" t="str">
        <f>"1-29-6"</f>
        <v>1-29-6</v>
      </c>
      <c r="F672" t="s">
        <v>83</v>
      </c>
      <c r="G672" t="s">
        <v>84</v>
      </c>
      <c r="H672" t="s">
        <v>85</v>
      </c>
      <c r="AC672">
        <v>1</v>
      </c>
      <c r="AD672">
        <v>0</v>
      </c>
      <c r="AE672">
        <v>0</v>
      </c>
      <c r="AF672">
        <v>0</v>
      </c>
      <c r="AG672">
        <v>1</v>
      </c>
      <c r="AJ672">
        <v>0</v>
      </c>
      <c r="AK672">
        <v>1</v>
      </c>
      <c r="AL672">
        <v>0</v>
      </c>
      <c r="AM672">
        <v>0</v>
      </c>
      <c r="AN672">
        <v>1</v>
      </c>
      <c r="AO672">
        <v>1</v>
      </c>
      <c r="AP672">
        <v>1</v>
      </c>
      <c r="AQ672">
        <v>1</v>
      </c>
      <c r="AR672">
        <v>1</v>
      </c>
      <c r="AS672">
        <v>0</v>
      </c>
      <c r="AT672">
        <v>1</v>
      </c>
      <c r="AV672">
        <v>1</v>
      </c>
      <c r="AW672">
        <v>1</v>
      </c>
    </row>
    <row r="673" spans="1:49" x14ac:dyDescent="0.25">
      <c r="A673" t="str">
        <f>"669"</f>
        <v>669</v>
      </c>
      <c r="B673" t="str">
        <f t="shared" si="38"/>
        <v>1</v>
      </c>
      <c r="C673" t="str">
        <f t="shared" si="37"/>
        <v>29</v>
      </c>
      <c r="D673" t="str">
        <f>"21"</f>
        <v>21</v>
      </c>
      <c r="E673" t="str">
        <f>"1-29-21"</f>
        <v>1-29-21</v>
      </c>
      <c r="F673" t="s">
        <v>83</v>
      </c>
      <c r="G673" t="s">
        <v>84</v>
      </c>
      <c r="H673" t="s">
        <v>92</v>
      </c>
      <c r="I673">
        <v>1</v>
      </c>
      <c r="J673">
        <v>1</v>
      </c>
      <c r="N673">
        <v>1</v>
      </c>
      <c r="O673">
        <v>1</v>
      </c>
      <c r="P673">
        <v>1</v>
      </c>
      <c r="Q673">
        <v>1</v>
      </c>
      <c r="R673">
        <v>1</v>
      </c>
      <c r="S673">
        <v>1</v>
      </c>
      <c r="T673">
        <v>1</v>
      </c>
      <c r="W673">
        <v>1</v>
      </c>
      <c r="X673">
        <v>1</v>
      </c>
      <c r="Y673">
        <v>1</v>
      </c>
      <c r="Z673">
        <v>1</v>
      </c>
      <c r="AA673">
        <v>1</v>
      </c>
      <c r="AB673">
        <v>1</v>
      </c>
    </row>
    <row r="674" spans="1:49" x14ac:dyDescent="0.25">
      <c r="A674" t="str">
        <f>"670"</f>
        <v>670</v>
      </c>
      <c r="B674" t="str">
        <f t="shared" si="38"/>
        <v>1</v>
      </c>
      <c r="C674" t="str">
        <f t="shared" si="37"/>
        <v>29</v>
      </c>
      <c r="D674" t="str">
        <f>"13"</f>
        <v>13</v>
      </c>
      <c r="E674" t="str">
        <f>"1-29-13"</f>
        <v>1-29-13</v>
      </c>
      <c r="F674" t="s">
        <v>83</v>
      </c>
      <c r="G674" t="s">
        <v>84</v>
      </c>
      <c r="H674" t="s">
        <v>92</v>
      </c>
      <c r="I674">
        <v>1</v>
      </c>
      <c r="J674">
        <v>0</v>
      </c>
      <c r="N674">
        <v>1</v>
      </c>
      <c r="O674">
        <v>1</v>
      </c>
      <c r="P674">
        <v>1</v>
      </c>
      <c r="Q674">
        <v>1</v>
      </c>
      <c r="R674">
        <v>1</v>
      </c>
      <c r="S674">
        <v>0</v>
      </c>
      <c r="T674">
        <v>0</v>
      </c>
      <c r="W674">
        <v>1</v>
      </c>
      <c r="X674">
        <v>1</v>
      </c>
      <c r="Y674">
        <v>1</v>
      </c>
      <c r="Z674">
        <v>1</v>
      </c>
      <c r="AA674">
        <v>1</v>
      </c>
      <c r="AB674">
        <v>1</v>
      </c>
    </row>
    <row r="675" spans="1:49" x14ac:dyDescent="0.25">
      <c r="A675" t="str">
        <f>"671"</f>
        <v>671</v>
      </c>
      <c r="B675" t="str">
        <f t="shared" si="38"/>
        <v>1</v>
      </c>
      <c r="C675" t="str">
        <f t="shared" si="37"/>
        <v>29</v>
      </c>
      <c r="D675" t="str">
        <f>"4"</f>
        <v>4</v>
      </c>
      <c r="E675" t="str">
        <f>"1-29-4"</f>
        <v>1-29-4</v>
      </c>
      <c r="F675" t="s">
        <v>83</v>
      </c>
      <c r="G675" t="s">
        <v>84</v>
      </c>
      <c r="H675" t="s">
        <v>92</v>
      </c>
      <c r="I675">
        <v>1</v>
      </c>
      <c r="J675">
        <v>1</v>
      </c>
      <c r="N675">
        <v>1</v>
      </c>
      <c r="O675">
        <v>1</v>
      </c>
      <c r="P675">
        <v>1</v>
      </c>
      <c r="Q675">
        <v>1</v>
      </c>
      <c r="R675">
        <v>1</v>
      </c>
      <c r="S675">
        <v>1</v>
      </c>
      <c r="T675">
        <v>1</v>
      </c>
      <c r="W675">
        <v>1</v>
      </c>
      <c r="X675">
        <v>1</v>
      </c>
      <c r="Y675">
        <v>1</v>
      </c>
      <c r="Z675">
        <v>1</v>
      </c>
      <c r="AA675">
        <v>1</v>
      </c>
      <c r="AB675">
        <v>1</v>
      </c>
    </row>
    <row r="676" spans="1:49" x14ac:dyDescent="0.25">
      <c r="A676" t="str">
        <f>"672"</f>
        <v>672</v>
      </c>
      <c r="B676" t="str">
        <f t="shared" si="38"/>
        <v>1</v>
      </c>
      <c r="C676" t="str">
        <f t="shared" si="37"/>
        <v>29</v>
      </c>
      <c r="D676" t="str">
        <f>"22"</f>
        <v>22</v>
      </c>
      <c r="E676" t="str">
        <f>"1-29-22"</f>
        <v>1-29-22</v>
      </c>
      <c r="F676" t="s">
        <v>83</v>
      </c>
      <c r="G676" t="s">
        <v>84</v>
      </c>
      <c r="H676" t="s">
        <v>85</v>
      </c>
      <c r="AC676">
        <v>0</v>
      </c>
      <c r="AD676">
        <v>1</v>
      </c>
      <c r="AE676">
        <v>0</v>
      </c>
      <c r="AF676">
        <v>0</v>
      </c>
      <c r="AG676">
        <v>1</v>
      </c>
      <c r="AJ676">
        <v>1</v>
      </c>
      <c r="AK676">
        <v>0</v>
      </c>
      <c r="AL676">
        <v>1</v>
      </c>
      <c r="AM676">
        <v>0</v>
      </c>
      <c r="AN676">
        <v>0</v>
      </c>
      <c r="AO676">
        <v>1</v>
      </c>
      <c r="AP676">
        <v>1</v>
      </c>
      <c r="AQ676">
        <v>1</v>
      </c>
      <c r="AR676">
        <v>1</v>
      </c>
      <c r="AS676">
        <v>0</v>
      </c>
      <c r="AT676">
        <v>1</v>
      </c>
      <c r="AV676">
        <v>1</v>
      </c>
      <c r="AW676">
        <v>1</v>
      </c>
    </row>
    <row r="677" spans="1:49" x14ac:dyDescent="0.25">
      <c r="A677" t="str">
        <f>"673"</f>
        <v>673</v>
      </c>
      <c r="B677" t="str">
        <f t="shared" si="38"/>
        <v>1</v>
      </c>
      <c r="C677" t="str">
        <f t="shared" si="37"/>
        <v>29</v>
      </c>
      <c r="D677" t="str">
        <f>"14"</f>
        <v>14</v>
      </c>
      <c r="E677" t="str">
        <f>"1-29-14"</f>
        <v>1-29-14</v>
      </c>
      <c r="F677" t="s">
        <v>83</v>
      </c>
      <c r="G677" t="s">
        <v>84</v>
      </c>
      <c r="H677" t="s">
        <v>85</v>
      </c>
      <c r="AC677">
        <v>0</v>
      </c>
      <c r="AD677">
        <v>1</v>
      </c>
      <c r="AE677">
        <v>0</v>
      </c>
      <c r="AF677">
        <v>0</v>
      </c>
      <c r="AG677">
        <v>1</v>
      </c>
      <c r="AJ677">
        <v>0</v>
      </c>
      <c r="AK677">
        <v>1</v>
      </c>
      <c r="AL677">
        <v>0</v>
      </c>
      <c r="AM677">
        <v>0</v>
      </c>
      <c r="AN677">
        <v>1</v>
      </c>
      <c r="AO677">
        <v>1</v>
      </c>
      <c r="AP677">
        <v>1</v>
      </c>
      <c r="AQ677">
        <v>1</v>
      </c>
      <c r="AR677">
        <v>1</v>
      </c>
      <c r="AS677">
        <v>0</v>
      </c>
      <c r="AT677">
        <v>1</v>
      </c>
      <c r="AV677">
        <v>1</v>
      </c>
      <c r="AW677">
        <v>1</v>
      </c>
    </row>
    <row r="678" spans="1:49" x14ac:dyDescent="0.25">
      <c r="A678" t="str">
        <f>"674"</f>
        <v>674</v>
      </c>
      <c r="B678" t="str">
        <f t="shared" si="38"/>
        <v>1</v>
      </c>
      <c r="C678" t="str">
        <f t="shared" si="37"/>
        <v>29</v>
      </c>
      <c r="D678" t="str">
        <f>"7"</f>
        <v>7</v>
      </c>
      <c r="E678" t="str">
        <f>"1-29-7"</f>
        <v>1-29-7</v>
      </c>
      <c r="F678" t="s">
        <v>83</v>
      </c>
      <c r="G678" t="s">
        <v>84</v>
      </c>
      <c r="H678" t="s">
        <v>85</v>
      </c>
      <c r="AC678">
        <v>1</v>
      </c>
      <c r="AD678">
        <v>0</v>
      </c>
      <c r="AE678">
        <v>0</v>
      </c>
      <c r="AF678">
        <v>0</v>
      </c>
      <c r="AG678">
        <v>1</v>
      </c>
      <c r="AJ678">
        <v>0</v>
      </c>
      <c r="AK678">
        <v>1</v>
      </c>
      <c r="AL678">
        <v>1</v>
      </c>
      <c r="AM678">
        <v>0</v>
      </c>
      <c r="AN678">
        <v>0</v>
      </c>
      <c r="AO678">
        <v>1</v>
      </c>
      <c r="AP678">
        <v>1</v>
      </c>
      <c r="AQ678">
        <v>1</v>
      </c>
      <c r="AR678">
        <v>1</v>
      </c>
      <c r="AS678">
        <v>1</v>
      </c>
      <c r="AT678">
        <v>0</v>
      </c>
      <c r="AV678">
        <v>1</v>
      </c>
      <c r="AW678">
        <v>1</v>
      </c>
    </row>
    <row r="679" spans="1:49" x14ac:dyDescent="0.25">
      <c r="A679" t="str">
        <f>"675"</f>
        <v>675</v>
      </c>
      <c r="B679" t="str">
        <f t="shared" si="38"/>
        <v>1</v>
      </c>
      <c r="C679" t="str">
        <f t="shared" si="37"/>
        <v>29</v>
      </c>
      <c r="D679" t="str">
        <f>"23"</f>
        <v>23</v>
      </c>
      <c r="E679" t="str">
        <f>"1-29-23"</f>
        <v>1-29-23</v>
      </c>
      <c r="F679" t="s">
        <v>83</v>
      </c>
      <c r="G679" t="s">
        <v>84</v>
      </c>
      <c r="H679" t="s">
        <v>85</v>
      </c>
      <c r="AC679">
        <v>0</v>
      </c>
      <c r="AD679">
        <v>1</v>
      </c>
      <c r="AE679">
        <v>0</v>
      </c>
      <c r="AF679">
        <v>0</v>
      </c>
      <c r="AG679">
        <v>1</v>
      </c>
      <c r="AJ679">
        <v>1</v>
      </c>
      <c r="AK679">
        <v>0</v>
      </c>
      <c r="AL679">
        <v>1</v>
      </c>
      <c r="AM679">
        <v>0</v>
      </c>
      <c r="AN679">
        <v>0</v>
      </c>
      <c r="AO679">
        <v>1</v>
      </c>
      <c r="AP679">
        <v>1</v>
      </c>
      <c r="AQ679">
        <v>1</v>
      </c>
      <c r="AR679">
        <v>1</v>
      </c>
      <c r="AS679">
        <v>0</v>
      </c>
      <c r="AT679">
        <v>1</v>
      </c>
      <c r="AV679">
        <v>1</v>
      </c>
      <c r="AW679">
        <v>1</v>
      </c>
    </row>
    <row r="680" spans="1:49" x14ac:dyDescent="0.25">
      <c r="A680" t="str">
        <f>"676"</f>
        <v>676</v>
      </c>
      <c r="B680" t="str">
        <f t="shared" si="38"/>
        <v>1</v>
      </c>
      <c r="C680" t="str">
        <f t="shared" si="37"/>
        <v>29</v>
      </c>
      <c r="D680" t="str">
        <f>"15"</f>
        <v>15</v>
      </c>
      <c r="E680" t="str">
        <f>"1-29-15"</f>
        <v>1-29-15</v>
      </c>
      <c r="F680" t="s">
        <v>83</v>
      </c>
      <c r="G680" t="s">
        <v>84</v>
      </c>
      <c r="H680" t="s">
        <v>92</v>
      </c>
      <c r="I680">
        <v>1</v>
      </c>
      <c r="J680">
        <v>0</v>
      </c>
      <c r="N680">
        <v>1</v>
      </c>
      <c r="O680">
        <v>1</v>
      </c>
      <c r="P680">
        <v>1</v>
      </c>
      <c r="Q680">
        <v>1</v>
      </c>
      <c r="R680">
        <v>1</v>
      </c>
      <c r="S680">
        <v>0</v>
      </c>
      <c r="T680">
        <v>0</v>
      </c>
      <c r="W680">
        <v>1</v>
      </c>
      <c r="X680">
        <v>1</v>
      </c>
      <c r="Y680">
        <v>1</v>
      </c>
      <c r="Z680">
        <v>1</v>
      </c>
      <c r="AA680">
        <v>1</v>
      </c>
      <c r="AB680">
        <v>1</v>
      </c>
    </row>
    <row r="681" spans="1:49" x14ac:dyDescent="0.25">
      <c r="A681" t="str">
        <f>"677"</f>
        <v>677</v>
      </c>
      <c r="B681" t="str">
        <f t="shared" si="38"/>
        <v>1</v>
      </c>
      <c r="C681" t="str">
        <f t="shared" si="37"/>
        <v>29</v>
      </c>
      <c r="D681" t="str">
        <f>"3"</f>
        <v>3</v>
      </c>
      <c r="E681" t="str">
        <f>"1-29-3"</f>
        <v>1-29-3</v>
      </c>
      <c r="F681" t="s">
        <v>83</v>
      </c>
      <c r="G681" t="s">
        <v>84</v>
      </c>
      <c r="H681" t="s">
        <v>92</v>
      </c>
      <c r="I681">
        <v>1</v>
      </c>
      <c r="J681">
        <v>1</v>
      </c>
      <c r="N681">
        <v>1</v>
      </c>
      <c r="O681">
        <v>1</v>
      </c>
      <c r="P681">
        <v>1</v>
      </c>
      <c r="Q681">
        <v>1</v>
      </c>
      <c r="R681">
        <v>1</v>
      </c>
      <c r="S681">
        <v>1</v>
      </c>
      <c r="T681">
        <v>1</v>
      </c>
      <c r="W681">
        <v>1</v>
      </c>
      <c r="X681">
        <v>1</v>
      </c>
      <c r="Y681">
        <v>1</v>
      </c>
      <c r="Z681">
        <v>1</v>
      </c>
      <c r="AA681">
        <v>1</v>
      </c>
      <c r="AB681">
        <v>1</v>
      </c>
    </row>
    <row r="682" spans="1:49" x14ac:dyDescent="0.25">
      <c r="A682" t="str">
        <f>"678"</f>
        <v>678</v>
      </c>
      <c r="B682" t="str">
        <f t="shared" si="38"/>
        <v>1</v>
      </c>
      <c r="C682" t="str">
        <f t="shared" ref="C682:C705" si="39">"30"</f>
        <v>30</v>
      </c>
      <c r="D682" t="str">
        <f>"24"</f>
        <v>24</v>
      </c>
      <c r="E682" t="str">
        <f>"1-30-24"</f>
        <v>1-30-24</v>
      </c>
      <c r="F682" t="s">
        <v>83</v>
      </c>
      <c r="G682" t="s">
        <v>84</v>
      </c>
      <c r="H682" t="s">
        <v>92</v>
      </c>
      <c r="I682">
        <v>1</v>
      </c>
      <c r="J682">
        <v>1</v>
      </c>
      <c r="N682">
        <v>1</v>
      </c>
      <c r="O682">
        <v>1</v>
      </c>
      <c r="P682">
        <v>1</v>
      </c>
      <c r="Q682">
        <v>1</v>
      </c>
      <c r="R682">
        <v>1</v>
      </c>
      <c r="S682">
        <v>1</v>
      </c>
      <c r="T682">
        <v>1</v>
      </c>
      <c r="W682">
        <v>1</v>
      </c>
      <c r="X682">
        <v>1</v>
      </c>
      <c r="Y682">
        <v>1</v>
      </c>
      <c r="Z682">
        <v>1</v>
      </c>
      <c r="AA682">
        <v>1</v>
      </c>
      <c r="AB682">
        <v>1</v>
      </c>
    </row>
    <row r="683" spans="1:49" x14ac:dyDescent="0.25">
      <c r="A683" t="str">
        <f>"679"</f>
        <v>679</v>
      </c>
      <c r="B683" t="str">
        <f t="shared" si="38"/>
        <v>1</v>
      </c>
      <c r="C683" t="str">
        <f t="shared" si="39"/>
        <v>30</v>
      </c>
      <c r="D683" t="str">
        <f>"17"</f>
        <v>17</v>
      </c>
      <c r="E683" t="str">
        <f>"1-30-17"</f>
        <v>1-30-17</v>
      </c>
      <c r="F683" t="s">
        <v>83</v>
      </c>
      <c r="G683" t="s">
        <v>84</v>
      </c>
      <c r="H683" t="s">
        <v>85</v>
      </c>
      <c r="AC683">
        <v>0</v>
      </c>
      <c r="AD683">
        <v>1</v>
      </c>
      <c r="AE683">
        <v>0</v>
      </c>
      <c r="AF683">
        <v>0</v>
      </c>
      <c r="AG683">
        <v>1</v>
      </c>
      <c r="AJ683">
        <v>0</v>
      </c>
      <c r="AK683">
        <v>1</v>
      </c>
      <c r="AL683">
        <v>0</v>
      </c>
      <c r="AM683">
        <v>0</v>
      </c>
      <c r="AN683">
        <v>1</v>
      </c>
      <c r="AO683">
        <v>1</v>
      </c>
      <c r="AP683">
        <v>1</v>
      </c>
      <c r="AQ683">
        <v>1</v>
      </c>
      <c r="AR683">
        <v>1</v>
      </c>
      <c r="AS683">
        <v>1</v>
      </c>
      <c r="AT683">
        <v>0</v>
      </c>
      <c r="AV683">
        <v>1</v>
      </c>
      <c r="AW683">
        <v>1</v>
      </c>
    </row>
    <row r="684" spans="1:49" x14ac:dyDescent="0.25">
      <c r="A684" t="str">
        <f>"680"</f>
        <v>680</v>
      </c>
      <c r="B684" t="str">
        <f t="shared" si="38"/>
        <v>1</v>
      </c>
      <c r="C684" t="str">
        <f t="shared" si="39"/>
        <v>30</v>
      </c>
      <c r="D684" t="str">
        <f>"16"</f>
        <v>16</v>
      </c>
      <c r="E684" t="str">
        <f>"1-30-16"</f>
        <v>1-30-16</v>
      </c>
      <c r="F684" t="s">
        <v>83</v>
      </c>
      <c r="G684" t="s">
        <v>84</v>
      </c>
      <c r="H684" t="s">
        <v>92</v>
      </c>
      <c r="I684">
        <v>1</v>
      </c>
      <c r="J684">
        <v>1</v>
      </c>
      <c r="N684">
        <v>1</v>
      </c>
      <c r="O684">
        <v>1</v>
      </c>
      <c r="P684">
        <v>1</v>
      </c>
      <c r="Q684">
        <v>1</v>
      </c>
      <c r="R684">
        <v>1</v>
      </c>
      <c r="S684">
        <v>1</v>
      </c>
      <c r="T684">
        <v>1</v>
      </c>
      <c r="W684">
        <v>1</v>
      </c>
      <c r="X684">
        <v>1</v>
      </c>
      <c r="Y684">
        <v>1</v>
      </c>
      <c r="Z684">
        <v>1</v>
      </c>
      <c r="AA684">
        <v>1</v>
      </c>
      <c r="AB684">
        <v>1</v>
      </c>
    </row>
    <row r="685" spans="1:49" x14ac:dyDescent="0.25">
      <c r="A685" t="str">
        <f>"681"</f>
        <v>681</v>
      </c>
      <c r="B685" t="str">
        <f t="shared" si="38"/>
        <v>1</v>
      </c>
      <c r="C685" t="str">
        <f t="shared" si="39"/>
        <v>30</v>
      </c>
      <c r="D685" t="str">
        <f>"11"</f>
        <v>11</v>
      </c>
      <c r="E685" t="str">
        <f>"1-30-11"</f>
        <v>1-30-11</v>
      </c>
      <c r="F685" t="s">
        <v>83</v>
      </c>
      <c r="G685" t="s">
        <v>84</v>
      </c>
      <c r="H685" t="s">
        <v>92</v>
      </c>
      <c r="I685">
        <v>1</v>
      </c>
      <c r="J685">
        <v>1</v>
      </c>
      <c r="N685">
        <v>1</v>
      </c>
      <c r="O685">
        <v>1</v>
      </c>
      <c r="P685">
        <v>1</v>
      </c>
      <c r="Q685">
        <v>1</v>
      </c>
      <c r="R685">
        <v>0</v>
      </c>
      <c r="S685">
        <v>0</v>
      </c>
      <c r="T685">
        <v>0</v>
      </c>
      <c r="W685">
        <v>0</v>
      </c>
      <c r="X685">
        <v>1</v>
      </c>
      <c r="Y685">
        <v>1</v>
      </c>
      <c r="Z685">
        <v>0</v>
      </c>
      <c r="AA685">
        <v>0</v>
      </c>
      <c r="AB685">
        <v>1</v>
      </c>
    </row>
    <row r="686" spans="1:49" x14ac:dyDescent="0.25">
      <c r="A686" t="str">
        <f>"682"</f>
        <v>682</v>
      </c>
      <c r="B686" t="str">
        <f t="shared" si="38"/>
        <v>1</v>
      </c>
      <c r="C686" t="str">
        <f t="shared" si="39"/>
        <v>30</v>
      </c>
      <c r="D686" t="str">
        <f>"8"</f>
        <v>8</v>
      </c>
      <c r="E686" t="str">
        <f>"1-30-8"</f>
        <v>1-30-8</v>
      </c>
      <c r="F686" t="s">
        <v>83</v>
      </c>
      <c r="G686" t="s">
        <v>84</v>
      </c>
      <c r="H686" t="s">
        <v>92</v>
      </c>
      <c r="I686">
        <v>1</v>
      </c>
      <c r="J686">
        <v>1</v>
      </c>
      <c r="N686">
        <v>1</v>
      </c>
      <c r="O686">
        <v>1</v>
      </c>
      <c r="P686">
        <v>1</v>
      </c>
      <c r="Q686">
        <v>1</v>
      </c>
      <c r="R686">
        <v>1</v>
      </c>
      <c r="S686">
        <v>1</v>
      </c>
      <c r="T686">
        <v>1</v>
      </c>
      <c r="W686">
        <v>1</v>
      </c>
      <c r="X686">
        <v>1</v>
      </c>
      <c r="Y686">
        <v>1</v>
      </c>
      <c r="Z686">
        <v>1</v>
      </c>
      <c r="AA686">
        <v>1</v>
      </c>
      <c r="AB686">
        <v>1</v>
      </c>
    </row>
    <row r="687" spans="1:49" x14ac:dyDescent="0.25">
      <c r="A687" t="str">
        <f>"683"</f>
        <v>683</v>
      </c>
      <c r="B687" t="str">
        <f t="shared" si="38"/>
        <v>1</v>
      </c>
      <c r="C687" t="str">
        <f t="shared" si="39"/>
        <v>30</v>
      </c>
      <c r="D687" t="str">
        <f>"1"</f>
        <v>1</v>
      </c>
      <c r="E687" t="str">
        <f>"1-30-1"</f>
        <v>1-30-1</v>
      </c>
      <c r="F687" t="s">
        <v>83</v>
      </c>
      <c r="G687" t="s">
        <v>84</v>
      </c>
      <c r="H687" t="s">
        <v>92</v>
      </c>
      <c r="I687">
        <v>1</v>
      </c>
      <c r="J687">
        <v>1</v>
      </c>
      <c r="N687">
        <v>1</v>
      </c>
      <c r="O687">
        <v>1</v>
      </c>
      <c r="P687">
        <v>1</v>
      </c>
      <c r="Q687">
        <v>1</v>
      </c>
      <c r="R687">
        <v>1</v>
      </c>
      <c r="S687">
        <v>1</v>
      </c>
      <c r="T687">
        <v>1</v>
      </c>
      <c r="W687">
        <v>0</v>
      </c>
      <c r="X687">
        <v>1</v>
      </c>
      <c r="Y687">
        <v>1</v>
      </c>
      <c r="Z687">
        <v>1</v>
      </c>
      <c r="AA687">
        <v>1</v>
      </c>
      <c r="AB687">
        <v>1</v>
      </c>
    </row>
    <row r="688" spans="1:49" x14ac:dyDescent="0.25">
      <c r="A688" t="str">
        <f>"684"</f>
        <v>684</v>
      </c>
      <c r="B688" t="str">
        <f t="shared" si="38"/>
        <v>1</v>
      </c>
      <c r="C688" t="str">
        <f t="shared" si="39"/>
        <v>30</v>
      </c>
      <c r="D688" t="str">
        <f>"18"</f>
        <v>18</v>
      </c>
      <c r="E688" t="str">
        <f>"1-30-18"</f>
        <v>1-30-18</v>
      </c>
      <c r="F688" t="s">
        <v>83</v>
      </c>
      <c r="G688" t="s">
        <v>84</v>
      </c>
      <c r="H688" t="s">
        <v>92</v>
      </c>
      <c r="I688">
        <v>1</v>
      </c>
      <c r="J688">
        <v>1</v>
      </c>
      <c r="N688">
        <v>1</v>
      </c>
      <c r="O688">
        <v>1</v>
      </c>
      <c r="P688">
        <v>1</v>
      </c>
      <c r="Q688">
        <v>1</v>
      </c>
      <c r="R688">
        <v>1</v>
      </c>
      <c r="S688">
        <v>1</v>
      </c>
      <c r="T688">
        <v>1</v>
      </c>
      <c r="W688">
        <v>1</v>
      </c>
      <c r="X688">
        <v>0</v>
      </c>
      <c r="Y688">
        <v>1</v>
      </c>
      <c r="Z688">
        <v>1</v>
      </c>
      <c r="AA688">
        <v>1</v>
      </c>
      <c r="AB688">
        <v>1</v>
      </c>
    </row>
    <row r="689" spans="1:49" x14ac:dyDescent="0.25">
      <c r="A689" t="str">
        <f>"685"</f>
        <v>685</v>
      </c>
      <c r="B689" t="str">
        <f t="shared" si="38"/>
        <v>1</v>
      </c>
      <c r="C689" t="str">
        <f t="shared" si="39"/>
        <v>30</v>
      </c>
      <c r="D689" t="str">
        <f>"9"</f>
        <v>9</v>
      </c>
      <c r="E689" t="str">
        <f>"1-30-9"</f>
        <v>1-30-9</v>
      </c>
      <c r="F689" t="s">
        <v>83</v>
      </c>
      <c r="G689" t="s">
        <v>84</v>
      </c>
      <c r="H689" t="s">
        <v>92</v>
      </c>
      <c r="I689">
        <v>1</v>
      </c>
      <c r="J689">
        <v>1</v>
      </c>
      <c r="N689">
        <v>1</v>
      </c>
      <c r="O689">
        <v>1</v>
      </c>
      <c r="P689">
        <v>1</v>
      </c>
      <c r="Q689">
        <v>1</v>
      </c>
      <c r="R689">
        <v>1</v>
      </c>
      <c r="S689">
        <v>1</v>
      </c>
      <c r="T689">
        <v>1</v>
      </c>
      <c r="W689">
        <v>1</v>
      </c>
      <c r="X689">
        <v>1</v>
      </c>
      <c r="Y689">
        <v>1</v>
      </c>
      <c r="Z689">
        <v>1</v>
      </c>
      <c r="AA689">
        <v>1</v>
      </c>
      <c r="AB689">
        <v>1</v>
      </c>
    </row>
    <row r="690" spans="1:49" x14ac:dyDescent="0.25">
      <c r="A690" t="str">
        <f>"686"</f>
        <v>686</v>
      </c>
      <c r="B690" t="str">
        <f t="shared" si="38"/>
        <v>1</v>
      </c>
      <c r="C690" t="str">
        <f t="shared" si="39"/>
        <v>30</v>
      </c>
      <c r="D690" t="str">
        <f>"2"</f>
        <v>2</v>
      </c>
      <c r="E690" t="str">
        <f>"1-30-2"</f>
        <v>1-30-2</v>
      </c>
      <c r="F690" t="s">
        <v>83</v>
      </c>
      <c r="G690" t="s">
        <v>84</v>
      </c>
      <c r="H690" t="s">
        <v>85</v>
      </c>
      <c r="AC690">
        <v>1</v>
      </c>
      <c r="AD690">
        <v>0</v>
      </c>
      <c r="AE690">
        <v>0</v>
      </c>
      <c r="AF690">
        <v>0</v>
      </c>
      <c r="AG690">
        <v>1</v>
      </c>
      <c r="AJ690">
        <v>1</v>
      </c>
      <c r="AK690">
        <v>0</v>
      </c>
      <c r="AL690">
        <v>0</v>
      </c>
      <c r="AM690">
        <v>1</v>
      </c>
      <c r="AN690">
        <v>0</v>
      </c>
      <c r="AO690">
        <v>1</v>
      </c>
      <c r="AP690">
        <v>1</v>
      </c>
      <c r="AQ690">
        <v>1</v>
      </c>
      <c r="AR690">
        <v>1</v>
      </c>
      <c r="AS690">
        <v>0</v>
      </c>
      <c r="AT690">
        <v>1</v>
      </c>
      <c r="AV690">
        <v>1</v>
      </c>
      <c r="AW690">
        <v>1</v>
      </c>
    </row>
    <row r="691" spans="1:49" x14ac:dyDescent="0.25">
      <c r="A691" t="str">
        <f>"687"</f>
        <v>687</v>
      </c>
      <c r="B691" t="str">
        <f t="shared" si="38"/>
        <v>1</v>
      </c>
      <c r="C691" t="str">
        <f t="shared" si="39"/>
        <v>30</v>
      </c>
      <c r="D691" t="str">
        <f>"19"</f>
        <v>19</v>
      </c>
      <c r="E691" t="str">
        <f>"1-30-19"</f>
        <v>1-30-19</v>
      </c>
      <c r="F691" t="s">
        <v>83</v>
      </c>
      <c r="G691" t="s">
        <v>84</v>
      </c>
      <c r="H691" t="s">
        <v>92</v>
      </c>
      <c r="I691">
        <v>1</v>
      </c>
      <c r="J691">
        <v>1</v>
      </c>
      <c r="N691">
        <v>1</v>
      </c>
      <c r="O691">
        <v>1</v>
      </c>
      <c r="P691">
        <v>1</v>
      </c>
      <c r="Q691">
        <v>1</v>
      </c>
      <c r="R691">
        <v>1</v>
      </c>
      <c r="S691">
        <v>1</v>
      </c>
      <c r="T691">
        <v>1</v>
      </c>
      <c r="W691">
        <v>1</v>
      </c>
      <c r="X691">
        <v>1</v>
      </c>
      <c r="Y691">
        <v>1</v>
      </c>
      <c r="Z691">
        <v>1</v>
      </c>
      <c r="AA691">
        <v>1</v>
      </c>
      <c r="AB691">
        <v>1</v>
      </c>
    </row>
    <row r="692" spans="1:49" x14ac:dyDescent="0.25">
      <c r="A692" t="str">
        <f>"688"</f>
        <v>688</v>
      </c>
      <c r="B692" t="str">
        <f t="shared" si="38"/>
        <v>1</v>
      </c>
      <c r="C692" t="str">
        <f t="shared" si="39"/>
        <v>30</v>
      </c>
      <c r="D692" t="str">
        <f>"10"</f>
        <v>10</v>
      </c>
      <c r="E692" t="str">
        <f>"1-30-10"</f>
        <v>1-30-10</v>
      </c>
      <c r="F692" t="s">
        <v>83</v>
      </c>
      <c r="G692" t="s">
        <v>84</v>
      </c>
      <c r="H692" t="s">
        <v>92</v>
      </c>
      <c r="I692">
        <v>1</v>
      </c>
      <c r="J692">
        <v>1</v>
      </c>
      <c r="N692">
        <v>1</v>
      </c>
      <c r="O692">
        <v>1</v>
      </c>
      <c r="P692">
        <v>1</v>
      </c>
      <c r="Q692">
        <v>1</v>
      </c>
      <c r="R692">
        <v>0</v>
      </c>
      <c r="S692">
        <v>1</v>
      </c>
      <c r="T692">
        <v>0</v>
      </c>
      <c r="W692">
        <v>1</v>
      </c>
      <c r="X692">
        <v>1</v>
      </c>
      <c r="Y692">
        <v>1</v>
      </c>
      <c r="Z692">
        <v>1</v>
      </c>
      <c r="AA692">
        <v>1</v>
      </c>
      <c r="AB692">
        <v>1</v>
      </c>
    </row>
    <row r="693" spans="1:49" x14ac:dyDescent="0.25">
      <c r="A693" t="str">
        <f>"689"</f>
        <v>689</v>
      </c>
      <c r="B693" t="str">
        <f t="shared" si="38"/>
        <v>1</v>
      </c>
      <c r="C693" t="str">
        <f t="shared" si="39"/>
        <v>30</v>
      </c>
      <c r="D693" t="str">
        <f>"6"</f>
        <v>6</v>
      </c>
      <c r="E693" t="str">
        <f>"1-30-6"</f>
        <v>1-30-6</v>
      </c>
      <c r="F693" t="s">
        <v>83</v>
      </c>
      <c r="G693" t="s">
        <v>84</v>
      </c>
      <c r="H693" t="s">
        <v>85</v>
      </c>
      <c r="AC693">
        <v>0</v>
      </c>
      <c r="AD693">
        <v>1</v>
      </c>
      <c r="AE693">
        <v>0</v>
      </c>
      <c r="AF693">
        <v>0</v>
      </c>
      <c r="AG693">
        <v>0</v>
      </c>
      <c r="AJ693">
        <v>1</v>
      </c>
      <c r="AK693">
        <v>0</v>
      </c>
      <c r="AL693">
        <v>0</v>
      </c>
      <c r="AM693">
        <v>0</v>
      </c>
      <c r="AN693">
        <v>1</v>
      </c>
      <c r="AO693">
        <v>0</v>
      </c>
      <c r="AP693">
        <v>0</v>
      </c>
      <c r="AQ693">
        <v>0</v>
      </c>
      <c r="AR693">
        <v>0</v>
      </c>
      <c r="AS693">
        <v>0</v>
      </c>
      <c r="AT693">
        <v>1</v>
      </c>
      <c r="AV693">
        <v>0</v>
      </c>
      <c r="AW693">
        <v>0</v>
      </c>
    </row>
    <row r="694" spans="1:49" x14ac:dyDescent="0.25">
      <c r="A694" t="str">
        <f>"690"</f>
        <v>690</v>
      </c>
      <c r="B694" t="str">
        <f t="shared" si="38"/>
        <v>1</v>
      </c>
      <c r="C694" t="str">
        <f t="shared" si="39"/>
        <v>30</v>
      </c>
      <c r="D694" t="str">
        <f>"20"</f>
        <v>20</v>
      </c>
      <c r="E694" t="str">
        <f>"1-30-20"</f>
        <v>1-30-20</v>
      </c>
      <c r="F694" t="s">
        <v>83</v>
      </c>
      <c r="G694" t="s">
        <v>84</v>
      </c>
      <c r="H694" t="s">
        <v>92</v>
      </c>
      <c r="I694">
        <v>1</v>
      </c>
      <c r="J694">
        <v>1</v>
      </c>
      <c r="N694">
        <v>1</v>
      </c>
      <c r="O694">
        <v>1</v>
      </c>
      <c r="P694">
        <v>1</v>
      </c>
      <c r="Q694">
        <v>1</v>
      </c>
      <c r="R694">
        <v>1</v>
      </c>
      <c r="S694">
        <v>1</v>
      </c>
      <c r="T694">
        <v>1</v>
      </c>
      <c r="W694">
        <v>1</v>
      </c>
      <c r="X694">
        <v>1</v>
      </c>
      <c r="Y694">
        <v>1</v>
      </c>
      <c r="Z694">
        <v>1</v>
      </c>
      <c r="AA694">
        <v>1</v>
      </c>
      <c r="AB694">
        <v>1</v>
      </c>
    </row>
    <row r="695" spans="1:49" x14ac:dyDescent="0.25">
      <c r="A695" t="str">
        <f>"691"</f>
        <v>691</v>
      </c>
      <c r="B695" t="str">
        <f t="shared" si="38"/>
        <v>1</v>
      </c>
      <c r="C695" t="str">
        <f t="shared" si="39"/>
        <v>30</v>
      </c>
      <c r="D695" t="str">
        <f>"12"</f>
        <v>12</v>
      </c>
      <c r="E695" t="str">
        <f>"1-30-12"</f>
        <v>1-30-12</v>
      </c>
      <c r="F695" t="s">
        <v>83</v>
      </c>
      <c r="G695" t="s">
        <v>84</v>
      </c>
      <c r="H695" t="s">
        <v>92</v>
      </c>
      <c r="I695">
        <v>1</v>
      </c>
      <c r="J695">
        <v>1</v>
      </c>
      <c r="N695">
        <v>1</v>
      </c>
      <c r="O695">
        <v>1</v>
      </c>
      <c r="P695">
        <v>1</v>
      </c>
      <c r="Q695">
        <v>1</v>
      </c>
      <c r="R695">
        <v>1</v>
      </c>
      <c r="S695">
        <v>1</v>
      </c>
      <c r="T695">
        <v>1</v>
      </c>
      <c r="W695">
        <v>1</v>
      </c>
      <c r="X695">
        <v>1</v>
      </c>
      <c r="Y695">
        <v>1</v>
      </c>
      <c r="Z695">
        <v>1</v>
      </c>
      <c r="AA695">
        <v>1</v>
      </c>
      <c r="AB695">
        <v>1</v>
      </c>
    </row>
    <row r="696" spans="1:49" x14ac:dyDescent="0.25">
      <c r="A696" t="str">
        <f>"692"</f>
        <v>692</v>
      </c>
      <c r="B696" t="str">
        <f t="shared" si="38"/>
        <v>1</v>
      </c>
      <c r="C696" t="str">
        <f t="shared" si="39"/>
        <v>30</v>
      </c>
      <c r="D696" t="str">
        <f>"3"</f>
        <v>3</v>
      </c>
      <c r="E696" t="str">
        <f>"1-30-3"</f>
        <v>1-30-3</v>
      </c>
      <c r="F696" t="s">
        <v>83</v>
      </c>
      <c r="G696" t="s">
        <v>84</v>
      </c>
      <c r="H696" t="s">
        <v>92</v>
      </c>
      <c r="I696">
        <v>1</v>
      </c>
      <c r="J696">
        <v>1</v>
      </c>
      <c r="N696">
        <v>1</v>
      </c>
      <c r="O696">
        <v>1</v>
      </c>
      <c r="P696">
        <v>1</v>
      </c>
      <c r="Q696">
        <v>1</v>
      </c>
      <c r="R696">
        <v>1</v>
      </c>
      <c r="S696">
        <v>1</v>
      </c>
      <c r="T696">
        <v>1</v>
      </c>
      <c r="W696">
        <v>1</v>
      </c>
      <c r="X696">
        <v>1</v>
      </c>
      <c r="Y696">
        <v>1</v>
      </c>
      <c r="Z696">
        <v>1</v>
      </c>
      <c r="AA696">
        <v>1</v>
      </c>
      <c r="AB696">
        <v>1</v>
      </c>
    </row>
    <row r="697" spans="1:49" x14ac:dyDescent="0.25">
      <c r="A697" t="str">
        <f>"693"</f>
        <v>693</v>
      </c>
      <c r="B697" t="str">
        <f t="shared" si="38"/>
        <v>1</v>
      </c>
      <c r="C697" t="str">
        <f t="shared" si="39"/>
        <v>30</v>
      </c>
      <c r="D697" t="str">
        <f>"21"</f>
        <v>21</v>
      </c>
      <c r="E697" t="str">
        <f>"1-30-21"</f>
        <v>1-30-21</v>
      </c>
      <c r="F697" t="s">
        <v>83</v>
      </c>
      <c r="G697" t="s">
        <v>84</v>
      </c>
      <c r="H697" t="s">
        <v>85</v>
      </c>
      <c r="AC697">
        <v>0</v>
      </c>
      <c r="AD697">
        <v>0</v>
      </c>
      <c r="AE697">
        <v>0</v>
      </c>
      <c r="AF697">
        <v>0</v>
      </c>
      <c r="AG697">
        <v>0</v>
      </c>
      <c r="AJ697">
        <v>0</v>
      </c>
      <c r="AK697">
        <v>0</v>
      </c>
      <c r="AL697">
        <v>0</v>
      </c>
      <c r="AM697">
        <v>0</v>
      </c>
      <c r="AN697">
        <v>1</v>
      </c>
      <c r="AO697">
        <v>0</v>
      </c>
      <c r="AP697">
        <v>0</v>
      </c>
      <c r="AQ697">
        <v>0</v>
      </c>
      <c r="AR697">
        <v>0</v>
      </c>
      <c r="AS697">
        <v>1</v>
      </c>
      <c r="AT697">
        <v>0</v>
      </c>
      <c r="AV697">
        <v>0</v>
      </c>
      <c r="AW697">
        <v>1</v>
      </c>
    </row>
    <row r="698" spans="1:49" x14ac:dyDescent="0.25">
      <c r="A698" t="str">
        <f>"694"</f>
        <v>694</v>
      </c>
      <c r="B698" t="str">
        <f t="shared" si="38"/>
        <v>1</v>
      </c>
      <c r="C698" t="str">
        <f t="shared" si="39"/>
        <v>30</v>
      </c>
      <c r="D698" t="str">
        <f>"13"</f>
        <v>13</v>
      </c>
      <c r="E698" t="str">
        <f>"1-30-13"</f>
        <v>1-30-13</v>
      </c>
      <c r="F698" t="s">
        <v>83</v>
      </c>
      <c r="G698" t="s">
        <v>84</v>
      </c>
      <c r="H698" t="s">
        <v>92</v>
      </c>
      <c r="I698">
        <v>1</v>
      </c>
      <c r="J698">
        <v>0</v>
      </c>
      <c r="N698">
        <v>1</v>
      </c>
      <c r="O698">
        <v>1</v>
      </c>
      <c r="P698">
        <v>1</v>
      </c>
      <c r="Q698">
        <v>1</v>
      </c>
      <c r="R698">
        <v>1</v>
      </c>
      <c r="S698">
        <v>1</v>
      </c>
      <c r="T698">
        <v>1</v>
      </c>
      <c r="W698">
        <v>1</v>
      </c>
      <c r="X698">
        <v>1</v>
      </c>
      <c r="Y698">
        <v>1</v>
      </c>
      <c r="Z698">
        <v>1</v>
      </c>
      <c r="AA698">
        <v>1</v>
      </c>
      <c r="AB698">
        <v>1</v>
      </c>
    </row>
    <row r="699" spans="1:49" x14ac:dyDescent="0.25">
      <c r="A699" t="str">
        <f>"695"</f>
        <v>695</v>
      </c>
      <c r="B699" t="str">
        <f t="shared" si="38"/>
        <v>1</v>
      </c>
      <c r="C699" t="str">
        <f t="shared" si="39"/>
        <v>30</v>
      </c>
      <c r="D699" t="str">
        <f>"4"</f>
        <v>4</v>
      </c>
      <c r="E699" t="str">
        <f>"1-30-4"</f>
        <v>1-30-4</v>
      </c>
      <c r="F699" t="s">
        <v>83</v>
      </c>
      <c r="G699" t="s">
        <v>84</v>
      </c>
      <c r="H699" t="s">
        <v>85</v>
      </c>
      <c r="AC699">
        <v>0</v>
      </c>
      <c r="AD699">
        <v>1</v>
      </c>
      <c r="AE699">
        <v>0</v>
      </c>
      <c r="AF699">
        <v>0</v>
      </c>
      <c r="AG699">
        <v>1</v>
      </c>
      <c r="AJ699">
        <v>0</v>
      </c>
      <c r="AK699">
        <v>1</v>
      </c>
      <c r="AL699">
        <v>0</v>
      </c>
      <c r="AM699">
        <v>0</v>
      </c>
      <c r="AN699">
        <v>1</v>
      </c>
      <c r="AO699">
        <v>1</v>
      </c>
      <c r="AP699">
        <v>1</v>
      </c>
      <c r="AQ699">
        <v>1</v>
      </c>
      <c r="AR699">
        <v>1</v>
      </c>
      <c r="AS699">
        <v>0</v>
      </c>
      <c r="AT699">
        <v>1</v>
      </c>
      <c r="AV699">
        <v>1</v>
      </c>
      <c r="AW699">
        <v>1</v>
      </c>
    </row>
    <row r="700" spans="1:49" x14ac:dyDescent="0.25">
      <c r="A700" t="str">
        <f>"696"</f>
        <v>696</v>
      </c>
      <c r="B700" t="str">
        <f t="shared" si="38"/>
        <v>1</v>
      </c>
      <c r="C700" t="str">
        <f t="shared" si="39"/>
        <v>30</v>
      </c>
      <c r="D700" t="str">
        <f>"22"</f>
        <v>22</v>
      </c>
      <c r="E700" t="str">
        <f>"1-30-22"</f>
        <v>1-30-22</v>
      </c>
      <c r="F700" t="s">
        <v>83</v>
      </c>
      <c r="G700" t="s">
        <v>84</v>
      </c>
      <c r="H700" t="s">
        <v>85</v>
      </c>
      <c r="AC700">
        <v>0</v>
      </c>
      <c r="AD700">
        <v>1</v>
      </c>
      <c r="AE700">
        <v>0</v>
      </c>
      <c r="AF700">
        <v>0</v>
      </c>
      <c r="AG700">
        <v>1</v>
      </c>
      <c r="AJ700">
        <v>0</v>
      </c>
      <c r="AK700">
        <v>1</v>
      </c>
      <c r="AL700">
        <v>0</v>
      </c>
      <c r="AM700">
        <v>1</v>
      </c>
      <c r="AN700">
        <v>0</v>
      </c>
      <c r="AO700">
        <v>1</v>
      </c>
      <c r="AP700">
        <v>1</v>
      </c>
      <c r="AQ700">
        <v>1</v>
      </c>
      <c r="AR700">
        <v>1</v>
      </c>
      <c r="AS700">
        <v>0</v>
      </c>
      <c r="AT700">
        <v>1</v>
      </c>
      <c r="AV700">
        <v>1</v>
      </c>
      <c r="AW700">
        <v>1</v>
      </c>
    </row>
    <row r="701" spans="1:49" x14ac:dyDescent="0.25">
      <c r="A701" t="str">
        <f>"697"</f>
        <v>697</v>
      </c>
      <c r="B701" t="str">
        <f t="shared" si="38"/>
        <v>1</v>
      </c>
      <c r="C701" t="str">
        <f t="shared" si="39"/>
        <v>30</v>
      </c>
      <c r="D701" t="str">
        <f>"14"</f>
        <v>14</v>
      </c>
      <c r="E701" t="str">
        <f>"1-30-14"</f>
        <v>1-30-14</v>
      </c>
      <c r="F701" t="s">
        <v>83</v>
      </c>
      <c r="G701" t="s">
        <v>84</v>
      </c>
      <c r="H701" t="s">
        <v>85</v>
      </c>
      <c r="AC701">
        <v>0</v>
      </c>
      <c r="AD701">
        <v>1</v>
      </c>
      <c r="AE701">
        <v>0</v>
      </c>
      <c r="AF701">
        <v>0</v>
      </c>
      <c r="AG701">
        <v>1</v>
      </c>
      <c r="AJ701">
        <v>0</v>
      </c>
      <c r="AK701">
        <v>1</v>
      </c>
      <c r="AL701">
        <v>0</v>
      </c>
      <c r="AM701">
        <v>1</v>
      </c>
      <c r="AN701">
        <v>0</v>
      </c>
      <c r="AO701">
        <v>1</v>
      </c>
      <c r="AP701">
        <v>1</v>
      </c>
      <c r="AQ701">
        <v>1</v>
      </c>
      <c r="AR701">
        <v>1</v>
      </c>
      <c r="AS701">
        <v>0</v>
      </c>
      <c r="AT701">
        <v>1</v>
      </c>
      <c r="AV701">
        <v>1</v>
      </c>
      <c r="AW701">
        <v>1</v>
      </c>
    </row>
    <row r="702" spans="1:49" x14ac:dyDescent="0.25">
      <c r="A702" t="str">
        <f>"698"</f>
        <v>698</v>
      </c>
      <c r="B702" t="str">
        <f t="shared" si="38"/>
        <v>1</v>
      </c>
      <c r="C702" t="str">
        <f t="shared" si="39"/>
        <v>30</v>
      </c>
      <c r="D702" t="str">
        <f>"5"</f>
        <v>5</v>
      </c>
      <c r="E702" t="str">
        <f>"1-30-5"</f>
        <v>1-30-5</v>
      </c>
      <c r="F702" t="s">
        <v>83</v>
      </c>
      <c r="G702" t="s">
        <v>84</v>
      </c>
      <c r="H702" t="s">
        <v>92</v>
      </c>
      <c r="I702">
        <v>1</v>
      </c>
      <c r="J702">
        <v>1</v>
      </c>
      <c r="N702">
        <v>1</v>
      </c>
      <c r="O702">
        <v>1</v>
      </c>
      <c r="P702">
        <v>1</v>
      </c>
      <c r="Q702">
        <v>1</v>
      </c>
      <c r="R702">
        <v>1</v>
      </c>
      <c r="S702">
        <v>1</v>
      </c>
      <c r="T702">
        <v>1</v>
      </c>
      <c r="W702">
        <v>1</v>
      </c>
      <c r="X702">
        <v>1</v>
      </c>
      <c r="Y702">
        <v>1</v>
      </c>
      <c r="Z702">
        <v>1</v>
      </c>
      <c r="AA702">
        <v>1</v>
      </c>
      <c r="AB702">
        <v>1</v>
      </c>
    </row>
    <row r="703" spans="1:49" x14ac:dyDescent="0.25">
      <c r="A703" t="str">
        <f>"699"</f>
        <v>699</v>
      </c>
      <c r="B703" t="str">
        <f t="shared" si="38"/>
        <v>1</v>
      </c>
      <c r="C703" t="str">
        <f t="shared" si="39"/>
        <v>30</v>
      </c>
      <c r="D703" t="str">
        <f>"23"</f>
        <v>23</v>
      </c>
      <c r="E703" t="str">
        <f>"1-30-23"</f>
        <v>1-30-23</v>
      </c>
      <c r="F703" t="s">
        <v>83</v>
      </c>
      <c r="G703" t="s">
        <v>84</v>
      </c>
      <c r="H703" t="s">
        <v>85</v>
      </c>
      <c r="AC703">
        <v>0</v>
      </c>
      <c r="AD703">
        <v>0</v>
      </c>
      <c r="AE703">
        <v>0</v>
      </c>
      <c r="AF703">
        <v>0</v>
      </c>
      <c r="AG703">
        <v>0</v>
      </c>
      <c r="AJ703">
        <v>0</v>
      </c>
      <c r="AK703">
        <v>0</v>
      </c>
      <c r="AL703">
        <v>0</v>
      </c>
      <c r="AM703">
        <v>1</v>
      </c>
      <c r="AN703">
        <v>0</v>
      </c>
      <c r="AO703">
        <v>0</v>
      </c>
      <c r="AP703">
        <v>0</v>
      </c>
      <c r="AQ703">
        <v>0</v>
      </c>
      <c r="AR703">
        <v>0</v>
      </c>
      <c r="AS703">
        <v>1</v>
      </c>
      <c r="AT703">
        <v>0</v>
      </c>
      <c r="AV703">
        <v>0</v>
      </c>
      <c r="AW703">
        <v>0</v>
      </c>
    </row>
    <row r="704" spans="1:49" x14ac:dyDescent="0.25">
      <c r="A704" t="str">
        <f>"700"</f>
        <v>700</v>
      </c>
      <c r="B704" t="str">
        <f t="shared" si="38"/>
        <v>1</v>
      </c>
      <c r="C704" t="str">
        <f t="shared" si="39"/>
        <v>30</v>
      </c>
      <c r="D704" t="str">
        <f>"15"</f>
        <v>15</v>
      </c>
      <c r="E704" t="str">
        <f>"1-30-15"</f>
        <v>1-30-15</v>
      </c>
      <c r="F704" t="s">
        <v>83</v>
      </c>
      <c r="G704" t="s">
        <v>84</v>
      </c>
      <c r="H704" t="s">
        <v>85</v>
      </c>
      <c r="AC704">
        <v>0</v>
      </c>
      <c r="AD704">
        <v>1</v>
      </c>
      <c r="AE704">
        <v>0</v>
      </c>
      <c r="AF704">
        <v>0</v>
      </c>
      <c r="AG704">
        <v>0</v>
      </c>
      <c r="AJ704">
        <v>0</v>
      </c>
      <c r="AK704">
        <v>1</v>
      </c>
      <c r="AL704">
        <v>0</v>
      </c>
      <c r="AM704">
        <v>0</v>
      </c>
      <c r="AN704">
        <v>1</v>
      </c>
      <c r="AO704">
        <v>1</v>
      </c>
      <c r="AP704">
        <v>1</v>
      </c>
      <c r="AQ704">
        <v>1</v>
      </c>
      <c r="AR704">
        <v>1</v>
      </c>
      <c r="AS704">
        <v>1</v>
      </c>
      <c r="AT704">
        <v>0</v>
      </c>
      <c r="AV704">
        <v>1</v>
      </c>
      <c r="AW704">
        <v>1</v>
      </c>
    </row>
    <row r="705" spans="1:49" x14ac:dyDescent="0.25">
      <c r="A705" t="str">
        <f>"701"</f>
        <v>701</v>
      </c>
      <c r="B705" t="str">
        <f t="shared" si="38"/>
        <v>1</v>
      </c>
      <c r="C705" t="str">
        <f t="shared" si="39"/>
        <v>30</v>
      </c>
      <c r="D705" t="str">
        <f>"7"</f>
        <v>7</v>
      </c>
      <c r="E705" t="str">
        <f>"1-30-7"</f>
        <v>1-30-7</v>
      </c>
      <c r="F705" t="s">
        <v>83</v>
      </c>
      <c r="G705" t="s">
        <v>84</v>
      </c>
      <c r="H705" t="s">
        <v>92</v>
      </c>
      <c r="I705">
        <v>1</v>
      </c>
      <c r="J705">
        <v>1</v>
      </c>
      <c r="N705">
        <v>1</v>
      </c>
      <c r="O705">
        <v>1</v>
      </c>
      <c r="P705">
        <v>1</v>
      </c>
      <c r="Q705">
        <v>1</v>
      </c>
      <c r="R705">
        <v>1</v>
      </c>
      <c r="S705">
        <v>1</v>
      </c>
      <c r="T705">
        <v>1</v>
      </c>
      <c r="W705">
        <v>1</v>
      </c>
      <c r="X705">
        <v>1</v>
      </c>
      <c r="Y705">
        <v>1</v>
      </c>
      <c r="Z705">
        <v>1</v>
      </c>
      <c r="AA705">
        <v>1</v>
      </c>
      <c r="AB705">
        <v>1</v>
      </c>
    </row>
    <row r="706" spans="1:49" x14ac:dyDescent="0.25">
      <c r="A706" t="str">
        <f>"702"</f>
        <v>702</v>
      </c>
      <c r="B706" t="str">
        <f t="shared" si="38"/>
        <v>1</v>
      </c>
      <c r="C706" t="str">
        <f t="shared" ref="C706:C730" si="40">"31"</f>
        <v>31</v>
      </c>
      <c r="D706" t="str">
        <f>"25"</f>
        <v>25</v>
      </c>
      <c r="E706" t="str">
        <f>"1-31-25"</f>
        <v>1-31-25</v>
      </c>
      <c r="F706" t="s">
        <v>83</v>
      </c>
      <c r="G706" t="s">
        <v>86</v>
      </c>
      <c r="H706" t="s">
        <v>87</v>
      </c>
      <c r="AC706">
        <v>0</v>
      </c>
      <c r="AD706">
        <v>0</v>
      </c>
      <c r="AE706">
        <v>0</v>
      </c>
      <c r="AF706">
        <v>0</v>
      </c>
      <c r="AH706">
        <v>0</v>
      </c>
      <c r="AI706">
        <v>1</v>
      </c>
      <c r="AJ706">
        <v>0</v>
      </c>
      <c r="AK706">
        <v>1</v>
      </c>
      <c r="AL706">
        <v>0</v>
      </c>
      <c r="AM706">
        <v>0</v>
      </c>
      <c r="AN706">
        <v>1</v>
      </c>
      <c r="AO706">
        <v>1</v>
      </c>
      <c r="AP706">
        <v>1</v>
      </c>
      <c r="AQ706">
        <v>1</v>
      </c>
      <c r="AU706">
        <v>1</v>
      </c>
      <c r="AV706">
        <v>1</v>
      </c>
      <c r="AW706">
        <v>1</v>
      </c>
    </row>
    <row r="707" spans="1:49" x14ac:dyDescent="0.25">
      <c r="A707" t="str">
        <f>"703"</f>
        <v>703</v>
      </c>
      <c r="B707" t="str">
        <f t="shared" si="38"/>
        <v>1</v>
      </c>
      <c r="C707" t="str">
        <f t="shared" si="40"/>
        <v>31</v>
      </c>
      <c r="D707" t="str">
        <f>"24"</f>
        <v>24</v>
      </c>
      <c r="E707" t="str">
        <f>"1-31-24"</f>
        <v>1-31-24</v>
      </c>
      <c r="F707" t="s">
        <v>83</v>
      </c>
      <c r="G707" t="s">
        <v>84</v>
      </c>
      <c r="H707" t="s">
        <v>92</v>
      </c>
      <c r="I707">
        <v>1</v>
      </c>
      <c r="J707">
        <v>1</v>
      </c>
      <c r="N707">
        <v>1</v>
      </c>
      <c r="O707">
        <v>1</v>
      </c>
      <c r="P707">
        <v>1</v>
      </c>
      <c r="Q707">
        <v>1</v>
      </c>
      <c r="R707">
        <v>1</v>
      </c>
      <c r="S707">
        <v>1</v>
      </c>
      <c r="T707">
        <v>1</v>
      </c>
      <c r="W707">
        <v>1</v>
      </c>
      <c r="X707">
        <v>1</v>
      </c>
      <c r="Y707">
        <v>1</v>
      </c>
      <c r="Z707">
        <v>1</v>
      </c>
      <c r="AA707">
        <v>1</v>
      </c>
      <c r="AB707">
        <v>1</v>
      </c>
    </row>
    <row r="708" spans="1:49" x14ac:dyDescent="0.25">
      <c r="A708" t="str">
        <f>"704"</f>
        <v>704</v>
      </c>
      <c r="B708" t="str">
        <f t="shared" si="38"/>
        <v>1</v>
      </c>
      <c r="C708" t="str">
        <f t="shared" si="40"/>
        <v>31</v>
      </c>
      <c r="D708" t="str">
        <f>"17"</f>
        <v>17</v>
      </c>
      <c r="E708" t="str">
        <f>"1-31-17"</f>
        <v>1-31-17</v>
      </c>
      <c r="F708" t="s">
        <v>83</v>
      </c>
      <c r="G708" t="s">
        <v>84</v>
      </c>
      <c r="H708" t="s">
        <v>92</v>
      </c>
      <c r="I708">
        <v>1</v>
      </c>
      <c r="J708">
        <v>1</v>
      </c>
      <c r="N708">
        <v>1</v>
      </c>
      <c r="O708">
        <v>1</v>
      </c>
      <c r="P708">
        <v>1</v>
      </c>
      <c r="Q708">
        <v>1</v>
      </c>
      <c r="R708">
        <v>1</v>
      </c>
      <c r="S708">
        <v>1</v>
      </c>
      <c r="T708">
        <v>1</v>
      </c>
      <c r="W708">
        <v>1</v>
      </c>
      <c r="X708">
        <v>1</v>
      </c>
      <c r="Y708">
        <v>1</v>
      </c>
      <c r="Z708">
        <v>1</v>
      </c>
      <c r="AA708">
        <v>1</v>
      </c>
      <c r="AB708">
        <v>1</v>
      </c>
    </row>
    <row r="709" spans="1:49" x14ac:dyDescent="0.25">
      <c r="A709" t="str">
        <f>"705"</f>
        <v>705</v>
      </c>
      <c r="B709" t="str">
        <f t="shared" si="38"/>
        <v>1</v>
      </c>
      <c r="C709" t="str">
        <f t="shared" si="40"/>
        <v>31</v>
      </c>
      <c r="D709" t="str">
        <f>"16"</f>
        <v>16</v>
      </c>
      <c r="E709" t="str">
        <f>"1-31-16"</f>
        <v>1-31-16</v>
      </c>
      <c r="F709" t="s">
        <v>83</v>
      </c>
      <c r="G709" t="s">
        <v>84</v>
      </c>
      <c r="H709" t="s">
        <v>92</v>
      </c>
      <c r="I709">
        <v>1</v>
      </c>
      <c r="J709">
        <v>1</v>
      </c>
      <c r="N709">
        <v>1</v>
      </c>
      <c r="O709">
        <v>1</v>
      </c>
      <c r="P709">
        <v>1</v>
      </c>
      <c r="Q709">
        <v>1</v>
      </c>
      <c r="R709">
        <v>1</v>
      </c>
      <c r="S709">
        <v>1</v>
      </c>
      <c r="T709">
        <v>1</v>
      </c>
      <c r="W709">
        <v>1</v>
      </c>
      <c r="X709">
        <v>1</v>
      </c>
      <c r="Y709">
        <v>1</v>
      </c>
      <c r="Z709">
        <v>1</v>
      </c>
      <c r="AA709">
        <v>1</v>
      </c>
      <c r="AB709">
        <v>1</v>
      </c>
    </row>
    <row r="710" spans="1:49" x14ac:dyDescent="0.25">
      <c r="A710" t="str">
        <f>"706"</f>
        <v>706</v>
      </c>
      <c r="B710" t="str">
        <f t="shared" si="38"/>
        <v>1</v>
      </c>
      <c r="C710" t="str">
        <f t="shared" si="40"/>
        <v>31</v>
      </c>
      <c r="D710" t="str">
        <f>"11"</f>
        <v>11</v>
      </c>
      <c r="E710" t="str">
        <f>"1-31-11"</f>
        <v>1-31-11</v>
      </c>
      <c r="F710" t="s">
        <v>83</v>
      </c>
      <c r="G710" t="s">
        <v>84</v>
      </c>
      <c r="H710" t="s">
        <v>92</v>
      </c>
      <c r="I710">
        <v>1</v>
      </c>
      <c r="J710">
        <v>1</v>
      </c>
      <c r="N710">
        <v>1</v>
      </c>
      <c r="O710">
        <v>1</v>
      </c>
      <c r="P710">
        <v>1</v>
      </c>
      <c r="Q710">
        <v>1</v>
      </c>
      <c r="R710">
        <v>1</v>
      </c>
      <c r="S710">
        <v>1</v>
      </c>
      <c r="T710">
        <v>1</v>
      </c>
      <c r="W710">
        <v>1</v>
      </c>
      <c r="X710">
        <v>1</v>
      </c>
      <c r="Y710">
        <v>1</v>
      </c>
      <c r="Z710">
        <v>1</v>
      </c>
      <c r="AA710">
        <v>1</v>
      </c>
      <c r="AB710">
        <v>1</v>
      </c>
    </row>
    <row r="711" spans="1:49" x14ac:dyDescent="0.25">
      <c r="A711" t="str">
        <f>"707"</f>
        <v>707</v>
      </c>
      <c r="B711" t="str">
        <f t="shared" si="38"/>
        <v>1</v>
      </c>
      <c r="C711" t="str">
        <f t="shared" si="40"/>
        <v>31</v>
      </c>
      <c r="D711" t="str">
        <f>"8"</f>
        <v>8</v>
      </c>
      <c r="E711" t="str">
        <f>"1-31-8"</f>
        <v>1-31-8</v>
      </c>
      <c r="F711" t="s">
        <v>83</v>
      </c>
      <c r="G711" t="s">
        <v>84</v>
      </c>
      <c r="H711" t="s">
        <v>92</v>
      </c>
      <c r="I711">
        <v>1</v>
      </c>
      <c r="J711">
        <v>1</v>
      </c>
      <c r="N711">
        <v>1</v>
      </c>
      <c r="O711">
        <v>1</v>
      </c>
      <c r="P711">
        <v>1</v>
      </c>
      <c r="Q711">
        <v>1</v>
      </c>
      <c r="R711">
        <v>1</v>
      </c>
      <c r="S711">
        <v>1</v>
      </c>
      <c r="T711">
        <v>1</v>
      </c>
      <c r="W711">
        <v>1</v>
      </c>
      <c r="X711">
        <v>1</v>
      </c>
      <c r="Y711">
        <v>1</v>
      </c>
      <c r="Z711">
        <v>1</v>
      </c>
      <c r="AA711">
        <v>1</v>
      </c>
      <c r="AB711">
        <v>1</v>
      </c>
    </row>
    <row r="712" spans="1:49" x14ac:dyDescent="0.25">
      <c r="A712" t="str">
        <f>"708"</f>
        <v>708</v>
      </c>
      <c r="B712" t="str">
        <f t="shared" si="38"/>
        <v>1</v>
      </c>
      <c r="C712" t="str">
        <f t="shared" si="40"/>
        <v>31</v>
      </c>
      <c r="D712" t="str">
        <f>"3"</f>
        <v>3</v>
      </c>
      <c r="E712" t="str">
        <f>"1-31-3"</f>
        <v>1-31-3</v>
      </c>
      <c r="F712" t="s">
        <v>83</v>
      </c>
      <c r="G712" t="s">
        <v>84</v>
      </c>
      <c r="H712" t="s">
        <v>85</v>
      </c>
      <c r="AC712">
        <v>0</v>
      </c>
      <c r="AD712">
        <v>1</v>
      </c>
      <c r="AE712">
        <v>0</v>
      </c>
      <c r="AF712">
        <v>0</v>
      </c>
      <c r="AG712">
        <v>0</v>
      </c>
      <c r="AJ712">
        <v>0</v>
      </c>
      <c r="AK712">
        <v>1</v>
      </c>
      <c r="AL712">
        <v>0</v>
      </c>
      <c r="AM712">
        <v>1</v>
      </c>
      <c r="AN712">
        <v>0</v>
      </c>
      <c r="AO712">
        <v>0</v>
      </c>
      <c r="AP712">
        <v>0</v>
      </c>
      <c r="AQ712">
        <v>0</v>
      </c>
      <c r="AR712">
        <v>0</v>
      </c>
      <c r="AS712">
        <v>0</v>
      </c>
      <c r="AT712">
        <v>1</v>
      </c>
      <c r="AV712">
        <v>0</v>
      </c>
      <c r="AW712">
        <v>0</v>
      </c>
    </row>
    <row r="713" spans="1:49" x14ac:dyDescent="0.25">
      <c r="A713" t="str">
        <f>"709"</f>
        <v>709</v>
      </c>
      <c r="B713" t="str">
        <f t="shared" si="38"/>
        <v>1</v>
      </c>
      <c r="C713" t="str">
        <f t="shared" si="40"/>
        <v>31</v>
      </c>
      <c r="D713" t="str">
        <f>"18"</f>
        <v>18</v>
      </c>
      <c r="E713" t="str">
        <f>"1-31-18"</f>
        <v>1-31-18</v>
      </c>
      <c r="F713" t="s">
        <v>83</v>
      </c>
      <c r="G713" t="s">
        <v>84</v>
      </c>
      <c r="H713" t="s">
        <v>85</v>
      </c>
      <c r="AC713">
        <v>0</v>
      </c>
      <c r="AD713">
        <v>1</v>
      </c>
      <c r="AE713">
        <v>0</v>
      </c>
      <c r="AF713">
        <v>0</v>
      </c>
      <c r="AG713">
        <v>0</v>
      </c>
      <c r="AJ713">
        <v>0</v>
      </c>
      <c r="AK713">
        <v>1</v>
      </c>
      <c r="AL713">
        <v>0</v>
      </c>
      <c r="AM713">
        <v>0</v>
      </c>
      <c r="AN713">
        <v>1</v>
      </c>
      <c r="AO713">
        <v>0</v>
      </c>
      <c r="AP713">
        <v>0</v>
      </c>
      <c r="AQ713">
        <v>0</v>
      </c>
      <c r="AR713">
        <v>0</v>
      </c>
      <c r="AS713">
        <v>0</v>
      </c>
      <c r="AT713">
        <v>0</v>
      </c>
      <c r="AV713">
        <v>0</v>
      </c>
      <c r="AW713">
        <v>0</v>
      </c>
    </row>
    <row r="714" spans="1:49" x14ac:dyDescent="0.25">
      <c r="A714" t="str">
        <f>"710"</f>
        <v>710</v>
      </c>
      <c r="B714" t="str">
        <f t="shared" si="38"/>
        <v>1</v>
      </c>
      <c r="C714" t="str">
        <f t="shared" si="40"/>
        <v>31</v>
      </c>
      <c r="D714" t="str">
        <f>"9"</f>
        <v>9</v>
      </c>
      <c r="E714" t="str">
        <f>"1-31-9"</f>
        <v>1-31-9</v>
      </c>
      <c r="F714" t="s">
        <v>83</v>
      </c>
      <c r="G714" t="s">
        <v>84</v>
      </c>
      <c r="H714" t="s">
        <v>85</v>
      </c>
      <c r="AC714">
        <v>0</v>
      </c>
      <c r="AD714">
        <v>1</v>
      </c>
      <c r="AE714">
        <v>0</v>
      </c>
      <c r="AF714">
        <v>0</v>
      </c>
      <c r="AG714">
        <v>1</v>
      </c>
      <c r="AJ714">
        <v>0</v>
      </c>
      <c r="AK714">
        <v>1</v>
      </c>
      <c r="AL714">
        <v>0</v>
      </c>
      <c r="AM714">
        <v>0</v>
      </c>
      <c r="AN714">
        <v>1</v>
      </c>
      <c r="AO714">
        <v>1</v>
      </c>
      <c r="AP714">
        <v>1</v>
      </c>
      <c r="AQ714">
        <v>1</v>
      </c>
      <c r="AR714">
        <v>1</v>
      </c>
      <c r="AS714">
        <v>1</v>
      </c>
      <c r="AT714">
        <v>0</v>
      </c>
      <c r="AV714">
        <v>1</v>
      </c>
      <c r="AW714">
        <v>1</v>
      </c>
    </row>
    <row r="715" spans="1:49" x14ac:dyDescent="0.25">
      <c r="A715" t="str">
        <f>"711"</f>
        <v>711</v>
      </c>
      <c r="B715" t="str">
        <f t="shared" si="38"/>
        <v>1</v>
      </c>
      <c r="C715" t="str">
        <f t="shared" si="40"/>
        <v>31</v>
      </c>
      <c r="D715" t="str">
        <f>"1"</f>
        <v>1</v>
      </c>
      <c r="E715" t="str">
        <f>"1-31-1"</f>
        <v>1-31-1</v>
      </c>
      <c r="F715" t="s">
        <v>83</v>
      </c>
      <c r="G715" t="s">
        <v>84</v>
      </c>
      <c r="H715" t="s">
        <v>92</v>
      </c>
      <c r="I715">
        <v>1</v>
      </c>
      <c r="J715">
        <v>0</v>
      </c>
      <c r="N715">
        <v>1</v>
      </c>
      <c r="O715">
        <v>1</v>
      </c>
      <c r="P715">
        <v>1</v>
      </c>
      <c r="Q715">
        <v>1</v>
      </c>
      <c r="R715">
        <v>0</v>
      </c>
      <c r="S715">
        <v>0</v>
      </c>
      <c r="T715">
        <v>0</v>
      </c>
      <c r="W715">
        <v>0</v>
      </c>
      <c r="X715">
        <v>1</v>
      </c>
      <c r="Y715">
        <v>1</v>
      </c>
      <c r="Z715">
        <v>1</v>
      </c>
      <c r="AA715">
        <v>0</v>
      </c>
      <c r="AB715">
        <v>1</v>
      </c>
    </row>
    <row r="716" spans="1:49" x14ac:dyDescent="0.25">
      <c r="A716" t="str">
        <f>"712"</f>
        <v>712</v>
      </c>
      <c r="B716" t="str">
        <f t="shared" si="38"/>
        <v>1</v>
      </c>
      <c r="C716" t="str">
        <f t="shared" si="40"/>
        <v>31</v>
      </c>
      <c r="D716" t="str">
        <f>"19"</f>
        <v>19</v>
      </c>
      <c r="E716" t="str">
        <f>"1-31-19"</f>
        <v>1-31-19</v>
      </c>
      <c r="F716" t="s">
        <v>83</v>
      </c>
      <c r="G716" t="s">
        <v>84</v>
      </c>
      <c r="H716" t="s">
        <v>85</v>
      </c>
      <c r="AC716">
        <v>0</v>
      </c>
      <c r="AD716">
        <v>1</v>
      </c>
      <c r="AE716">
        <v>0</v>
      </c>
      <c r="AF716">
        <v>0</v>
      </c>
      <c r="AG716">
        <v>0</v>
      </c>
      <c r="AJ716">
        <v>0</v>
      </c>
      <c r="AK716">
        <v>1</v>
      </c>
      <c r="AL716">
        <v>0</v>
      </c>
      <c r="AM716">
        <v>0</v>
      </c>
      <c r="AN716">
        <v>1</v>
      </c>
      <c r="AO716">
        <v>0</v>
      </c>
      <c r="AP716">
        <v>0</v>
      </c>
      <c r="AQ716">
        <v>0</v>
      </c>
      <c r="AR716">
        <v>0</v>
      </c>
      <c r="AS716">
        <v>0</v>
      </c>
      <c r="AT716">
        <v>0</v>
      </c>
      <c r="AV716">
        <v>0</v>
      </c>
      <c r="AW716">
        <v>0</v>
      </c>
    </row>
    <row r="717" spans="1:49" x14ac:dyDescent="0.25">
      <c r="A717" t="str">
        <f>"713"</f>
        <v>713</v>
      </c>
      <c r="B717" t="str">
        <f t="shared" si="38"/>
        <v>1</v>
      </c>
      <c r="C717" t="str">
        <f t="shared" si="40"/>
        <v>31</v>
      </c>
      <c r="D717" t="str">
        <f>"10"</f>
        <v>10</v>
      </c>
      <c r="E717" t="str">
        <f>"1-31-10"</f>
        <v>1-31-10</v>
      </c>
      <c r="F717" t="s">
        <v>83</v>
      </c>
      <c r="G717" t="s">
        <v>84</v>
      </c>
      <c r="H717" t="s">
        <v>85</v>
      </c>
      <c r="AC717">
        <v>0</v>
      </c>
      <c r="AD717">
        <v>1</v>
      </c>
      <c r="AE717">
        <v>0</v>
      </c>
      <c r="AF717">
        <v>0</v>
      </c>
      <c r="AG717">
        <v>1</v>
      </c>
      <c r="AJ717">
        <v>0</v>
      </c>
      <c r="AK717">
        <v>1</v>
      </c>
      <c r="AL717">
        <v>0</v>
      </c>
      <c r="AM717">
        <v>0</v>
      </c>
      <c r="AN717">
        <v>1</v>
      </c>
      <c r="AO717">
        <v>0</v>
      </c>
      <c r="AP717">
        <v>0</v>
      </c>
      <c r="AQ717">
        <v>0</v>
      </c>
      <c r="AR717">
        <v>0</v>
      </c>
      <c r="AS717">
        <v>0</v>
      </c>
      <c r="AT717">
        <v>1</v>
      </c>
      <c r="AV717">
        <v>0</v>
      </c>
      <c r="AW717">
        <v>0</v>
      </c>
    </row>
    <row r="718" spans="1:49" x14ac:dyDescent="0.25">
      <c r="A718" t="str">
        <f>"714"</f>
        <v>714</v>
      </c>
      <c r="B718" t="str">
        <f t="shared" si="38"/>
        <v>1</v>
      </c>
      <c r="C718" t="str">
        <f t="shared" si="40"/>
        <v>31</v>
      </c>
      <c r="D718" t="str">
        <f>"20"</f>
        <v>20</v>
      </c>
      <c r="E718" t="str">
        <f>"1-31-20"</f>
        <v>1-31-20</v>
      </c>
      <c r="F718" t="s">
        <v>83</v>
      </c>
      <c r="G718" t="s">
        <v>84</v>
      </c>
      <c r="H718" t="s">
        <v>85</v>
      </c>
      <c r="AC718">
        <v>1</v>
      </c>
      <c r="AD718">
        <v>0</v>
      </c>
      <c r="AE718">
        <v>0</v>
      </c>
      <c r="AF718">
        <v>0</v>
      </c>
      <c r="AG718">
        <v>1</v>
      </c>
      <c r="AJ718">
        <v>1</v>
      </c>
      <c r="AK718">
        <v>0</v>
      </c>
      <c r="AL718">
        <v>0</v>
      </c>
      <c r="AM718">
        <v>0</v>
      </c>
      <c r="AN718">
        <v>1</v>
      </c>
      <c r="AO718">
        <v>1</v>
      </c>
      <c r="AP718">
        <v>1</v>
      </c>
      <c r="AQ718">
        <v>1</v>
      </c>
      <c r="AR718">
        <v>1</v>
      </c>
      <c r="AS718">
        <v>1</v>
      </c>
      <c r="AT718">
        <v>0</v>
      </c>
      <c r="AV718">
        <v>1</v>
      </c>
      <c r="AW718">
        <v>1</v>
      </c>
    </row>
    <row r="719" spans="1:49" x14ac:dyDescent="0.25">
      <c r="A719" t="str">
        <f>"715"</f>
        <v>715</v>
      </c>
      <c r="B719" t="str">
        <f t="shared" si="38"/>
        <v>1</v>
      </c>
      <c r="C719" t="str">
        <f t="shared" si="40"/>
        <v>31</v>
      </c>
      <c r="D719" t="str">
        <f>"12"</f>
        <v>12</v>
      </c>
      <c r="E719" t="str">
        <f>"1-31-12"</f>
        <v>1-31-12</v>
      </c>
      <c r="F719" t="s">
        <v>83</v>
      </c>
      <c r="G719" t="s">
        <v>84</v>
      </c>
      <c r="H719" t="s">
        <v>92</v>
      </c>
      <c r="I719">
        <v>1</v>
      </c>
      <c r="J719">
        <v>1</v>
      </c>
      <c r="N719">
        <v>1</v>
      </c>
      <c r="O719">
        <v>1</v>
      </c>
      <c r="P719">
        <v>1</v>
      </c>
      <c r="Q719">
        <v>1</v>
      </c>
      <c r="R719">
        <v>1</v>
      </c>
      <c r="S719">
        <v>1</v>
      </c>
      <c r="T719">
        <v>1</v>
      </c>
      <c r="W719">
        <v>1</v>
      </c>
      <c r="X719">
        <v>1</v>
      </c>
      <c r="Y719">
        <v>1</v>
      </c>
      <c r="Z719">
        <v>1</v>
      </c>
      <c r="AA719">
        <v>1</v>
      </c>
      <c r="AB719">
        <v>1</v>
      </c>
    </row>
    <row r="720" spans="1:49" x14ac:dyDescent="0.25">
      <c r="A720" t="str">
        <f>"716"</f>
        <v>716</v>
      </c>
      <c r="B720" t="str">
        <f t="shared" si="38"/>
        <v>1</v>
      </c>
      <c r="C720" t="str">
        <f t="shared" si="40"/>
        <v>31</v>
      </c>
      <c r="D720" t="str">
        <f>"5"</f>
        <v>5</v>
      </c>
      <c r="E720" t="str">
        <f>"1-31-5"</f>
        <v>1-31-5</v>
      </c>
      <c r="F720" t="s">
        <v>83</v>
      </c>
      <c r="G720" t="s">
        <v>84</v>
      </c>
      <c r="H720" t="s">
        <v>92</v>
      </c>
      <c r="I720">
        <v>1</v>
      </c>
      <c r="J720">
        <v>1</v>
      </c>
      <c r="N720">
        <v>1</v>
      </c>
      <c r="O720">
        <v>1</v>
      </c>
      <c r="P720">
        <v>1</v>
      </c>
      <c r="Q720">
        <v>1</v>
      </c>
      <c r="R720">
        <v>1</v>
      </c>
      <c r="S720">
        <v>1</v>
      </c>
      <c r="T720">
        <v>1</v>
      </c>
      <c r="W720">
        <v>0</v>
      </c>
      <c r="X720">
        <v>0</v>
      </c>
      <c r="Y720">
        <v>0</v>
      </c>
      <c r="Z720">
        <v>0</v>
      </c>
      <c r="AA720">
        <v>0</v>
      </c>
      <c r="AB720">
        <v>0</v>
      </c>
    </row>
    <row r="721" spans="1:49" x14ac:dyDescent="0.25">
      <c r="A721" t="str">
        <f>"717"</f>
        <v>717</v>
      </c>
      <c r="B721" t="str">
        <f t="shared" si="38"/>
        <v>1</v>
      </c>
      <c r="C721" t="str">
        <f t="shared" si="40"/>
        <v>31</v>
      </c>
      <c r="D721" t="str">
        <f>"21"</f>
        <v>21</v>
      </c>
      <c r="E721" t="str">
        <f>"1-31-21"</f>
        <v>1-31-21</v>
      </c>
      <c r="F721" t="s">
        <v>83</v>
      </c>
      <c r="G721" t="s">
        <v>84</v>
      </c>
      <c r="H721" t="s">
        <v>85</v>
      </c>
      <c r="AC721">
        <v>0</v>
      </c>
      <c r="AD721">
        <v>1</v>
      </c>
      <c r="AE721">
        <v>0</v>
      </c>
      <c r="AF721">
        <v>0</v>
      </c>
      <c r="AG721">
        <v>1</v>
      </c>
      <c r="AJ721">
        <v>1</v>
      </c>
      <c r="AK721">
        <v>0</v>
      </c>
      <c r="AL721">
        <v>0</v>
      </c>
      <c r="AM721">
        <v>1</v>
      </c>
      <c r="AN721">
        <v>0</v>
      </c>
      <c r="AO721">
        <v>1</v>
      </c>
      <c r="AP721">
        <v>0</v>
      </c>
      <c r="AQ721">
        <v>0</v>
      </c>
      <c r="AR721">
        <v>1</v>
      </c>
      <c r="AS721">
        <v>0</v>
      </c>
      <c r="AT721">
        <v>1</v>
      </c>
      <c r="AV721">
        <v>0</v>
      </c>
      <c r="AW721">
        <v>1</v>
      </c>
    </row>
    <row r="722" spans="1:49" x14ac:dyDescent="0.25">
      <c r="A722" t="str">
        <f>"718"</f>
        <v>718</v>
      </c>
      <c r="B722" t="str">
        <f t="shared" si="38"/>
        <v>1</v>
      </c>
      <c r="C722" t="str">
        <f t="shared" si="40"/>
        <v>31</v>
      </c>
      <c r="D722" t="str">
        <f>"13"</f>
        <v>13</v>
      </c>
      <c r="E722" t="str">
        <f>"1-31-13"</f>
        <v>1-31-13</v>
      </c>
      <c r="F722" t="s">
        <v>83</v>
      </c>
      <c r="G722" t="s">
        <v>84</v>
      </c>
      <c r="H722" t="s">
        <v>92</v>
      </c>
      <c r="I722">
        <v>1</v>
      </c>
      <c r="J722">
        <v>1</v>
      </c>
      <c r="N722">
        <v>1</v>
      </c>
      <c r="O722">
        <v>1</v>
      </c>
      <c r="P722">
        <v>1</v>
      </c>
      <c r="Q722">
        <v>1</v>
      </c>
      <c r="R722">
        <v>1</v>
      </c>
      <c r="S722">
        <v>1</v>
      </c>
      <c r="T722">
        <v>1</v>
      </c>
      <c r="W722">
        <v>1</v>
      </c>
      <c r="X722">
        <v>1</v>
      </c>
      <c r="Y722">
        <v>1</v>
      </c>
      <c r="Z722">
        <v>1</v>
      </c>
      <c r="AA722">
        <v>1</v>
      </c>
      <c r="AB722">
        <v>1</v>
      </c>
    </row>
    <row r="723" spans="1:49" x14ac:dyDescent="0.25">
      <c r="A723" t="str">
        <f>"719"</f>
        <v>719</v>
      </c>
      <c r="B723" t="str">
        <f t="shared" si="38"/>
        <v>1</v>
      </c>
      <c r="C723" t="str">
        <f t="shared" si="40"/>
        <v>31</v>
      </c>
      <c r="D723" t="str">
        <f>"4"</f>
        <v>4</v>
      </c>
      <c r="E723" t="str">
        <f>"1-31-4"</f>
        <v>1-31-4</v>
      </c>
      <c r="F723" t="s">
        <v>83</v>
      </c>
      <c r="G723" t="s">
        <v>84</v>
      </c>
      <c r="H723" t="s">
        <v>85</v>
      </c>
      <c r="AC723">
        <v>0</v>
      </c>
      <c r="AD723">
        <v>1</v>
      </c>
      <c r="AE723">
        <v>0</v>
      </c>
      <c r="AF723">
        <v>0</v>
      </c>
      <c r="AG723">
        <v>0</v>
      </c>
      <c r="AJ723">
        <v>0</v>
      </c>
      <c r="AK723">
        <v>1</v>
      </c>
      <c r="AL723">
        <v>0</v>
      </c>
      <c r="AM723">
        <v>1</v>
      </c>
      <c r="AN723">
        <v>0</v>
      </c>
      <c r="AO723">
        <v>0</v>
      </c>
      <c r="AP723">
        <v>0</v>
      </c>
      <c r="AQ723">
        <v>0</v>
      </c>
      <c r="AR723">
        <v>0</v>
      </c>
      <c r="AS723">
        <v>0</v>
      </c>
      <c r="AT723">
        <v>1</v>
      </c>
      <c r="AV723">
        <v>0</v>
      </c>
      <c r="AW723">
        <v>1</v>
      </c>
    </row>
    <row r="724" spans="1:49" x14ac:dyDescent="0.25">
      <c r="A724" t="str">
        <f>"720"</f>
        <v>720</v>
      </c>
      <c r="B724" t="str">
        <f t="shared" si="38"/>
        <v>1</v>
      </c>
      <c r="C724" t="str">
        <f t="shared" si="40"/>
        <v>31</v>
      </c>
      <c r="D724" t="str">
        <f>"23"</f>
        <v>23</v>
      </c>
      <c r="E724" t="str">
        <f>"1-31-23"</f>
        <v>1-31-23</v>
      </c>
      <c r="F724" t="s">
        <v>83</v>
      </c>
      <c r="G724" t="s">
        <v>84</v>
      </c>
      <c r="H724" t="s">
        <v>92</v>
      </c>
      <c r="I724">
        <v>1</v>
      </c>
      <c r="J724">
        <v>1</v>
      </c>
      <c r="N724">
        <v>1</v>
      </c>
      <c r="O724">
        <v>1</v>
      </c>
      <c r="P724">
        <v>1</v>
      </c>
      <c r="Q724">
        <v>1</v>
      </c>
      <c r="R724">
        <v>1</v>
      </c>
      <c r="S724">
        <v>1</v>
      </c>
      <c r="T724">
        <v>1</v>
      </c>
      <c r="W724">
        <v>1</v>
      </c>
      <c r="X724">
        <v>1</v>
      </c>
      <c r="Y724">
        <v>1</v>
      </c>
      <c r="Z724">
        <v>1</v>
      </c>
      <c r="AA724">
        <v>1</v>
      </c>
      <c r="AB724">
        <v>1</v>
      </c>
    </row>
    <row r="725" spans="1:49" x14ac:dyDescent="0.25">
      <c r="A725" t="str">
        <f>"721"</f>
        <v>721</v>
      </c>
      <c r="B725" t="str">
        <f t="shared" si="38"/>
        <v>1</v>
      </c>
      <c r="C725" t="str">
        <f t="shared" si="40"/>
        <v>31</v>
      </c>
      <c r="D725" t="str">
        <f>"14"</f>
        <v>14</v>
      </c>
      <c r="E725" t="str">
        <f>"1-31-14"</f>
        <v>1-31-14</v>
      </c>
      <c r="F725" t="s">
        <v>83</v>
      </c>
      <c r="G725" t="s">
        <v>84</v>
      </c>
      <c r="H725" t="s">
        <v>85</v>
      </c>
      <c r="AC725">
        <v>0</v>
      </c>
      <c r="AD725">
        <v>1</v>
      </c>
      <c r="AE725">
        <v>0</v>
      </c>
      <c r="AF725">
        <v>0</v>
      </c>
      <c r="AG725">
        <v>0</v>
      </c>
      <c r="AJ725">
        <v>0</v>
      </c>
      <c r="AK725">
        <v>1</v>
      </c>
      <c r="AL725">
        <v>0</v>
      </c>
      <c r="AM725">
        <v>0</v>
      </c>
      <c r="AN725">
        <v>1</v>
      </c>
      <c r="AO725">
        <v>0</v>
      </c>
      <c r="AP725">
        <v>0</v>
      </c>
      <c r="AQ725">
        <v>0</v>
      </c>
      <c r="AR725">
        <v>0</v>
      </c>
      <c r="AS725">
        <v>1</v>
      </c>
      <c r="AT725">
        <v>0</v>
      </c>
      <c r="AV725">
        <v>0</v>
      </c>
      <c r="AW725">
        <v>0</v>
      </c>
    </row>
    <row r="726" spans="1:49" x14ac:dyDescent="0.25">
      <c r="A726" t="str">
        <f>"722"</f>
        <v>722</v>
      </c>
      <c r="B726" t="str">
        <f t="shared" si="38"/>
        <v>1</v>
      </c>
      <c r="C726" t="str">
        <f t="shared" si="40"/>
        <v>31</v>
      </c>
      <c r="D726" t="str">
        <f>"6"</f>
        <v>6</v>
      </c>
      <c r="E726" t="str">
        <f>"1-31-6"</f>
        <v>1-31-6</v>
      </c>
      <c r="F726" t="s">
        <v>83</v>
      </c>
      <c r="G726" t="s">
        <v>84</v>
      </c>
      <c r="H726" t="s">
        <v>92</v>
      </c>
      <c r="I726">
        <v>1</v>
      </c>
      <c r="J726">
        <v>1</v>
      </c>
      <c r="N726">
        <v>1</v>
      </c>
      <c r="O726">
        <v>1</v>
      </c>
      <c r="P726">
        <v>1</v>
      </c>
      <c r="Q726">
        <v>1</v>
      </c>
      <c r="R726">
        <v>1</v>
      </c>
      <c r="S726">
        <v>1</v>
      </c>
      <c r="T726">
        <v>1</v>
      </c>
      <c r="W726">
        <v>1</v>
      </c>
      <c r="X726">
        <v>1</v>
      </c>
      <c r="Y726">
        <v>1</v>
      </c>
      <c r="Z726">
        <v>1</v>
      </c>
      <c r="AA726">
        <v>1</v>
      </c>
      <c r="AB726">
        <v>1</v>
      </c>
    </row>
    <row r="727" spans="1:49" x14ac:dyDescent="0.25">
      <c r="A727" t="str">
        <f>"723"</f>
        <v>723</v>
      </c>
      <c r="B727" t="str">
        <f t="shared" si="38"/>
        <v>1</v>
      </c>
      <c r="C727" t="str">
        <f t="shared" si="40"/>
        <v>31</v>
      </c>
      <c r="D727" t="str">
        <f>"22"</f>
        <v>22</v>
      </c>
      <c r="E727" t="str">
        <f>"1-31-22"</f>
        <v>1-31-22</v>
      </c>
      <c r="F727" t="s">
        <v>83</v>
      </c>
      <c r="G727" t="s">
        <v>84</v>
      </c>
      <c r="H727" t="s">
        <v>85</v>
      </c>
      <c r="AC727">
        <v>1</v>
      </c>
      <c r="AD727">
        <v>0</v>
      </c>
      <c r="AE727">
        <v>0</v>
      </c>
      <c r="AF727">
        <v>0</v>
      </c>
      <c r="AG727">
        <v>1</v>
      </c>
      <c r="AJ727">
        <v>0</v>
      </c>
      <c r="AK727">
        <v>1</v>
      </c>
      <c r="AL727">
        <v>0</v>
      </c>
      <c r="AM727">
        <v>0</v>
      </c>
      <c r="AN727">
        <v>1</v>
      </c>
      <c r="AO727">
        <v>1</v>
      </c>
      <c r="AP727">
        <v>1</v>
      </c>
      <c r="AQ727">
        <v>1</v>
      </c>
      <c r="AR727">
        <v>1</v>
      </c>
      <c r="AS727">
        <v>1</v>
      </c>
      <c r="AT727">
        <v>0</v>
      </c>
      <c r="AV727">
        <v>1</v>
      </c>
      <c r="AW727">
        <v>1</v>
      </c>
    </row>
    <row r="728" spans="1:49" x14ac:dyDescent="0.25">
      <c r="A728" t="str">
        <f>"724"</f>
        <v>724</v>
      </c>
      <c r="B728" t="str">
        <f t="shared" si="38"/>
        <v>1</v>
      </c>
      <c r="C728" t="str">
        <f t="shared" si="40"/>
        <v>31</v>
      </c>
      <c r="D728" t="str">
        <f>"15"</f>
        <v>15</v>
      </c>
      <c r="E728" t="str">
        <f>"1-31-15"</f>
        <v>1-31-15</v>
      </c>
      <c r="F728" t="s">
        <v>83</v>
      </c>
      <c r="G728" t="s">
        <v>84</v>
      </c>
      <c r="H728" t="s">
        <v>92</v>
      </c>
      <c r="I728">
        <v>1</v>
      </c>
      <c r="J728">
        <v>1</v>
      </c>
      <c r="N728">
        <v>1</v>
      </c>
      <c r="O728">
        <v>1</v>
      </c>
      <c r="P728">
        <v>1</v>
      </c>
      <c r="Q728">
        <v>1</v>
      </c>
      <c r="R728">
        <v>1</v>
      </c>
      <c r="S728">
        <v>1</v>
      </c>
      <c r="T728">
        <v>1</v>
      </c>
      <c r="W728">
        <v>1</v>
      </c>
      <c r="X728">
        <v>1</v>
      </c>
      <c r="Y728">
        <v>1</v>
      </c>
      <c r="Z728">
        <v>1</v>
      </c>
      <c r="AA728">
        <v>1</v>
      </c>
      <c r="AB728">
        <v>1</v>
      </c>
    </row>
    <row r="729" spans="1:49" x14ac:dyDescent="0.25">
      <c r="A729" t="str">
        <f>"725"</f>
        <v>725</v>
      </c>
      <c r="B729" t="str">
        <f t="shared" si="38"/>
        <v>1</v>
      </c>
      <c r="C729" t="str">
        <f t="shared" si="40"/>
        <v>31</v>
      </c>
      <c r="D729" t="str">
        <f>"2"</f>
        <v>2</v>
      </c>
      <c r="E729" t="str">
        <f>"1-31-2"</f>
        <v>1-31-2</v>
      </c>
      <c r="F729" t="s">
        <v>83</v>
      </c>
      <c r="G729" t="s">
        <v>84</v>
      </c>
      <c r="H729" t="s">
        <v>85</v>
      </c>
      <c r="AC729">
        <v>0</v>
      </c>
      <c r="AD729">
        <v>1</v>
      </c>
      <c r="AE729">
        <v>0</v>
      </c>
      <c r="AF729">
        <v>0</v>
      </c>
      <c r="AG729">
        <v>1</v>
      </c>
      <c r="AJ729">
        <v>0</v>
      </c>
      <c r="AK729">
        <v>1</v>
      </c>
      <c r="AL729">
        <v>0</v>
      </c>
      <c r="AM729">
        <v>1</v>
      </c>
      <c r="AN729">
        <v>0</v>
      </c>
      <c r="AO729">
        <v>1</v>
      </c>
      <c r="AP729">
        <v>1</v>
      </c>
      <c r="AQ729">
        <v>1</v>
      </c>
      <c r="AR729">
        <v>1</v>
      </c>
      <c r="AS729">
        <v>0</v>
      </c>
      <c r="AT729">
        <v>1</v>
      </c>
      <c r="AV729">
        <v>1</v>
      </c>
      <c r="AW729">
        <v>1</v>
      </c>
    </row>
    <row r="730" spans="1:49" x14ac:dyDescent="0.25">
      <c r="A730" t="str">
        <f>"726"</f>
        <v>726</v>
      </c>
      <c r="B730" t="str">
        <f t="shared" si="38"/>
        <v>1</v>
      </c>
      <c r="C730" t="str">
        <f t="shared" si="40"/>
        <v>31</v>
      </c>
      <c r="D730" t="str">
        <f>"7"</f>
        <v>7</v>
      </c>
      <c r="E730" t="str">
        <f>"1-31-7"</f>
        <v>1-31-7</v>
      </c>
      <c r="F730" t="s">
        <v>83</v>
      </c>
      <c r="G730" t="s">
        <v>84</v>
      </c>
      <c r="H730" t="s">
        <v>92</v>
      </c>
      <c r="I730">
        <v>1</v>
      </c>
      <c r="J730">
        <v>0</v>
      </c>
      <c r="N730">
        <v>1</v>
      </c>
      <c r="O730">
        <v>0</v>
      </c>
      <c r="P730">
        <v>1</v>
      </c>
      <c r="Q730">
        <v>1</v>
      </c>
      <c r="R730">
        <v>1</v>
      </c>
      <c r="S730">
        <v>1</v>
      </c>
      <c r="T730">
        <v>1</v>
      </c>
      <c r="W730">
        <v>1</v>
      </c>
      <c r="X730">
        <v>1</v>
      </c>
      <c r="Y730">
        <v>1</v>
      </c>
      <c r="Z730">
        <v>0</v>
      </c>
      <c r="AA730">
        <v>1</v>
      </c>
      <c r="AB730">
        <v>1</v>
      </c>
    </row>
    <row r="731" spans="1:49" x14ac:dyDescent="0.25">
      <c r="A731" t="str">
        <f>"727"</f>
        <v>727</v>
      </c>
      <c r="B731" t="str">
        <f t="shared" si="38"/>
        <v>1</v>
      </c>
      <c r="C731" t="str">
        <f t="shared" ref="C731:C754" si="41">"32"</f>
        <v>32</v>
      </c>
      <c r="D731" t="str">
        <f>"24"</f>
        <v>24</v>
      </c>
      <c r="E731" t="str">
        <f>"1-32-24"</f>
        <v>1-32-24</v>
      </c>
      <c r="F731" t="s">
        <v>83</v>
      </c>
      <c r="G731" t="s">
        <v>86</v>
      </c>
      <c r="H731" t="s">
        <v>87</v>
      </c>
      <c r="AC731">
        <v>0</v>
      </c>
      <c r="AD731">
        <v>1</v>
      </c>
      <c r="AE731">
        <v>0</v>
      </c>
      <c r="AF731">
        <v>0</v>
      </c>
      <c r="AH731">
        <v>0</v>
      </c>
      <c r="AI731">
        <v>1</v>
      </c>
      <c r="AJ731">
        <v>1</v>
      </c>
      <c r="AK731">
        <v>0</v>
      </c>
      <c r="AL731">
        <v>0</v>
      </c>
      <c r="AM731">
        <v>0</v>
      </c>
      <c r="AN731">
        <v>1</v>
      </c>
      <c r="AO731">
        <v>1</v>
      </c>
      <c r="AP731">
        <v>1</v>
      </c>
      <c r="AQ731">
        <v>1</v>
      </c>
      <c r="AU731">
        <v>1</v>
      </c>
      <c r="AV731">
        <v>1</v>
      </c>
      <c r="AW731">
        <v>1</v>
      </c>
    </row>
    <row r="732" spans="1:49" x14ac:dyDescent="0.25">
      <c r="A732" t="str">
        <f>"728"</f>
        <v>728</v>
      </c>
      <c r="B732" t="str">
        <f t="shared" si="38"/>
        <v>1</v>
      </c>
      <c r="C732" t="str">
        <f t="shared" si="41"/>
        <v>32</v>
      </c>
      <c r="D732" t="str">
        <f>"17"</f>
        <v>17</v>
      </c>
      <c r="E732" t="str">
        <f>"1-32-17"</f>
        <v>1-32-17</v>
      </c>
      <c r="F732" t="s">
        <v>83</v>
      </c>
      <c r="G732" t="s">
        <v>86</v>
      </c>
      <c r="H732" t="s">
        <v>87</v>
      </c>
      <c r="AC732">
        <v>0</v>
      </c>
      <c r="AD732">
        <v>0</v>
      </c>
      <c r="AE732">
        <v>0</v>
      </c>
      <c r="AF732">
        <v>0</v>
      </c>
      <c r="AH732">
        <v>0</v>
      </c>
      <c r="AI732">
        <v>1</v>
      </c>
      <c r="AJ732">
        <v>0</v>
      </c>
      <c r="AK732">
        <v>0</v>
      </c>
      <c r="AL732">
        <v>0</v>
      </c>
      <c r="AM732">
        <v>0</v>
      </c>
      <c r="AN732">
        <v>0</v>
      </c>
      <c r="AO732">
        <v>0</v>
      </c>
      <c r="AP732">
        <v>0</v>
      </c>
      <c r="AQ732">
        <v>0</v>
      </c>
      <c r="AU732">
        <v>0</v>
      </c>
      <c r="AV732">
        <v>0</v>
      </c>
      <c r="AW732">
        <v>0</v>
      </c>
    </row>
    <row r="733" spans="1:49" x14ac:dyDescent="0.25">
      <c r="A733" t="str">
        <f>"729"</f>
        <v>729</v>
      </c>
      <c r="B733" t="str">
        <f t="shared" si="38"/>
        <v>1</v>
      </c>
      <c r="C733" t="str">
        <f t="shared" si="41"/>
        <v>32</v>
      </c>
      <c r="D733" t="str">
        <f>"16"</f>
        <v>16</v>
      </c>
      <c r="E733" t="str">
        <f>"1-32-16"</f>
        <v>1-32-16</v>
      </c>
      <c r="F733" t="s">
        <v>83</v>
      </c>
      <c r="G733" t="s">
        <v>86</v>
      </c>
      <c r="H733" t="s">
        <v>87</v>
      </c>
      <c r="AC733">
        <v>0</v>
      </c>
      <c r="AD733">
        <v>1</v>
      </c>
      <c r="AE733">
        <v>0</v>
      </c>
      <c r="AF733">
        <v>0</v>
      </c>
      <c r="AH733">
        <v>0</v>
      </c>
      <c r="AI733">
        <v>1</v>
      </c>
      <c r="AJ733">
        <v>1</v>
      </c>
      <c r="AK733">
        <v>0</v>
      </c>
      <c r="AL733">
        <v>0</v>
      </c>
      <c r="AM733">
        <v>1</v>
      </c>
      <c r="AN733">
        <v>0</v>
      </c>
      <c r="AO733">
        <v>1</v>
      </c>
      <c r="AP733">
        <v>1</v>
      </c>
      <c r="AQ733">
        <v>1</v>
      </c>
      <c r="AU733">
        <v>1</v>
      </c>
      <c r="AV733">
        <v>1</v>
      </c>
      <c r="AW733">
        <v>1</v>
      </c>
    </row>
    <row r="734" spans="1:49" x14ac:dyDescent="0.25">
      <c r="A734" t="str">
        <f>"730"</f>
        <v>730</v>
      </c>
      <c r="B734" t="str">
        <f t="shared" ref="B734:B797" si="42">"1"</f>
        <v>1</v>
      </c>
      <c r="C734" t="str">
        <f t="shared" si="41"/>
        <v>32</v>
      </c>
      <c r="D734" t="str">
        <f>"12"</f>
        <v>12</v>
      </c>
      <c r="E734" t="str">
        <f>"1-32-12"</f>
        <v>1-32-12</v>
      </c>
      <c r="F734" t="s">
        <v>83</v>
      </c>
      <c r="G734" t="s">
        <v>86</v>
      </c>
      <c r="H734" t="s">
        <v>93</v>
      </c>
      <c r="I734">
        <v>1</v>
      </c>
      <c r="K734">
        <v>0</v>
      </c>
      <c r="L734">
        <v>0</v>
      </c>
      <c r="M734">
        <v>1</v>
      </c>
      <c r="N734">
        <v>1</v>
      </c>
      <c r="O734">
        <v>1</v>
      </c>
      <c r="P734">
        <v>1</v>
      </c>
      <c r="Q734">
        <v>1</v>
      </c>
      <c r="R734">
        <v>1</v>
      </c>
      <c r="U734">
        <v>1</v>
      </c>
      <c r="V734">
        <v>0</v>
      </c>
      <c r="W734">
        <v>1</v>
      </c>
      <c r="X734">
        <v>1</v>
      </c>
      <c r="Y734">
        <v>1</v>
      </c>
      <c r="Z734">
        <v>1</v>
      </c>
      <c r="AA734">
        <v>1</v>
      </c>
      <c r="AB734">
        <v>1</v>
      </c>
    </row>
    <row r="735" spans="1:49" x14ac:dyDescent="0.25">
      <c r="A735" t="str">
        <f>"731"</f>
        <v>731</v>
      </c>
      <c r="B735" t="str">
        <f t="shared" si="42"/>
        <v>1</v>
      </c>
      <c r="C735" t="str">
        <f t="shared" si="41"/>
        <v>32</v>
      </c>
      <c r="D735" t="str">
        <f>"8"</f>
        <v>8</v>
      </c>
      <c r="E735" t="str">
        <f>"1-32-8"</f>
        <v>1-32-8</v>
      </c>
      <c r="F735" t="s">
        <v>83</v>
      </c>
      <c r="G735" t="s">
        <v>86</v>
      </c>
      <c r="H735" t="s">
        <v>87</v>
      </c>
      <c r="AC735">
        <v>0</v>
      </c>
      <c r="AD735">
        <v>1</v>
      </c>
      <c r="AE735">
        <v>0</v>
      </c>
      <c r="AF735">
        <v>0</v>
      </c>
      <c r="AH735">
        <v>0</v>
      </c>
      <c r="AI735">
        <v>1</v>
      </c>
      <c r="AJ735">
        <v>0</v>
      </c>
      <c r="AK735">
        <v>1</v>
      </c>
      <c r="AL735">
        <v>0</v>
      </c>
      <c r="AM735">
        <v>0</v>
      </c>
      <c r="AN735">
        <v>1</v>
      </c>
      <c r="AO735">
        <v>0</v>
      </c>
      <c r="AP735">
        <v>0</v>
      </c>
      <c r="AQ735">
        <v>0</v>
      </c>
      <c r="AU735">
        <v>0</v>
      </c>
      <c r="AV735">
        <v>0</v>
      </c>
      <c r="AW735">
        <v>0</v>
      </c>
    </row>
    <row r="736" spans="1:49" x14ac:dyDescent="0.25">
      <c r="A736" t="str">
        <f>"732"</f>
        <v>732</v>
      </c>
      <c r="B736" t="str">
        <f t="shared" si="42"/>
        <v>1</v>
      </c>
      <c r="C736" t="str">
        <f t="shared" si="41"/>
        <v>32</v>
      </c>
      <c r="D736" t="str">
        <f>"2"</f>
        <v>2</v>
      </c>
      <c r="E736" t="str">
        <f>"1-32-2"</f>
        <v>1-32-2</v>
      </c>
      <c r="F736" t="s">
        <v>83</v>
      </c>
      <c r="G736" t="s">
        <v>86</v>
      </c>
      <c r="H736" t="s">
        <v>87</v>
      </c>
      <c r="AC736">
        <v>1</v>
      </c>
      <c r="AD736">
        <v>0</v>
      </c>
      <c r="AE736">
        <v>0</v>
      </c>
      <c r="AF736">
        <v>0</v>
      </c>
      <c r="AH736">
        <v>1</v>
      </c>
      <c r="AI736">
        <v>0</v>
      </c>
      <c r="AJ736">
        <v>1</v>
      </c>
      <c r="AK736">
        <v>0</v>
      </c>
      <c r="AL736">
        <v>1</v>
      </c>
      <c r="AM736">
        <v>0</v>
      </c>
      <c r="AN736">
        <v>0</v>
      </c>
      <c r="AO736">
        <v>0</v>
      </c>
      <c r="AP736">
        <v>0</v>
      </c>
      <c r="AQ736">
        <v>0</v>
      </c>
      <c r="AU736">
        <v>1</v>
      </c>
      <c r="AV736">
        <v>0</v>
      </c>
      <c r="AW736">
        <v>1</v>
      </c>
    </row>
    <row r="737" spans="1:49" x14ac:dyDescent="0.25">
      <c r="A737" t="str">
        <f>"733"</f>
        <v>733</v>
      </c>
      <c r="B737" t="str">
        <f t="shared" si="42"/>
        <v>1</v>
      </c>
      <c r="C737" t="str">
        <f t="shared" si="41"/>
        <v>32</v>
      </c>
      <c r="D737" t="str">
        <f>"18"</f>
        <v>18</v>
      </c>
      <c r="E737" t="str">
        <f>"1-32-18"</f>
        <v>1-32-18</v>
      </c>
      <c r="F737" t="s">
        <v>83</v>
      </c>
      <c r="G737" t="s">
        <v>86</v>
      </c>
      <c r="H737" t="s">
        <v>87</v>
      </c>
      <c r="AC737">
        <v>0</v>
      </c>
      <c r="AD737">
        <v>1</v>
      </c>
      <c r="AE737">
        <v>0</v>
      </c>
      <c r="AF737">
        <v>0</v>
      </c>
      <c r="AH737">
        <v>1</v>
      </c>
      <c r="AI737">
        <v>0</v>
      </c>
      <c r="AJ737">
        <v>1</v>
      </c>
      <c r="AK737">
        <v>0</v>
      </c>
      <c r="AL737">
        <v>0</v>
      </c>
      <c r="AM737">
        <v>0</v>
      </c>
      <c r="AN737">
        <v>0</v>
      </c>
      <c r="AO737">
        <v>0</v>
      </c>
      <c r="AP737">
        <v>0</v>
      </c>
      <c r="AQ737">
        <v>0</v>
      </c>
      <c r="AU737">
        <v>0</v>
      </c>
      <c r="AV737">
        <v>0</v>
      </c>
      <c r="AW737">
        <v>0</v>
      </c>
    </row>
    <row r="738" spans="1:49" x14ac:dyDescent="0.25">
      <c r="A738" t="str">
        <f>"734"</f>
        <v>734</v>
      </c>
      <c r="B738" t="str">
        <f t="shared" si="42"/>
        <v>1</v>
      </c>
      <c r="C738" t="str">
        <f t="shared" si="41"/>
        <v>32</v>
      </c>
      <c r="D738" t="str">
        <f>"9"</f>
        <v>9</v>
      </c>
      <c r="E738" t="str">
        <f>"1-32-9"</f>
        <v>1-32-9</v>
      </c>
      <c r="F738" t="s">
        <v>83</v>
      </c>
      <c r="G738" t="s">
        <v>86</v>
      </c>
      <c r="H738" t="s">
        <v>93</v>
      </c>
      <c r="I738">
        <v>0</v>
      </c>
      <c r="K738">
        <v>0</v>
      </c>
      <c r="L738">
        <v>1</v>
      </c>
      <c r="M738">
        <v>0</v>
      </c>
      <c r="N738">
        <v>0</v>
      </c>
      <c r="O738">
        <v>0</v>
      </c>
      <c r="P738">
        <v>0</v>
      </c>
      <c r="Q738">
        <v>0</v>
      </c>
      <c r="R738">
        <v>0</v>
      </c>
      <c r="U738">
        <v>0</v>
      </c>
      <c r="V738">
        <v>1</v>
      </c>
      <c r="W738">
        <v>0</v>
      </c>
      <c r="X738">
        <v>0</v>
      </c>
      <c r="Y738">
        <v>0</v>
      </c>
      <c r="Z738">
        <v>0</v>
      </c>
      <c r="AA738">
        <v>0</v>
      </c>
      <c r="AB738">
        <v>0</v>
      </c>
    </row>
    <row r="739" spans="1:49" x14ac:dyDescent="0.25">
      <c r="A739" t="str">
        <f>"735"</f>
        <v>735</v>
      </c>
      <c r="B739" t="str">
        <f t="shared" si="42"/>
        <v>1</v>
      </c>
      <c r="C739" t="str">
        <f t="shared" si="41"/>
        <v>32</v>
      </c>
      <c r="D739" t="str">
        <f>"6"</f>
        <v>6</v>
      </c>
      <c r="E739" t="str">
        <f>"1-32-6"</f>
        <v>1-32-6</v>
      </c>
      <c r="F739" t="s">
        <v>83</v>
      </c>
      <c r="G739" t="s">
        <v>86</v>
      </c>
      <c r="H739" t="s">
        <v>87</v>
      </c>
      <c r="AC739">
        <v>0</v>
      </c>
      <c r="AD739">
        <v>0</v>
      </c>
      <c r="AE739">
        <v>0</v>
      </c>
      <c r="AF739">
        <v>0</v>
      </c>
      <c r="AH739">
        <v>0</v>
      </c>
      <c r="AI739">
        <v>1</v>
      </c>
      <c r="AJ739">
        <v>0</v>
      </c>
      <c r="AK739">
        <v>0</v>
      </c>
      <c r="AL739">
        <v>0</v>
      </c>
      <c r="AM739">
        <v>0</v>
      </c>
      <c r="AN739">
        <v>0</v>
      </c>
      <c r="AO739">
        <v>0</v>
      </c>
      <c r="AP739">
        <v>0</v>
      </c>
      <c r="AQ739">
        <v>0</v>
      </c>
      <c r="AU739">
        <v>0</v>
      </c>
      <c r="AV739">
        <v>0</v>
      </c>
      <c r="AW739">
        <v>0</v>
      </c>
    </row>
    <row r="740" spans="1:49" x14ac:dyDescent="0.25">
      <c r="A740" t="str">
        <f>"736"</f>
        <v>736</v>
      </c>
      <c r="B740" t="str">
        <f t="shared" si="42"/>
        <v>1</v>
      </c>
      <c r="C740" t="str">
        <f t="shared" si="41"/>
        <v>32</v>
      </c>
      <c r="D740" t="str">
        <f>"19"</f>
        <v>19</v>
      </c>
      <c r="E740" t="str">
        <f>"1-32-19"</f>
        <v>1-32-19</v>
      </c>
      <c r="F740" t="s">
        <v>83</v>
      </c>
      <c r="G740" t="s">
        <v>86</v>
      </c>
      <c r="H740" t="s">
        <v>93</v>
      </c>
      <c r="I740">
        <v>1</v>
      </c>
      <c r="K740">
        <v>0</v>
      </c>
      <c r="L740">
        <v>0</v>
      </c>
      <c r="M740">
        <v>1</v>
      </c>
      <c r="N740">
        <v>1</v>
      </c>
      <c r="O740">
        <v>1</v>
      </c>
      <c r="P740">
        <v>1</v>
      </c>
      <c r="Q740">
        <v>1</v>
      </c>
      <c r="R740">
        <v>1</v>
      </c>
      <c r="U740">
        <v>0</v>
      </c>
      <c r="V740">
        <v>1</v>
      </c>
      <c r="W740">
        <v>1</v>
      </c>
      <c r="X740">
        <v>1</v>
      </c>
      <c r="Y740">
        <v>1</v>
      </c>
      <c r="Z740">
        <v>1</v>
      </c>
      <c r="AA740">
        <v>1</v>
      </c>
      <c r="AB740">
        <v>1</v>
      </c>
    </row>
    <row r="741" spans="1:49" x14ac:dyDescent="0.25">
      <c r="A741" t="str">
        <f>"737"</f>
        <v>737</v>
      </c>
      <c r="B741" t="str">
        <f t="shared" si="42"/>
        <v>1</v>
      </c>
      <c r="C741" t="str">
        <f t="shared" si="41"/>
        <v>32</v>
      </c>
      <c r="D741" t="str">
        <f>"10"</f>
        <v>10</v>
      </c>
      <c r="E741" t="str">
        <f>"1-32-10"</f>
        <v>1-32-10</v>
      </c>
      <c r="F741" t="s">
        <v>83</v>
      </c>
      <c r="G741" t="s">
        <v>86</v>
      </c>
      <c r="H741" t="s">
        <v>87</v>
      </c>
      <c r="AC741">
        <v>0</v>
      </c>
      <c r="AD741">
        <v>1</v>
      </c>
      <c r="AE741">
        <v>0</v>
      </c>
      <c r="AF741">
        <v>0</v>
      </c>
      <c r="AH741">
        <v>1</v>
      </c>
      <c r="AI741">
        <v>0</v>
      </c>
      <c r="AJ741">
        <v>1</v>
      </c>
      <c r="AK741">
        <v>0</v>
      </c>
      <c r="AL741">
        <v>1</v>
      </c>
      <c r="AM741">
        <v>0</v>
      </c>
      <c r="AN741">
        <v>0</v>
      </c>
      <c r="AO741">
        <v>1</v>
      </c>
      <c r="AP741">
        <v>1</v>
      </c>
      <c r="AQ741">
        <v>1</v>
      </c>
      <c r="AU741">
        <v>1</v>
      </c>
      <c r="AV741">
        <v>1</v>
      </c>
      <c r="AW741">
        <v>1</v>
      </c>
    </row>
    <row r="742" spans="1:49" x14ac:dyDescent="0.25">
      <c r="A742" t="str">
        <f>"738"</f>
        <v>738</v>
      </c>
      <c r="B742" t="str">
        <f t="shared" si="42"/>
        <v>1</v>
      </c>
      <c r="C742" t="str">
        <f t="shared" si="41"/>
        <v>32</v>
      </c>
      <c r="D742" t="str">
        <f>"1"</f>
        <v>1</v>
      </c>
      <c r="E742" t="str">
        <f>"1-32-1"</f>
        <v>1-32-1</v>
      </c>
      <c r="F742" t="s">
        <v>83</v>
      </c>
      <c r="G742" t="s">
        <v>86</v>
      </c>
      <c r="H742" t="s">
        <v>87</v>
      </c>
      <c r="AC742">
        <v>1</v>
      </c>
      <c r="AD742">
        <v>0</v>
      </c>
      <c r="AE742">
        <v>0</v>
      </c>
      <c r="AF742">
        <v>0</v>
      </c>
      <c r="AH742">
        <v>0</v>
      </c>
      <c r="AI742">
        <v>1</v>
      </c>
      <c r="AJ742">
        <v>1</v>
      </c>
      <c r="AK742">
        <v>0</v>
      </c>
      <c r="AL742">
        <v>1</v>
      </c>
      <c r="AM742">
        <v>0</v>
      </c>
      <c r="AN742">
        <v>0</v>
      </c>
      <c r="AO742">
        <v>0</v>
      </c>
      <c r="AP742">
        <v>0</v>
      </c>
      <c r="AQ742">
        <v>0</v>
      </c>
      <c r="AU742">
        <v>0</v>
      </c>
      <c r="AV742">
        <v>0</v>
      </c>
      <c r="AW742">
        <v>0</v>
      </c>
    </row>
    <row r="743" spans="1:49" x14ac:dyDescent="0.25">
      <c r="A743" t="str">
        <f>"739"</f>
        <v>739</v>
      </c>
      <c r="B743" t="str">
        <f t="shared" si="42"/>
        <v>1</v>
      </c>
      <c r="C743" t="str">
        <f t="shared" si="41"/>
        <v>32</v>
      </c>
      <c r="D743" t="str">
        <f>"20"</f>
        <v>20</v>
      </c>
      <c r="E743" t="str">
        <f>"1-32-20"</f>
        <v>1-32-20</v>
      </c>
      <c r="F743" t="s">
        <v>83</v>
      </c>
      <c r="G743" t="s">
        <v>86</v>
      </c>
      <c r="H743" t="s">
        <v>93</v>
      </c>
      <c r="I743">
        <v>1</v>
      </c>
      <c r="K743">
        <v>0</v>
      </c>
      <c r="L743">
        <v>0</v>
      </c>
      <c r="M743">
        <v>1</v>
      </c>
      <c r="N743">
        <v>1</v>
      </c>
      <c r="O743">
        <v>1</v>
      </c>
      <c r="P743">
        <v>1</v>
      </c>
      <c r="Q743">
        <v>1</v>
      </c>
      <c r="R743">
        <v>1</v>
      </c>
      <c r="U743">
        <v>0</v>
      </c>
      <c r="V743">
        <v>1</v>
      </c>
      <c r="W743">
        <v>1</v>
      </c>
      <c r="X743">
        <v>1</v>
      </c>
      <c r="Y743">
        <v>1</v>
      </c>
      <c r="Z743">
        <v>1</v>
      </c>
      <c r="AA743">
        <v>1</v>
      </c>
      <c r="AB743">
        <v>1</v>
      </c>
    </row>
    <row r="744" spans="1:49" x14ac:dyDescent="0.25">
      <c r="A744" t="str">
        <f>"740"</f>
        <v>740</v>
      </c>
      <c r="B744" t="str">
        <f t="shared" si="42"/>
        <v>1</v>
      </c>
      <c r="C744" t="str">
        <f t="shared" si="41"/>
        <v>32</v>
      </c>
      <c r="D744" t="str">
        <f>"11"</f>
        <v>11</v>
      </c>
      <c r="E744" t="str">
        <f>"1-32-11"</f>
        <v>1-32-11</v>
      </c>
      <c r="F744" t="s">
        <v>83</v>
      </c>
      <c r="G744" t="s">
        <v>86</v>
      </c>
      <c r="H744" t="s">
        <v>93</v>
      </c>
      <c r="I744">
        <v>1</v>
      </c>
      <c r="K744">
        <v>0</v>
      </c>
      <c r="L744">
        <v>0</v>
      </c>
      <c r="M744">
        <v>0</v>
      </c>
      <c r="N744">
        <v>1</v>
      </c>
      <c r="O744">
        <v>1</v>
      </c>
      <c r="P744">
        <v>1</v>
      </c>
      <c r="Q744">
        <v>1</v>
      </c>
      <c r="R744">
        <v>1</v>
      </c>
      <c r="U744">
        <v>0</v>
      </c>
      <c r="V744">
        <v>1</v>
      </c>
      <c r="W744">
        <v>1</v>
      </c>
      <c r="X744">
        <v>1</v>
      </c>
      <c r="Y744">
        <v>1</v>
      </c>
      <c r="Z744">
        <v>1</v>
      </c>
      <c r="AA744">
        <v>1</v>
      </c>
      <c r="AB744">
        <v>1</v>
      </c>
    </row>
    <row r="745" spans="1:49" x14ac:dyDescent="0.25">
      <c r="A745" t="str">
        <f>"741"</f>
        <v>741</v>
      </c>
      <c r="B745" t="str">
        <f t="shared" si="42"/>
        <v>1</v>
      </c>
      <c r="C745" t="str">
        <f t="shared" si="41"/>
        <v>32</v>
      </c>
      <c r="D745" t="str">
        <f>"7"</f>
        <v>7</v>
      </c>
      <c r="E745" t="str">
        <f>"1-32-7"</f>
        <v>1-32-7</v>
      </c>
      <c r="F745" t="s">
        <v>83</v>
      </c>
      <c r="G745" t="s">
        <v>86</v>
      </c>
      <c r="H745" t="s">
        <v>87</v>
      </c>
      <c r="AC745">
        <v>1</v>
      </c>
      <c r="AD745">
        <v>0</v>
      </c>
      <c r="AE745">
        <v>0</v>
      </c>
      <c r="AF745">
        <v>0</v>
      </c>
      <c r="AH745">
        <v>0</v>
      </c>
      <c r="AI745">
        <v>1</v>
      </c>
      <c r="AJ745">
        <v>1</v>
      </c>
      <c r="AK745">
        <v>0</v>
      </c>
      <c r="AL745">
        <v>0</v>
      </c>
      <c r="AM745">
        <v>0</v>
      </c>
      <c r="AN745">
        <v>1</v>
      </c>
      <c r="AO745">
        <v>0</v>
      </c>
      <c r="AP745">
        <v>0</v>
      </c>
      <c r="AQ745">
        <v>0</v>
      </c>
      <c r="AU745">
        <v>0</v>
      </c>
      <c r="AV745">
        <v>0</v>
      </c>
      <c r="AW745">
        <v>0</v>
      </c>
    </row>
    <row r="746" spans="1:49" x14ac:dyDescent="0.25">
      <c r="A746" t="str">
        <f>"742"</f>
        <v>742</v>
      </c>
      <c r="B746" t="str">
        <f t="shared" si="42"/>
        <v>1</v>
      </c>
      <c r="C746" t="str">
        <f t="shared" si="41"/>
        <v>32</v>
      </c>
      <c r="D746" t="str">
        <f>"21"</f>
        <v>21</v>
      </c>
      <c r="E746" t="str">
        <f>"1-32-21"</f>
        <v>1-32-21</v>
      </c>
      <c r="F746" t="s">
        <v>83</v>
      </c>
      <c r="G746" t="s">
        <v>86</v>
      </c>
      <c r="H746" t="s">
        <v>87</v>
      </c>
      <c r="AC746">
        <v>1</v>
      </c>
      <c r="AD746">
        <v>0</v>
      </c>
      <c r="AE746">
        <v>0</v>
      </c>
      <c r="AF746">
        <v>0</v>
      </c>
      <c r="AH746">
        <v>0</v>
      </c>
      <c r="AI746">
        <v>1</v>
      </c>
      <c r="AJ746">
        <v>0</v>
      </c>
      <c r="AK746">
        <v>0</v>
      </c>
      <c r="AL746">
        <v>1</v>
      </c>
      <c r="AM746">
        <v>0</v>
      </c>
      <c r="AN746">
        <v>0</v>
      </c>
      <c r="AO746">
        <v>0</v>
      </c>
      <c r="AP746">
        <v>0</v>
      </c>
      <c r="AQ746">
        <v>0</v>
      </c>
      <c r="AU746">
        <v>0</v>
      </c>
      <c r="AV746">
        <v>0</v>
      </c>
      <c r="AW746">
        <v>0</v>
      </c>
    </row>
    <row r="747" spans="1:49" x14ac:dyDescent="0.25">
      <c r="A747" t="str">
        <f>"743"</f>
        <v>743</v>
      </c>
      <c r="B747" t="str">
        <f t="shared" si="42"/>
        <v>1</v>
      </c>
      <c r="C747" t="str">
        <f t="shared" si="41"/>
        <v>32</v>
      </c>
      <c r="D747" t="str">
        <f>"13"</f>
        <v>13</v>
      </c>
      <c r="E747" t="str">
        <f>"1-32-13"</f>
        <v>1-32-13</v>
      </c>
      <c r="F747" t="s">
        <v>83</v>
      </c>
      <c r="G747" t="s">
        <v>86</v>
      </c>
      <c r="H747" t="s">
        <v>87</v>
      </c>
      <c r="AC747">
        <v>1</v>
      </c>
      <c r="AD747">
        <v>0</v>
      </c>
      <c r="AE747">
        <v>0</v>
      </c>
      <c r="AF747">
        <v>0</v>
      </c>
      <c r="AH747">
        <v>1</v>
      </c>
      <c r="AI747">
        <v>0</v>
      </c>
      <c r="AJ747">
        <v>0</v>
      </c>
      <c r="AK747">
        <v>1</v>
      </c>
      <c r="AL747">
        <v>0</v>
      </c>
      <c r="AM747">
        <v>0</v>
      </c>
      <c r="AN747">
        <v>0</v>
      </c>
      <c r="AO747">
        <v>0</v>
      </c>
      <c r="AP747">
        <v>0</v>
      </c>
      <c r="AQ747">
        <v>0</v>
      </c>
      <c r="AU747">
        <v>0</v>
      </c>
      <c r="AV747">
        <v>0</v>
      </c>
      <c r="AW747">
        <v>0</v>
      </c>
    </row>
    <row r="748" spans="1:49" x14ac:dyDescent="0.25">
      <c r="A748" t="str">
        <f>"744"</f>
        <v>744</v>
      </c>
      <c r="B748" t="str">
        <f t="shared" si="42"/>
        <v>1</v>
      </c>
      <c r="C748" t="str">
        <f t="shared" si="41"/>
        <v>32</v>
      </c>
      <c r="D748" t="str">
        <f>"5"</f>
        <v>5</v>
      </c>
      <c r="E748" t="str">
        <f>"1-32-5"</f>
        <v>1-32-5</v>
      </c>
      <c r="F748" t="s">
        <v>83</v>
      </c>
      <c r="G748" t="s">
        <v>86</v>
      </c>
      <c r="H748" t="s">
        <v>87</v>
      </c>
      <c r="AC748">
        <v>0</v>
      </c>
      <c r="AD748">
        <v>0</v>
      </c>
      <c r="AE748">
        <v>0</v>
      </c>
      <c r="AF748">
        <v>0</v>
      </c>
      <c r="AH748">
        <v>0</v>
      </c>
      <c r="AI748">
        <v>1</v>
      </c>
      <c r="AJ748">
        <v>0</v>
      </c>
      <c r="AK748">
        <v>0</v>
      </c>
      <c r="AL748">
        <v>0</v>
      </c>
      <c r="AM748">
        <v>0</v>
      </c>
      <c r="AN748">
        <v>0</v>
      </c>
      <c r="AO748">
        <v>0</v>
      </c>
      <c r="AP748">
        <v>0</v>
      </c>
      <c r="AQ748">
        <v>0</v>
      </c>
      <c r="AU748">
        <v>0</v>
      </c>
      <c r="AV748">
        <v>0</v>
      </c>
      <c r="AW748">
        <v>0</v>
      </c>
    </row>
    <row r="749" spans="1:49" x14ac:dyDescent="0.25">
      <c r="A749" t="str">
        <f>"745"</f>
        <v>745</v>
      </c>
      <c r="B749" t="str">
        <f t="shared" si="42"/>
        <v>1</v>
      </c>
      <c r="C749" t="str">
        <f t="shared" si="41"/>
        <v>32</v>
      </c>
      <c r="D749" t="str">
        <f>"22"</f>
        <v>22</v>
      </c>
      <c r="E749" t="str">
        <f>"1-32-22"</f>
        <v>1-32-22</v>
      </c>
      <c r="F749" t="s">
        <v>83</v>
      </c>
      <c r="G749" t="s">
        <v>86</v>
      </c>
      <c r="H749" t="s">
        <v>87</v>
      </c>
      <c r="AC749">
        <v>0</v>
      </c>
      <c r="AD749">
        <v>1</v>
      </c>
      <c r="AE749">
        <v>0</v>
      </c>
      <c r="AF749">
        <v>0</v>
      </c>
      <c r="AH749">
        <v>0</v>
      </c>
      <c r="AI749">
        <v>1</v>
      </c>
      <c r="AJ749">
        <v>1</v>
      </c>
      <c r="AK749">
        <v>0</v>
      </c>
      <c r="AL749">
        <v>0</v>
      </c>
      <c r="AM749">
        <v>0</v>
      </c>
      <c r="AN749">
        <v>1</v>
      </c>
      <c r="AO749">
        <v>1</v>
      </c>
      <c r="AP749">
        <v>1</v>
      </c>
      <c r="AQ749">
        <v>1</v>
      </c>
      <c r="AU749">
        <v>1</v>
      </c>
      <c r="AV749">
        <v>1</v>
      </c>
      <c r="AW749">
        <v>1</v>
      </c>
    </row>
    <row r="750" spans="1:49" x14ac:dyDescent="0.25">
      <c r="A750" t="str">
        <f>"746"</f>
        <v>746</v>
      </c>
      <c r="B750" t="str">
        <f t="shared" si="42"/>
        <v>1</v>
      </c>
      <c r="C750" t="str">
        <f t="shared" si="41"/>
        <v>32</v>
      </c>
      <c r="D750" t="str">
        <f>"14"</f>
        <v>14</v>
      </c>
      <c r="E750" t="str">
        <f>"1-32-14"</f>
        <v>1-32-14</v>
      </c>
      <c r="F750" t="s">
        <v>83</v>
      </c>
      <c r="G750" t="s">
        <v>86</v>
      </c>
      <c r="H750" t="s">
        <v>87</v>
      </c>
      <c r="AC750">
        <v>0</v>
      </c>
      <c r="AD750">
        <v>1</v>
      </c>
      <c r="AE750">
        <v>0</v>
      </c>
      <c r="AF750">
        <v>0</v>
      </c>
      <c r="AH750">
        <v>1</v>
      </c>
      <c r="AI750">
        <v>0</v>
      </c>
      <c r="AJ750">
        <v>0</v>
      </c>
      <c r="AK750">
        <v>1</v>
      </c>
      <c r="AL750">
        <v>0</v>
      </c>
      <c r="AM750">
        <v>1</v>
      </c>
      <c r="AN750">
        <v>0</v>
      </c>
      <c r="AO750">
        <v>1</v>
      </c>
      <c r="AP750">
        <v>1</v>
      </c>
      <c r="AQ750">
        <v>1</v>
      </c>
      <c r="AU750">
        <v>0</v>
      </c>
      <c r="AV750">
        <v>1</v>
      </c>
      <c r="AW750">
        <v>1</v>
      </c>
    </row>
    <row r="751" spans="1:49" x14ac:dyDescent="0.25">
      <c r="A751" t="str">
        <f>"747"</f>
        <v>747</v>
      </c>
      <c r="B751" t="str">
        <f t="shared" si="42"/>
        <v>1</v>
      </c>
      <c r="C751" t="str">
        <f t="shared" si="41"/>
        <v>32</v>
      </c>
      <c r="D751" t="str">
        <f>"3"</f>
        <v>3</v>
      </c>
      <c r="E751" t="str">
        <f>"1-32-3"</f>
        <v>1-32-3</v>
      </c>
      <c r="F751" t="s">
        <v>83</v>
      </c>
      <c r="G751" t="s">
        <v>86</v>
      </c>
      <c r="H751" t="s">
        <v>87</v>
      </c>
      <c r="AC751">
        <v>0</v>
      </c>
      <c r="AD751">
        <v>0</v>
      </c>
      <c r="AE751">
        <v>0</v>
      </c>
      <c r="AF751">
        <v>0</v>
      </c>
      <c r="AH751">
        <v>0</v>
      </c>
      <c r="AI751">
        <v>1</v>
      </c>
      <c r="AJ751">
        <v>0</v>
      </c>
      <c r="AK751">
        <v>0</v>
      </c>
      <c r="AL751">
        <v>0</v>
      </c>
      <c r="AM751">
        <v>0</v>
      </c>
      <c r="AN751">
        <v>0</v>
      </c>
      <c r="AO751">
        <v>0</v>
      </c>
      <c r="AP751">
        <v>0</v>
      </c>
      <c r="AQ751">
        <v>0</v>
      </c>
      <c r="AU751">
        <v>0</v>
      </c>
      <c r="AV751">
        <v>0</v>
      </c>
      <c r="AW751">
        <v>0</v>
      </c>
    </row>
    <row r="752" spans="1:49" x14ac:dyDescent="0.25">
      <c r="A752" t="str">
        <f>"748"</f>
        <v>748</v>
      </c>
      <c r="B752" t="str">
        <f t="shared" si="42"/>
        <v>1</v>
      </c>
      <c r="C752" t="str">
        <f t="shared" si="41"/>
        <v>32</v>
      </c>
      <c r="D752" t="str">
        <f>"23"</f>
        <v>23</v>
      </c>
      <c r="E752" t="str">
        <f>"1-32-23"</f>
        <v>1-32-23</v>
      </c>
      <c r="F752" t="s">
        <v>83</v>
      </c>
      <c r="G752" t="s">
        <v>86</v>
      </c>
      <c r="H752" t="s">
        <v>87</v>
      </c>
      <c r="AC752">
        <v>1</v>
      </c>
      <c r="AD752">
        <v>0</v>
      </c>
      <c r="AE752">
        <v>0</v>
      </c>
      <c r="AF752">
        <v>0</v>
      </c>
      <c r="AH752">
        <v>0</v>
      </c>
      <c r="AI752">
        <v>1</v>
      </c>
      <c r="AJ752">
        <v>0</v>
      </c>
      <c r="AK752">
        <v>0</v>
      </c>
      <c r="AL752">
        <v>1</v>
      </c>
      <c r="AM752">
        <v>0</v>
      </c>
      <c r="AN752">
        <v>0</v>
      </c>
      <c r="AO752">
        <v>0</v>
      </c>
      <c r="AP752">
        <v>0</v>
      </c>
      <c r="AQ752">
        <v>0</v>
      </c>
      <c r="AU752">
        <v>0</v>
      </c>
      <c r="AV752">
        <v>0</v>
      </c>
      <c r="AW752">
        <v>0</v>
      </c>
    </row>
    <row r="753" spans="1:49" x14ac:dyDescent="0.25">
      <c r="A753" t="str">
        <f>"749"</f>
        <v>749</v>
      </c>
      <c r="B753" t="str">
        <f t="shared" si="42"/>
        <v>1</v>
      </c>
      <c r="C753" t="str">
        <f t="shared" si="41"/>
        <v>32</v>
      </c>
      <c r="D753" t="str">
        <f>"15"</f>
        <v>15</v>
      </c>
      <c r="E753" t="str">
        <f>"1-32-15"</f>
        <v>1-32-15</v>
      </c>
      <c r="F753" t="s">
        <v>83</v>
      </c>
      <c r="G753" t="s">
        <v>86</v>
      </c>
      <c r="H753" t="s">
        <v>93</v>
      </c>
      <c r="I753">
        <v>1</v>
      </c>
      <c r="K753">
        <v>0</v>
      </c>
      <c r="L753">
        <v>1</v>
      </c>
      <c r="M753">
        <v>0</v>
      </c>
      <c r="N753">
        <v>1</v>
      </c>
      <c r="O753">
        <v>1</v>
      </c>
      <c r="P753">
        <v>1</v>
      </c>
      <c r="Q753">
        <v>1</v>
      </c>
      <c r="R753">
        <v>1</v>
      </c>
      <c r="U753">
        <v>0</v>
      </c>
      <c r="V753">
        <v>1</v>
      </c>
      <c r="W753">
        <v>0</v>
      </c>
      <c r="X753">
        <v>1</v>
      </c>
      <c r="Y753">
        <v>0</v>
      </c>
      <c r="Z753">
        <v>1</v>
      </c>
      <c r="AA753">
        <v>1</v>
      </c>
      <c r="AB753">
        <v>1</v>
      </c>
    </row>
    <row r="754" spans="1:49" x14ac:dyDescent="0.25">
      <c r="A754" t="str">
        <f>"750"</f>
        <v>750</v>
      </c>
      <c r="B754" t="str">
        <f t="shared" si="42"/>
        <v>1</v>
      </c>
      <c r="C754" t="str">
        <f t="shared" si="41"/>
        <v>32</v>
      </c>
      <c r="D754" t="str">
        <f>"4"</f>
        <v>4</v>
      </c>
      <c r="E754" t="str">
        <f>"1-32-4"</f>
        <v>1-32-4</v>
      </c>
      <c r="F754" t="s">
        <v>83</v>
      </c>
      <c r="G754" t="s">
        <v>86</v>
      </c>
      <c r="H754" t="s">
        <v>93</v>
      </c>
      <c r="I754">
        <v>1</v>
      </c>
      <c r="K754">
        <v>0</v>
      </c>
      <c r="L754">
        <v>0</v>
      </c>
      <c r="M754">
        <v>1</v>
      </c>
      <c r="N754">
        <v>1</v>
      </c>
      <c r="O754">
        <v>1</v>
      </c>
      <c r="P754">
        <v>1</v>
      </c>
      <c r="Q754">
        <v>1</v>
      </c>
      <c r="R754">
        <v>0</v>
      </c>
      <c r="U754">
        <v>0</v>
      </c>
      <c r="V754">
        <v>0</v>
      </c>
      <c r="W754">
        <v>1</v>
      </c>
      <c r="X754">
        <v>1</v>
      </c>
      <c r="Y754">
        <v>1</v>
      </c>
      <c r="Z754">
        <v>1</v>
      </c>
      <c r="AA754">
        <v>1</v>
      </c>
      <c r="AB754">
        <v>1</v>
      </c>
    </row>
    <row r="755" spans="1:49" x14ac:dyDescent="0.25">
      <c r="A755" t="str">
        <f>"751"</f>
        <v>751</v>
      </c>
      <c r="B755" t="str">
        <f t="shared" si="42"/>
        <v>1</v>
      </c>
      <c r="C755" t="str">
        <f t="shared" ref="C755:C779" si="43">"33"</f>
        <v>33</v>
      </c>
      <c r="D755" t="str">
        <f>"25"</f>
        <v>25</v>
      </c>
      <c r="E755" t="str">
        <f>"1-33-25"</f>
        <v>1-33-25</v>
      </c>
      <c r="F755" t="s">
        <v>83</v>
      </c>
      <c r="G755" t="s">
        <v>84</v>
      </c>
      <c r="H755" t="s">
        <v>85</v>
      </c>
      <c r="AC755">
        <v>1</v>
      </c>
      <c r="AD755">
        <v>0</v>
      </c>
      <c r="AE755">
        <v>0</v>
      </c>
      <c r="AF755">
        <v>0</v>
      </c>
      <c r="AG755">
        <v>0</v>
      </c>
      <c r="AJ755">
        <v>1</v>
      </c>
      <c r="AK755">
        <v>0</v>
      </c>
      <c r="AL755">
        <v>1</v>
      </c>
      <c r="AM755">
        <v>0</v>
      </c>
      <c r="AN755">
        <v>0</v>
      </c>
      <c r="AO755">
        <v>0</v>
      </c>
      <c r="AP755">
        <v>0</v>
      </c>
      <c r="AQ755">
        <v>0</v>
      </c>
      <c r="AR755">
        <v>0</v>
      </c>
      <c r="AS755">
        <v>0</v>
      </c>
      <c r="AT755">
        <v>0</v>
      </c>
      <c r="AV755">
        <v>0</v>
      </c>
      <c r="AW755">
        <v>0</v>
      </c>
    </row>
    <row r="756" spans="1:49" x14ac:dyDescent="0.25">
      <c r="A756" t="str">
        <f>"752"</f>
        <v>752</v>
      </c>
      <c r="B756" t="str">
        <f t="shared" si="42"/>
        <v>1</v>
      </c>
      <c r="C756" t="str">
        <f t="shared" si="43"/>
        <v>33</v>
      </c>
      <c r="D756" t="str">
        <f>"24"</f>
        <v>24</v>
      </c>
      <c r="E756" t="str">
        <f>"1-33-24"</f>
        <v>1-33-24</v>
      </c>
      <c r="F756" t="s">
        <v>83</v>
      </c>
      <c r="G756" t="s">
        <v>84</v>
      </c>
      <c r="H756" t="s">
        <v>85</v>
      </c>
      <c r="AC756">
        <v>0</v>
      </c>
      <c r="AD756">
        <v>1</v>
      </c>
      <c r="AE756">
        <v>0</v>
      </c>
      <c r="AF756">
        <v>0</v>
      </c>
      <c r="AG756">
        <v>1</v>
      </c>
      <c r="AJ756">
        <v>1</v>
      </c>
      <c r="AK756">
        <v>0</v>
      </c>
      <c r="AL756">
        <v>1</v>
      </c>
      <c r="AM756">
        <v>0</v>
      </c>
      <c r="AN756">
        <v>0</v>
      </c>
      <c r="AO756">
        <v>1</v>
      </c>
      <c r="AP756">
        <v>1</v>
      </c>
      <c r="AQ756">
        <v>1</v>
      </c>
      <c r="AR756">
        <v>1</v>
      </c>
      <c r="AS756">
        <v>0</v>
      </c>
      <c r="AT756">
        <v>1</v>
      </c>
      <c r="AV756">
        <v>1</v>
      </c>
      <c r="AW756">
        <v>1</v>
      </c>
    </row>
    <row r="757" spans="1:49" x14ac:dyDescent="0.25">
      <c r="A757" t="str">
        <f>"753"</f>
        <v>753</v>
      </c>
      <c r="B757" t="str">
        <f t="shared" si="42"/>
        <v>1</v>
      </c>
      <c r="C757" t="str">
        <f t="shared" si="43"/>
        <v>33</v>
      </c>
      <c r="D757" t="str">
        <f>"17"</f>
        <v>17</v>
      </c>
      <c r="E757" t="str">
        <f>"1-33-17"</f>
        <v>1-33-17</v>
      </c>
      <c r="F757" t="s">
        <v>83</v>
      </c>
      <c r="G757" t="s">
        <v>84</v>
      </c>
      <c r="H757" t="s">
        <v>85</v>
      </c>
      <c r="AC757">
        <v>1</v>
      </c>
      <c r="AD757">
        <v>0</v>
      </c>
      <c r="AE757">
        <v>0</v>
      </c>
      <c r="AF757">
        <v>0</v>
      </c>
      <c r="AG757">
        <v>1</v>
      </c>
      <c r="AJ757">
        <v>1</v>
      </c>
      <c r="AK757">
        <v>0</v>
      </c>
      <c r="AL757">
        <v>1</v>
      </c>
      <c r="AM757">
        <v>0</v>
      </c>
      <c r="AN757">
        <v>0</v>
      </c>
      <c r="AO757">
        <v>1</v>
      </c>
      <c r="AP757">
        <v>1</v>
      </c>
      <c r="AQ757">
        <v>1</v>
      </c>
      <c r="AR757">
        <v>1</v>
      </c>
      <c r="AS757">
        <v>0</v>
      </c>
      <c r="AT757">
        <v>1</v>
      </c>
      <c r="AV757">
        <v>1</v>
      </c>
      <c r="AW757">
        <v>1</v>
      </c>
    </row>
    <row r="758" spans="1:49" x14ac:dyDescent="0.25">
      <c r="A758" t="str">
        <f>"754"</f>
        <v>754</v>
      </c>
      <c r="B758" t="str">
        <f t="shared" si="42"/>
        <v>1</v>
      </c>
      <c r="C758" t="str">
        <f t="shared" si="43"/>
        <v>33</v>
      </c>
      <c r="D758" t="str">
        <f>"16"</f>
        <v>16</v>
      </c>
      <c r="E758" t="str">
        <f>"1-33-16"</f>
        <v>1-33-16</v>
      </c>
      <c r="F758" t="s">
        <v>83</v>
      </c>
      <c r="G758" t="s">
        <v>84</v>
      </c>
      <c r="H758" t="s">
        <v>85</v>
      </c>
      <c r="AC758">
        <v>1</v>
      </c>
      <c r="AD758">
        <v>0</v>
      </c>
      <c r="AE758">
        <v>0</v>
      </c>
      <c r="AF758">
        <v>0</v>
      </c>
      <c r="AG758">
        <v>1</v>
      </c>
      <c r="AJ758">
        <v>1</v>
      </c>
      <c r="AK758">
        <v>0</v>
      </c>
      <c r="AL758">
        <v>0</v>
      </c>
      <c r="AM758">
        <v>1</v>
      </c>
      <c r="AN758">
        <v>0</v>
      </c>
      <c r="AO758">
        <v>1</v>
      </c>
      <c r="AP758">
        <v>1</v>
      </c>
      <c r="AQ758">
        <v>1</v>
      </c>
      <c r="AR758">
        <v>1</v>
      </c>
      <c r="AS758">
        <v>1</v>
      </c>
      <c r="AT758">
        <v>0</v>
      </c>
      <c r="AV758">
        <v>1</v>
      </c>
      <c r="AW758">
        <v>1</v>
      </c>
    </row>
    <row r="759" spans="1:49" x14ac:dyDescent="0.25">
      <c r="A759" t="str">
        <f>"755"</f>
        <v>755</v>
      </c>
      <c r="B759" t="str">
        <f t="shared" si="42"/>
        <v>1</v>
      </c>
      <c r="C759" t="str">
        <f t="shared" si="43"/>
        <v>33</v>
      </c>
      <c r="D759" t="str">
        <f>"13"</f>
        <v>13</v>
      </c>
      <c r="E759" t="str">
        <f>"1-33-13"</f>
        <v>1-33-13</v>
      </c>
      <c r="F759" t="s">
        <v>83</v>
      </c>
      <c r="G759" t="s">
        <v>84</v>
      </c>
      <c r="H759" t="s">
        <v>85</v>
      </c>
      <c r="AC759">
        <v>0</v>
      </c>
      <c r="AD759">
        <v>1</v>
      </c>
      <c r="AE759">
        <v>0</v>
      </c>
      <c r="AF759">
        <v>0</v>
      </c>
      <c r="AG759">
        <v>1</v>
      </c>
      <c r="AJ759">
        <v>0</v>
      </c>
      <c r="AK759">
        <v>1</v>
      </c>
      <c r="AL759">
        <v>0</v>
      </c>
      <c r="AM759">
        <v>0</v>
      </c>
      <c r="AN759">
        <v>1</v>
      </c>
      <c r="AO759">
        <v>1</v>
      </c>
      <c r="AP759">
        <v>1</v>
      </c>
      <c r="AQ759">
        <v>1</v>
      </c>
      <c r="AR759">
        <v>0</v>
      </c>
      <c r="AS759">
        <v>0</v>
      </c>
      <c r="AT759">
        <v>1</v>
      </c>
      <c r="AV759">
        <v>1</v>
      </c>
      <c r="AW759">
        <v>1</v>
      </c>
    </row>
    <row r="760" spans="1:49" x14ac:dyDescent="0.25">
      <c r="A760" t="str">
        <f>"756"</f>
        <v>756</v>
      </c>
      <c r="B760" t="str">
        <f t="shared" si="42"/>
        <v>1</v>
      </c>
      <c r="C760" t="str">
        <f t="shared" si="43"/>
        <v>33</v>
      </c>
      <c r="D760" t="str">
        <f>"8"</f>
        <v>8</v>
      </c>
      <c r="E760" t="str">
        <f>"1-33-8"</f>
        <v>1-33-8</v>
      </c>
      <c r="F760" t="s">
        <v>83</v>
      </c>
      <c r="G760" t="s">
        <v>84</v>
      </c>
      <c r="H760" t="s">
        <v>85</v>
      </c>
      <c r="AC760">
        <v>0</v>
      </c>
      <c r="AD760">
        <v>1</v>
      </c>
      <c r="AE760">
        <v>0</v>
      </c>
      <c r="AF760">
        <v>0</v>
      </c>
      <c r="AG760">
        <v>0</v>
      </c>
      <c r="AJ760">
        <v>0</v>
      </c>
      <c r="AK760">
        <v>1</v>
      </c>
      <c r="AL760">
        <v>0</v>
      </c>
      <c r="AM760">
        <v>0</v>
      </c>
      <c r="AN760">
        <v>1</v>
      </c>
      <c r="AO760">
        <v>0</v>
      </c>
      <c r="AP760">
        <v>0</v>
      </c>
      <c r="AQ760">
        <v>0</v>
      </c>
      <c r="AR760">
        <v>0</v>
      </c>
      <c r="AS760">
        <v>0</v>
      </c>
      <c r="AT760">
        <v>1</v>
      </c>
      <c r="AV760">
        <v>0</v>
      </c>
      <c r="AW760">
        <v>0</v>
      </c>
    </row>
    <row r="761" spans="1:49" x14ac:dyDescent="0.25">
      <c r="A761" t="str">
        <f>"757"</f>
        <v>757</v>
      </c>
      <c r="B761" t="str">
        <f t="shared" si="42"/>
        <v>1</v>
      </c>
      <c r="C761" t="str">
        <f t="shared" si="43"/>
        <v>33</v>
      </c>
      <c r="D761" t="str">
        <f>"19"</f>
        <v>19</v>
      </c>
      <c r="E761" t="str">
        <f>"1-33-19"</f>
        <v>1-33-19</v>
      </c>
      <c r="F761" t="s">
        <v>83</v>
      </c>
      <c r="G761" t="s">
        <v>84</v>
      </c>
      <c r="H761" t="s">
        <v>85</v>
      </c>
      <c r="AC761">
        <v>0</v>
      </c>
      <c r="AD761">
        <v>1</v>
      </c>
      <c r="AE761">
        <v>0</v>
      </c>
      <c r="AF761">
        <v>0</v>
      </c>
      <c r="AG761">
        <v>0</v>
      </c>
      <c r="AJ761">
        <v>0</v>
      </c>
      <c r="AK761">
        <v>1</v>
      </c>
      <c r="AL761">
        <v>0</v>
      </c>
      <c r="AM761">
        <v>0</v>
      </c>
      <c r="AN761">
        <v>1</v>
      </c>
      <c r="AO761">
        <v>0</v>
      </c>
      <c r="AP761">
        <v>0</v>
      </c>
      <c r="AQ761">
        <v>0</v>
      </c>
      <c r="AR761">
        <v>1</v>
      </c>
      <c r="AS761">
        <v>0</v>
      </c>
      <c r="AT761">
        <v>1</v>
      </c>
      <c r="AV761">
        <v>1</v>
      </c>
      <c r="AW761">
        <v>1</v>
      </c>
    </row>
    <row r="762" spans="1:49" x14ac:dyDescent="0.25">
      <c r="A762" t="str">
        <f>"758"</f>
        <v>758</v>
      </c>
      <c r="B762" t="str">
        <f t="shared" si="42"/>
        <v>1</v>
      </c>
      <c r="C762" t="str">
        <f t="shared" si="43"/>
        <v>33</v>
      </c>
      <c r="D762" t="str">
        <f>"9"</f>
        <v>9</v>
      </c>
      <c r="E762" t="str">
        <f>"1-33-9"</f>
        <v>1-33-9</v>
      </c>
      <c r="F762" t="s">
        <v>83</v>
      </c>
      <c r="G762" t="s">
        <v>84</v>
      </c>
      <c r="H762" t="s">
        <v>85</v>
      </c>
      <c r="AC762">
        <v>0</v>
      </c>
      <c r="AD762">
        <v>1</v>
      </c>
      <c r="AE762">
        <v>0</v>
      </c>
      <c r="AF762">
        <v>0</v>
      </c>
      <c r="AG762">
        <v>1</v>
      </c>
      <c r="AJ762">
        <v>1</v>
      </c>
      <c r="AK762">
        <v>0</v>
      </c>
      <c r="AL762">
        <v>1</v>
      </c>
      <c r="AM762">
        <v>0</v>
      </c>
      <c r="AN762">
        <v>0</v>
      </c>
      <c r="AO762">
        <v>1</v>
      </c>
      <c r="AP762">
        <v>1</v>
      </c>
      <c r="AQ762">
        <v>1</v>
      </c>
      <c r="AR762">
        <v>1</v>
      </c>
      <c r="AS762">
        <v>0</v>
      </c>
      <c r="AT762">
        <v>1</v>
      </c>
      <c r="AV762">
        <v>1</v>
      </c>
      <c r="AW762">
        <v>0</v>
      </c>
    </row>
    <row r="763" spans="1:49" x14ac:dyDescent="0.25">
      <c r="A763" t="str">
        <f>"759"</f>
        <v>759</v>
      </c>
      <c r="B763" t="str">
        <f t="shared" si="42"/>
        <v>1</v>
      </c>
      <c r="C763" t="str">
        <f t="shared" si="43"/>
        <v>33</v>
      </c>
      <c r="D763" t="str">
        <f>"2"</f>
        <v>2</v>
      </c>
      <c r="E763" t="str">
        <f>"1-33-2"</f>
        <v>1-33-2</v>
      </c>
      <c r="F763" t="s">
        <v>83</v>
      </c>
      <c r="G763" t="s">
        <v>84</v>
      </c>
      <c r="H763" t="s">
        <v>92</v>
      </c>
      <c r="I763">
        <v>1</v>
      </c>
      <c r="J763">
        <v>1</v>
      </c>
      <c r="N763">
        <v>1</v>
      </c>
      <c r="O763">
        <v>0</v>
      </c>
      <c r="P763">
        <v>0</v>
      </c>
      <c r="Q763">
        <v>0</v>
      </c>
      <c r="R763">
        <v>0</v>
      </c>
      <c r="S763">
        <v>1</v>
      </c>
      <c r="T763">
        <v>0</v>
      </c>
      <c r="W763">
        <v>1</v>
      </c>
      <c r="X763">
        <v>1</v>
      </c>
      <c r="Y763">
        <v>0</v>
      </c>
      <c r="Z763">
        <v>1</v>
      </c>
      <c r="AA763">
        <v>1</v>
      </c>
      <c r="AB763">
        <v>1</v>
      </c>
    </row>
    <row r="764" spans="1:49" x14ac:dyDescent="0.25">
      <c r="A764" t="str">
        <f>"760"</f>
        <v>760</v>
      </c>
      <c r="B764" t="str">
        <f t="shared" si="42"/>
        <v>1</v>
      </c>
      <c r="C764" t="str">
        <f t="shared" si="43"/>
        <v>33</v>
      </c>
      <c r="D764" t="str">
        <f>"18"</f>
        <v>18</v>
      </c>
      <c r="E764" t="str">
        <f>"1-33-18"</f>
        <v>1-33-18</v>
      </c>
      <c r="F764" t="s">
        <v>83</v>
      </c>
      <c r="G764" t="s">
        <v>84</v>
      </c>
      <c r="H764" t="s">
        <v>92</v>
      </c>
      <c r="I764">
        <v>1</v>
      </c>
      <c r="J764">
        <v>1</v>
      </c>
      <c r="N764">
        <v>1</v>
      </c>
      <c r="O764">
        <v>1</v>
      </c>
      <c r="P764">
        <v>1</v>
      </c>
      <c r="Q764">
        <v>1</v>
      </c>
      <c r="R764">
        <v>1</v>
      </c>
      <c r="S764">
        <v>1</v>
      </c>
      <c r="T764">
        <v>1</v>
      </c>
      <c r="W764">
        <v>1</v>
      </c>
      <c r="X764">
        <v>1</v>
      </c>
      <c r="Y764">
        <v>1</v>
      </c>
      <c r="Z764">
        <v>1</v>
      </c>
      <c r="AA764">
        <v>1</v>
      </c>
      <c r="AB764">
        <v>1</v>
      </c>
    </row>
    <row r="765" spans="1:49" x14ac:dyDescent="0.25">
      <c r="A765" t="str">
        <f>"761"</f>
        <v>761</v>
      </c>
      <c r="B765" t="str">
        <f t="shared" si="42"/>
        <v>1</v>
      </c>
      <c r="C765" t="str">
        <f t="shared" si="43"/>
        <v>33</v>
      </c>
      <c r="D765" t="str">
        <f>"10"</f>
        <v>10</v>
      </c>
      <c r="E765" t="str">
        <f>"1-33-10"</f>
        <v>1-33-10</v>
      </c>
      <c r="F765" t="s">
        <v>83</v>
      </c>
      <c r="G765" t="s">
        <v>86</v>
      </c>
      <c r="H765" t="s">
        <v>87</v>
      </c>
      <c r="AC765">
        <v>0</v>
      </c>
      <c r="AD765">
        <v>0</v>
      </c>
      <c r="AE765">
        <v>0</v>
      </c>
      <c r="AF765">
        <v>0</v>
      </c>
      <c r="AH765">
        <v>0</v>
      </c>
      <c r="AI765">
        <v>1</v>
      </c>
      <c r="AJ765">
        <v>0</v>
      </c>
      <c r="AK765">
        <v>0</v>
      </c>
      <c r="AL765">
        <v>0</v>
      </c>
      <c r="AM765">
        <v>0</v>
      </c>
      <c r="AN765">
        <v>0</v>
      </c>
      <c r="AO765">
        <v>0</v>
      </c>
      <c r="AP765">
        <v>0</v>
      </c>
      <c r="AQ765">
        <v>0</v>
      </c>
      <c r="AU765">
        <v>0</v>
      </c>
      <c r="AV765">
        <v>0</v>
      </c>
      <c r="AW765">
        <v>0</v>
      </c>
    </row>
    <row r="766" spans="1:49" x14ac:dyDescent="0.25">
      <c r="A766" t="str">
        <f>"762"</f>
        <v>762</v>
      </c>
      <c r="B766" t="str">
        <f t="shared" si="42"/>
        <v>1</v>
      </c>
      <c r="C766" t="str">
        <f t="shared" si="43"/>
        <v>33</v>
      </c>
      <c r="D766" t="str">
        <f>"7"</f>
        <v>7</v>
      </c>
      <c r="E766" t="str">
        <f>"1-33-7"</f>
        <v>1-33-7</v>
      </c>
      <c r="F766" t="s">
        <v>83</v>
      </c>
      <c r="G766" t="s">
        <v>84</v>
      </c>
      <c r="H766" t="s">
        <v>85</v>
      </c>
      <c r="AC766">
        <v>0</v>
      </c>
      <c r="AD766">
        <v>0</v>
      </c>
      <c r="AE766">
        <v>0</v>
      </c>
      <c r="AF766">
        <v>0</v>
      </c>
      <c r="AG766">
        <v>0</v>
      </c>
      <c r="AJ766">
        <v>0</v>
      </c>
      <c r="AK766">
        <v>0</v>
      </c>
      <c r="AL766">
        <v>0</v>
      </c>
      <c r="AM766">
        <v>0</v>
      </c>
      <c r="AN766">
        <v>1</v>
      </c>
      <c r="AO766">
        <v>0</v>
      </c>
      <c r="AP766">
        <v>0</v>
      </c>
      <c r="AQ766">
        <v>0</v>
      </c>
      <c r="AR766">
        <v>0</v>
      </c>
      <c r="AS766">
        <v>1</v>
      </c>
      <c r="AT766">
        <v>0</v>
      </c>
      <c r="AV766">
        <v>0</v>
      </c>
      <c r="AW766">
        <v>0</v>
      </c>
    </row>
    <row r="767" spans="1:49" x14ac:dyDescent="0.25">
      <c r="A767" t="str">
        <f>"763"</f>
        <v>763</v>
      </c>
      <c r="B767" t="str">
        <f t="shared" si="42"/>
        <v>1</v>
      </c>
      <c r="C767" t="str">
        <f t="shared" si="43"/>
        <v>33</v>
      </c>
      <c r="D767" t="str">
        <f>"21"</f>
        <v>21</v>
      </c>
      <c r="E767" t="str">
        <f>"1-33-21"</f>
        <v>1-33-21</v>
      </c>
      <c r="F767" t="s">
        <v>83</v>
      </c>
      <c r="G767" t="s">
        <v>84</v>
      </c>
      <c r="H767" t="s">
        <v>92</v>
      </c>
      <c r="I767">
        <v>1</v>
      </c>
      <c r="J767">
        <v>1</v>
      </c>
      <c r="N767">
        <v>1</v>
      </c>
      <c r="O767">
        <v>1</v>
      </c>
      <c r="P767">
        <v>1</v>
      </c>
      <c r="Q767">
        <v>1</v>
      </c>
      <c r="R767">
        <v>1</v>
      </c>
      <c r="S767">
        <v>1</v>
      </c>
      <c r="T767">
        <v>1</v>
      </c>
      <c r="W767">
        <v>1</v>
      </c>
      <c r="X767">
        <v>1</v>
      </c>
      <c r="Y767">
        <v>1</v>
      </c>
      <c r="Z767">
        <v>1</v>
      </c>
      <c r="AA767">
        <v>1</v>
      </c>
      <c r="AB767">
        <v>1</v>
      </c>
    </row>
    <row r="768" spans="1:49" x14ac:dyDescent="0.25">
      <c r="A768" t="str">
        <f>"764"</f>
        <v>764</v>
      </c>
      <c r="B768" t="str">
        <f t="shared" si="42"/>
        <v>1</v>
      </c>
      <c r="C768" t="str">
        <f t="shared" si="43"/>
        <v>33</v>
      </c>
      <c r="D768" t="str">
        <f>"11"</f>
        <v>11</v>
      </c>
      <c r="E768" t="str">
        <f>"1-33-11"</f>
        <v>1-33-11</v>
      </c>
      <c r="F768" t="s">
        <v>83</v>
      </c>
      <c r="G768" t="s">
        <v>86</v>
      </c>
      <c r="H768" t="s">
        <v>93</v>
      </c>
      <c r="I768">
        <v>0</v>
      </c>
      <c r="K768">
        <v>0</v>
      </c>
      <c r="L768">
        <v>0</v>
      </c>
      <c r="M768">
        <v>1</v>
      </c>
      <c r="N768">
        <v>0</v>
      </c>
      <c r="O768">
        <v>0</v>
      </c>
      <c r="P768">
        <v>0</v>
      </c>
      <c r="Q768">
        <v>0</v>
      </c>
      <c r="R768">
        <v>0</v>
      </c>
      <c r="U768">
        <v>0</v>
      </c>
      <c r="V768">
        <v>0</v>
      </c>
      <c r="W768">
        <v>0</v>
      </c>
      <c r="X768">
        <v>0</v>
      </c>
      <c r="Y768">
        <v>0</v>
      </c>
      <c r="Z768">
        <v>0</v>
      </c>
      <c r="AA768">
        <v>0</v>
      </c>
      <c r="AB768">
        <v>0</v>
      </c>
    </row>
    <row r="769" spans="1:49" x14ac:dyDescent="0.25">
      <c r="A769" t="str">
        <f>"765"</f>
        <v>765</v>
      </c>
      <c r="B769" t="str">
        <f t="shared" si="42"/>
        <v>1</v>
      </c>
      <c r="C769" t="str">
        <f t="shared" si="43"/>
        <v>33</v>
      </c>
      <c r="D769" t="str">
        <f>"3"</f>
        <v>3</v>
      </c>
      <c r="E769" t="str">
        <f>"1-33-3"</f>
        <v>1-33-3</v>
      </c>
      <c r="F769" t="s">
        <v>83</v>
      </c>
      <c r="G769" t="s">
        <v>84</v>
      </c>
      <c r="H769" t="s">
        <v>92</v>
      </c>
      <c r="I769">
        <v>1</v>
      </c>
      <c r="J769">
        <v>1</v>
      </c>
      <c r="N769">
        <v>1</v>
      </c>
      <c r="O769">
        <v>1</v>
      </c>
      <c r="P769">
        <v>1</v>
      </c>
      <c r="Q769">
        <v>1</v>
      </c>
      <c r="R769">
        <v>1</v>
      </c>
      <c r="S769">
        <v>1</v>
      </c>
      <c r="T769">
        <v>1</v>
      </c>
      <c r="W769">
        <v>1</v>
      </c>
      <c r="X769">
        <v>1</v>
      </c>
      <c r="Y769">
        <v>1</v>
      </c>
      <c r="Z769">
        <v>1</v>
      </c>
      <c r="AA769">
        <v>1</v>
      </c>
      <c r="AB769">
        <v>1</v>
      </c>
    </row>
    <row r="770" spans="1:49" x14ac:dyDescent="0.25">
      <c r="A770" t="str">
        <f>"766"</f>
        <v>766</v>
      </c>
      <c r="B770" t="str">
        <f t="shared" si="42"/>
        <v>1</v>
      </c>
      <c r="C770" t="str">
        <f t="shared" si="43"/>
        <v>33</v>
      </c>
      <c r="D770" t="str">
        <f>"20"</f>
        <v>20</v>
      </c>
      <c r="E770" t="str">
        <f>"1-33-20"</f>
        <v>1-33-20</v>
      </c>
      <c r="F770" t="s">
        <v>83</v>
      </c>
      <c r="G770" t="s">
        <v>84</v>
      </c>
      <c r="H770" t="s">
        <v>85</v>
      </c>
      <c r="AC770">
        <v>1</v>
      </c>
      <c r="AD770">
        <v>0</v>
      </c>
      <c r="AE770">
        <v>0</v>
      </c>
      <c r="AF770">
        <v>0</v>
      </c>
      <c r="AG770">
        <v>1</v>
      </c>
      <c r="AJ770">
        <v>0</v>
      </c>
      <c r="AK770">
        <v>1</v>
      </c>
      <c r="AL770">
        <v>0</v>
      </c>
      <c r="AM770">
        <v>0</v>
      </c>
      <c r="AN770">
        <v>1</v>
      </c>
      <c r="AO770">
        <v>1</v>
      </c>
      <c r="AP770">
        <v>1</v>
      </c>
      <c r="AQ770">
        <v>1</v>
      </c>
      <c r="AR770">
        <v>1</v>
      </c>
      <c r="AS770">
        <v>0</v>
      </c>
      <c r="AT770">
        <v>1</v>
      </c>
      <c r="AV770">
        <v>1</v>
      </c>
      <c r="AW770">
        <v>1</v>
      </c>
    </row>
    <row r="771" spans="1:49" x14ac:dyDescent="0.25">
      <c r="A771" t="str">
        <f>"767"</f>
        <v>767</v>
      </c>
      <c r="B771" t="str">
        <f t="shared" si="42"/>
        <v>1</v>
      </c>
      <c r="C771" t="str">
        <f t="shared" si="43"/>
        <v>33</v>
      </c>
      <c r="D771" t="str">
        <f>"12"</f>
        <v>12</v>
      </c>
      <c r="E771" t="str">
        <f>"1-33-12"</f>
        <v>1-33-12</v>
      </c>
      <c r="F771" t="s">
        <v>83</v>
      </c>
      <c r="G771" t="s">
        <v>86</v>
      </c>
      <c r="H771" t="s">
        <v>87</v>
      </c>
      <c r="AC771">
        <v>0</v>
      </c>
      <c r="AD771">
        <v>1</v>
      </c>
      <c r="AE771">
        <v>0</v>
      </c>
      <c r="AF771">
        <v>0</v>
      </c>
      <c r="AH771">
        <v>0</v>
      </c>
      <c r="AI771">
        <v>1</v>
      </c>
      <c r="AJ771">
        <v>0</v>
      </c>
      <c r="AK771">
        <v>1</v>
      </c>
      <c r="AL771">
        <v>0</v>
      </c>
      <c r="AM771">
        <v>0</v>
      </c>
      <c r="AN771">
        <v>1</v>
      </c>
      <c r="AO771">
        <v>1</v>
      </c>
      <c r="AP771">
        <v>1</v>
      </c>
      <c r="AQ771">
        <v>1</v>
      </c>
      <c r="AU771">
        <v>1</v>
      </c>
      <c r="AV771">
        <v>1</v>
      </c>
      <c r="AW771">
        <v>1</v>
      </c>
    </row>
    <row r="772" spans="1:49" x14ac:dyDescent="0.25">
      <c r="A772" t="str">
        <f>"768"</f>
        <v>768</v>
      </c>
      <c r="B772" t="str">
        <f t="shared" si="42"/>
        <v>1</v>
      </c>
      <c r="C772" t="str">
        <f t="shared" si="43"/>
        <v>33</v>
      </c>
      <c r="D772" t="str">
        <f>"5"</f>
        <v>5</v>
      </c>
      <c r="E772" t="str">
        <f>"1-33-5"</f>
        <v>1-33-5</v>
      </c>
      <c r="F772" t="s">
        <v>83</v>
      </c>
      <c r="G772" t="s">
        <v>84</v>
      </c>
      <c r="H772" t="s">
        <v>85</v>
      </c>
      <c r="AC772">
        <v>0</v>
      </c>
      <c r="AD772">
        <v>1</v>
      </c>
      <c r="AE772">
        <v>0</v>
      </c>
      <c r="AF772">
        <v>0</v>
      </c>
      <c r="AG772">
        <v>1</v>
      </c>
      <c r="AJ772">
        <v>1</v>
      </c>
      <c r="AK772">
        <v>0</v>
      </c>
      <c r="AL772">
        <v>0</v>
      </c>
      <c r="AM772">
        <v>0</v>
      </c>
      <c r="AN772">
        <v>1</v>
      </c>
      <c r="AO772">
        <v>1</v>
      </c>
      <c r="AP772">
        <v>1</v>
      </c>
      <c r="AQ772">
        <v>1</v>
      </c>
      <c r="AR772">
        <v>1</v>
      </c>
      <c r="AS772">
        <v>0</v>
      </c>
      <c r="AT772">
        <v>1</v>
      </c>
      <c r="AV772">
        <v>1</v>
      </c>
      <c r="AW772">
        <v>1</v>
      </c>
    </row>
    <row r="773" spans="1:49" x14ac:dyDescent="0.25">
      <c r="A773" t="str">
        <f>"769"</f>
        <v>769</v>
      </c>
      <c r="B773" t="str">
        <f t="shared" si="42"/>
        <v>1</v>
      </c>
      <c r="C773" t="str">
        <f t="shared" si="43"/>
        <v>33</v>
      </c>
      <c r="D773" t="str">
        <f>"22"</f>
        <v>22</v>
      </c>
      <c r="E773" t="str">
        <f>"1-33-22"</f>
        <v>1-33-22</v>
      </c>
      <c r="F773" t="s">
        <v>83</v>
      </c>
      <c r="G773" t="s">
        <v>84</v>
      </c>
      <c r="H773" t="s">
        <v>92</v>
      </c>
      <c r="I773">
        <v>1</v>
      </c>
      <c r="J773">
        <v>1</v>
      </c>
      <c r="N773">
        <v>1</v>
      </c>
      <c r="O773">
        <v>1</v>
      </c>
      <c r="P773">
        <v>1</v>
      </c>
      <c r="Q773">
        <v>1</v>
      </c>
      <c r="R773">
        <v>0</v>
      </c>
      <c r="S773">
        <v>1</v>
      </c>
      <c r="T773">
        <v>1</v>
      </c>
      <c r="W773">
        <v>1</v>
      </c>
      <c r="X773">
        <v>1</v>
      </c>
      <c r="Y773">
        <v>1</v>
      </c>
      <c r="Z773">
        <v>1</v>
      </c>
      <c r="AA773">
        <v>1</v>
      </c>
      <c r="AB773">
        <v>1</v>
      </c>
    </row>
    <row r="774" spans="1:49" x14ac:dyDescent="0.25">
      <c r="A774" t="str">
        <f>"770"</f>
        <v>770</v>
      </c>
      <c r="B774" t="str">
        <f t="shared" si="42"/>
        <v>1</v>
      </c>
      <c r="C774" t="str">
        <f t="shared" si="43"/>
        <v>33</v>
      </c>
      <c r="D774" t="str">
        <f>"14"</f>
        <v>14</v>
      </c>
      <c r="E774" t="str">
        <f>"1-33-14"</f>
        <v>1-33-14</v>
      </c>
      <c r="F774" t="s">
        <v>83</v>
      </c>
      <c r="G774" t="s">
        <v>84</v>
      </c>
      <c r="H774" t="s">
        <v>85</v>
      </c>
      <c r="AC774">
        <v>0</v>
      </c>
      <c r="AD774">
        <v>1</v>
      </c>
      <c r="AE774">
        <v>0</v>
      </c>
      <c r="AF774">
        <v>0</v>
      </c>
      <c r="AG774">
        <v>0</v>
      </c>
      <c r="AJ774">
        <v>0</v>
      </c>
      <c r="AK774">
        <v>1</v>
      </c>
      <c r="AL774">
        <v>0</v>
      </c>
      <c r="AM774">
        <v>1</v>
      </c>
      <c r="AN774">
        <v>0</v>
      </c>
      <c r="AO774">
        <v>1</v>
      </c>
      <c r="AP774">
        <v>1</v>
      </c>
      <c r="AQ774">
        <v>1</v>
      </c>
      <c r="AR774">
        <v>1</v>
      </c>
      <c r="AS774">
        <v>0</v>
      </c>
      <c r="AT774">
        <v>1</v>
      </c>
      <c r="AV774">
        <v>1</v>
      </c>
      <c r="AW774">
        <v>1</v>
      </c>
    </row>
    <row r="775" spans="1:49" x14ac:dyDescent="0.25">
      <c r="A775" t="str">
        <f>"771"</f>
        <v>771</v>
      </c>
      <c r="B775" t="str">
        <f t="shared" si="42"/>
        <v>1</v>
      </c>
      <c r="C775" t="str">
        <f t="shared" si="43"/>
        <v>33</v>
      </c>
      <c r="D775" t="str">
        <f>"4"</f>
        <v>4</v>
      </c>
      <c r="E775" t="str">
        <f>"1-33-4"</f>
        <v>1-33-4</v>
      </c>
      <c r="F775" t="s">
        <v>83</v>
      </c>
      <c r="G775" t="s">
        <v>86</v>
      </c>
      <c r="H775" t="s">
        <v>87</v>
      </c>
      <c r="AC775">
        <v>1</v>
      </c>
      <c r="AD775">
        <v>0</v>
      </c>
      <c r="AE775">
        <v>0</v>
      </c>
      <c r="AF775">
        <v>0</v>
      </c>
      <c r="AH775">
        <v>1</v>
      </c>
      <c r="AI775">
        <v>0</v>
      </c>
      <c r="AJ775">
        <v>0</v>
      </c>
      <c r="AK775">
        <v>1</v>
      </c>
      <c r="AL775">
        <v>1</v>
      </c>
      <c r="AM775">
        <v>0</v>
      </c>
      <c r="AN775">
        <v>0</v>
      </c>
      <c r="AO775">
        <v>1</v>
      </c>
      <c r="AP775">
        <v>1</v>
      </c>
      <c r="AQ775">
        <v>1</v>
      </c>
      <c r="AU775">
        <v>1</v>
      </c>
      <c r="AV775">
        <v>1</v>
      </c>
      <c r="AW775">
        <v>1</v>
      </c>
    </row>
    <row r="776" spans="1:49" x14ac:dyDescent="0.25">
      <c r="A776" t="str">
        <f>"772"</f>
        <v>772</v>
      </c>
      <c r="B776" t="str">
        <f t="shared" si="42"/>
        <v>1</v>
      </c>
      <c r="C776" t="str">
        <f t="shared" si="43"/>
        <v>33</v>
      </c>
      <c r="D776" t="str">
        <f>"23"</f>
        <v>23</v>
      </c>
      <c r="E776" t="str">
        <f>"1-33-23"</f>
        <v>1-33-23</v>
      </c>
      <c r="F776" t="s">
        <v>83</v>
      </c>
      <c r="G776" t="s">
        <v>84</v>
      </c>
      <c r="H776" t="s">
        <v>85</v>
      </c>
      <c r="AC776">
        <v>0</v>
      </c>
      <c r="AD776">
        <v>1</v>
      </c>
      <c r="AE776">
        <v>0</v>
      </c>
      <c r="AF776">
        <v>0</v>
      </c>
      <c r="AG776">
        <v>1</v>
      </c>
      <c r="AJ776">
        <v>1</v>
      </c>
      <c r="AK776">
        <v>0</v>
      </c>
      <c r="AL776">
        <v>1</v>
      </c>
      <c r="AM776">
        <v>0</v>
      </c>
      <c r="AN776">
        <v>0</v>
      </c>
      <c r="AO776">
        <v>1</v>
      </c>
      <c r="AP776">
        <v>1</v>
      </c>
      <c r="AQ776">
        <v>1</v>
      </c>
      <c r="AR776">
        <v>1</v>
      </c>
      <c r="AS776">
        <v>0</v>
      </c>
      <c r="AT776">
        <v>1</v>
      </c>
      <c r="AV776">
        <v>1</v>
      </c>
      <c r="AW776">
        <v>1</v>
      </c>
    </row>
    <row r="777" spans="1:49" x14ac:dyDescent="0.25">
      <c r="A777" t="str">
        <f>"773"</f>
        <v>773</v>
      </c>
      <c r="B777" t="str">
        <f t="shared" si="42"/>
        <v>1</v>
      </c>
      <c r="C777" t="str">
        <f t="shared" si="43"/>
        <v>33</v>
      </c>
      <c r="D777" t="str">
        <f>"15"</f>
        <v>15</v>
      </c>
      <c r="E777" t="str">
        <f>"1-33-15"</f>
        <v>1-33-15</v>
      </c>
      <c r="F777" t="s">
        <v>83</v>
      </c>
      <c r="G777" t="s">
        <v>84</v>
      </c>
      <c r="H777" t="s">
        <v>85</v>
      </c>
      <c r="AC777">
        <v>0</v>
      </c>
      <c r="AD777">
        <v>0</v>
      </c>
      <c r="AE777">
        <v>0</v>
      </c>
      <c r="AF777">
        <v>0</v>
      </c>
      <c r="AG777">
        <v>1</v>
      </c>
      <c r="AJ777">
        <v>0</v>
      </c>
      <c r="AK777">
        <v>1</v>
      </c>
      <c r="AL777">
        <v>0</v>
      </c>
      <c r="AM777">
        <v>1</v>
      </c>
      <c r="AN777">
        <v>0</v>
      </c>
      <c r="AO777">
        <v>1</v>
      </c>
      <c r="AP777">
        <v>1</v>
      </c>
      <c r="AQ777">
        <v>1</v>
      </c>
      <c r="AR777">
        <v>1</v>
      </c>
      <c r="AS777">
        <v>1</v>
      </c>
      <c r="AT777">
        <v>0</v>
      </c>
      <c r="AV777">
        <v>1</v>
      </c>
      <c r="AW777">
        <v>1</v>
      </c>
    </row>
    <row r="778" spans="1:49" x14ac:dyDescent="0.25">
      <c r="A778" t="str">
        <f>"774"</f>
        <v>774</v>
      </c>
      <c r="B778" t="str">
        <f t="shared" si="42"/>
        <v>1</v>
      </c>
      <c r="C778" t="str">
        <f t="shared" si="43"/>
        <v>33</v>
      </c>
      <c r="D778" t="str">
        <f>"6"</f>
        <v>6</v>
      </c>
      <c r="E778" t="str">
        <f>"1-33-6"</f>
        <v>1-33-6</v>
      </c>
      <c r="F778" t="s">
        <v>83</v>
      </c>
      <c r="G778" t="s">
        <v>84</v>
      </c>
      <c r="H778" t="s">
        <v>85</v>
      </c>
      <c r="AC778">
        <v>0</v>
      </c>
      <c r="AD778">
        <v>1</v>
      </c>
      <c r="AE778">
        <v>0</v>
      </c>
      <c r="AF778">
        <v>0</v>
      </c>
      <c r="AG778">
        <v>1</v>
      </c>
      <c r="AJ778">
        <v>0</v>
      </c>
      <c r="AK778">
        <v>1</v>
      </c>
      <c r="AL778">
        <v>0</v>
      </c>
      <c r="AM778">
        <v>0</v>
      </c>
      <c r="AN778">
        <v>1</v>
      </c>
      <c r="AO778">
        <v>1</v>
      </c>
      <c r="AP778">
        <v>1</v>
      </c>
      <c r="AQ778">
        <v>1</v>
      </c>
      <c r="AR778">
        <v>1</v>
      </c>
      <c r="AS778">
        <v>0</v>
      </c>
      <c r="AT778">
        <v>1</v>
      </c>
      <c r="AV778">
        <v>1</v>
      </c>
      <c r="AW778">
        <v>1</v>
      </c>
    </row>
    <row r="779" spans="1:49" x14ac:dyDescent="0.25">
      <c r="A779" t="str">
        <f>"775"</f>
        <v>775</v>
      </c>
      <c r="B779" t="str">
        <f t="shared" si="42"/>
        <v>1</v>
      </c>
      <c r="C779" t="str">
        <f t="shared" si="43"/>
        <v>33</v>
      </c>
      <c r="D779" t="str">
        <f>"1"</f>
        <v>1</v>
      </c>
      <c r="E779" t="str">
        <f>"1-33-1"</f>
        <v>1-33-1</v>
      </c>
      <c r="F779" t="s">
        <v>83</v>
      </c>
      <c r="G779" t="s">
        <v>84</v>
      </c>
      <c r="H779" t="s">
        <v>85</v>
      </c>
      <c r="AC779">
        <v>0</v>
      </c>
      <c r="AD779">
        <v>0</v>
      </c>
      <c r="AE779">
        <v>0</v>
      </c>
      <c r="AF779">
        <v>0</v>
      </c>
      <c r="AG779">
        <v>0</v>
      </c>
      <c r="AJ779">
        <v>0</v>
      </c>
      <c r="AK779">
        <v>0</v>
      </c>
      <c r="AL779">
        <v>0</v>
      </c>
      <c r="AM779">
        <v>0</v>
      </c>
      <c r="AN779">
        <v>0</v>
      </c>
      <c r="AO779">
        <v>0</v>
      </c>
      <c r="AP779">
        <v>0</v>
      </c>
      <c r="AQ779">
        <v>0</v>
      </c>
      <c r="AR779">
        <v>0</v>
      </c>
      <c r="AS779">
        <v>0</v>
      </c>
      <c r="AT779">
        <v>0</v>
      </c>
      <c r="AV779">
        <v>0</v>
      </c>
      <c r="AW779">
        <v>0</v>
      </c>
    </row>
    <row r="780" spans="1:49" x14ac:dyDescent="0.25">
      <c r="A780" t="str">
        <f>"776"</f>
        <v>776</v>
      </c>
      <c r="B780" t="str">
        <f t="shared" si="42"/>
        <v>1</v>
      </c>
      <c r="C780" t="str">
        <f t="shared" ref="C780:C802" si="44">"34"</f>
        <v>34</v>
      </c>
      <c r="D780" t="str">
        <f>"17"</f>
        <v>17</v>
      </c>
      <c r="E780" t="str">
        <f>"1-34-17"</f>
        <v>1-34-17</v>
      </c>
      <c r="F780" t="s">
        <v>83</v>
      </c>
      <c r="G780" t="s">
        <v>84</v>
      </c>
      <c r="H780" t="s">
        <v>92</v>
      </c>
      <c r="I780">
        <v>1</v>
      </c>
      <c r="J780">
        <v>1</v>
      </c>
      <c r="N780">
        <v>1</v>
      </c>
      <c r="O780">
        <v>1</v>
      </c>
      <c r="P780">
        <v>1</v>
      </c>
      <c r="Q780">
        <v>1</v>
      </c>
      <c r="R780">
        <v>1</v>
      </c>
      <c r="S780">
        <v>1</v>
      </c>
      <c r="T780">
        <v>1</v>
      </c>
      <c r="W780">
        <v>1</v>
      </c>
      <c r="X780">
        <v>1</v>
      </c>
      <c r="Y780">
        <v>1</v>
      </c>
      <c r="Z780">
        <v>1</v>
      </c>
      <c r="AA780">
        <v>1</v>
      </c>
      <c r="AB780">
        <v>1</v>
      </c>
    </row>
    <row r="781" spans="1:49" x14ac:dyDescent="0.25">
      <c r="A781" t="str">
        <f>"777"</f>
        <v>777</v>
      </c>
      <c r="B781" t="str">
        <f t="shared" si="42"/>
        <v>1</v>
      </c>
      <c r="C781" t="str">
        <f t="shared" si="44"/>
        <v>34</v>
      </c>
      <c r="D781" t="str">
        <f>"11"</f>
        <v>11</v>
      </c>
      <c r="E781" t="str">
        <f>"1-34-11"</f>
        <v>1-34-11</v>
      </c>
      <c r="F781" t="s">
        <v>83</v>
      </c>
      <c r="G781" t="s">
        <v>84</v>
      </c>
      <c r="H781" t="s">
        <v>85</v>
      </c>
      <c r="AC781">
        <v>0</v>
      </c>
      <c r="AD781">
        <v>1</v>
      </c>
      <c r="AE781">
        <v>0</v>
      </c>
      <c r="AF781">
        <v>0</v>
      </c>
      <c r="AG781">
        <v>1</v>
      </c>
      <c r="AJ781">
        <v>1</v>
      </c>
      <c r="AK781">
        <v>0</v>
      </c>
      <c r="AL781">
        <v>0</v>
      </c>
      <c r="AM781">
        <v>1</v>
      </c>
      <c r="AN781">
        <v>0</v>
      </c>
      <c r="AO781">
        <v>1</v>
      </c>
      <c r="AP781">
        <v>1</v>
      </c>
      <c r="AQ781">
        <v>1</v>
      </c>
      <c r="AR781">
        <v>1</v>
      </c>
      <c r="AS781">
        <v>1</v>
      </c>
      <c r="AT781">
        <v>0</v>
      </c>
      <c r="AV781">
        <v>1</v>
      </c>
      <c r="AW781">
        <v>1</v>
      </c>
    </row>
    <row r="782" spans="1:49" x14ac:dyDescent="0.25">
      <c r="A782" t="str">
        <f>"778"</f>
        <v>778</v>
      </c>
      <c r="B782" t="str">
        <f t="shared" si="42"/>
        <v>1</v>
      </c>
      <c r="C782" t="str">
        <f t="shared" si="44"/>
        <v>34</v>
      </c>
      <c r="D782" t="str">
        <f>"8"</f>
        <v>8</v>
      </c>
      <c r="E782" t="str">
        <f>"1-34-8"</f>
        <v>1-34-8</v>
      </c>
      <c r="F782" t="s">
        <v>83</v>
      </c>
      <c r="G782" t="s">
        <v>84</v>
      </c>
      <c r="H782" t="s">
        <v>92</v>
      </c>
      <c r="I782">
        <v>1</v>
      </c>
      <c r="J782">
        <v>1</v>
      </c>
      <c r="N782">
        <v>1</v>
      </c>
      <c r="O782">
        <v>0</v>
      </c>
      <c r="P782">
        <v>0</v>
      </c>
      <c r="Q782">
        <v>0</v>
      </c>
      <c r="R782">
        <v>0</v>
      </c>
      <c r="S782">
        <v>1</v>
      </c>
      <c r="T782">
        <v>0</v>
      </c>
      <c r="W782">
        <v>1</v>
      </c>
      <c r="X782">
        <v>1</v>
      </c>
      <c r="Y782">
        <v>1</v>
      </c>
      <c r="Z782">
        <v>1</v>
      </c>
      <c r="AA782">
        <v>0</v>
      </c>
      <c r="AB782">
        <v>0</v>
      </c>
    </row>
    <row r="783" spans="1:49" x14ac:dyDescent="0.25">
      <c r="A783" t="str">
        <f>"779"</f>
        <v>779</v>
      </c>
      <c r="B783" t="str">
        <f t="shared" si="42"/>
        <v>1</v>
      </c>
      <c r="C783" t="str">
        <f t="shared" si="44"/>
        <v>34</v>
      </c>
      <c r="D783" t="str">
        <f>"1"</f>
        <v>1</v>
      </c>
      <c r="E783" t="str">
        <f>"1-34-1"</f>
        <v>1-34-1</v>
      </c>
      <c r="F783" t="s">
        <v>83</v>
      </c>
      <c r="G783" t="s">
        <v>84</v>
      </c>
      <c r="H783" t="s">
        <v>92</v>
      </c>
      <c r="I783">
        <v>1</v>
      </c>
      <c r="J783">
        <v>1</v>
      </c>
      <c r="N783">
        <v>1</v>
      </c>
      <c r="O783">
        <v>1</v>
      </c>
      <c r="P783">
        <v>1</v>
      </c>
      <c r="Q783">
        <v>1</v>
      </c>
      <c r="R783">
        <v>1</v>
      </c>
      <c r="S783">
        <v>1</v>
      </c>
      <c r="T783">
        <v>1</v>
      </c>
      <c r="W783">
        <v>1</v>
      </c>
      <c r="X783">
        <v>1</v>
      </c>
      <c r="Y783">
        <v>1</v>
      </c>
      <c r="Z783">
        <v>1</v>
      </c>
      <c r="AA783">
        <v>1</v>
      </c>
      <c r="AB783">
        <v>1</v>
      </c>
    </row>
    <row r="784" spans="1:49" x14ac:dyDescent="0.25">
      <c r="A784" t="str">
        <f>"780"</f>
        <v>780</v>
      </c>
      <c r="B784" t="str">
        <f t="shared" si="42"/>
        <v>1</v>
      </c>
      <c r="C784" t="str">
        <f t="shared" si="44"/>
        <v>34</v>
      </c>
      <c r="D784" t="str">
        <f>"18"</f>
        <v>18</v>
      </c>
      <c r="E784" t="str">
        <f>"1-34-18"</f>
        <v>1-34-18</v>
      </c>
      <c r="F784" t="s">
        <v>83</v>
      </c>
      <c r="G784" t="s">
        <v>84</v>
      </c>
      <c r="H784" t="s">
        <v>85</v>
      </c>
      <c r="AC784">
        <v>0</v>
      </c>
      <c r="AD784">
        <v>1</v>
      </c>
      <c r="AE784">
        <v>0</v>
      </c>
      <c r="AF784">
        <v>0</v>
      </c>
      <c r="AG784">
        <v>1</v>
      </c>
      <c r="AJ784">
        <v>1</v>
      </c>
      <c r="AK784">
        <v>0</v>
      </c>
      <c r="AL784">
        <v>1</v>
      </c>
      <c r="AM784">
        <v>0</v>
      </c>
      <c r="AN784">
        <v>0</v>
      </c>
      <c r="AO784">
        <v>1</v>
      </c>
      <c r="AP784">
        <v>1</v>
      </c>
      <c r="AQ784">
        <v>1</v>
      </c>
      <c r="AR784">
        <v>1</v>
      </c>
      <c r="AS784">
        <v>1</v>
      </c>
      <c r="AT784">
        <v>0</v>
      </c>
      <c r="AV784">
        <v>1</v>
      </c>
      <c r="AW784">
        <v>1</v>
      </c>
    </row>
    <row r="785" spans="1:49" x14ac:dyDescent="0.25">
      <c r="A785" t="str">
        <f>"781"</f>
        <v>781</v>
      </c>
      <c r="B785" t="str">
        <f t="shared" si="42"/>
        <v>1</v>
      </c>
      <c r="C785" t="str">
        <f t="shared" si="44"/>
        <v>34</v>
      </c>
      <c r="D785" t="str">
        <f>"9"</f>
        <v>9</v>
      </c>
      <c r="E785" t="str">
        <f>"1-34-9"</f>
        <v>1-34-9</v>
      </c>
      <c r="F785" t="s">
        <v>83</v>
      </c>
      <c r="G785" t="s">
        <v>84</v>
      </c>
      <c r="H785" t="s">
        <v>92</v>
      </c>
      <c r="I785">
        <v>1</v>
      </c>
      <c r="J785">
        <v>1</v>
      </c>
      <c r="N785">
        <v>1</v>
      </c>
      <c r="O785">
        <v>1</v>
      </c>
      <c r="P785">
        <v>1</v>
      </c>
      <c r="Q785">
        <v>1</v>
      </c>
      <c r="R785">
        <v>1</v>
      </c>
      <c r="S785">
        <v>1</v>
      </c>
      <c r="T785">
        <v>1</v>
      </c>
      <c r="W785">
        <v>1</v>
      </c>
      <c r="X785">
        <v>1</v>
      </c>
      <c r="Y785">
        <v>1</v>
      </c>
      <c r="Z785">
        <v>1</v>
      </c>
      <c r="AA785">
        <v>1</v>
      </c>
      <c r="AB785">
        <v>1</v>
      </c>
    </row>
    <row r="786" spans="1:49" x14ac:dyDescent="0.25">
      <c r="A786" t="str">
        <f>"782"</f>
        <v>782</v>
      </c>
      <c r="B786" t="str">
        <f t="shared" si="42"/>
        <v>1</v>
      </c>
      <c r="C786" t="str">
        <f t="shared" si="44"/>
        <v>34</v>
      </c>
      <c r="D786" t="str">
        <f>"5"</f>
        <v>5</v>
      </c>
      <c r="E786" t="str">
        <f>"1-34-5"</f>
        <v>1-34-5</v>
      </c>
      <c r="F786" t="s">
        <v>83</v>
      </c>
      <c r="G786" t="s">
        <v>84</v>
      </c>
      <c r="H786" t="s">
        <v>92</v>
      </c>
      <c r="I786">
        <v>1</v>
      </c>
      <c r="J786">
        <v>1</v>
      </c>
      <c r="N786">
        <v>1</v>
      </c>
      <c r="O786">
        <v>1</v>
      </c>
      <c r="P786">
        <v>1</v>
      </c>
      <c r="Q786">
        <v>1</v>
      </c>
      <c r="R786">
        <v>1</v>
      </c>
      <c r="S786">
        <v>1</v>
      </c>
      <c r="T786">
        <v>1</v>
      </c>
      <c r="W786">
        <v>1</v>
      </c>
      <c r="X786">
        <v>1</v>
      </c>
      <c r="Y786">
        <v>1</v>
      </c>
      <c r="Z786">
        <v>1</v>
      </c>
      <c r="AA786">
        <v>1</v>
      </c>
      <c r="AB786">
        <v>1</v>
      </c>
    </row>
    <row r="787" spans="1:49" x14ac:dyDescent="0.25">
      <c r="A787" t="str">
        <f>"783"</f>
        <v>783</v>
      </c>
      <c r="B787" t="str">
        <f t="shared" si="42"/>
        <v>1</v>
      </c>
      <c r="C787" t="str">
        <f t="shared" si="44"/>
        <v>34</v>
      </c>
      <c r="D787" t="str">
        <f>"19"</f>
        <v>19</v>
      </c>
      <c r="E787" t="str">
        <f>"1-34-19"</f>
        <v>1-34-19</v>
      </c>
      <c r="F787" t="s">
        <v>83</v>
      </c>
      <c r="G787" t="s">
        <v>88</v>
      </c>
      <c r="H787" t="s">
        <v>89</v>
      </c>
      <c r="AC787">
        <v>0</v>
      </c>
      <c r="AD787">
        <v>1</v>
      </c>
      <c r="AE787">
        <v>0</v>
      </c>
      <c r="AF787">
        <v>0</v>
      </c>
      <c r="AH787">
        <v>0</v>
      </c>
      <c r="AI787">
        <v>1</v>
      </c>
      <c r="AJ787">
        <v>0</v>
      </c>
      <c r="AK787">
        <v>1</v>
      </c>
      <c r="AL787">
        <v>0</v>
      </c>
      <c r="AM787">
        <v>0</v>
      </c>
      <c r="AN787">
        <v>1</v>
      </c>
      <c r="AO787">
        <v>1</v>
      </c>
      <c r="AP787">
        <v>1</v>
      </c>
      <c r="AQ787">
        <v>1</v>
      </c>
      <c r="AR787">
        <v>1</v>
      </c>
      <c r="AS787">
        <v>0</v>
      </c>
      <c r="AT787">
        <v>1</v>
      </c>
      <c r="AV787">
        <v>1</v>
      </c>
      <c r="AW787">
        <v>1</v>
      </c>
    </row>
    <row r="788" spans="1:49" x14ac:dyDescent="0.25">
      <c r="A788" t="str">
        <f>"784"</f>
        <v>784</v>
      </c>
      <c r="B788" t="str">
        <f t="shared" si="42"/>
        <v>1</v>
      </c>
      <c r="C788" t="str">
        <f t="shared" si="44"/>
        <v>34</v>
      </c>
      <c r="D788" t="str">
        <f>"10"</f>
        <v>10</v>
      </c>
      <c r="E788" t="str">
        <f>"1-34-10"</f>
        <v>1-34-10</v>
      </c>
      <c r="F788" t="s">
        <v>83</v>
      </c>
      <c r="G788" t="s">
        <v>84</v>
      </c>
      <c r="H788" t="s">
        <v>85</v>
      </c>
      <c r="AC788">
        <v>0</v>
      </c>
      <c r="AD788">
        <v>1</v>
      </c>
      <c r="AE788">
        <v>0</v>
      </c>
      <c r="AF788">
        <v>0</v>
      </c>
      <c r="AG788">
        <v>1</v>
      </c>
      <c r="AJ788">
        <v>0</v>
      </c>
      <c r="AK788">
        <v>1</v>
      </c>
      <c r="AL788">
        <v>0</v>
      </c>
      <c r="AM788">
        <v>0</v>
      </c>
      <c r="AN788">
        <v>1</v>
      </c>
      <c r="AO788">
        <v>1</v>
      </c>
      <c r="AP788">
        <v>1</v>
      </c>
      <c r="AQ788">
        <v>1</v>
      </c>
      <c r="AR788">
        <v>1</v>
      </c>
      <c r="AS788">
        <v>0</v>
      </c>
      <c r="AT788">
        <v>1</v>
      </c>
      <c r="AV788">
        <v>1</v>
      </c>
      <c r="AW788">
        <v>1</v>
      </c>
    </row>
    <row r="789" spans="1:49" x14ac:dyDescent="0.25">
      <c r="A789" t="str">
        <f>"785"</f>
        <v>785</v>
      </c>
      <c r="B789" t="str">
        <f t="shared" si="42"/>
        <v>1</v>
      </c>
      <c r="C789" t="str">
        <f t="shared" si="44"/>
        <v>34</v>
      </c>
      <c r="D789" t="str">
        <f>"3"</f>
        <v>3</v>
      </c>
      <c r="E789" t="str">
        <f>"1-34-3"</f>
        <v>1-34-3</v>
      </c>
      <c r="F789" t="s">
        <v>83</v>
      </c>
      <c r="G789" t="s">
        <v>84</v>
      </c>
      <c r="H789" t="s">
        <v>85</v>
      </c>
      <c r="AC789">
        <v>0</v>
      </c>
      <c r="AD789">
        <v>1</v>
      </c>
      <c r="AE789">
        <v>0</v>
      </c>
      <c r="AF789">
        <v>0</v>
      </c>
      <c r="AG789">
        <v>1</v>
      </c>
      <c r="AJ789">
        <v>1</v>
      </c>
      <c r="AK789">
        <v>0</v>
      </c>
      <c r="AL789">
        <v>0</v>
      </c>
      <c r="AM789">
        <v>0</v>
      </c>
      <c r="AN789">
        <v>1</v>
      </c>
      <c r="AO789">
        <v>1</v>
      </c>
      <c r="AP789">
        <v>1</v>
      </c>
      <c r="AQ789">
        <v>1</v>
      </c>
      <c r="AR789">
        <v>1</v>
      </c>
      <c r="AS789">
        <v>0</v>
      </c>
      <c r="AT789">
        <v>1</v>
      </c>
      <c r="AV789">
        <v>1</v>
      </c>
      <c r="AW789">
        <v>1</v>
      </c>
    </row>
    <row r="790" spans="1:49" x14ac:dyDescent="0.25">
      <c r="A790" t="str">
        <f>"786"</f>
        <v>786</v>
      </c>
      <c r="B790" t="str">
        <f t="shared" si="42"/>
        <v>1</v>
      </c>
      <c r="C790" t="str">
        <f t="shared" si="44"/>
        <v>34</v>
      </c>
      <c r="D790" t="str">
        <f>"20"</f>
        <v>20</v>
      </c>
      <c r="E790" t="str">
        <f>"1-34-20"</f>
        <v>1-34-20</v>
      </c>
      <c r="F790" t="s">
        <v>83</v>
      </c>
      <c r="G790" t="s">
        <v>84</v>
      </c>
      <c r="H790" t="s">
        <v>85</v>
      </c>
      <c r="AC790">
        <v>1</v>
      </c>
      <c r="AD790">
        <v>0</v>
      </c>
      <c r="AE790">
        <v>0</v>
      </c>
      <c r="AF790">
        <v>0</v>
      </c>
      <c r="AG790">
        <v>1</v>
      </c>
      <c r="AJ790">
        <v>1</v>
      </c>
      <c r="AK790">
        <v>0</v>
      </c>
      <c r="AL790">
        <v>0</v>
      </c>
      <c r="AM790">
        <v>1</v>
      </c>
      <c r="AN790">
        <v>0</v>
      </c>
      <c r="AO790">
        <v>1</v>
      </c>
      <c r="AP790">
        <v>1</v>
      </c>
      <c r="AQ790">
        <v>1</v>
      </c>
      <c r="AR790">
        <v>1</v>
      </c>
      <c r="AS790">
        <v>1</v>
      </c>
      <c r="AT790">
        <v>0</v>
      </c>
      <c r="AV790">
        <v>1</v>
      </c>
      <c r="AW790">
        <v>1</v>
      </c>
    </row>
    <row r="791" spans="1:49" x14ac:dyDescent="0.25">
      <c r="A791" t="str">
        <f>"787"</f>
        <v>787</v>
      </c>
      <c r="B791" t="str">
        <f t="shared" si="42"/>
        <v>1</v>
      </c>
      <c r="C791" t="str">
        <f t="shared" si="44"/>
        <v>34</v>
      </c>
      <c r="D791" t="str">
        <f>"12"</f>
        <v>12</v>
      </c>
      <c r="E791" t="str">
        <f>"1-34-12"</f>
        <v>1-34-12</v>
      </c>
      <c r="F791" t="s">
        <v>83</v>
      </c>
      <c r="G791" t="s">
        <v>84</v>
      </c>
      <c r="H791" t="s">
        <v>92</v>
      </c>
      <c r="I791">
        <v>1</v>
      </c>
      <c r="J791">
        <v>1</v>
      </c>
      <c r="N791">
        <v>1</v>
      </c>
      <c r="O791">
        <v>1</v>
      </c>
      <c r="P791">
        <v>1</v>
      </c>
      <c r="Q791">
        <v>1</v>
      </c>
      <c r="R791">
        <v>1</v>
      </c>
      <c r="S791">
        <v>1</v>
      </c>
      <c r="T791">
        <v>1</v>
      </c>
      <c r="W791">
        <v>1</v>
      </c>
      <c r="X791">
        <v>1</v>
      </c>
      <c r="Y791">
        <v>1</v>
      </c>
      <c r="Z791">
        <v>1</v>
      </c>
      <c r="AA791">
        <v>1</v>
      </c>
      <c r="AB791">
        <v>1</v>
      </c>
    </row>
    <row r="792" spans="1:49" x14ac:dyDescent="0.25">
      <c r="A792" t="str">
        <f>"788"</f>
        <v>788</v>
      </c>
      <c r="B792" t="str">
        <f t="shared" si="42"/>
        <v>1</v>
      </c>
      <c r="C792" t="str">
        <f t="shared" si="44"/>
        <v>34</v>
      </c>
      <c r="D792" t="str">
        <f>"2"</f>
        <v>2</v>
      </c>
      <c r="E792" t="str">
        <f>"1-34-2"</f>
        <v>1-34-2</v>
      </c>
      <c r="F792" t="s">
        <v>83</v>
      </c>
      <c r="G792" t="s">
        <v>84</v>
      </c>
      <c r="H792" t="s">
        <v>92</v>
      </c>
      <c r="I792">
        <v>1</v>
      </c>
      <c r="J792">
        <v>1</v>
      </c>
      <c r="N792">
        <v>1</v>
      </c>
      <c r="O792">
        <v>1</v>
      </c>
      <c r="P792">
        <v>1</v>
      </c>
      <c r="Q792">
        <v>1</v>
      </c>
      <c r="R792">
        <v>1</v>
      </c>
      <c r="S792">
        <v>1</v>
      </c>
      <c r="T792">
        <v>1</v>
      </c>
      <c r="W792">
        <v>1</v>
      </c>
      <c r="X792">
        <v>1</v>
      </c>
      <c r="Y792">
        <v>1</v>
      </c>
      <c r="Z792">
        <v>1</v>
      </c>
      <c r="AA792">
        <v>1</v>
      </c>
      <c r="AB792">
        <v>1</v>
      </c>
    </row>
    <row r="793" spans="1:49" x14ac:dyDescent="0.25">
      <c r="A793" t="str">
        <f>"789"</f>
        <v>789</v>
      </c>
      <c r="B793" t="str">
        <f t="shared" si="42"/>
        <v>1</v>
      </c>
      <c r="C793" t="str">
        <f t="shared" si="44"/>
        <v>34</v>
      </c>
      <c r="D793" t="str">
        <f>"21"</f>
        <v>21</v>
      </c>
      <c r="E793" t="str">
        <f>"1-34-21"</f>
        <v>1-34-21</v>
      </c>
      <c r="F793" t="s">
        <v>83</v>
      </c>
      <c r="G793" t="s">
        <v>84</v>
      </c>
      <c r="H793" t="s">
        <v>92</v>
      </c>
      <c r="I793">
        <v>1</v>
      </c>
      <c r="J793">
        <v>1</v>
      </c>
      <c r="N793">
        <v>1</v>
      </c>
      <c r="O793">
        <v>1</v>
      </c>
      <c r="P793">
        <v>1</v>
      </c>
      <c r="Q793">
        <v>1</v>
      </c>
      <c r="R793">
        <v>1</v>
      </c>
      <c r="S793">
        <v>1</v>
      </c>
      <c r="T793">
        <v>1</v>
      </c>
      <c r="W793">
        <v>1</v>
      </c>
      <c r="X793">
        <v>1</v>
      </c>
      <c r="Y793">
        <v>1</v>
      </c>
      <c r="Z793">
        <v>1</v>
      </c>
      <c r="AA793">
        <v>1</v>
      </c>
      <c r="AB793">
        <v>1</v>
      </c>
    </row>
    <row r="794" spans="1:49" x14ac:dyDescent="0.25">
      <c r="A794" t="str">
        <f>"790"</f>
        <v>790</v>
      </c>
      <c r="B794" t="str">
        <f t="shared" si="42"/>
        <v>1</v>
      </c>
      <c r="C794" t="str">
        <f t="shared" si="44"/>
        <v>34</v>
      </c>
      <c r="D794" t="str">
        <f>"13"</f>
        <v>13</v>
      </c>
      <c r="E794" t="str">
        <f>"1-34-13"</f>
        <v>1-34-13</v>
      </c>
      <c r="F794" t="s">
        <v>83</v>
      </c>
      <c r="G794" t="s">
        <v>84</v>
      </c>
      <c r="H794" t="s">
        <v>92</v>
      </c>
      <c r="I794">
        <v>1</v>
      </c>
      <c r="J794">
        <v>1</v>
      </c>
      <c r="N794">
        <v>1</v>
      </c>
      <c r="O794">
        <v>1</v>
      </c>
      <c r="P794">
        <v>1</v>
      </c>
      <c r="Q794">
        <v>1</v>
      </c>
      <c r="R794">
        <v>1</v>
      </c>
      <c r="S794">
        <v>1</v>
      </c>
      <c r="T794">
        <v>1</v>
      </c>
      <c r="W794">
        <v>1</v>
      </c>
      <c r="X794">
        <v>1</v>
      </c>
      <c r="Y794">
        <v>1</v>
      </c>
      <c r="Z794">
        <v>1</v>
      </c>
      <c r="AA794">
        <v>1</v>
      </c>
      <c r="AB794">
        <v>1</v>
      </c>
    </row>
    <row r="795" spans="1:49" x14ac:dyDescent="0.25">
      <c r="A795" t="str">
        <f>"791"</f>
        <v>791</v>
      </c>
      <c r="B795" t="str">
        <f t="shared" si="42"/>
        <v>1</v>
      </c>
      <c r="C795" t="str">
        <f t="shared" si="44"/>
        <v>34</v>
      </c>
      <c r="D795" t="str">
        <f>"6"</f>
        <v>6</v>
      </c>
      <c r="E795" t="str">
        <f>"1-34-6"</f>
        <v>1-34-6</v>
      </c>
      <c r="F795" t="s">
        <v>83</v>
      </c>
      <c r="G795" t="s">
        <v>84</v>
      </c>
      <c r="H795" t="s">
        <v>92</v>
      </c>
      <c r="I795">
        <v>1</v>
      </c>
      <c r="J795">
        <v>1</v>
      </c>
      <c r="N795">
        <v>1</v>
      </c>
      <c r="O795">
        <v>1</v>
      </c>
      <c r="P795">
        <v>1</v>
      </c>
      <c r="Q795">
        <v>1</v>
      </c>
      <c r="R795">
        <v>1</v>
      </c>
      <c r="S795">
        <v>1</v>
      </c>
      <c r="T795">
        <v>1</v>
      </c>
      <c r="W795">
        <v>1</v>
      </c>
      <c r="X795">
        <v>1</v>
      </c>
      <c r="Y795">
        <v>1</v>
      </c>
      <c r="Z795">
        <v>1</v>
      </c>
      <c r="AA795">
        <v>1</v>
      </c>
      <c r="AB795">
        <v>1</v>
      </c>
    </row>
    <row r="796" spans="1:49" x14ac:dyDescent="0.25">
      <c r="A796" t="str">
        <f>"792"</f>
        <v>792</v>
      </c>
      <c r="B796" t="str">
        <f t="shared" si="42"/>
        <v>1</v>
      </c>
      <c r="C796" t="str">
        <f t="shared" si="44"/>
        <v>34</v>
      </c>
      <c r="D796" t="str">
        <f>"22"</f>
        <v>22</v>
      </c>
      <c r="E796" t="str">
        <f>"1-34-22"</f>
        <v>1-34-22</v>
      </c>
      <c r="F796" t="s">
        <v>83</v>
      </c>
      <c r="G796" t="s">
        <v>88</v>
      </c>
      <c r="H796" t="s">
        <v>89</v>
      </c>
      <c r="AC796">
        <v>0</v>
      </c>
      <c r="AD796">
        <v>1</v>
      </c>
      <c r="AE796">
        <v>0</v>
      </c>
      <c r="AF796">
        <v>0</v>
      </c>
      <c r="AH796">
        <v>0</v>
      </c>
      <c r="AI796">
        <v>1</v>
      </c>
      <c r="AJ796">
        <v>0</v>
      </c>
      <c r="AK796">
        <v>1</v>
      </c>
      <c r="AL796">
        <v>0</v>
      </c>
      <c r="AM796">
        <v>0</v>
      </c>
      <c r="AN796">
        <v>1</v>
      </c>
      <c r="AO796">
        <v>1</v>
      </c>
      <c r="AP796">
        <v>1</v>
      </c>
      <c r="AQ796">
        <v>1</v>
      </c>
      <c r="AR796">
        <v>1</v>
      </c>
      <c r="AS796">
        <v>0</v>
      </c>
      <c r="AT796">
        <v>1</v>
      </c>
      <c r="AV796">
        <v>1</v>
      </c>
      <c r="AW796">
        <v>1</v>
      </c>
    </row>
    <row r="797" spans="1:49" x14ac:dyDescent="0.25">
      <c r="A797" t="str">
        <f>"793"</f>
        <v>793</v>
      </c>
      <c r="B797" t="str">
        <f t="shared" si="42"/>
        <v>1</v>
      </c>
      <c r="C797" t="str">
        <f t="shared" si="44"/>
        <v>34</v>
      </c>
      <c r="D797" t="str">
        <f>"14"</f>
        <v>14</v>
      </c>
      <c r="E797" t="str">
        <f>"1-34-14"</f>
        <v>1-34-14</v>
      </c>
      <c r="F797" t="s">
        <v>83</v>
      </c>
      <c r="G797" t="s">
        <v>84</v>
      </c>
      <c r="H797" t="s">
        <v>92</v>
      </c>
      <c r="I797">
        <v>1</v>
      </c>
      <c r="J797">
        <v>1</v>
      </c>
      <c r="N797">
        <v>1</v>
      </c>
      <c r="O797">
        <v>1</v>
      </c>
      <c r="P797">
        <v>1</v>
      </c>
      <c r="Q797">
        <v>1</v>
      </c>
      <c r="R797">
        <v>1</v>
      </c>
      <c r="S797">
        <v>1</v>
      </c>
      <c r="T797">
        <v>1</v>
      </c>
      <c r="W797">
        <v>1</v>
      </c>
      <c r="X797">
        <v>1</v>
      </c>
      <c r="Y797">
        <v>1</v>
      </c>
      <c r="Z797">
        <v>1</v>
      </c>
      <c r="AA797">
        <v>1</v>
      </c>
      <c r="AB797">
        <v>1</v>
      </c>
    </row>
    <row r="798" spans="1:49" x14ac:dyDescent="0.25">
      <c r="A798" t="str">
        <f>"794"</f>
        <v>794</v>
      </c>
      <c r="B798" t="str">
        <f t="shared" ref="B798:B861" si="45">"1"</f>
        <v>1</v>
      </c>
      <c r="C798" t="str">
        <f t="shared" si="44"/>
        <v>34</v>
      </c>
      <c r="D798" t="str">
        <f>"4"</f>
        <v>4</v>
      </c>
      <c r="E798" t="str">
        <f>"1-34-4"</f>
        <v>1-34-4</v>
      </c>
      <c r="F798" t="s">
        <v>83</v>
      </c>
      <c r="G798" t="s">
        <v>84</v>
      </c>
      <c r="H798" t="s">
        <v>92</v>
      </c>
      <c r="I798">
        <v>1</v>
      </c>
      <c r="J798">
        <v>1</v>
      </c>
      <c r="N798">
        <v>1</v>
      </c>
      <c r="O798">
        <v>1</v>
      </c>
      <c r="P798">
        <v>1</v>
      </c>
      <c r="Q798">
        <v>1</v>
      </c>
      <c r="R798">
        <v>1</v>
      </c>
      <c r="S798">
        <v>1</v>
      </c>
      <c r="T798">
        <v>1</v>
      </c>
      <c r="W798">
        <v>1</v>
      </c>
      <c r="X798">
        <v>1</v>
      </c>
      <c r="Y798">
        <v>1</v>
      </c>
      <c r="Z798">
        <v>1</v>
      </c>
      <c r="AA798">
        <v>1</v>
      </c>
      <c r="AB798">
        <v>1</v>
      </c>
    </row>
    <row r="799" spans="1:49" x14ac:dyDescent="0.25">
      <c r="A799" t="str">
        <f>"795"</f>
        <v>795</v>
      </c>
      <c r="B799" t="str">
        <f t="shared" si="45"/>
        <v>1</v>
      </c>
      <c r="C799" t="str">
        <f t="shared" si="44"/>
        <v>34</v>
      </c>
      <c r="D799" t="str">
        <f>"23"</f>
        <v>23</v>
      </c>
      <c r="E799" t="str">
        <f>"1-34-23"</f>
        <v>1-34-23</v>
      </c>
      <c r="F799" t="s">
        <v>83</v>
      </c>
      <c r="G799" t="s">
        <v>84</v>
      </c>
      <c r="H799" t="s">
        <v>92</v>
      </c>
      <c r="I799">
        <v>1</v>
      </c>
      <c r="J799">
        <v>1</v>
      </c>
      <c r="N799">
        <v>1</v>
      </c>
      <c r="O799">
        <v>1</v>
      </c>
      <c r="P799">
        <v>1</v>
      </c>
      <c r="Q799">
        <v>1</v>
      </c>
      <c r="R799">
        <v>1</v>
      </c>
      <c r="S799">
        <v>1</v>
      </c>
      <c r="T799">
        <v>1</v>
      </c>
      <c r="W799">
        <v>1</v>
      </c>
      <c r="X799">
        <v>1</v>
      </c>
      <c r="Y799">
        <v>1</v>
      </c>
      <c r="Z799">
        <v>1</v>
      </c>
      <c r="AA799">
        <v>1</v>
      </c>
      <c r="AB799">
        <v>1</v>
      </c>
    </row>
    <row r="800" spans="1:49" x14ac:dyDescent="0.25">
      <c r="A800" t="str">
        <f>"796"</f>
        <v>796</v>
      </c>
      <c r="B800" t="str">
        <f t="shared" si="45"/>
        <v>1</v>
      </c>
      <c r="C800" t="str">
        <f t="shared" si="44"/>
        <v>34</v>
      </c>
      <c r="D800" t="str">
        <f>"15"</f>
        <v>15</v>
      </c>
      <c r="E800" t="str">
        <f>"1-34-15"</f>
        <v>1-34-15</v>
      </c>
      <c r="F800" t="s">
        <v>83</v>
      </c>
      <c r="G800" t="s">
        <v>84</v>
      </c>
      <c r="H800" t="s">
        <v>92</v>
      </c>
      <c r="I800">
        <v>1</v>
      </c>
      <c r="J800">
        <v>1</v>
      </c>
      <c r="N800">
        <v>1</v>
      </c>
      <c r="O800">
        <v>1</v>
      </c>
      <c r="P800">
        <v>1</v>
      </c>
      <c r="Q800">
        <v>1</v>
      </c>
      <c r="R800">
        <v>1</v>
      </c>
      <c r="S800">
        <v>1</v>
      </c>
      <c r="T800">
        <v>1</v>
      </c>
      <c r="W800">
        <v>1</v>
      </c>
      <c r="X800">
        <v>1</v>
      </c>
      <c r="Y800">
        <v>1</v>
      </c>
      <c r="Z800">
        <v>1</v>
      </c>
      <c r="AA800">
        <v>1</v>
      </c>
      <c r="AB800">
        <v>1</v>
      </c>
    </row>
    <row r="801" spans="1:49" x14ac:dyDescent="0.25">
      <c r="A801" t="str">
        <f>"797"</f>
        <v>797</v>
      </c>
      <c r="B801" t="str">
        <f t="shared" si="45"/>
        <v>1</v>
      </c>
      <c r="C801" t="str">
        <f t="shared" si="44"/>
        <v>34</v>
      </c>
      <c r="D801" t="str">
        <f>"7"</f>
        <v>7</v>
      </c>
      <c r="E801" t="str">
        <f>"1-34-7"</f>
        <v>1-34-7</v>
      </c>
      <c r="F801" t="s">
        <v>83</v>
      </c>
      <c r="G801" t="s">
        <v>84</v>
      </c>
      <c r="H801" t="s">
        <v>85</v>
      </c>
      <c r="AC801">
        <v>0</v>
      </c>
      <c r="AD801">
        <v>1</v>
      </c>
      <c r="AE801">
        <v>0</v>
      </c>
      <c r="AF801">
        <v>0</v>
      </c>
      <c r="AG801">
        <v>1</v>
      </c>
      <c r="AJ801">
        <v>0</v>
      </c>
      <c r="AK801">
        <v>1</v>
      </c>
      <c r="AL801">
        <v>0</v>
      </c>
      <c r="AM801">
        <v>0</v>
      </c>
      <c r="AN801">
        <v>1</v>
      </c>
      <c r="AO801">
        <v>1</v>
      </c>
      <c r="AP801">
        <v>1</v>
      </c>
      <c r="AQ801">
        <v>1</v>
      </c>
      <c r="AR801">
        <v>1</v>
      </c>
      <c r="AS801">
        <v>0</v>
      </c>
      <c r="AT801">
        <v>1</v>
      </c>
      <c r="AV801">
        <v>1</v>
      </c>
      <c r="AW801">
        <v>1</v>
      </c>
    </row>
    <row r="802" spans="1:49" x14ac:dyDescent="0.25">
      <c r="A802" t="str">
        <f>"798"</f>
        <v>798</v>
      </c>
      <c r="B802" t="str">
        <f t="shared" si="45"/>
        <v>1</v>
      </c>
      <c r="C802" t="str">
        <f t="shared" si="44"/>
        <v>34</v>
      </c>
      <c r="D802" t="str">
        <f>"16"</f>
        <v>16</v>
      </c>
      <c r="E802" t="str">
        <f>"1-34-16"</f>
        <v>1-34-16</v>
      </c>
      <c r="F802" t="s">
        <v>83</v>
      </c>
      <c r="G802" t="s">
        <v>84</v>
      </c>
      <c r="H802" t="s">
        <v>85</v>
      </c>
      <c r="AC802">
        <v>1</v>
      </c>
      <c r="AD802">
        <v>0</v>
      </c>
      <c r="AE802">
        <v>0</v>
      </c>
      <c r="AF802">
        <v>0</v>
      </c>
      <c r="AG802">
        <v>0</v>
      </c>
      <c r="AJ802">
        <v>0</v>
      </c>
      <c r="AK802">
        <v>1</v>
      </c>
      <c r="AL802">
        <v>0</v>
      </c>
      <c r="AM802">
        <v>0</v>
      </c>
      <c r="AN802">
        <v>1</v>
      </c>
      <c r="AO802">
        <v>1</v>
      </c>
      <c r="AP802">
        <v>1</v>
      </c>
      <c r="AQ802">
        <v>1</v>
      </c>
      <c r="AR802">
        <v>1</v>
      </c>
      <c r="AS802">
        <v>1</v>
      </c>
      <c r="AT802">
        <v>0</v>
      </c>
      <c r="AV802">
        <v>1</v>
      </c>
      <c r="AW802">
        <v>1</v>
      </c>
    </row>
    <row r="803" spans="1:49" x14ac:dyDescent="0.25">
      <c r="A803" t="str">
        <f>"799"</f>
        <v>799</v>
      </c>
      <c r="B803" t="str">
        <f t="shared" si="45"/>
        <v>1</v>
      </c>
      <c r="C803" t="str">
        <f t="shared" ref="C803:C826" si="46">"35"</f>
        <v>35</v>
      </c>
      <c r="D803" t="str">
        <f>"24"</f>
        <v>24</v>
      </c>
      <c r="E803" t="str">
        <f>"1-35-24"</f>
        <v>1-35-24</v>
      </c>
      <c r="F803" t="s">
        <v>83</v>
      </c>
      <c r="G803" t="s">
        <v>86</v>
      </c>
      <c r="H803" t="s">
        <v>87</v>
      </c>
      <c r="AC803">
        <v>0</v>
      </c>
      <c r="AD803">
        <v>1</v>
      </c>
      <c r="AE803">
        <v>0</v>
      </c>
      <c r="AF803">
        <v>0</v>
      </c>
      <c r="AH803">
        <v>0</v>
      </c>
      <c r="AI803">
        <v>1</v>
      </c>
      <c r="AJ803">
        <v>0</v>
      </c>
      <c r="AK803">
        <v>1</v>
      </c>
      <c r="AL803">
        <v>0</v>
      </c>
      <c r="AM803">
        <v>0</v>
      </c>
      <c r="AN803">
        <v>1</v>
      </c>
      <c r="AO803">
        <v>0</v>
      </c>
      <c r="AP803">
        <v>0</v>
      </c>
      <c r="AQ803">
        <v>0</v>
      </c>
      <c r="AU803">
        <v>0</v>
      </c>
      <c r="AV803">
        <v>0</v>
      </c>
      <c r="AW803">
        <v>0</v>
      </c>
    </row>
    <row r="804" spans="1:49" x14ac:dyDescent="0.25">
      <c r="A804" t="str">
        <f>"800"</f>
        <v>800</v>
      </c>
      <c r="B804" t="str">
        <f t="shared" si="45"/>
        <v>1</v>
      </c>
      <c r="C804" t="str">
        <f t="shared" si="46"/>
        <v>35</v>
      </c>
      <c r="D804" t="str">
        <f>"23"</f>
        <v>23</v>
      </c>
      <c r="E804" t="str">
        <f>"1-35-23"</f>
        <v>1-35-23</v>
      </c>
      <c r="F804" t="s">
        <v>83</v>
      </c>
      <c r="G804" t="s">
        <v>84</v>
      </c>
      <c r="H804" t="s">
        <v>92</v>
      </c>
      <c r="I804">
        <v>1</v>
      </c>
      <c r="J804">
        <v>1</v>
      </c>
      <c r="N804">
        <v>1</v>
      </c>
      <c r="O804">
        <v>1</v>
      </c>
      <c r="P804">
        <v>1</v>
      </c>
      <c r="Q804">
        <v>1</v>
      </c>
      <c r="R804">
        <v>1</v>
      </c>
      <c r="S804">
        <v>1</v>
      </c>
      <c r="T804">
        <v>1</v>
      </c>
      <c r="W804">
        <v>1</v>
      </c>
      <c r="X804">
        <v>1</v>
      </c>
      <c r="Y804">
        <v>1</v>
      </c>
      <c r="Z804">
        <v>1</v>
      </c>
      <c r="AA804">
        <v>1</v>
      </c>
      <c r="AB804">
        <v>1</v>
      </c>
    </row>
    <row r="805" spans="1:49" x14ac:dyDescent="0.25">
      <c r="A805" t="str">
        <f>"801"</f>
        <v>801</v>
      </c>
      <c r="B805" t="str">
        <f t="shared" si="45"/>
        <v>1</v>
      </c>
      <c r="C805" t="str">
        <f t="shared" si="46"/>
        <v>35</v>
      </c>
      <c r="D805" t="str">
        <f>"17"</f>
        <v>17</v>
      </c>
      <c r="E805" t="str">
        <f>"1-35-17"</f>
        <v>1-35-17</v>
      </c>
      <c r="F805" t="s">
        <v>83</v>
      </c>
      <c r="G805" t="s">
        <v>86</v>
      </c>
      <c r="H805" t="s">
        <v>87</v>
      </c>
      <c r="AC805">
        <v>0</v>
      </c>
      <c r="AD805">
        <v>0</v>
      </c>
      <c r="AE805">
        <v>0</v>
      </c>
      <c r="AF805">
        <v>0</v>
      </c>
      <c r="AH805">
        <v>0</v>
      </c>
      <c r="AI805">
        <v>1</v>
      </c>
      <c r="AJ805">
        <v>0</v>
      </c>
      <c r="AK805">
        <v>0</v>
      </c>
      <c r="AL805">
        <v>0</v>
      </c>
      <c r="AM805">
        <v>0</v>
      </c>
      <c r="AN805">
        <v>1</v>
      </c>
      <c r="AO805">
        <v>0</v>
      </c>
      <c r="AP805">
        <v>0</v>
      </c>
      <c r="AQ805">
        <v>0</v>
      </c>
      <c r="AU805">
        <v>0</v>
      </c>
      <c r="AV805">
        <v>0</v>
      </c>
      <c r="AW805">
        <v>1</v>
      </c>
    </row>
    <row r="806" spans="1:49" x14ac:dyDescent="0.25">
      <c r="A806" t="str">
        <f>"802"</f>
        <v>802</v>
      </c>
      <c r="B806" t="str">
        <f t="shared" si="45"/>
        <v>1</v>
      </c>
      <c r="C806" t="str">
        <f t="shared" si="46"/>
        <v>35</v>
      </c>
      <c r="D806" t="str">
        <f>"16"</f>
        <v>16</v>
      </c>
      <c r="E806" t="str">
        <f>"1-35-16"</f>
        <v>1-35-16</v>
      </c>
      <c r="F806" t="s">
        <v>83</v>
      </c>
      <c r="G806" t="s">
        <v>86</v>
      </c>
      <c r="H806" t="s">
        <v>93</v>
      </c>
      <c r="I806">
        <v>1</v>
      </c>
      <c r="K806">
        <v>0</v>
      </c>
      <c r="L806">
        <v>0</v>
      </c>
      <c r="M806">
        <v>1</v>
      </c>
      <c r="N806">
        <v>1</v>
      </c>
      <c r="O806">
        <v>1</v>
      </c>
      <c r="P806">
        <v>1</v>
      </c>
      <c r="Q806">
        <v>1</v>
      </c>
      <c r="R806">
        <v>1</v>
      </c>
      <c r="U806">
        <v>1</v>
      </c>
      <c r="V806">
        <v>0</v>
      </c>
      <c r="W806">
        <v>1</v>
      </c>
      <c r="X806">
        <v>1</v>
      </c>
      <c r="Y806">
        <v>1</v>
      </c>
      <c r="Z806">
        <v>1</v>
      </c>
      <c r="AA806">
        <v>1</v>
      </c>
      <c r="AB806">
        <v>1</v>
      </c>
    </row>
    <row r="807" spans="1:49" x14ac:dyDescent="0.25">
      <c r="A807" t="str">
        <f>"803"</f>
        <v>803</v>
      </c>
      <c r="B807" t="str">
        <f t="shared" si="45"/>
        <v>1</v>
      </c>
      <c r="C807" t="str">
        <f t="shared" si="46"/>
        <v>35</v>
      </c>
      <c r="D807" t="str">
        <f>"11"</f>
        <v>11</v>
      </c>
      <c r="E807" t="str">
        <f>"1-35-11"</f>
        <v>1-35-11</v>
      </c>
      <c r="F807" t="s">
        <v>83</v>
      </c>
      <c r="G807" t="s">
        <v>86</v>
      </c>
      <c r="H807" t="s">
        <v>87</v>
      </c>
      <c r="AC807">
        <v>0</v>
      </c>
      <c r="AD807">
        <v>1</v>
      </c>
      <c r="AE807">
        <v>0</v>
      </c>
      <c r="AF807">
        <v>0</v>
      </c>
      <c r="AH807">
        <v>0</v>
      </c>
      <c r="AI807">
        <v>1</v>
      </c>
      <c r="AJ807">
        <v>1</v>
      </c>
      <c r="AK807">
        <v>0</v>
      </c>
      <c r="AL807">
        <v>0</v>
      </c>
      <c r="AM807">
        <v>0</v>
      </c>
      <c r="AN807">
        <v>1</v>
      </c>
      <c r="AO807">
        <v>1</v>
      </c>
      <c r="AP807">
        <v>1</v>
      </c>
      <c r="AQ807">
        <v>1</v>
      </c>
      <c r="AU807">
        <v>1</v>
      </c>
      <c r="AV807">
        <v>1</v>
      </c>
      <c r="AW807">
        <v>1</v>
      </c>
    </row>
    <row r="808" spans="1:49" x14ac:dyDescent="0.25">
      <c r="A808" t="str">
        <f>"804"</f>
        <v>804</v>
      </c>
      <c r="B808" t="str">
        <f t="shared" si="45"/>
        <v>1</v>
      </c>
      <c r="C808" t="str">
        <f t="shared" si="46"/>
        <v>35</v>
      </c>
      <c r="D808" t="str">
        <f>"8"</f>
        <v>8</v>
      </c>
      <c r="E808" t="str">
        <f>"1-35-8"</f>
        <v>1-35-8</v>
      </c>
      <c r="F808" t="s">
        <v>83</v>
      </c>
      <c r="G808" t="s">
        <v>84</v>
      </c>
      <c r="H808" t="s">
        <v>92</v>
      </c>
      <c r="I808">
        <v>1</v>
      </c>
      <c r="J808">
        <v>1</v>
      </c>
      <c r="N808">
        <v>1</v>
      </c>
      <c r="O808">
        <v>1</v>
      </c>
      <c r="P808">
        <v>1</v>
      </c>
      <c r="Q808">
        <v>1</v>
      </c>
      <c r="R808">
        <v>1</v>
      </c>
      <c r="S808">
        <v>1</v>
      </c>
      <c r="T808">
        <v>1</v>
      </c>
      <c r="W808">
        <v>1</v>
      </c>
      <c r="X808">
        <v>1</v>
      </c>
      <c r="Y808">
        <v>1</v>
      </c>
      <c r="Z808">
        <v>1</v>
      </c>
      <c r="AA808">
        <v>1</v>
      </c>
      <c r="AB808">
        <v>1</v>
      </c>
    </row>
    <row r="809" spans="1:49" x14ac:dyDescent="0.25">
      <c r="A809" t="str">
        <f>"805"</f>
        <v>805</v>
      </c>
      <c r="B809" t="str">
        <f t="shared" si="45"/>
        <v>1</v>
      </c>
      <c r="C809" t="str">
        <f t="shared" si="46"/>
        <v>35</v>
      </c>
      <c r="D809" t="str">
        <f>"2"</f>
        <v>2</v>
      </c>
      <c r="E809" t="str">
        <f>"1-35-2"</f>
        <v>1-35-2</v>
      </c>
      <c r="F809" t="s">
        <v>83</v>
      </c>
      <c r="G809" t="s">
        <v>84</v>
      </c>
      <c r="H809" t="s">
        <v>85</v>
      </c>
      <c r="AC809">
        <v>1</v>
      </c>
      <c r="AD809">
        <v>0</v>
      </c>
      <c r="AE809">
        <v>0</v>
      </c>
      <c r="AF809">
        <v>0</v>
      </c>
      <c r="AG809">
        <v>1</v>
      </c>
      <c r="AJ809">
        <v>1</v>
      </c>
      <c r="AK809">
        <v>0</v>
      </c>
      <c r="AL809">
        <v>0</v>
      </c>
      <c r="AM809">
        <v>1</v>
      </c>
      <c r="AN809">
        <v>0</v>
      </c>
      <c r="AO809">
        <v>1</v>
      </c>
      <c r="AP809">
        <v>1</v>
      </c>
      <c r="AQ809">
        <v>1</v>
      </c>
      <c r="AR809">
        <v>1</v>
      </c>
      <c r="AS809">
        <v>0</v>
      </c>
      <c r="AT809">
        <v>1</v>
      </c>
      <c r="AV809">
        <v>1</v>
      </c>
      <c r="AW809">
        <v>0</v>
      </c>
    </row>
    <row r="810" spans="1:49" x14ac:dyDescent="0.25">
      <c r="A810" t="str">
        <f>"806"</f>
        <v>806</v>
      </c>
      <c r="B810" t="str">
        <f t="shared" si="45"/>
        <v>1</v>
      </c>
      <c r="C810" t="str">
        <f t="shared" si="46"/>
        <v>35</v>
      </c>
      <c r="D810" t="str">
        <f>"19"</f>
        <v>19</v>
      </c>
      <c r="E810" t="str">
        <f>"1-35-19"</f>
        <v>1-35-19</v>
      </c>
      <c r="F810" t="s">
        <v>83</v>
      </c>
      <c r="G810" t="s">
        <v>84</v>
      </c>
      <c r="H810" t="s">
        <v>92</v>
      </c>
      <c r="I810">
        <v>1</v>
      </c>
      <c r="J810">
        <v>1</v>
      </c>
      <c r="N810">
        <v>1</v>
      </c>
      <c r="O810">
        <v>1</v>
      </c>
      <c r="P810">
        <v>1</v>
      </c>
      <c r="Q810">
        <v>1</v>
      </c>
      <c r="R810">
        <v>1</v>
      </c>
      <c r="S810">
        <v>1</v>
      </c>
      <c r="T810">
        <v>1</v>
      </c>
      <c r="W810">
        <v>1</v>
      </c>
      <c r="X810">
        <v>1</v>
      </c>
      <c r="Y810">
        <v>1</v>
      </c>
      <c r="Z810">
        <v>1</v>
      </c>
      <c r="AA810">
        <v>1</v>
      </c>
      <c r="AB810">
        <v>1</v>
      </c>
    </row>
    <row r="811" spans="1:49" x14ac:dyDescent="0.25">
      <c r="A811" t="str">
        <f>"807"</f>
        <v>807</v>
      </c>
      <c r="B811" t="str">
        <f t="shared" si="45"/>
        <v>1</v>
      </c>
      <c r="C811" t="str">
        <f t="shared" si="46"/>
        <v>35</v>
      </c>
      <c r="D811" t="str">
        <f>"9"</f>
        <v>9</v>
      </c>
      <c r="E811" t="str">
        <f>"1-35-9"</f>
        <v>1-35-9</v>
      </c>
      <c r="F811" t="s">
        <v>83</v>
      </c>
      <c r="G811" t="s">
        <v>86</v>
      </c>
      <c r="H811" t="s">
        <v>87</v>
      </c>
      <c r="AC811">
        <v>0</v>
      </c>
      <c r="AD811">
        <v>0</v>
      </c>
      <c r="AE811">
        <v>0</v>
      </c>
      <c r="AF811">
        <v>0</v>
      </c>
      <c r="AH811">
        <v>0</v>
      </c>
      <c r="AI811">
        <v>1</v>
      </c>
      <c r="AJ811">
        <v>0</v>
      </c>
      <c r="AK811">
        <v>0</v>
      </c>
      <c r="AL811">
        <v>0</v>
      </c>
      <c r="AM811">
        <v>0</v>
      </c>
      <c r="AN811">
        <v>0</v>
      </c>
      <c r="AO811">
        <v>0</v>
      </c>
      <c r="AP811">
        <v>0</v>
      </c>
      <c r="AQ811">
        <v>0</v>
      </c>
      <c r="AU811">
        <v>1</v>
      </c>
      <c r="AV811">
        <v>0</v>
      </c>
      <c r="AW811">
        <v>1</v>
      </c>
    </row>
    <row r="812" spans="1:49" x14ac:dyDescent="0.25">
      <c r="A812" t="str">
        <f>"808"</f>
        <v>808</v>
      </c>
      <c r="B812" t="str">
        <f t="shared" si="45"/>
        <v>1</v>
      </c>
      <c r="C812" t="str">
        <f t="shared" si="46"/>
        <v>35</v>
      </c>
      <c r="D812" t="str">
        <f>"1"</f>
        <v>1</v>
      </c>
      <c r="E812" t="str">
        <f>"1-35-1"</f>
        <v>1-35-1</v>
      </c>
      <c r="F812" t="s">
        <v>83</v>
      </c>
      <c r="G812" t="s">
        <v>84</v>
      </c>
      <c r="H812" t="s">
        <v>92</v>
      </c>
      <c r="I812">
        <v>1</v>
      </c>
      <c r="J812">
        <v>1</v>
      </c>
      <c r="N812">
        <v>1</v>
      </c>
      <c r="O812">
        <v>1</v>
      </c>
      <c r="P812">
        <v>1</v>
      </c>
      <c r="Q812">
        <v>1</v>
      </c>
      <c r="R812">
        <v>1</v>
      </c>
      <c r="S812">
        <v>1</v>
      </c>
      <c r="T812">
        <v>1</v>
      </c>
      <c r="W812">
        <v>0</v>
      </c>
      <c r="X812">
        <v>1</v>
      </c>
      <c r="Y812">
        <v>1</v>
      </c>
      <c r="Z812">
        <v>1</v>
      </c>
      <c r="AA812">
        <v>1</v>
      </c>
      <c r="AB812">
        <v>1</v>
      </c>
    </row>
    <row r="813" spans="1:49" x14ac:dyDescent="0.25">
      <c r="A813" t="str">
        <f>"809"</f>
        <v>809</v>
      </c>
      <c r="B813" t="str">
        <f t="shared" si="45"/>
        <v>1</v>
      </c>
      <c r="C813" t="str">
        <f t="shared" si="46"/>
        <v>35</v>
      </c>
      <c r="D813" t="str">
        <f>"18"</f>
        <v>18</v>
      </c>
      <c r="E813" t="str">
        <f>"1-35-18"</f>
        <v>1-35-18</v>
      </c>
      <c r="F813" t="s">
        <v>83</v>
      </c>
      <c r="G813" t="s">
        <v>84</v>
      </c>
      <c r="H813" t="s">
        <v>92</v>
      </c>
      <c r="I813">
        <v>1</v>
      </c>
      <c r="J813">
        <v>1</v>
      </c>
      <c r="N813">
        <v>1</v>
      </c>
      <c r="O813">
        <v>1</v>
      </c>
      <c r="P813">
        <v>1</v>
      </c>
      <c r="Q813">
        <v>1</v>
      </c>
      <c r="R813">
        <v>1</v>
      </c>
      <c r="S813">
        <v>1</v>
      </c>
      <c r="T813">
        <v>1</v>
      </c>
      <c r="W813">
        <v>1</v>
      </c>
      <c r="X813">
        <v>1</v>
      </c>
      <c r="Y813">
        <v>1</v>
      </c>
      <c r="Z813">
        <v>1</v>
      </c>
      <c r="AA813">
        <v>0</v>
      </c>
      <c r="AB813">
        <v>0</v>
      </c>
    </row>
    <row r="814" spans="1:49" x14ac:dyDescent="0.25">
      <c r="A814" t="str">
        <f>"810"</f>
        <v>810</v>
      </c>
      <c r="B814" t="str">
        <f t="shared" si="45"/>
        <v>1</v>
      </c>
      <c r="C814" t="str">
        <f t="shared" si="46"/>
        <v>35</v>
      </c>
      <c r="D814" t="str">
        <f>"10"</f>
        <v>10</v>
      </c>
      <c r="E814" t="str">
        <f>"1-35-10"</f>
        <v>1-35-10</v>
      </c>
      <c r="F814" t="s">
        <v>83</v>
      </c>
      <c r="G814" t="s">
        <v>86</v>
      </c>
      <c r="H814" t="s">
        <v>93</v>
      </c>
      <c r="I814">
        <v>1</v>
      </c>
      <c r="K814">
        <v>0</v>
      </c>
      <c r="L814">
        <v>0</v>
      </c>
      <c r="M814">
        <v>1</v>
      </c>
      <c r="N814">
        <v>1</v>
      </c>
      <c r="O814">
        <v>1</v>
      </c>
      <c r="P814">
        <v>1</v>
      </c>
      <c r="Q814">
        <v>1</v>
      </c>
      <c r="R814">
        <v>1</v>
      </c>
      <c r="U814">
        <v>1</v>
      </c>
      <c r="V814">
        <v>0</v>
      </c>
      <c r="W814">
        <v>1</v>
      </c>
      <c r="X814">
        <v>1</v>
      </c>
      <c r="Y814">
        <v>1</v>
      </c>
      <c r="Z814">
        <v>1</v>
      </c>
      <c r="AA814">
        <v>1</v>
      </c>
      <c r="AB814">
        <v>1</v>
      </c>
    </row>
    <row r="815" spans="1:49" x14ac:dyDescent="0.25">
      <c r="A815" t="str">
        <f>"811"</f>
        <v>811</v>
      </c>
      <c r="B815" t="str">
        <f t="shared" si="45"/>
        <v>1</v>
      </c>
      <c r="C815" t="str">
        <f t="shared" si="46"/>
        <v>35</v>
      </c>
      <c r="D815" t="str">
        <f>"7"</f>
        <v>7</v>
      </c>
      <c r="E815" t="str">
        <f>"1-35-7"</f>
        <v>1-35-7</v>
      </c>
      <c r="F815" t="s">
        <v>83</v>
      </c>
      <c r="G815" t="s">
        <v>84</v>
      </c>
      <c r="H815" t="s">
        <v>92</v>
      </c>
      <c r="I815">
        <v>1</v>
      </c>
      <c r="J815">
        <v>1</v>
      </c>
      <c r="N815">
        <v>1</v>
      </c>
      <c r="O815">
        <v>1</v>
      </c>
      <c r="P815">
        <v>1</v>
      </c>
      <c r="Q815">
        <v>1</v>
      </c>
      <c r="R815">
        <v>1</v>
      </c>
      <c r="S815">
        <v>1</v>
      </c>
      <c r="T815">
        <v>1</v>
      </c>
      <c r="W815">
        <v>1</v>
      </c>
      <c r="X815">
        <v>1</v>
      </c>
      <c r="Y815">
        <v>1</v>
      </c>
      <c r="Z815">
        <v>1</v>
      </c>
      <c r="AA815">
        <v>1</v>
      </c>
      <c r="AB815">
        <v>1</v>
      </c>
    </row>
    <row r="816" spans="1:49" x14ac:dyDescent="0.25">
      <c r="A816" t="str">
        <f>"812"</f>
        <v>812</v>
      </c>
      <c r="B816" t="str">
        <f t="shared" si="45"/>
        <v>1</v>
      </c>
      <c r="C816" t="str">
        <f t="shared" si="46"/>
        <v>35</v>
      </c>
      <c r="D816" t="str">
        <f>"20"</f>
        <v>20</v>
      </c>
      <c r="E816" t="str">
        <f>"1-35-20"</f>
        <v>1-35-20</v>
      </c>
      <c r="F816" t="s">
        <v>83</v>
      </c>
      <c r="G816" t="s">
        <v>84</v>
      </c>
      <c r="H816" t="s">
        <v>92</v>
      </c>
      <c r="I816">
        <v>1</v>
      </c>
      <c r="J816">
        <v>1</v>
      </c>
      <c r="N816">
        <v>1</v>
      </c>
      <c r="O816">
        <v>1</v>
      </c>
      <c r="P816">
        <v>1</v>
      </c>
      <c r="Q816">
        <v>1</v>
      </c>
      <c r="R816">
        <v>1</v>
      </c>
      <c r="S816">
        <v>1</v>
      </c>
      <c r="T816">
        <v>1</v>
      </c>
      <c r="W816">
        <v>1</v>
      </c>
      <c r="X816">
        <v>1</v>
      </c>
      <c r="Y816">
        <v>1</v>
      </c>
      <c r="Z816">
        <v>1</v>
      </c>
      <c r="AA816">
        <v>1</v>
      </c>
      <c r="AB816">
        <v>1</v>
      </c>
    </row>
    <row r="817" spans="1:49" x14ac:dyDescent="0.25">
      <c r="A817" t="str">
        <f>"813"</f>
        <v>813</v>
      </c>
      <c r="B817" t="str">
        <f t="shared" si="45"/>
        <v>1</v>
      </c>
      <c r="C817" t="str">
        <f t="shared" si="46"/>
        <v>35</v>
      </c>
      <c r="D817" t="str">
        <f>"12"</f>
        <v>12</v>
      </c>
      <c r="E817" t="str">
        <f>"1-35-12"</f>
        <v>1-35-12</v>
      </c>
      <c r="F817" t="s">
        <v>83</v>
      </c>
      <c r="G817" t="s">
        <v>84</v>
      </c>
      <c r="H817" t="s">
        <v>92</v>
      </c>
      <c r="I817">
        <v>1</v>
      </c>
      <c r="J817">
        <v>1</v>
      </c>
      <c r="N817">
        <v>1</v>
      </c>
      <c r="O817">
        <v>1</v>
      </c>
      <c r="P817">
        <v>1</v>
      </c>
      <c r="Q817">
        <v>1</v>
      </c>
      <c r="R817">
        <v>1</v>
      </c>
      <c r="S817">
        <v>1</v>
      </c>
      <c r="T817">
        <v>1</v>
      </c>
      <c r="W817">
        <v>1</v>
      </c>
      <c r="X817">
        <v>1</v>
      </c>
      <c r="Y817">
        <v>1</v>
      </c>
      <c r="Z817">
        <v>1</v>
      </c>
      <c r="AA817">
        <v>1</v>
      </c>
      <c r="AB817">
        <v>1</v>
      </c>
    </row>
    <row r="818" spans="1:49" x14ac:dyDescent="0.25">
      <c r="A818" t="str">
        <f>"814"</f>
        <v>814</v>
      </c>
      <c r="B818" t="str">
        <f t="shared" si="45"/>
        <v>1</v>
      </c>
      <c r="C818" t="str">
        <f t="shared" si="46"/>
        <v>35</v>
      </c>
      <c r="D818" t="str">
        <f>"5"</f>
        <v>5</v>
      </c>
      <c r="E818" t="str">
        <f>"1-35-5"</f>
        <v>1-35-5</v>
      </c>
      <c r="F818" t="s">
        <v>83</v>
      </c>
      <c r="G818" t="s">
        <v>84</v>
      </c>
      <c r="H818" t="s">
        <v>92</v>
      </c>
      <c r="I818">
        <v>1</v>
      </c>
      <c r="J818">
        <v>1</v>
      </c>
      <c r="N818">
        <v>1</v>
      </c>
      <c r="O818">
        <v>1</v>
      </c>
      <c r="P818">
        <v>1</v>
      </c>
      <c r="Q818">
        <v>1</v>
      </c>
      <c r="R818">
        <v>1</v>
      </c>
      <c r="S818">
        <v>1</v>
      </c>
      <c r="T818">
        <v>1</v>
      </c>
      <c r="W818">
        <v>1</v>
      </c>
      <c r="X818">
        <v>1</v>
      </c>
      <c r="Y818">
        <v>1</v>
      </c>
      <c r="Z818">
        <v>1</v>
      </c>
      <c r="AA818">
        <v>1</v>
      </c>
      <c r="AB818">
        <v>1</v>
      </c>
    </row>
    <row r="819" spans="1:49" x14ac:dyDescent="0.25">
      <c r="A819" t="str">
        <f>"815"</f>
        <v>815</v>
      </c>
      <c r="B819" t="str">
        <f t="shared" si="45"/>
        <v>1</v>
      </c>
      <c r="C819" t="str">
        <f t="shared" si="46"/>
        <v>35</v>
      </c>
      <c r="D819" t="str">
        <f>"21"</f>
        <v>21</v>
      </c>
      <c r="E819" t="str">
        <f>"1-35-21"</f>
        <v>1-35-21</v>
      </c>
      <c r="F819" t="s">
        <v>83</v>
      </c>
      <c r="G819" t="s">
        <v>84</v>
      </c>
      <c r="H819" t="s">
        <v>92</v>
      </c>
      <c r="I819">
        <v>1</v>
      </c>
      <c r="J819">
        <v>1</v>
      </c>
      <c r="N819">
        <v>1</v>
      </c>
      <c r="O819">
        <v>1</v>
      </c>
      <c r="P819">
        <v>1</v>
      </c>
      <c r="Q819">
        <v>1</v>
      </c>
      <c r="R819">
        <v>1</v>
      </c>
      <c r="S819">
        <v>1</v>
      </c>
      <c r="T819">
        <v>1</v>
      </c>
      <c r="W819">
        <v>1</v>
      </c>
      <c r="X819">
        <v>1</v>
      </c>
      <c r="Y819">
        <v>1</v>
      </c>
      <c r="Z819">
        <v>1</v>
      </c>
      <c r="AA819">
        <v>1</v>
      </c>
      <c r="AB819">
        <v>1</v>
      </c>
    </row>
    <row r="820" spans="1:49" x14ac:dyDescent="0.25">
      <c r="A820" t="str">
        <f>"816"</f>
        <v>816</v>
      </c>
      <c r="B820" t="str">
        <f t="shared" si="45"/>
        <v>1</v>
      </c>
      <c r="C820" t="str">
        <f t="shared" si="46"/>
        <v>35</v>
      </c>
      <c r="D820" t="str">
        <f>"13"</f>
        <v>13</v>
      </c>
      <c r="E820" t="str">
        <f>"1-35-13"</f>
        <v>1-35-13</v>
      </c>
      <c r="F820" t="s">
        <v>83</v>
      </c>
      <c r="G820" t="s">
        <v>84</v>
      </c>
      <c r="H820" t="s">
        <v>85</v>
      </c>
      <c r="AC820">
        <v>0</v>
      </c>
      <c r="AD820">
        <v>1</v>
      </c>
      <c r="AE820">
        <v>0</v>
      </c>
      <c r="AF820">
        <v>0</v>
      </c>
      <c r="AG820">
        <v>1</v>
      </c>
      <c r="AJ820">
        <v>0</v>
      </c>
      <c r="AK820">
        <v>1</v>
      </c>
      <c r="AL820">
        <v>0</v>
      </c>
      <c r="AM820">
        <v>1</v>
      </c>
      <c r="AN820">
        <v>0</v>
      </c>
      <c r="AO820">
        <v>1</v>
      </c>
      <c r="AP820">
        <v>1</v>
      </c>
      <c r="AQ820">
        <v>1</v>
      </c>
      <c r="AR820">
        <v>1</v>
      </c>
      <c r="AS820">
        <v>0</v>
      </c>
      <c r="AT820">
        <v>1</v>
      </c>
      <c r="AV820">
        <v>0</v>
      </c>
      <c r="AW820">
        <v>1</v>
      </c>
    </row>
    <row r="821" spans="1:49" x14ac:dyDescent="0.25">
      <c r="A821" t="str">
        <f>"817"</f>
        <v>817</v>
      </c>
      <c r="B821" t="str">
        <f t="shared" si="45"/>
        <v>1</v>
      </c>
      <c r="C821" t="str">
        <f t="shared" si="46"/>
        <v>35</v>
      </c>
      <c r="D821" t="str">
        <f>"4"</f>
        <v>4</v>
      </c>
      <c r="E821" t="str">
        <f>"1-35-4"</f>
        <v>1-35-4</v>
      </c>
      <c r="F821" t="s">
        <v>83</v>
      </c>
      <c r="G821" t="s">
        <v>84</v>
      </c>
      <c r="H821" t="s">
        <v>92</v>
      </c>
      <c r="I821">
        <v>1</v>
      </c>
      <c r="J821">
        <v>1</v>
      </c>
      <c r="N821">
        <v>1</v>
      </c>
      <c r="O821">
        <v>1</v>
      </c>
      <c r="P821">
        <v>1</v>
      </c>
      <c r="Q821">
        <v>1</v>
      </c>
      <c r="R821">
        <v>1</v>
      </c>
      <c r="S821">
        <v>1</v>
      </c>
      <c r="T821">
        <v>1</v>
      </c>
      <c r="W821">
        <v>1</v>
      </c>
      <c r="X821">
        <v>1</v>
      </c>
      <c r="Y821">
        <v>1</v>
      </c>
      <c r="Z821">
        <v>1</v>
      </c>
      <c r="AA821">
        <v>1</v>
      </c>
      <c r="AB821">
        <v>1</v>
      </c>
    </row>
    <row r="822" spans="1:49" x14ac:dyDescent="0.25">
      <c r="A822" t="str">
        <f>"818"</f>
        <v>818</v>
      </c>
      <c r="B822" t="str">
        <f t="shared" si="45"/>
        <v>1</v>
      </c>
      <c r="C822" t="str">
        <f t="shared" si="46"/>
        <v>35</v>
      </c>
      <c r="D822" t="str">
        <f>"22"</f>
        <v>22</v>
      </c>
      <c r="E822" t="str">
        <f>"1-35-22"</f>
        <v>1-35-22</v>
      </c>
      <c r="F822" t="s">
        <v>83</v>
      </c>
      <c r="G822" t="s">
        <v>84</v>
      </c>
      <c r="H822" t="s">
        <v>85</v>
      </c>
      <c r="AC822">
        <v>1</v>
      </c>
      <c r="AD822">
        <v>0</v>
      </c>
      <c r="AE822">
        <v>0</v>
      </c>
      <c r="AF822">
        <v>0</v>
      </c>
      <c r="AG822">
        <v>1</v>
      </c>
      <c r="AJ822">
        <v>0</v>
      </c>
      <c r="AK822">
        <v>1</v>
      </c>
      <c r="AL822">
        <v>1</v>
      </c>
      <c r="AM822">
        <v>0</v>
      </c>
      <c r="AN822">
        <v>0</v>
      </c>
      <c r="AO822">
        <v>1</v>
      </c>
      <c r="AP822">
        <v>1</v>
      </c>
      <c r="AQ822">
        <v>1</v>
      </c>
      <c r="AR822">
        <v>1</v>
      </c>
      <c r="AS822">
        <v>1</v>
      </c>
      <c r="AT822">
        <v>0</v>
      </c>
      <c r="AV822">
        <v>1</v>
      </c>
      <c r="AW822">
        <v>1</v>
      </c>
    </row>
    <row r="823" spans="1:49" x14ac:dyDescent="0.25">
      <c r="A823" t="str">
        <f>"819"</f>
        <v>819</v>
      </c>
      <c r="B823" t="str">
        <f t="shared" si="45"/>
        <v>1</v>
      </c>
      <c r="C823" t="str">
        <f t="shared" si="46"/>
        <v>35</v>
      </c>
      <c r="D823" t="str">
        <f>"14"</f>
        <v>14</v>
      </c>
      <c r="E823" t="str">
        <f>"1-35-14"</f>
        <v>1-35-14</v>
      </c>
      <c r="F823" t="s">
        <v>83</v>
      </c>
      <c r="G823" t="s">
        <v>84</v>
      </c>
      <c r="H823" t="s">
        <v>92</v>
      </c>
      <c r="I823">
        <v>1</v>
      </c>
      <c r="J823">
        <v>1</v>
      </c>
      <c r="N823">
        <v>1</v>
      </c>
      <c r="O823">
        <v>1</v>
      </c>
      <c r="P823">
        <v>1</v>
      </c>
      <c r="Q823">
        <v>1</v>
      </c>
      <c r="R823">
        <v>1</v>
      </c>
      <c r="S823">
        <v>1</v>
      </c>
      <c r="T823">
        <v>1</v>
      </c>
      <c r="W823">
        <v>1</v>
      </c>
      <c r="X823">
        <v>1</v>
      </c>
      <c r="Y823">
        <v>1</v>
      </c>
      <c r="Z823">
        <v>1</v>
      </c>
      <c r="AA823">
        <v>1</v>
      </c>
      <c r="AB823">
        <v>1</v>
      </c>
    </row>
    <row r="824" spans="1:49" x14ac:dyDescent="0.25">
      <c r="A824" t="str">
        <f>"820"</f>
        <v>820</v>
      </c>
      <c r="B824" t="str">
        <f t="shared" si="45"/>
        <v>1</v>
      </c>
      <c r="C824" t="str">
        <f t="shared" si="46"/>
        <v>35</v>
      </c>
      <c r="D824" t="str">
        <f>"6"</f>
        <v>6</v>
      </c>
      <c r="E824" t="str">
        <f>"1-35-6"</f>
        <v>1-35-6</v>
      </c>
      <c r="F824" t="s">
        <v>83</v>
      </c>
      <c r="G824" t="s">
        <v>84</v>
      </c>
      <c r="H824" t="s">
        <v>92</v>
      </c>
      <c r="I824">
        <v>1</v>
      </c>
      <c r="J824">
        <v>1</v>
      </c>
      <c r="N824">
        <v>1</v>
      </c>
      <c r="O824">
        <v>1</v>
      </c>
      <c r="P824">
        <v>1</v>
      </c>
      <c r="Q824">
        <v>1</v>
      </c>
      <c r="R824">
        <v>1</v>
      </c>
      <c r="S824">
        <v>1</v>
      </c>
      <c r="T824">
        <v>1</v>
      </c>
      <c r="W824">
        <v>1</v>
      </c>
      <c r="X824">
        <v>1</v>
      </c>
      <c r="Y824">
        <v>1</v>
      </c>
      <c r="Z824">
        <v>1</v>
      </c>
      <c r="AA824">
        <v>1</v>
      </c>
      <c r="AB824">
        <v>1</v>
      </c>
    </row>
    <row r="825" spans="1:49" x14ac:dyDescent="0.25">
      <c r="A825" t="str">
        <f>"821"</f>
        <v>821</v>
      </c>
      <c r="B825" t="str">
        <f t="shared" si="45"/>
        <v>1</v>
      </c>
      <c r="C825" t="str">
        <f t="shared" si="46"/>
        <v>35</v>
      </c>
      <c r="D825" t="str">
        <f>"15"</f>
        <v>15</v>
      </c>
      <c r="E825" t="str">
        <f>"1-35-15"</f>
        <v>1-35-15</v>
      </c>
      <c r="F825" t="s">
        <v>83</v>
      </c>
      <c r="G825" t="s">
        <v>84</v>
      </c>
      <c r="H825" t="s">
        <v>85</v>
      </c>
      <c r="AC825">
        <v>0</v>
      </c>
      <c r="AD825">
        <v>1</v>
      </c>
      <c r="AE825">
        <v>0</v>
      </c>
      <c r="AF825">
        <v>0</v>
      </c>
      <c r="AG825">
        <v>1</v>
      </c>
      <c r="AJ825">
        <v>0</v>
      </c>
      <c r="AK825">
        <v>1</v>
      </c>
      <c r="AL825">
        <v>0</v>
      </c>
      <c r="AM825">
        <v>0</v>
      </c>
      <c r="AN825">
        <v>1</v>
      </c>
      <c r="AO825">
        <v>1</v>
      </c>
      <c r="AP825">
        <v>1</v>
      </c>
      <c r="AQ825">
        <v>1</v>
      </c>
      <c r="AR825">
        <v>1</v>
      </c>
      <c r="AS825">
        <v>1</v>
      </c>
      <c r="AT825">
        <v>0</v>
      </c>
      <c r="AV825">
        <v>1</v>
      </c>
      <c r="AW825">
        <v>1</v>
      </c>
    </row>
    <row r="826" spans="1:49" x14ac:dyDescent="0.25">
      <c r="A826" t="str">
        <f>"822"</f>
        <v>822</v>
      </c>
      <c r="B826" t="str">
        <f t="shared" si="45"/>
        <v>1</v>
      </c>
      <c r="C826" t="str">
        <f t="shared" si="46"/>
        <v>35</v>
      </c>
      <c r="D826" t="str">
        <f>"3"</f>
        <v>3</v>
      </c>
      <c r="E826" t="str">
        <f>"1-35-3"</f>
        <v>1-35-3</v>
      </c>
      <c r="F826" t="s">
        <v>83</v>
      </c>
      <c r="G826" t="s">
        <v>84</v>
      </c>
      <c r="H826" t="s">
        <v>92</v>
      </c>
      <c r="I826">
        <v>1</v>
      </c>
      <c r="J826">
        <v>1</v>
      </c>
      <c r="N826">
        <v>1</v>
      </c>
      <c r="O826">
        <v>1</v>
      </c>
      <c r="P826">
        <v>1</v>
      </c>
      <c r="Q826">
        <v>1</v>
      </c>
      <c r="R826">
        <v>1</v>
      </c>
      <c r="S826">
        <v>1</v>
      </c>
      <c r="T826">
        <v>1</v>
      </c>
      <c r="W826">
        <v>1</v>
      </c>
      <c r="X826">
        <v>1</v>
      </c>
      <c r="Y826">
        <v>1</v>
      </c>
      <c r="Z826">
        <v>1</v>
      </c>
      <c r="AA826">
        <v>1</v>
      </c>
      <c r="AB826">
        <v>1</v>
      </c>
    </row>
    <row r="827" spans="1:49" x14ac:dyDescent="0.25">
      <c r="A827" t="str">
        <f>"823"</f>
        <v>823</v>
      </c>
      <c r="B827" t="str">
        <f t="shared" si="45"/>
        <v>1</v>
      </c>
      <c r="C827" t="str">
        <f>"36"</f>
        <v>36</v>
      </c>
      <c r="D827" t="str">
        <f>"3"</f>
        <v>3</v>
      </c>
      <c r="E827" t="str">
        <f>"1-36-3"</f>
        <v>1-36-3</v>
      </c>
      <c r="F827" t="s">
        <v>83</v>
      </c>
      <c r="G827" t="s">
        <v>84</v>
      </c>
      <c r="H827" t="s">
        <v>85</v>
      </c>
      <c r="AC827">
        <v>1</v>
      </c>
      <c r="AD827">
        <v>0</v>
      </c>
      <c r="AE827">
        <v>0</v>
      </c>
      <c r="AF827">
        <v>0</v>
      </c>
      <c r="AG827">
        <v>0</v>
      </c>
      <c r="AJ827">
        <v>1</v>
      </c>
      <c r="AK827">
        <v>0</v>
      </c>
      <c r="AL827">
        <v>1</v>
      </c>
      <c r="AM827">
        <v>0</v>
      </c>
      <c r="AN827">
        <v>0</v>
      </c>
      <c r="AO827">
        <v>1</v>
      </c>
      <c r="AP827">
        <v>1</v>
      </c>
      <c r="AQ827">
        <v>1</v>
      </c>
      <c r="AR827">
        <v>1</v>
      </c>
      <c r="AS827">
        <v>1</v>
      </c>
      <c r="AT827">
        <v>0</v>
      </c>
      <c r="AV827">
        <v>1</v>
      </c>
      <c r="AW827">
        <v>1</v>
      </c>
    </row>
    <row r="828" spans="1:49" x14ac:dyDescent="0.25">
      <c r="A828" t="str">
        <f>"824"</f>
        <v>824</v>
      </c>
      <c r="B828" t="str">
        <f t="shared" si="45"/>
        <v>1</v>
      </c>
      <c r="C828" t="str">
        <f>"36"</f>
        <v>36</v>
      </c>
      <c r="D828" t="str">
        <f>"1"</f>
        <v>1</v>
      </c>
      <c r="E828" t="str">
        <f>"1-36-1"</f>
        <v>1-36-1</v>
      </c>
      <c r="F828" t="s">
        <v>83</v>
      </c>
      <c r="G828" t="s">
        <v>84</v>
      </c>
      <c r="H828" t="s">
        <v>92</v>
      </c>
      <c r="I828">
        <v>1</v>
      </c>
      <c r="J828">
        <v>1</v>
      </c>
      <c r="N828">
        <v>1</v>
      </c>
      <c r="O828">
        <v>1</v>
      </c>
      <c r="P828">
        <v>1</v>
      </c>
      <c r="Q828">
        <v>1</v>
      </c>
      <c r="R828">
        <v>1</v>
      </c>
      <c r="S828">
        <v>0</v>
      </c>
      <c r="T828">
        <v>0</v>
      </c>
      <c r="W828">
        <v>0</v>
      </c>
      <c r="X828">
        <v>0</v>
      </c>
      <c r="Y828">
        <v>1</v>
      </c>
      <c r="Z828">
        <v>0</v>
      </c>
      <c r="AA828">
        <v>0</v>
      </c>
      <c r="AB828">
        <v>0</v>
      </c>
    </row>
    <row r="829" spans="1:49" x14ac:dyDescent="0.25">
      <c r="A829" t="str">
        <f>"825"</f>
        <v>825</v>
      </c>
      <c r="B829" t="str">
        <f t="shared" si="45"/>
        <v>1</v>
      </c>
      <c r="C829" t="str">
        <f>"36"</f>
        <v>36</v>
      </c>
      <c r="D829" t="str">
        <f>"4"</f>
        <v>4</v>
      </c>
      <c r="E829" t="str">
        <f>"1-36-4"</f>
        <v>1-36-4</v>
      </c>
      <c r="F829" t="s">
        <v>83</v>
      </c>
      <c r="G829" t="s">
        <v>84</v>
      </c>
      <c r="H829" t="s">
        <v>92</v>
      </c>
      <c r="I829">
        <v>1</v>
      </c>
      <c r="J829">
        <v>1</v>
      </c>
      <c r="N829">
        <v>1</v>
      </c>
      <c r="O829">
        <v>1</v>
      </c>
      <c r="P829">
        <v>1</v>
      </c>
      <c r="Q829">
        <v>1</v>
      </c>
      <c r="R829">
        <v>1</v>
      </c>
      <c r="S829">
        <v>1</v>
      </c>
      <c r="T829">
        <v>1</v>
      </c>
      <c r="W829">
        <v>1</v>
      </c>
      <c r="X829">
        <v>1</v>
      </c>
      <c r="Y829">
        <v>1</v>
      </c>
      <c r="Z829">
        <v>1</v>
      </c>
      <c r="AA829">
        <v>1</v>
      </c>
      <c r="AB829">
        <v>1</v>
      </c>
    </row>
    <row r="830" spans="1:49" x14ac:dyDescent="0.25">
      <c r="A830" t="str">
        <f>"826"</f>
        <v>826</v>
      </c>
      <c r="B830" t="str">
        <f t="shared" si="45"/>
        <v>1</v>
      </c>
      <c r="C830" t="str">
        <f>"36"</f>
        <v>36</v>
      </c>
      <c r="D830" t="str">
        <f>"2"</f>
        <v>2</v>
      </c>
      <c r="E830" t="str">
        <f>"1-36-2"</f>
        <v>1-36-2</v>
      </c>
      <c r="F830" t="s">
        <v>83</v>
      </c>
      <c r="G830" t="s">
        <v>84</v>
      </c>
      <c r="H830" t="s">
        <v>92</v>
      </c>
      <c r="I830">
        <v>1</v>
      </c>
      <c r="J830">
        <v>1</v>
      </c>
      <c r="N830">
        <v>1</v>
      </c>
      <c r="O830">
        <v>1</v>
      </c>
      <c r="P830">
        <v>1</v>
      </c>
      <c r="Q830">
        <v>1</v>
      </c>
      <c r="R830">
        <v>0</v>
      </c>
      <c r="S830">
        <v>1</v>
      </c>
      <c r="T830">
        <v>0</v>
      </c>
      <c r="W830">
        <v>1</v>
      </c>
      <c r="X830">
        <v>1</v>
      </c>
      <c r="Y830">
        <v>1</v>
      </c>
      <c r="Z830">
        <v>1</v>
      </c>
      <c r="AA830">
        <v>1</v>
      </c>
      <c r="AB830">
        <v>0</v>
      </c>
    </row>
    <row r="831" spans="1:49" x14ac:dyDescent="0.25">
      <c r="A831" t="str">
        <f>"827"</f>
        <v>827</v>
      </c>
      <c r="B831" t="str">
        <f t="shared" si="45"/>
        <v>1</v>
      </c>
      <c r="C831" t="str">
        <f t="shared" ref="C831:C855" si="47">"37"</f>
        <v>37</v>
      </c>
      <c r="D831" t="str">
        <f>"25"</f>
        <v>25</v>
      </c>
      <c r="E831" t="str">
        <f>"1-37-25"</f>
        <v>1-37-25</v>
      </c>
      <c r="F831" t="s">
        <v>83</v>
      </c>
      <c r="G831" t="s">
        <v>86</v>
      </c>
      <c r="H831" t="s">
        <v>93</v>
      </c>
      <c r="I831">
        <v>1</v>
      </c>
      <c r="K831">
        <v>1</v>
      </c>
      <c r="L831">
        <v>0</v>
      </c>
      <c r="M831">
        <v>0</v>
      </c>
      <c r="N831">
        <v>1</v>
      </c>
      <c r="O831">
        <v>1</v>
      </c>
      <c r="P831">
        <v>1</v>
      </c>
      <c r="Q831">
        <v>1</v>
      </c>
      <c r="R831">
        <v>1</v>
      </c>
      <c r="U831">
        <v>0</v>
      </c>
      <c r="V831">
        <v>1</v>
      </c>
      <c r="W831">
        <v>1</v>
      </c>
      <c r="X831">
        <v>1</v>
      </c>
      <c r="Y831">
        <v>1</v>
      </c>
      <c r="Z831">
        <v>1</v>
      </c>
      <c r="AA831">
        <v>1</v>
      </c>
      <c r="AB831">
        <v>1</v>
      </c>
    </row>
    <row r="832" spans="1:49" x14ac:dyDescent="0.25">
      <c r="A832" t="str">
        <f>"828"</f>
        <v>828</v>
      </c>
      <c r="B832" t="str">
        <f t="shared" si="45"/>
        <v>1</v>
      </c>
      <c r="C832" t="str">
        <f t="shared" si="47"/>
        <v>37</v>
      </c>
      <c r="D832" t="str">
        <f>"24"</f>
        <v>24</v>
      </c>
      <c r="E832" t="str">
        <f>"1-37-24"</f>
        <v>1-37-24</v>
      </c>
      <c r="F832" t="s">
        <v>83</v>
      </c>
      <c r="G832" t="s">
        <v>84</v>
      </c>
      <c r="H832" t="s">
        <v>92</v>
      </c>
      <c r="I832">
        <v>1</v>
      </c>
      <c r="J832">
        <v>1</v>
      </c>
      <c r="N832">
        <v>1</v>
      </c>
      <c r="O832">
        <v>1</v>
      </c>
      <c r="P832">
        <v>1</v>
      </c>
      <c r="Q832">
        <v>1</v>
      </c>
      <c r="R832">
        <v>1</v>
      </c>
      <c r="S832">
        <v>1</v>
      </c>
      <c r="T832">
        <v>1</v>
      </c>
      <c r="W832">
        <v>1</v>
      </c>
      <c r="X832">
        <v>1</v>
      </c>
      <c r="Y832">
        <v>1</v>
      </c>
      <c r="Z832">
        <v>1</v>
      </c>
      <c r="AA832">
        <v>1</v>
      </c>
      <c r="AB832">
        <v>1</v>
      </c>
    </row>
    <row r="833" spans="1:49" x14ac:dyDescent="0.25">
      <c r="A833" t="str">
        <f>"829"</f>
        <v>829</v>
      </c>
      <c r="B833" t="str">
        <f t="shared" si="45"/>
        <v>1</v>
      </c>
      <c r="C833" t="str">
        <f t="shared" si="47"/>
        <v>37</v>
      </c>
      <c r="D833" t="str">
        <f>"17"</f>
        <v>17</v>
      </c>
      <c r="E833" t="str">
        <f>"1-37-17"</f>
        <v>1-37-17</v>
      </c>
      <c r="F833" t="s">
        <v>83</v>
      </c>
      <c r="G833" t="s">
        <v>88</v>
      </c>
      <c r="H833" t="s">
        <v>89</v>
      </c>
      <c r="AC833">
        <v>1</v>
      </c>
      <c r="AD833">
        <v>0</v>
      </c>
      <c r="AE833">
        <v>0</v>
      </c>
      <c r="AF833">
        <v>0</v>
      </c>
      <c r="AH833">
        <v>1</v>
      </c>
      <c r="AI833">
        <v>0</v>
      </c>
      <c r="AJ833">
        <v>0</v>
      </c>
      <c r="AK833">
        <v>1</v>
      </c>
      <c r="AL833">
        <v>1</v>
      </c>
      <c r="AM833">
        <v>0</v>
      </c>
      <c r="AN833">
        <v>0</v>
      </c>
      <c r="AO833">
        <v>0</v>
      </c>
      <c r="AP833">
        <v>0</v>
      </c>
      <c r="AQ833">
        <v>0</v>
      </c>
      <c r="AR833">
        <v>0</v>
      </c>
      <c r="AS833">
        <v>0</v>
      </c>
      <c r="AT833">
        <v>1</v>
      </c>
      <c r="AV833">
        <v>0</v>
      </c>
      <c r="AW833">
        <v>1</v>
      </c>
    </row>
    <row r="834" spans="1:49" x14ac:dyDescent="0.25">
      <c r="A834" t="str">
        <f>"830"</f>
        <v>830</v>
      </c>
      <c r="B834" t="str">
        <f t="shared" si="45"/>
        <v>1</v>
      </c>
      <c r="C834" t="str">
        <f t="shared" si="47"/>
        <v>37</v>
      </c>
      <c r="D834" t="str">
        <f>"16"</f>
        <v>16</v>
      </c>
      <c r="E834" t="str">
        <f>"1-37-16"</f>
        <v>1-37-16</v>
      </c>
      <c r="F834" t="s">
        <v>83</v>
      </c>
      <c r="G834" t="s">
        <v>86</v>
      </c>
      <c r="H834" t="s">
        <v>87</v>
      </c>
      <c r="AC834">
        <v>0</v>
      </c>
      <c r="AD834">
        <v>0</v>
      </c>
      <c r="AE834">
        <v>0</v>
      </c>
      <c r="AF834">
        <v>0</v>
      </c>
      <c r="AH834">
        <v>0</v>
      </c>
      <c r="AI834">
        <v>1</v>
      </c>
      <c r="AJ834">
        <v>0</v>
      </c>
      <c r="AK834">
        <v>0</v>
      </c>
      <c r="AL834">
        <v>0</v>
      </c>
      <c r="AM834">
        <v>0</v>
      </c>
      <c r="AN834">
        <v>0</v>
      </c>
      <c r="AO834">
        <v>0</v>
      </c>
      <c r="AP834">
        <v>0</v>
      </c>
      <c r="AQ834">
        <v>0</v>
      </c>
      <c r="AU834">
        <v>0</v>
      </c>
      <c r="AV834">
        <v>0</v>
      </c>
      <c r="AW834">
        <v>0</v>
      </c>
    </row>
    <row r="835" spans="1:49" x14ac:dyDescent="0.25">
      <c r="A835" t="str">
        <f>"831"</f>
        <v>831</v>
      </c>
      <c r="B835" t="str">
        <f t="shared" si="45"/>
        <v>1</v>
      </c>
      <c r="C835" t="str">
        <f t="shared" si="47"/>
        <v>37</v>
      </c>
      <c r="D835" t="str">
        <f>"11"</f>
        <v>11</v>
      </c>
      <c r="E835" t="str">
        <f>"1-37-11"</f>
        <v>1-37-11</v>
      </c>
      <c r="F835" t="s">
        <v>83</v>
      </c>
      <c r="G835" t="s">
        <v>84</v>
      </c>
      <c r="H835" t="s">
        <v>85</v>
      </c>
      <c r="AC835">
        <v>0</v>
      </c>
      <c r="AD835">
        <v>1</v>
      </c>
      <c r="AE835">
        <v>0</v>
      </c>
      <c r="AF835">
        <v>0</v>
      </c>
      <c r="AG835">
        <v>0</v>
      </c>
      <c r="AJ835">
        <v>1</v>
      </c>
      <c r="AK835">
        <v>0</v>
      </c>
      <c r="AL835">
        <v>0</v>
      </c>
      <c r="AM835">
        <v>1</v>
      </c>
      <c r="AN835">
        <v>0</v>
      </c>
      <c r="AO835">
        <v>0</v>
      </c>
      <c r="AP835">
        <v>0</v>
      </c>
      <c r="AQ835">
        <v>0</v>
      </c>
      <c r="AR835">
        <v>0</v>
      </c>
      <c r="AS835">
        <v>1</v>
      </c>
      <c r="AT835">
        <v>0</v>
      </c>
      <c r="AV835">
        <v>0</v>
      </c>
      <c r="AW835">
        <v>0</v>
      </c>
    </row>
    <row r="836" spans="1:49" x14ac:dyDescent="0.25">
      <c r="A836" t="str">
        <f>"832"</f>
        <v>832</v>
      </c>
      <c r="B836" t="str">
        <f t="shared" si="45"/>
        <v>1</v>
      </c>
      <c r="C836" t="str">
        <f t="shared" si="47"/>
        <v>37</v>
      </c>
      <c r="D836" t="str">
        <f>"8"</f>
        <v>8</v>
      </c>
      <c r="E836" t="str">
        <f>"1-37-8"</f>
        <v>1-37-8</v>
      </c>
      <c r="F836" t="s">
        <v>83</v>
      </c>
      <c r="G836" t="s">
        <v>86</v>
      </c>
      <c r="H836" t="s">
        <v>93</v>
      </c>
      <c r="I836">
        <v>1</v>
      </c>
      <c r="K836">
        <v>1</v>
      </c>
      <c r="L836">
        <v>0</v>
      </c>
      <c r="M836">
        <v>0</v>
      </c>
      <c r="N836">
        <v>1</v>
      </c>
      <c r="O836">
        <v>1</v>
      </c>
      <c r="P836">
        <v>1</v>
      </c>
      <c r="Q836">
        <v>1</v>
      </c>
      <c r="R836">
        <v>0</v>
      </c>
      <c r="U836">
        <v>1</v>
      </c>
      <c r="V836">
        <v>0</v>
      </c>
      <c r="W836">
        <v>1</v>
      </c>
      <c r="X836">
        <v>1</v>
      </c>
      <c r="Y836">
        <v>1</v>
      </c>
      <c r="Z836">
        <v>1</v>
      </c>
      <c r="AA836">
        <v>1</v>
      </c>
      <c r="AB836">
        <v>1</v>
      </c>
    </row>
    <row r="837" spans="1:49" x14ac:dyDescent="0.25">
      <c r="A837" t="str">
        <f>"833"</f>
        <v>833</v>
      </c>
      <c r="B837" t="str">
        <f t="shared" si="45"/>
        <v>1</v>
      </c>
      <c r="C837" t="str">
        <f t="shared" si="47"/>
        <v>37</v>
      </c>
      <c r="D837" t="str">
        <f>"1"</f>
        <v>1</v>
      </c>
      <c r="E837" t="str">
        <f>"1-37-1"</f>
        <v>1-37-1</v>
      </c>
      <c r="F837" t="s">
        <v>83</v>
      </c>
      <c r="G837" t="s">
        <v>86</v>
      </c>
      <c r="H837" t="s">
        <v>93</v>
      </c>
      <c r="I837">
        <v>1</v>
      </c>
      <c r="K837">
        <v>1</v>
      </c>
      <c r="L837">
        <v>0</v>
      </c>
      <c r="M837">
        <v>0</v>
      </c>
      <c r="N837">
        <v>1</v>
      </c>
      <c r="O837">
        <v>1</v>
      </c>
      <c r="P837">
        <v>1</v>
      </c>
      <c r="Q837">
        <v>1</v>
      </c>
      <c r="R837">
        <v>1</v>
      </c>
      <c r="U837">
        <v>0</v>
      </c>
      <c r="V837">
        <v>1</v>
      </c>
      <c r="W837">
        <v>1</v>
      </c>
      <c r="X837">
        <v>1</v>
      </c>
      <c r="Y837">
        <v>1</v>
      </c>
      <c r="Z837">
        <v>1</v>
      </c>
      <c r="AA837">
        <v>1</v>
      </c>
      <c r="AB837">
        <v>1</v>
      </c>
    </row>
    <row r="838" spans="1:49" x14ac:dyDescent="0.25">
      <c r="A838" t="str">
        <f>"834"</f>
        <v>834</v>
      </c>
      <c r="B838" t="str">
        <f t="shared" si="45"/>
        <v>1</v>
      </c>
      <c r="C838" t="str">
        <f t="shared" si="47"/>
        <v>37</v>
      </c>
      <c r="D838" t="str">
        <f>"18"</f>
        <v>18</v>
      </c>
      <c r="E838" t="str">
        <f>"1-37-18"</f>
        <v>1-37-18</v>
      </c>
      <c r="F838" t="s">
        <v>83</v>
      </c>
      <c r="G838" t="s">
        <v>86</v>
      </c>
      <c r="H838" t="s">
        <v>93</v>
      </c>
      <c r="I838">
        <v>1</v>
      </c>
      <c r="K838">
        <v>0</v>
      </c>
      <c r="L838">
        <v>0</v>
      </c>
      <c r="M838">
        <v>0</v>
      </c>
      <c r="N838">
        <v>1</v>
      </c>
      <c r="O838">
        <v>0</v>
      </c>
      <c r="P838">
        <v>0</v>
      </c>
      <c r="Q838">
        <v>0</v>
      </c>
      <c r="R838">
        <v>0</v>
      </c>
      <c r="U838">
        <v>0</v>
      </c>
      <c r="V838">
        <v>0</v>
      </c>
      <c r="W838">
        <v>0</v>
      </c>
      <c r="X838">
        <v>0</v>
      </c>
      <c r="Y838">
        <v>0</v>
      </c>
      <c r="Z838">
        <v>1</v>
      </c>
      <c r="AA838">
        <v>1</v>
      </c>
      <c r="AB838">
        <v>1</v>
      </c>
    </row>
    <row r="839" spans="1:49" x14ac:dyDescent="0.25">
      <c r="A839" t="str">
        <f>"835"</f>
        <v>835</v>
      </c>
      <c r="B839" t="str">
        <f t="shared" si="45"/>
        <v>1</v>
      </c>
      <c r="C839" t="str">
        <f t="shared" si="47"/>
        <v>37</v>
      </c>
      <c r="D839" t="str">
        <f>"9"</f>
        <v>9</v>
      </c>
      <c r="E839" t="str">
        <f>"1-37-9"</f>
        <v>1-37-9</v>
      </c>
      <c r="F839" t="s">
        <v>83</v>
      </c>
      <c r="G839" t="s">
        <v>84</v>
      </c>
      <c r="H839" t="s">
        <v>85</v>
      </c>
      <c r="AC839">
        <v>0</v>
      </c>
      <c r="AD839">
        <v>1</v>
      </c>
      <c r="AE839">
        <v>0</v>
      </c>
      <c r="AF839">
        <v>0</v>
      </c>
      <c r="AG839">
        <v>1</v>
      </c>
      <c r="AJ839">
        <v>0</v>
      </c>
      <c r="AK839">
        <v>1</v>
      </c>
      <c r="AL839">
        <v>0</v>
      </c>
      <c r="AM839">
        <v>0</v>
      </c>
      <c r="AN839">
        <v>1</v>
      </c>
      <c r="AO839">
        <v>1</v>
      </c>
      <c r="AP839">
        <v>1</v>
      </c>
      <c r="AQ839">
        <v>1</v>
      </c>
      <c r="AR839">
        <v>1</v>
      </c>
      <c r="AS839">
        <v>1</v>
      </c>
      <c r="AT839">
        <v>0</v>
      </c>
      <c r="AV839">
        <v>1</v>
      </c>
      <c r="AW839">
        <v>1</v>
      </c>
    </row>
    <row r="840" spans="1:49" x14ac:dyDescent="0.25">
      <c r="A840" t="str">
        <f>"836"</f>
        <v>836</v>
      </c>
      <c r="B840" t="str">
        <f t="shared" si="45"/>
        <v>1</v>
      </c>
      <c r="C840" t="str">
        <f t="shared" si="47"/>
        <v>37</v>
      </c>
      <c r="D840" t="str">
        <f>"5"</f>
        <v>5</v>
      </c>
      <c r="E840" t="str">
        <f>"1-37-5"</f>
        <v>1-37-5</v>
      </c>
      <c r="F840" t="s">
        <v>83</v>
      </c>
      <c r="G840" t="s">
        <v>86</v>
      </c>
      <c r="H840" t="s">
        <v>87</v>
      </c>
      <c r="AC840">
        <v>0</v>
      </c>
      <c r="AD840">
        <v>1</v>
      </c>
      <c r="AE840">
        <v>0</v>
      </c>
      <c r="AF840">
        <v>0</v>
      </c>
      <c r="AH840">
        <v>0</v>
      </c>
      <c r="AI840">
        <v>1</v>
      </c>
      <c r="AJ840">
        <v>0</v>
      </c>
      <c r="AK840">
        <v>1</v>
      </c>
      <c r="AL840">
        <v>0</v>
      </c>
      <c r="AM840">
        <v>0</v>
      </c>
      <c r="AN840">
        <v>1</v>
      </c>
      <c r="AO840">
        <v>0</v>
      </c>
      <c r="AP840">
        <v>0</v>
      </c>
      <c r="AQ840">
        <v>0</v>
      </c>
      <c r="AU840">
        <v>0</v>
      </c>
      <c r="AV840">
        <v>0</v>
      </c>
      <c r="AW840">
        <v>0</v>
      </c>
    </row>
    <row r="841" spans="1:49" x14ac:dyDescent="0.25">
      <c r="A841" t="str">
        <f>"837"</f>
        <v>837</v>
      </c>
      <c r="B841" t="str">
        <f t="shared" si="45"/>
        <v>1</v>
      </c>
      <c r="C841" t="str">
        <f t="shared" si="47"/>
        <v>37</v>
      </c>
      <c r="D841" t="str">
        <f>"19"</f>
        <v>19</v>
      </c>
      <c r="E841" t="str">
        <f>"1-37-19"</f>
        <v>1-37-19</v>
      </c>
      <c r="F841" t="s">
        <v>83</v>
      </c>
      <c r="G841" t="s">
        <v>86</v>
      </c>
      <c r="H841" t="s">
        <v>87</v>
      </c>
      <c r="AC841">
        <v>0</v>
      </c>
      <c r="AD841">
        <v>1</v>
      </c>
      <c r="AE841">
        <v>0</v>
      </c>
      <c r="AF841">
        <v>0</v>
      </c>
      <c r="AH841">
        <v>1</v>
      </c>
      <c r="AI841">
        <v>0</v>
      </c>
      <c r="AJ841">
        <v>0</v>
      </c>
      <c r="AK841">
        <v>1</v>
      </c>
      <c r="AL841">
        <v>0</v>
      </c>
      <c r="AM841">
        <v>0</v>
      </c>
      <c r="AN841">
        <v>1</v>
      </c>
      <c r="AO841">
        <v>1</v>
      </c>
      <c r="AP841">
        <v>1</v>
      </c>
      <c r="AQ841">
        <v>1</v>
      </c>
      <c r="AU841">
        <v>1</v>
      </c>
      <c r="AV841">
        <v>1</v>
      </c>
      <c r="AW841">
        <v>1</v>
      </c>
    </row>
    <row r="842" spans="1:49" x14ac:dyDescent="0.25">
      <c r="A842" t="str">
        <f>"838"</f>
        <v>838</v>
      </c>
      <c r="B842" t="str">
        <f t="shared" si="45"/>
        <v>1</v>
      </c>
      <c r="C842" t="str">
        <f t="shared" si="47"/>
        <v>37</v>
      </c>
      <c r="D842" t="str">
        <f>"10"</f>
        <v>10</v>
      </c>
      <c r="E842" t="str">
        <f>"1-37-10"</f>
        <v>1-37-10</v>
      </c>
      <c r="F842" t="s">
        <v>83</v>
      </c>
      <c r="G842" t="s">
        <v>84</v>
      </c>
      <c r="H842" t="s">
        <v>85</v>
      </c>
      <c r="AC842">
        <v>1</v>
      </c>
      <c r="AD842">
        <v>0</v>
      </c>
      <c r="AE842">
        <v>0</v>
      </c>
      <c r="AF842">
        <v>0</v>
      </c>
      <c r="AG842">
        <v>1</v>
      </c>
      <c r="AJ842">
        <v>1</v>
      </c>
      <c r="AK842">
        <v>0</v>
      </c>
      <c r="AL842">
        <v>0</v>
      </c>
      <c r="AM842">
        <v>1</v>
      </c>
      <c r="AN842">
        <v>0</v>
      </c>
      <c r="AO842">
        <v>1</v>
      </c>
      <c r="AP842">
        <v>1</v>
      </c>
      <c r="AQ842">
        <v>1</v>
      </c>
      <c r="AR842">
        <v>1</v>
      </c>
      <c r="AS842">
        <v>0</v>
      </c>
      <c r="AT842">
        <v>1</v>
      </c>
      <c r="AV842">
        <v>1</v>
      </c>
      <c r="AW842">
        <v>1</v>
      </c>
    </row>
    <row r="843" spans="1:49" x14ac:dyDescent="0.25">
      <c r="A843" t="str">
        <f>"839"</f>
        <v>839</v>
      </c>
      <c r="B843" t="str">
        <f t="shared" si="45"/>
        <v>1</v>
      </c>
      <c r="C843" t="str">
        <f t="shared" si="47"/>
        <v>37</v>
      </c>
      <c r="D843" t="str">
        <f>"4"</f>
        <v>4</v>
      </c>
      <c r="E843" t="str">
        <f>"1-37-4"</f>
        <v>1-37-4</v>
      </c>
      <c r="F843" t="s">
        <v>83</v>
      </c>
      <c r="G843" t="s">
        <v>86</v>
      </c>
      <c r="H843" t="s">
        <v>87</v>
      </c>
      <c r="AC843">
        <v>0</v>
      </c>
      <c r="AD843">
        <v>1</v>
      </c>
      <c r="AE843">
        <v>0</v>
      </c>
      <c r="AF843">
        <v>0</v>
      </c>
      <c r="AH843">
        <v>0</v>
      </c>
      <c r="AI843">
        <v>1</v>
      </c>
      <c r="AJ843">
        <v>0</v>
      </c>
      <c r="AK843">
        <v>1</v>
      </c>
      <c r="AL843">
        <v>0</v>
      </c>
      <c r="AM843">
        <v>0</v>
      </c>
      <c r="AN843">
        <v>1</v>
      </c>
      <c r="AO843">
        <v>0</v>
      </c>
      <c r="AP843">
        <v>0</v>
      </c>
      <c r="AQ843">
        <v>0</v>
      </c>
      <c r="AU843">
        <v>0</v>
      </c>
      <c r="AV843">
        <v>0</v>
      </c>
      <c r="AW843">
        <v>0</v>
      </c>
    </row>
    <row r="844" spans="1:49" x14ac:dyDescent="0.25">
      <c r="A844" t="str">
        <f>"840"</f>
        <v>840</v>
      </c>
      <c r="B844" t="str">
        <f t="shared" si="45"/>
        <v>1</v>
      </c>
      <c r="C844" t="str">
        <f t="shared" si="47"/>
        <v>37</v>
      </c>
      <c r="D844" t="str">
        <f>"20"</f>
        <v>20</v>
      </c>
      <c r="E844" t="str">
        <f>"1-37-20"</f>
        <v>1-37-20</v>
      </c>
      <c r="F844" t="s">
        <v>83</v>
      </c>
      <c r="G844" t="s">
        <v>84</v>
      </c>
      <c r="H844" t="s">
        <v>85</v>
      </c>
      <c r="AC844">
        <v>0</v>
      </c>
      <c r="AD844">
        <v>1</v>
      </c>
      <c r="AE844">
        <v>0</v>
      </c>
      <c r="AF844">
        <v>0</v>
      </c>
      <c r="AG844">
        <v>1</v>
      </c>
      <c r="AJ844">
        <v>0</v>
      </c>
      <c r="AK844">
        <v>1</v>
      </c>
      <c r="AL844">
        <v>0</v>
      </c>
      <c r="AM844">
        <v>1</v>
      </c>
      <c r="AN844">
        <v>0</v>
      </c>
      <c r="AO844">
        <v>1</v>
      </c>
      <c r="AP844">
        <v>1</v>
      </c>
      <c r="AQ844">
        <v>1</v>
      </c>
      <c r="AR844">
        <v>1</v>
      </c>
      <c r="AS844">
        <v>0</v>
      </c>
      <c r="AT844">
        <v>1</v>
      </c>
      <c r="AV844">
        <v>1</v>
      </c>
      <c r="AW844">
        <v>1</v>
      </c>
    </row>
    <row r="845" spans="1:49" x14ac:dyDescent="0.25">
      <c r="A845" t="str">
        <f>"841"</f>
        <v>841</v>
      </c>
      <c r="B845" t="str">
        <f t="shared" si="45"/>
        <v>1</v>
      </c>
      <c r="C845" t="str">
        <f t="shared" si="47"/>
        <v>37</v>
      </c>
      <c r="D845" t="str">
        <f>"12"</f>
        <v>12</v>
      </c>
      <c r="E845" t="str">
        <f>"1-37-12"</f>
        <v>1-37-12</v>
      </c>
      <c r="F845" t="s">
        <v>83</v>
      </c>
      <c r="G845" t="s">
        <v>84</v>
      </c>
      <c r="H845" t="s">
        <v>85</v>
      </c>
      <c r="AC845">
        <v>0</v>
      </c>
      <c r="AD845">
        <v>1</v>
      </c>
      <c r="AE845">
        <v>0</v>
      </c>
      <c r="AF845">
        <v>0</v>
      </c>
      <c r="AG845">
        <v>0</v>
      </c>
      <c r="AJ845">
        <v>1</v>
      </c>
      <c r="AK845">
        <v>0</v>
      </c>
      <c r="AL845">
        <v>0</v>
      </c>
      <c r="AM845">
        <v>1</v>
      </c>
      <c r="AN845">
        <v>0</v>
      </c>
      <c r="AO845">
        <v>0</v>
      </c>
      <c r="AP845">
        <v>0</v>
      </c>
      <c r="AQ845">
        <v>0</v>
      </c>
      <c r="AR845">
        <v>0</v>
      </c>
      <c r="AS845">
        <v>1</v>
      </c>
      <c r="AT845">
        <v>0</v>
      </c>
      <c r="AV845">
        <v>0</v>
      </c>
      <c r="AW845">
        <v>0</v>
      </c>
    </row>
    <row r="846" spans="1:49" x14ac:dyDescent="0.25">
      <c r="A846" t="str">
        <f>"842"</f>
        <v>842</v>
      </c>
      <c r="B846" t="str">
        <f t="shared" si="45"/>
        <v>1</v>
      </c>
      <c r="C846" t="str">
        <f t="shared" si="47"/>
        <v>37</v>
      </c>
      <c r="D846" t="str">
        <f>"3"</f>
        <v>3</v>
      </c>
      <c r="E846" t="str">
        <f>"1-37-3"</f>
        <v>1-37-3</v>
      </c>
      <c r="F846" t="s">
        <v>83</v>
      </c>
      <c r="G846" t="s">
        <v>84</v>
      </c>
      <c r="H846" t="s">
        <v>92</v>
      </c>
      <c r="I846">
        <v>1</v>
      </c>
      <c r="J846">
        <v>1</v>
      </c>
      <c r="N846">
        <v>1</v>
      </c>
      <c r="O846">
        <v>1</v>
      </c>
      <c r="P846">
        <v>1</v>
      </c>
      <c r="Q846">
        <v>1</v>
      </c>
      <c r="R846">
        <v>1</v>
      </c>
      <c r="S846">
        <v>1</v>
      </c>
      <c r="T846">
        <v>1</v>
      </c>
      <c r="W846">
        <v>1</v>
      </c>
      <c r="X846">
        <v>1</v>
      </c>
      <c r="Y846">
        <v>1</v>
      </c>
      <c r="Z846">
        <v>1</v>
      </c>
      <c r="AA846">
        <v>1</v>
      </c>
      <c r="AB846">
        <v>1</v>
      </c>
    </row>
    <row r="847" spans="1:49" x14ac:dyDescent="0.25">
      <c r="A847" t="str">
        <f>"843"</f>
        <v>843</v>
      </c>
      <c r="B847" t="str">
        <f t="shared" si="45"/>
        <v>1</v>
      </c>
      <c r="C847" t="str">
        <f t="shared" si="47"/>
        <v>37</v>
      </c>
      <c r="D847" t="str">
        <f>"22"</f>
        <v>22</v>
      </c>
      <c r="E847" t="str">
        <f>"1-37-22"</f>
        <v>1-37-22</v>
      </c>
      <c r="F847" t="s">
        <v>83</v>
      </c>
      <c r="G847" t="s">
        <v>86</v>
      </c>
      <c r="H847" t="s">
        <v>87</v>
      </c>
      <c r="AC847">
        <v>0</v>
      </c>
      <c r="AD847">
        <v>1</v>
      </c>
      <c r="AE847">
        <v>0</v>
      </c>
      <c r="AF847">
        <v>0</v>
      </c>
      <c r="AH847">
        <v>0</v>
      </c>
      <c r="AI847">
        <v>1</v>
      </c>
      <c r="AJ847">
        <v>0</v>
      </c>
      <c r="AK847">
        <v>0</v>
      </c>
      <c r="AL847">
        <v>0</v>
      </c>
      <c r="AM847">
        <v>0</v>
      </c>
      <c r="AN847">
        <v>0</v>
      </c>
      <c r="AO847">
        <v>0</v>
      </c>
      <c r="AP847">
        <v>0</v>
      </c>
      <c r="AQ847">
        <v>0</v>
      </c>
      <c r="AU847">
        <v>0</v>
      </c>
      <c r="AV847">
        <v>0</v>
      </c>
      <c r="AW847">
        <v>0</v>
      </c>
    </row>
    <row r="848" spans="1:49" x14ac:dyDescent="0.25">
      <c r="A848" t="str">
        <f>"844"</f>
        <v>844</v>
      </c>
      <c r="B848" t="str">
        <f t="shared" si="45"/>
        <v>1</v>
      </c>
      <c r="C848" t="str">
        <f t="shared" si="47"/>
        <v>37</v>
      </c>
      <c r="D848" t="str">
        <f>"13"</f>
        <v>13</v>
      </c>
      <c r="E848" t="str">
        <f>"1-37-13"</f>
        <v>1-37-13</v>
      </c>
      <c r="F848" t="s">
        <v>83</v>
      </c>
      <c r="G848" t="s">
        <v>84</v>
      </c>
      <c r="H848" t="s">
        <v>85</v>
      </c>
      <c r="AC848">
        <v>0</v>
      </c>
      <c r="AD848">
        <v>1</v>
      </c>
      <c r="AE848">
        <v>0</v>
      </c>
      <c r="AF848">
        <v>0</v>
      </c>
      <c r="AG848">
        <v>1</v>
      </c>
      <c r="AJ848">
        <v>0</v>
      </c>
      <c r="AK848">
        <v>1</v>
      </c>
      <c r="AL848">
        <v>0</v>
      </c>
      <c r="AM848">
        <v>0</v>
      </c>
      <c r="AN848">
        <v>1</v>
      </c>
      <c r="AO848">
        <v>1</v>
      </c>
      <c r="AP848">
        <v>1</v>
      </c>
      <c r="AQ848">
        <v>1</v>
      </c>
      <c r="AR848">
        <v>1</v>
      </c>
      <c r="AS848">
        <v>0</v>
      </c>
      <c r="AT848">
        <v>0</v>
      </c>
      <c r="AV848">
        <v>1</v>
      </c>
      <c r="AW848">
        <v>1</v>
      </c>
    </row>
    <row r="849" spans="1:49" x14ac:dyDescent="0.25">
      <c r="A849" t="str">
        <f>"845"</f>
        <v>845</v>
      </c>
      <c r="B849" t="str">
        <f t="shared" si="45"/>
        <v>1</v>
      </c>
      <c r="C849" t="str">
        <f t="shared" si="47"/>
        <v>37</v>
      </c>
      <c r="D849" t="str">
        <f>"6"</f>
        <v>6</v>
      </c>
      <c r="E849" t="str">
        <f>"1-37-6"</f>
        <v>1-37-6</v>
      </c>
      <c r="F849" t="s">
        <v>83</v>
      </c>
      <c r="G849" t="s">
        <v>86</v>
      </c>
      <c r="H849" t="s">
        <v>87</v>
      </c>
      <c r="AC849">
        <v>0</v>
      </c>
      <c r="AD849">
        <v>1</v>
      </c>
      <c r="AE849">
        <v>0</v>
      </c>
      <c r="AF849">
        <v>0</v>
      </c>
      <c r="AH849">
        <v>1</v>
      </c>
      <c r="AI849">
        <v>0</v>
      </c>
      <c r="AJ849">
        <v>0</v>
      </c>
      <c r="AK849">
        <v>1</v>
      </c>
      <c r="AL849">
        <v>1</v>
      </c>
      <c r="AM849">
        <v>0</v>
      </c>
      <c r="AN849">
        <v>0</v>
      </c>
      <c r="AO849">
        <v>1</v>
      </c>
      <c r="AP849">
        <v>1</v>
      </c>
      <c r="AQ849">
        <v>1</v>
      </c>
      <c r="AU849">
        <v>1</v>
      </c>
      <c r="AV849">
        <v>1</v>
      </c>
      <c r="AW849">
        <v>1</v>
      </c>
    </row>
    <row r="850" spans="1:49" x14ac:dyDescent="0.25">
      <c r="A850" t="str">
        <f>"846"</f>
        <v>846</v>
      </c>
      <c r="B850" t="str">
        <f t="shared" si="45"/>
        <v>1</v>
      </c>
      <c r="C850" t="str">
        <f t="shared" si="47"/>
        <v>37</v>
      </c>
      <c r="D850" t="str">
        <f>"21"</f>
        <v>21</v>
      </c>
      <c r="E850" t="str">
        <f>"1-37-21"</f>
        <v>1-37-21</v>
      </c>
      <c r="F850" t="s">
        <v>83</v>
      </c>
      <c r="G850" t="s">
        <v>84</v>
      </c>
      <c r="H850" t="s">
        <v>85</v>
      </c>
      <c r="AC850">
        <v>0</v>
      </c>
      <c r="AD850">
        <v>1</v>
      </c>
      <c r="AE850">
        <v>0</v>
      </c>
      <c r="AF850">
        <v>0</v>
      </c>
      <c r="AG850">
        <v>0</v>
      </c>
      <c r="AJ850">
        <v>0</v>
      </c>
      <c r="AK850">
        <v>1</v>
      </c>
      <c r="AL850">
        <v>0</v>
      </c>
      <c r="AM850">
        <v>0</v>
      </c>
      <c r="AN850">
        <v>1</v>
      </c>
      <c r="AO850">
        <v>0</v>
      </c>
      <c r="AP850">
        <v>0</v>
      </c>
      <c r="AQ850">
        <v>0</v>
      </c>
      <c r="AR850">
        <v>0</v>
      </c>
      <c r="AS850">
        <v>0</v>
      </c>
      <c r="AT850">
        <v>0</v>
      </c>
      <c r="AV850">
        <v>0</v>
      </c>
      <c r="AW850">
        <v>0</v>
      </c>
    </row>
    <row r="851" spans="1:49" x14ac:dyDescent="0.25">
      <c r="A851" t="str">
        <f>"847"</f>
        <v>847</v>
      </c>
      <c r="B851" t="str">
        <f t="shared" si="45"/>
        <v>1</v>
      </c>
      <c r="C851" t="str">
        <f t="shared" si="47"/>
        <v>37</v>
      </c>
      <c r="D851" t="str">
        <f>"14"</f>
        <v>14</v>
      </c>
      <c r="E851" t="str">
        <f>"1-37-14"</f>
        <v>1-37-14</v>
      </c>
      <c r="F851" t="s">
        <v>83</v>
      </c>
      <c r="G851" t="s">
        <v>84</v>
      </c>
      <c r="H851" t="s">
        <v>92</v>
      </c>
      <c r="I851">
        <v>1</v>
      </c>
      <c r="J851">
        <v>1</v>
      </c>
      <c r="N851">
        <v>1</v>
      </c>
      <c r="O851">
        <v>1</v>
      </c>
      <c r="P851">
        <v>1</v>
      </c>
      <c r="Q851">
        <v>1</v>
      </c>
      <c r="R851">
        <v>1</v>
      </c>
      <c r="S851">
        <v>1</v>
      </c>
      <c r="T851">
        <v>1</v>
      </c>
      <c r="W851">
        <v>1</v>
      </c>
      <c r="X851">
        <v>1</v>
      </c>
      <c r="Y851">
        <v>1</v>
      </c>
      <c r="Z851">
        <v>1</v>
      </c>
      <c r="AA851">
        <v>1</v>
      </c>
      <c r="AB851">
        <v>1</v>
      </c>
    </row>
    <row r="852" spans="1:49" x14ac:dyDescent="0.25">
      <c r="A852" t="str">
        <f>"848"</f>
        <v>848</v>
      </c>
      <c r="B852" t="str">
        <f t="shared" si="45"/>
        <v>1</v>
      </c>
      <c r="C852" t="str">
        <f t="shared" si="47"/>
        <v>37</v>
      </c>
      <c r="D852" t="str">
        <f>"7"</f>
        <v>7</v>
      </c>
      <c r="E852" t="str">
        <f>"1-37-7"</f>
        <v>1-37-7</v>
      </c>
      <c r="F852" t="s">
        <v>83</v>
      </c>
      <c r="G852" t="s">
        <v>84</v>
      </c>
      <c r="H852" t="s">
        <v>85</v>
      </c>
      <c r="AC852">
        <v>1</v>
      </c>
      <c r="AD852">
        <v>0</v>
      </c>
      <c r="AE852">
        <v>0</v>
      </c>
      <c r="AF852">
        <v>0</v>
      </c>
      <c r="AG852">
        <v>0</v>
      </c>
      <c r="AJ852">
        <v>0</v>
      </c>
      <c r="AK852">
        <v>1</v>
      </c>
      <c r="AL852">
        <v>0</v>
      </c>
      <c r="AM852">
        <v>0</v>
      </c>
      <c r="AN852">
        <v>0</v>
      </c>
      <c r="AO852">
        <v>1</v>
      </c>
      <c r="AP852">
        <v>1</v>
      </c>
      <c r="AQ852">
        <v>1</v>
      </c>
      <c r="AR852">
        <v>1</v>
      </c>
      <c r="AS852">
        <v>1</v>
      </c>
      <c r="AT852">
        <v>0</v>
      </c>
      <c r="AV852">
        <v>1</v>
      </c>
      <c r="AW852">
        <v>1</v>
      </c>
    </row>
    <row r="853" spans="1:49" x14ac:dyDescent="0.25">
      <c r="A853" t="str">
        <f>"849"</f>
        <v>849</v>
      </c>
      <c r="B853" t="str">
        <f t="shared" si="45"/>
        <v>1</v>
      </c>
      <c r="C853" t="str">
        <f t="shared" si="47"/>
        <v>37</v>
      </c>
      <c r="D853" t="str">
        <f>"23"</f>
        <v>23</v>
      </c>
      <c r="E853" t="str">
        <f>"1-37-23"</f>
        <v>1-37-23</v>
      </c>
      <c r="F853" t="s">
        <v>83</v>
      </c>
      <c r="G853" t="s">
        <v>84</v>
      </c>
      <c r="H853" t="s">
        <v>92</v>
      </c>
      <c r="I853">
        <v>1</v>
      </c>
      <c r="J853">
        <v>1</v>
      </c>
      <c r="N853">
        <v>1</v>
      </c>
      <c r="O853">
        <v>1</v>
      </c>
      <c r="P853">
        <v>1</v>
      </c>
      <c r="Q853">
        <v>1</v>
      </c>
      <c r="R853">
        <v>1</v>
      </c>
      <c r="S853">
        <v>1</v>
      </c>
      <c r="T853">
        <v>0</v>
      </c>
      <c r="W853">
        <v>1</v>
      </c>
      <c r="X853">
        <v>1</v>
      </c>
      <c r="Y853">
        <v>1</v>
      </c>
      <c r="Z853">
        <v>1</v>
      </c>
      <c r="AA853">
        <v>1</v>
      </c>
      <c r="AB853">
        <v>1</v>
      </c>
    </row>
    <row r="854" spans="1:49" x14ac:dyDescent="0.25">
      <c r="A854" t="str">
        <f>"850"</f>
        <v>850</v>
      </c>
      <c r="B854" t="str">
        <f t="shared" si="45"/>
        <v>1</v>
      </c>
      <c r="C854" t="str">
        <f t="shared" si="47"/>
        <v>37</v>
      </c>
      <c r="D854" t="str">
        <f>"15"</f>
        <v>15</v>
      </c>
      <c r="E854" t="str">
        <f>"1-37-15"</f>
        <v>1-37-15</v>
      </c>
      <c r="F854" t="s">
        <v>83</v>
      </c>
      <c r="G854" t="s">
        <v>86</v>
      </c>
      <c r="H854" t="s">
        <v>93</v>
      </c>
      <c r="I854">
        <v>1</v>
      </c>
      <c r="K854">
        <v>0</v>
      </c>
      <c r="L854">
        <v>0</v>
      </c>
      <c r="M854">
        <v>1</v>
      </c>
      <c r="N854">
        <v>1</v>
      </c>
      <c r="O854">
        <v>1</v>
      </c>
      <c r="P854">
        <v>1</v>
      </c>
      <c r="Q854">
        <v>1</v>
      </c>
      <c r="R854">
        <v>1</v>
      </c>
      <c r="U854">
        <v>1</v>
      </c>
      <c r="V854">
        <v>0</v>
      </c>
      <c r="W854">
        <v>1</v>
      </c>
      <c r="X854">
        <v>1</v>
      </c>
      <c r="Y854">
        <v>1</v>
      </c>
      <c r="Z854">
        <v>1</v>
      </c>
      <c r="AA854">
        <v>1</v>
      </c>
      <c r="AB854">
        <v>1</v>
      </c>
    </row>
    <row r="855" spans="1:49" x14ac:dyDescent="0.25">
      <c r="A855" t="str">
        <f>"851"</f>
        <v>851</v>
      </c>
      <c r="B855" t="str">
        <f t="shared" si="45"/>
        <v>1</v>
      </c>
      <c r="C855" t="str">
        <f t="shared" si="47"/>
        <v>37</v>
      </c>
      <c r="D855" t="str">
        <f>"2"</f>
        <v>2</v>
      </c>
      <c r="E855" t="str">
        <f>"1-37-2"</f>
        <v>1-37-2</v>
      </c>
      <c r="F855" t="s">
        <v>83</v>
      </c>
      <c r="G855" t="s">
        <v>86</v>
      </c>
      <c r="H855" t="s">
        <v>93</v>
      </c>
      <c r="I855">
        <v>1</v>
      </c>
      <c r="K855">
        <v>1</v>
      </c>
      <c r="L855">
        <v>0</v>
      </c>
      <c r="M855">
        <v>0</v>
      </c>
      <c r="N855">
        <v>1</v>
      </c>
      <c r="O855">
        <v>1</v>
      </c>
      <c r="P855">
        <v>1</v>
      </c>
      <c r="Q855">
        <v>1</v>
      </c>
      <c r="R855">
        <v>1</v>
      </c>
      <c r="U855">
        <v>0</v>
      </c>
      <c r="V855">
        <v>1</v>
      </c>
      <c r="W855">
        <v>1</v>
      </c>
      <c r="X855">
        <v>1</v>
      </c>
      <c r="Y855">
        <v>1</v>
      </c>
      <c r="Z855">
        <v>1</v>
      </c>
      <c r="AA855">
        <v>1</v>
      </c>
      <c r="AB855">
        <v>1</v>
      </c>
    </row>
    <row r="856" spans="1:49" x14ac:dyDescent="0.25">
      <c r="A856" t="str">
        <f>"852"</f>
        <v>852</v>
      </c>
      <c r="B856" t="str">
        <f t="shared" si="45"/>
        <v>1</v>
      </c>
      <c r="C856" t="str">
        <f t="shared" ref="C856:C875" si="48">"38"</f>
        <v>38</v>
      </c>
      <c r="D856" t="str">
        <f>"17"</f>
        <v>17</v>
      </c>
      <c r="E856" t="str">
        <f>"1-38-17"</f>
        <v>1-38-17</v>
      </c>
      <c r="F856" t="s">
        <v>83</v>
      </c>
      <c r="G856" t="s">
        <v>86</v>
      </c>
      <c r="H856" t="s">
        <v>87</v>
      </c>
      <c r="AC856">
        <v>0</v>
      </c>
      <c r="AD856">
        <v>0</v>
      </c>
      <c r="AE856">
        <v>0</v>
      </c>
      <c r="AF856">
        <v>0</v>
      </c>
      <c r="AH856">
        <v>0</v>
      </c>
      <c r="AI856">
        <v>1</v>
      </c>
      <c r="AJ856">
        <v>0</v>
      </c>
      <c r="AK856">
        <v>0</v>
      </c>
      <c r="AL856">
        <v>0</v>
      </c>
      <c r="AM856">
        <v>0</v>
      </c>
      <c r="AN856">
        <v>0</v>
      </c>
      <c r="AO856">
        <v>0</v>
      </c>
      <c r="AP856">
        <v>0</v>
      </c>
      <c r="AQ856">
        <v>0</v>
      </c>
      <c r="AU856">
        <v>0</v>
      </c>
      <c r="AV856">
        <v>0</v>
      </c>
      <c r="AW856">
        <v>0</v>
      </c>
    </row>
    <row r="857" spans="1:49" x14ac:dyDescent="0.25">
      <c r="A857" t="str">
        <f>"853"</f>
        <v>853</v>
      </c>
      <c r="B857" t="str">
        <f t="shared" si="45"/>
        <v>1</v>
      </c>
      <c r="C857" t="str">
        <f t="shared" si="48"/>
        <v>38</v>
      </c>
      <c r="D857" t="str">
        <f>"16"</f>
        <v>16</v>
      </c>
      <c r="E857" t="str">
        <f>"1-38-16"</f>
        <v>1-38-16</v>
      </c>
      <c r="F857" t="s">
        <v>83</v>
      </c>
      <c r="G857" t="s">
        <v>86</v>
      </c>
      <c r="H857" t="s">
        <v>87</v>
      </c>
      <c r="AC857">
        <v>0</v>
      </c>
      <c r="AD857">
        <v>1</v>
      </c>
      <c r="AE857">
        <v>0</v>
      </c>
      <c r="AF857">
        <v>0</v>
      </c>
      <c r="AH857">
        <v>0</v>
      </c>
      <c r="AI857">
        <v>1</v>
      </c>
      <c r="AJ857">
        <v>0</v>
      </c>
      <c r="AK857">
        <v>0</v>
      </c>
      <c r="AL857">
        <v>0</v>
      </c>
      <c r="AM857">
        <v>0</v>
      </c>
      <c r="AN857">
        <v>0</v>
      </c>
      <c r="AO857">
        <v>0</v>
      </c>
      <c r="AP857">
        <v>0</v>
      </c>
      <c r="AQ857">
        <v>0</v>
      </c>
      <c r="AU857">
        <v>0</v>
      </c>
      <c r="AV857">
        <v>0</v>
      </c>
      <c r="AW857">
        <v>0</v>
      </c>
    </row>
    <row r="858" spans="1:49" x14ac:dyDescent="0.25">
      <c r="A858" t="str">
        <f>"854"</f>
        <v>854</v>
      </c>
      <c r="B858" t="str">
        <f t="shared" si="45"/>
        <v>1</v>
      </c>
      <c r="C858" t="str">
        <f t="shared" si="48"/>
        <v>38</v>
      </c>
      <c r="D858" t="str">
        <f>"9"</f>
        <v>9</v>
      </c>
      <c r="E858" t="str">
        <f>"1-38-9"</f>
        <v>1-38-9</v>
      </c>
      <c r="F858" t="s">
        <v>83</v>
      </c>
      <c r="G858" t="s">
        <v>86</v>
      </c>
      <c r="H858" t="s">
        <v>93</v>
      </c>
      <c r="I858">
        <v>1</v>
      </c>
      <c r="K858">
        <v>1</v>
      </c>
      <c r="L858">
        <v>0</v>
      </c>
      <c r="M858">
        <v>0</v>
      </c>
      <c r="N858">
        <v>1</v>
      </c>
      <c r="O858">
        <v>1</v>
      </c>
      <c r="P858">
        <v>1</v>
      </c>
      <c r="Q858">
        <v>1</v>
      </c>
      <c r="R858">
        <v>1</v>
      </c>
      <c r="U858">
        <v>0</v>
      </c>
      <c r="V858">
        <v>1</v>
      </c>
      <c r="W858">
        <v>1</v>
      </c>
      <c r="X858">
        <v>1</v>
      </c>
      <c r="Y858">
        <v>1</v>
      </c>
      <c r="Z858">
        <v>1</v>
      </c>
      <c r="AA858">
        <v>1</v>
      </c>
      <c r="AB858">
        <v>1</v>
      </c>
    </row>
    <row r="859" spans="1:49" x14ac:dyDescent="0.25">
      <c r="A859" t="str">
        <f>"855"</f>
        <v>855</v>
      </c>
      <c r="B859" t="str">
        <f t="shared" si="45"/>
        <v>1</v>
      </c>
      <c r="C859" t="str">
        <f t="shared" si="48"/>
        <v>38</v>
      </c>
      <c r="D859" t="str">
        <f>"8"</f>
        <v>8</v>
      </c>
      <c r="E859" t="str">
        <f>"1-38-8"</f>
        <v>1-38-8</v>
      </c>
      <c r="F859" t="s">
        <v>83</v>
      </c>
      <c r="G859" t="s">
        <v>86</v>
      </c>
      <c r="H859" t="s">
        <v>87</v>
      </c>
      <c r="AC859">
        <v>0</v>
      </c>
      <c r="AD859">
        <v>1</v>
      </c>
      <c r="AE859">
        <v>0</v>
      </c>
      <c r="AF859">
        <v>0</v>
      </c>
      <c r="AH859">
        <v>1</v>
      </c>
      <c r="AI859">
        <v>0</v>
      </c>
      <c r="AJ859">
        <v>1</v>
      </c>
      <c r="AK859">
        <v>0</v>
      </c>
      <c r="AL859">
        <v>0</v>
      </c>
      <c r="AM859">
        <v>1</v>
      </c>
      <c r="AN859">
        <v>0</v>
      </c>
      <c r="AO859">
        <v>1</v>
      </c>
      <c r="AP859">
        <v>1</v>
      </c>
      <c r="AQ859">
        <v>1</v>
      </c>
      <c r="AU859">
        <v>1</v>
      </c>
      <c r="AV859">
        <v>1</v>
      </c>
      <c r="AW859">
        <v>1</v>
      </c>
    </row>
    <row r="860" spans="1:49" x14ac:dyDescent="0.25">
      <c r="A860" t="str">
        <f>"856"</f>
        <v>856</v>
      </c>
      <c r="B860" t="str">
        <f t="shared" si="45"/>
        <v>1</v>
      </c>
      <c r="C860" t="str">
        <f t="shared" si="48"/>
        <v>38</v>
      </c>
      <c r="D860" t="str">
        <f>"4"</f>
        <v>4</v>
      </c>
      <c r="E860" t="str">
        <f>"1-38-4"</f>
        <v>1-38-4</v>
      </c>
      <c r="F860" t="s">
        <v>83</v>
      </c>
      <c r="G860" t="s">
        <v>86</v>
      </c>
      <c r="H860" t="s">
        <v>87</v>
      </c>
      <c r="AC860">
        <v>0</v>
      </c>
      <c r="AD860">
        <v>1</v>
      </c>
      <c r="AE860">
        <v>0</v>
      </c>
      <c r="AF860">
        <v>0</v>
      </c>
      <c r="AH860">
        <v>0</v>
      </c>
      <c r="AI860">
        <v>1</v>
      </c>
      <c r="AJ860">
        <v>0</v>
      </c>
      <c r="AK860">
        <v>1</v>
      </c>
      <c r="AL860">
        <v>0</v>
      </c>
      <c r="AM860">
        <v>0</v>
      </c>
      <c r="AN860">
        <v>1</v>
      </c>
      <c r="AO860">
        <v>1</v>
      </c>
      <c r="AP860">
        <v>1</v>
      </c>
      <c r="AQ860">
        <v>1</v>
      </c>
      <c r="AU860">
        <v>1</v>
      </c>
      <c r="AV860">
        <v>1</v>
      </c>
      <c r="AW860">
        <v>1</v>
      </c>
    </row>
    <row r="861" spans="1:49" x14ac:dyDescent="0.25">
      <c r="A861" t="str">
        <f>"857"</f>
        <v>857</v>
      </c>
      <c r="B861" t="str">
        <f t="shared" si="45"/>
        <v>1</v>
      </c>
      <c r="C861" t="str">
        <f t="shared" si="48"/>
        <v>38</v>
      </c>
      <c r="D861" t="str">
        <f>"18"</f>
        <v>18</v>
      </c>
      <c r="E861" t="str">
        <f>"1-38-18"</f>
        <v>1-38-18</v>
      </c>
      <c r="F861" t="s">
        <v>83</v>
      </c>
      <c r="G861" t="s">
        <v>86</v>
      </c>
      <c r="H861" t="s">
        <v>87</v>
      </c>
      <c r="AC861">
        <v>0</v>
      </c>
      <c r="AD861">
        <v>1</v>
      </c>
      <c r="AE861">
        <v>0</v>
      </c>
      <c r="AF861">
        <v>0</v>
      </c>
      <c r="AH861">
        <v>0</v>
      </c>
      <c r="AI861">
        <v>1</v>
      </c>
      <c r="AJ861">
        <v>0</v>
      </c>
      <c r="AK861">
        <v>0</v>
      </c>
      <c r="AL861">
        <v>0</v>
      </c>
      <c r="AM861">
        <v>0</v>
      </c>
      <c r="AN861">
        <v>1</v>
      </c>
      <c r="AO861">
        <v>0</v>
      </c>
      <c r="AP861">
        <v>0</v>
      </c>
      <c r="AQ861">
        <v>0</v>
      </c>
      <c r="AU861">
        <v>0</v>
      </c>
      <c r="AV861">
        <v>0</v>
      </c>
      <c r="AW861">
        <v>0</v>
      </c>
    </row>
    <row r="862" spans="1:49" x14ac:dyDescent="0.25">
      <c r="A862" t="str">
        <f>"858"</f>
        <v>858</v>
      </c>
      <c r="B862" t="str">
        <f t="shared" ref="B862:B925" si="49">"1"</f>
        <v>1</v>
      </c>
      <c r="C862" t="str">
        <f t="shared" si="48"/>
        <v>38</v>
      </c>
      <c r="D862" t="str">
        <f>"10"</f>
        <v>10</v>
      </c>
      <c r="E862" t="str">
        <f>"1-38-10"</f>
        <v>1-38-10</v>
      </c>
      <c r="F862" t="s">
        <v>83</v>
      </c>
      <c r="G862" t="s">
        <v>84</v>
      </c>
      <c r="H862" t="s">
        <v>85</v>
      </c>
      <c r="AC862">
        <v>0</v>
      </c>
      <c r="AD862">
        <v>1</v>
      </c>
      <c r="AE862">
        <v>0</v>
      </c>
      <c r="AF862">
        <v>0</v>
      </c>
      <c r="AG862">
        <v>0</v>
      </c>
      <c r="AJ862">
        <v>0</v>
      </c>
      <c r="AK862">
        <v>1</v>
      </c>
      <c r="AL862">
        <v>0</v>
      </c>
      <c r="AM862">
        <v>0</v>
      </c>
      <c r="AN862">
        <v>0</v>
      </c>
      <c r="AO862">
        <v>1</v>
      </c>
      <c r="AP862">
        <v>0</v>
      </c>
      <c r="AQ862">
        <v>0</v>
      </c>
      <c r="AR862">
        <v>0</v>
      </c>
      <c r="AS862">
        <v>0</v>
      </c>
      <c r="AT862">
        <v>1</v>
      </c>
      <c r="AV862">
        <v>0</v>
      </c>
      <c r="AW862">
        <v>0</v>
      </c>
    </row>
    <row r="863" spans="1:49" x14ac:dyDescent="0.25">
      <c r="A863" t="str">
        <f>"859"</f>
        <v>859</v>
      </c>
      <c r="B863" t="str">
        <f t="shared" si="49"/>
        <v>1</v>
      </c>
      <c r="C863" t="str">
        <f t="shared" si="48"/>
        <v>38</v>
      </c>
      <c r="D863" t="str">
        <f>"6"</f>
        <v>6</v>
      </c>
      <c r="E863" t="str">
        <f>"1-38-6"</f>
        <v>1-38-6</v>
      </c>
      <c r="F863" t="s">
        <v>83</v>
      </c>
      <c r="G863" t="s">
        <v>86</v>
      </c>
      <c r="H863" t="s">
        <v>87</v>
      </c>
      <c r="AC863">
        <v>0</v>
      </c>
      <c r="AD863">
        <v>0</v>
      </c>
      <c r="AE863">
        <v>0</v>
      </c>
      <c r="AF863">
        <v>0</v>
      </c>
      <c r="AH863">
        <v>0</v>
      </c>
      <c r="AI863">
        <v>1</v>
      </c>
      <c r="AJ863">
        <v>0</v>
      </c>
      <c r="AK863">
        <v>0</v>
      </c>
      <c r="AL863">
        <v>0</v>
      </c>
      <c r="AM863">
        <v>0</v>
      </c>
      <c r="AN863">
        <v>0</v>
      </c>
      <c r="AO863">
        <v>0</v>
      </c>
      <c r="AP863">
        <v>0</v>
      </c>
      <c r="AQ863">
        <v>0</v>
      </c>
      <c r="AU863">
        <v>0</v>
      </c>
      <c r="AV863">
        <v>0</v>
      </c>
      <c r="AW863">
        <v>0</v>
      </c>
    </row>
    <row r="864" spans="1:49" x14ac:dyDescent="0.25">
      <c r="A864" t="str">
        <f>"860"</f>
        <v>860</v>
      </c>
      <c r="B864" t="str">
        <f t="shared" si="49"/>
        <v>1</v>
      </c>
      <c r="C864" t="str">
        <f t="shared" si="48"/>
        <v>38</v>
      </c>
      <c r="D864" t="str">
        <f>"20"</f>
        <v>20</v>
      </c>
      <c r="E864" t="str">
        <f>"1-38-20"</f>
        <v>1-38-20</v>
      </c>
      <c r="F864" t="s">
        <v>83</v>
      </c>
      <c r="G864" t="s">
        <v>84</v>
      </c>
      <c r="H864" t="s">
        <v>85</v>
      </c>
      <c r="AC864">
        <v>0</v>
      </c>
      <c r="AD864">
        <v>1</v>
      </c>
      <c r="AE864">
        <v>0</v>
      </c>
      <c r="AF864">
        <v>0</v>
      </c>
      <c r="AG864">
        <v>1</v>
      </c>
      <c r="AJ864">
        <v>0</v>
      </c>
      <c r="AK864">
        <v>1</v>
      </c>
      <c r="AL864">
        <v>0</v>
      </c>
      <c r="AM864">
        <v>0</v>
      </c>
      <c r="AN864">
        <v>1</v>
      </c>
      <c r="AO864">
        <v>1</v>
      </c>
      <c r="AP864">
        <v>1</v>
      </c>
      <c r="AQ864">
        <v>1</v>
      </c>
      <c r="AR864">
        <v>1</v>
      </c>
      <c r="AS864">
        <v>0</v>
      </c>
      <c r="AT864">
        <v>1</v>
      </c>
      <c r="AV864">
        <v>1</v>
      </c>
      <c r="AW864">
        <v>1</v>
      </c>
    </row>
    <row r="865" spans="1:49" x14ac:dyDescent="0.25">
      <c r="A865" t="str">
        <f>"861"</f>
        <v>861</v>
      </c>
      <c r="B865" t="str">
        <f t="shared" si="49"/>
        <v>1</v>
      </c>
      <c r="C865" t="str">
        <f t="shared" si="48"/>
        <v>38</v>
      </c>
      <c r="D865" t="str">
        <f>"11"</f>
        <v>11</v>
      </c>
      <c r="E865" t="str">
        <f>"1-38-11"</f>
        <v>1-38-11</v>
      </c>
      <c r="F865" t="s">
        <v>83</v>
      </c>
      <c r="G865" t="s">
        <v>84</v>
      </c>
      <c r="H865" t="s">
        <v>92</v>
      </c>
      <c r="I865">
        <v>1</v>
      </c>
      <c r="J865">
        <v>1</v>
      </c>
      <c r="N865">
        <v>1</v>
      </c>
      <c r="O865">
        <v>1</v>
      </c>
      <c r="P865">
        <v>1</v>
      </c>
      <c r="Q865">
        <v>1</v>
      </c>
      <c r="R865">
        <v>1</v>
      </c>
      <c r="S865">
        <v>1</v>
      </c>
      <c r="T865">
        <v>1</v>
      </c>
      <c r="W865">
        <v>1</v>
      </c>
      <c r="X865">
        <v>1</v>
      </c>
      <c r="Y865">
        <v>1</v>
      </c>
      <c r="Z865">
        <v>1</v>
      </c>
      <c r="AA865">
        <v>1</v>
      </c>
      <c r="AB865">
        <v>1</v>
      </c>
    </row>
    <row r="866" spans="1:49" x14ac:dyDescent="0.25">
      <c r="A866" t="str">
        <f>"862"</f>
        <v>862</v>
      </c>
      <c r="B866" t="str">
        <f t="shared" si="49"/>
        <v>1</v>
      </c>
      <c r="C866" t="str">
        <f t="shared" si="48"/>
        <v>38</v>
      </c>
      <c r="D866" t="str">
        <f>"7"</f>
        <v>7</v>
      </c>
      <c r="E866" t="str">
        <f>"1-38-7"</f>
        <v>1-38-7</v>
      </c>
      <c r="F866" t="s">
        <v>83</v>
      </c>
      <c r="G866" t="s">
        <v>86</v>
      </c>
      <c r="H866" t="s">
        <v>87</v>
      </c>
      <c r="AC866">
        <v>0</v>
      </c>
      <c r="AD866">
        <v>1</v>
      </c>
      <c r="AE866">
        <v>0</v>
      </c>
      <c r="AF866">
        <v>0</v>
      </c>
      <c r="AH866">
        <v>0</v>
      </c>
      <c r="AI866">
        <v>1</v>
      </c>
      <c r="AJ866">
        <v>0</v>
      </c>
      <c r="AK866">
        <v>1</v>
      </c>
      <c r="AL866">
        <v>0</v>
      </c>
      <c r="AM866">
        <v>0</v>
      </c>
      <c r="AN866">
        <v>1</v>
      </c>
      <c r="AO866">
        <v>0</v>
      </c>
      <c r="AP866">
        <v>0</v>
      </c>
      <c r="AQ866">
        <v>0</v>
      </c>
      <c r="AU866">
        <v>0</v>
      </c>
      <c r="AV866">
        <v>0</v>
      </c>
      <c r="AW866">
        <v>0</v>
      </c>
    </row>
    <row r="867" spans="1:49" x14ac:dyDescent="0.25">
      <c r="A867" t="str">
        <f>"863"</f>
        <v>863</v>
      </c>
      <c r="B867" t="str">
        <f t="shared" si="49"/>
        <v>1</v>
      </c>
      <c r="C867" t="str">
        <f t="shared" si="48"/>
        <v>38</v>
      </c>
      <c r="D867" t="str">
        <f>"19"</f>
        <v>19</v>
      </c>
      <c r="E867" t="str">
        <f>"1-38-19"</f>
        <v>1-38-19</v>
      </c>
      <c r="F867" t="s">
        <v>83</v>
      </c>
      <c r="G867" t="s">
        <v>84</v>
      </c>
      <c r="H867" t="s">
        <v>85</v>
      </c>
      <c r="AC867">
        <v>1</v>
      </c>
      <c r="AD867">
        <v>0</v>
      </c>
      <c r="AE867">
        <v>0</v>
      </c>
      <c r="AF867">
        <v>0</v>
      </c>
      <c r="AG867">
        <v>0</v>
      </c>
      <c r="AJ867">
        <v>1</v>
      </c>
      <c r="AK867">
        <v>0</v>
      </c>
      <c r="AL867">
        <v>0</v>
      </c>
      <c r="AM867">
        <v>0</v>
      </c>
      <c r="AN867">
        <v>0</v>
      </c>
      <c r="AO867">
        <v>0</v>
      </c>
      <c r="AP867">
        <v>0</v>
      </c>
      <c r="AQ867">
        <v>0</v>
      </c>
      <c r="AR867">
        <v>0</v>
      </c>
      <c r="AS867">
        <v>0</v>
      </c>
      <c r="AT867">
        <v>1</v>
      </c>
      <c r="AV867">
        <v>0</v>
      </c>
      <c r="AW867">
        <v>0</v>
      </c>
    </row>
    <row r="868" spans="1:49" x14ac:dyDescent="0.25">
      <c r="A868" t="str">
        <f>"864"</f>
        <v>864</v>
      </c>
      <c r="B868" t="str">
        <f t="shared" si="49"/>
        <v>1</v>
      </c>
      <c r="C868" t="str">
        <f t="shared" si="48"/>
        <v>38</v>
      </c>
      <c r="D868" t="str">
        <f>"12"</f>
        <v>12</v>
      </c>
      <c r="E868" t="str">
        <f>"1-38-12"</f>
        <v>1-38-12</v>
      </c>
      <c r="F868" t="s">
        <v>83</v>
      </c>
      <c r="G868" t="s">
        <v>84</v>
      </c>
      <c r="H868" t="s">
        <v>92</v>
      </c>
      <c r="I868">
        <v>1</v>
      </c>
      <c r="J868">
        <v>1</v>
      </c>
      <c r="N868">
        <v>1</v>
      </c>
      <c r="O868">
        <v>1</v>
      </c>
      <c r="P868">
        <v>1</v>
      </c>
      <c r="Q868">
        <v>1</v>
      </c>
      <c r="R868">
        <v>0</v>
      </c>
      <c r="S868">
        <v>1</v>
      </c>
      <c r="T868">
        <v>1</v>
      </c>
      <c r="W868">
        <v>0</v>
      </c>
      <c r="X868">
        <v>0</v>
      </c>
      <c r="Y868">
        <v>0</v>
      </c>
      <c r="Z868">
        <v>1</v>
      </c>
      <c r="AA868">
        <v>1</v>
      </c>
      <c r="AB868">
        <v>1</v>
      </c>
    </row>
    <row r="869" spans="1:49" x14ac:dyDescent="0.25">
      <c r="A869" t="str">
        <f>"865"</f>
        <v>865</v>
      </c>
      <c r="B869" t="str">
        <f t="shared" si="49"/>
        <v>1</v>
      </c>
      <c r="C869" t="str">
        <f t="shared" si="48"/>
        <v>38</v>
      </c>
      <c r="D869" t="str">
        <f>"3"</f>
        <v>3</v>
      </c>
      <c r="E869" t="str">
        <f>"1-38-3"</f>
        <v>1-38-3</v>
      </c>
      <c r="F869" t="s">
        <v>83</v>
      </c>
      <c r="G869" t="s">
        <v>86</v>
      </c>
      <c r="H869" t="s">
        <v>87</v>
      </c>
      <c r="AC869">
        <v>0</v>
      </c>
      <c r="AD869">
        <v>1</v>
      </c>
      <c r="AE869">
        <v>0</v>
      </c>
      <c r="AF869">
        <v>0</v>
      </c>
      <c r="AH869">
        <v>0</v>
      </c>
      <c r="AI869">
        <v>1</v>
      </c>
      <c r="AJ869">
        <v>0</v>
      </c>
      <c r="AK869">
        <v>0</v>
      </c>
      <c r="AL869">
        <v>0</v>
      </c>
      <c r="AM869">
        <v>0</v>
      </c>
      <c r="AN869">
        <v>0</v>
      </c>
      <c r="AO869">
        <v>0</v>
      </c>
      <c r="AP869">
        <v>0</v>
      </c>
      <c r="AQ869">
        <v>0</v>
      </c>
      <c r="AU869">
        <v>0</v>
      </c>
      <c r="AV869">
        <v>0</v>
      </c>
      <c r="AW869">
        <v>0</v>
      </c>
    </row>
    <row r="870" spans="1:49" x14ac:dyDescent="0.25">
      <c r="A870" t="str">
        <f>"866"</f>
        <v>866</v>
      </c>
      <c r="B870" t="str">
        <f t="shared" si="49"/>
        <v>1</v>
      </c>
      <c r="C870" t="str">
        <f t="shared" si="48"/>
        <v>38</v>
      </c>
      <c r="D870" t="str">
        <f>"13"</f>
        <v>13</v>
      </c>
      <c r="E870" t="str">
        <f>"1-38-13"</f>
        <v>1-38-13</v>
      </c>
      <c r="F870" t="s">
        <v>83</v>
      </c>
      <c r="G870" t="s">
        <v>86</v>
      </c>
      <c r="H870" t="s">
        <v>87</v>
      </c>
      <c r="AC870">
        <v>0</v>
      </c>
      <c r="AD870">
        <v>1</v>
      </c>
      <c r="AE870">
        <v>0</v>
      </c>
      <c r="AF870">
        <v>0</v>
      </c>
      <c r="AH870">
        <v>0</v>
      </c>
      <c r="AI870">
        <v>1</v>
      </c>
      <c r="AJ870">
        <v>1</v>
      </c>
      <c r="AK870">
        <v>0</v>
      </c>
      <c r="AL870">
        <v>0</v>
      </c>
      <c r="AM870">
        <v>0</v>
      </c>
      <c r="AN870">
        <v>0</v>
      </c>
      <c r="AO870">
        <v>0</v>
      </c>
      <c r="AP870">
        <v>0</v>
      </c>
      <c r="AQ870">
        <v>0</v>
      </c>
      <c r="AU870">
        <v>0</v>
      </c>
      <c r="AV870">
        <v>0</v>
      </c>
      <c r="AW870">
        <v>0</v>
      </c>
    </row>
    <row r="871" spans="1:49" x14ac:dyDescent="0.25">
      <c r="A871" t="str">
        <f>"867"</f>
        <v>867</v>
      </c>
      <c r="B871" t="str">
        <f t="shared" si="49"/>
        <v>1</v>
      </c>
      <c r="C871" t="str">
        <f t="shared" si="48"/>
        <v>38</v>
      </c>
      <c r="D871" t="str">
        <f>"2"</f>
        <v>2</v>
      </c>
      <c r="E871" t="str">
        <f>"1-38-2"</f>
        <v>1-38-2</v>
      </c>
      <c r="F871" t="s">
        <v>83</v>
      </c>
      <c r="G871" t="s">
        <v>86</v>
      </c>
      <c r="H871" t="s">
        <v>87</v>
      </c>
      <c r="AC871">
        <v>0</v>
      </c>
      <c r="AD871">
        <v>0</v>
      </c>
      <c r="AE871">
        <v>0</v>
      </c>
      <c r="AF871">
        <v>0</v>
      </c>
      <c r="AH871">
        <v>0</v>
      </c>
      <c r="AI871">
        <v>1</v>
      </c>
      <c r="AJ871">
        <v>0</v>
      </c>
      <c r="AK871">
        <v>0</v>
      </c>
      <c r="AL871">
        <v>0</v>
      </c>
      <c r="AM871">
        <v>0</v>
      </c>
      <c r="AN871">
        <v>0</v>
      </c>
      <c r="AO871">
        <v>0</v>
      </c>
      <c r="AP871">
        <v>0</v>
      </c>
      <c r="AQ871">
        <v>0</v>
      </c>
      <c r="AU871">
        <v>0</v>
      </c>
      <c r="AV871">
        <v>0</v>
      </c>
      <c r="AW871">
        <v>0</v>
      </c>
    </row>
    <row r="872" spans="1:49" x14ac:dyDescent="0.25">
      <c r="A872" t="str">
        <f>"868"</f>
        <v>868</v>
      </c>
      <c r="B872" t="str">
        <f t="shared" si="49"/>
        <v>1</v>
      </c>
      <c r="C872" t="str">
        <f t="shared" si="48"/>
        <v>38</v>
      </c>
      <c r="D872" t="str">
        <f>"14"</f>
        <v>14</v>
      </c>
      <c r="E872" t="str">
        <f>"1-38-14"</f>
        <v>1-38-14</v>
      </c>
      <c r="F872" t="s">
        <v>83</v>
      </c>
      <c r="G872" t="s">
        <v>86</v>
      </c>
      <c r="H872" t="s">
        <v>87</v>
      </c>
      <c r="AC872">
        <v>1</v>
      </c>
      <c r="AD872">
        <v>0</v>
      </c>
      <c r="AE872">
        <v>0</v>
      </c>
      <c r="AF872">
        <v>0</v>
      </c>
      <c r="AH872">
        <v>1</v>
      </c>
      <c r="AI872">
        <v>0</v>
      </c>
      <c r="AJ872">
        <v>1</v>
      </c>
      <c r="AK872">
        <v>0</v>
      </c>
      <c r="AL872">
        <v>0</v>
      </c>
      <c r="AM872">
        <v>1</v>
      </c>
      <c r="AN872">
        <v>0</v>
      </c>
      <c r="AO872">
        <v>1</v>
      </c>
      <c r="AP872">
        <v>1</v>
      </c>
      <c r="AQ872">
        <v>1</v>
      </c>
      <c r="AU872">
        <v>1</v>
      </c>
      <c r="AV872">
        <v>1</v>
      </c>
      <c r="AW872">
        <v>1</v>
      </c>
    </row>
    <row r="873" spans="1:49" x14ac:dyDescent="0.25">
      <c r="A873" t="str">
        <f>"869"</f>
        <v>869</v>
      </c>
      <c r="B873" t="str">
        <f t="shared" si="49"/>
        <v>1</v>
      </c>
      <c r="C873" t="str">
        <f t="shared" si="48"/>
        <v>38</v>
      </c>
      <c r="D873" t="str">
        <f>"5"</f>
        <v>5</v>
      </c>
      <c r="E873" t="str">
        <f>"1-38-5"</f>
        <v>1-38-5</v>
      </c>
      <c r="F873" t="s">
        <v>83</v>
      </c>
      <c r="G873" t="s">
        <v>86</v>
      </c>
      <c r="H873" t="s">
        <v>93</v>
      </c>
      <c r="I873">
        <v>1</v>
      </c>
      <c r="K873">
        <v>0</v>
      </c>
      <c r="L873">
        <v>0</v>
      </c>
      <c r="M873">
        <v>1</v>
      </c>
      <c r="N873">
        <v>1</v>
      </c>
      <c r="O873">
        <v>1</v>
      </c>
      <c r="P873">
        <v>1</v>
      </c>
      <c r="Q873">
        <v>1</v>
      </c>
      <c r="R873">
        <v>1</v>
      </c>
      <c r="U873">
        <v>0</v>
      </c>
      <c r="V873">
        <v>0</v>
      </c>
      <c r="W873">
        <v>1</v>
      </c>
      <c r="X873">
        <v>1</v>
      </c>
      <c r="Y873">
        <v>1</v>
      </c>
      <c r="Z873">
        <v>1</v>
      </c>
      <c r="AA873">
        <v>1</v>
      </c>
      <c r="AB873">
        <v>1</v>
      </c>
    </row>
    <row r="874" spans="1:49" x14ac:dyDescent="0.25">
      <c r="A874" t="str">
        <f>"870"</f>
        <v>870</v>
      </c>
      <c r="B874" t="str">
        <f t="shared" si="49"/>
        <v>1</v>
      </c>
      <c r="C874" t="str">
        <f t="shared" si="48"/>
        <v>38</v>
      </c>
      <c r="D874" t="str">
        <f>"15"</f>
        <v>15</v>
      </c>
      <c r="E874" t="str">
        <f>"1-38-15"</f>
        <v>1-38-15</v>
      </c>
      <c r="F874" t="s">
        <v>83</v>
      </c>
      <c r="G874" t="s">
        <v>86</v>
      </c>
      <c r="H874" t="s">
        <v>87</v>
      </c>
      <c r="AC874">
        <v>0</v>
      </c>
      <c r="AD874">
        <v>0</v>
      </c>
      <c r="AE874">
        <v>0</v>
      </c>
      <c r="AF874">
        <v>0</v>
      </c>
      <c r="AH874">
        <v>0</v>
      </c>
      <c r="AI874">
        <v>1</v>
      </c>
      <c r="AJ874">
        <v>0</v>
      </c>
      <c r="AK874">
        <v>0</v>
      </c>
      <c r="AL874">
        <v>0</v>
      </c>
      <c r="AM874">
        <v>0</v>
      </c>
      <c r="AN874">
        <v>0</v>
      </c>
      <c r="AO874">
        <v>0</v>
      </c>
      <c r="AP874">
        <v>0</v>
      </c>
      <c r="AQ874">
        <v>0</v>
      </c>
      <c r="AU874">
        <v>0</v>
      </c>
      <c r="AV874">
        <v>0</v>
      </c>
      <c r="AW874">
        <v>0</v>
      </c>
    </row>
    <row r="875" spans="1:49" x14ac:dyDescent="0.25">
      <c r="A875" t="str">
        <f>"871"</f>
        <v>871</v>
      </c>
      <c r="B875" t="str">
        <f t="shared" si="49"/>
        <v>1</v>
      </c>
      <c r="C875" t="str">
        <f t="shared" si="48"/>
        <v>38</v>
      </c>
      <c r="D875" t="str">
        <f>"1"</f>
        <v>1</v>
      </c>
      <c r="E875" t="str">
        <f>"1-38-1"</f>
        <v>1-38-1</v>
      </c>
      <c r="F875" t="s">
        <v>83</v>
      </c>
      <c r="G875" t="s">
        <v>86</v>
      </c>
      <c r="H875" t="s">
        <v>93</v>
      </c>
      <c r="I875">
        <v>1</v>
      </c>
      <c r="K875">
        <v>0</v>
      </c>
      <c r="L875">
        <v>0</v>
      </c>
      <c r="M875">
        <v>1</v>
      </c>
      <c r="N875">
        <v>1</v>
      </c>
      <c r="O875">
        <v>1</v>
      </c>
      <c r="P875">
        <v>1</v>
      </c>
      <c r="Q875">
        <v>1</v>
      </c>
      <c r="R875">
        <v>1</v>
      </c>
      <c r="U875">
        <v>0</v>
      </c>
      <c r="V875">
        <v>1</v>
      </c>
      <c r="W875">
        <v>1</v>
      </c>
      <c r="X875">
        <v>1</v>
      </c>
      <c r="Y875">
        <v>1</v>
      </c>
      <c r="Z875">
        <v>1</v>
      </c>
      <c r="AA875">
        <v>1</v>
      </c>
      <c r="AB875">
        <v>1</v>
      </c>
    </row>
    <row r="876" spans="1:49" x14ac:dyDescent="0.25">
      <c r="A876" t="str">
        <f>"872"</f>
        <v>872</v>
      </c>
      <c r="B876" t="str">
        <f t="shared" si="49"/>
        <v>1</v>
      </c>
      <c r="C876" t="str">
        <f t="shared" ref="C876:C900" si="50">"39"</f>
        <v>39</v>
      </c>
      <c r="D876" t="str">
        <f>"19"</f>
        <v>19</v>
      </c>
      <c r="E876" t="str">
        <f>"1-39-19"</f>
        <v>1-39-19</v>
      </c>
      <c r="F876" t="s">
        <v>83</v>
      </c>
      <c r="G876" t="s">
        <v>84</v>
      </c>
      <c r="H876" t="s">
        <v>92</v>
      </c>
      <c r="I876">
        <v>0</v>
      </c>
      <c r="J876">
        <v>0</v>
      </c>
      <c r="N876">
        <v>1</v>
      </c>
      <c r="O876">
        <v>0</v>
      </c>
      <c r="P876">
        <v>0</v>
      </c>
      <c r="Q876">
        <v>0</v>
      </c>
      <c r="R876">
        <v>0</v>
      </c>
      <c r="S876">
        <v>1</v>
      </c>
      <c r="T876">
        <v>0</v>
      </c>
      <c r="W876">
        <v>0</v>
      </c>
      <c r="X876">
        <v>0</v>
      </c>
      <c r="Y876">
        <v>0</v>
      </c>
      <c r="Z876">
        <v>1</v>
      </c>
      <c r="AA876">
        <v>0</v>
      </c>
      <c r="AB876">
        <v>1</v>
      </c>
    </row>
    <row r="877" spans="1:49" x14ac:dyDescent="0.25">
      <c r="A877" t="str">
        <f>"873"</f>
        <v>873</v>
      </c>
      <c r="B877" t="str">
        <f t="shared" si="49"/>
        <v>1</v>
      </c>
      <c r="C877" t="str">
        <f t="shared" si="50"/>
        <v>39</v>
      </c>
      <c r="D877" t="str">
        <f>"18"</f>
        <v>18</v>
      </c>
      <c r="E877" t="str">
        <f>"1-39-18"</f>
        <v>1-39-18</v>
      </c>
      <c r="F877" t="s">
        <v>83</v>
      </c>
      <c r="G877" t="s">
        <v>84</v>
      </c>
      <c r="H877" t="s">
        <v>92</v>
      </c>
      <c r="I877">
        <v>1</v>
      </c>
      <c r="J877">
        <v>1</v>
      </c>
      <c r="N877">
        <v>1</v>
      </c>
      <c r="O877">
        <v>1</v>
      </c>
      <c r="P877">
        <v>1</v>
      </c>
      <c r="Q877">
        <v>1</v>
      </c>
      <c r="R877">
        <v>0</v>
      </c>
      <c r="S877">
        <v>1</v>
      </c>
      <c r="T877">
        <v>1</v>
      </c>
      <c r="W877">
        <v>1</v>
      </c>
      <c r="X877">
        <v>1</v>
      </c>
      <c r="Y877">
        <v>1</v>
      </c>
      <c r="Z877">
        <v>1</v>
      </c>
      <c r="AA877">
        <v>1</v>
      </c>
      <c r="AB877">
        <v>1</v>
      </c>
    </row>
    <row r="878" spans="1:49" x14ac:dyDescent="0.25">
      <c r="A878" t="str">
        <f>"874"</f>
        <v>874</v>
      </c>
      <c r="B878" t="str">
        <f t="shared" si="49"/>
        <v>1</v>
      </c>
      <c r="C878" t="str">
        <f t="shared" si="50"/>
        <v>39</v>
      </c>
      <c r="D878" t="str">
        <f>"15"</f>
        <v>15</v>
      </c>
      <c r="E878" t="str">
        <f>"1-39-15"</f>
        <v>1-39-15</v>
      </c>
      <c r="F878" t="s">
        <v>83</v>
      </c>
      <c r="G878" t="s">
        <v>84</v>
      </c>
      <c r="H878" t="s">
        <v>85</v>
      </c>
      <c r="AC878">
        <v>0</v>
      </c>
      <c r="AD878">
        <v>1</v>
      </c>
      <c r="AE878">
        <v>0</v>
      </c>
      <c r="AF878">
        <v>0</v>
      </c>
      <c r="AG878">
        <v>1</v>
      </c>
      <c r="AJ878">
        <v>0</v>
      </c>
      <c r="AK878">
        <v>1</v>
      </c>
      <c r="AL878">
        <v>0</v>
      </c>
      <c r="AM878">
        <v>0</v>
      </c>
      <c r="AN878">
        <v>1</v>
      </c>
      <c r="AO878">
        <v>1</v>
      </c>
      <c r="AP878">
        <v>1</v>
      </c>
      <c r="AQ878">
        <v>1</v>
      </c>
      <c r="AR878">
        <v>1</v>
      </c>
      <c r="AS878">
        <v>0</v>
      </c>
      <c r="AT878">
        <v>1</v>
      </c>
      <c r="AV878">
        <v>1</v>
      </c>
      <c r="AW878">
        <v>1</v>
      </c>
    </row>
    <row r="879" spans="1:49" x14ac:dyDescent="0.25">
      <c r="A879" t="str">
        <f>"875"</f>
        <v>875</v>
      </c>
      <c r="B879" t="str">
        <f t="shared" si="49"/>
        <v>1</v>
      </c>
      <c r="C879" t="str">
        <f t="shared" si="50"/>
        <v>39</v>
      </c>
      <c r="D879" t="str">
        <f>"8"</f>
        <v>8</v>
      </c>
      <c r="E879" t="str">
        <f>"1-39-8"</f>
        <v>1-39-8</v>
      </c>
      <c r="F879" t="s">
        <v>83</v>
      </c>
      <c r="G879" t="s">
        <v>84</v>
      </c>
      <c r="H879" t="s">
        <v>85</v>
      </c>
      <c r="AC879">
        <v>0</v>
      </c>
      <c r="AD879">
        <v>1</v>
      </c>
      <c r="AE879">
        <v>0</v>
      </c>
      <c r="AF879">
        <v>0</v>
      </c>
      <c r="AG879">
        <v>1</v>
      </c>
      <c r="AJ879">
        <v>0</v>
      </c>
      <c r="AK879">
        <v>1</v>
      </c>
      <c r="AL879">
        <v>0</v>
      </c>
      <c r="AM879">
        <v>1</v>
      </c>
      <c r="AN879">
        <v>0</v>
      </c>
      <c r="AO879">
        <v>1</v>
      </c>
      <c r="AP879">
        <v>1</v>
      </c>
      <c r="AQ879">
        <v>1</v>
      </c>
      <c r="AR879">
        <v>1</v>
      </c>
      <c r="AS879">
        <v>0</v>
      </c>
      <c r="AT879">
        <v>1</v>
      </c>
      <c r="AV879">
        <v>1</v>
      </c>
      <c r="AW879">
        <v>1</v>
      </c>
    </row>
    <row r="880" spans="1:49" x14ac:dyDescent="0.25">
      <c r="A880" t="str">
        <f>"876"</f>
        <v>876</v>
      </c>
      <c r="B880" t="str">
        <f t="shared" si="49"/>
        <v>1</v>
      </c>
      <c r="C880" t="str">
        <f t="shared" si="50"/>
        <v>39</v>
      </c>
      <c r="D880" t="str">
        <f>"4"</f>
        <v>4</v>
      </c>
      <c r="E880" t="str">
        <f>"1-39-4"</f>
        <v>1-39-4</v>
      </c>
      <c r="F880" t="s">
        <v>83</v>
      </c>
      <c r="G880" t="s">
        <v>84</v>
      </c>
      <c r="H880" t="s">
        <v>85</v>
      </c>
      <c r="AC880">
        <v>1</v>
      </c>
      <c r="AD880">
        <v>0</v>
      </c>
      <c r="AE880">
        <v>0</v>
      </c>
      <c r="AF880">
        <v>0</v>
      </c>
      <c r="AG880">
        <v>1</v>
      </c>
      <c r="AJ880">
        <v>0</v>
      </c>
      <c r="AK880">
        <v>1</v>
      </c>
      <c r="AL880">
        <v>1</v>
      </c>
      <c r="AM880">
        <v>0</v>
      </c>
      <c r="AN880">
        <v>0</v>
      </c>
      <c r="AO880">
        <v>1</v>
      </c>
      <c r="AP880">
        <v>1</v>
      </c>
      <c r="AQ880">
        <v>1</v>
      </c>
      <c r="AR880">
        <v>1</v>
      </c>
      <c r="AS880">
        <v>0</v>
      </c>
      <c r="AT880">
        <v>1</v>
      </c>
      <c r="AV880">
        <v>1</v>
      </c>
      <c r="AW880">
        <v>1</v>
      </c>
    </row>
    <row r="881" spans="1:49" x14ac:dyDescent="0.25">
      <c r="A881" t="str">
        <f>"877"</f>
        <v>877</v>
      </c>
      <c r="B881" t="str">
        <f t="shared" si="49"/>
        <v>1</v>
      </c>
      <c r="C881" t="str">
        <f t="shared" si="50"/>
        <v>39</v>
      </c>
      <c r="D881" t="str">
        <f>"25"</f>
        <v>25</v>
      </c>
      <c r="E881" t="str">
        <f>"1-39-25"</f>
        <v>1-39-25</v>
      </c>
      <c r="F881" t="s">
        <v>83</v>
      </c>
      <c r="G881" t="s">
        <v>86</v>
      </c>
      <c r="H881" t="s">
        <v>87</v>
      </c>
      <c r="AC881">
        <v>1</v>
      </c>
      <c r="AD881">
        <v>0</v>
      </c>
      <c r="AE881">
        <v>0</v>
      </c>
      <c r="AF881">
        <v>0</v>
      </c>
      <c r="AH881">
        <v>1</v>
      </c>
      <c r="AI881">
        <v>0</v>
      </c>
      <c r="AJ881">
        <v>1</v>
      </c>
      <c r="AK881">
        <v>0</v>
      </c>
      <c r="AL881">
        <v>0</v>
      </c>
      <c r="AM881">
        <v>1</v>
      </c>
      <c r="AN881">
        <v>0</v>
      </c>
      <c r="AO881">
        <v>1</v>
      </c>
      <c r="AP881">
        <v>1</v>
      </c>
      <c r="AQ881">
        <v>1</v>
      </c>
      <c r="AU881">
        <v>1</v>
      </c>
      <c r="AV881">
        <v>1</v>
      </c>
      <c r="AW881">
        <v>1</v>
      </c>
    </row>
    <row r="882" spans="1:49" x14ac:dyDescent="0.25">
      <c r="A882" t="str">
        <f>"878"</f>
        <v>878</v>
      </c>
      <c r="B882" t="str">
        <f t="shared" si="49"/>
        <v>1</v>
      </c>
      <c r="C882" t="str">
        <f t="shared" si="50"/>
        <v>39</v>
      </c>
      <c r="D882" t="str">
        <f>"24"</f>
        <v>24</v>
      </c>
      <c r="E882" t="str">
        <f>"1-39-24"</f>
        <v>1-39-24</v>
      </c>
      <c r="F882" t="s">
        <v>83</v>
      </c>
      <c r="G882" t="s">
        <v>86</v>
      </c>
      <c r="H882" t="s">
        <v>93</v>
      </c>
      <c r="I882">
        <v>0</v>
      </c>
      <c r="K882">
        <v>0</v>
      </c>
      <c r="L882">
        <v>0</v>
      </c>
      <c r="M882">
        <v>1</v>
      </c>
      <c r="N882">
        <v>1</v>
      </c>
      <c r="O882">
        <v>0</v>
      </c>
      <c r="P882">
        <v>0</v>
      </c>
      <c r="Q882">
        <v>0</v>
      </c>
      <c r="R882">
        <v>0</v>
      </c>
      <c r="U882">
        <v>0</v>
      </c>
      <c r="V882">
        <v>0</v>
      </c>
      <c r="W882">
        <v>0</v>
      </c>
      <c r="X882">
        <v>0</v>
      </c>
      <c r="Y882">
        <v>0</v>
      </c>
      <c r="Z882">
        <v>0</v>
      </c>
      <c r="AA882">
        <v>0</v>
      </c>
      <c r="AB882">
        <v>0</v>
      </c>
    </row>
    <row r="883" spans="1:49" x14ac:dyDescent="0.25">
      <c r="A883" t="str">
        <f>"879"</f>
        <v>879</v>
      </c>
      <c r="B883" t="str">
        <f t="shared" si="49"/>
        <v>1</v>
      </c>
      <c r="C883" t="str">
        <f t="shared" si="50"/>
        <v>39</v>
      </c>
      <c r="D883" t="str">
        <f>"17"</f>
        <v>17</v>
      </c>
      <c r="E883" t="str">
        <f>"1-39-17"</f>
        <v>1-39-17</v>
      </c>
      <c r="F883" t="s">
        <v>83</v>
      </c>
      <c r="G883" t="s">
        <v>86</v>
      </c>
      <c r="H883" t="s">
        <v>87</v>
      </c>
      <c r="AC883">
        <v>0</v>
      </c>
      <c r="AD883">
        <v>1</v>
      </c>
      <c r="AE883">
        <v>0</v>
      </c>
      <c r="AF883">
        <v>0</v>
      </c>
      <c r="AH883">
        <v>0</v>
      </c>
      <c r="AI883">
        <v>1</v>
      </c>
      <c r="AJ883">
        <v>0</v>
      </c>
      <c r="AK883">
        <v>1</v>
      </c>
      <c r="AL883">
        <v>0</v>
      </c>
      <c r="AM883">
        <v>0</v>
      </c>
      <c r="AN883">
        <v>1</v>
      </c>
      <c r="AO883">
        <v>1</v>
      </c>
      <c r="AP883">
        <v>1</v>
      </c>
      <c r="AQ883">
        <v>1</v>
      </c>
      <c r="AU883">
        <v>1</v>
      </c>
      <c r="AV883">
        <v>1</v>
      </c>
      <c r="AW883">
        <v>0</v>
      </c>
    </row>
    <row r="884" spans="1:49" x14ac:dyDescent="0.25">
      <c r="A884" t="str">
        <f>"880"</f>
        <v>880</v>
      </c>
      <c r="B884" t="str">
        <f t="shared" si="49"/>
        <v>1</v>
      </c>
      <c r="C884" t="str">
        <f t="shared" si="50"/>
        <v>39</v>
      </c>
      <c r="D884" t="str">
        <f>"9"</f>
        <v>9</v>
      </c>
      <c r="E884" t="str">
        <f>"1-39-9"</f>
        <v>1-39-9</v>
      </c>
      <c r="F884" t="s">
        <v>83</v>
      </c>
      <c r="G884" t="s">
        <v>84</v>
      </c>
      <c r="H884" t="s">
        <v>92</v>
      </c>
      <c r="I884">
        <v>1</v>
      </c>
      <c r="J884">
        <v>1</v>
      </c>
      <c r="N884">
        <v>1</v>
      </c>
      <c r="O884">
        <v>1</v>
      </c>
      <c r="P884">
        <v>1</v>
      </c>
      <c r="Q884">
        <v>1</v>
      </c>
      <c r="R884">
        <v>1</v>
      </c>
      <c r="S884">
        <v>1</v>
      </c>
      <c r="T884">
        <v>1</v>
      </c>
      <c r="W884">
        <v>1</v>
      </c>
      <c r="X884">
        <v>1</v>
      </c>
      <c r="Y884">
        <v>1</v>
      </c>
      <c r="Z884">
        <v>1</v>
      </c>
      <c r="AA884">
        <v>1</v>
      </c>
      <c r="AB884">
        <v>1</v>
      </c>
    </row>
    <row r="885" spans="1:49" x14ac:dyDescent="0.25">
      <c r="A885" t="str">
        <f>"881"</f>
        <v>881</v>
      </c>
      <c r="B885" t="str">
        <f t="shared" si="49"/>
        <v>1</v>
      </c>
      <c r="C885" t="str">
        <f t="shared" si="50"/>
        <v>39</v>
      </c>
      <c r="D885" t="str">
        <f>"5"</f>
        <v>5</v>
      </c>
      <c r="E885" t="str">
        <f>"1-39-5"</f>
        <v>1-39-5</v>
      </c>
      <c r="F885" t="s">
        <v>83</v>
      </c>
      <c r="G885" t="s">
        <v>84</v>
      </c>
      <c r="H885" t="s">
        <v>85</v>
      </c>
      <c r="AC885">
        <v>0</v>
      </c>
      <c r="AD885">
        <v>1</v>
      </c>
      <c r="AE885">
        <v>0</v>
      </c>
      <c r="AF885">
        <v>0</v>
      </c>
      <c r="AG885">
        <v>1</v>
      </c>
      <c r="AJ885">
        <v>0</v>
      </c>
      <c r="AK885">
        <v>1</v>
      </c>
      <c r="AL885">
        <v>1</v>
      </c>
      <c r="AM885">
        <v>0</v>
      </c>
      <c r="AN885">
        <v>0</v>
      </c>
      <c r="AO885">
        <v>1</v>
      </c>
      <c r="AP885">
        <v>1</v>
      </c>
      <c r="AQ885">
        <v>1</v>
      </c>
      <c r="AR885">
        <v>1</v>
      </c>
      <c r="AS885">
        <v>1</v>
      </c>
      <c r="AT885">
        <v>0</v>
      </c>
      <c r="AV885">
        <v>1</v>
      </c>
      <c r="AW885">
        <v>1</v>
      </c>
    </row>
    <row r="886" spans="1:49" x14ac:dyDescent="0.25">
      <c r="A886" t="str">
        <f>"882"</f>
        <v>882</v>
      </c>
      <c r="B886" t="str">
        <f t="shared" si="49"/>
        <v>1</v>
      </c>
      <c r="C886" t="str">
        <f t="shared" si="50"/>
        <v>39</v>
      </c>
      <c r="D886" t="str">
        <f>"16"</f>
        <v>16</v>
      </c>
      <c r="E886" t="str">
        <f>"1-39-16"</f>
        <v>1-39-16</v>
      </c>
      <c r="F886" t="s">
        <v>83</v>
      </c>
      <c r="G886" t="s">
        <v>84</v>
      </c>
      <c r="H886" t="s">
        <v>92</v>
      </c>
      <c r="I886">
        <v>1</v>
      </c>
      <c r="J886">
        <v>1</v>
      </c>
      <c r="N886">
        <v>1</v>
      </c>
      <c r="O886">
        <v>1</v>
      </c>
      <c r="P886">
        <v>1</v>
      </c>
      <c r="Q886">
        <v>1</v>
      </c>
      <c r="R886">
        <v>1</v>
      </c>
      <c r="S886">
        <v>1</v>
      </c>
      <c r="T886">
        <v>1</v>
      </c>
      <c r="W886">
        <v>1</v>
      </c>
      <c r="X886">
        <v>1</v>
      </c>
      <c r="Y886">
        <v>1</v>
      </c>
      <c r="Z886">
        <v>1</v>
      </c>
      <c r="AA886">
        <v>1</v>
      </c>
      <c r="AB886">
        <v>1</v>
      </c>
    </row>
    <row r="887" spans="1:49" x14ac:dyDescent="0.25">
      <c r="A887" t="str">
        <f>"883"</f>
        <v>883</v>
      </c>
      <c r="B887" t="str">
        <f t="shared" si="49"/>
        <v>1</v>
      </c>
      <c r="C887" t="str">
        <f t="shared" si="50"/>
        <v>39</v>
      </c>
      <c r="D887" t="str">
        <f>"10"</f>
        <v>10</v>
      </c>
      <c r="E887" t="str">
        <f>"1-39-10"</f>
        <v>1-39-10</v>
      </c>
      <c r="F887" t="s">
        <v>83</v>
      </c>
      <c r="G887" t="s">
        <v>84</v>
      </c>
      <c r="H887" t="s">
        <v>85</v>
      </c>
      <c r="AC887">
        <v>1</v>
      </c>
      <c r="AD887">
        <v>0</v>
      </c>
      <c r="AE887">
        <v>0</v>
      </c>
      <c r="AF887">
        <v>0</v>
      </c>
      <c r="AG887">
        <v>0</v>
      </c>
      <c r="AJ887">
        <v>0</v>
      </c>
      <c r="AK887">
        <v>0</v>
      </c>
      <c r="AL887">
        <v>0</v>
      </c>
      <c r="AM887">
        <v>0</v>
      </c>
      <c r="AN887">
        <v>1</v>
      </c>
      <c r="AO887">
        <v>0</v>
      </c>
      <c r="AP887">
        <v>0</v>
      </c>
      <c r="AQ887">
        <v>0</v>
      </c>
      <c r="AR887">
        <v>0</v>
      </c>
      <c r="AS887">
        <v>0</v>
      </c>
      <c r="AT887">
        <v>1</v>
      </c>
      <c r="AV887">
        <v>0</v>
      </c>
      <c r="AW887">
        <v>0</v>
      </c>
    </row>
    <row r="888" spans="1:49" x14ac:dyDescent="0.25">
      <c r="A888" t="str">
        <f>"884"</f>
        <v>884</v>
      </c>
      <c r="B888" t="str">
        <f t="shared" si="49"/>
        <v>1</v>
      </c>
      <c r="C888" t="str">
        <f t="shared" si="50"/>
        <v>39</v>
      </c>
      <c r="D888" t="str">
        <f>"3"</f>
        <v>3</v>
      </c>
      <c r="E888" t="str">
        <f>"1-39-3"</f>
        <v>1-39-3</v>
      </c>
      <c r="F888" t="s">
        <v>83</v>
      </c>
      <c r="G888" t="s">
        <v>84</v>
      </c>
      <c r="H888" t="s">
        <v>92</v>
      </c>
      <c r="I888">
        <v>1</v>
      </c>
      <c r="J888">
        <v>1</v>
      </c>
      <c r="N888">
        <v>1</v>
      </c>
      <c r="O888">
        <v>1</v>
      </c>
      <c r="P888">
        <v>1</v>
      </c>
      <c r="Q888">
        <v>1</v>
      </c>
      <c r="R888">
        <v>1</v>
      </c>
      <c r="S888">
        <v>1</v>
      </c>
      <c r="T888">
        <v>1</v>
      </c>
      <c r="W888">
        <v>1</v>
      </c>
      <c r="X888">
        <v>1</v>
      </c>
      <c r="Y888">
        <v>1</v>
      </c>
      <c r="Z888">
        <v>1</v>
      </c>
      <c r="AA888">
        <v>1</v>
      </c>
      <c r="AB888">
        <v>1</v>
      </c>
    </row>
    <row r="889" spans="1:49" x14ac:dyDescent="0.25">
      <c r="A889" t="str">
        <f>"885"</f>
        <v>885</v>
      </c>
      <c r="B889" t="str">
        <f t="shared" si="49"/>
        <v>1</v>
      </c>
      <c r="C889" t="str">
        <f t="shared" si="50"/>
        <v>39</v>
      </c>
      <c r="D889" t="str">
        <f>"21"</f>
        <v>21</v>
      </c>
      <c r="E889" t="str">
        <f>"1-39-21"</f>
        <v>1-39-21</v>
      </c>
      <c r="F889" t="s">
        <v>83</v>
      </c>
      <c r="G889" t="s">
        <v>84</v>
      </c>
      <c r="H889" t="s">
        <v>92</v>
      </c>
      <c r="I889">
        <v>1</v>
      </c>
      <c r="J889">
        <v>1</v>
      </c>
      <c r="N889">
        <v>1</v>
      </c>
      <c r="O889">
        <v>1</v>
      </c>
      <c r="P889">
        <v>1</v>
      </c>
      <c r="Q889">
        <v>1</v>
      </c>
      <c r="R889">
        <v>1</v>
      </c>
      <c r="S889">
        <v>1</v>
      </c>
      <c r="T889">
        <v>1</v>
      </c>
      <c r="W889">
        <v>1</v>
      </c>
      <c r="X889">
        <v>1</v>
      </c>
      <c r="Y889">
        <v>1</v>
      </c>
      <c r="Z889">
        <v>1</v>
      </c>
      <c r="AA889">
        <v>1</v>
      </c>
      <c r="AB889">
        <v>1</v>
      </c>
    </row>
    <row r="890" spans="1:49" x14ac:dyDescent="0.25">
      <c r="A890" t="str">
        <f>"886"</f>
        <v>886</v>
      </c>
      <c r="B890" t="str">
        <f t="shared" si="49"/>
        <v>1</v>
      </c>
      <c r="C890" t="str">
        <f t="shared" si="50"/>
        <v>39</v>
      </c>
      <c r="D890" t="str">
        <f>"11"</f>
        <v>11</v>
      </c>
      <c r="E890" t="str">
        <f>"1-39-11"</f>
        <v>1-39-11</v>
      </c>
      <c r="F890" t="s">
        <v>83</v>
      </c>
      <c r="G890" t="s">
        <v>84</v>
      </c>
      <c r="H890" t="s">
        <v>85</v>
      </c>
      <c r="AC890">
        <v>0</v>
      </c>
      <c r="AD890">
        <v>1</v>
      </c>
      <c r="AE890">
        <v>0</v>
      </c>
      <c r="AF890">
        <v>0</v>
      </c>
      <c r="AG890">
        <v>1</v>
      </c>
      <c r="AJ890">
        <v>0</v>
      </c>
      <c r="AK890">
        <v>1</v>
      </c>
      <c r="AL890">
        <v>0</v>
      </c>
      <c r="AM890">
        <v>1</v>
      </c>
      <c r="AN890">
        <v>0</v>
      </c>
      <c r="AO890">
        <v>1</v>
      </c>
      <c r="AP890">
        <v>1</v>
      </c>
      <c r="AQ890">
        <v>1</v>
      </c>
      <c r="AR890">
        <v>1</v>
      </c>
      <c r="AS890">
        <v>1</v>
      </c>
      <c r="AT890">
        <v>0</v>
      </c>
      <c r="AV890">
        <v>1</v>
      </c>
      <c r="AW890">
        <v>1</v>
      </c>
    </row>
    <row r="891" spans="1:49" x14ac:dyDescent="0.25">
      <c r="A891" t="str">
        <f>"887"</f>
        <v>887</v>
      </c>
      <c r="B891" t="str">
        <f t="shared" si="49"/>
        <v>1</v>
      </c>
      <c r="C891" t="str">
        <f t="shared" si="50"/>
        <v>39</v>
      </c>
      <c r="D891" t="str">
        <f>"1"</f>
        <v>1</v>
      </c>
      <c r="E891" t="str">
        <f>"1-39-1"</f>
        <v>1-39-1</v>
      </c>
      <c r="F891" t="s">
        <v>83</v>
      </c>
      <c r="G891" t="s">
        <v>84</v>
      </c>
      <c r="H891" t="s">
        <v>85</v>
      </c>
      <c r="AC891">
        <v>0</v>
      </c>
      <c r="AD891">
        <v>1</v>
      </c>
      <c r="AE891">
        <v>0</v>
      </c>
      <c r="AF891">
        <v>0</v>
      </c>
      <c r="AG891">
        <v>1</v>
      </c>
      <c r="AJ891">
        <v>0</v>
      </c>
      <c r="AK891">
        <v>1</v>
      </c>
      <c r="AL891">
        <v>0</v>
      </c>
      <c r="AM891">
        <v>0</v>
      </c>
      <c r="AN891">
        <v>1</v>
      </c>
      <c r="AO891">
        <v>1</v>
      </c>
      <c r="AP891">
        <v>1</v>
      </c>
      <c r="AQ891">
        <v>1</v>
      </c>
      <c r="AR891">
        <v>1</v>
      </c>
      <c r="AS891">
        <v>0</v>
      </c>
      <c r="AT891">
        <v>1</v>
      </c>
      <c r="AV891">
        <v>1</v>
      </c>
      <c r="AW891">
        <v>1</v>
      </c>
    </row>
    <row r="892" spans="1:49" x14ac:dyDescent="0.25">
      <c r="A892" t="str">
        <f>"888"</f>
        <v>888</v>
      </c>
      <c r="B892" t="str">
        <f t="shared" si="49"/>
        <v>1</v>
      </c>
      <c r="C892" t="str">
        <f t="shared" si="50"/>
        <v>39</v>
      </c>
      <c r="D892" t="str">
        <f>"20"</f>
        <v>20</v>
      </c>
      <c r="E892" t="str">
        <f>"1-39-20"</f>
        <v>1-39-20</v>
      </c>
      <c r="F892" t="s">
        <v>83</v>
      </c>
      <c r="G892" t="s">
        <v>84</v>
      </c>
      <c r="H892" t="s">
        <v>85</v>
      </c>
      <c r="AC892">
        <v>0</v>
      </c>
      <c r="AD892">
        <v>1</v>
      </c>
      <c r="AE892">
        <v>0</v>
      </c>
      <c r="AF892">
        <v>0</v>
      </c>
      <c r="AG892">
        <v>0</v>
      </c>
      <c r="AJ892">
        <v>0</v>
      </c>
      <c r="AK892">
        <v>0</v>
      </c>
      <c r="AL892">
        <v>0</v>
      </c>
      <c r="AM892">
        <v>1</v>
      </c>
      <c r="AN892">
        <v>0</v>
      </c>
      <c r="AO892">
        <v>0</v>
      </c>
      <c r="AP892">
        <v>0</v>
      </c>
      <c r="AQ892">
        <v>0</v>
      </c>
      <c r="AR892">
        <v>0</v>
      </c>
      <c r="AS892">
        <v>0</v>
      </c>
      <c r="AT892">
        <v>0</v>
      </c>
      <c r="AV892">
        <v>0</v>
      </c>
      <c r="AW892">
        <v>0</v>
      </c>
    </row>
    <row r="893" spans="1:49" x14ac:dyDescent="0.25">
      <c r="A893" t="str">
        <f>"889"</f>
        <v>889</v>
      </c>
      <c r="B893" t="str">
        <f t="shared" si="49"/>
        <v>1</v>
      </c>
      <c r="C893" t="str">
        <f t="shared" si="50"/>
        <v>39</v>
      </c>
      <c r="D893" t="str">
        <f>"12"</f>
        <v>12</v>
      </c>
      <c r="E893" t="str">
        <f>"1-39-12"</f>
        <v>1-39-12</v>
      </c>
      <c r="F893" t="s">
        <v>83</v>
      </c>
      <c r="G893" t="s">
        <v>86</v>
      </c>
      <c r="H893" t="s">
        <v>93</v>
      </c>
      <c r="I893">
        <v>1</v>
      </c>
      <c r="K893">
        <v>0</v>
      </c>
      <c r="L893">
        <v>1</v>
      </c>
      <c r="M893">
        <v>0</v>
      </c>
      <c r="N893">
        <v>1</v>
      </c>
      <c r="O893">
        <v>1</v>
      </c>
      <c r="P893">
        <v>1</v>
      </c>
      <c r="Q893">
        <v>1</v>
      </c>
      <c r="R893">
        <v>1</v>
      </c>
      <c r="U893">
        <v>0</v>
      </c>
      <c r="V893">
        <v>1</v>
      </c>
      <c r="W893">
        <v>1</v>
      </c>
      <c r="X893">
        <v>1</v>
      </c>
      <c r="Y893">
        <v>1</v>
      </c>
      <c r="Z893">
        <v>1</v>
      </c>
      <c r="AA893">
        <v>1</v>
      </c>
      <c r="AB893">
        <v>1</v>
      </c>
    </row>
    <row r="894" spans="1:49" x14ac:dyDescent="0.25">
      <c r="A894" t="str">
        <f>"890"</f>
        <v>890</v>
      </c>
      <c r="B894" t="str">
        <f t="shared" si="49"/>
        <v>1</v>
      </c>
      <c r="C894" t="str">
        <f t="shared" si="50"/>
        <v>39</v>
      </c>
      <c r="D894" t="str">
        <f>"6"</f>
        <v>6</v>
      </c>
      <c r="E894" t="str">
        <f>"1-39-6"</f>
        <v>1-39-6</v>
      </c>
      <c r="F894" t="s">
        <v>83</v>
      </c>
      <c r="G894" t="s">
        <v>84</v>
      </c>
      <c r="H894" t="s">
        <v>85</v>
      </c>
      <c r="AC894">
        <v>0</v>
      </c>
      <c r="AD894">
        <v>1</v>
      </c>
      <c r="AE894">
        <v>0</v>
      </c>
      <c r="AF894">
        <v>0</v>
      </c>
      <c r="AG894">
        <v>1</v>
      </c>
      <c r="AJ894">
        <v>0</v>
      </c>
      <c r="AK894">
        <v>1</v>
      </c>
      <c r="AL894">
        <v>0</v>
      </c>
      <c r="AM894">
        <v>1</v>
      </c>
      <c r="AN894">
        <v>0</v>
      </c>
      <c r="AO894">
        <v>1</v>
      </c>
      <c r="AP894">
        <v>1</v>
      </c>
      <c r="AQ894">
        <v>1</v>
      </c>
      <c r="AR894">
        <v>1</v>
      </c>
      <c r="AS894">
        <v>0</v>
      </c>
      <c r="AT894">
        <v>1</v>
      </c>
      <c r="AV894">
        <v>1</v>
      </c>
      <c r="AW894">
        <v>1</v>
      </c>
    </row>
    <row r="895" spans="1:49" x14ac:dyDescent="0.25">
      <c r="A895" t="str">
        <f>"891"</f>
        <v>891</v>
      </c>
      <c r="B895" t="str">
        <f t="shared" si="49"/>
        <v>1</v>
      </c>
      <c r="C895" t="str">
        <f t="shared" si="50"/>
        <v>39</v>
      </c>
      <c r="D895" t="str">
        <f>"23"</f>
        <v>23</v>
      </c>
      <c r="E895" t="str">
        <f>"1-39-23"</f>
        <v>1-39-23</v>
      </c>
      <c r="F895" t="s">
        <v>83</v>
      </c>
      <c r="G895" t="s">
        <v>84</v>
      </c>
      <c r="H895" t="s">
        <v>92</v>
      </c>
      <c r="I895">
        <v>1</v>
      </c>
      <c r="J895">
        <v>1</v>
      </c>
      <c r="N895">
        <v>1</v>
      </c>
      <c r="O895">
        <v>1</v>
      </c>
      <c r="P895">
        <v>1</v>
      </c>
      <c r="Q895">
        <v>1</v>
      </c>
      <c r="R895">
        <v>1</v>
      </c>
      <c r="S895">
        <v>1</v>
      </c>
      <c r="T895">
        <v>1</v>
      </c>
      <c r="W895">
        <v>1</v>
      </c>
      <c r="X895">
        <v>1</v>
      </c>
      <c r="Y895">
        <v>1</v>
      </c>
      <c r="Z895">
        <v>1</v>
      </c>
      <c r="AA895">
        <v>1</v>
      </c>
      <c r="AB895">
        <v>1</v>
      </c>
    </row>
    <row r="896" spans="1:49" x14ac:dyDescent="0.25">
      <c r="A896" t="str">
        <f>"892"</f>
        <v>892</v>
      </c>
      <c r="B896" t="str">
        <f t="shared" si="49"/>
        <v>1</v>
      </c>
      <c r="C896" t="str">
        <f t="shared" si="50"/>
        <v>39</v>
      </c>
      <c r="D896" t="str">
        <f>"13"</f>
        <v>13</v>
      </c>
      <c r="E896" t="str">
        <f>"1-39-13"</f>
        <v>1-39-13</v>
      </c>
      <c r="F896" t="s">
        <v>83</v>
      </c>
      <c r="G896" t="s">
        <v>86</v>
      </c>
      <c r="H896" t="s">
        <v>87</v>
      </c>
      <c r="AC896">
        <v>0</v>
      </c>
      <c r="AD896">
        <v>1</v>
      </c>
      <c r="AE896">
        <v>0</v>
      </c>
      <c r="AF896">
        <v>0</v>
      </c>
      <c r="AH896">
        <v>1</v>
      </c>
      <c r="AI896">
        <v>0</v>
      </c>
      <c r="AJ896">
        <v>0</v>
      </c>
      <c r="AK896">
        <v>1</v>
      </c>
      <c r="AL896">
        <v>0</v>
      </c>
      <c r="AM896">
        <v>0</v>
      </c>
      <c r="AN896">
        <v>0</v>
      </c>
      <c r="AO896">
        <v>0</v>
      </c>
      <c r="AP896">
        <v>0</v>
      </c>
      <c r="AQ896">
        <v>0</v>
      </c>
      <c r="AU896">
        <v>0</v>
      </c>
      <c r="AV896">
        <v>0</v>
      </c>
      <c r="AW896">
        <v>0</v>
      </c>
    </row>
    <row r="897" spans="1:49" x14ac:dyDescent="0.25">
      <c r="A897" t="str">
        <f>"893"</f>
        <v>893</v>
      </c>
      <c r="B897" t="str">
        <f t="shared" si="49"/>
        <v>1</v>
      </c>
      <c r="C897" t="str">
        <f t="shared" si="50"/>
        <v>39</v>
      </c>
      <c r="D897" t="str">
        <f>"2"</f>
        <v>2</v>
      </c>
      <c r="E897" t="str">
        <f>"1-39-2"</f>
        <v>1-39-2</v>
      </c>
      <c r="F897" t="s">
        <v>83</v>
      </c>
      <c r="G897" t="s">
        <v>84</v>
      </c>
      <c r="H897" t="s">
        <v>85</v>
      </c>
      <c r="AC897">
        <v>1</v>
      </c>
      <c r="AD897">
        <v>0</v>
      </c>
      <c r="AE897">
        <v>0</v>
      </c>
      <c r="AF897">
        <v>0</v>
      </c>
      <c r="AG897">
        <v>1</v>
      </c>
      <c r="AJ897">
        <v>0</v>
      </c>
      <c r="AK897">
        <v>1</v>
      </c>
      <c r="AL897">
        <v>1</v>
      </c>
      <c r="AM897">
        <v>0</v>
      </c>
      <c r="AN897">
        <v>0</v>
      </c>
      <c r="AO897">
        <v>1</v>
      </c>
      <c r="AP897">
        <v>1</v>
      </c>
      <c r="AQ897">
        <v>1</v>
      </c>
      <c r="AR897">
        <v>1</v>
      </c>
      <c r="AS897">
        <v>0</v>
      </c>
      <c r="AT897">
        <v>1</v>
      </c>
      <c r="AV897">
        <v>1</v>
      </c>
      <c r="AW897">
        <v>1</v>
      </c>
    </row>
    <row r="898" spans="1:49" x14ac:dyDescent="0.25">
      <c r="A898" t="str">
        <f>"894"</f>
        <v>894</v>
      </c>
      <c r="B898" t="str">
        <f t="shared" si="49"/>
        <v>1</v>
      </c>
      <c r="C898" t="str">
        <f t="shared" si="50"/>
        <v>39</v>
      </c>
      <c r="D898" t="str">
        <f>"22"</f>
        <v>22</v>
      </c>
      <c r="E898" t="str">
        <f>"1-39-22"</f>
        <v>1-39-22</v>
      </c>
      <c r="F898" t="s">
        <v>83</v>
      </c>
      <c r="G898" t="s">
        <v>84</v>
      </c>
      <c r="H898" t="s">
        <v>85</v>
      </c>
      <c r="AC898">
        <v>0</v>
      </c>
      <c r="AD898">
        <v>1</v>
      </c>
      <c r="AE898">
        <v>0</v>
      </c>
      <c r="AF898">
        <v>0</v>
      </c>
      <c r="AG898">
        <v>1</v>
      </c>
      <c r="AJ898">
        <v>0</v>
      </c>
      <c r="AK898">
        <v>1</v>
      </c>
      <c r="AL898">
        <v>0</v>
      </c>
      <c r="AM898">
        <v>0</v>
      </c>
      <c r="AN898">
        <v>1</v>
      </c>
      <c r="AO898">
        <v>1</v>
      </c>
      <c r="AP898">
        <v>1</v>
      </c>
      <c r="AQ898">
        <v>1</v>
      </c>
      <c r="AR898">
        <v>1</v>
      </c>
      <c r="AS898">
        <v>0</v>
      </c>
      <c r="AT898">
        <v>1</v>
      </c>
      <c r="AV898">
        <v>1</v>
      </c>
      <c r="AW898">
        <v>1</v>
      </c>
    </row>
    <row r="899" spans="1:49" x14ac:dyDescent="0.25">
      <c r="A899" t="str">
        <f>"895"</f>
        <v>895</v>
      </c>
      <c r="B899" t="str">
        <f t="shared" si="49"/>
        <v>1</v>
      </c>
      <c r="C899" t="str">
        <f t="shared" si="50"/>
        <v>39</v>
      </c>
      <c r="D899" t="str">
        <f>"14"</f>
        <v>14</v>
      </c>
      <c r="E899" t="str">
        <f>"1-39-14"</f>
        <v>1-39-14</v>
      </c>
      <c r="F899" t="s">
        <v>83</v>
      </c>
      <c r="G899" t="s">
        <v>86</v>
      </c>
      <c r="H899" t="s">
        <v>87</v>
      </c>
      <c r="AC899">
        <v>0</v>
      </c>
      <c r="AD899">
        <v>1</v>
      </c>
      <c r="AE899">
        <v>0</v>
      </c>
      <c r="AF899">
        <v>0</v>
      </c>
      <c r="AH899">
        <v>0</v>
      </c>
      <c r="AI899">
        <v>1</v>
      </c>
      <c r="AJ899">
        <v>0</v>
      </c>
      <c r="AK899">
        <v>1</v>
      </c>
      <c r="AL899">
        <v>1</v>
      </c>
      <c r="AM899">
        <v>0</v>
      </c>
      <c r="AN899">
        <v>0</v>
      </c>
      <c r="AO899">
        <v>0</v>
      </c>
      <c r="AP899">
        <v>0</v>
      </c>
      <c r="AQ899">
        <v>0</v>
      </c>
      <c r="AU899">
        <v>0</v>
      </c>
      <c r="AV899">
        <v>0</v>
      </c>
      <c r="AW899">
        <v>0</v>
      </c>
    </row>
    <row r="900" spans="1:49" x14ac:dyDescent="0.25">
      <c r="A900" t="str">
        <f>"896"</f>
        <v>896</v>
      </c>
      <c r="B900" t="str">
        <f t="shared" si="49"/>
        <v>1</v>
      </c>
      <c r="C900" t="str">
        <f t="shared" si="50"/>
        <v>39</v>
      </c>
      <c r="D900" t="str">
        <f>"7"</f>
        <v>7</v>
      </c>
      <c r="E900" t="str">
        <f>"1-39-7"</f>
        <v>1-39-7</v>
      </c>
      <c r="F900" t="s">
        <v>83</v>
      </c>
      <c r="G900" t="s">
        <v>84</v>
      </c>
      <c r="H900" t="s">
        <v>85</v>
      </c>
      <c r="AC900">
        <v>1</v>
      </c>
      <c r="AD900">
        <v>0</v>
      </c>
      <c r="AE900">
        <v>0</v>
      </c>
      <c r="AF900">
        <v>0</v>
      </c>
      <c r="AG900">
        <v>1</v>
      </c>
      <c r="AJ900">
        <v>0</v>
      </c>
      <c r="AK900">
        <v>1</v>
      </c>
      <c r="AL900">
        <v>0</v>
      </c>
      <c r="AM900">
        <v>0</v>
      </c>
      <c r="AN900">
        <v>1</v>
      </c>
      <c r="AO900">
        <v>1</v>
      </c>
      <c r="AP900">
        <v>1</v>
      </c>
      <c r="AQ900">
        <v>1</v>
      </c>
      <c r="AR900">
        <v>1</v>
      </c>
      <c r="AS900">
        <v>1</v>
      </c>
      <c r="AT900">
        <v>0</v>
      </c>
      <c r="AV900">
        <v>1</v>
      </c>
      <c r="AW900">
        <v>1</v>
      </c>
    </row>
    <row r="901" spans="1:49" x14ac:dyDescent="0.25">
      <c r="A901" t="str">
        <f>"897"</f>
        <v>897</v>
      </c>
      <c r="B901" t="str">
        <f t="shared" si="49"/>
        <v>1</v>
      </c>
      <c r="C901" t="str">
        <f t="shared" ref="C901:C921" si="51">"40"</f>
        <v>40</v>
      </c>
      <c r="D901" t="str">
        <f>"19"</f>
        <v>19</v>
      </c>
      <c r="E901" t="str">
        <f>"1-40-19"</f>
        <v>1-40-19</v>
      </c>
      <c r="F901" t="s">
        <v>83</v>
      </c>
      <c r="G901" t="s">
        <v>86</v>
      </c>
      <c r="H901" t="s">
        <v>87</v>
      </c>
      <c r="AC901">
        <v>0</v>
      </c>
      <c r="AD901">
        <v>1</v>
      </c>
      <c r="AE901">
        <v>0</v>
      </c>
      <c r="AF901">
        <v>0</v>
      </c>
      <c r="AH901">
        <v>0</v>
      </c>
      <c r="AI901">
        <v>1</v>
      </c>
      <c r="AJ901">
        <v>0</v>
      </c>
      <c r="AK901">
        <v>1</v>
      </c>
      <c r="AL901">
        <v>0</v>
      </c>
      <c r="AM901">
        <v>0</v>
      </c>
      <c r="AN901">
        <v>1</v>
      </c>
      <c r="AO901">
        <v>1</v>
      </c>
      <c r="AP901">
        <v>1</v>
      </c>
      <c r="AQ901">
        <v>1</v>
      </c>
      <c r="AU901">
        <v>1</v>
      </c>
      <c r="AV901">
        <v>1</v>
      </c>
      <c r="AW901">
        <v>1</v>
      </c>
    </row>
    <row r="902" spans="1:49" x14ac:dyDescent="0.25">
      <c r="A902" t="str">
        <f>"898"</f>
        <v>898</v>
      </c>
      <c r="B902" t="str">
        <f t="shared" si="49"/>
        <v>1</v>
      </c>
      <c r="C902" t="str">
        <f t="shared" si="51"/>
        <v>40</v>
      </c>
      <c r="D902" t="str">
        <f>"18"</f>
        <v>18</v>
      </c>
      <c r="E902" t="str">
        <f>"1-40-18"</f>
        <v>1-40-18</v>
      </c>
      <c r="F902" t="s">
        <v>83</v>
      </c>
      <c r="G902" t="s">
        <v>84</v>
      </c>
      <c r="H902" t="s">
        <v>92</v>
      </c>
      <c r="I902">
        <v>1</v>
      </c>
      <c r="J902">
        <v>1</v>
      </c>
      <c r="N902">
        <v>1</v>
      </c>
      <c r="O902">
        <v>1</v>
      </c>
      <c r="P902">
        <v>1</v>
      </c>
      <c r="Q902">
        <v>1</v>
      </c>
      <c r="R902">
        <v>1</v>
      </c>
      <c r="S902">
        <v>1</v>
      </c>
      <c r="T902">
        <v>1</v>
      </c>
      <c r="W902">
        <v>1</v>
      </c>
      <c r="X902">
        <v>1</v>
      </c>
      <c r="Y902">
        <v>1</v>
      </c>
      <c r="Z902">
        <v>1</v>
      </c>
      <c r="AA902">
        <v>1</v>
      </c>
      <c r="AB902">
        <v>1</v>
      </c>
    </row>
    <row r="903" spans="1:49" x14ac:dyDescent="0.25">
      <c r="A903" t="str">
        <f>"899"</f>
        <v>899</v>
      </c>
      <c r="B903" t="str">
        <f t="shared" si="49"/>
        <v>1</v>
      </c>
      <c r="C903" t="str">
        <f t="shared" si="51"/>
        <v>40</v>
      </c>
      <c r="D903" t="str">
        <f>"15"</f>
        <v>15</v>
      </c>
      <c r="E903" t="str">
        <f>"1-40-15"</f>
        <v>1-40-15</v>
      </c>
      <c r="F903" t="s">
        <v>83</v>
      </c>
      <c r="G903" t="s">
        <v>84</v>
      </c>
      <c r="H903" t="s">
        <v>85</v>
      </c>
      <c r="AC903">
        <v>0</v>
      </c>
      <c r="AD903">
        <v>1</v>
      </c>
      <c r="AE903">
        <v>0</v>
      </c>
      <c r="AF903">
        <v>0</v>
      </c>
      <c r="AG903">
        <v>0</v>
      </c>
      <c r="AJ903">
        <v>0</v>
      </c>
      <c r="AK903">
        <v>1</v>
      </c>
      <c r="AL903">
        <v>0</v>
      </c>
      <c r="AM903">
        <v>0</v>
      </c>
      <c r="AN903">
        <v>1</v>
      </c>
      <c r="AO903">
        <v>0</v>
      </c>
      <c r="AP903">
        <v>0</v>
      </c>
      <c r="AQ903">
        <v>0</v>
      </c>
      <c r="AR903">
        <v>1</v>
      </c>
      <c r="AS903">
        <v>0</v>
      </c>
      <c r="AT903">
        <v>1</v>
      </c>
      <c r="AV903">
        <v>0</v>
      </c>
      <c r="AW903">
        <v>1</v>
      </c>
    </row>
    <row r="904" spans="1:49" x14ac:dyDescent="0.25">
      <c r="A904" t="str">
        <f>"900"</f>
        <v>900</v>
      </c>
      <c r="B904" t="str">
        <f t="shared" si="49"/>
        <v>1</v>
      </c>
      <c r="C904" t="str">
        <f t="shared" si="51"/>
        <v>40</v>
      </c>
      <c r="D904" t="str">
        <f>"8"</f>
        <v>8</v>
      </c>
      <c r="E904" t="str">
        <f>"1-40-8"</f>
        <v>1-40-8</v>
      </c>
      <c r="F904" t="s">
        <v>83</v>
      </c>
      <c r="G904" t="s">
        <v>84</v>
      </c>
      <c r="H904" t="s">
        <v>85</v>
      </c>
      <c r="AC904">
        <v>1</v>
      </c>
      <c r="AD904">
        <v>0</v>
      </c>
      <c r="AE904">
        <v>0</v>
      </c>
      <c r="AF904">
        <v>0</v>
      </c>
      <c r="AG904">
        <v>0</v>
      </c>
      <c r="AJ904">
        <v>1</v>
      </c>
      <c r="AK904">
        <v>0</v>
      </c>
      <c r="AL904">
        <v>0</v>
      </c>
      <c r="AM904">
        <v>0</v>
      </c>
      <c r="AN904">
        <v>1</v>
      </c>
      <c r="AO904">
        <v>0</v>
      </c>
      <c r="AP904">
        <v>0</v>
      </c>
      <c r="AQ904">
        <v>0</v>
      </c>
      <c r="AR904">
        <v>0</v>
      </c>
      <c r="AS904">
        <v>0</v>
      </c>
      <c r="AT904">
        <v>0</v>
      </c>
      <c r="AV904">
        <v>0</v>
      </c>
      <c r="AW904">
        <v>0</v>
      </c>
    </row>
    <row r="905" spans="1:49" x14ac:dyDescent="0.25">
      <c r="A905" t="str">
        <f>"901"</f>
        <v>901</v>
      </c>
      <c r="B905" t="str">
        <f t="shared" si="49"/>
        <v>1</v>
      </c>
      <c r="C905" t="str">
        <f t="shared" si="51"/>
        <v>40</v>
      </c>
      <c r="D905" t="str">
        <f>"4"</f>
        <v>4</v>
      </c>
      <c r="E905" t="str">
        <f>"1-40-4"</f>
        <v>1-40-4</v>
      </c>
      <c r="F905" t="s">
        <v>83</v>
      </c>
      <c r="G905" t="s">
        <v>84</v>
      </c>
      <c r="H905" t="s">
        <v>92</v>
      </c>
      <c r="I905">
        <v>1</v>
      </c>
      <c r="J905">
        <v>1</v>
      </c>
      <c r="N905">
        <v>1</v>
      </c>
      <c r="O905">
        <v>1</v>
      </c>
      <c r="P905">
        <v>1</v>
      </c>
      <c r="Q905">
        <v>1</v>
      </c>
      <c r="R905">
        <v>1</v>
      </c>
      <c r="S905">
        <v>1</v>
      </c>
      <c r="T905">
        <v>1</v>
      </c>
      <c r="W905">
        <v>1</v>
      </c>
      <c r="X905">
        <v>1</v>
      </c>
      <c r="Y905">
        <v>1</v>
      </c>
      <c r="Z905">
        <v>1</v>
      </c>
      <c r="AA905">
        <v>1</v>
      </c>
      <c r="AB905">
        <v>1</v>
      </c>
    </row>
    <row r="906" spans="1:49" x14ac:dyDescent="0.25">
      <c r="A906" t="str">
        <f>"902"</f>
        <v>902</v>
      </c>
      <c r="B906" t="str">
        <f t="shared" si="49"/>
        <v>1</v>
      </c>
      <c r="C906" t="str">
        <f t="shared" si="51"/>
        <v>40</v>
      </c>
      <c r="D906" t="str">
        <f>"16"</f>
        <v>16</v>
      </c>
      <c r="E906" t="str">
        <f>"1-40-16"</f>
        <v>1-40-16</v>
      </c>
      <c r="F906" t="s">
        <v>83</v>
      </c>
      <c r="G906" t="s">
        <v>84</v>
      </c>
      <c r="H906" t="s">
        <v>85</v>
      </c>
      <c r="AC906">
        <v>0</v>
      </c>
      <c r="AD906">
        <v>1</v>
      </c>
      <c r="AE906">
        <v>0</v>
      </c>
      <c r="AF906">
        <v>0</v>
      </c>
      <c r="AG906">
        <v>0</v>
      </c>
      <c r="AJ906">
        <v>0</v>
      </c>
      <c r="AK906">
        <v>0</v>
      </c>
      <c r="AL906">
        <v>0</v>
      </c>
      <c r="AM906">
        <v>0</v>
      </c>
      <c r="AN906">
        <v>1</v>
      </c>
      <c r="AO906">
        <v>0</v>
      </c>
      <c r="AP906">
        <v>0</v>
      </c>
      <c r="AQ906">
        <v>0</v>
      </c>
      <c r="AR906">
        <v>0</v>
      </c>
      <c r="AS906">
        <v>0</v>
      </c>
      <c r="AT906">
        <v>0</v>
      </c>
      <c r="AV906">
        <v>0</v>
      </c>
      <c r="AW906">
        <v>0</v>
      </c>
    </row>
    <row r="907" spans="1:49" x14ac:dyDescent="0.25">
      <c r="A907" t="str">
        <f>"903"</f>
        <v>903</v>
      </c>
      <c r="B907" t="str">
        <f t="shared" si="49"/>
        <v>1</v>
      </c>
      <c r="C907" t="str">
        <f t="shared" si="51"/>
        <v>40</v>
      </c>
      <c r="D907" t="str">
        <f>"9"</f>
        <v>9</v>
      </c>
      <c r="E907" t="str">
        <f>"1-40-9"</f>
        <v>1-40-9</v>
      </c>
      <c r="F907" t="s">
        <v>83</v>
      </c>
      <c r="G907" t="s">
        <v>84</v>
      </c>
      <c r="H907" t="s">
        <v>85</v>
      </c>
      <c r="AC907">
        <v>1</v>
      </c>
      <c r="AD907">
        <v>0</v>
      </c>
      <c r="AE907">
        <v>0</v>
      </c>
      <c r="AF907">
        <v>0</v>
      </c>
      <c r="AG907">
        <v>0</v>
      </c>
      <c r="AJ907">
        <v>1</v>
      </c>
      <c r="AK907">
        <v>0</v>
      </c>
      <c r="AL907">
        <v>0</v>
      </c>
      <c r="AM907">
        <v>0</v>
      </c>
      <c r="AN907">
        <v>1</v>
      </c>
      <c r="AO907">
        <v>0</v>
      </c>
      <c r="AP907">
        <v>0</v>
      </c>
      <c r="AQ907">
        <v>0</v>
      </c>
      <c r="AR907">
        <v>0</v>
      </c>
      <c r="AS907">
        <v>0</v>
      </c>
      <c r="AT907">
        <v>0</v>
      </c>
      <c r="AV907">
        <v>0</v>
      </c>
      <c r="AW907">
        <v>0</v>
      </c>
    </row>
    <row r="908" spans="1:49" x14ac:dyDescent="0.25">
      <c r="A908" t="str">
        <f>"904"</f>
        <v>904</v>
      </c>
      <c r="B908" t="str">
        <f t="shared" si="49"/>
        <v>1</v>
      </c>
      <c r="C908" t="str">
        <f t="shared" si="51"/>
        <v>40</v>
      </c>
      <c r="D908" t="str">
        <f>"5"</f>
        <v>5</v>
      </c>
      <c r="E908" t="str">
        <f>"1-40-5"</f>
        <v>1-40-5</v>
      </c>
      <c r="F908" t="s">
        <v>83</v>
      </c>
      <c r="G908" t="s">
        <v>84</v>
      </c>
      <c r="H908" t="s">
        <v>85</v>
      </c>
      <c r="AC908">
        <v>1</v>
      </c>
      <c r="AD908">
        <v>0</v>
      </c>
      <c r="AE908">
        <v>0</v>
      </c>
      <c r="AF908">
        <v>0</v>
      </c>
      <c r="AG908">
        <v>1</v>
      </c>
      <c r="AJ908">
        <v>0</v>
      </c>
      <c r="AK908">
        <v>0</v>
      </c>
      <c r="AL908">
        <v>0</v>
      </c>
      <c r="AM908">
        <v>0</v>
      </c>
      <c r="AN908">
        <v>1</v>
      </c>
      <c r="AO908">
        <v>1</v>
      </c>
      <c r="AP908">
        <v>1</v>
      </c>
      <c r="AQ908">
        <v>1</v>
      </c>
      <c r="AR908">
        <v>1</v>
      </c>
      <c r="AS908">
        <v>0</v>
      </c>
      <c r="AT908">
        <v>1</v>
      </c>
      <c r="AV908">
        <v>1</v>
      </c>
      <c r="AW908">
        <v>1</v>
      </c>
    </row>
    <row r="909" spans="1:49" x14ac:dyDescent="0.25">
      <c r="A909" t="str">
        <f>"905"</f>
        <v>905</v>
      </c>
      <c r="B909" t="str">
        <f t="shared" si="49"/>
        <v>1</v>
      </c>
      <c r="C909" t="str">
        <f t="shared" si="51"/>
        <v>40</v>
      </c>
      <c r="D909" t="str">
        <f>"17"</f>
        <v>17</v>
      </c>
      <c r="E909" t="str">
        <f>"1-40-17"</f>
        <v>1-40-17</v>
      </c>
      <c r="F909" t="s">
        <v>83</v>
      </c>
      <c r="G909" t="s">
        <v>84</v>
      </c>
      <c r="H909" t="s">
        <v>92</v>
      </c>
      <c r="I909">
        <v>1</v>
      </c>
      <c r="J909">
        <v>1</v>
      </c>
      <c r="N909">
        <v>1</v>
      </c>
      <c r="O909">
        <v>1</v>
      </c>
      <c r="P909">
        <v>1</v>
      </c>
      <c r="Q909">
        <v>1</v>
      </c>
      <c r="R909">
        <v>1</v>
      </c>
      <c r="S909">
        <v>1</v>
      </c>
      <c r="T909">
        <v>1</v>
      </c>
      <c r="W909">
        <v>1</v>
      </c>
      <c r="X909">
        <v>1</v>
      </c>
      <c r="Y909">
        <v>1</v>
      </c>
      <c r="Z909">
        <v>1</v>
      </c>
      <c r="AA909">
        <v>1</v>
      </c>
      <c r="AB909">
        <v>1</v>
      </c>
    </row>
    <row r="910" spans="1:49" x14ac:dyDescent="0.25">
      <c r="A910" t="str">
        <f>"906"</f>
        <v>906</v>
      </c>
      <c r="B910" t="str">
        <f t="shared" si="49"/>
        <v>1</v>
      </c>
      <c r="C910" t="str">
        <f t="shared" si="51"/>
        <v>40</v>
      </c>
      <c r="D910" t="str">
        <f>"10"</f>
        <v>10</v>
      </c>
      <c r="E910" t="str">
        <f>"1-40-10"</f>
        <v>1-40-10</v>
      </c>
      <c r="F910" t="s">
        <v>83</v>
      </c>
      <c r="G910" t="s">
        <v>84</v>
      </c>
      <c r="H910" t="s">
        <v>92</v>
      </c>
      <c r="I910">
        <v>1</v>
      </c>
      <c r="J910">
        <v>1</v>
      </c>
      <c r="N910">
        <v>1</v>
      </c>
      <c r="O910">
        <v>0</v>
      </c>
      <c r="P910">
        <v>0</v>
      </c>
      <c r="Q910">
        <v>0</v>
      </c>
      <c r="R910">
        <v>0</v>
      </c>
      <c r="S910">
        <v>0</v>
      </c>
      <c r="T910">
        <v>0</v>
      </c>
      <c r="W910">
        <v>1</v>
      </c>
      <c r="X910">
        <v>1</v>
      </c>
      <c r="Y910">
        <v>1</v>
      </c>
      <c r="Z910">
        <v>0</v>
      </c>
      <c r="AA910">
        <v>0</v>
      </c>
      <c r="AB910">
        <v>0</v>
      </c>
    </row>
    <row r="911" spans="1:49" x14ac:dyDescent="0.25">
      <c r="A911" t="str">
        <f>"907"</f>
        <v>907</v>
      </c>
      <c r="B911" t="str">
        <f t="shared" si="49"/>
        <v>1</v>
      </c>
      <c r="C911" t="str">
        <f t="shared" si="51"/>
        <v>40</v>
      </c>
      <c r="D911" t="str">
        <f>"1"</f>
        <v>1</v>
      </c>
      <c r="E911" t="str">
        <f>"1-40-1"</f>
        <v>1-40-1</v>
      </c>
      <c r="F911" t="s">
        <v>83</v>
      </c>
      <c r="G911" t="s">
        <v>84</v>
      </c>
      <c r="H911" t="s">
        <v>85</v>
      </c>
      <c r="AC911">
        <v>0</v>
      </c>
      <c r="AD911">
        <v>1</v>
      </c>
      <c r="AE911">
        <v>0</v>
      </c>
      <c r="AF911">
        <v>0</v>
      </c>
      <c r="AG911">
        <v>0</v>
      </c>
      <c r="AJ911">
        <v>0</v>
      </c>
      <c r="AK911">
        <v>1</v>
      </c>
      <c r="AL911">
        <v>0</v>
      </c>
      <c r="AM911">
        <v>0</v>
      </c>
      <c r="AN911">
        <v>1</v>
      </c>
      <c r="AO911">
        <v>0</v>
      </c>
      <c r="AP911">
        <v>0</v>
      </c>
      <c r="AQ911">
        <v>0</v>
      </c>
      <c r="AR911">
        <v>0</v>
      </c>
      <c r="AS911">
        <v>0</v>
      </c>
      <c r="AT911">
        <v>1</v>
      </c>
      <c r="AV911">
        <v>1</v>
      </c>
      <c r="AW911">
        <v>1</v>
      </c>
    </row>
    <row r="912" spans="1:49" x14ac:dyDescent="0.25">
      <c r="A912" t="str">
        <f>"908"</f>
        <v>908</v>
      </c>
      <c r="B912" t="str">
        <f t="shared" si="49"/>
        <v>1</v>
      </c>
      <c r="C912" t="str">
        <f t="shared" si="51"/>
        <v>40</v>
      </c>
      <c r="D912" t="str">
        <f>"20"</f>
        <v>20</v>
      </c>
      <c r="E912" t="str">
        <f>"1-40-20"</f>
        <v>1-40-20</v>
      </c>
      <c r="F912" t="s">
        <v>83</v>
      </c>
      <c r="G912" t="s">
        <v>84</v>
      </c>
      <c r="H912" t="s">
        <v>92</v>
      </c>
      <c r="I912">
        <v>1</v>
      </c>
      <c r="J912">
        <v>1</v>
      </c>
      <c r="N912">
        <v>1</v>
      </c>
      <c r="O912">
        <v>1</v>
      </c>
      <c r="P912">
        <v>1</v>
      </c>
      <c r="Q912">
        <v>1</v>
      </c>
      <c r="R912">
        <v>1</v>
      </c>
      <c r="S912">
        <v>1</v>
      </c>
      <c r="T912">
        <v>1</v>
      </c>
      <c r="W912">
        <v>0</v>
      </c>
      <c r="X912">
        <v>1</v>
      </c>
      <c r="Y912">
        <v>1</v>
      </c>
      <c r="Z912">
        <v>1</v>
      </c>
      <c r="AA912">
        <v>1</v>
      </c>
      <c r="AB912">
        <v>1</v>
      </c>
    </row>
    <row r="913" spans="1:49" x14ac:dyDescent="0.25">
      <c r="A913" t="str">
        <f>"909"</f>
        <v>909</v>
      </c>
      <c r="B913" t="str">
        <f t="shared" si="49"/>
        <v>1</v>
      </c>
      <c r="C913" t="str">
        <f t="shared" si="51"/>
        <v>40</v>
      </c>
      <c r="D913" t="str">
        <f>"11"</f>
        <v>11</v>
      </c>
      <c r="E913" t="str">
        <f>"1-40-11"</f>
        <v>1-40-11</v>
      </c>
      <c r="F913" t="s">
        <v>83</v>
      </c>
      <c r="G913" t="s">
        <v>84</v>
      </c>
      <c r="H913" t="s">
        <v>92</v>
      </c>
      <c r="I913">
        <v>1</v>
      </c>
      <c r="J913">
        <v>1</v>
      </c>
      <c r="N913">
        <v>1</v>
      </c>
      <c r="O913">
        <v>1</v>
      </c>
      <c r="P913">
        <v>1</v>
      </c>
      <c r="Q913">
        <v>1</v>
      </c>
      <c r="R913">
        <v>1</v>
      </c>
      <c r="S913">
        <v>1</v>
      </c>
      <c r="T913">
        <v>1</v>
      </c>
      <c r="W913">
        <v>1</v>
      </c>
      <c r="X913">
        <v>1</v>
      </c>
      <c r="Y913">
        <v>1</v>
      </c>
      <c r="Z913">
        <v>1</v>
      </c>
      <c r="AA913">
        <v>1</v>
      </c>
      <c r="AB913">
        <v>1</v>
      </c>
    </row>
    <row r="914" spans="1:49" x14ac:dyDescent="0.25">
      <c r="A914" t="str">
        <f>"910"</f>
        <v>910</v>
      </c>
      <c r="B914" t="str">
        <f t="shared" si="49"/>
        <v>1</v>
      </c>
      <c r="C914" t="str">
        <f t="shared" si="51"/>
        <v>40</v>
      </c>
      <c r="D914" t="str">
        <f>"7"</f>
        <v>7</v>
      </c>
      <c r="E914" t="str">
        <f>"1-40-7"</f>
        <v>1-40-7</v>
      </c>
      <c r="F914" t="s">
        <v>83</v>
      </c>
      <c r="G914" t="s">
        <v>84</v>
      </c>
      <c r="H914" t="s">
        <v>92</v>
      </c>
      <c r="I914">
        <v>1</v>
      </c>
      <c r="J914">
        <v>1</v>
      </c>
      <c r="N914">
        <v>1</v>
      </c>
      <c r="O914">
        <v>1</v>
      </c>
      <c r="P914">
        <v>1</v>
      </c>
      <c r="Q914">
        <v>1</v>
      </c>
      <c r="R914">
        <v>1</v>
      </c>
      <c r="S914">
        <v>1</v>
      </c>
      <c r="T914">
        <v>1</v>
      </c>
      <c r="W914">
        <v>1</v>
      </c>
      <c r="X914">
        <v>1</v>
      </c>
      <c r="Y914">
        <v>1</v>
      </c>
      <c r="Z914">
        <v>1</v>
      </c>
      <c r="AA914">
        <v>1</v>
      </c>
      <c r="AB914">
        <v>1</v>
      </c>
    </row>
    <row r="915" spans="1:49" x14ac:dyDescent="0.25">
      <c r="A915" t="str">
        <f>"911"</f>
        <v>911</v>
      </c>
      <c r="B915" t="str">
        <f t="shared" si="49"/>
        <v>1</v>
      </c>
      <c r="C915" t="str">
        <f t="shared" si="51"/>
        <v>40</v>
      </c>
      <c r="D915" t="str">
        <f>"21"</f>
        <v>21</v>
      </c>
      <c r="E915" t="str">
        <f>"1-40-21"</f>
        <v>1-40-21</v>
      </c>
      <c r="F915" t="s">
        <v>83</v>
      </c>
      <c r="G915" t="s">
        <v>84</v>
      </c>
      <c r="H915" t="s">
        <v>92</v>
      </c>
      <c r="I915">
        <v>1</v>
      </c>
      <c r="J915">
        <v>1</v>
      </c>
      <c r="N915">
        <v>1</v>
      </c>
      <c r="O915">
        <v>1</v>
      </c>
      <c r="P915">
        <v>1</v>
      </c>
      <c r="Q915">
        <v>1</v>
      </c>
      <c r="R915">
        <v>1</v>
      </c>
      <c r="S915">
        <v>1</v>
      </c>
      <c r="T915">
        <v>1</v>
      </c>
      <c r="W915">
        <v>1</v>
      </c>
      <c r="X915">
        <v>1</v>
      </c>
      <c r="Y915">
        <v>1</v>
      </c>
      <c r="Z915">
        <v>1</v>
      </c>
      <c r="AA915">
        <v>1</v>
      </c>
      <c r="AB915">
        <v>1</v>
      </c>
    </row>
    <row r="916" spans="1:49" x14ac:dyDescent="0.25">
      <c r="A916" t="str">
        <f>"912"</f>
        <v>912</v>
      </c>
      <c r="B916" t="str">
        <f t="shared" si="49"/>
        <v>1</v>
      </c>
      <c r="C916" t="str">
        <f t="shared" si="51"/>
        <v>40</v>
      </c>
      <c r="D916" t="str">
        <f>"12"</f>
        <v>12</v>
      </c>
      <c r="E916" t="str">
        <f>"1-40-12"</f>
        <v>1-40-12</v>
      </c>
      <c r="F916" t="s">
        <v>83</v>
      </c>
      <c r="G916" t="s">
        <v>84</v>
      </c>
      <c r="H916" t="s">
        <v>92</v>
      </c>
      <c r="I916">
        <v>1</v>
      </c>
      <c r="J916">
        <v>1</v>
      </c>
      <c r="N916">
        <v>1</v>
      </c>
      <c r="O916">
        <v>1</v>
      </c>
      <c r="P916">
        <v>1</v>
      </c>
      <c r="Q916">
        <v>1</v>
      </c>
      <c r="R916">
        <v>1</v>
      </c>
      <c r="S916">
        <v>1</v>
      </c>
      <c r="T916">
        <v>1</v>
      </c>
      <c r="W916">
        <v>1</v>
      </c>
      <c r="X916">
        <v>1</v>
      </c>
      <c r="Y916">
        <v>1</v>
      </c>
      <c r="Z916">
        <v>1</v>
      </c>
      <c r="AA916">
        <v>1</v>
      </c>
      <c r="AB916">
        <v>1</v>
      </c>
    </row>
    <row r="917" spans="1:49" x14ac:dyDescent="0.25">
      <c r="A917" t="str">
        <f>"913"</f>
        <v>913</v>
      </c>
      <c r="B917" t="str">
        <f t="shared" si="49"/>
        <v>1</v>
      </c>
      <c r="C917" t="str">
        <f t="shared" si="51"/>
        <v>40</v>
      </c>
      <c r="D917" t="str">
        <f>"3"</f>
        <v>3</v>
      </c>
      <c r="E917" t="str">
        <f>"1-40-3"</f>
        <v>1-40-3</v>
      </c>
      <c r="F917" t="s">
        <v>83</v>
      </c>
      <c r="G917" t="s">
        <v>84</v>
      </c>
      <c r="H917" t="s">
        <v>92</v>
      </c>
      <c r="I917">
        <v>1</v>
      </c>
      <c r="J917">
        <v>1</v>
      </c>
      <c r="N917">
        <v>1</v>
      </c>
      <c r="O917">
        <v>1</v>
      </c>
      <c r="P917">
        <v>1</v>
      </c>
      <c r="Q917">
        <v>1</v>
      </c>
      <c r="R917">
        <v>1</v>
      </c>
      <c r="S917">
        <v>1</v>
      </c>
      <c r="T917">
        <v>1</v>
      </c>
      <c r="W917">
        <v>1</v>
      </c>
      <c r="X917">
        <v>1</v>
      </c>
      <c r="Y917">
        <v>1</v>
      </c>
      <c r="Z917">
        <v>1</v>
      </c>
      <c r="AA917">
        <v>1</v>
      </c>
      <c r="AB917">
        <v>1</v>
      </c>
    </row>
    <row r="918" spans="1:49" x14ac:dyDescent="0.25">
      <c r="A918" t="str">
        <f>"914"</f>
        <v>914</v>
      </c>
      <c r="B918" t="str">
        <f t="shared" si="49"/>
        <v>1</v>
      </c>
      <c r="C918" t="str">
        <f t="shared" si="51"/>
        <v>40</v>
      </c>
      <c r="D918" t="str">
        <f>"13"</f>
        <v>13</v>
      </c>
      <c r="E918" t="str">
        <f>"1-40-13"</f>
        <v>1-40-13</v>
      </c>
      <c r="F918" t="s">
        <v>83</v>
      </c>
      <c r="G918" t="s">
        <v>84</v>
      </c>
      <c r="H918" t="s">
        <v>92</v>
      </c>
      <c r="I918">
        <v>1</v>
      </c>
      <c r="J918">
        <v>1</v>
      </c>
      <c r="N918">
        <v>1</v>
      </c>
      <c r="O918">
        <v>1</v>
      </c>
      <c r="P918">
        <v>1</v>
      </c>
      <c r="Q918">
        <v>0</v>
      </c>
      <c r="R918">
        <v>1</v>
      </c>
      <c r="S918">
        <v>1</v>
      </c>
      <c r="T918">
        <v>1</v>
      </c>
      <c r="W918">
        <v>1</v>
      </c>
      <c r="X918">
        <v>1</v>
      </c>
      <c r="Y918">
        <v>1</v>
      </c>
      <c r="Z918">
        <v>1</v>
      </c>
      <c r="AA918">
        <v>1</v>
      </c>
      <c r="AB918">
        <v>1</v>
      </c>
    </row>
    <row r="919" spans="1:49" x14ac:dyDescent="0.25">
      <c r="A919" t="str">
        <f>"915"</f>
        <v>915</v>
      </c>
      <c r="B919" t="str">
        <f t="shared" si="49"/>
        <v>1</v>
      </c>
      <c r="C919" t="str">
        <f t="shared" si="51"/>
        <v>40</v>
      </c>
      <c r="D919" t="str">
        <f>"6"</f>
        <v>6</v>
      </c>
      <c r="E919" t="str">
        <f>"1-40-6"</f>
        <v>1-40-6</v>
      </c>
      <c r="F919" t="s">
        <v>83</v>
      </c>
      <c r="G919" t="s">
        <v>84</v>
      </c>
      <c r="H919" t="s">
        <v>92</v>
      </c>
      <c r="I919">
        <v>1</v>
      </c>
      <c r="J919">
        <v>1</v>
      </c>
      <c r="N919">
        <v>1</v>
      </c>
      <c r="O919">
        <v>1</v>
      </c>
      <c r="P919">
        <v>1</v>
      </c>
      <c r="Q919">
        <v>1</v>
      </c>
      <c r="R919">
        <v>1</v>
      </c>
      <c r="S919">
        <v>1</v>
      </c>
      <c r="T919">
        <v>1</v>
      </c>
      <c r="W919">
        <v>1</v>
      </c>
      <c r="X919">
        <v>1</v>
      </c>
      <c r="Y919">
        <v>1</v>
      </c>
      <c r="Z919">
        <v>1</v>
      </c>
      <c r="AA919">
        <v>1</v>
      </c>
      <c r="AB919">
        <v>1</v>
      </c>
    </row>
    <row r="920" spans="1:49" x14ac:dyDescent="0.25">
      <c r="A920" t="str">
        <f>"916"</f>
        <v>916</v>
      </c>
      <c r="B920" t="str">
        <f t="shared" si="49"/>
        <v>1</v>
      </c>
      <c r="C920" t="str">
        <f t="shared" si="51"/>
        <v>40</v>
      </c>
      <c r="D920" t="str">
        <f>"14"</f>
        <v>14</v>
      </c>
      <c r="E920" t="str">
        <f>"1-40-14"</f>
        <v>1-40-14</v>
      </c>
      <c r="F920" t="s">
        <v>83</v>
      </c>
      <c r="G920" t="s">
        <v>84</v>
      </c>
      <c r="H920" t="s">
        <v>85</v>
      </c>
      <c r="AC920">
        <v>0</v>
      </c>
      <c r="AD920">
        <v>1</v>
      </c>
      <c r="AE920">
        <v>0</v>
      </c>
      <c r="AF920">
        <v>0</v>
      </c>
      <c r="AG920">
        <v>1</v>
      </c>
      <c r="AJ920">
        <v>0</v>
      </c>
      <c r="AK920">
        <v>1</v>
      </c>
      <c r="AL920">
        <v>0</v>
      </c>
      <c r="AM920">
        <v>0</v>
      </c>
      <c r="AN920">
        <v>1</v>
      </c>
      <c r="AO920">
        <v>1</v>
      </c>
      <c r="AP920">
        <v>1</v>
      </c>
      <c r="AQ920">
        <v>1</v>
      </c>
      <c r="AR920">
        <v>1</v>
      </c>
      <c r="AS920">
        <v>0</v>
      </c>
      <c r="AT920">
        <v>1</v>
      </c>
      <c r="AV920">
        <v>1</v>
      </c>
      <c r="AW920">
        <v>1</v>
      </c>
    </row>
    <row r="921" spans="1:49" s="2" customFormat="1" x14ac:dyDescent="0.25">
      <c r="A921" s="1" t="str">
        <f>"917"</f>
        <v>917</v>
      </c>
      <c r="B921" s="1" t="str">
        <f t="shared" si="49"/>
        <v>1</v>
      </c>
      <c r="C921" s="1" t="str">
        <f t="shared" si="51"/>
        <v>40</v>
      </c>
      <c r="D921" s="1" t="str">
        <f>"2"</f>
        <v>2</v>
      </c>
      <c r="E921" s="1" t="str">
        <f>"1-40-2"</f>
        <v>1-40-2</v>
      </c>
      <c r="F921" s="1" t="s">
        <v>83</v>
      </c>
      <c r="G921" s="4" t="s">
        <v>96</v>
      </c>
      <c r="I921" s="4"/>
    </row>
    <row r="922" spans="1:49" x14ac:dyDescent="0.25">
      <c r="A922" t="str">
        <f>"918"</f>
        <v>918</v>
      </c>
      <c r="B922" t="str">
        <f t="shared" si="49"/>
        <v>1</v>
      </c>
      <c r="C922" t="str">
        <f t="shared" ref="C922:C946" si="52">"41"</f>
        <v>41</v>
      </c>
      <c r="D922" t="str">
        <f>"18"</f>
        <v>18</v>
      </c>
      <c r="E922" t="str">
        <f>"1-41-18"</f>
        <v>1-41-18</v>
      </c>
      <c r="F922" t="s">
        <v>83</v>
      </c>
      <c r="G922" t="s">
        <v>84</v>
      </c>
      <c r="H922" t="s">
        <v>85</v>
      </c>
      <c r="AC922">
        <v>0</v>
      </c>
      <c r="AD922">
        <v>1</v>
      </c>
      <c r="AE922">
        <v>0</v>
      </c>
      <c r="AF922">
        <v>0</v>
      </c>
      <c r="AG922">
        <v>1</v>
      </c>
      <c r="AJ922">
        <v>1</v>
      </c>
      <c r="AK922">
        <v>0</v>
      </c>
      <c r="AL922">
        <v>0</v>
      </c>
      <c r="AM922">
        <v>1</v>
      </c>
      <c r="AN922">
        <v>0</v>
      </c>
      <c r="AO922">
        <v>1</v>
      </c>
      <c r="AP922">
        <v>0</v>
      </c>
      <c r="AQ922">
        <v>1</v>
      </c>
      <c r="AR922">
        <v>1</v>
      </c>
      <c r="AS922">
        <v>0</v>
      </c>
      <c r="AT922">
        <v>1</v>
      </c>
      <c r="AV922">
        <v>1</v>
      </c>
      <c r="AW922">
        <v>1</v>
      </c>
    </row>
    <row r="923" spans="1:49" x14ac:dyDescent="0.25">
      <c r="A923" t="str">
        <f>"919"</f>
        <v>919</v>
      </c>
      <c r="B923" t="str">
        <f t="shared" si="49"/>
        <v>1</v>
      </c>
      <c r="C923" t="str">
        <f t="shared" si="52"/>
        <v>41</v>
      </c>
      <c r="D923" t="str">
        <f>"17"</f>
        <v>17</v>
      </c>
      <c r="E923" t="str">
        <f>"1-41-17"</f>
        <v>1-41-17</v>
      </c>
      <c r="F923" t="s">
        <v>83</v>
      </c>
      <c r="G923" t="s">
        <v>86</v>
      </c>
      <c r="H923" t="s">
        <v>93</v>
      </c>
      <c r="I923">
        <v>1</v>
      </c>
      <c r="K923">
        <v>0</v>
      </c>
      <c r="L923">
        <v>0</v>
      </c>
      <c r="M923">
        <v>1</v>
      </c>
      <c r="N923">
        <v>1</v>
      </c>
      <c r="O923">
        <v>1</v>
      </c>
      <c r="P923">
        <v>1</v>
      </c>
      <c r="Q923">
        <v>1</v>
      </c>
      <c r="R923">
        <v>1</v>
      </c>
      <c r="U923">
        <v>0</v>
      </c>
      <c r="V923">
        <v>1</v>
      </c>
      <c r="W923">
        <v>1</v>
      </c>
      <c r="X923">
        <v>1</v>
      </c>
      <c r="Y923">
        <v>1</v>
      </c>
      <c r="Z923">
        <v>1</v>
      </c>
      <c r="AA923">
        <v>1</v>
      </c>
      <c r="AB923">
        <v>1</v>
      </c>
    </row>
    <row r="924" spans="1:49" x14ac:dyDescent="0.25">
      <c r="A924" t="str">
        <f>"920"</f>
        <v>920</v>
      </c>
      <c r="B924" t="str">
        <f t="shared" si="49"/>
        <v>1</v>
      </c>
      <c r="C924" t="str">
        <f t="shared" si="52"/>
        <v>41</v>
      </c>
      <c r="D924" t="str">
        <f>"11"</f>
        <v>11</v>
      </c>
      <c r="E924" t="str">
        <f>"1-41-11"</f>
        <v>1-41-11</v>
      </c>
      <c r="F924" t="s">
        <v>83</v>
      </c>
      <c r="G924" t="s">
        <v>84</v>
      </c>
      <c r="H924" t="s">
        <v>85</v>
      </c>
      <c r="AC924">
        <v>0</v>
      </c>
      <c r="AD924">
        <v>1</v>
      </c>
      <c r="AE924">
        <v>0</v>
      </c>
      <c r="AF924">
        <v>0</v>
      </c>
      <c r="AG924">
        <v>1</v>
      </c>
      <c r="AJ924">
        <v>0</v>
      </c>
      <c r="AK924">
        <v>1</v>
      </c>
      <c r="AL924">
        <v>0</v>
      </c>
      <c r="AM924">
        <v>1</v>
      </c>
      <c r="AN924">
        <v>0</v>
      </c>
      <c r="AO924">
        <v>1</v>
      </c>
      <c r="AP924">
        <v>1</v>
      </c>
      <c r="AQ924">
        <v>1</v>
      </c>
      <c r="AR924">
        <v>1</v>
      </c>
      <c r="AS924">
        <v>0</v>
      </c>
      <c r="AT924">
        <v>1</v>
      </c>
      <c r="AV924">
        <v>1</v>
      </c>
      <c r="AW924">
        <v>1</v>
      </c>
    </row>
    <row r="925" spans="1:49" x14ac:dyDescent="0.25">
      <c r="A925" t="str">
        <f>"921"</f>
        <v>921</v>
      </c>
      <c r="B925" t="str">
        <f t="shared" si="49"/>
        <v>1</v>
      </c>
      <c r="C925" t="str">
        <f t="shared" si="52"/>
        <v>41</v>
      </c>
      <c r="D925" t="str">
        <f>"8"</f>
        <v>8</v>
      </c>
      <c r="E925" t="str">
        <f>"1-41-8"</f>
        <v>1-41-8</v>
      </c>
      <c r="F925" t="s">
        <v>83</v>
      </c>
      <c r="G925" t="s">
        <v>86</v>
      </c>
      <c r="H925" t="s">
        <v>87</v>
      </c>
      <c r="AC925">
        <v>1</v>
      </c>
      <c r="AD925">
        <v>0</v>
      </c>
      <c r="AE925">
        <v>0</v>
      </c>
      <c r="AF925">
        <v>0</v>
      </c>
      <c r="AH925">
        <v>0</v>
      </c>
      <c r="AI925">
        <v>1</v>
      </c>
      <c r="AJ925">
        <v>0</v>
      </c>
      <c r="AK925">
        <v>1</v>
      </c>
      <c r="AL925">
        <v>0</v>
      </c>
      <c r="AM925">
        <v>0</v>
      </c>
      <c r="AN925">
        <v>0</v>
      </c>
      <c r="AO925">
        <v>0</v>
      </c>
      <c r="AP925">
        <v>0</v>
      </c>
      <c r="AQ925">
        <v>0</v>
      </c>
      <c r="AU925">
        <v>1</v>
      </c>
      <c r="AV925">
        <v>0</v>
      </c>
      <c r="AW925">
        <v>0</v>
      </c>
    </row>
    <row r="926" spans="1:49" x14ac:dyDescent="0.25">
      <c r="A926" t="str">
        <f>"922"</f>
        <v>922</v>
      </c>
      <c r="B926" t="str">
        <f t="shared" ref="B926:B989" si="53">"1"</f>
        <v>1</v>
      </c>
      <c r="C926" t="str">
        <f t="shared" si="52"/>
        <v>41</v>
      </c>
      <c r="D926" t="str">
        <f>"3"</f>
        <v>3</v>
      </c>
      <c r="E926" t="str">
        <f>"1-41-3"</f>
        <v>1-41-3</v>
      </c>
      <c r="F926" t="s">
        <v>83</v>
      </c>
      <c r="G926" t="s">
        <v>84</v>
      </c>
      <c r="H926" t="s">
        <v>85</v>
      </c>
      <c r="AC926">
        <v>0</v>
      </c>
      <c r="AD926">
        <v>1</v>
      </c>
      <c r="AE926">
        <v>0</v>
      </c>
      <c r="AF926">
        <v>0</v>
      </c>
      <c r="AG926">
        <v>1</v>
      </c>
      <c r="AJ926">
        <v>0</v>
      </c>
      <c r="AK926">
        <v>1</v>
      </c>
      <c r="AL926">
        <v>0</v>
      </c>
      <c r="AM926">
        <v>0</v>
      </c>
      <c r="AN926">
        <v>1</v>
      </c>
      <c r="AO926">
        <v>1</v>
      </c>
      <c r="AP926">
        <v>1</v>
      </c>
      <c r="AQ926">
        <v>1</v>
      </c>
      <c r="AR926">
        <v>1</v>
      </c>
      <c r="AS926">
        <v>0</v>
      </c>
      <c r="AT926">
        <v>1</v>
      </c>
      <c r="AV926">
        <v>1</v>
      </c>
      <c r="AW926">
        <v>1</v>
      </c>
    </row>
    <row r="927" spans="1:49" x14ac:dyDescent="0.25">
      <c r="A927" t="str">
        <f>"923"</f>
        <v>923</v>
      </c>
      <c r="B927" t="str">
        <f t="shared" si="53"/>
        <v>1</v>
      </c>
      <c r="C927" t="str">
        <f t="shared" si="52"/>
        <v>41</v>
      </c>
      <c r="D927" t="str">
        <f>"25"</f>
        <v>25</v>
      </c>
      <c r="E927" t="str">
        <f>"1-41-25"</f>
        <v>1-41-25</v>
      </c>
      <c r="F927" t="s">
        <v>83</v>
      </c>
      <c r="G927" t="s">
        <v>84</v>
      </c>
      <c r="H927" t="s">
        <v>85</v>
      </c>
      <c r="AC927">
        <v>0</v>
      </c>
      <c r="AD927">
        <v>1</v>
      </c>
      <c r="AE927">
        <v>0</v>
      </c>
      <c r="AF927">
        <v>0</v>
      </c>
      <c r="AG927">
        <v>0</v>
      </c>
      <c r="AJ927">
        <v>1</v>
      </c>
      <c r="AK927">
        <v>0</v>
      </c>
      <c r="AL927">
        <v>0</v>
      </c>
      <c r="AM927">
        <v>1</v>
      </c>
      <c r="AN927">
        <v>0</v>
      </c>
      <c r="AO927">
        <v>0</v>
      </c>
      <c r="AP927">
        <v>0</v>
      </c>
      <c r="AQ927">
        <v>0</v>
      </c>
      <c r="AR927">
        <v>0</v>
      </c>
      <c r="AS927">
        <v>0</v>
      </c>
      <c r="AT927">
        <v>0</v>
      </c>
      <c r="AV927">
        <v>0</v>
      </c>
      <c r="AW927">
        <v>0</v>
      </c>
    </row>
    <row r="928" spans="1:49" x14ac:dyDescent="0.25">
      <c r="A928" t="str">
        <f>"924"</f>
        <v>924</v>
      </c>
      <c r="B928" t="str">
        <f t="shared" si="53"/>
        <v>1</v>
      </c>
      <c r="C928" t="str">
        <f t="shared" si="52"/>
        <v>41</v>
      </c>
      <c r="D928" t="str">
        <f>"24"</f>
        <v>24</v>
      </c>
      <c r="E928" t="str">
        <f>"1-41-24"</f>
        <v>1-41-24</v>
      </c>
      <c r="F928" t="s">
        <v>83</v>
      </c>
      <c r="G928" t="s">
        <v>84</v>
      </c>
      <c r="H928" t="s">
        <v>92</v>
      </c>
      <c r="I928">
        <v>1</v>
      </c>
      <c r="J928">
        <v>1</v>
      </c>
      <c r="N928">
        <v>1</v>
      </c>
      <c r="O928">
        <v>1</v>
      </c>
      <c r="P928">
        <v>1</v>
      </c>
      <c r="Q928">
        <v>1</v>
      </c>
      <c r="R928">
        <v>1</v>
      </c>
      <c r="S928">
        <v>1</v>
      </c>
      <c r="T928">
        <v>1</v>
      </c>
      <c r="W928">
        <v>1</v>
      </c>
      <c r="X928">
        <v>1</v>
      </c>
      <c r="Y928">
        <v>1</v>
      </c>
      <c r="Z928">
        <v>1</v>
      </c>
      <c r="AA928">
        <v>1</v>
      </c>
      <c r="AB928">
        <v>1</v>
      </c>
    </row>
    <row r="929" spans="1:49" x14ac:dyDescent="0.25">
      <c r="A929" t="str">
        <f>"925"</f>
        <v>925</v>
      </c>
      <c r="B929" t="str">
        <f t="shared" si="53"/>
        <v>1</v>
      </c>
      <c r="C929" t="str">
        <f t="shared" si="52"/>
        <v>41</v>
      </c>
      <c r="D929" t="str">
        <f>"19"</f>
        <v>19</v>
      </c>
      <c r="E929" t="str">
        <f>"1-41-19"</f>
        <v>1-41-19</v>
      </c>
      <c r="F929" t="s">
        <v>83</v>
      </c>
      <c r="G929" t="s">
        <v>86</v>
      </c>
      <c r="H929" t="s">
        <v>87</v>
      </c>
      <c r="AC929">
        <v>0</v>
      </c>
      <c r="AD929">
        <v>0</v>
      </c>
      <c r="AE929">
        <v>0</v>
      </c>
      <c r="AF929">
        <v>0</v>
      </c>
      <c r="AH929">
        <v>0</v>
      </c>
      <c r="AI929">
        <v>1</v>
      </c>
      <c r="AJ929">
        <v>0</v>
      </c>
      <c r="AK929">
        <v>1</v>
      </c>
      <c r="AL929">
        <v>0</v>
      </c>
      <c r="AM929">
        <v>1</v>
      </c>
      <c r="AN929">
        <v>0</v>
      </c>
      <c r="AO929">
        <v>1</v>
      </c>
      <c r="AP929">
        <v>1</v>
      </c>
      <c r="AQ929">
        <v>1</v>
      </c>
      <c r="AU929">
        <v>1</v>
      </c>
      <c r="AV929">
        <v>1</v>
      </c>
      <c r="AW929">
        <v>1</v>
      </c>
    </row>
    <row r="930" spans="1:49" x14ac:dyDescent="0.25">
      <c r="A930" t="str">
        <f>"926"</f>
        <v>926</v>
      </c>
      <c r="B930" t="str">
        <f t="shared" si="53"/>
        <v>1</v>
      </c>
      <c r="C930" t="str">
        <f t="shared" si="52"/>
        <v>41</v>
      </c>
      <c r="D930" t="str">
        <f>"9"</f>
        <v>9</v>
      </c>
      <c r="E930" t="str">
        <f>"1-41-9"</f>
        <v>1-41-9</v>
      </c>
      <c r="F930" t="s">
        <v>83</v>
      </c>
      <c r="G930" t="s">
        <v>84</v>
      </c>
      <c r="H930" t="s">
        <v>92</v>
      </c>
      <c r="I930">
        <v>1</v>
      </c>
      <c r="J930">
        <v>1</v>
      </c>
      <c r="N930">
        <v>1</v>
      </c>
      <c r="O930">
        <v>1</v>
      </c>
      <c r="P930">
        <v>1</v>
      </c>
      <c r="Q930">
        <v>0</v>
      </c>
      <c r="R930">
        <v>1</v>
      </c>
      <c r="S930">
        <v>1</v>
      </c>
      <c r="T930">
        <v>1</v>
      </c>
      <c r="W930">
        <v>1</v>
      </c>
      <c r="X930">
        <v>1</v>
      </c>
      <c r="Y930">
        <v>1</v>
      </c>
      <c r="Z930">
        <v>0</v>
      </c>
      <c r="AA930">
        <v>1</v>
      </c>
      <c r="AB930">
        <v>1</v>
      </c>
    </row>
    <row r="931" spans="1:49" x14ac:dyDescent="0.25">
      <c r="A931" t="str">
        <f>"927"</f>
        <v>927</v>
      </c>
      <c r="B931" t="str">
        <f t="shared" si="53"/>
        <v>1</v>
      </c>
      <c r="C931" t="str">
        <f t="shared" si="52"/>
        <v>41</v>
      </c>
      <c r="D931" t="str">
        <f>"1"</f>
        <v>1</v>
      </c>
      <c r="E931" t="str">
        <f>"1-41-1"</f>
        <v>1-41-1</v>
      </c>
      <c r="F931" t="s">
        <v>83</v>
      </c>
      <c r="G931" t="s">
        <v>84</v>
      </c>
      <c r="H931" t="s">
        <v>85</v>
      </c>
      <c r="AC931">
        <v>0</v>
      </c>
      <c r="AD931">
        <v>1</v>
      </c>
      <c r="AE931">
        <v>0</v>
      </c>
      <c r="AF931">
        <v>0</v>
      </c>
      <c r="AG931">
        <v>0</v>
      </c>
      <c r="AJ931">
        <v>0</v>
      </c>
      <c r="AK931">
        <v>1</v>
      </c>
      <c r="AL931">
        <v>0</v>
      </c>
      <c r="AM931">
        <v>1</v>
      </c>
      <c r="AN931">
        <v>0</v>
      </c>
      <c r="AO931">
        <v>0</v>
      </c>
      <c r="AP931">
        <v>0</v>
      </c>
      <c r="AQ931">
        <v>0</v>
      </c>
      <c r="AR931">
        <v>0</v>
      </c>
      <c r="AS931">
        <v>0</v>
      </c>
      <c r="AT931">
        <v>1</v>
      </c>
      <c r="AV931">
        <v>0</v>
      </c>
      <c r="AW931">
        <v>0</v>
      </c>
    </row>
    <row r="932" spans="1:49" x14ac:dyDescent="0.25">
      <c r="A932" t="str">
        <f>"928"</f>
        <v>928</v>
      </c>
      <c r="B932" t="str">
        <f t="shared" si="53"/>
        <v>1</v>
      </c>
      <c r="C932" t="str">
        <f t="shared" si="52"/>
        <v>41</v>
      </c>
      <c r="D932" t="str">
        <f>"23"</f>
        <v>23</v>
      </c>
      <c r="E932" t="str">
        <f>"1-41-23"</f>
        <v>1-41-23</v>
      </c>
      <c r="F932" t="s">
        <v>83</v>
      </c>
      <c r="G932" t="s">
        <v>84</v>
      </c>
      <c r="H932" t="s">
        <v>92</v>
      </c>
      <c r="I932">
        <v>1</v>
      </c>
      <c r="J932">
        <v>1</v>
      </c>
      <c r="N932">
        <v>1</v>
      </c>
      <c r="O932">
        <v>1</v>
      </c>
      <c r="P932">
        <v>1</v>
      </c>
      <c r="Q932">
        <v>1</v>
      </c>
      <c r="R932">
        <v>1</v>
      </c>
      <c r="S932">
        <v>1</v>
      </c>
      <c r="T932">
        <v>1</v>
      </c>
      <c r="W932">
        <v>1</v>
      </c>
      <c r="X932">
        <v>1</v>
      </c>
      <c r="Y932">
        <v>1</v>
      </c>
      <c r="Z932">
        <v>1</v>
      </c>
      <c r="AA932">
        <v>1</v>
      </c>
      <c r="AB932">
        <v>1</v>
      </c>
    </row>
    <row r="933" spans="1:49" x14ac:dyDescent="0.25">
      <c r="A933" t="str">
        <f>"929"</f>
        <v>929</v>
      </c>
      <c r="B933" t="str">
        <f t="shared" si="53"/>
        <v>1</v>
      </c>
      <c r="C933" t="str">
        <f t="shared" si="52"/>
        <v>41</v>
      </c>
      <c r="D933" t="str">
        <f>"22"</f>
        <v>22</v>
      </c>
      <c r="E933" t="str">
        <f>"1-41-22"</f>
        <v>1-41-22</v>
      </c>
      <c r="F933" t="s">
        <v>83</v>
      </c>
      <c r="G933" t="s">
        <v>84</v>
      </c>
      <c r="H933" t="s">
        <v>85</v>
      </c>
      <c r="AC933">
        <v>1</v>
      </c>
      <c r="AD933">
        <v>0</v>
      </c>
      <c r="AE933">
        <v>0</v>
      </c>
      <c r="AF933">
        <v>0</v>
      </c>
      <c r="AG933">
        <v>1</v>
      </c>
      <c r="AJ933">
        <v>0</v>
      </c>
      <c r="AK933">
        <v>1</v>
      </c>
      <c r="AL933">
        <v>0</v>
      </c>
      <c r="AM933">
        <v>1</v>
      </c>
      <c r="AN933">
        <v>0</v>
      </c>
      <c r="AO933">
        <v>1</v>
      </c>
      <c r="AP933">
        <v>1</v>
      </c>
      <c r="AQ933">
        <v>1</v>
      </c>
      <c r="AR933">
        <v>1</v>
      </c>
      <c r="AS933">
        <v>0</v>
      </c>
      <c r="AT933">
        <v>1</v>
      </c>
      <c r="AV933">
        <v>1</v>
      </c>
      <c r="AW933">
        <v>1</v>
      </c>
    </row>
    <row r="934" spans="1:49" x14ac:dyDescent="0.25">
      <c r="A934" t="str">
        <f>"930"</f>
        <v>930</v>
      </c>
      <c r="B934" t="str">
        <f t="shared" si="53"/>
        <v>1</v>
      </c>
      <c r="C934" t="str">
        <f t="shared" si="52"/>
        <v>41</v>
      </c>
      <c r="D934" t="str">
        <f>"16"</f>
        <v>16</v>
      </c>
      <c r="E934" t="str">
        <f>"1-41-16"</f>
        <v>1-41-16</v>
      </c>
      <c r="F934" t="s">
        <v>83</v>
      </c>
      <c r="G934" t="s">
        <v>84</v>
      </c>
      <c r="H934" t="s">
        <v>92</v>
      </c>
      <c r="I934">
        <v>1</v>
      </c>
      <c r="J934">
        <v>1</v>
      </c>
      <c r="N934">
        <v>1</v>
      </c>
      <c r="O934">
        <v>1</v>
      </c>
      <c r="P934">
        <v>1</v>
      </c>
      <c r="Q934">
        <v>1</v>
      </c>
      <c r="R934">
        <v>1</v>
      </c>
      <c r="S934">
        <v>1</v>
      </c>
      <c r="T934">
        <v>1</v>
      </c>
      <c r="W934">
        <v>1</v>
      </c>
      <c r="X934">
        <v>1</v>
      </c>
      <c r="Y934">
        <v>1</v>
      </c>
      <c r="Z934">
        <v>1</v>
      </c>
      <c r="AA934">
        <v>1</v>
      </c>
      <c r="AB934">
        <v>1</v>
      </c>
    </row>
    <row r="935" spans="1:49" x14ac:dyDescent="0.25">
      <c r="A935" t="str">
        <f>"931"</f>
        <v>931</v>
      </c>
      <c r="B935" t="str">
        <f t="shared" si="53"/>
        <v>1</v>
      </c>
      <c r="C935" t="str">
        <f t="shared" si="52"/>
        <v>41</v>
      </c>
      <c r="D935" t="str">
        <f>"10"</f>
        <v>10</v>
      </c>
      <c r="E935" t="str">
        <f>"1-41-10"</f>
        <v>1-41-10</v>
      </c>
      <c r="F935" t="s">
        <v>83</v>
      </c>
      <c r="G935" t="s">
        <v>84</v>
      </c>
      <c r="H935" t="s">
        <v>85</v>
      </c>
      <c r="AC935">
        <v>1</v>
      </c>
      <c r="AD935">
        <v>0</v>
      </c>
      <c r="AE935">
        <v>0</v>
      </c>
      <c r="AF935">
        <v>0</v>
      </c>
      <c r="AG935">
        <v>1</v>
      </c>
      <c r="AJ935">
        <v>0</v>
      </c>
      <c r="AK935">
        <v>1</v>
      </c>
      <c r="AL935">
        <v>0</v>
      </c>
      <c r="AM935">
        <v>1</v>
      </c>
      <c r="AN935">
        <v>0</v>
      </c>
      <c r="AO935">
        <v>1</v>
      </c>
      <c r="AP935">
        <v>1</v>
      </c>
      <c r="AQ935">
        <v>1</v>
      </c>
      <c r="AR935">
        <v>1</v>
      </c>
      <c r="AS935">
        <v>0</v>
      </c>
      <c r="AT935">
        <v>1</v>
      </c>
      <c r="AV935">
        <v>1</v>
      </c>
      <c r="AW935">
        <v>1</v>
      </c>
    </row>
    <row r="936" spans="1:49" x14ac:dyDescent="0.25">
      <c r="A936" t="str">
        <f>"932"</f>
        <v>932</v>
      </c>
      <c r="B936" t="str">
        <f t="shared" si="53"/>
        <v>1</v>
      </c>
      <c r="C936" t="str">
        <f t="shared" si="52"/>
        <v>41</v>
      </c>
      <c r="D936" t="str">
        <f>"6"</f>
        <v>6</v>
      </c>
      <c r="E936" t="str">
        <f>"1-41-6"</f>
        <v>1-41-6</v>
      </c>
      <c r="F936" t="s">
        <v>83</v>
      </c>
      <c r="G936" t="s">
        <v>84</v>
      </c>
      <c r="H936" t="s">
        <v>85</v>
      </c>
      <c r="AC936">
        <v>0</v>
      </c>
      <c r="AD936">
        <v>1</v>
      </c>
      <c r="AE936">
        <v>0</v>
      </c>
      <c r="AF936">
        <v>0</v>
      </c>
      <c r="AG936">
        <v>0</v>
      </c>
      <c r="AJ936">
        <v>0</v>
      </c>
      <c r="AK936">
        <v>1</v>
      </c>
      <c r="AL936">
        <v>0</v>
      </c>
      <c r="AM936">
        <v>0</v>
      </c>
      <c r="AN936">
        <v>1</v>
      </c>
      <c r="AO936">
        <v>0</v>
      </c>
      <c r="AP936">
        <v>0</v>
      </c>
      <c r="AQ936">
        <v>0</v>
      </c>
      <c r="AR936">
        <v>0</v>
      </c>
      <c r="AS936">
        <v>0</v>
      </c>
      <c r="AT936">
        <v>0</v>
      </c>
      <c r="AV936">
        <v>0</v>
      </c>
      <c r="AW936">
        <v>0</v>
      </c>
    </row>
    <row r="937" spans="1:49" x14ac:dyDescent="0.25">
      <c r="A937" t="str">
        <f>"933"</f>
        <v>933</v>
      </c>
      <c r="B937" t="str">
        <f t="shared" si="53"/>
        <v>1</v>
      </c>
      <c r="C937" t="str">
        <f t="shared" si="52"/>
        <v>41</v>
      </c>
      <c r="D937" t="str">
        <f>"21"</f>
        <v>21</v>
      </c>
      <c r="E937" t="str">
        <f>"1-41-21"</f>
        <v>1-41-21</v>
      </c>
      <c r="F937" t="s">
        <v>83</v>
      </c>
      <c r="G937" t="s">
        <v>84</v>
      </c>
      <c r="H937" t="s">
        <v>85</v>
      </c>
      <c r="AC937">
        <v>1</v>
      </c>
      <c r="AD937">
        <v>0</v>
      </c>
      <c r="AE937">
        <v>0</v>
      </c>
      <c r="AF937">
        <v>0</v>
      </c>
      <c r="AG937">
        <v>1</v>
      </c>
      <c r="AJ937">
        <v>0</v>
      </c>
      <c r="AK937">
        <v>1</v>
      </c>
      <c r="AL937">
        <v>0</v>
      </c>
      <c r="AM937">
        <v>0</v>
      </c>
      <c r="AN937">
        <v>1</v>
      </c>
      <c r="AO937">
        <v>1</v>
      </c>
      <c r="AP937">
        <v>1</v>
      </c>
      <c r="AQ937">
        <v>1</v>
      </c>
      <c r="AR937">
        <v>1</v>
      </c>
      <c r="AS937">
        <v>1</v>
      </c>
      <c r="AT937">
        <v>0</v>
      </c>
      <c r="AV937">
        <v>1</v>
      </c>
      <c r="AW937">
        <v>1</v>
      </c>
    </row>
    <row r="938" spans="1:49" x14ac:dyDescent="0.25">
      <c r="A938" t="str">
        <f>"934"</f>
        <v>934</v>
      </c>
      <c r="B938" t="str">
        <f t="shared" si="53"/>
        <v>1</v>
      </c>
      <c r="C938" t="str">
        <f t="shared" si="52"/>
        <v>41</v>
      </c>
      <c r="D938" t="str">
        <f>"12"</f>
        <v>12</v>
      </c>
      <c r="E938" t="str">
        <f>"1-41-12"</f>
        <v>1-41-12</v>
      </c>
      <c r="F938" t="s">
        <v>83</v>
      </c>
      <c r="G938" t="s">
        <v>84</v>
      </c>
      <c r="H938" t="s">
        <v>85</v>
      </c>
      <c r="AC938">
        <v>0</v>
      </c>
      <c r="AD938">
        <v>1</v>
      </c>
      <c r="AE938">
        <v>0</v>
      </c>
      <c r="AF938">
        <v>0</v>
      </c>
      <c r="AG938">
        <v>1</v>
      </c>
      <c r="AJ938">
        <v>0</v>
      </c>
      <c r="AK938">
        <v>1</v>
      </c>
      <c r="AL938">
        <v>0</v>
      </c>
      <c r="AM938">
        <v>1</v>
      </c>
      <c r="AN938">
        <v>0</v>
      </c>
      <c r="AO938">
        <v>1</v>
      </c>
      <c r="AP938">
        <v>1</v>
      </c>
      <c r="AQ938">
        <v>1</v>
      </c>
      <c r="AR938">
        <v>0</v>
      </c>
      <c r="AS938">
        <v>1</v>
      </c>
      <c r="AT938">
        <v>0</v>
      </c>
      <c r="AV938">
        <v>1</v>
      </c>
      <c r="AW938">
        <v>1</v>
      </c>
    </row>
    <row r="939" spans="1:49" x14ac:dyDescent="0.25">
      <c r="A939" t="str">
        <f>"935"</f>
        <v>935</v>
      </c>
      <c r="B939" t="str">
        <f t="shared" si="53"/>
        <v>1</v>
      </c>
      <c r="C939" t="str">
        <f t="shared" si="52"/>
        <v>41</v>
      </c>
      <c r="D939" t="str">
        <f>"7"</f>
        <v>7</v>
      </c>
      <c r="E939" t="str">
        <f>"1-41-7"</f>
        <v>1-41-7</v>
      </c>
      <c r="F939" t="s">
        <v>83</v>
      </c>
      <c r="G939" t="s">
        <v>86</v>
      </c>
      <c r="H939" t="s">
        <v>93</v>
      </c>
      <c r="I939">
        <v>1</v>
      </c>
      <c r="K939">
        <v>1</v>
      </c>
      <c r="L939">
        <v>0</v>
      </c>
      <c r="M939">
        <v>0</v>
      </c>
      <c r="N939">
        <v>1</v>
      </c>
      <c r="O939">
        <v>1</v>
      </c>
      <c r="P939">
        <v>1</v>
      </c>
      <c r="Q939">
        <v>1</v>
      </c>
      <c r="R939">
        <v>1</v>
      </c>
      <c r="U939">
        <v>0</v>
      </c>
      <c r="V939">
        <v>1</v>
      </c>
      <c r="W939">
        <v>1</v>
      </c>
      <c r="X939">
        <v>1</v>
      </c>
      <c r="Y939">
        <v>1</v>
      </c>
      <c r="Z939">
        <v>1</v>
      </c>
      <c r="AA939">
        <v>1</v>
      </c>
      <c r="AB939">
        <v>1</v>
      </c>
    </row>
    <row r="940" spans="1:49" x14ac:dyDescent="0.25">
      <c r="A940" t="str">
        <f>"936"</f>
        <v>936</v>
      </c>
      <c r="B940" t="str">
        <f t="shared" si="53"/>
        <v>1</v>
      </c>
      <c r="C940" t="str">
        <f t="shared" si="52"/>
        <v>41</v>
      </c>
      <c r="D940" t="str">
        <f>"20"</f>
        <v>20</v>
      </c>
      <c r="E940" t="str">
        <f>"1-41-20"</f>
        <v>1-41-20</v>
      </c>
      <c r="F940" t="s">
        <v>83</v>
      </c>
      <c r="G940" t="s">
        <v>84</v>
      </c>
      <c r="H940" t="s">
        <v>85</v>
      </c>
      <c r="AC940">
        <v>0</v>
      </c>
      <c r="AD940">
        <v>0</v>
      </c>
      <c r="AE940">
        <v>0</v>
      </c>
      <c r="AF940">
        <v>0</v>
      </c>
      <c r="AG940">
        <v>0</v>
      </c>
      <c r="AJ940">
        <v>0</v>
      </c>
      <c r="AK940">
        <v>1</v>
      </c>
      <c r="AL940">
        <v>1</v>
      </c>
      <c r="AM940">
        <v>0</v>
      </c>
      <c r="AN940">
        <v>0</v>
      </c>
      <c r="AO940">
        <v>0</v>
      </c>
      <c r="AP940">
        <v>0</v>
      </c>
      <c r="AQ940">
        <v>0</v>
      </c>
      <c r="AR940">
        <v>0</v>
      </c>
      <c r="AS940">
        <v>1</v>
      </c>
      <c r="AT940">
        <v>0</v>
      </c>
      <c r="AV940">
        <v>0</v>
      </c>
      <c r="AW940">
        <v>1</v>
      </c>
    </row>
    <row r="941" spans="1:49" x14ac:dyDescent="0.25">
      <c r="A941" t="str">
        <f>"937"</f>
        <v>937</v>
      </c>
      <c r="B941" t="str">
        <f t="shared" si="53"/>
        <v>1</v>
      </c>
      <c r="C941" t="str">
        <f t="shared" si="52"/>
        <v>41</v>
      </c>
      <c r="D941" t="str">
        <f>"13"</f>
        <v>13</v>
      </c>
      <c r="E941" t="str">
        <f>"1-41-13"</f>
        <v>1-41-13</v>
      </c>
      <c r="F941" t="s">
        <v>83</v>
      </c>
      <c r="G941" t="s">
        <v>84</v>
      </c>
      <c r="H941" t="s">
        <v>92</v>
      </c>
      <c r="I941">
        <v>1</v>
      </c>
      <c r="J941">
        <v>1</v>
      </c>
      <c r="N941">
        <v>1</v>
      </c>
      <c r="O941">
        <v>1</v>
      </c>
      <c r="P941">
        <v>1</v>
      </c>
      <c r="Q941">
        <v>1</v>
      </c>
      <c r="R941">
        <v>1</v>
      </c>
      <c r="S941">
        <v>1</v>
      </c>
      <c r="T941">
        <v>1</v>
      </c>
      <c r="W941">
        <v>1</v>
      </c>
      <c r="X941">
        <v>1</v>
      </c>
      <c r="Y941">
        <v>1</v>
      </c>
      <c r="Z941">
        <v>1</v>
      </c>
      <c r="AA941">
        <v>1</v>
      </c>
      <c r="AB941">
        <v>1</v>
      </c>
    </row>
    <row r="942" spans="1:49" x14ac:dyDescent="0.25">
      <c r="A942" t="str">
        <f>"938"</f>
        <v>938</v>
      </c>
      <c r="B942" t="str">
        <f t="shared" si="53"/>
        <v>1</v>
      </c>
      <c r="C942" t="str">
        <f t="shared" si="52"/>
        <v>41</v>
      </c>
      <c r="D942" t="str">
        <f>"4"</f>
        <v>4</v>
      </c>
      <c r="E942" t="str">
        <f>"1-41-4"</f>
        <v>1-41-4</v>
      </c>
      <c r="F942" t="s">
        <v>83</v>
      </c>
      <c r="G942" t="s">
        <v>90</v>
      </c>
      <c r="H942" t="s">
        <v>91</v>
      </c>
      <c r="AC942">
        <v>0</v>
      </c>
      <c r="AD942">
        <v>1</v>
      </c>
      <c r="AE942">
        <v>0</v>
      </c>
      <c r="AF942">
        <v>0</v>
      </c>
      <c r="AH942">
        <v>1</v>
      </c>
      <c r="AI942">
        <v>0</v>
      </c>
      <c r="AJ942">
        <v>0</v>
      </c>
      <c r="AK942">
        <v>1</v>
      </c>
      <c r="AL942">
        <v>0</v>
      </c>
      <c r="AM942">
        <v>0</v>
      </c>
      <c r="AN942">
        <v>1</v>
      </c>
      <c r="AO942">
        <v>1</v>
      </c>
      <c r="AP942">
        <v>1</v>
      </c>
      <c r="AQ942">
        <v>1</v>
      </c>
      <c r="AR942">
        <v>1</v>
      </c>
      <c r="AU942">
        <v>1</v>
      </c>
      <c r="AV942">
        <v>1</v>
      </c>
      <c r="AW942">
        <v>1</v>
      </c>
    </row>
    <row r="943" spans="1:49" x14ac:dyDescent="0.25">
      <c r="A943" t="str">
        <f>"939"</f>
        <v>939</v>
      </c>
      <c r="B943" t="str">
        <f t="shared" si="53"/>
        <v>1</v>
      </c>
      <c r="C943" t="str">
        <f t="shared" si="52"/>
        <v>41</v>
      </c>
      <c r="D943" t="str">
        <f>"14"</f>
        <v>14</v>
      </c>
      <c r="E943" t="str">
        <f>"1-41-14"</f>
        <v>1-41-14</v>
      </c>
      <c r="F943" t="s">
        <v>83</v>
      </c>
      <c r="G943" t="s">
        <v>84</v>
      </c>
      <c r="H943" t="s">
        <v>85</v>
      </c>
      <c r="AC943">
        <v>0</v>
      </c>
      <c r="AD943">
        <v>1</v>
      </c>
      <c r="AE943">
        <v>0</v>
      </c>
      <c r="AF943">
        <v>0</v>
      </c>
      <c r="AG943">
        <v>0</v>
      </c>
      <c r="AJ943">
        <v>0</v>
      </c>
      <c r="AK943">
        <v>1</v>
      </c>
      <c r="AL943">
        <v>0</v>
      </c>
      <c r="AM943">
        <v>0</v>
      </c>
      <c r="AN943">
        <v>1</v>
      </c>
      <c r="AO943">
        <v>0</v>
      </c>
      <c r="AP943">
        <v>0</v>
      </c>
      <c r="AQ943">
        <v>0</v>
      </c>
      <c r="AR943">
        <v>0</v>
      </c>
      <c r="AS943">
        <v>1</v>
      </c>
      <c r="AT943">
        <v>0</v>
      </c>
      <c r="AV943">
        <v>0</v>
      </c>
      <c r="AW943">
        <v>0</v>
      </c>
    </row>
    <row r="944" spans="1:49" x14ac:dyDescent="0.25">
      <c r="A944" t="str">
        <f>"940"</f>
        <v>940</v>
      </c>
      <c r="B944" t="str">
        <f t="shared" si="53"/>
        <v>1</v>
      </c>
      <c r="C944" t="str">
        <f t="shared" si="52"/>
        <v>41</v>
      </c>
      <c r="D944" t="str">
        <f>"5"</f>
        <v>5</v>
      </c>
      <c r="E944" t="str">
        <f>"1-41-5"</f>
        <v>1-41-5</v>
      </c>
      <c r="F944" t="s">
        <v>83</v>
      </c>
      <c r="G944" t="s">
        <v>84</v>
      </c>
      <c r="H944" t="s">
        <v>92</v>
      </c>
      <c r="I944">
        <v>1</v>
      </c>
      <c r="J944">
        <v>1</v>
      </c>
      <c r="N944">
        <v>1</v>
      </c>
      <c r="O944">
        <v>1</v>
      </c>
      <c r="P944">
        <v>1</v>
      </c>
      <c r="Q944">
        <v>1</v>
      </c>
      <c r="R944">
        <v>1</v>
      </c>
      <c r="S944">
        <v>1</v>
      </c>
      <c r="T944">
        <v>1</v>
      </c>
      <c r="W944">
        <v>0</v>
      </c>
      <c r="X944">
        <v>0</v>
      </c>
      <c r="Y944">
        <v>1</v>
      </c>
      <c r="Z944">
        <v>1</v>
      </c>
      <c r="AA944">
        <v>1</v>
      </c>
      <c r="AB944">
        <v>1</v>
      </c>
    </row>
    <row r="945" spans="1:49" x14ac:dyDescent="0.25">
      <c r="A945" t="str">
        <f>"941"</f>
        <v>941</v>
      </c>
      <c r="B945" t="str">
        <f t="shared" si="53"/>
        <v>1</v>
      </c>
      <c r="C945" t="str">
        <f t="shared" si="52"/>
        <v>41</v>
      </c>
      <c r="D945" t="str">
        <f>"15"</f>
        <v>15</v>
      </c>
      <c r="E945" t="str">
        <f>"1-41-15"</f>
        <v>1-41-15</v>
      </c>
      <c r="F945" t="s">
        <v>83</v>
      </c>
      <c r="G945" t="s">
        <v>84</v>
      </c>
      <c r="H945" t="s">
        <v>85</v>
      </c>
      <c r="AC945">
        <v>0</v>
      </c>
      <c r="AD945">
        <v>1</v>
      </c>
      <c r="AE945">
        <v>0</v>
      </c>
      <c r="AF945">
        <v>0</v>
      </c>
      <c r="AG945">
        <v>1</v>
      </c>
      <c r="AJ945">
        <v>1</v>
      </c>
      <c r="AK945">
        <v>0</v>
      </c>
      <c r="AL945">
        <v>0</v>
      </c>
      <c r="AM945">
        <v>0</v>
      </c>
      <c r="AN945">
        <v>1</v>
      </c>
      <c r="AO945">
        <v>1</v>
      </c>
      <c r="AP945">
        <v>1</v>
      </c>
      <c r="AQ945">
        <v>1</v>
      </c>
      <c r="AR945">
        <v>1</v>
      </c>
      <c r="AS945">
        <v>0</v>
      </c>
      <c r="AT945">
        <v>1</v>
      </c>
      <c r="AV945">
        <v>1</v>
      </c>
      <c r="AW945">
        <v>1</v>
      </c>
    </row>
    <row r="946" spans="1:49" x14ac:dyDescent="0.25">
      <c r="A946" t="str">
        <f>"942"</f>
        <v>942</v>
      </c>
      <c r="B946" t="str">
        <f t="shared" si="53"/>
        <v>1</v>
      </c>
      <c r="C946" t="str">
        <f t="shared" si="52"/>
        <v>41</v>
      </c>
      <c r="D946" t="str">
        <f>"2"</f>
        <v>2</v>
      </c>
      <c r="E946" t="str">
        <f>"1-41-2"</f>
        <v>1-41-2</v>
      </c>
      <c r="F946" t="s">
        <v>83</v>
      </c>
      <c r="G946" t="s">
        <v>84</v>
      </c>
      <c r="H946" t="s">
        <v>85</v>
      </c>
      <c r="AC946">
        <v>0</v>
      </c>
      <c r="AD946">
        <v>0</v>
      </c>
      <c r="AE946">
        <v>0</v>
      </c>
      <c r="AF946">
        <v>0</v>
      </c>
      <c r="AG946">
        <v>1</v>
      </c>
      <c r="AJ946">
        <v>0</v>
      </c>
      <c r="AK946">
        <v>1</v>
      </c>
      <c r="AL946">
        <v>0</v>
      </c>
      <c r="AM946">
        <v>0</v>
      </c>
      <c r="AN946">
        <v>1</v>
      </c>
      <c r="AO946">
        <v>1</v>
      </c>
      <c r="AP946">
        <v>1</v>
      </c>
      <c r="AQ946">
        <v>1</v>
      </c>
      <c r="AR946">
        <v>1</v>
      </c>
      <c r="AS946">
        <v>1</v>
      </c>
      <c r="AT946">
        <v>0</v>
      </c>
      <c r="AV946">
        <v>1</v>
      </c>
      <c r="AW946">
        <v>1</v>
      </c>
    </row>
    <row r="947" spans="1:49" x14ac:dyDescent="0.25">
      <c r="A947" t="str">
        <f>"943"</f>
        <v>943</v>
      </c>
      <c r="B947" t="str">
        <f t="shared" si="53"/>
        <v>1</v>
      </c>
      <c r="C947" t="str">
        <f t="shared" ref="C947:C968" si="54">"42"</f>
        <v>42</v>
      </c>
      <c r="D947" t="str">
        <f>"19"</f>
        <v>19</v>
      </c>
      <c r="E947" t="str">
        <f>"1-42-19"</f>
        <v>1-42-19</v>
      </c>
      <c r="F947" t="s">
        <v>83</v>
      </c>
      <c r="G947" t="s">
        <v>84</v>
      </c>
      <c r="H947" t="s">
        <v>92</v>
      </c>
      <c r="I947">
        <v>1</v>
      </c>
      <c r="J947">
        <v>1</v>
      </c>
      <c r="N947">
        <v>1</v>
      </c>
      <c r="O947">
        <v>1</v>
      </c>
      <c r="P947">
        <v>1</v>
      </c>
      <c r="Q947">
        <v>1</v>
      </c>
      <c r="R947">
        <v>1</v>
      </c>
      <c r="S947">
        <v>1</v>
      </c>
      <c r="T947">
        <v>1</v>
      </c>
      <c r="W947">
        <v>1</v>
      </c>
      <c r="X947">
        <v>1</v>
      </c>
      <c r="Y947">
        <v>1</v>
      </c>
      <c r="Z947">
        <v>1</v>
      </c>
      <c r="AA947">
        <v>1</v>
      </c>
      <c r="AB947">
        <v>1</v>
      </c>
    </row>
    <row r="948" spans="1:49" x14ac:dyDescent="0.25">
      <c r="A948" t="str">
        <f>"944"</f>
        <v>944</v>
      </c>
      <c r="B948" t="str">
        <f t="shared" si="53"/>
        <v>1</v>
      </c>
      <c r="C948" t="str">
        <f t="shared" si="54"/>
        <v>42</v>
      </c>
      <c r="D948" t="str">
        <f>"18"</f>
        <v>18</v>
      </c>
      <c r="E948" t="str">
        <f>"1-42-18"</f>
        <v>1-42-18</v>
      </c>
      <c r="F948" t="s">
        <v>83</v>
      </c>
      <c r="G948" t="s">
        <v>84</v>
      </c>
      <c r="H948" t="s">
        <v>92</v>
      </c>
      <c r="I948">
        <v>1</v>
      </c>
      <c r="J948">
        <v>1</v>
      </c>
      <c r="N948">
        <v>1</v>
      </c>
      <c r="O948">
        <v>1</v>
      </c>
      <c r="P948">
        <v>1</v>
      </c>
      <c r="Q948">
        <v>1</v>
      </c>
      <c r="R948">
        <v>1</v>
      </c>
      <c r="S948">
        <v>1</v>
      </c>
      <c r="T948">
        <v>1</v>
      </c>
      <c r="W948">
        <v>1</v>
      </c>
      <c r="X948">
        <v>1</v>
      </c>
      <c r="Y948">
        <v>1</v>
      </c>
      <c r="Z948">
        <v>1</v>
      </c>
      <c r="AA948">
        <v>1</v>
      </c>
      <c r="AB948">
        <v>1</v>
      </c>
    </row>
    <row r="949" spans="1:49" x14ac:dyDescent="0.25">
      <c r="A949" t="str">
        <f>"945"</f>
        <v>945</v>
      </c>
      <c r="B949" t="str">
        <f t="shared" si="53"/>
        <v>1</v>
      </c>
      <c r="C949" t="str">
        <f t="shared" si="54"/>
        <v>42</v>
      </c>
      <c r="D949" t="str">
        <f>"15"</f>
        <v>15</v>
      </c>
      <c r="E949" t="str">
        <f>"1-42-15"</f>
        <v>1-42-15</v>
      </c>
      <c r="F949" t="s">
        <v>83</v>
      </c>
      <c r="G949" t="s">
        <v>84</v>
      </c>
      <c r="H949" t="s">
        <v>92</v>
      </c>
      <c r="I949">
        <v>1</v>
      </c>
      <c r="J949">
        <v>1</v>
      </c>
      <c r="N949">
        <v>1</v>
      </c>
      <c r="O949">
        <v>1</v>
      </c>
      <c r="P949">
        <v>1</v>
      </c>
      <c r="Q949">
        <v>1</v>
      </c>
      <c r="R949">
        <v>1</v>
      </c>
      <c r="S949">
        <v>1</v>
      </c>
      <c r="T949">
        <v>1</v>
      </c>
      <c r="W949">
        <v>1</v>
      </c>
      <c r="X949">
        <v>1</v>
      </c>
      <c r="Y949">
        <v>1</v>
      </c>
      <c r="Z949">
        <v>1</v>
      </c>
      <c r="AA949">
        <v>1</v>
      </c>
      <c r="AB949">
        <v>1</v>
      </c>
    </row>
    <row r="950" spans="1:49" x14ac:dyDescent="0.25">
      <c r="A950" t="str">
        <f>"946"</f>
        <v>946</v>
      </c>
      <c r="B950" t="str">
        <f t="shared" si="53"/>
        <v>1</v>
      </c>
      <c r="C950" t="str">
        <f t="shared" si="54"/>
        <v>42</v>
      </c>
      <c r="D950" t="str">
        <f>"8"</f>
        <v>8</v>
      </c>
      <c r="E950" t="str">
        <f>"1-42-8"</f>
        <v>1-42-8</v>
      </c>
      <c r="F950" t="s">
        <v>83</v>
      </c>
      <c r="G950" t="s">
        <v>84</v>
      </c>
      <c r="H950" t="s">
        <v>85</v>
      </c>
      <c r="AC950">
        <v>0</v>
      </c>
      <c r="AD950">
        <v>1</v>
      </c>
      <c r="AE950">
        <v>0</v>
      </c>
      <c r="AF950">
        <v>0</v>
      </c>
      <c r="AG950">
        <v>1</v>
      </c>
      <c r="AJ950">
        <v>0</v>
      </c>
      <c r="AK950">
        <v>1</v>
      </c>
      <c r="AL950">
        <v>0</v>
      </c>
      <c r="AM950">
        <v>0</v>
      </c>
      <c r="AN950">
        <v>1</v>
      </c>
      <c r="AO950">
        <v>1</v>
      </c>
      <c r="AP950">
        <v>1</v>
      </c>
      <c r="AQ950">
        <v>1</v>
      </c>
      <c r="AR950">
        <v>1</v>
      </c>
      <c r="AS950">
        <v>0</v>
      </c>
      <c r="AT950">
        <v>1</v>
      </c>
      <c r="AV950">
        <v>1</v>
      </c>
      <c r="AW950">
        <v>1</v>
      </c>
    </row>
    <row r="951" spans="1:49" x14ac:dyDescent="0.25">
      <c r="A951" t="str">
        <f>"947"</f>
        <v>947</v>
      </c>
      <c r="B951" t="str">
        <f t="shared" si="53"/>
        <v>1</v>
      </c>
      <c r="C951" t="str">
        <f t="shared" si="54"/>
        <v>42</v>
      </c>
      <c r="D951" t="str">
        <f>"2"</f>
        <v>2</v>
      </c>
      <c r="E951" t="str">
        <f>"1-42-2"</f>
        <v>1-42-2</v>
      </c>
      <c r="F951" t="s">
        <v>83</v>
      </c>
      <c r="G951" t="s">
        <v>84</v>
      </c>
      <c r="H951" t="s">
        <v>92</v>
      </c>
      <c r="I951">
        <v>1</v>
      </c>
      <c r="J951">
        <v>1</v>
      </c>
      <c r="N951">
        <v>1</v>
      </c>
      <c r="O951">
        <v>1</v>
      </c>
      <c r="P951">
        <v>1</v>
      </c>
      <c r="Q951">
        <v>1</v>
      </c>
      <c r="R951">
        <v>1</v>
      </c>
      <c r="S951">
        <v>1</v>
      </c>
      <c r="T951">
        <v>1</v>
      </c>
      <c r="W951">
        <v>1</v>
      </c>
      <c r="X951">
        <v>1</v>
      </c>
      <c r="Y951">
        <v>1</v>
      </c>
      <c r="Z951">
        <v>1</v>
      </c>
      <c r="AA951">
        <v>1</v>
      </c>
      <c r="AB951">
        <v>1</v>
      </c>
    </row>
    <row r="952" spans="1:49" x14ac:dyDescent="0.25">
      <c r="A952" t="str">
        <f>"948"</f>
        <v>948</v>
      </c>
      <c r="B952" t="str">
        <f t="shared" si="53"/>
        <v>1</v>
      </c>
      <c r="C952" t="str">
        <f t="shared" si="54"/>
        <v>42</v>
      </c>
      <c r="D952" t="str">
        <f>"16"</f>
        <v>16</v>
      </c>
      <c r="E952" t="str">
        <f>"1-42-16"</f>
        <v>1-42-16</v>
      </c>
      <c r="F952" t="s">
        <v>83</v>
      </c>
      <c r="G952" t="s">
        <v>84</v>
      </c>
      <c r="H952" t="s">
        <v>92</v>
      </c>
      <c r="I952">
        <v>1</v>
      </c>
      <c r="J952">
        <v>1</v>
      </c>
      <c r="N952">
        <v>1</v>
      </c>
      <c r="O952">
        <v>1</v>
      </c>
      <c r="P952">
        <v>1</v>
      </c>
      <c r="Q952">
        <v>1</v>
      </c>
      <c r="R952">
        <v>1</v>
      </c>
      <c r="S952">
        <v>1</v>
      </c>
      <c r="T952">
        <v>1</v>
      </c>
      <c r="W952">
        <v>1</v>
      </c>
      <c r="X952">
        <v>1</v>
      </c>
      <c r="Y952">
        <v>1</v>
      </c>
      <c r="Z952">
        <v>1</v>
      </c>
      <c r="AA952">
        <v>1</v>
      </c>
      <c r="AB952">
        <v>1</v>
      </c>
    </row>
    <row r="953" spans="1:49" x14ac:dyDescent="0.25">
      <c r="A953" t="str">
        <f>"949"</f>
        <v>949</v>
      </c>
      <c r="B953" t="str">
        <f t="shared" si="53"/>
        <v>1</v>
      </c>
      <c r="C953" t="str">
        <f t="shared" si="54"/>
        <v>42</v>
      </c>
      <c r="D953" t="str">
        <f>"9"</f>
        <v>9</v>
      </c>
      <c r="E953" t="str">
        <f>"1-42-9"</f>
        <v>1-42-9</v>
      </c>
      <c r="F953" t="s">
        <v>83</v>
      </c>
      <c r="G953" t="s">
        <v>84</v>
      </c>
      <c r="H953" t="s">
        <v>92</v>
      </c>
      <c r="I953">
        <v>1</v>
      </c>
      <c r="J953">
        <v>1</v>
      </c>
      <c r="N953">
        <v>1</v>
      </c>
      <c r="O953">
        <v>1</v>
      </c>
      <c r="P953">
        <v>1</v>
      </c>
      <c r="Q953">
        <v>1</v>
      </c>
      <c r="R953">
        <v>1</v>
      </c>
      <c r="S953">
        <v>1</v>
      </c>
      <c r="T953">
        <v>1</v>
      </c>
      <c r="W953">
        <v>1</v>
      </c>
      <c r="X953">
        <v>1</v>
      </c>
      <c r="Y953">
        <v>1</v>
      </c>
      <c r="Z953">
        <v>1</v>
      </c>
      <c r="AA953">
        <v>1</v>
      </c>
      <c r="AB953">
        <v>1</v>
      </c>
    </row>
    <row r="954" spans="1:49" x14ac:dyDescent="0.25">
      <c r="A954" t="str">
        <f>"950"</f>
        <v>950</v>
      </c>
      <c r="B954" t="str">
        <f t="shared" si="53"/>
        <v>1</v>
      </c>
      <c r="C954" t="str">
        <f t="shared" si="54"/>
        <v>42</v>
      </c>
      <c r="D954" t="str">
        <f>"1"</f>
        <v>1</v>
      </c>
      <c r="E954" t="str">
        <f>"1-42-1"</f>
        <v>1-42-1</v>
      </c>
      <c r="F954" t="s">
        <v>83</v>
      </c>
      <c r="G954" t="s">
        <v>84</v>
      </c>
      <c r="H954" t="s">
        <v>85</v>
      </c>
      <c r="AC954">
        <v>0</v>
      </c>
      <c r="AD954">
        <v>1</v>
      </c>
      <c r="AE954">
        <v>0</v>
      </c>
      <c r="AF954">
        <v>0</v>
      </c>
      <c r="AG954">
        <v>1</v>
      </c>
      <c r="AJ954">
        <v>0</v>
      </c>
      <c r="AK954">
        <v>1</v>
      </c>
      <c r="AL954">
        <v>0</v>
      </c>
      <c r="AM954">
        <v>0</v>
      </c>
      <c r="AN954">
        <v>1</v>
      </c>
      <c r="AO954">
        <v>1</v>
      </c>
      <c r="AP954">
        <v>1</v>
      </c>
      <c r="AQ954">
        <v>1</v>
      </c>
      <c r="AR954">
        <v>1</v>
      </c>
      <c r="AS954">
        <v>0</v>
      </c>
      <c r="AT954">
        <v>1</v>
      </c>
      <c r="AV954">
        <v>1</v>
      </c>
      <c r="AW954">
        <v>1</v>
      </c>
    </row>
    <row r="955" spans="1:49" x14ac:dyDescent="0.25">
      <c r="A955" t="str">
        <f>"951"</f>
        <v>951</v>
      </c>
      <c r="B955" t="str">
        <f t="shared" si="53"/>
        <v>1</v>
      </c>
      <c r="C955" t="str">
        <f t="shared" si="54"/>
        <v>42</v>
      </c>
      <c r="D955" t="str">
        <f>"17"</f>
        <v>17</v>
      </c>
      <c r="E955" t="str">
        <f>"1-42-17"</f>
        <v>1-42-17</v>
      </c>
      <c r="F955" t="s">
        <v>83</v>
      </c>
      <c r="G955" t="s">
        <v>84</v>
      </c>
      <c r="H955" t="s">
        <v>85</v>
      </c>
      <c r="AC955">
        <v>0</v>
      </c>
      <c r="AD955">
        <v>1</v>
      </c>
      <c r="AE955">
        <v>0</v>
      </c>
      <c r="AF955">
        <v>0</v>
      </c>
      <c r="AG955">
        <v>1</v>
      </c>
      <c r="AJ955">
        <v>0</v>
      </c>
      <c r="AK955">
        <v>1</v>
      </c>
      <c r="AL955">
        <v>0</v>
      </c>
      <c r="AM955">
        <v>0</v>
      </c>
      <c r="AN955">
        <v>1</v>
      </c>
      <c r="AO955">
        <v>1</v>
      </c>
      <c r="AP955">
        <v>1</v>
      </c>
      <c r="AQ955">
        <v>1</v>
      </c>
      <c r="AR955">
        <v>1</v>
      </c>
      <c r="AS955">
        <v>0</v>
      </c>
      <c r="AT955">
        <v>1</v>
      </c>
      <c r="AV955">
        <v>1</v>
      </c>
      <c r="AW955">
        <v>1</v>
      </c>
    </row>
    <row r="956" spans="1:49" x14ac:dyDescent="0.25">
      <c r="A956" t="str">
        <f>"952"</f>
        <v>952</v>
      </c>
      <c r="B956" t="str">
        <f t="shared" si="53"/>
        <v>1</v>
      </c>
      <c r="C956" t="str">
        <f t="shared" si="54"/>
        <v>42</v>
      </c>
      <c r="D956" t="str">
        <f>"10"</f>
        <v>10</v>
      </c>
      <c r="E956" t="str">
        <f>"1-42-10"</f>
        <v>1-42-10</v>
      </c>
      <c r="F956" t="s">
        <v>83</v>
      </c>
      <c r="G956" t="s">
        <v>84</v>
      </c>
      <c r="H956" t="s">
        <v>85</v>
      </c>
      <c r="AC956">
        <v>0</v>
      </c>
      <c r="AD956">
        <v>1</v>
      </c>
      <c r="AE956">
        <v>0</v>
      </c>
      <c r="AF956">
        <v>0</v>
      </c>
      <c r="AG956">
        <v>0</v>
      </c>
      <c r="AJ956">
        <v>1</v>
      </c>
      <c r="AK956">
        <v>0</v>
      </c>
      <c r="AL956">
        <v>0</v>
      </c>
      <c r="AM956">
        <v>1</v>
      </c>
      <c r="AN956">
        <v>0</v>
      </c>
      <c r="AO956">
        <v>0</v>
      </c>
      <c r="AP956">
        <v>0</v>
      </c>
      <c r="AQ956">
        <v>0</v>
      </c>
      <c r="AR956">
        <v>0</v>
      </c>
      <c r="AS956">
        <v>0</v>
      </c>
      <c r="AT956">
        <v>1</v>
      </c>
      <c r="AV956">
        <v>0</v>
      </c>
      <c r="AW956">
        <v>0</v>
      </c>
    </row>
    <row r="957" spans="1:49" x14ac:dyDescent="0.25">
      <c r="A957" t="str">
        <f>"953"</f>
        <v>953</v>
      </c>
      <c r="B957" t="str">
        <f t="shared" si="53"/>
        <v>1</v>
      </c>
      <c r="C957" t="str">
        <f t="shared" si="54"/>
        <v>42</v>
      </c>
      <c r="D957" t="str">
        <f>"7"</f>
        <v>7</v>
      </c>
      <c r="E957" t="str">
        <f>"1-42-7"</f>
        <v>1-42-7</v>
      </c>
      <c r="F957" t="s">
        <v>83</v>
      </c>
      <c r="G957" t="s">
        <v>84</v>
      </c>
      <c r="H957" t="s">
        <v>92</v>
      </c>
      <c r="I957">
        <v>1</v>
      </c>
      <c r="J957">
        <v>1</v>
      </c>
      <c r="N957">
        <v>1</v>
      </c>
      <c r="O957">
        <v>1</v>
      </c>
      <c r="P957">
        <v>1</v>
      </c>
      <c r="Q957">
        <v>1</v>
      </c>
      <c r="R957">
        <v>1</v>
      </c>
      <c r="S957">
        <v>1</v>
      </c>
      <c r="T957">
        <v>1</v>
      </c>
      <c r="W957">
        <v>1</v>
      </c>
      <c r="X957">
        <v>1</v>
      </c>
      <c r="Y957">
        <v>1</v>
      </c>
      <c r="Z957">
        <v>1</v>
      </c>
      <c r="AA957">
        <v>1</v>
      </c>
      <c r="AB957">
        <v>1</v>
      </c>
    </row>
    <row r="958" spans="1:49" x14ac:dyDescent="0.25">
      <c r="A958" t="str">
        <f>"954"</f>
        <v>954</v>
      </c>
      <c r="B958" t="str">
        <f t="shared" si="53"/>
        <v>1</v>
      </c>
      <c r="C958" t="str">
        <f t="shared" si="54"/>
        <v>42</v>
      </c>
      <c r="D958" t="str">
        <f>"21"</f>
        <v>21</v>
      </c>
      <c r="E958" t="str">
        <f>"1-42-21"</f>
        <v>1-42-21</v>
      </c>
      <c r="F958" t="s">
        <v>83</v>
      </c>
      <c r="G958" t="s">
        <v>84</v>
      </c>
      <c r="H958" t="s">
        <v>85</v>
      </c>
      <c r="AC958">
        <v>1</v>
      </c>
      <c r="AD958">
        <v>0</v>
      </c>
      <c r="AE958">
        <v>0</v>
      </c>
      <c r="AF958">
        <v>0</v>
      </c>
      <c r="AG958">
        <v>1</v>
      </c>
      <c r="AJ958">
        <v>0</v>
      </c>
      <c r="AK958">
        <v>1</v>
      </c>
      <c r="AL958">
        <v>1</v>
      </c>
      <c r="AM958">
        <v>0</v>
      </c>
      <c r="AN958">
        <v>0</v>
      </c>
      <c r="AO958">
        <v>1</v>
      </c>
      <c r="AP958">
        <v>1</v>
      </c>
      <c r="AQ958">
        <v>1</v>
      </c>
      <c r="AR958">
        <v>1</v>
      </c>
      <c r="AS958">
        <v>1</v>
      </c>
      <c r="AT958">
        <v>0</v>
      </c>
      <c r="AV958">
        <v>1</v>
      </c>
      <c r="AW958">
        <v>1</v>
      </c>
    </row>
    <row r="959" spans="1:49" x14ac:dyDescent="0.25">
      <c r="A959" t="str">
        <f>"955"</f>
        <v>955</v>
      </c>
      <c r="B959" t="str">
        <f t="shared" si="53"/>
        <v>1</v>
      </c>
      <c r="C959" t="str">
        <f t="shared" si="54"/>
        <v>42</v>
      </c>
      <c r="D959" t="str">
        <f>"11"</f>
        <v>11</v>
      </c>
      <c r="E959" t="str">
        <f>"1-42-11"</f>
        <v>1-42-11</v>
      </c>
      <c r="F959" t="s">
        <v>83</v>
      </c>
      <c r="G959" t="s">
        <v>84</v>
      </c>
      <c r="H959" t="s">
        <v>92</v>
      </c>
      <c r="I959">
        <v>1</v>
      </c>
      <c r="J959">
        <v>1</v>
      </c>
      <c r="N959">
        <v>1</v>
      </c>
      <c r="O959">
        <v>1</v>
      </c>
      <c r="P959">
        <v>1</v>
      </c>
      <c r="Q959">
        <v>1</v>
      </c>
      <c r="R959">
        <v>1</v>
      </c>
      <c r="S959">
        <v>1</v>
      </c>
      <c r="T959">
        <v>1</v>
      </c>
      <c r="W959">
        <v>1</v>
      </c>
      <c r="X959">
        <v>1</v>
      </c>
      <c r="Y959">
        <v>1</v>
      </c>
      <c r="Z959">
        <v>1</v>
      </c>
      <c r="AA959">
        <v>1</v>
      </c>
      <c r="AB959">
        <v>1</v>
      </c>
    </row>
    <row r="960" spans="1:49" x14ac:dyDescent="0.25">
      <c r="A960" t="str">
        <f>"956"</f>
        <v>956</v>
      </c>
      <c r="B960" t="str">
        <f t="shared" si="53"/>
        <v>1</v>
      </c>
      <c r="C960" t="str">
        <f t="shared" si="54"/>
        <v>42</v>
      </c>
      <c r="D960" t="str">
        <f>"6"</f>
        <v>6</v>
      </c>
      <c r="E960" t="str">
        <f>"1-42-6"</f>
        <v>1-42-6</v>
      </c>
      <c r="F960" t="s">
        <v>83</v>
      </c>
      <c r="G960" t="s">
        <v>84</v>
      </c>
      <c r="H960" t="s">
        <v>92</v>
      </c>
      <c r="I960">
        <v>1</v>
      </c>
      <c r="J960">
        <v>1</v>
      </c>
      <c r="N960">
        <v>1</v>
      </c>
      <c r="O960">
        <v>1</v>
      </c>
      <c r="P960">
        <v>1</v>
      </c>
      <c r="Q960">
        <v>1</v>
      </c>
      <c r="R960">
        <v>1</v>
      </c>
      <c r="S960">
        <v>1</v>
      </c>
      <c r="T960">
        <v>1</v>
      </c>
      <c r="W960">
        <v>1</v>
      </c>
      <c r="X960">
        <v>1</v>
      </c>
      <c r="Y960">
        <v>1</v>
      </c>
      <c r="Z960">
        <v>1</v>
      </c>
      <c r="AA960">
        <v>1</v>
      </c>
      <c r="AB960">
        <v>1</v>
      </c>
    </row>
    <row r="961" spans="1:49" x14ac:dyDescent="0.25">
      <c r="A961" t="str">
        <f>"957"</f>
        <v>957</v>
      </c>
      <c r="B961" t="str">
        <f t="shared" si="53"/>
        <v>1</v>
      </c>
      <c r="C961" t="str">
        <f t="shared" si="54"/>
        <v>42</v>
      </c>
      <c r="D961" t="str">
        <f>"20"</f>
        <v>20</v>
      </c>
      <c r="E961" t="str">
        <f>"1-42-20"</f>
        <v>1-42-20</v>
      </c>
      <c r="F961" t="s">
        <v>83</v>
      </c>
      <c r="G961" t="s">
        <v>84</v>
      </c>
      <c r="H961" t="s">
        <v>92</v>
      </c>
      <c r="I961">
        <v>1</v>
      </c>
      <c r="J961">
        <v>1</v>
      </c>
      <c r="N961">
        <v>1</v>
      </c>
      <c r="O961">
        <v>1</v>
      </c>
      <c r="P961">
        <v>1</v>
      </c>
      <c r="Q961">
        <v>1</v>
      </c>
      <c r="R961">
        <v>1</v>
      </c>
      <c r="S961">
        <v>1</v>
      </c>
      <c r="T961">
        <v>1</v>
      </c>
      <c r="W961">
        <v>1</v>
      </c>
      <c r="X961">
        <v>1</v>
      </c>
      <c r="Y961">
        <v>1</v>
      </c>
      <c r="Z961">
        <v>1</v>
      </c>
      <c r="AA961">
        <v>1</v>
      </c>
      <c r="AB961">
        <v>1</v>
      </c>
    </row>
    <row r="962" spans="1:49" x14ac:dyDescent="0.25">
      <c r="A962" t="str">
        <f>"958"</f>
        <v>958</v>
      </c>
      <c r="B962" t="str">
        <f t="shared" si="53"/>
        <v>1</v>
      </c>
      <c r="C962" t="str">
        <f t="shared" si="54"/>
        <v>42</v>
      </c>
      <c r="D962" t="str">
        <f>"12"</f>
        <v>12</v>
      </c>
      <c r="E962" t="str">
        <f>"1-42-12"</f>
        <v>1-42-12</v>
      </c>
      <c r="F962" t="s">
        <v>83</v>
      </c>
      <c r="G962" t="s">
        <v>84</v>
      </c>
      <c r="H962" t="s">
        <v>92</v>
      </c>
      <c r="I962">
        <v>1</v>
      </c>
      <c r="J962">
        <v>1</v>
      </c>
      <c r="N962">
        <v>1</v>
      </c>
      <c r="O962">
        <v>1</v>
      </c>
      <c r="P962">
        <v>1</v>
      </c>
      <c r="Q962">
        <v>1</v>
      </c>
      <c r="R962">
        <v>1</v>
      </c>
      <c r="S962">
        <v>1</v>
      </c>
      <c r="T962">
        <v>1</v>
      </c>
      <c r="W962">
        <v>1</v>
      </c>
      <c r="X962">
        <v>1</v>
      </c>
      <c r="Y962">
        <v>1</v>
      </c>
      <c r="Z962">
        <v>1</v>
      </c>
      <c r="AA962">
        <v>1</v>
      </c>
      <c r="AB962">
        <v>1</v>
      </c>
    </row>
    <row r="963" spans="1:49" x14ac:dyDescent="0.25">
      <c r="A963" t="str">
        <f>"959"</f>
        <v>959</v>
      </c>
      <c r="B963" t="str">
        <f t="shared" si="53"/>
        <v>1</v>
      </c>
      <c r="C963" t="str">
        <f t="shared" si="54"/>
        <v>42</v>
      </c>
      <c r="D963" t="str">
        <f>"3"</f>
        <v>3</v>
      </c>
      <c r="E963" t="str">
        <f>"1-42-3"</f>
        <v>1-42-3</v>
      </c>
      <c r="F963" t="s">
        <v>83</v>
      </c>
      <c r="G963" t="s">
        <v>84</v>
      </c>
      <c r="H963" t="s">
        <v>92</v>
      </c>
      <c r="I963">
        <v>1</v>
      </c>
      <c r="J963">
        <v>1</v>
      </c>
      <c r="N963">
        <v>1</v>
      </c>
      <c r="O963">
        <v>1</v>
      </c>
      <c r="P963">
        <v>1</v>
      </c>
      <c r="Q963">
        <v>1</v>
      </c>
      <c r="R963">
        <v>1</v>
      </c>
      <c r="S963">
        <v>1</v>
      </c>
      <c r="T963">
        <v>1</v>
      </c>
      <c r="W963">
        <v>1</v>
      </c>
      <c r="X963">
        <v>1</v>
      </c>
      <c r="Y963">
        <v>1</v>
      </c>
      <c r="Z963">
        <v>1</v>
      </c>
      <c r="AA963">
        <v>1</v>
      </c>
      <c r="AB963">
        <v>1</v>
      </c>
    </row>
    <row r="964" spans="1:49" x14ac:dyDescent="0.25">
      <c r="A964" t="str">
        <f>"960"</f>
        <v>960</v>
      </c>
      <c r="B964" t="str">
        <f t="shared" si="53"/>
        <v>1</v>
      </c>
      <c r="C964" t="str">
        <f t="shared" si="54"/>
        <v>42</v>
      </c>
      <c r="D964" t="str">
        <f>"13"</f>
        <v>13</v>
      </c>
      <c r="E964" t="str">
        <f>"1-42-13"</f>
        <v>1-42-13</v>
      </c>
      <c r="F964" t="s">
        <v>83</v>
      </c>
      <c r="G964" t="s">
        <v>84</v>
      </c>
      <c r="H964" t="s">
        <v>92</v>
      </c>
      <c r="I964">
        <v>1</v>
      </c>
      <c r="J964">
        <v>1</v>
      </c>
      <c r="N964">
        <v>1</v>
      </c>
      <c r="O964">
        <v>1</v>
      </c>
      <c r="P964">
        <v>1</v>
      </c>
      <c r="Q964">
        <v>1</v>
      </c>
      <c r="R964">
        <v>1</v>
      </c>
      <c r="S964">
        <v>1</v>
      </c>
      <c r="T964">
        <v>1</v>
      </c>
      <c r="W964">
        <v>1</v>
      </c>
      <c r="X964">
        <v>1</v>
      </c>
      <c r="Y964">
        <v>1</v>
      </c>
      <c r="Z964">
        <v>1</v>
      </c>
      <c r="AA964">
        <v>1</v>
      </c>
      <c r="AB964">
        <v>1</v>
      </c>
    </row>
    <row r="965" spans="1:49" x14ac:dyDescent="0.25">
      <c r="A965" t="str">
        <f>"961"</f>
        <v>961</v>
      </c>
      <c r="B965" t="str">
        <f t="shared" si="53"/>
        <v>1</v>
      </c>
      <c r="C965" t="str">
        <f t="shared" si="54"/>
        <v>42</v>
      </c>
      <c r="D965" t="str">
        <f>"5"</f>
        <v>5</v>
      </c>
      <c r="E965" t="str">
        <f>"1-42-5"</f>
        <v>1-42-5</v>
      </c>
      <c r="F965" t="s">
        <v>83</v>
      </c>
      <c r="G965" t="s">
        <v>84</v>
      </c>
      <c r="H965" t="s">
        <v>92</v>
      </c>
      <c r="I965">
        <v>1</v>
      </c>
      <c r="J965">
        <v>1</v>
      </c>
      <c r="N965">
        <v>1</v>
      </c>
      <c r="O965">
        <v>1</v>
      </c>
      <c r="P965">
        <v>1</v>
      </c>
      <c r="Q965">
        <v>1</v>
      </c>
      <c r="R965">
        <v>1</v>
      </c>
      <c r="S965">
        <v>1</v>
      </c>
      <c r="T965">
        <v>1</v>
      </c>
      <c r="W965">
        <v>1</v>
      </c>
      <c r="X965">
        <v>1</v>
      </c>
      <c r="Y965">
        <v>1</v>
      </c>
      <c r="Z965">
        <v>1</v>
      </c>
      <c r="AA965">
        <v>1</v>
      </c>
      <c r="AB965">
        <v>1</v>
      </c>
    </row>
    <row r="966" spans="1:49" x14ac:dyDescent="0.25">
      <c r="A966" t="str">
        <f>"962"</f>
        <v>962</v>
      </c>
      <c r="B966" t="str">
        <f t="shared" si="53"/>
        <v>1</v>
      </c>
      <c r="C966" t="str">
        <f t="shared" si="54"/>
        <v>42</v>
      </c>
      <c r="D966" t="str">
        <f>"22"</f>
        <v>22</v>
      </c>
      <c r="E966" t="str">
        <f>"1-42-22"</f>
        <v>1-42-22</v>
      </c>
      <c r="F966" t="s">
        <v>83</v>
      </c>
      <c r="G966" t="s">
        <v>84</v>
      </c>
      <c r="H966" t="s">
        <v>92</v>
      </c>
      <c r="I966">
        <v>1</v>
      </c>
      <c r="J966">
        <v>1</v>
      </c>
      <c r="N966">
        <v>1</v>
      </c>
      <c r="O966">
        <v>1</v>
      </c>
      <c r="P966">
        <v>1</v>
      </c>
      <c r="Q966">
        <v>1</v>
      </c>
      <c r="R966">
        <v>1</v>
      </c>
      <c r="S966">
        <v>1</v>
      </c>
      <c r="T966">
        <v>1</v>
      </c>
      <c r="W966">
        <v>1</v>
      </c>
      <c r="X966">
        <v>0</v>
      </c>
      <c r="Y966">
        <v>1</v>
      </c>
      <c r="Z966">
        <v>1</v>
      </c>
      <c r="AA966">
        <v>1</v>
      </c>
      <c r="AB966">
        <v>1</v>
      </c>
    </row>
    <row r="967" spans="1:49" x14ac:dyDescent="0.25">
      <c r="A967" t="str">
        <f>"963"</f>
        <v>963</v>
      </c>
      <c r="B967" t="str">
        <f t="shared" si="53"/>
        <v>1</v>
      </c>
      <c r="C967" t="str">
        <f t="shared" si="54"/>
        <v>42</v>
      </c>
      <c r="D967" t="str">
        <f>"14"</f>
        <v>14</v>
      </c>
      <c r="E967" t="str">
        <f>"1-42-14"</f>
        <v>1-42-14</v>
      </c>
      <c r="F967" t="s">
        <v>83</v>
      </c>
      <c r="G967" t="s">
        <v>84</v>
      </c>
      <c r="H967" t="s">
        <v>92</v>
      </c>
      <c r="I967">
        <v>1</v>
      </c>
      <c r="J967">
        <v>1</v>
      </c>
      <c r="N967">
        <v>1</v>
      </c>
      <c r="O967">
        <v>1</v>
      </c>
      <c r="P967">
        <v>1</v>
      </c>
      <c r="Q967">
        <v>1</v>
      </c>
      <c r="R967">
        <v>1</v>
      </c>
      <c r="S967">
        <v>1</v>
      </c>
      <c r="T967">
        <v>1</v>
      </c>
      <c r="W967">
        <v>1</v>
      </c>
      <c r="X967">
        <v>1</v>
      </c>
      <c r="Y967">
        <v>1</v>
      </c>
      <c r="Z967">
        <v>1</v>
      </c>
      <c r="AA967">
        <v>1</v>
      </c>
      <c r="AB967">
        <v>1</v>
      </c>
    </row>
    <row r="968" spans="1:49" x14ac:dyDescent="0.25">
      <c r="A968" t="str">
        <f>"964"</f>
        <v>964</v>
      </c>
      <c r="B968" t="str">
        <f t="shared" si="53"/>
        <v>1</v>
      </c>
      <c r="C968" t="str">
        <f t="shared" si="54"/>
        <v>42</v>
      </c>
      <c r="D968" t="str">
        <f>"4"</f>
        <v>4</v>
      </c>
      <c r="E968" t="str">
        <f>"1-42-4"</f>
        <v>1-42-4</v>
      </c>
      <c r="F968" t="s">
        <v>83</v>
      </c>
      <c r="G968" t="s">
        <v>84</v>
      </c>
      <c r="H968" t="s">
        <v>85</v>
      </c>
      <c r="AC968">
        <v>0</v>
      </c>
      <c r="AD968">
        <v>1</v>
      </c>
      <c r="AE968">
        <v>0</v>
      </c>
      <c r="AF968">
        <v>0</v>
      </c>
      <c r="AG968">
        <v>0</v>
      </c>
      <c r="AJ968">
        <v>0</v>
      </c>
      <c r="AK968">
        <v>1</v>
      </c>
      <c r="AL968">
        <v>0</v>
      </c>
      <c r="AM968">
        <v>0</v>
      </c>
      <c r="AN968">
        <v>1</v>
      </c>
      <c r="AO968">
        <v>0</v>
      </c>
      <c r="AP968">
        <v>0</v>
      </c>
      <c r="AQ968">
        <v>0</v>
      </c>
      <c r="AR968">
        <v>0</v>
      </c>
      <c r="AS968">
        <v>0</v>
      </c>
      <c r="AT968">
        <v>0</v>
      </c>
      <c r="AV968">
        <v>0</v>
      </c>
      <c r="AW968">
        <v>1</v>
      </c>
    </row>
    <row r="969" spans="1:49" x14ac:dyDescent="0.25">
      <c r="A969" t="str">
        <f>"965"</f>
        <v>965</v>
      </c>
      <c r="B969" t="str">
        <f t="shared" si="53"/>
        <v>1</v>
      </c>
      <c r="C969" t="str">
        <f t="shared" ref="C969:C991" si="55">"43"</f>
        <v>43</v>
      </c>
      <c r="D969" t="str">
        <f>"20"</f>
        <v>20</v>
      </c>
      <c r="E969" t="str">
        <f>"1-43-20"</f>
        <v>1-43-20</v>
      </c>
      <c r="F969" t="s">
        <v>83</v>
      </c>
      <c r="G969" t="s">
        <v>86</v>
      </c>
      <c r="H969" t="s">
        <v>93</v>
      </c>
      <c r="I969">
        <v>1</v>
      </c>
      <c r="K969">
        <v>1</v>
      </c>
      <c r="L969">
        <v>0</v>
      </c>
      <c r="M969">
        <v>0</v>
      </c>
      <c r="N969">
        <v>1</v>
      </c>
      <c r="O969">
        <v>1</v>
      </c>
      <c r="P969">
        <v>1</v>
      </c>
      <c r="Q969">
        <v>1</v>
      </c>
      <c r="R969">
        <v>1</v>
      </c>
      <c r="U969">
        <v>1</v>
      </c>
      <c r="V969">
        <v>0</v>
      </c>
      <c r="W969">
        <v>1</v>
      </c>
      <c r="X969">
        <v>1</v>
      </c>
      <c r="Y969">
        <v>1</v>
      </c>
      <c r="Z969">
        <v>1</v>
      </c>
      <c r="AA969">
        <v>1</v>
      </c>
      <c r="AB969">
        <v>1</v>
      </c>
    </row>
    <row r="970" spans="1:49" x14ac:dyDescent="0.25">
      <c r="A970" t="str">
        <f>"966"</f>
        <v>966</v>
      </c>
      <c r="B970" t="str">
        <f t="shared" si="53"/>
        <v>1</v>
      </c>
      <c r="C970" t="str">
        <f t="shared" si="55"/>
        <v>43</v>
      </c>
      <c r="D970" t="str">
        <f>"19"</f>
        <v>19</v>
      </c>
      <c r="E970" t="str">
        <f>"1-43-19"</f>
        <v>1-43-19</v>
      </c>
      <c r="F970" t="s">
        <v>83</v>
      </c>
      <c r="G970" t="s">
        <v>86</v>
      </c>
      <c r="H970" t="s">
        <v>87</v>
      </c>
      <c r="AC970">
        <v>0</v>
      </c>
      <c r="AD970">
        <v>1</v>
      </c>
      <c r="AE970">
        <v>0</v>
      </c>
      <c r="AF970">
        <v>0</v>
      </c>
      <c r="AH970">
        <v>0</v>
      </c>
      <c r="AI970">
        <v>1</v>
      </c>
      <c r="AJ970">
        <v>1</v>
      </c>
      <c r="AK970">
        <v>0</v>
      </c>
      <c r="AL970">
        <v>1</v>
      </c>
      <c r="AM970">
        <v>0</v>
      </c>
      <c r="AN970">
        <v>0</v>
      </c>
      <c r="AO970">
        <v>1</v>
      </c>
      <c r="AP970">
        <v>1</v>
      </c>
      <c r="AQ970">
        <v>1</v>
      </c>
      <c r="AU970">
        <v>1</v>
      </c>
      <c r="AV970">
        <v>1</v>
      </c>
      <c r="AW970">
        <v>1</v>
      </c>
    </row>
    <row r="971" spans="1:49" x14ac:dyDescent="0.25">
      <c r="A971" t="str">
        <f>"967"</f>
        <v>967</v>
      </c>
      <c r="B971" t="str">
        <f t="shared" si="53"/>
        <v>1</v>
      </c>
      <c r="C971" t="str">
        <f t="shared" si="55"/>
        <v>43</v>
      </c>
      <c r="D971" t="str">
        <f>"15"</f>
        <v>15</v>
      </c>
      <c r="E971" t="str">
        <f>"1-43-15"</f>
        <v>1-43-15</v>
      </c>
      <c r="F971" t="s">
        <v>83</v>
      </c>
      <c r="G971" t="s">
        <v>86</v>
      </c>
      <c r="H971" t="s">
        <v>93</v>
      </c>
      <c r="I971">
        <v>1</v>
      </c>
      <c r="K971">
        <v>0</v>
      </c>
      <c r="L971">
        <v>0</v>
      </c>
      <c r="M971">
        <v>1</v>
      </c>
      <c r="N971">
        <v>1</v>
      </c>
      <c r="O971">
        <v>1</v>
      </c>
      <c r="P971">
        <v>1</v>
      </c>
      <c r="Q971">
        <v>1</v>
      </c>
      <c r="R971">
        <v>0</v>
      </c>
      <c r="U971">
        <v>0</v>
      </c>
      <c r="V971">
        <v>1</v>
      </c>
      <c r="W971">
        <v>1</v>
      </c>
      <c r="X971">
        <v>1</v>
      </c>
      <c r="Y971">
        <v>1</v>
      </c>
      <c r="Z971">
        <v>1</v>
      </c>
      <c r="AA971">
        <v>1</v>
      </c>
      <c r="AB971">
        <v>1</v>
      </c>
    </row>
    <row r="972" spans="1:49" x14ac:dyDescent="0.25">
      <c r="A972" t="str">
        <f>"968"</f>
        <v>968</v>
      </c>
      <c r="B972" t="str">
        <f t="shared" si="53"/>
        <v>1</v>
      </c>
      <c r="C972" t="str">
        <f t="shared" si="55"/>
        <v>43</v>
      </c>
      <c r="D972" t="str">
        <f>"8"</f>
        <v>8</v>
      </c>
      <c r="E972" t="str">
        <f>"1-43-8"</f>
        <v>1-43-8</v>
      </c>
      <c r="F972" t="s">
        <v>83</v>
      </c>
      <c r="G972" t="s">
        <v>86</v>
      </c>
      <c r="H972" t="s">
        <v>93</v>
      </c>
      <c r="I972">
        <v>1</v>
      </c>
      <c r="K972">
        <v>1</v>
      </c>
      <c r="L972">
        <v>0</v>
      </c>
      <c r="M972">
        <v>0</v>
      </c>
      <c r="N972">
        <v>1</v>
      </c>
      <c r="O972">
        <v>1</v>
      </c>
      <c r="P972">
        <v>1</v>
      </c>
      <c r="Q972">
        <v>1</v>
      </c>
      <c r="R972">
        <v>1</v>
      </c>
      <c r="U972">
        <v>0</v>
      </c>
      <c r="V972">
        <v>1</v>
      </c>
      <c r="W972">
        <v>1</v>
      </c>
      <c r="X972">
        <v>1</v>
      </c>
      <c r="Y972">
        <v>1</v>
      </c>
      <c r="Z972">
        <v>1</v>
      </c>
      <c r="AA972">
        <v>1</v>
      </c>
      <c r="AB972">
        <v>1</v>
      </c>
    </row>
    <row r="973" spans="1:49" x14ac:dyDescent="0.25">
      <c r="A973" t="str">
        <f>"969"</f>
        <v>969</v>
      </c>
      <c r="B973" t="str">
        <f t="shared" si="53"/>
        <v>1</v>
      </c>
      <c r="C973" t="str">
        <f t="shared" si="55"/>
        <v>43</v>
      </c>
      <c r="D973" t="str">
        <f>"5"</f>
        <v>5</v>
      </c>
      <c r="E973" t="str">
        <f>"1-43-5"</f>
        <v>1-43-5</v>
      </c>
      <c r="F973" t="s">
        <v>83</v>
      </c>
      <c r="G973" t="s">
        <v>86</v>
      </c>
      <c r="H973" t="s">
        <v>93</v>
      </c>
      <c r="I973">
        <v>1</v>
      </c>
      <c r="K973">
        <v>0</v>
      </c>
      <c r="L973">
        <v>0</v>
      </c>
      <c r="M973">
        <v>1</v>
      </c>
      <c r="N973">
        <v>1</v>
      </c>
      <c r="O973">
        <v>1</v>
      </c>
      <c r="P973">
        <v>1</v>
      </c>
      <c r="Q973">
        <v>1</v>
      </c>
      <c r="R973">
        <v>0</v>
      </c>
      <c r="U973">
        <v>1</v>
      </c>
      <c r="V973">
        <v>0</v>
      </c>
      <c r="W973">
        <v>1</v>
      </c>
      <c r="X973">
        <v>1</v>
      </c>
      <c r="Y973">
        <v>1</v>
      </c>
      <c r="Z973">
        <v>1</v>
      </c>
      <c r="AA973">
        <v>1</v>
      </c>
      <c r="AB973">
        <v>1</v>
      </c>
    </row>
    <row r="974" spans="1:49" x14ac:dyDescent="0.25">
      <c r="A974" t="str">
        <f>"970"</f>
        <v>970</v>
      </c>
      <c r="B974" t="str">
        <f t="shared" si="53"/>
        <v>1</v>
      </c>
      <c r="C974" t="str">
        <f t="shared" si="55"/>
        <v>43</v>
      </c>
      <c r="D974" t="str">
        <f>"16"</f>
        <v>16</v>
      </c>
      <c r="E974" t="str">
        <f>"1-43-16"</f>
        <v>1-43-16</v>
      </c>
      <c r="F974" t="s">
        <v>83</v>
      </c>
      <c r="G974" t="s">
        <v>84</v>
      </c>
      <c r="H974" t="s">
        <v>92</v>
      </c>
      <c r="I974">
        <v>1</v>
      </c>
      <c r="J974">
        <v>1</v>
      </c>
      <c r="N974">
        <v>1</v>
      </c>
      <c r="O974">
        <v>0</v>
      </c>
      <c r="P974">
        <v>0</v>
      </c>
      <c r="Q974">
        <v>1</v>
      </c>
      <c r="R974">
        <v>0</v>
      </c>
      <c r="S974">
        <v>0</v>
      </c>
      <c r="T974">
        <v>0</v>
      </c>
      <c r="W974">
        <v>0</v>
      </c>
      <c r="X974">
        <v>1</v>
      </c>
      <c r="Y974">
        <v>1</v>
      </c>
      <c r="Z974">
        <v>1</v>
      </c>
      <c r="AA974">
        <v>1</v>
      </c>
      <c r="AB974">
        <v>1</v>
      </c>
    </row>
    <row r="975" spans="1:49" x14ac:dyDescent="0.25">
      <c r="A975" t="str">
        <f>"971"</f>
        <v>971</v>
      </c>
      <c r="B975" t="str">
        <f t="shared" si="53"/>
        <v>1</v>
      </c>
      <c r="C975" t="str">
        <f t="shared" si="55"/>
        <v>43</v>
      </c>
      <c r="D975" t="str">
        <f>"9"</f>
        <v>9</v>
      </c>
      <c r="E975" t="str">
        <f>"1-43-9"</f>
        <v>1-43-9</v>
      </c>
      <c r="F975" t="s">
        <v>83</v>
      </c>
      <c r="G975" t="s">
        <v>86</v>
      </c>
      <c r="H975" t="s">
        <v>87</v>
      </c>
      <c r="AC975">
        <v>0</v>
      </c>
      <c r="AD975">
        <v>0</v>
      </c>
      <c r="AE975">
        <v>0</v>
      </c>
      <c r="AF975">
        <v>0</v>
      </c>
      <c r="AH975">
        <v>0</v>
      </c>
      <c r="AI975">
        <v>1</v>
      </c>
      <c r="AJ975">
        <v>0</v>
      </c>
      <c r="AK975">
        <v>0</v>
      </c>
      <c r="AL975">
        <v>0</v>
      </c>
      <c r="AM975">
        <v>0</v>
      </c>
      <c r="AN975">
        <v>0</v>
      </c>
      <c r="AO975">
        <v>0</v>
      </c>
      <c r="AP975">
        <v>0</v>
      </c>
      <c r="AQ975">
        <v>0</v>
      </c>
      <c r="AU975">
        <v>0</v>
      </c>
      <c r="AV975">
        <v>0</v>
      </c>
      <c r="AW975">
        <v>0</v>
      </c>
    </row>
    <row r="976" spans="1:49" x14ac:dyDescent="0.25">
      <c r="A976" t="str">
        <f>"972"</f>
        <v>972</v>
      </c>
      <c r="B976" t="str">
        <f t="shared" si="53"/>
        <v>1</v>
      </c>
      <c r="C976" t="str">
        <f t="shared" si="55"/>
        <v>43</v>
      </c>
      <c r="D976" t="str">
        <f>"17"</f>
        <v>17</v>
      </c>
      <c r="E976" t="str">
        <f>"1-43-17"</f>
        <v>1-43-17</v>
      </c>
      <c r="F976" t="s">
        <v>83</v>
      </c>
      <c r="G976" t="s">
        <v>84</v>
      </c>
      <c r="H976" t="s">
        <v>92</v>
      </c>
      <c r="I976">
        <v>1</v>
      </c>
      <c r="J976">
        <v>1</v>
      </c>
      <c r="N976">
        <v>1</v>
      </c>
      <c r="O976">
        <v>1</v>
      </c>
      <c r="P976">
        <v>1</v>
      </c>
      <c r="Q976">
        <v>1</v>
      </c>
      <c r="R976">
        <v>1</v>
      </c>
      <c r="S976">
        <v>1</v>
      </c>
      <c r="T976">
        <v>1</v>
      </c>
      <c r="W976">
        <v>1</v>
      </c>
      <c r="X976">
        <v>1</v>
      </c>
      <c r="Y976">
        <v>1</v>
      </c>
      <c r="Z976">
        <v>1</v>
      </c>
      <c r="AA976">
        <v>1</v>
      </c>
      <c r="AB976">
        <v>1</v>
      </c>
    </row>
    <row r="977" spans="1:49" x14ac:dyDescent="0.25">
      <c r="A977" t="str">
        <f>"973"</f>
        <v>973</v>
      </c>
      <c r="B977" t="str">
        <f t="shared" si="53"/>
        <v>1</v>
      </c>
      <c r="C977" t="str">
        <f t="shared" si="55"/>
        <v>43</v>
      </c>
      <c r="D977" t="str">
        <f>"10"</f>
        <v>10</v>
      </c>
      <c r="E977" t="str">
        <f>"1-43-10"</f>
        <v>1-43-10</v>
      </c>
      <c r="F977" t="s">
        <v>83</v>
      </c>
      <c r="G977" t="s">
        <v>86</v>
      </c>
      <c r="H977" t="s">
        <v>87</v>
      </c>
      <c r="AC977">
        <v>0</v>
      </c>
      <c r="AD977">
        <v>0</v>
      </c>
      <c r="AE977">
        <v>0</v>
      </c>
      <c r="AF977">
        <v>0</v>
      </c>
      <c r="AH977">
        <v>0</v>
      </c>
      <c r="AI977">
        <v>1</v>
      </c>
      <c r="AJ977">
        <v>0</v>
      </c>
      <c r="AK977">
        <v>0</v>
      </c>
      <c r="AL977">
        <v>0</v>
      </c>
      <c r="AM977">
        <v>0</v>
      </c>
      <c r="AN977">
        <v>0</v>
      </c>
      <c r="AO977">
        <v>0</v>
      </c>
      <c r="AP977">
        <v>0</v>
      </c>
      <c r="AQ977">
        <v>0</v>
      </c>
      <c r="AU977">
        <v>1</v>
      </c>
      <c r="AV977">
        <v>0</v>
      </c>
      <c r="AW977">
        <v>1</v>
      </c>
    </row>
    <row r="978" spans="1:49" x14ac:dyDescent="0.25">
      <c r="A978" t="str">
        <f>"974"</f>
        <v>974</v>
      </c>
      <c r="B978" t="str">
        <f t="shared" si="53"/>
        <v>1</v>
      </c>
      <c r="C978" t="str">
        <f t="shared" si="55"/>
        <v>43</v>
      </c>
      <c r="D978" t="str">
        <f>"7"</f>
        <v>7</v>
      </c>
      <c r="E978" t="str">
        <f>"1-43-7"</f>
        <v>1-43-7</v>
      </c>
      <c r="F978" t="s">
        <v>83</v>
      </c>
      <c r="G978" t="s">
        <v>86</v>
      </c>
      <c r="H978" t="s">
        <v>87</v>
      </c>
      <c r="AC978">
        <v>0</v>
      </c>
      <c r="AD978">
        <v>1</v>
      </c>
      <c r="AE978">
        <v>0</v>
      </c>
      <c r="AF978">
        <v>0</v>
      </c>
      <c r="AH978">
        <v>1</v>
      </c>
      <c r="AI978">
        <v>0</v>
      </c>
      <c r="AJ978">
        <v>0</v>
      </c>
      <c r="AK978">
        <v>1</v>
      </c>
      <c r="AL978">
        <v>0</v>
      </c>
      <c r="AM978">
        <v>1</v>
      </c>
      <c r="AN978">
        <v>0</v>
      </c>
      <c r="AO978">
        <v>1</v>
      </c>
      <c r="AP978">
        <v>1</v>
      </c>
      <c r="AQ978">
        <v>1</v>
      </c>
      <c r="AU978">
        <v>1</v>
      </c>
      <c r="AV978">
        <v>1</v>
      </c>
      <c r="AW978">
        <v>1</v>
      </c>
    </row>
    <row r="979" spans="1:49" x14ac:dyDescent="0.25">
      <c r="A979" t="str">
        <f>"975"</f>
        <v>975</v>
      </c>
      <c r="B979" t="str">
        <f t="shared" si="53"/>
        <v>1</v>
      </c>
      <c r="C979" t="str">
        <f t="shared" si="55"/>
        <v>43</v>
      </c>
      <c r="D979" t="str">
        <f>"18"</f>
        <v>18</v>
      </c>
      <c r="E979" t="str">
        <f>"1-43-18"</f>
        <v>1-43-18</v>
      </c>
      <c r="F979" t="s">
        <v>83</v>
      </c>
      <c r="G979" t="s">
        <v>86</v>
      </c>
      <c r="H979" t="s">
        <v>93</v>
      </c>
      <c r="I979">
        <v>1</v>
      </c>
      <c r="K979">
        <v>0</v>
      </c>
      <c r="L979">
        <v>0</v>
      </c>
      <c r="M979">
        <v>1</v>
      </c>
      <c r="N979">
        <v>1</v>
      </c>
      <c r="O979">
        <v>1</v>
      </c>
      <c r="P979">
        <v>1</v>
      </c>
      <c r="Q979">
        <v>1</v>
      </c>
      <c r="R979">
        <v>1</v>
      </c>
      <c r="U979">
        <v>0</v>
      </c>
      <c r="V979">
        <v>1</v>
      </c>
      <c r="W979">
        <v>1</v>
      </c>
      <c r="X979">
        <v>1</v>
      </c>
      <c r="Y979">
        <v>1</v>
      </c>
      <c r="Z979">
        <v>1</v>
      </c>
      <c r="AA979">
        <v>1</v>
      </c>
      <c r="AB979">
        <v>1</v>
      </c>
    </row>
    <row r="980" spans="1:49" x14ac:dyDescent="0.25">
      <c r="A980" t="str">
        <f>"976"</f>
        <v>976</v>
      </c>
      <c r="B980" t="str">
        <f t="shared" si="53"/>
        <v>1</v>
      </c>
      <c r="C980" t="str">
        <f t="shared" si="55"/>
        <v>43</v>
      </c>
      <c r="D980" t="str">
        <f>"11"</f>
        <v>11</v>
      </c>
      <c r="E980" t="str">
        <f>"1-43-11"</f>
        <v>1-43-11</v>
      </c>
      <c r="F980" t="s">
        <v>83</v>
      </c>
      <c r="G980" t="s">
        <v>86</v>
      </c>
      <c r="H980" t="s">
        <v>87</v>
      </c>
      <c r="AC980">
        <v>1</v>
      </c>
      <c r="AD980">
        <v>0</v>
      </c>
      <c r="AE980">
        <v>0</v>
      </c>
      <c r="AF980">
        <v>0</v>
      </c>
      <c r="AH980">
        <v>0</v>
      </c>
      <c r="AI980">
        <v>1</v>
      </c>
      <c r="AJ980">
        <v>1</v>
      </c>
      <c r="AK980">
        <v>0</v>
      </c>
      <c r="AL980">
        <v>0</v>
      </c>
      <c r="AM980">
        <v>1</v>
      </c>
      <c r="AN980">
        <v>0</v>
      </c>
      <c r="AO980">
        <v>1</v>
      </c>
      <c r="AP980">
        <v>1</v>
      </c>
      <c r="AQ980">
        <v>1</v>
      </c>
      <c r="AU980">
        <v>1</v>
      </c>
      <c r="AV980">
        <v>1</v>
      </c>
      <c r="AW980">
        <v>1</v>
      </c>
    </row>
    <row r="981" spans="1:49" x14ac:dyDescent="0.25">
      <c r="A981" t="str">
        <f>"977"</f>
        <v>977</v>
      </c>
      <c r="B981" t="str">
        <f t="shared" si="53"/>
        <v>1</v>
      </c>
      <c r="C981" t="str">
        <f t="shared" si="55"/>
        <v>43</v>
      </c>
      <c r="D981" t="str">
        <f>"2"</f>
        <v>2</v>
      </c>
      <c r="E981" t="str">
        <f>"1-43-2"</f>
        <v>1-43-2</v>
      </c>
      <c r="F981" t="s">
        <v>83</v>
      </c>
      <c r="G981" t="s">
        <v>86</v>
      </c>
      <c r="H981" t="s">
        <v>87</v>
      </c>
      <c r="AC981">
        <v>0</v>
      </c>
      <c r="AD981">
        <v>0</v>
      </c>
      <c r="AE981">
        <v>0</v>
      </c>
      <c r="AF981">
        <v>0</v>
      </c>
      <c r="AH981">
        <v>0</v>
      </c>
      <c r="AI981">
        <v>1</v>
      </c>
      <c r="AJ981">
        <v>1</v>
      </c>
      <c r="AK981">
        <v>0</v>
      </c>
      <c r="AL981">
        <v>0</v>
      </c>
      <c r="AM981">
        <v>0</v>
      </c>
      <c r="AN981">
        <v>1</v>
      </c>
      <c r="AO981">
        <v>0</v>
      </c>
      <c r="AP981">
        <v>0</v>
      </c>
      <c r="AQ981">
        <v>0</v>
      </c>
      <c r="AU981">
        <v>0</v>
      </c>
      <c r="AV981">
        <v>0</v>
      </c>
      <c r="AW981">
        <v>0</v>
      </c>
    </row>
    <row r="982" spans="1:49" x14ac:dyDescent="0.25">
      <c r="A982" t="str">
        <f>"978"</f>
        <v>978</v>
      </c>
      <c r="B982" t="str">
        <f t="shared" si="53"/>
        <v>1</v>
      </c>
      <c r="C982" t="str">
        <f t="shared" si="55"/>
        <v>43</v>
      </c>
      <c r="D982" t="str">
        <f>"21"</f>
        <v>21</v>
      </c>
      <c r="E982" t="str">
        <f>"1-43-21"</f>
        <v>1-43-21</v>
      </c>
      <c r="F982" t="s">
        <v>83</v>
      </c>
      <c r="G982" t="s">
        <v>86</v>
      </c>
      <c r="H982" t="s">
        <v>87</v>
      </c>
      <c r="AC982">
        <v>1</v>
      </c>
      <c r="AD982">
        <v>0</v>
      </c>
      <c r="AE982">
        <v>0</v>
      </c>
      <c r="AF982">
        <v>0</v>
      </c>
      <c r="AH982">
        <v>1</v>
      </c>
      <c r="AI982">
        <v>0</v>
      </c>
      <c r="AJ982">
        <v>1</v>
      </c>
      <c r="AK982">
        <v>0</v>
      </c>
      <c r="AL982">
        <v>0</v>
      </c>
      <c r="AM982">
        <v>1</v>
      </c>
      <c r="AN982">
        <v>0</v>
      </c>
      <c r="AO982">
        <v>1</v>
      </c>
      <c r="AP982">
        <v>1</v>
      </c>
      <c r="AQ982">
        <v>1</v>
      </c>
      <c r="AU982">
        <v>1</v>
      </c>
      <c r="AV982">
        <v>1</v>
      </c>
      <c r="AW982">
        <v>1</v>
      </c>
    </row>
    <row r="983" spans="1:49" x14ac:dyDescent="0.25">
      <c r="A983" t="str">
        <f>"979"</f>
        <v>979</v>
      </c>
      <c r="B983" t="str">
        <f t="shared" si="53"/>
        <v>1</v>
      </c>
      <c r="C983" t="str">
        <f t="shared" si="55"/>
        <v>43</v>
      </c>
      <c r="D983" t="str">
        <f>"12"</f>
        <v>12</v>
      </c>
      <c r="E983" t="str">
        <f>"1-43-12"</f>
        <v>1-43-12</v>
      </c>
      <c r="F983" t="s">
        <v>83</v>
      </c>
      <c r="G983" t="s">
        <v>86</v>
      </c>
      <c r="H983" t="s">
        <v>93</v>
      </c>
      <c r="I983">
        <v>1</v>
      </c>
      <c r="K983">
        <v>0</v>
      </c>
      <c r="L983">
        <v>0</v>
      </c>
      <c r="M983">
        <v>1</v>
      </c>
      <c r="N983">
        <v>1</v>
      </c>
      <c r="O983">
        <v>1</v>
      </c>
      <c r="P983">
        <v>1</v>
      </c>
      <c r="Q983">
        <v>1</v>
      </c>
      <c r="R983">
        <v>0</v>
      </c>
      <c r="U983">
        <v>0</v>
      </c>
      <c r="V983">
        <v>0</v>
      </c>
      <c r="W983">
        <v>0</v>
      </c>
      <c r="X983">
        <v>0</v>
      </c>
      <c r="Y983">
        <v>0</v>
      </c>
      <c r="Z983">
        <v>0</v>
      </c>
      <c r="AA983">
        <v>0</v>
      </c>
      <c r="AB983">
        <v>0</v>
      </c>
    </row>
    <row r="984" spans="1:49" x14ac:dyDescent="0.25">
      <c r="A984" t="str">
        <f>"980"</f>
        <v>980</v>
      </c>
      <c r="B984" t="str">
        <f t="shared" si="53"/>
        <v>1</v>
      </c>
      <c r="C984" t="str">
        <f t="shared" si="55"/>
        <v>43</v>
      </c>
      <c r="D984" t="str">
        <f>"6"</f>
        <v>6</v>
      </c>
      <c r="E984" t="str">
        <f>"1-43-6"</f>
        <v>1-43-6</v>
      </c>
      <c r="F984" t="s">
        <v>83</v>
      </c>
      <c r="G984" t="s">
        <v>86</v>
      </c>
      <c r="H984" t="s">
        <v>87</v>
      </c>
      <c r="AC984">
        <v>0</v>
      </c>
      <c r="AD984">
        <v>1</v>
      </c>
      <c r="AE984">
        <v>0</v>
      </c>
      <c r="AF984">
        <v>0</v>
      </c>
      <c r="AH984">
        <v>0</v>
      </c>
      <c r="AI984">
        <v>1</v>
      </c>
      <c r="AJ984">
        <v>0</v>
      </c>
      <c r="AK984">
        <v>1</v>
      </c>
      <c r="AL984">
        <v>1</v>
      </c>
      <c r="AM984">
        <v>0</v>
      </c>
      <c r="AN984">
        <v>0</v>
      </c>
      <c r="AO984">
        <v>0</v>
      </c>
      <c r="AP984">
        <v>0</v>
      </c>
      <c r="AQ984">
        <v>0</v>
      </c>
      <c r="AU984">
        <v>0</v>
      </c>
      <c r="AV984">
        <v>0</v>
      </c>
      <c r="AW984">
        <v>0</v>
      </c>
    </row>
    <row r="985" spans="1:49" x14ac:dyDescent="0.25">
      <c r="A985" t="str">
        <f>"981"</f>
        <v>981</v>
      </c>
      <c r="B985" t="str">
        <f t="shared" si="53"/>
        <v>1</v>
      </c>
      <c r="C985" t="str">
        <f t="shared" si="55"/>
        <v>43</v>
      </c>
      <c r="D985" t="str">
        <f>"23"</f>
        <v>23</v>
      </c>
      <c r="E985" t="str">
        <f>"1-43-23"</f>
        <v>1-43-23</v>
      </c>
      <c r="F985" t="s">
        <v>83</v>
      </c>
      <c r="G985" t="s">
        <v>86</v>
      </c>
      <c r="H985" t="s">
        <v>87</v>
      </c>
      <c r="AC985">
        <v>0</v>
      </c>
      <c r="AD985">
        <v>0</v>
      </c>
      <c r="AE985">
        <v>0</v>
      </c>
      <c r="AF985">
        <v>0</v>
      </c>
      <c r="AH985">
        <v>0</v>
      </c>
      <c r="AI985">
        <v>1</v>
      </c>
      <c r="AJ985">
        <v>0</v>
      </c>
      <c r="AK985">
        <v>0</v>
      </c>
      <c r="AL985">
        <v>0</v>
      </c>
      <c r="AM985">
        <v>0</v>
      </c>
      <c r="AN985">
        <v>0</v>
      </c>
      <c r="AO985">
        <v>0</v>
      </c>
      <c r="AP985">
        <v>0</v>
      </c>
      <c r="AQ985">
        <v>0</v>
      </c>
      <c r="AU985">
        <v>1</v>
      </c>
      <c r="AV985">
        <v>0</v>
      </c>
      <c r="AW985">
        <v>0</v>
      </c>
    </row>
    <row r="986" spans="1:49" x14ac:dyDescent="0.25">
      <c r="A986" t="str">
        <f>"982"</f>
        <v>982</v>
      </c>
      <c r="B986" t="str">
        <f t="shared" si="53"/>
        <v>1</v>
      </c>
      <c r="C986" t="str">
        <f t="shared" si="55"/>
        <v>43</v>
      </c>
      <c r="D986" t="str">
        <f>"13"</f>
        <v>13</v>
      </c>
      <c r="E986" t="str">
        <f>"1-43-13"</f>
        <v>1-43-13</v>
      </c>
      <c r="F986" t="s">
        <v>83</v>
      </c>
      <c r="G986" t="s">
        <v>86</v>
      </c>
      <c r="H986" t="s">
        <v>87</v>
      </c>
      <c r="AC986">
        <v>0</v>
      </c>
      <c r="AD986">
        <v>1</v>
      </c>
      <c r="AE986">
        <v>0</v>
      </c>
      <c r="AF986">
        <v>0</v>
      </c>
      <c r="AH986">
        <v>0</v>
      </c>
      <c r="AI986">
        <v>1</v>
      </c>
      <c r="AJ986">
        <v>1</v>
      </c>
      <c r="AK986">
        <v>0</v>
      </c>
      <c r="AL986">
        <v>1</v>
      </c>
      <c r="AM986">
        <v>0</v>
      </c>
      <c r="AN986">
        <v>0</v>
      </c>
      <c r="AO986">
        <v>1</v>
      </c>
      <c r="AP986">
        <v>1</v>
      </c>
      <c r="AQ986">
        <v>1</v>
      </c>
      <c r="AU986">
        <v>1</v>
      </c>
      <c r="AV986">
        <v>1</v>
      </c>
      <c r="AW986">
        <v>1</v>
      </c>
    </row>
    <row r="987" spans="1:49" x14ac:dyDescent="0.25">
      <c r="A987" t="str">
        <f>"983"</f>
        <v>983</v>
      </c>
      <c r="B987" t="str">
        <f t="shared" si="53"/>
        <v>1</v>
      </c>
      <c r="C987" t="str">
        <f t="shared" si="55"/>
        <v>43</v>
      </c>
      <c r="D987" t="str">
        <f>"4"</f>
        <v>4</v>
      </c>
      <c r="E987" t="str">
        <f>"1-43-4"</f>
        <v>1-43-4</v>
      </c>
      <c r="F987" t="s">
        <v>83</v>
      </c>
      <c r="G987" t="s">
        <v>86</v>
      </c>
      <c r="H987" t="s">
        <v>87</v>
      </c>
      <c r="AC987">
        <v>0</v>
      </c>
      <c r="AD987">
        <v>1</v>
      </c>
      <c r="AE987">
        <v>0</v>
      </c>
      <c r="AF987">
        <v>0</v>
      </c>
      <c r="AH987">
        <v>0</v>
      </c>
      <c r="AI987">
        <v>1</v>
      </c>
      <c r="AJ987">
        <v>0</v>
      </c>
      <c r="AK987">
        <v>1</v>
      </c>
      <c r="AL987">
        <v>0</v>
      </c>
      <c r="AM987">
        <v>0</v>
      </c>
      <c r="AN987">
        <v>1</v>
      </c>
      <c r="AO987">
        <v>1</v>
      </c>
      <c r="AP987">
        <v>1</v>
      </c>
      <c r="AQ987">
        <v>1</v>
      </c>
      <c r="AU987">
        <v>0</v>
      </c>
      <c r="AV987">
        <v>0</v>
      </c>
      <c r="AW987">
        <v>1</v>
      </c>
    </row>
    <row r="988" spans="1:49" x14ac:dyDescent="0.25">
      <c r="A988" t="str">
        <f>"984"</f>
        <v>984</v>
      </c>
      <c r="B988" t="str">
        <f t="shared" si="53"/>
        <v>1</v>
      </c>
      <c r="C988" t="str">
        <f t="shared" si="55"/>
        <v>43</v>
      </c>
      <c r="D988" t="str">
        <f>"22"</f>
        <v>22</v>
      </c>
      <c r="E988" t="str">
        <f>"1-43-22"</f>
        <v>1-43-22</v>
      </c>
      <c r="F988" t="s">
        <v>83</v>
      </c>
      <c r="G988" t="s">
        <v>86</v>
      </c>
      <c r="H988" t="s">
        <v>93</v>
      </c>
      <c r="I988">
        <v>1</v>
      </c>
      <c r="K988">
        <v>0</v>
      </c>
      <c r="L988">
        <v>1</v>
      </c>
      <c r="M988">
        <v>0</v>
      </c>
      <c r="N988">
        <v>1</v>
      </c>
      <c r="O988">
        <v>1</v>
      </c>
      <c r="P988">
        <v>1</v>
      </c>
      <c r="Q988">
        <v>1</v>
      </c>
      <c r="R988">
        <v>1</v>
      </c>
      <c r="U988">
        <v>1</v>
      </c>
      <c r="V988">
        <v>0</v>
      </c>
      <c r="W988">
        <v>1</v>
      </c>
      <c r="X988">
        <v>1</v>
      </c>
      <c r="Y988">
        <v>1</v>
      </c>
      <c r="Z988">
        <v>1</v>
      </c>
      <c r="AA988">
        <v>1</v>
      </c>
      <c r="AB988">
        <v>1</v>
      </c>
    </row>
    <row r="989" spans="1:49" x14ac:dyDescent="0.25">
      <c r="A989" t="str">
        <f>"985"</f>
        <v>985</v>
      </c>
      <c r="B989" t="str">
        <f t="shared" si="53"/>
        <v>1</v>
      </c>
      <c r="C989" t="str">
        <f t="shared" si="55"/>
        <v>43</v>
      </c>
      <c r="D989" t="str">
        <f>"3"</f>
        <v>3</v>
      </c>
      <c r="E989" t="str">
        <f>"1-43-3"</f>
        <v>1-43-3</v>
      </c>
      <c r="F989" t="s">
        <v>83</v>
      </c>
      <c r="G989" t="s">
        <v>86</v>
      </c>
      <c r="H989" t="s">
        <v>87</v>
      </c>
      <c r="AC989">
        <v>0</v>
      </c>
      <c r="AD989">
        <v>0</v>
      </c>
      <c r="AE989">
        <v>0</v>
      </c>
      <c r="AF989">
        <v>0</v>
      </c>
      <c r="AH989">
        <v>0</v>
      </c>
      <c r="AI989">
        <v>1</v>
      </c>
      <c r="AJ989">
        <v>0</v>
      </c>
      <c r="AK989">
        <v>0</v>
      </c>
      <c r="AL989">
        <v>0</v>
      </c>
      <c r="AM989">
        <v>0</v>
      </c>
      <c r="AN989">
        <v>0</v>
      </c>
      <c r="AO989">
        <v>0</v>
      </c>
      <c r="AP989">
        <v>0</v>
      </c>
      <c r="AQ989">
        <v>0</v>
      </c>
      <c r="AU989">
        <v>0</v>
      </c>
      <c r="AV989">
        <v>0</v>
      </c>
      <c r="AW989">
        <v>0</v>
      </c>
    </row>
    <row r="990" spans="1:49" x14ac:dyDescent="0.25">
      <c r="A990" t="str">
        <f>"986"</f>
        <v>986</v>
      </c>
      <c r="B990" t="str">
        <f t="shared" ref="B990:B1053" si="56">"1"</f>
        <v>1</v>
      </c>
      <c r="C990" t="str">
        <f t="shared" si="55"/>
        <v>43</v>
      </c>
      <c r="D990" t="str">
        <f>"1"</f>
        <v>1</v>
      </c>
      <c r="E990" t="str">
        <f>"1-43-1"</f>
        <v>1-43-1</v>
      </c>
      <c r="F990" t="s">
        <v>83</v>
      </c>
      <c r="G990" t="s">
        <v>86</v>
      </c>
      <c r="H990" t="s">
        <v>87</v>
      </c>
      <c r="AC990">
        <v>0</v>
      </c>
      <c r="AD990">
        <v>0</v>
      </c>
      <c r="AE990">
        <v>0</v>
      </c>
      <c r="AF990">
        <v>0</v>
      </c>
      <c r="AH990">
        <v>0</v>
      </c>
      <c r="AI990">
        <v>1</v>
      </c>
      <c r="AJ990">
        <v>0</v>
      </c>
      <c r="AK990">
        <v>1</v>
      </c>
      <c r="AL990">
        <v>1</v>
      </c>
      <c r="AM990">
        <v>0</v>
      </c>
      <c r="AN990">
        <v>0</v>
      </c>
      <c r="AO990">
        <v>0</v>
      </c>
      <c r="AP990">
        <v>0</v>
      </c>
      <c r="AQ990">
        <v>0</v>
      </c>
      <c r="AU990">
        <v>0</v>
      </c>
      <c r="AV990">
        <v>0</v>
      </c>
      <c r="AW990">
        <v>0</v>
      </c>
    </row>
    <row r="991" spans="1:49" x14ac:dyDescent="0.25">
      <c r="A991" t="str">
        <f>"987"</f>
        <v>987</v>
      </c>
      <c r="B991" t="str">
        <f t="shared" si="56"/>
        <v>1</v>
      </c>
      <c r="C991" t="str">
        <f t="shared" si="55"/>
        <v>43</v>
      </c>
      <c r="D991" t="str">
        <f>"14"</f>
        <v>14</v>
      </c>
      <c r="E991" t="str">
        <f>"1-43-14"</f>
        <v>1-43-14</v>
      </c>
      <c r="F991" t="s">
        <v>83</v>
      </c>
      <c r="G991" t="s">
        <v>86</v>
      </c>
      <c r="H991" t="s">
        <v>87</v>
      </c>
      <c r="AC991">
        <v>0</v>
      </c>
      <c r="AD991">
        <v>0</v>
      </c>
      <c r="AE991">
        <v>0</v>
      </c>
      <c r="AF991">
        <v>0</v>
      </c>
      <c r="AH991">
        <v>0</v>
      </c>
      <c r="AI991">
        <v>1</v>
      </c>
      <c r="AJ991">
        <v>0</v>
      </c>
      <c r="AK991">
        <v>0</v>
      </c>
      <c r="AL991">
        <v>0</v>
      </c>
      <c r="AM991">
        <v>0</v>
      </c>
      <c r="AN991">
        <v>1</v>
      </c>
      <c r="AO991">
        <v>0</v>
      </c>
      <c r="AP991">
        <v>0</v>
      </c>
      <c r="AQ991">
        <v>0</v>
      </c>
      <c r="AU991">
        <v>0</v>
      </c>
      <c r="AV991">
        <v>0</v>
      </c>
      <c r="AW991">
        <v>0</v>
      </c>
    </row>
    <row r="992" spans="1:49" x14ac:dyDescent="0.25">
      <c r="A992" t="str">
        <f>"988"</f>
        <v>988</v>
      </c>
      <c r="B992" t="str">
        <f t="shared" si="56"/>
        <v>1</v>
      </c>
      <c r="C992" t="str">
        <f t="shared" ref="C992:C1016" si="57">"44"</f>
        <v>44</v>
      </c>
      <c r="D992" t="str">
        <f>"19"</f>
        <v>19</v>
      </c>
      <c r="E992" t="str">
        <f>"1-44-19"</f>
        <v>1-44-19</v>
      </c>
      <c r="F992" t="s">
        <v>83</v>
      </c>
      <c r="G992" t="s">
        <v>84</v>
      </c>
      <c r="H992" t="s">
        <v>92</v>
      </c>
      <c r="I992">
        <v>1</v>
      </c>
      <c r="J992">
        <v>1</v>
      </c>
      <c r="N992">
        <v>1</v>
      </c>
      <c r="O992">
        <v>1</v>
      </c>
      <c r="P992">
        <v>1</v>
      </c>
      <c r="Q992">
        <v>1</v>
      </c>
      <c r="R992">
        <v>1</v>
      </c>
      <c r="S992">
        <v>1</v>
      </c>
      <c r="T992">
        <v>1</v>
      </c>
      <c r="W992">
        <v>1</v>
      </c>
      <c r="X992">
        <v>1</v>
      </c>
      <c r="Y992">
        <v>1</v>
      </c>
      <c r="Z992">
        <v>1</v>
      </c>
      <c r="AA992">
        <v>1</v>
      </c>
      <c r="AB992">
        <v>1</v>
      </c>
    </row>
    <row r="993" spans="1:49" x14ac:dyDescent="0.25">
      <c r="A993" t="str">
        <f>"989"</f>
        <v>989</v>
      </c>
      <c r="B993" t="str">
        <f t="shared" si="56"/>
        <v>1</v>
      </c>
      <c r="C993" t="str">
        <f t="shared" si="57"/>
        <v>44</v>
      </c>
      <c r="D993" t="str">
        <f>"18"</f>
        <v>18</v>
      </c>
      <c r="E993" t="str">
        <f>"1-44-18"</f>
        <v>1-44-18</v>
      </c>
      <c r="F993" t="s">
        <v>83</v>
      </c>
      <c r="G993" t="s">
        <v>84</v>
      </c>
      <c r="H993" t="s">
        <v>85</v>
      </c>
      <c r="AC993">
        <v>1</v>
      </c>
      <c r="AD993">
        <v>0</v>
      </c>
      <c r="AE993">
        <v>0</v>
      </c>
      <c r="AF993">
        <v>0</v>
      </c>
      <c r="AG993">
        <v>1</v>
      </c>
      <c r="AJ993">
        <v>0</v>
      </c>
      <c r="AK993">
        <v>1</v>
      </c>
      <c r="AL993">
        <v>1</v>
      </c>
      <c r="AM993">
        <v>0</v>
      </c>
      <c r="AN993">
        <v>0</v>
      </c>
      <c r="AO993">
        <v>1</v>
      </c>
      <c r="AP993">
        <v>1</v>
      </c>
      <c r="AQ993">
        <v>1</v>
      </c>
      <c r="AR993">
        <v>1</v>
      </c>
      <c r="AS993">
        <v>1</v>
      </c>
      <c r="AT993">
        <v>0</v>
      </c>
      <c r="AV993">
        <v>1</v>
      </c>
      <c r="AW993">
        <v>1</v>
      </c>
    </row>
    <row r="994" spans="1:49" x14ac:dyDescent="0.25">
      <c r="A994" t="str">
        <f>"990"</f>
        <v>990</v>
      </c>
      <c r="B994" t="str">
        <f t="shared" si="56"/>
        <v>1</v>
      </c>
      <c r="C994" t="str">
        <f t="shared" si="57"/>
        <v>44</v>
      </c>
      <c r="D994" t="str">
        <f>"15"</f>
        <v>15</v>
      </c>
      <c r="E994" t="str">
        <f>"1-44-15"</f>
        <v>1-44-15</v>
      </c>
      <c r="F994" t="s">
        <v>83</v>
      </c>
      <c r="G994" t="s">
        <v>88</v>
      </c>
      <c r="H994" t="s">
        <v>89</v>
      </c>
      <c r="AC994">
        <v>0</v>
      </c>
      <c r="AD994">
        <v>0</v>
      </c>
      <c r="AE994">
        <v>0</v>
      </c>
      <c r="AF994">
        <v>0</v>
      </c>
      <c r="AH994">
        <v>0</v>
      </c>
      <c r="AI994">
        <v>1</v>
      </c>
      <c r="AJ994">
        <v>0</v>
      </c>
      <c r="AK994">
        <v>1</v>
      </c>
      <c r="AL994">
        <v>0</v>
      </c>
      <c r="AM994">
        <v>1</v>
      </c>
      <c r="AN994">
        <v>0</v>
      </c>
      <c r="AO994">
        <v>0</v>
      </c>
      <c r="AP994">
        <v>0</v>
      </c>
      <c r="AQ994">
        <v>0</v>
      </c>
      <c r="AR994">
        <v>0</v>
      </c>
      <c r="AS994">
        <v>0</v>
      </c>
      <c r="AT994">
        <v>1</v>
      </c>
      <c r="AV994">
        <v>0</v>
      </c>
      <c r="AW994">
        <v>0</v>
      </c>
    </row>
    <row r="995" spans="1:49" x14ac:dyDescent="0.25">
      <c r="A995" t="str">
        <f>"991"</f>
        <v>991</v>
      </c>
      <c r="B995" t="str">
        <f t="shared" si="56"/>
        <v>1</v>
      </c>
      <c r="C995" t="str">
        <f t="shared" si="57"/>
        <v>44</v>
      </c>
      <c r="D995" t="str">
        <f>"8"</f>
        <v>8</v>
      </c>
      <c r="E995" t="str">
        <f>"1-44-8"</f>
        <v>1-44-8</v>
      </c>
      <c r="F995" t="s">
        <v>83</v>
      </c>
      <c r="G995" t="s">
        <v>84</v>
      </c>
      <c r="H995" t="s">
        <v>92</v>
      </c>
      <c r="I995">
        <v>1</v>
      </c>
      <c r="J995">
        <v>1</v>
      </c>
      <c r="N995">
        <v>1</v>
      </c>
      <c r="O995">
        <v>1</v>
      </c>
      <c r="P995">
        <v>1</v>
      </c>
      <c r="Q995">
        <v>1</v>
      </c>
      <c r="R995">
        <v>1</v>
      </c>
      <c r="S995">
        <v>1</v>
      </c>
      <c r="T995">
        <v>1</v>
      </c>
      <c r="W995">
        <v>1</v>
      </c>
      <c r="X995">
        <v>1</v>
      </c>
      <c r="Y995">
        <v>1</v>
      </c>
      <c r="Z995">
        <v>1</v>
      </c>
      <c r="AA995">
        <v>1</v>
      </c>
      <c r="AB995">
        <v>1</v>
      </c>
    </row>
    <row r="996" spans="1:49" x14ac:dyDescent="0.25">
      <c r="A996" t="str">
        <f>"992"</f>
        <v>992</v>
      </c>
      <c r="B996" t="str">
        <f t="shared" si="56"/>
        <v>1</v>
      </c>
      <c r="C996" t="str">
        <f t="shared" si="57"/>
        <v>44</v>
      </c>
      <c r="D996" t="str">
        <f>"3"</f>
        <v>3</v>
      </c>
      <c r="E996" t="str">
        <f>"1-44-3"</f>
        <v>1-44-3</v>
      </c>
      <c r="F996" t="s">
        <v>83</v>
      </c>
      <c r="G996" t="s">
        <v>84</v>
      </c>
      <c r="H996" t="s">
        <v>92</v>
      </c>
      <c r="I996">
        <v>1</v>
      </c>
      <c r="J996">
        <v>1</v>
      </c>
      <c r="N996">
        <v>1</v>
      </c>
      <c r="O996">
        <v>1</v>
      </c>
      <c r="P996">
        <v>1</v>
      </c>
      <c r="Q996">
        <v>1</v>
      </c>
      <c r="R996">
        <v>1</v>
      </c>
      <c r="S996">
        <v>1</v>
      </c>
      <c r="T996">
        <v>1</v>
      </c>
      <c r="W996">
        <v>1</v>
      </c>
      <c r="X996">
        <v>1</v>
      </c>
      <c r="Y996">
        <v>1</v>
      </c>
      <c r="Z996">
        <v>1</v>
      </c>
      <c r="AA996">
        <v>1</v>
      </c>
      <c r="AB996">
        <v>1</v>
      </c>
    </row>
    <row r="997" spans="1:49" x14ac:dyDescent="0.25">
      <c r="A997" t="str">
        <f>"993"</f>
        <v>993</v>
      </c>
      <c r="B997" t="str">
        <f t="shared" si="56"/>
        <v>1</v>
      </c>
      <c r="C997" t="str">
        <f t="shared" si="57"/>
        <v>44</v>
      </c>
      <c r="D997" t="str">
        <f>"25"</f>
        <v>25</v>
      </c>
      <c r="E997" t="str">
        <f>"1-44-25"</f>
        <v>1-44-25</v>
      </c>
      <c r="F997" t="s">
        <v>83</v>
      </c>
      <c r="G997" t="s">
        <v>86</v>
      </c>
      <c r="H997" t="s">
        <v>87</v>
      </c>
      <c r="AC997">
        <v>1</v>
      </c>
      <c r="AD997">
        <v>0</v>
      </c>
      <c r="AE997">
        <v>0</v>
      </c>
      <c r="AF997">
        <v>0</v>
      </c>
      <c r="AH997">
        <v>0</v>
      </c>
      <c r="AI997">
        <v>1</v>
      </c>
      <c r="AJ997">
        <v>0</v>
      </c>
      <c r="AK997">
        <v>1</v>
      </c>
      <c r="AL997">
        <v>0</v>
      </c>
      <c r="AM997">
        <v>0</v>
      </c>
      <c r="AN997">
        <v>1</v>
      </c>
      <c r="AO997">
        <v>1</v>
      </c>
      <c r="AP997">
        <v>1</v>
      </c>
      <c r="AQ997">
        <v>1</v>
      </c>
      <c r="AU997">
        <v>1</v>
      </c>
      <c r="AV997">
        <v>1</v>
      </c>
      <c r="AW997">
        <v>0</v>
      </c>
    </row>
    <row r="998" spans="1:49" x14ac:dyDescent="0.25">
      <c r="A998" t="str">
        <f>"994"</f>
        <v>994</v>
      </c>
      <c r="B998" t="str">
        <f t="shared" si="56"/>
        <v>1</v>
      </c>
      <c r="C998" t="str">
        <f t="shared" si="57"/>
        <v>44</v>
      </c>
      <c r="D998" t="str">
        <f>"24"</f>
        <v>24</v>
      </c>
      <c r="E998" t="str">
        <f>"1-44-24"</f>
        <v>1-44-24</v>
      </c>
      <c r="F998" t="s">
        <v>83</v>
      </c>
      <c r="G998" t="s">
        <v>84</v>
      </c>
      <c r="H998" t="s">
        <v>92</v>
      </c>
      <c r="I998">
        <v>1</v>
      </c>
      <c r="J998">
        <v>1</v>
      </c>
      <c r="N998">
        <v>1</v>
      </c>
      <c r="O998">
        <v>1</v>
      </c>
      <c r="P998">
        <v>1</v>
      </c>
      <c r="Q998">
        <v>1</v>
      </c>
      <c r="R998">
        <v>1</v>
      </c>
      <c r="S998">
        <v>1</v>
      </c>
      <c r="T998">
        <v>1</v>
      </c>
      <c r="W998">
        <v>1</v>
      </c>
      <c r="X998">
        <v>1</v>
      </c>
      <c r="Y998">
        <v>1</v>
      </c>
      <c r="Z998">
        <v>1</v>
      </c>
      <c r="AA998">
        <v>1</v>
      </c>
      <c r="AB998">
        <v>1</v>
      </c>
    </row>
    <row r="999" spans="1:49" x14ac:dyDescent="0.25">
      <c r="A999" t="str">
        <f>"995"</f>
        <v>995</v>
      </c>
      <c r="B999" t="str">
        <f t="shared" si="56"/>
        <v>1</v>
      </c>
      <c r="C999" t="str">
        <f t="shared" si="57"/>
        <v>44</v>
      </c>
      <c r="D999" t="str">
        <f>"16"</f>
        <v>16</v>
      </c>
      <c r="E999" t="str">
        <f>"1-44-16"</f>
        <v>1-44-16</v>
      </c>
      <c r="F999" t="s">
        <v>83</v>
      </c>
      <c r="G999" t="s">
        <v>84</v>
      </c>
      <c r="H999" t="s">
        <v>92</v>
      </c>
      <c r="I999">
        <v>1</v>
      </c>
      <c r="J999">
        <v>1</v>
      </c>
      <c r="N999">
        <v>1</v>
      </c>
      <c r="O999">
        <v>1</v>
      </c>
      <c r="P999">
        <v>1</v>
      </c>
      <c r="Q999">
        <v>1</v>
      </c>
      <c r="R999">
        <v>1</v>
      </c>
      <c r="S999">
        <v>1</v>
      </c>
      <c r="T999">
        <v>1</v>
      </c>
      <c r="W999">
        <v>1</v>
      </c>
      <c r="X999">
        <v>1</v>
      </c>
      <c r="Y999">
        <v>1</v>
      </c>
      <c r="Z999">
        <v>1</v>
      </c>
      <c r="AA999">
        <v>1</v>
      </c>
      <c r="AB999">
        <v>1</v>
      </c>
    </row>
    <row r="1000" spans="1:49" x14ac:dyDescent="0.25">
      <c r="A1000" t="str">
        <f>"996"</f>
        <v>996</v>
      </c>
      <c r="B1000" t="str">
        <f t="shared" si="56"/>
        <v>1</v>
      </c>
      <c r="C1000" t="str">
        <f t="shared" si="57"/>
        <v>44</v>
      </c>
      <c r="D1000" t="str">
        <f>"9"</f>
        <v>9</v>
      </c>
      <c r="E1000" t="str">
        <f>"1-44-9"</f>
        <v>1-44-9</v>
      </c>
      <c r="F1000" t="s">
        <v>83</v>
      </c>
      <c r="G1000" t="s">
        <v>84</v>
      </c>
      <c r="H1000" t="s">
        <v>85</v>
      </c>
      <c r="AC1000">
        <v>1</v>
      </c>
      <c r="AD1000">
        <v>0</v>
      </c>
      <c r="AE1000">
        <v>0</v>
      </c>
      <c r="AF1000">
        <v>0</v>
      </c>
      <c r="AG1000">
        <v>1</v>
      </c>
      <c r="AJ1000">
        <v>1</v>
      </c>
      <c r="AK1000">
        <v>0</v>
      </c>
      <c r="AL1000">
        <v>1</v>
      </c>
      <c r="AM1000">
        <v>0</v>
      </c>
      <c r="AN1000">
        <v>0</v>
      </c>
      <c r="AO1000">
        <v>1</v>
      </c>
      <c r="AP1000">
        <v>1</v>
      </c>
      <c r="AQ1000">
        <v>1</v>
      </c>
      <c r="AR1000">
        <v>1</v>
      </c>
      <c r="AS1000">
        <v>0</v>
      </c>
      <c r="AT1000">
        <v>1</v>
      </c>
      <c r="AV1000">
        <v>1</v>
      </c>
      <c r="AW1000">
        <v>1</v>
      </c>
    </row>
    <row r="1001" spans="1:49" x14ac:dyDescent="0.25">
      <c r="A1001" t="str">
        <f>"997"</f>
        <v>997</v>
      </c>
      <c r="B1001" t="str">
        <f t="shared" si="56"/>
        <v>1</v>
      </c>
      <c r="C1001" t="str">
        <f t="shared" si="57"/>
        <v>44</v>
      </c>
      <c r="D1001" t="str">
        <f>"1"</f>
        <v>1</v>
      </c>
      <c r="E1001" t="str">
        <f>"1-44-1"</f>
        <v>1-44-1</v>
      </c>
      <c r="F1001" t="s">
        <v>83</v>
      </c>
      <c r="G1001" t="s">
        <v>84</v>
      </c>
      <c r="H1001" t="s">
        <v>92</v>
      </c>
      <c r="I1001">
        <v>1</v>
      </c>
      <c r="J1001">
        <v>1</v>
      </c>
      <c r="N1001">
        <v>1</v>
      </c>
      <c r="O1001">
        <v>1</v>
      </c>
      <c r="P1001">
        <v>1</v>
      </c>
      <c r="Q1001">
        <v>1</v>
      </c>
      <c r="R1001">
        <v>1</v>
      </c>
      <c r="S1001">
        <v>1</v>
      </c>
      <c r="T1001">
        <v>1</v>
      </c>
      <c r="W1001">
        <v>1</v>
      </c>
      <c r="X1001">
        <v>1</v>
      </c>
      <c r="Y1001">
        <v>1</v>
      </c>
      <c r="Z1001">
        <v>1</v>
      </c>
      <c r="AA1001">
        <v>1</v>
      </c>
      <c r="AB1001">
        <v>1</v>
      </c>
    </row>
    <row r="1002" spans="1:49" x14ac:dyDescent="0.25">
      <c r="A1002" t="str">
        <f>"998"</f>
        <v>998</v>
      </c>
      <c r="B1002" t="str">
        <f t="shared" si="56"/>
        <v>1</v>
      </c>
      <c r="C1002" t="str">
        <f t="shared" si="57"/>
        <v>44</v>
      </c>
      <c r="D1002" t="str">
        <f>"17"</f>
        <v>17</v>
      </c>
      <c r="E1002" t="str">
        <f>"1-44-17"</f>
        <v>1-44-17</v>
      </c>
      <c r="F1002" t="s">
        <v>83</v>
      </c>
      <c r="G1002" t="s">
        <v>84</v>
      </c>
      <c r="H1002" t="s">
        <v>92</v>
      </c>
      <c r="I1002">
        <v>1</v>
      </c>
      <c r="J1002">
        <v>1</v>
      </c>
      <c r="N1002">
        <v>1</v>
      </c>
      <c r="O1002">
        <v>1</v>
      </c>
      <c r="P1002">
        <v>1</v>
      </c>
      <c r="Q1002">
        <v>1</v>
      </c>
      <c r="R1002">
        <v>1</v>
      </c>
      <c r="S1002">
        <v>1</v>
      </c>
      <c r="T1002">
        <v>1</v>
      </c>
      <c r="W1002">
        <v>1</v>
      </c>
      <c r="X1002">
        <v>1</v>
      </c>
      <c r="Y1002">
        <v>1</v>
      </c>
      <c r="Z1002">
        <v>1</v>
      </c>
      <c r="AA1002">
        <v>1</v>
      </c>
      <c r="AB1002">
        <v>1</v>
      </c>
    </row>
    <row r="1003" spans="1:49" x14ac:dyDescent="0.25">
      <c r="A1003" t="str">
        <f>"999"</f>
        <v>999</v>
      </c>
      <c r="B1003" t="str">
        <f t="shared" si="56"/>
        <v>1</v>
      </c>
      <c r="C1003" t="str">
        <f t="shared" si="57"/>
        <v>44</v>
      </c>
      <c r="D1003" t="str">
        <f>"10"</f>
        <v>10</v>
      </c>
      <c r="E1003" t="str">
        <f>"1-44-10"</f>
        <v>1-44-10</v>
      </c>
      <c r="F1003" t="s">
        <v>83</v>
      </c>
      <c r="G1003" t="s">
        <v>84</v>
      </c>
      <c r="H1003" t="s">
        <v>85</v>
      </c>
      <c r="AC1003">
        <v>0</v>
      </c>
      <c r="AD1003">
        <v>1</v>
      </c>
      <c r="AE1003">
        <v>0</v>
      </c>
      <c r="AF1003">
        <v>0</v>
      </c>
      <c r="AG1003">
        <v>0</v>
      </c>
      <c r="AJ1003">
        <v>1</v>
      </c>
      <c r="AK1003">
        <v>0</v>
      </c>
      <c r="AL1003">
        <v>0</v>
      </c>
      <c r="AM1003">
        <v>0</v>
      </c>
      <c r="AN1003">
        <v>1</v>
      </c>
      <c r="AO1003">
        <v>0</v>
      </c>
      <c r="AP1003">
        <v>0</v>
      </c>
      <c r="AQ1003">
        <v>0</v>
      </c>
      <c r="AR1003">
        <v>0</v>
      </c>
      <c r="AS1003">
        <v>0</v>
      </c>
      <c r="AT1003">
        <v>0</v>
      </c>
      <c r="AV1003">
        <v>0</v>
      </c>
      <c r="AW1003">
        <v>0</v>
      </c>
    </row>
    <row r="1004" spans="1:49" x14ac:dyDescent="0.25">
      <c r="A1004" t="str">
        <f>"1000"</f>
        <v>1000</v>
      </c>
      <c r="B1004" t="str">
        <f t="shared" si="56"/>
        <v>1</v>
      </c>
      <c r="C1004" t="str">
        <f t="shared" si="57"/>
        <v>44</v>
      </c>
      <c r="D1004" t="str">
        <f>"7"</f>
        <v>7</v>
      </c>
      <c r="E1004" t="str">
        <f>"1-44-7"</f>
        <v>1-44-7</v>
      </c>
      <c r="F1004" t="s">
        <v>83</v>
      </c>
      <c r="G1004" t="s">
        <v>84</v>
      </c>
      <c r="H1004" t="s">
        <v>85</v>
      </c>
      <c r="AC1004">
        <v>0</v>
      </c>
      <c r="AD1004">
        <v>1</v>
      </c>
      <c r="AE1004">
        <v>0</v>
      </c>
      <c r="AF1004">
        <v>0</v>
      </c>
      <c r="AG1004">
        <v>0</v>
      </c>
      <c r="AJ1004">
        <v>0</v>
      </c>
      <c r="AK1004">
        <v>1</v>
      </c>
      <c r="AL1004">
        <v>0</v>
      </c>
      <c r="AM1004">
        <v>0</v>
      </c>
      <c r="AN1004">
        <v>1</v>
      </c>
      <c r="AO1004">
        <v>1</v>
      </c>
      <c r="AP1004">
        <v>1</v>
      </c>
      <c r="AQ1004">
        <v>1</v>
      </c>
      <c r="AR1004">
        <v>1</v>
      </c>
      <c r="AS1004">
        <v>1</v>
      </c>
      <c r="AT1004">
        <v>0</v>
      </c>
      <c r="AV1004">
        <v>1</v>
      </c>
      <c r="AW1004">
        <v>1</v>
      </c>
    </row>
    <row r="1005" spans="1:49" x14ac:dyDescent="0.25">
      <c r="A1005" t="str">
        <f>"1001"</f>
        <v>1001</v>
      </c>
      <c r="B1005" t="str">
        <f t="shared" si="56"/>
        <v>1</v>
      </c>
      <c r="C1005" t="str">
        <f t="shared" si="57"/>
        <v>44</v>
      </c>
      <c r="D1005" t="str">
        <f>"20"</f>
        <v>20</v>
      </c>
      <c r="E1005" t="str">
        <f>"1-44-20"</f>
        <v>1-44-20</v>
      </c>
      <c r="F1005" t="s">
        <v>83</v>
      </c>
      <c r="G1005" t="s">
        <v>84</v>
      </c>
      <c r="H1005" t="s">
        <v>85</v>
      </c>
      <c r="AC1005">
        <v>1</v>
      </c>
      <c r="AD1005">
        <v>0</v>
      </c>
      <c r="AE1005">
        <v>0</v>
      </c>
      <c r="AF1005">
        <v>0</v>
      </c>
      <c r="AG1005">
        <v>1</v>
      </c>
      <c r="AJ1005">
        <v>0</v>
      </c>
      <c r="AK1005">
        <v>1</v>
      </c>
      <c r="AL1005">
        <v>1</v>
      </c>
      <c r="AM1005">
        <v>0</v>
      </c>
      <c r="AN1005">
        <v>0</v>
      </c>
      <c r="AO1005">
        <v>1</v>
      </c>
      <c r="AP1005">
        <v>1</v>
      </c>
      <c r="AQ1005">
        <v>1</v>
      </c>
      <c r="AR1005">
        <v>1</v>
      </c>
      <c r="AS1005">
        <v>1</v>
      </c>
      <c r="AT1005">
        <v>0</v>
      </c>
      <c r="AV1005">
        <v>1</v>
      </c>
      <c r="AW1005">
        <v>1</v>
      </c>
    </row>
    <row r="1006" spans="1:49" x14ac:dyDescent="0.25">
      <c r="A1006" t="str">
        <f>"1002"</f>
        <v>1002</v>
      </c>
      <c r="B1006" t="str">
        <f t="shared" si="56"/>
        <v>1</v>
      </c>
      <c r="C1006" t="str">
        <f t="shared" si="57"/>
        <v>44</v>
      </c>
      <c r="D1006" t="str">
        <f>"11"</f>
        <v>11</v>
      </c>
      <c r="E1006" t="str">
        <f>"1-44-11"</f>
        <v>1-44-11</v>
      </c>
      <c r="F1006" t="s">
        <v>83</v>
      </c>
      <c r="G1006" t="s">
        <v>84</v>
      </c>
      <c r="H1006" t="s">
        <v>85</v>
      </c>
      <c r="AC1006">
        <v>0</v>
      </c>
      <c r="AD1006">
        <v>1</v>
      </c>
      <c r="AE1006">
        <v>0</v>
      </c>
      <c r="AF1006">
        <v>0</v>
      </c>
      <c r="AG1006">
        <v>0</v>
      </c>
      <c r="AJ1006">
        <v>1</v>
      </c>
      <c r="AK1006">
        <v>0</v>
      </c>
      <c r="AL1006">
        <v>0</v>
      </c>
      <c r="AM1006">
        <v>1</v>
      </c>
      <c r="AN1006">
        <v>0</v>
      </c>
      <c r="AO1006">
        <v>1</v>
      </c>
      <c r="AP1006">
        <v>1</v>
      </c>
      <c r="AQ1006">
        <v>1</v>
      </c>
      <c r="AR1006">
        <v>1</v>
      </c>
      <c r="AS1006">
        <v>1</v>
      </c>
      <c r="AT1006">
        <v>0</v>
      </c>
      <c r="AV1006">
        <v>1</v>
      </c>
      <c r="AW1006">
        <v>1</v>
      </c>
    </row>
    <row r="1007" spans="1:49" x14ac:dyDescent="0.25">
      <c r="A1007" t="str">
        <f>"1003"</f>
        <v>1003</v>
      </c>
      <c r="B1007" t="str">
        <f t="shared" si="56"/>
        <v>1</v>
      </c>
      <c r="C1007" t="str">
        <f t="shared" si="57"/>
        <v>44</v>
      </c>
      <c r="D1007" t="str">
        <f>"6"</f>
        <v>6</v>
      </c>
      <c r="E1007" t="str">
        <f>"1-44-6"</f>
        <v>1-44-6</v>
      </c>
      <c r="F1007" t="s">
        <v>83</v>
      </c>
      <c r="G1007" t="s">
        <v>84</v>
      </c>
      <c r="H1007" t="s">
        <v>92</v>
      </c>
      <c r="I1007">
        <v>1</v>
      </c>
      <c r="J1007">
        <v>1</v>
      </c>
      <c r="N1007">
        <v>1</v>
      </c>
      <c r="O1007">
        <v>1</v>
      </c>
      <c r="P1007">
        <v>1</v>
      </c>
      <c r="Q1007">
        <v>1</v>
      </c>
      <c r="R1007">
        <v>1</v>
      </c>
      <c r="S1007">
        <v>1</v>
      </c>
      <c r="T1007">
        <v>1</v>
      </c>
      <c r="W1007">
        <v>1</v>
      </c>
      <c r="X1007">
        <v>1</v>
      </c>
      <c r="Y1007">
        <v>1</v>
      </c>
      <c r="Z1007">
        <v>1</v>
      </c>
      <c r="AA1007">
        <v>1</v>
      </c>
      <c r="AB1007">
        <v>1</v>
      </c>
    </row>
    <row r="1008" spans="1:49" x14ac:dyDescent="0.25">
      <c r="A1008" t="str">
        <f>"1004"</f>
        <v>1004</v>
      </c>
      <c r="B1008" t="str">
        <f t="shared" si="56"/>
        <v>1</v>
      </c>
      <c r="C1008" t="str">
        <f t="shared" si="57"/>
        <v>44</v>
      </c>
      <c r="D1008" t="str">
        <f>"21"</f>
        <v>21</v>
      </c>
      <c r="E1008" t="str">
        <f>"1-44-21"</f>
        <v>1-44-21</v>
      </c>
      <c r="F1008" t="s">
        <v>83</v>
      </c>
      <c r="G1008" t="s">
        <v>84</v>
      </c>
      <c r="H1008" t="s">
        <v>92</v>
      </c>
      <c r="I1008">
        <v>1</v>
      </c>
      <c r="J1008">
        <v>1</v>
      </c>
      <c r="N1008">
        <v>1</v>
      </c>
      <c r="O1008">
        <v>1</v>
      </c>
      <c r="P1008">
        <v>1</v>
      </c>
      <c r="Q1008">
        <v>1</v>
      </c>
      <c r="R1008">
        <v>1</v>
      </c>
      <c r="S1008">
        <v>1</v>
      </c>
      <c r="T1008">
        <v>1</v>
      </c>
      <c r="W1008">
        <v>1</v>
      </c>
      <c r="X1008">
        <v>1</v>
      </c>
      <c r="Y1008">
        <v>1</v>
      </c>
      <c r="Z1008">
        <v>1</v>
      </c>
      <c r="AA1008">
        <v>1</v>
      </c>
      <c r="AB1008">
        <v>1</v>
      </c>
    </row>
    <row r="1009" spans="1:49" x14ac:dyDescent="0.25">
      <c r="A1009" t="str">
        <f>"1005"</f>
        <v>1005</v>
      </c>
      <c r="B1009" t="str">
        <f t="shared" si="56"/>
        <v>1</v>
      </c>
      <c r="C1009" t="str">
        <f t="shared" si="57"/>
        <v>44</v>
      </c>
      <c r="D1009" t="str">
        <f>"12"</f>
        <v>12</v>
      </c>
      <c r="E1009" t="str">
        <f>"1-44-12"</f>
        <v>1-44-12</v>
      </c>
      <c r="F1009" t="s">
        <v>83</v>
      </c>
      <c r="G1009" t="s">
        <v>88</v>
      </c>
      <c r="H1009" t="s">
        <v>89</v>
      </c>
      <c r="AC1009">
        <v>0</v>
      </c>
      <c r="AD1009">
        <v>1</v>
      </c>
      <c r="AE1009">
        <v>0</v>
      </c>
      <c r="AF1009">
        <v>0</v>
      </c>
      <c r="AH1009">
        <v>0</v>
      </c>
      <c r="AI1009">
        <v>1</v>
      </c>
      <c r="AJ1009">
        <v>0</v>
      </c>
      <c r="AK1009">
        <v>1</v>
      </c>
      <c r="AL1009">
        <v>0</v>
      </c>
      <c r="AM1009">
        <v>0</v>
      </c>
      <c r="AN1009">
        <v>1</v>
      </c>
      <c r="AO1009">
        <v>0</v>
      </c>
      <c r="AP1009">
        <v>0</v>
      </c>
      <c r="AQ1009">
        <v>0</v>
      </c>
      <c r="AR1009">
        <v>0</v>
      </c>
      <c r="AS1009">
        <v>0</v>
      </c>
      <c r="AT1009">
        <v>1</v>
      </c>
      <c r="AV1009">
        <v>0</v>
      </c>
      <c r="AW1009">
        <v>0</v>
      </c>
    </row>
    <row r="1010" spans="1:49" x14ac:dyDescent="0.25">
      <c r="A1010" t="str">
        <f>"1006"</f>
        <v>1006</v>
      </c>
      <c r="B1010" t="str">
        <f t="shared" si="56"/>
        <v>1</v>
      </c>
      <c r="C1010" t="str">
        <f t="shared" si="57"/>
        <v>44</v>
      </c>
      <c r="D1010" t="str">
        <f>"2"</f>
        <v>2</v>
      </c>
      <c r="E1010" t="str">
        <f>"1-44-2"</f>
        <v>1-44-2</v>
      </c>
      <c r="F1010" t="s">
        <v>83</v>
      </c>
      <c r="G1010" t="s">
        <v>84</v>
      </c>
      <c r="H1010" t="s">
        <v>85</v>
      </c>
      <c r="AC1010">
        <v>0</v>
      </c>
      <c r="AD1010">
        <v>1</v>
      </c>
      <c r="AE1010">
        <v>0</v>
      </c>
      <c r="AF1010">
        <v>0</v>
      </c>
      <c r="AG1010">
        <v>1</v>
      </c>
      <c r="AJ1010">
        <v>1</v>
      </c>
      <c r="AK1010">
        <v>0</v>
      </c>
      <c r="AL1010">
        <v>1</v>
      </c>
      <c r="AM1010">
        <v>0</v>
      </c>
      <c r="AN1010">
        <v>0</v>
      </c>
      <c r="AO1010">
        <v>1</v>
      </c>
      <c r="AP1010">
        <v>1</v>
      </c>
      <c r="AQ1010">
        <v>0</v>
      </c>
      <c r="AR1010">
        <v>1</v>
      </c>
      <c r="AS1010">
        <v>0</v>
      </c>
      <c r="AT1010">
        <v>1</v>
      </c>
      <c r="AV1010">
        <v>1</v>
      </c>
      <c r="AW1010">
        <v>1</v>
      </c>
    </row>
    <row r="1011" spans="1:49" x14ac:dyDescent="0.25">
      <c r="A1011" t="str">
        <f>"1007"</f>
        <v>1007</v>
      </c>
      <c r="B1011" t="str">
        <f t="shared" si="56"/>
        <v>1</v>
      </c>
      <c r="C1011" t="str">
        <f t="shared" si="57"/>
        <v>44</v>
      </c>
      <c r="D1011" t="str">
        <f>"22"</f>
        <v>22</v>
      </c>
      <c r="E1011" t="str">
        <f>"1-44-22"</f>
        <v>1-44-22</v>
      </c>
      <c r="F1011" t="s">
        <v>83</v>
      </c>
      <c r="G1011" t="s">
        <v>84</v>
      </c>
      <c r="H1011" t="s">
        <v>92</v>
      </c>
      <c r="I1011">
        <v>1</v>
      </c>
      <c r="J1011">
        <v>1</v>
      </c>
      <c r="N1011">
        <v>1</v>
      </c>
      <c r="O1011">
        <v>1</v>
      </c>
      <c r="P1011">
        <v>1</v>
      </c>
      <c r="Q1011">
        <v>1</v>
      </c>
      <c r="R1011">
        <v>1</v>
      </c>
      <c r="S1011">
        <v>1</v>
      </c>
      <c r="T1011">
        <v>1</v>
      </c>
      <c r="W1011">
        <v>1</v>
      </c>
      <c r="X1011">
        <v>1</v>
      </c>
      <c r="Y1011">
        <v>1</v>
      </c>
      <c r="Z1011">
        <v>1</v>
      </c>
      <c r="AA1011">
        <v>1</v>
      </c>
      <c r="AB1011">
        <v>1</v>
      </c>
    </row>
    <row r="1012" spans="1:49" x14ac:dyDescent="0.25">
      <c r="A1012" t="str">
        <f>"1008"</f>
        <v>1008</v>
      </c>
      <c r="B1012" t="str">
        <f t="shared" si="56"/>
        <v>1</v>
      </c>
      <c r="C1012" t="str">
        <f t="shared" si="57"/>
        <v>44</v>
      </c>
      <c r="D1012" t="str">
        <f>"13"</f>
        <v>13</v>
      </c>
      <c r="E1012" t="str">
        <f>"1-44-13"</f>
        <v>1-44-13</v>
      </c>
      <c r="F1012" t="s">
        <v>83</v>
      </c>
      <c r="G1012" t="s">
        <v>84</v>
      </c>
      <c r="H1012" t="s">
        <v>92</v>
      </c>
      <c r="I1012">
        <v>1</v>
      </c>
      <c r="J1012">
        <v>1</v>
      </c>
      <c r="N1012">
        <v>1</v>
      </c>
      <c r="O1012">
        <v>1</v>
      </c>
      <c r="P1012">
        <v>1</v>
      </c>
      <c r="Q1012">
        <v>1</v>
      </c>
      <c r="R1012">
        <v>1</v>
      </c>
      <c r="S1012">
        <v>1</v>
      </c>
      <c r="T1012">
        <v>1</v>
      </c>
      <c r="W1012">
        <v>1</v>
      </c>
      <c r="X1012">
        <v>1</v>
      </c>
      <c r="Y1012">
        <v>1</v>
      </c>
      <c r="Z1012">
        <v>1</v>
      </c>
      <c r="AA1012">
        <v>1</v>
      </c>
      <c r="AB1012">
        <v>1</v>
      </c>
    </row>
    <row r="1013" spans="1:49" x14ac:dyDescent="0.25">
      <c r="A1013" t="str">
        <f>"1009"</f>
        <v>1009</v>
      </c>
      <c r="B1013" t="str">
        <f t="shared" si="56"/>
        <v>1</v>
      </c>
      <c r="C1013" t="str">
        <f t="shared" si="57"/>
        <v>44</v>
      </c>
      <c r="D1013" t="str">
        <f>"5"</f>
        <v>5</v>
      </c>
      <c r="E1013" t="str">
        <f>"1-44-5"</f>
        <v>1-44-5</v>
      </c>
      <c r="F1013" t="s">
        <v>83</v>
      </c>
      <c r="G1013" t="s">
        <v>84</v>
      </c>
      <c r="H1013" t="s">
        <v>85</v>
      </c>
      <c r="AC1013">
        <v>0</v>
      </c>
      <c r="AD1013">
        <v>1</v>
      </c>
      <c r="AE1013">
        <v>0</v>
      </c>
      <c r="AF1013">
        <v>0</v>
      </c>
      <c r="AG1013">
        <v>1</v>
      </c>
      <c r="AJ1013">
        <v>1</v>
      </c>
      <c r="AK1013">
        <v>0</v>
      </c>
      <c r="AL1013">
        <v>0</v>
      </c>
      <c r="AM1013">
        <v>1</v>
      </c>
      <c r="AN1013">
        <v>0</v>
      </c>
      <c r="AO1013">
        <v>1</v>
      </c>
      <c r="AP1013">
        <v>1</v>
      </c>
      <c r="AQ1013">
        <v>1</v>
      </c>
      <c r="AR1013">
        <v>1</v>
      </c>
      <c r="AS1013">
        <v>1</v>
      </c>
      <c r="AT1013">
        <v>0</v>
      </c>
      <c r="AV1013">
        <v>1</v>
      </c>
      <c r="AW1013">
        <v>1</v>
      </c>
    </row>
    <row r="1014" spans="1:49" x14ac:dyDescent="0.25">
      <c r="A1014" t="str">
        <f>"1010"</f>
        <v>1010</v>
      </c>
      <c r="B1014" t="str">
        <f t="shared" si="56"/>
        <v>1</v>
      </c>
      <c r="C1014" t="str">
        <f t="shared" si="57"/>
        <v>44</v>
      </c>
      <c r="D1014" t="str">
        <f>"23"</f>
        <v>23</v>
      </c>
      <c r="E1014" t="str">
        <f>"1-44-23"</f>
        <v>1-44-23</v>
      </c>
      <c r="F1014" t="s">
        <v>83</v>
      </c>
      <c r="G1014" t="s">
        <v>84</v>
      </c>
      <c r="H1014" t="s">
        <v>85</v>
      </c>
      <c r="AC1014">
        <v>0</v>
      </c>
      <c r="AD1014">
        <v>1</v>
      </c>
      <c r="AE1014">
        <v>0</v>
      </c>
      <c r="AF1014">
        <v>0</v>
      </c>
      <c r="AG1014">
        <v>0</v>
      </c>
      <c r="AJ1014">
        <v>0</v>
      </c>
      <c r="AK1014">
        <v>1</v>
      </c>
      <c r="AL1014">
        <v>0</v>
      </c>
      <c r="AM1014">
        <v>0</v>
      </c>
      <c r="AN1014">
        <v>1</v>
      </c>
      <c r="AO1014">
        <v>0</v>
      </c>
      <c r="AP1014">
        <v>0</v>
      </c>
      <c r="AQ1014">
        <v>0</v>
      </c>
      <c r="AR1014">
        <v>0</v>
      </c>
      <c r="AS1014">
        <v>0</v>
      </c>
      <c r="AT1014">
        <v>1</v>
      </c>
      <c r="AV1014">
        <v>0</v>
      </c>
      <c r="AW1014">
        <v>0</v>
      </c>
    </row>
    <row r="1015" spans="1:49" x14ac:dyDescent="0.25">
      <c r="A1015" t="str">
        <f>"1011"</f>
        <v>1011</v>
      </c>
      <c r="B1015" t="str">
        <f t="shared" si="56"/>
        <v>1</v>
      </c>
      <c r="C1015" t="str">
        <f t="shared" si="57"/>
        <v>44</v>
      </c>
      <c r="D1015" t="str">
        <f>"14"</f>
        <v>14</v>
      </c>
      <c r="E1015" t="str">
        <f>"1-44-14"</f>
        <v>1-44-14</v>
      </c>
      <c r="F1015" t="s">
        <v>83</v>
      </c>
      <c r="G1015" t="s">
        <v>84</v>
      </c>
      <c r="H1015" t="s">
        <v>92</v>
      </c>
      <c r="I1015">
        <v>1</v>
      </c>
      <c r="J1015">
        <v>1</v>
      </c>
      <c r="N1015">
        <v>1</v>
      </c>
      <c r="O1015">
        <v>1</v>
      </c>
      <c r="P1015">
        <v>1</v>
      </c>
      <c r="Q1015">
        <v>1</v>
      </c>
      <c r="R1015">
        <v>1</v>
      </c>
      <c r="S1015">
        <v>1</v>
      </c>
      <c r="T1015">
        <v>1</v>
      </c>
      <c r="W1015">
        <v>1</v>
      </c>
      <c r="X1015">
        <v>1</v>
      </c>
      <c r="Y1015">
        <v>1</v>
      </c>
      <c r="Z1015">
        <v>1</v>
      </c>
      <c r="AA1015">
        <v>1</v>
      </c>
      <c r="AB1015">
        <v>1</v>
      </c>
    </row>
    <row r="1016" spans="1:49" x14ac:dyDescent="0.25">
      <c r="A1016" t="str">
        <f>"1012"</f>
        <v>1012</v>
      </c>
      <c r="B1016" t="str">
        <f t="shared" si="56"/>
        <v>1</v>
      </c>
      <c r="C1016" t="str">
        <f t="shared" si="57"/>
        <v>44</v>
      </c>
      <c r="D1016" t="str">
        <f>"4"</f>
        <v>4</v>
      </c>
      <c r="E1016" t="str">
        <f>"1-44-4"</f>
        <v>1-44-4</v>
      </c>
      <c r="F1016" t="s">
        <v>83</v>
      </c>
      <c r="G1016" t="s">
        <v>84</v>
      </c>
      <c r="H1016" t="s">
        <v>85</v>
      </c>
      <c r="AC1016">
        <v>0</v>
      </c>
      <c r="AD1016">
        <v>1</v>
      </c>
      <c r="AE1016">
        <v>0</v>
      </c>
      <c r="AF1016">
        <v>0</v>
      </c>
      <c r="AG1016">
        <v>0</v>
      </c>
      <c r="AJ1016">
        <v>0</v>
      </c>
      <c r="AK1016">
        <v>1</v>
      </c>
      <c r="AL1016">
        <v>0</v>
      </c>
      <c r="AM1016">
        <v>0</v>
      </c>
      <c r="AN1016">
        <v>1</v>
      </c>
      <c r="AO1016">
        <v>0</v>
      </c>
      <c r="AP1016">
        <v>0</v>
      </c>
      <c r="AQ1016">
        <v>0</v>
      </c>
      <c r="AR1016">
        <v>0</v>
      </c>
      <c r="AS1016">
        <v>0</v>
      </c>
      <c r="AT1016">
        <v>1</v>
      </c>
      <c r="AV1016">
        <v>0</v>
      </c>
      <c r="AW1016">
        <v>0</v>
      </c>
    </row>
    <row r="1017" spans="1:49" x14ac:dyDescent="0.25">
      <c r="A1017" t="str">
        <f>"1013"</f>
        <v>1013</v>
      </c>
      <c r="B1017" t="str">
        <f t="shared" si="56"/>
        <v>1</v>
      </c>
      <c r="C1017" t="str">
        <f t="shared" ref="C1017:C1040" si="58">"45"</f>
        <v>45</v>
      </c>
      <c r="D1017" t="str">
        <f>"19"</f>
        <v>19</v>
      </c>
      <c r="E1017" t="str">
        <f>"1-45-19"</f>
        <v>1-45-19</v>
      </c>
      <c r="F1017" t="s">
        <v>83</v>
      </c>
      <c r="G1017" t="s">
        <v>84</v>
      </c>
      <c r="H1017" t="s">
        <v>85</v>
      </c>
      <c r="AC1017">
        <v>0</v>
      </c>
      <c r="AD1017">
        <v>1</v>
      </c>
      <c r="AE1017">
        <v>0</v>
      </c>
      <c r="AF1017">
        <v>0</v>
      </c>
      <c r="AG1017">
        <v>0</v>
      </c>
      <c r="AJ1017">
        <v>0</v>
      </c>
      <c r="AK1017">
        <v>0</v>
      </c>
      <c r="AL1017">
        <v>0</v>
      </c>
      <c r="AM1017">
        <v>0</v>
      </c>
      <c r="AN1017">
        <v>1</v>
      </c>
      <c r="AO1017">
        <v>0</v>
      </c>
      <c r="AP1017">
        <v>0</v>
      </c>
      <c r="AQ1017">
        <v>0</v>
      </c>
      <c r="AR1017">
        <v>0</v>
      </c>
      <c r="AS1017">
        <v>0</v>
      </c>
      <c r="AT1017">
        <v>1</v>
      </c>
      <c r="AV1017">
        <v>0</v>
      </c>
      <c r="AW1017">
        <v>1</v>
      </c>
    </row>
    <row r="1018" spans="1:49" x14ac:dyDescent="0.25">
      <c r="A1018" t="str">
        <f>"1014"</f>
        <v>1014</v>
      </c>
      <c r="B1018" t="str">
        <f t="shared" si="56"/>
        <v>1</v>
      </c>
      <c r="C1018" t="str">
        <f t="shared" si="58"/>
        <v>45</v>
      </c>
      <c r="D1018" t="str">
        <f>"18"</f>
        <v>18</v>
      </c>
      <c r="E1018" t="str">
        <f>"1-45-18"</f>
        <v>1-45-18</v>
      </c>
      <c r="F1018" t="s">
        <v>83</v>
      </c>
      <c r="G1018" t="s">
        <v>84</v>
      </c>
      <c r="H1018" t="s">
        <v>92</v>
      </c>
      <c r="I1018">
        <v>1</v>
      </c>
      <c r="J1018">
        <v>1</v>
      </c>
      <c r="N1018">
        <v>1</v>
      </c>
      <c r="O1018">
        <v>1</v>
      </c>
      <c r="P1018">
        <v>1</v>
      </c>
      <c r="Q1018">
        <v>1</v>
      </c>
      <c r="R1018">
        <v>1</v>
      </c>
      <c r="S1018">
        <v>1</v>
      </c>
      <c r="T1018">
        <v>1</v>
      </c>
      <c r="W1018">
        <v>1</v>
      </c>
      <c r="X1018">
        <v>1</v>
      </c>
      <c r="Y1018">
        <v>1</v>
      </c>
      <c r="Z1018">
        <v>0</v>
      </c>
      <c r="AA1018">
        <v>0</v>
      </c>
      <c r="AB1018">
        <v>0</v>
      </c>
    </row>
    <row r="1019" spans="1:49" x14ac:dyDescent="0.25">
      <c r="A1019" t="str">
        <f>"1015"</f>
        <v>1015</v>
      </c>
      <c r="B1019" t="str">
        <f t="shared" si="56"/>
        <v>1</v>
      </c>
      <c r="C1019" t="str">
        <f t="shared" si="58"/>
        <v>45</v>
      </c>
      <c r="D1019" t="str">
        <f>"15"</f>
        <v>15</v>
      </c>
      <c r="E1019" t="str">
        <f>"1-45-15"</f>
        <v>1-45-15</v>
      </c>
      <c r="F1019" t="s">
        <v>83</v>
      </c>
      <c r="G1019" t="s">
        <v>84</v>
      </c>
      <c r="H1019" t="s">
        <v>92</v>
      </c>
      <c r="I1019">
        <v>1</v>
      </c>
      <c r="J1019">
        <v>1</v>
      </c>
      <c r="N1019">
        <v>1</v>
      </c>
      <c r="O1019">
        <v>1</v>
      </c>
      <c r="P1019">
        <v>1</v>
      </c>
      <c r="Q1019">
        <v>1</v>
      </c>
      <c r="R1019">
        <v>1</v>
      </c>
      <c r="S1019">
        <v>1</v>
      </c>
      <c r="T1019">
        <v>1</v>
      </c>
      <c r="W1019">
        <v>1</v>
      </c>
      <c r="X1019">
        <v>1</v>
      </c>
      <c r="Y1019">
        <v>1</v>
      </c>
      <c r="Z1019">
        <v>1</v>
      </c>
      <c r="AA1019">
        <v>1</v>
      </c>
      <c r="AB1019">
        <v>1</v>
      </c>
    </row>
    <row r="1020" spans="1:49" x14ac:dyDescent="0.25">
      <c r="A1020" t="str">
        <f>"1016"</f>
        <v>1016</v>
      </c>
      <c r="B1020" t="str">
        <f t="shared" si="56"/>
        <v>1</v>
      </c>
      <c r="C1020" t="str">
        <f t="shared" si="58"/>
        <v>45</v>
      </c>
      <c r="D1020" t="str">
        <f>"14"</f>
        <v>14</v>
      </c>
      <c r="E1020" t="str">
        <f>"1-45-14"</f>
        <v>1-45-14</v>
      </c>
      <c r="F1020" t="s">
        <v>83</v>
      </c>
      <c r="G1020" t="s">
        <v>84</v>
      </c>
      <c r="H1020" t="s">
        <v>85</v>
      </c>
      <c r="AC1020">
        <v>0</v>
      </c>
      <c r="AD1020">
        <v>1</v>
      </c>
      <c r="AE1020">
        <v>0</v>
      </c>
      <c r="AF1020">
        <v>0</v>
      </c>
      <c r="AG1020">
        <v>1</v>
      </c>
      <c r="AJ1020">
        <v>0</v>
      </c>
      <c r="AK1020">
        <v>1</v>
      </c>
      <c r="AL1020">
        <v>0</v>
      </c>
      <c r="AM1020">
        <v>0</v>
      </c>
      <c r="AN1020">
        <v>1</v>
      </c>
      <c r="AO1020">
        <v>1</v>
      </c>
      <c r="AP1020">
        <v>1</v>
      </c>
      <c r="AQ1020">
        <v>1</v>
      </c>
      <c r="AR1020">
        <v>1</v>
      </c>
      <c r="AS1020">
        <v>1</v>
      </c>
      <c r="AT1020">
        <v>0</v>
      </c>
      <c r="AV1020">
        <v>1</v>
      </c>
      <c r="AW1020">
        <v>1</v>
      </c>
    </row>
    <row r="1021" spans="1:49" x14ac:dyDescent="0.25">
      <c r="A1021" t="str">
        <f>"1017"</f>
        <v>1017</v>
      </c>
      <c r="B1021" t="str">
        <f t="shared" si="56"/>
        <v>1</v>
      </c>
      <c r="C1021" t="str">
        <f t="shared" si="58"/>
        <v>45</v>
      </c>
      <c r="D1021" t="str">
        <f>"9"</f>
        <v>9</v>
      </c>
      <c r="E1021" t="str">
        <f>"1-45-9"</f>
        <v>1-45-9</v>
      </c>
      <c r="F1021" t="s">
        <v>83</v>
      </c>
      <c r="G1021" t="s">
        <v>84</v>
      </c>
      <c r="H1021" t="s">
        <v>92</v>
      </c>
      <c r="I1021">
        <v>1</v>
      </c>
      <c r="J1021">
        <v>1</v>
      </c>
      <c r="N1021">
        <v>1</v>
      </c>
      <c r="O1021">
        <v>1</v>
      </c>
      <c r="P1021">
        <v>1</v>
      </c>
      <c r="Q1021">
        <v>1</v>
      </c>
      <c r="R1021">
        <v>1</v>
      </c>
      <c r="S1021">
        <v>1</v>
      </c>
      <c r="T1021">
        <v>1</v>
      </c>
      <c r="W1021">
        <v>1</v>
      </c>
      <c r="X1021">
        <v>1</v>
      </c>
      <c r="Y1021">
        <v>1</v>
      </c>
      <c r="Z1021">
        <v>1</v>
      </c>
      <c r="AA1021">
        <v>1</v>
      </c>
      <c r="AB1021">
        <v>1</v>
      </c>
    </row>
    <row r="1022" spans="1:49" x14ac:dyDescent="0.25">
      <c r="A1022" t="str">
        <f>"1018"</f>
        <v>1018</v>
      </c>
      <c r="B1022" t="str">
        <f t="shared" si="56"/>
        <v>1</v>
      </c>
      <c r="C1022" t="str">
        <f t="shared" si="58"/>
        <v>45</v>
      </c>
      <c r="D1022" t="str">
        <f>"8"</f>
        <v>8</v>
      </c>
      <c r="E1022" t="str">
        <f>"1-45-8"</f>
        <v>1-45-8</v>
      </c>
      <c r="F1022" t="s">
        <v>83</v>
      </c>
      <c r="G1022" t="s">
        <v>84</v>
      </c>
      <c r="H1022" t="s">
        <v>92</v>
      </c>
      <c r="I1022">
        <v>1</v>
      </c>
      <c r="J1022">
        <v>1</v>
      </c>
      <c r="N1022">
        <v>1</v>
      </c>
      <c r="O1022">
        <v>1</v>
      </c>
      <c r="P1022">
        <v>1</v>
      </c>
      <c r="Q1022">
        <v>1</v>
      </c>
      <c r="R1022">
        <v>1</v>
      </c>
      <c r="S1022">
        <v>1</v>
      </c>
      <c r="T1022">
        <v>1</v>
      </c>
      <c r="W1022">
        <v>1</v>
      </c>
      <c r="X1022">
        <v>1</v>
      </c>
      <c r="Y1022">
        <v>1</v>
      </c>
      <c r="Z1022">
        <v>1</v>
      </c>
      <c r="AA1022">
        <v>1</v>
      </c>
      <c r="AB1022">
        <v>1</v>
      </c>
    </row>
    <row r="1023" spans="1:49" x14ac:dyDescent="0.25">
      <c r="A1023" t="str">
        <f>"1019"</f>
        <v>1019</v>
      </c>
      <c r="B1023" t="str">
        <f t="shared" si="56"/>
        <v>1</v>
      </c>
      <c r="C1023" t="str">
        <f t="shared" si="58"/>
        <v>45</v>
      </c>
      <c r="D1023" t="str">
        <f>"1"</f>
        <v>1</v>
      </c>
      <c r="E1023" t="str">
        <f>"1-45-1"</f>
        <v>1-45-1</v>
      </c>
      <c r="F1023" t="s">
        <v>83</v>
      </c>
      <c r="G1023" t="s">
        <v>84</v>
      </c>
      <c r="H1023" t="s">
        <v>85</v>
      </c>
      <c r="AC1023">
        <v>0</v>
      </c>
      <c r="AD1023">
        <v>1</v>
      </c>
      <c r="AE1023">
        <v>0</v>
      </c>
      <c r="AF1023">
        <v>0</v>
      </c>
      <c r="AG1023">
        <v>1</v>
      </c>
      <c r="AJ1023">
        <v>1</v>
      </c>
      <c r="AK1023">
        <v>0</v>
      </c>
      <c r="AL1023">
        <v>0</v>
      </c>
      <c r="AM1023">
        <v>1</v>
      </c>
      <c r="AN1023">
        <v>0</v>
      </c>
      <c r="AO1023">
        <v>1</v>
      </c>
      <c r="AP1023">
        <v>1</v>
      </c>
      <c r="AQ1023">
        <v>1</v>
      </c>
      <c r="AR1023">
        <v>1</v>
      </c>
      <c r="AS1023">
        <v>0</v>
      </c>
      <c r="AT1023">
        <v>1</v>
      </c>
      <c r="AV1023">
        <v>1</v>
      </c>
      <c r="AW1023">
        <v>1</v>
      </c>
    </row>
    <row r="1024" spans="1:49" x14ac:dyDescent="0.25">
      <c r="A1024" t="str">
        <f>"1020"</f>
        <v>1020</v>
      </c>
      <c r="B1024" t="str">
        <f t="shared" si="56"/>
        <v>1</v>
      </c>
      <c r="C1024" t="str">
        <f t="shared" si="58"/>
        <v>45</v>
      </c>
      <c r="D1024" t="str">
        <f>"21"</f>
        <v>21</v>
      </c>
      <c r="E1024" t="str">
        <f>"1-45-21"</f>
        <v>1-45-21</v>
      </c>
      <c r="F1024" t="s">
        <v>83</v>
      </c>
      <c r="G1024" t="s">
        <v>84</v>
      </c>
      <c r="H1024" t="s">
        <v>92</v>
      </c>
      <c r="I1024">
        <v>1</v>
      </c>
      <c r="J1024">
        <v>0</v>
      </c>
      <c r="N1024">
        <v>1</v>
      </c>
      <c r="O1024">
        <v>1</v>
      </c>
      <c r="P1024">
        <v>0</v>
      </c>
      <c r="Q1024">
        <v>0</v>
      </c>
      <c r="R1024">
        <v>0</v>
      </c>
      <c r="S1024">
        <v>0</v>
      </c>
      <c r="T1024">
        <v>0</v>
      </c>
      <c r="W1024">
        <v>0</v>
      </c>
      <c r="X1024">
        <v>1</v>
      </c>
      <c r="Y1024">
        <v>0</v>
      </c>
      <c r="Z1024">
        <v>0</v>
      </c>
      <c r="AA1024">
        <v>0</v>
      </c>
      <c r="AB1024">
        <v>0</v>
      </c>
    </row>
    <row r="1025" spans="1:49" x14ac:dyDescent="0.25">
      <c r="A1025" t="str">
        <f>"1021"</f>
        <v>1021</v>
      </c>
      <c r="B1025" t="str">
        <f t="shared" si="56"/>
        <v>1</v>
      </c>
      <c r="C1025" t="str">
        <f t="shared" si="58"/>
        <v>45</v>
      </c>
      <c r="D1025" t="str">
        <f>"10"</f>
        <v>10</v>
      </c>
      <c r="E1025" t="str">
        <f>"1-45-10"</f>
        <v>1-45-10</v>
      </c>
      <c r="F1025" t="s">
        <v>83</v>
      </c>
      <c r="G1025" t="s">
        <v>84</v>
      </c>
      <c r="H1025" t="s">
        <v>92</v>
      </c>
      <c r="I1025">
        <v>1</v>
      </c>
      <c r="J1025">
        <v>1</v>
      </c>
      <c r="N1025">
        <v>1</v>
      </c>
      <c r="O1025">
        <v>1</v>
      </c>
      <c r="P1025">
        <v>1</v>
      </c>
      <c r="Q1025">
        <v>1</v>
      </c>
      <c r="R1025">
        <v>1</v>
      </c>
      <c r="S1025">
        <v>1</v>
      </c>
      <c r="T1025">
        <v>1</v>
      </c>
      <c r="W1025">
        <v>1</v>
      </c>
      <c r="X1025">
        <v>1</v>
      </c>
      <c r="Y1025">
        <v>1</v>
      </c>
      <c r="Z1025">
        <v>1</v>
      </c>
      <c r="AA1025">
        <v>1</v>
      </c>
      <c r="AB1025">
        <v>1</v>
      </c>
    </row>
    <row r="1026" spans="1:49" x14ac:dyDescent="0.25">
      <c r="A1026" t="str">
        <f>"1022"</f>
        <v>1022</v>
      </c>
      <c r="B1026" t="str">
        <f t="shared" si="56"/>
        <v>1</v>
      </c>
      <c r="C1026" t="str">
        <f t="shared" si="58"/>
        <v>45</v>
      </c>
      <c r="D1026" t="str">
        <f>"4"</f>
        <v>4</v>
      </c>
      <c r="E1026" t="str">
        <f>"1-45-4"</f>
        <v>1-45-4</v>
      </c>
      <c r="F1026" t="s">
        <v>83</v>
      </c>
      <c r="G1026" t="s">
        <v>84</v>
      </c>
      <c r="H1026" t="s">
        <v>92</v>
      </c>
      <c r="I1026">
        <v>1</v>
      </c>
      <c r="J1026">
        <v>1</v>
      </c>
      <c r="N1026">
        <v>1</v>
      </c>
      <c r="O1026">
        <v>1</v>
      </c>
      <c r="P1026">
        <v>1</v>
      </c>
      <c r="Q1026">
        <v>1</v>
      </c>
      <c r="R1026">
        <v>1</v>
      </c>
      <c r="S1026">
        <v>1</v>
      </c>
      <c r="T1026">
        <v>1</v>
      </c>
      <c r="W1026">
        <v>1</v>
      </c>
      <c r="X1026">
        <v>1</v>
      </c>
      <c r="Y1026">
        <v>1</v>
      </c>
      <c r="Z1026">
        <v>1</v>
      </c>
      <c r="AA1026">
        <v>1</v>
      </c>
      <c r="AB1026">
        <v>1</v>
      </c>
    </row>
    <row r="1027" spans="1:49" x14ac:dyDescent="0.25">
      <c r="A1027" t="str">
        <f>"1023"</f>
        <v>1023</v>
      </c>
      <c r="B1027" t="str">
        <f t="shared" si="56"/>
        <v>1</v>
      </c>
      <c r="C1027" t="str">
        <f t="shared" si="58"/>
        <v>45</v>
      </c>
      <c r="D1027" t="str">
        <f>"20"</f>
        <v>20</v>
      </c>
      <c r="E1027" t="str">
        <f>"1-45-20"</f>
        <v>1-45-20</v>
      </c>
      <c r="F1027" t="s">
        <v>83</v>
      </c>
      <c r="G1027" t="s">
        <v>84</v>
      </c>
      <c r="H1027" t="s">
        <v>85</v>
      </c>
      <c r="AC1027">
        <v>0</v>
      </c>
      <c r="AD1027">
        <v>1</v>
      </c>
      <c r="AE1027">
        <v>0</v>
      </c>
      <c r="AF1027">
        <v>0</v>
      </c>
      <c r="AG1027">
        <v>0</v>
      </c>
      <c r="AJ1027">
        <v>0</v>
      </c>
      <c r="AK1027">
        <v>1</v>
      </c>
      <c r="AL1027">
        <v>0</v>
      </c>
      <c r="AM1027">
        <v>0</v>
      </c>
      <c r="AN1027">
        <v>1</v>
      </c>
      <c r="AO1027">
        <v>0</v>
      </c>
      <c r="AP1027">
        <v>0</v>
      </c>
      <c r="AQ1027">
        <v>0</v>
      </c>
      <c r="AR1027">
        <v>0</v>
      </c>
      <c r="AS1027">
        <v>0</v>
      </c>
      <c r="AT1027">
        <v>0</v>
      </c>
      <c r="AV1027">
        <v>0</v>
      </c>
      <c r="AW1027">
        <v>0</v>
      </c>
    </row>
    <row r="1028" spans="1:49" x14ac:dyDescent="0.25">
      <c r="A1028" t="str">
        <f>"1024"</f>
        <v>1024</v>
      </c>
      <c r="B1028" t="str">
        <f t="shared" si="56"/>
        <v>1</v>
      </c>
      <c r="C1028" t="str">
        <f t="shared" si="58"/>
        <v>45</v>
      </c>
      <c r="D1028" t="str">
        <f>"11"</f>
        <v>11</v>
      </c>
      <c r="E1028" t="str">
        <f>"1-45-11"</f>
        <v>1-45-11</v>
      </c>
      <c r="F1028" t="s">
        <v>83</v>
      </c>
      <c r="G1028" t="s">
        <v>84</v>
      </c>
      <c r="H1028" t="s">
        <v>92</v>
      </c>
      <c r="I1028">
        <v>1</v>
      </c>
      <c r="J1028">
        <v>1</v>
      </c>
      <c r="N1028">
        <v>1</v>
      </c>
      <c r="O1028">
        <v>1</v>
      </c>
      <c r="P1028">
        <v>1</v>
      </c>
      <c r="Q1028">
        <v>1</v>
      </c>
      <c r="R1028">
        <v>1</v>
      </c>
      <c r="S1028">
        <v>1</v>
      </c>
      <c r="T1028">
        <v>1</v>
      </c>
      <c r="W1028">
        <v>1</v>
      </c>
      <c r="X1028">
        <v>1</v>
      </c>
      <c r="Y1028">
        <v>1</v>
      </c>
      <c r="Z1028">
        <v>1</v>
      </c>
      <c r="AA1028">
        <v>1</v>
      </c>
      <c r="AB1028">
        <v>1</v>
      </c>
    </row>
    <row r="1029" spans="1:49" x14ac:dyDescent="0.25">
      <c r="A1029" t="str">
        <f>"1025"</f>
        <v>1025</v>
      </c>
      <c r="B1029" t="str">
        <f t="shared" si="56"/>
        <v>1</v>
      </c>
      <c r="C1029" t="str">
        <f t="shared" si="58"/>
        <v>45</v>
      </c>
      <c r="D1029" t="str">
        <f>"5"</f>
        <v>5</v>
      </c>
      <c r="E1029" t="str">
        <f>"1-45-5"</f>
        <v>1-45-5</v>
      </c>
      <c r="F1029" t="s">
        <v>83</v>
      </c>
      <c r="G1029" t="s">
        <v>84</v>
      </c>
      <c r="H1029" t="s">
        <v>92</v>
      </c>
      <c r="I1029">
        <v>1</v>
      </c>
      <c r="J1029">
        <v>1</v>
      </c>
      <c r="N1029">
        <v>1</v>
      </c>
      <c r="O1029">
        <v>1</v>
      </c>
      <c r="P1029">
        <v>1</v>
      </c>
      <c r="Q1029">
        <v>1</v>
      </c>
      <c r="R1029">
        <v>1</v>
      </c>
      <c r="S1029">
        <v>1</v>
      </c>
      <c r="T1029">
        <v>1</v>
      </c>
      <c r="W1029">
        <v>1</v>
      </c>
      <c r="X1029">
        <v>1</v>
      </c>
      <c r="Y1029">
        <v>1</v>
      </c>
      <c r="Z1029">
        <v>1</v>
      </c>
      <c r="AA1029">
        <v>1</v>
      </c>
      <c r="AB1029">
        <v>1</v>
      </c>
    </row>
    <row r="1030" spans="1:49" x14ac:dyDescent="0.25">
      <c r="A1030" t="str">
        <f>"1026"</f>
        <v>1026</v>
      </c>
      <c r="B1030" t="str">
        <f t="shared" si="56"/>
        <v>1</v>
      </c>
      <c r="C1030" t="str">
        <f t="shared" si="58"/>
        <v>45</v>
      </c>
      <c r="D1030" t="str">
        <f>"23"</f>
        <v>23</v>
      </c>
      <c r="E1030" t="str">
        <f>"1-45-23"</f>
        <v>1-45-23</v>
      </c>
      <c r="F1030" t="s">
        <v>83</v>
      </c>
      <c r="G1030" t="s">
        <v>84</v>
      </c>
      <c r="H1030" t="s">
        <v>85</v>
      </c>
      <c r="AC1030">
        <v>0</v>
      </c>
      <c r="AD1030">
        <v>1</v>
      </c>
      <c r="AE1030">
        <v>0</v>
      </c>
      <c r="AF1030">
        <v>0</v>
      </c>
      <c r="AG1030">
        <v>0</v>
      </c>
      <c r="AJ1030">
        <v>1</v>
      </c>
      <c r="AK1030">
        <v>0</v>
      </c>
      <c r="AL1030">
        <v>0</v>
      </c>
      <c r="AM1030">
        <v>0</v>
      </c>
      <c r="AN1030">
        <v>1</v>
      </c>
      <c r="AO1030">
        <v>0</v>
      </c>
      <c r="AP1030">
        <v>0</v>
      </c>
      <c r="AQ1030">
        <v>0</v>
      </c>
      <c r="AR1030">
        <v>0</v>
      </c>
      <c r="AS1030">
        <v>0</v>
      </c>
      <c r="AT1030">
        <v>1</v>
      </c>
      <c r="AV1030">
        <v>0</v>
      </c>
      <c r="AW1030">
        <v>0</v>
      </c>
    </row>
    <row r="1031" spans="1:49" x14ac:dyDescent="0.25">
      <c r="A1031" t="str">
        <f>"1027"</f>
        <v>1027</v>
      </c>
      <c r="B1031" t="str">
        <f t="shared" si="56"/>
        <v>1</v>
      </c>
      <c r="C1031" t="str">
        <f t="shared" si="58"/>
        <v>45</v>
      </c>
      <c r="D1031" t="str">
        <f>"12"</f>
        <v>12</v>
      </c>
      <c r="E1031" t="str">
        <f>"1-45-12"</f>
        <v>1-45-12</v>
      </c>
      <c r="F1031" t="s">
        <v>83</v>
      </c>
      <c r="G1031" t="s">
        <v>84</v>
      </c>
      <c r="H1031" t="s">
        <v>85</v>
      </c>
      <c r="AC1031">
        <v>1</v>
      </c>
      <c r="AD1031">
        <v>0</v>
      </c>
      <c r="AE1031">
        <v>0</v>
      </c>
      <c r="AF1031">
        <v>0</v>
      </c>
      <c r="AG1031">
        <v>1</v>
      </c>
      <c r="AJ1031">
        <v>1</v>
      </c>
      <c r="AK1031">
        <v>0</v>
      </c>
      <c r="AL1031">
        <v>0</v>
      </c>
      <c r="AM1031">
        <v>0</v>
      </c>
      <c r="AN1031">
        <v>1</v>
      </c>
      <c r="AO1031">
        <v>1</v>
      </c>
      <c r="AP1031">
        <v>1</v>
      </c>
      <c r="AQ1031">
        <v>1</v>
      </c>
      <c r="AR1031">
        <v>1</v>
      </c>
      <c r="AS1031">
        <v>0</v>
      </c>
      <c r="AT1031">
        <v>1</v>
      </c>
      <c r="AV1031">
        <v>1</v>
      </c>
      <c r="AW1031">
        <v>1</v>
      </c>
    </row>
    <row r="1032" spans="1:49" x14ac:dyDescent="0.25">
      <c r="A1032" t="str">
        <f>"1028"</f>
        <v>1028</v>
      </c>
      <c r="B1032" t="str">
        <f t="shared" si="56"/>
        <v>1</v>
      </c>
      <c r="C1032" t="str">
        <f t="shared" si="58"/>
        <v>45</v>
      </c>
      <c r="D1032" t="str">
        <f>"22"</f>
        <v>22</v>
      </c>
      <c r="E1032" t="str">
        <f>"1-45-22"</f>
        <v>1-45-22</v>
      </c>
      <c r="F1032" t="s">
        <v>83</v>
      </c>
      <c r="G1032" t="s">
        <v>84</v>
      </c>
      <c r="H1032" t="s">
        <v>92</v>
      </c>
      <c r="I1032">
        <v>1</v>
      </c>
      <c r="J1032">
        <v>1</v>
      </c>
      <c r="N1032">
        <v>1</v>
      </c>
      <c r="O1032">
        <v>1</v>
      </c>
      <c r="P1032">
        <v>1</v>
      </c>
      <c r="Q1032">
        <v>1</v>
      </c>
      <c r="R1032">
        <v>1</v>
      </c>
      <c r="S1032">
        <v>1</v>
      </c>
      <c r="T1032">
        <v>1</v>
      </c>
      <c r="W1032">
        <v>1</v>
      </c>
      <c r="X1032">
        <v>1</v>
      </c>
      <c r="Y1032">
        <v>1</v>
      </c>
      <c r="Z1032">
        <v>1</v>
      </c>
      <c r="AA1032">
        <v>1</v>
      </c>
      <c r="AB1032">
        <v>1</v>
      </c>
    </row>
    <row r="1033" spans="1:49" x14ac:dyDescent="0.25">
      <c r="A1033" t="str">
        <f>"1029"</f>
        <v>1029</v>
      </c>
      <c r="B1033" t="str">
        <f t="shared" si="56"/>
        <v>1</v>
      </c>
      <c r="C1033" t="str">
        <f t="shared" si="58"/>
        <v>45</v>
      </c>
      <c r="D1033" t="str">
        <f>"13"</f>
        <v>13</v>
      </c>
      <c r="E1033" t="str">
        <f>"1-45-13"</f>
        <v>1-45-13</v>
      </c>
      <c r="F1033" t="s">
        <v>83</v>
      </c>
      <c r="G1033" t="s">
        <v>84</v>
      </c>
      <c r="H1033" t="s">
        <v>85</v>
      </c>
      <c r="AC1033">
        <v>1</v>
      </c>
      <c r="AD1033">
        <v>0</v>
      </c>
      <c r="AE1033">
        <v>0</v>
      </c>
      <c r="AF1033">
        <v>0</v>
      </c>
      <c r="AG1033">
        <v>1</v>
      </c>
      <c r="AJ1033">
        <v>1</v>
      </c>
      <c r="AK1033">
        <v>0</v>
      </c>
      <c r="AL1033">
        <v>0</v>
      </c>
      <c r="AM1033">
        <v>0</v>
      </c>
      <c r="AN1033">
        <v>1</v>
      </c>
      <c r="AO1033">
        <v>1</v>
      </c>
      <c r="AP1033">
        <v>1</v>
      </c>
      <c r="AQ1033">
        <v>1</v>
      </c>
      <c r="AR1033">
        <v>1</v>
      </c>
      <c r="AS1033">
        <v>0</v>
      </c>
      <c r="AT1033">
        <v>1</v>
      </c>
      <c r="AV1033">
        <v>1</v>
      </c>
      <c r="AW1033">
        <v>1</v>
      </c>
    </row>
    <row r="1034" spans="1:49" x14ac:dyDescent="0.25">
      <c r="A1034" t="str">
        <f>"1030"</f>
        <v>1030</v>
      </c>
      <c r="B1034" t="str">
        <f t="shared" si="56"/>
        <v>1</v>
      </c>
      <c r="C1034" t="str">
        <f t="shared" si="58"/>
        <v>45</v>
      </c>
      <c r="D1034" t="str">
        <f>"2"</f>
        <v>2</v>
      </c>
      <c r="E1034" t="str">
        <f>"1-45-2"</f>
        <v>1-45-2</v>
      </c>
      <c r="F1034" t="s">
        <v>83</v>
      </c>
      <c r="G1034" t="s">
        <v>84</v>
      </c>
      <c r="H1034" t="s">
        <v>85</v>
      </c>
      <c r="AC1034">
        <v>1</v>
      </c>
      <c r="AD1034">
        <v>0</v>
      </c>
      <c r="AE1034">
        <v>0</v>
      </c>
      <c r="AF1034">
        <v>0</v>
      </c>
      <c r="AG1034">
        <v>0</v>
      </c>
      <c r="AJ1034">
        <v>1</v>
      </c>
      <c r="AK1034">
        <v>0</v>
      </c>
      <c r="AL1034">
        <v>0</v>
      </c>
      <c r="AM1034">
        <v>0</v>
      </c>
      <c r="AN1034">
        <v>1</v>
      </c>
      <c r="AO1034">
        <v>0</v>
      </c>
      <c r="AP1034">
        <v>0</v>
      </c>
      <c r="AQ1034">
        <v>0</v>
      </c>
      <c r="AR1034">
        <v>0</v>
      </c>
      <c r="AS1034">
        <v>0</v>
      </c>
      <c r="AT1034">
        <v>0</v>
      </c>
      <c r="AV1034">
        <v>0</v>
      </c>
      <c r="AW1034">
        <v>0</v>
      </c>
    </row>
    <row r="1035" spans="1:49" x14ac:dyDescent="0.25">
      <c r="A1035" t="str">
        <f>"1031"</f>
        <v>1031</v>
      </c>
      <c r="B1035" t="str">
        <f t="shared" si="56"/>
        <v>1</v>
      </c>
      <c r="C1035" t="str">
        <f t="shared" si="58"/>
        <v>45</v>
      </c>
      <c r="D1035" t="str">
        <f>"16"</f>
        <v>16</v>
      </c>
      <c r="E1035" t="str">
        <f>"1-45-16"</f>
        <v>1-45-16</v>
      </c>
      <c r="F1035" t="s">
        <v>83</v>
      </c>
      <c r="G1035" t="s">
        <v>84</v>
      </c>
      <c r="H1035" t="s">
        <v>85</v>
      </c>
      <c r="AC1035">
        <v>1</v>
      </c>
      <c r="AD1035">
        <v>0</v>
      </c>
      <c r="AE1035">
        <v>0</v>
      </c>
      <c r="AF1035">
        <v>0</v>
      </c>
      <c r="AG1035">
        <v>1</v>
      </c>
      <c r="AJ1035">
        <v>0</v>
      </c>
      <c r="AK1035">
        <v>1</v>
      </c>
      <c r="AL1035">
        <v>0</v>
      </c>
      <c r="AM1035">
        <v>0</v>
      </c>
      <c r="AN1035">
        <v>1</v>
      </c>
      <c r="AO1035">
        <v>1</v>
      </c>
      <c r="AP1035">
        <v>1</v>
      </c>
      <c r="AQ1035">
        <v>1</v>
      </c>
      <c r="AR1035">
        <v>1</v>
      </c>
      <c r="AS1035">
        <v>0</v>
      </c>
      <c r="AT1035">
        <v>1</v>
      </c>
      <c r="AV1035">
        <v>1</v>
      </c>
      <c r="AW1035">
        <v>1</v>
      </c>
    </row>
    <row r="1036" spans="1:49" x14ac:dyDescent="0.25">
      <c r="A1036" t="str">
        <f>"1032"</f>
        <v>1032</v>
      </c>
      <c r="B1036" t="str">
        <f t="shared" si="56"/>
        <v>1</v>
      </c>
      <c r="C1036" t="str">
        <f t="shared" si="58"/>
        <v>45</v>
      </c>
      <c r="D1036" t="str">
        <f>"3"</f>
        <v>3</v>
      </c>
      <c r="E1036" t="str">
        <f>"1-45-3"</f>
        <v>1-45-3</v>
      </c>
      <c r="F1036" t="s">
        <v>83</v>
      </c>
      <c r="G1036" t="s">
        <v>84</v>
      </c>
      <c r="H1036" t="s">
        <v>85</v>
      </c>
      <c r="AC1036">
        <v>0</v>
      </c>
      <c r="AD1036">
        <v>1</v>
      </c>
      <c r="AE1036">
        <v>0</v>
      </c>
      <c r="AF1036">
        <v>0</v>
      </c>
      <c r="AG1036">
        <v>1</v>
      </c>
      <c r="AJ1036">
        <v>0</v>
      </c>
      <c r="AK1036">
        <v>1</v>
      </c>
      <c r="AL1036">
        <v>0</v>
      </c>
      <c r="AM1036">
        <v>0</v>
      </c>
      <c r="AN1036">
        <v>1</v>
      </c>
      <c r="AO1036">
        <v>1</v>
      </c>
      <c r="AP1036">
        <v>1</v>
      </c>
      <c r="AQ1036">
        <v>0</v>
      </c>
      <c r="AR1036">
        <v>1</v>
      </c>
      <c r="AS1036">
        <v>1</v>
      </c>
      <c r="AT1036">
        <v>0</v>
      </c>
      <c r="AV1036">
        <v>0</v>
      </c>
      <c r="AW1036">
        <v>1</v>
      </c>
    </row>
    <row r="1037" spans="1:49" x14ac:dyDescent="0.25">
      <c r="A1037" t="str">
        <f>"1033"</f>
        <v>1033</v>
      </c>
      <c r="B1037" t="str">
        <f t="shared" si="56"/>
        <v>1</v>
      </c>
      <c r="C1037" t="str">
        <f t="shared" si="58"/>
        <v>45</v>
      </c>
      <c r="D1037" t="str">
        <f>"17"</f>
        <v>17</v>
      </c>
      <c r="E1037" t="str">
        <f>"1-45-17"</f>
        <v>1-45-17</v>
      </c>
      <c r="F1037" t="s">
        <v>83</v>
      </c>
      <c r="G1037" t="s">
        <v>84</v>
      </c>
      <c r="H1037" t="s">
        <v>92</v>
      </c>
      <c r="I1037">
        <v>1</v>
      </c>
      <c r="J1037">
        <v>1</v>
      </c>
      <c r="N1037">
        <v>1</v>
      </c>
      <c r="O1037">
        <v>1</v>
      </c>
      <c r="P1037">
        <v>1</v>
      </c>
      <c r="Q1037">
        <v>1</v>
      </c>
      <c r="R1037">
        <v>1</v>
      </c>
      <c r="S1037">
        <v>1</v>
      </c>
      <c r="T1037">
        <v>1</v>
      </c>
      <c r="W1037">
        <v>1</v>
      </c>
      <c r="X1037">
        <v>1</v>
      </c>
      <c r="Y1037">
        <v>1</v>
      </c>
      <c r="Z1037">
        <v>1</v>
      </c>
      <c r="AA1037">
        <v>1</v>
      </c>
      <c r="AB1037">
        <v>1</v>
      </c>
    </row>
    <row r="1038" spans="1:49" x14ac:dyDescent="0.25">
      <c r="A1038" t="str">
        <f>"1034"</f>
        <v>1034</v>
      </c>
      <c r="B1038" t="str">
        <f t="shared" si="56"/>
        <v>1</v>
      </c>
      <c r="C1038" t="str">
        <f t="shared" si="58"/>
        <v>45</v>
      </c>
      <c r="D1038" t="str">
        <f>"7"</f>
        <v>7</v>
      </c>
      <c r="E1038" t="str">
        <f>"1-45-7"</f>
        <v>1-45-7</v>
      </c>
      <c r="F1038" t="s">
        <v>83</v>
      </c>
      <c r="G1038" t="s">
        <v>84</v>
      </c>
      <c r="H1038" t="s">
        <v>85</v>
      </c>
      <c r="AC1038">
        <v>1</v>
      </c>
      <c r="AD1038">
        <v>0</v>
      </c>
      <c r="AE1038">
        <v>0</v>
      </c>
      <c r="AF1038">
        <v>0</v>
      </c>
      <c r="AG1038">
        <v>0</v>
      </c>
      <c r="AJ1038">
        <v>1</v>
      </c>
      <c r="AK1038">
        <v>0</v>
      </c>
      <c r="AL1038">
        <v>0</v>
      </c>
      <c r="AM1038">
        <v>0</v>
      </c>
      <c r="AN1038">
        <v>1</v>
      </c>
      <c r="AO1038">
        <v>0</v>
      </c>
      <c r="AP1038">
        <v>0</v>
      </c>
      <c r="AQ1038">
        <v>0</v>
      </c>
      <c r="AR1038">
        <v>0</v>
      </c>
      <c r="AS1038">
        <v>0</v>
      </c>
      <c r="AT1038">
        <v>0</v>
      </c>
      <c r="AV1038">
        <v>0</v>
      </c>
      <c r="AW1038">
        <v>0</v>
      </c>
    </row>
    <row r="1039" spans="1:49" x14ac:dyDescent="0.25">
      <c r="A1039" t="str">
        <f>"1035"</f>
        <v>1035</v>
      </c>
      <c r="B1039" t="str">
        <f t="shared" si="56"/>
        <v>1</v>
      </c>
      <c r="C1039" t="str">
        <f t="shared" si="58"/>
        <v>45</v>
      </c>
      <c r="D1039" t="str">
        <f>"6"</f>
        <v>6</v>
      </c>
      <c r="E1039" t="str">
        <f>"1-45-6"</f>
        <v>1-45-6</v>
      </c>
      <c r="F1039" t="s">
        <v>83</v>
      </c>
      <c r="G1039" t="s">
        <v>84</v>
      </c>
      <c r="H1039" t="s">
        <v>85</v>
      </c>
      <c r="AC1039">
        <v>0</v>
      </c>
      <c r="AD1039">
        <v>0</v>
      </c>
      <c r="AE1039">
        <v>0</v>
      </c>
      <c r="AF1039">
        <v>0</v>
      </c>
      <c r="AG1039">
        <v>1</v>
      </c>
      <c r="AJ1039">
        <v>0</v>
      </c>
      <c r="AK1039">
        <v>1</v>
      </c>
      <c r="AL1039">
        <v>0</v>
      </c>
      <c r="AM1039">
        <v>0</v>
      </c>
      <c r="AN1039">
        <v>1</v>
      </c>
      <c r="AO1039">
        <v>1</v>
      </c>
      <c r="AP1039">
        <v>1</v>
      </c>
      <c r="AQ1039">
        <v>1</v>
      </c>
      <c r="AR1039">
        <v>1</v>
      </c>
      <c r="AS1039">
        <v>0</v>
      </c>
      <c r="AT1039">
        <v>1</v>
      </c>
      <c r="AV1039">
        <v>1</v>
      </c>
      <c r="AW1039">
        <v>1</v>
      </c>
    </row>
    <row r="1040" spans="1:49" x14ac:dyDescent="0.25">
      <c r="A1040" t="str">
        <f>"1036"</f>
        <v>1036</v>
      </c>
      <c r="B1040" t="str">
        <f t="shared" si="56"/>
        <v>1</v>
      </c>
      <c r="C1040" t="str">
        <f t="shared" si="58"/>
        <v>45</v>
      </c>
      <c r="D1040" t="str">
        <f>"24"</f>
        <v>24</v>
      </c>
      <c r="E1040" t="str">
        <f>"1-45-24"</f>
        <v>1-45-24</v>
      </c>
      <c r="F1040" t="s">
        <v>83</v>
      </c>
      <c r="G1040" t="s">
        <v>86</v>
      </c>
      <c r="H1040" t="s">
        <v>87</v>
      </c>
      <c r="AC1040">
        <v>0</v>
      </c>
      <c r="AD1040">
        <v>0</v>
      </c>
      <c r="AE1040">
        <v>0</v>
      </c>
      <c r="AF1040">
        <v>0</v>
      </c>
      <c r="AH1040">
        <v>0</v>
      </c>
      <c r="AI1040">
        <v>1</v>
      </c>
      <c r="AJ1040">
        <v>1</v>
      </c>
      <c r="AK1040">
        <v>0</v>
      </c>
      <c r="AL1040">
        <v>0</v>
      </c>
      <c r="AM1040">
        <v>1</v>
      </c>
      <c r="AN1040">
        <v>0</v>
      </c>
      <c r="AO1040">
        <v>1</v>
      </c>
      <c r="AP1040">
        <v>1</v>
      </c>
      <c r="AQ1040">
        <v>1</v>
      </c>
      <c r="AU1040">
        <v>1</v>
      </c>
      <c r="AV1040">
        <v>1</v>
      </c>
      <c r="AW1040">
        <v>1</v>
      </c>
    </row>
    <row r="1041" spans="1:49" x14ac:dyDescent="0.25">
      <c r="A1041" t="str">
        <f>"1037"</f>
        <v>1037</v>
      </c>
      <c r="B1041" t="str">
        <f t="shared" si="56"/>
        <v>1</v>
      </c>
      <c r="C1041" t="str">
        <f t="shared" ref="C1041:C1065" si="59">"46"</f>
        <v>46</v>
      </c>
      <c r="D1041" t="str">
        <f>"19"</f>
        <v>19</v>
      </c>
      <c r="E1041" t="str">
        <f>"1-46-19"</f>
        <v>1-46-19</v>
      </c>
      <c r="F1041" t="s">
        <v>83</v>
      </c>
      <c r="G1041" t="s">
        <v>84</v>
      </c>
      <c r="H1041" t="s">
        <v>92</v>
      </c>
      <c r="I1041">
        <v>1</v>
      </c>
      <c r="J1041">
        <v>1</v>
      </c>
      <c r="N1041">
        <v>1</v>
      </c>
      <c r="O1041">
        <v>1</v>
      </c>
      <c r="P1041">
        <v>1</v>
      </c>
      <c r="Q1041">
        <v>1</v>
      </c>
      <c r="R1041">
        <v>1</v>
      </c>
      <c r="S1041">
        <v>1</v>
      </c>
      <c r="T1041">
        <v>1</v>
      </c>
      <c r="W1041">
        <v>1</v>
      </c>
      <c r="X1041">
        <v>1</v>
      </c>
      <c r="Y1041">
        <v>1</v>
      </c>
      <c r="Z1041">
        <v>1</v>
      </c>
      <c r="AA1041">
        <v>1</v>
      </c>
      <c r="AB1041">
        <v>1</v>
      </c>
    </row>
    <row r="1042" spans="1:49" x14ac:dyDescent="0.25">
      <c r="A1042" t="str">
        <f>"1038"</f>
        <v>1038</v>
      </c>
      <c r="B1042" t="str">
        <f t="shared" si="56"/>
        <v>1</v>
      </c>
      <c r="C1042" t="str">
        <f t="shared" si="59"/>
        <v>46</v>
      </c>
      <c r="D1042" t="str">
        <f>"18"</f>
        <v>18</v>
      </c>
      <c r="E1042" t="str">
        <f>"1-46-18"</f>
        <v>1-46-18</v>
      </c>
      <c r="F1042" t="s">
        <v>83</v>
      </c>
      <c r="G1042" t="s">
        <v>84</v>
      </c>
      <c r="H1042" t="s">
        <v>92</v>
      </c>
      <c r="I1042">
        <v>1</v>
      </c>
      <c r="J1042">
        <v>1</v>
      </c>
      <c r="N1042">
        <v>1</v>
      </c>
      <c r="O1042">
        <v>1</v>
      </c>
      <c r="P1042">
        <v>1</v>
      </c>
      <c r="Q1042">
        <v>1</v>
      </c>
      <c r="R1042">
        <v>1</v>
      </c>
      <c r="S1042">
        <v>1</v>
      </c>
      <c r="T1042">
        <v>1</v>
      </c>
      <c r="W1042">
        <v>1</v>
      </c>
      <c r="X1042">
        <v>1</v>
      </c>
      <c r="Y1042">
        <v>1</v>
      </c>
      <c r="Z1042">
        <v>1</v>
      </c>
      <c r="AA1042">
        <v>1</v>
      </c>
      <c r="AB1042">
        <v>1</v>
      </c>
    </row>
    <row r="1043" spans="1:49" x14ac:dyDescent="0.25">
      <c r="A1043" t="str">
        <f>"1039"</f>
        <v>1039</v>
      </c>
      <c r="B1043" t="str">
        <f t="shared" si="56"/>
        <v>1</v>
      </c>
      <c r="C1043" t="str">
        <f t="shared" si="59"/>
        <v>46</v>
      </c>
      <c r="D1043" t="str">
        <f>"15"</f>
        <v>15</v>
      </c>
      <c r="E1043" t="str">
        <f>"1-46-15"</f>
        <v>1-46-15</v>
      </c>
      <c r="F1043" t="s">
        <v>83</v>
      </c>
      <c r="G1043" t="s">
        <v>84</v>
      </c>
      <c r="H1043" t="s">
        <v>92</v>
      </c>
      <c r="I1043">
        <v>1</v>
      </c>
      <c r="J1043">
        <v>1</v>
      </c>
      <c r="N1043">
        <v>1</v>
      </c>
      <c r="O1043">
        <v>1</v>
      </c>
      <c r="P1043">
        <v>1</v>
      </c>
      <c r="Q1043">
        <v>1</v>
      </c>
      <c r="R1043">
        <v>1</v>
      </c>
      <c r="S1043">
        <v>1</v>
      </c>
      <c r="T1043">
        <v>1</v>
      </c>
      <c r="W1043">
        <v>1</v>
      </c>
      <c r="X1043">
        <v>1</v>
      </c>
      <c r="Y1043">
        <v>1</v>
      </c>
      <c r="Z1043">
        <v>1</v>
      </c>
      <c r="AA1043">
        <v>0</v>
      </c>
      <c r="AB1043">
        <v>0</v>
      </c>
    </row>
    <row r="1044" spans="1:49" x14ac:dyDescent="0.25">
      <c r="A1044" t="str">
        <f>"1040"</f>
        <v>1040</v>
      </c>
      <c r="B1044" t="str">
        <f t="shared" si="56"/>
        <v>1</v>
      </c>
      <c r="C1044" t="str">
        <f t="shared" si="59"/>
        <v>46</v>
      </c>
      <c r="D1044" t="str">
        <f>"14"</f>
        <v>14</v>
      </c>
      <c r="E1044" t="str">
        <f>"1-46-14"</f>
        <v>1-46-14</v>
      </c>
      <c r="F1044" t="s">
        <v>83</v>
      </c>
      <c r="G1044" t="s">
        <v>84</v>
      </c>
      <c r="H1044" t="s">
        <v>92</v>
      </c>
      <c r="I1044">
        <v>1</v>
      </c>
      <c r="J1044">
        <v>1</v>
      </c>
      <c r="N1044">
        <v>1</v>
      </c>
      <c r="O1044">
        <v>1</v>
      </c>
      <c r="P1044">
        <v>1</v>
      </c>
      <c r="Q1044">
        <v>1</v>
      </c>
      <c r="R1044">
        <v>1</v>
      </c>
      <c r="S1044">
        <v>1</v>
      </c>
      <c r="T1044">
        <v>1</v>
      </c>
      <c r="W1044">
        <v>1</v>
      </c>
      <c r="X1044">
        <v>1</v>
      </c>
      <c r="Y1044">
        <v>1</v>
      </c>
      <c r="Z1044">
        <v>1</v>
      </c>
      <c r="AA1044">
        <v>1</v>
      </c>
      <c r="AB1044">
        <v>1</v>
      </c>
    </row>
    <row r="1045" spans="1:49" x14ac:dyDescent="0.25">
      <c r="A1045" t="str">
        <f>"1041"</f>
        <v>1041</v>
      </c>
      <c r="B1045" t="str">
        <f t="shared" si="56"/>
        <v>1</v>
      </c>
      <c r="C1045" t="str">
        <f t="shared" si="59"/>
        <v>46</v>
      </c>
      <c r="D1045" t="str">
        <f>"9"</f>
        <v>9</v>
      </c>
      <c r="E1045" t="str">
        <f>"1-46-9"</f>
        <v>1-46-9</v>
      </c>
      <c r="F1045" t="s">
        <v>83</v>
      </c>
      <c r="G1045" t="s">
        <v>84</v>
      </c>
      <c r="H1045" t="s">
        <v>85</v>
      </c>
      <c r="AC1045">
        <v>0</v>
      </c>
      <c r="AD1045">
        <v>1</v>
      </c>
      <c r="AE1045">
        <v>0</v>
      </c>
      <c r="AF1045">
        <v>0</v>
      </c>
      <c r="AG1045">
        <v>1</v>
      </c>
      <c r="AJ1045">
        <v>1</v>
      </c>
      <c r="AK1045">
        <v>0</v>
      </c>
      <c r="AL1045">
        <v>0</v>
      </c>
      <c r="AM1045">
        <v>1</v>
      </c>
      <c r="AN1045">
        <v>0</v>
      </c>
      <c r="AO1045">
        <v>1</v>
      </c>
      <c r="AP1045">
        <v>1</v>
      </c>
      <c r="AQ1045">
        <v>1</v>
      </c>
      <c r="AR1045">
        <v>1</v>
      </c>
      <c r="AS1045">
        <v>0</v>
      </c>
      <c r="AT1045">
        <v>1</v>
      </c>
      <c r="AV1045">
        <v>1</v>
      </c>
      <c r="AW1045">
        <v>1</v>
      </c>
    </row>
    <row r="1046" spans="1:49" x14ac:dyDescent="0.25">
      <c r="A1046" t="str">
        <f>"1042"</f>
        <v>1042</v>
      </c>
      <c r="B1046" t="str">
        <f t="shared" si="56"/>
        <v>1</v>
      </c>
      <c r="C1046" t="str">
        <f t="shared" si="59"/>
        <v>46</v>
      </c>
      <c r="D1046" t="str">
        <f>"8"</f>
        <v>8</v>
      </c>
      <c r="E1046" t="str">
        <f>"1-46-8"</f>
        <v>1-46-8</v>
      </c>
      <c r="F1046" t="s">
        <v>83</v>
      </c>
      <c r="G1046" t="s">
        <v>84</v>
      </c>
      <c r="H1046" t="s">
        <v>85</v>
      </c>
      <c r="AC1046">
        <v>0</v>
      </c>
      <c r="AD1046">
        <v>1</v>
      </c>
      <c r="AE1046">
        <v>0</v>
      </c>
      <c r="AF1046">
        <v>0</v>
      </c>
      <c r="AG1046">
        <v>1</v>
      </c>
      <c r="AJ1046">
        <v>1</v>
      </c>
      <c r="AK1046">
        <v>0</v>
      </c>
      <c r="AL1046">
        <v>1</v>
      </c>
      <c r="AM1046">
        <v>0</v>
      </c>
      <c r="AN1046">
        <v>0</v>
      </c>
      <c r="AO1046">
        <v>1</v>
      </c>
      <c r="AP1046">
        <v>1</v>
      </c>
      <c r="AQ1046">
        <v>1</v>
      </c>
      <c r="AR1046">
        <v>1</v>
      </c>
      <c r="AS1046">
        <v>0</v>
      </c>
      <c r="AT1046">
        <v>1</v>
      </c>
      <c r="AV1046">
        <v>1</v>
      </c>
      <c r="AW1046">
        <v>1</v>
      </c>
    </row>
    <row r="1047" spans="1:49" x14ac:dyDescent="0.25">
      <c r="A1047" t="str">
        <f>"1043"</f>
        <v>1043</v>
      </c>
      <c r="B1047" t="str">
        <f t="shared" si="56"/>
        <v>1</v>
      </c>
      <c r="C1047" t="str">
        <f t="shared" si="59"/>
        <v>46</v>
      </c>
      <c r="D1047" t="str">
        <f>"1"</f>
        <v>1</v>
      </c>
      <c r="E1047" t="str">
        <f>"1-46-1"</f>
        <v>1-46-1</v>
      </c>
      <c r="F1047" t="s">
        <v>83</v>
      </c>
      <c r="G1047" t="s">
        <v>84</v>
      </c>
      <c r="H1047" t="s">
        <v>92</v>
      </c>
      <c r="I1047">
        <v>1</v>
      </c>
      <c r="J1047">
        <v>1</v>
      </c>
      <c r="N1047">
        <v>1</v>
      </c>
      <c r="O1047">
        <v>1</v>
      </c>
      <c r="P1047">
        <v>1</v>
      </c>
      <c r="Q1047">
        <v>1</v>
      </c>
      <c r="R1047">
        <v>1</v>
      </c>
      <c r="S1047">
        <v>1</v>
      </c>
      <c r="T1047">
        <v>1</v>
      </c>
      <c r="W1047">
        <v>1</v>
      </c>
      <c r="X1047">
        <v>1</v>
      </c>
      <c r="Y1047">
        <v>1</v>
      </c>
      <c r="Z1047">
        <v>1</v>
      </c>
      <c r="AA1047">
        <v>1</v>
      </c>
      <c r="AB1047">
        <v>1</v>
      </c>
    </row>
    <row r="1048" spans="1:49" x14ac:dyDescent="0.25">
      <c r="A1048" t="str">
        <f>"1044"</f>
        <v>1044</v>
      </c>
      <c r="B1048" t="str">
        <f t="shared" si="56"/>
        <v>1</v>
      </c>
      <c r="C1048" t="str">
        <f t="shared" si="59"/>
        <v>46</v>
      </c>
      <c r="D1048" t="str">
        <f>"21"</f>
        <v>21</v>
      </c>
      <c r="E1048" t="str">
        <f>"1-46-21"</f>
        <v>1-46-21</v>
      </c>
      <c r="F1048" t="s">
        <v>83</v>
      </c>
      <c r="G1048" t="s">
        <v>86</v>
      </c>
      <c r="H1048" t="s">
        <v>93</v>
      </c>
      <c r="I1048">
        <v>1</v>
      </c>
      <c r="K1048">
        <v>1</v>
      </c>
      <c r="L1048">
        <v>0</v>
      </c>
      <c r="M1048">
        <v>0</v>
      </c>
      <c r="N1048">
        <v>1</v>
      </c>
      <c r="O1048">
        <v>1</v>
      </c>
      <c r="P1048">
        <v>1</v>
      </c>
      <c r="Q1048">
        <v>0</v>
      </c>
      <c r="R1048">
        <v>0</v>
      </c>
      <c r="U1048">
        <v>0</v>
      </c>
      <c r="V1048">
        <v>0</v>
      </c>
      <c r="W1048">
        <v>1</v>
      </c>
      <c r="X1048">
        <v>1</v>
      </c>
      <c r="Y1048">
        <v>1</v>
      </c>
      <c r="Z1048">
        <v>1</v>
      </c>
      <c r="AA1048">
        <v>1</v>
      </c>
      <c r="AB1048">
        <v>1</v>
      </c>
    </row>
    <row r="1049" spans="1:49" x14ac:dyDescent="0.25">
      <c r="A1049" t="str">
        <f>"1045"</f>
        <v>1045</v>
      </c>
      <c r="B1049" t="str">
        <f t="shared" si="56"/>
        <v>1</v>
      </c>
      <c r="C1049" t="str">
        <f t="shared" si="59"/>
        <v>46</v>
      </c>
      <c r="D1049" t="str">
        <f>"10"</f>
        <v>10</v>
      </c>
      <c r="E1049" t="str">
        <f>"1-46-10"</f>
        <v>1-46-10</v>
      </c>
      <c r="F1049" t="s">
        <v>83</v>
      </c>
      <c r="G1049" t="s">
        <v>84</v>
      </c>
      <c r="H1049" t="s">
        <v>85</v>
      </c>
      <c r="AC1049">
        <v>1</v>
      </c>
      <c r="AD1049">
        <v>0</v>
      </c>
      <c r="AE1049">
        <v>0</v>
      </c>
      <c r="AF1049">
        <v>0</v>
      </c>
      <c r="AG1049">
        <v>0</v>
      </c>
      <c r="AJ1049">
        <v>0</v>
      </c>
      <c r="AK1049">
        <v>1</v>
      </c>
      <c r="AL1049">
        <v>1</v>
      </c>
      <c r="AM1049">
        <v>0</v>
      </c>
      <c r="AN1049">
        <v>0</v>
      </c>
      <c r="AO1049">
        <v>0</v>
      </c>
      <c r="AP1049">
        <v>0</v>
      </c>
      <c r="AQ1049">
        <v>0</v>
      </c>
      <c r="AR1049">
        <v>0</v>
      </c>
      <c r="AS1049">
        <v>0</v>
      </c>
      <c r="AT1049">
        <v>0</v>
      </c>
      <c r="AV1049">
        <v>0</v>
      </c>
      <c r="AW1049">
        <v>0</v>
      </c>
    </row>
    <row r="1050" spans="1:49" x14ac:dyDescent="0.25">
      <c r="A1050" t="str">
        <f>"1046"</f>
        <v>1046</v>
      </c>
      <c r="B1050" t="str">
        <f t="shared" si="56"/>
        <v>1</v>
      </c>
      <c r="C1050" t="str">
        <f t="shared" si="59"/>
        <v>46</v>
      </c>
      <c r="D1050" t="str">
        <f>"6"</f>
        <v>6</v>
      </c>
      <c r="E1050" t="str">
        <f>"1-46-6"</f>
        <v>1-46-6</v>
      </c>
      <c r="F1050" t="s">
        <v>83</v>
      </c>
      <c r="G1050" t="s">
        <v>86</v>
      </c>
      <c r="H1050" t="s">
        <v>87</v>
      </c>
      <c r="AC1050">
        <v>1</v>
      </c>
      <c r="AD1050">
        <v>0</v>
      </c>
      <c r="AE1050">
        <v>0</v>
      </c>
      <c r="AF1050">
        <v>0</v>
      </c>
      <c r="AH1050">
        <v>1</v>
      </c>
      <c r="AI1050">
        <v>0</v>
      </c>
      <c r="AJ1050">
        <v>0</v>
      </c>
      <c r="AK1050">
        <v>1</v>
      </c>
      <c r="AL1050">
        <v>0</v>
      </c>
      <c r="AM1050">
        <v>0</v>
      </c>
      <c r="AN1050">
        <v>1</v>
      </c>
      <c r="AO1050">
        <v>0</v>
      </c>
      <c r="AP1050">
        <v>0</v>
      </c>
      <c r="AQ1050">
        <v>0</v>
      </c>
      <c r="AU1050">
        <v>0</v>
      </c>
      <c r="AV1050">
        <v>0</v>
      </c>
      <c r="AW1050">
        <v>0</v>
      </c>
    </row>
    <row r="1051" spans="1:49" x14ac:dyDescent="0.25">
      <c r="A1051" t="str">
        <f>"1047"</f>
        <v>1047</v>
      </c>
      <c r="B1051" t="str">
        <f t="shared" si="56"/>
        <v>1</v>
      </c>
      <c r="C1051" t="str">
        <f t="shared" si="59"/>
        <v>46</v>
      </c>
      <c r="D1051" t="str">
        <f>"20"</f>
        <v>20</v>
      </c>
      <c r="E1051" t="str">
        <f>"1-46-20"</f>
        <v>1-46-20</v>
      </c>
      <c r="F1051" t="s">
        <v>83</v>
      </c>
      <c r="G1051" t="s">
        <v>86</v>
      </c>
      <c r="H1051" t="s">
        <v>87</v>
      </c>
      <c r="AC1051">
        <v>1</v>
      </c>
      <c r="AD1051">
        <v>0</v>
      </c>
      <c r="AE1051">
        <v>0</v>
      </c>
      <c r="AF1051">
        <v>0</v>
      </c>
      <c r="AH1051">
        <v>0</v>
      </c>
      <c r="AI1051">
        <v>1</v>
      </c>
      <c r="AJ1051">
        <v>0</v>
      </c>
      <c r="AK1051">
        <v>1</v>
      </c>
      <c r="AL1051">
        <v>0</v>
      </c>
      <c r="AM1051">
        <v>1</v>
      </c>
      <c r="AN1051">
        <v>0</v>
      </c>
      <c r="AO1051">
        <v>1</v>
      </c>
      <c r="AP1051">
        <v>1</v>
      </c>
      <c r="AQ1051">
        <v>1</v>
      </c>
      <c r="AU1051">
        <v>1</v>
      </c>
      <c r="AV1051">
        <v>1</v>
      </c>
      <c r="AW1051">
        <v>1</v>
      </c>
    </row>
    <row r="1052" spans="1:49" x14ac:dyDescent="0.25">
      <c r="A1052" t="str">
        <f>"1048"</f>
        <v>1048</v>
      </c>
      <c r="B1052" t="str">
        <f t="shared" si="56"/>
        <v>1</v>
      </c>
      <c r="C1052" t="str">
        <f t="shared" si="59"/>
        <v>46</v>
      </c>
      <c r="D1052" t="str">
        <f>"11"</f>
        <v>11</v>
      </c>
      <c r="E1052" t="str">
        <f>"1-46-11"</f>
        <v>1-46-11</v>
      </c>
      <c r="F1052" t="s">
        <v>83</v>
      </c>
      <c r="G1052" t="s">
        <v>84</v>
      </c>
      <c r="H1052" t="s">
        <v>92</v>
      </c>
      <c r="I1052">
        <v>1</v>
      </c>
      <c r="J1052">
        <v>1</v>
      </c>
      <c r="N1052">
        <v>1</v>
      </c>
      <c r="O1052">
        <v>1</v>
      </c>
      <c r="P1052">
        <v>1</v>
      </c>
      <c r="Q1052">
        <v>1</v>
      </c>
      <c r="R1052">
        <v>1</v>
      </c>
      <c r="S1052">
        <v>1</v>
      </c>
      <c r="T1052">
        <v>1</v>
      </c>
      <c r="W1052">
        <v>1</v>
      </c>
      <c r="X1052">
        <v>1</v>
      </c>
      <c r="Y1052">
        <v>1</v>
      </c>
      <c r="Z1052">
        <v>1</v>
      </c>
      <c r="AA1052">
        <v>1</v>
      </c>
      <c r="AB1052">
        <v>1</v>
      </c>
    </row>
    <row r="1053" spans="1:49" x14ac:dyDescent="0.25">
      <c r="A1053" t="str">
        <f>"1049"</f>
        <v>1049</v>
      </c>
      <c r="B1053" t="str">
        <f t="shared" si="56"/>
        <v>1</v>
      </c>
      <c r="C1053" t="str">
        <f t="shared" si="59"/>
        <v>46</v>
      </c>
      <c r="D1053" t="str">
        <f>"2"</f>
        <v>2</v>
      </c>
      <c r="E1053" t="str">
        <f>"1-46-2"</f>
        <v>1-46-2</v>
      </c>
      <c r="F1053" t="s">
        <v>83</v>
      </c>
      <c r="G1053" t="s">
        <v>88</v>
      </c>
      <c r="H1053" t="s">
        <v>89</v>
      </c>
      <c r="AC1053">
        <v>0</v>
      </c>
      <c r="AD1053">
        <v>1</v>
      </c>
      <c r="AE1053">
        <v>0</v>
      </c>
      <c r="AF1053">
        <v>0</v>
      </c>
      <c r="AH1053">
        <v>0</v>
      </c>
      <c r="AI1053">
        <v>1</v>
      </c>
      <c r="AJ1053">
        <v>0</v>
      </c>
      <c r="AK1053">
        <v>1</v>
      </c>
      <c r="AL1053">
        <v>0</v>
      </c>
      <c r="AM1053">
        <v>0</v>
      </c>
      <c r="AN1053">
        <v>1</v>
      </c>
      <c r="AO1053">
        <v>0</v>
      </c>
      <c r="AP1053">
        <v>0</v>
      </c>
      <c r="AQ1053">
        <v>0</v>
      </c>
      <c r="AR1053">
        <v>0</v>
      </c>
      <c r="AS1053">
        <v>0</v>
      </c>
      <c r="AT1053">
        <v>0</v>
      </c>
      <c r="AV1053">
        <v>0</v>
      </c>
      <c r="AW1053">
        <v>0</v>
      </c>
    </row>
    <row r="1054" spans="1:49" x14ac:dyDescent="0.25">
      <c r="A1054" t="str">
        <f>"1050"</f>
        <v>1050</v>
      </c>
      <c r="B1054" t="str">
        <f t="shared" ref="B1054:B1117" si="60">"1"</f>
        <v>1</v>
      </c>
      <c r="C1054" t="str">
        <f t="shared" si="59"/>
        <v>46</v>
      </c>
      <c r="D1054" t="str">
        <f>"22"</f>
        <v>22</v>
      </c>
      <c r="E1054" t="str">
        <f>"1-46-22"</f>
        <v>1-46-22</v>
      </c>
      <c r="F1054" t="s">
        <v>83</v>
      </c>
      <c r="G1054" t="s">
        <v>86</v>
      </c>
      <c r="H1054" t="s">
        <v>93</v>
      </c>
      <c r="I1054">
        <v>1</v>
      </c>
      <c r="K1054">
        <v>0</v>
      </c>
      <c r="L1054">
        <v>0</v>
      </c>
      <c r="M1054">
        <v>1</v>
      </c>
      <c r="N1054">
        <v>0</v>
      </c>
      <c r="O1054">
        <v>0</v>
      </c>
      <c r="P1054">
        <v>0</v>
      </c>
      <c r="Q1054">
        <v>0</v>
      </c>
      <c r="R1054">
        <v>0</v>
      </c>
      <c r="U1054">
        <v>0</v>
      </c>
      <c r="V1054">
        <v>0</v>
      </c>
      <c r="W1054">
        <v>0</v>
      </c>
      <c r="X1054">
        <v>0</v>
      </c>
      <c r="Y1054">
        <v>0</v>
      </c>
      <c r="Z1054">
        <v>0</v>
      </c>
      <c r="AA1054">
        <v>0</v>
      </c>
      <c r="AB1054">
        <v>0</v>
      </c>
    </row>
    <row r="1055" spans="1:49" x14ac:dyDescent="0.25">
      <c r="A1055" t="str">
        <f>"1051"</f>
        <v>1051</v>
      </c>
      <c r="B1055" t="str">
        <f t="shared" si="60"/>
        <v>1</v>
      </c>
      <c r="C1055" t="str">
        <f t="shared" si="59"/>
        <v>46</v>
      </c>
      <c r="D1055" t="str">
        <f>"12"</f>
        <v>12</v>
      </c>
      <c r="E1055" t="str">
        <f>"1-46-12"</f>
        <v>1-46-12</v>
      </c>
      <c r="F1055" t="s">
        <v>83</v>
      </c>
      <c r="G1055" t="s">
        <v>84</v>
      </c>
      <c r="H1055" t="s">
        <v>92</v>
      </c>
      <c r="I1055">
        <v>1</v>
      </c>
      <c r="J1055">
        <v>1</v>
      </c>
      <c r="N1055">
        <v>1</v>
      </c>
      <c r="O1055">
        <v>1</v>
      </c>
      <c r="P1055">
        <v>1</v>
      </c>
      <c r="Q1055">
        <v>1</v>
      </c>
      <c r="R1055">
        <v>1</v>
      </c>
      <c r="S1055">
        <v>1</v>
      </c>
      <c r="T1055">
        <v>1</v>
      </c>
      <c r="W1055">
        <v>1</v>
      </c>
      <c r="X1055">
        <v>1</v>
      </c>
      <c r="Y1055">
        <v>1</v>
      </c>
      <c r="Z1055">
        <v>1</v>
      </c>
      <c r="AA1055">
        <v>1</v>
      </c>
      <c r="AB1055">
        <v>1</v>
      </c>
    </row>
    <row r="1056" spans="1:49" x14ac:dyDescent="0.25">
      <c r="A1056" t="str">
        <f>"1052"</f>
        <v>1052</v>
      </c>
      <c r="B1056" t="str">
        <f t="shared" si="60"/>
        <v>1</v>
      </c>
      <c r="C1056" t="str">
        <f t="shared" si="59"/>
        <v>46</v>
      </c>
      <c r="D1056" t="str">
        <f>"4"</f>
        <v>4</v>
      </c>
      <c r="E1056" t="str">
        <f>"1-46-4"</f>
        <v>1-46-4</v>
      </c>
      <c r="F1056" t="s">
        <v>83</v>
      </c>
      <c r="G1056" t="s">
        <v>84</v>
      </c>
      <c r="H1056" t="s">
        <v>92</v>
      </c>
      <c r="I1056">
        <v>1</v>
      </c>
      <c r="J1056">
        <v>1</v>
      </c>
      <c r="N1056">
        <v>1</v>
      </c>
      <c r="O1056">
        <v>1</v>
      </c>
      <c r="P1056">
        <v>1</v>
      </c>
      <c r="Q1056">
        <v>1</v>
      </c>
      <c r="R1056">
        <v>1</v>
      </c>
      <c r="S1056">
        <v>1</v>
      </c>
      <c r="T1056">
        <v>1</v>
      </c>
      <c r="W1056">
        <v>1</v>
      </c>
      <c r="X1056">
        <v>1</v>
      </c>
      <c r="Y1056">
        <v>1</v>
      </c>
      <c r="Z1056">
        <v>1</v>
      </c>
      <c r="AA1056">
        <v>1</v>
      </c>
      <c r="AB1056">
        <v>1</v>
      </c>
    </row>
    <row r="1057" spans="1:49" x14ac:dyDescent="0.25">
      <c r="A1057" t="str">
        <f>"1053"</f>
        <v>1053</v>
      </c>
      <c r="B1057" t="str">
        <f t="shared" si="60"/>
        <v>1</v>
      </c>
      <c r="C1057" t="str">
        <f t="shared" si="59"/>
        <v>46</v>
      </c>
      <c r="D1057" t="str">
        <f>"23"</f>
        <v>23</v>
      </c>
      <c r="E1057" t="str">
        <f>"1-46-23"</f>
        <v>1-46-23</v>
      </c>
      <c r="F1057" t="s">
        <v>83</v>
      </c>
      <c r="G1057" t="s">
        <v>84</v>
      </c>
      <c r="H1057" t="s">
        <v>92</v>
      </c>
      <c r="I1057">
        <v>1</v>
      </c>
      <c r="J1057">
        <v>0</v>
      </c>
      <c r="N1057">
        <v>1</v>
      </c>
      <c r="O1057">
        <v>0</v>
      </c>
      <c r="P1057">
        <v>0</v>
      </c>
      <c r="Q1057">
        <v>0</v>
      </c>
      <c r="R1057">
        <v>0</v>
      </c>
      <c r="S1057">
        <v>0</v>
      </c>
      <c r="T1057">
        <v>0</v>
      </c>
      <c r="W1057">
        <v>1</v>
      </c>
      <c r="X1057">
        <v>1</v>
      </c>
      <c r="Y1057">
        <v>1</v>
      </c>
      <c r="Z1057">
        <v>1</v>
      </c>
      <c r="AA1057">
        <v>0</v>
      </c>
      <c r="AB1057">
        <v>0</v>
      </c>
    </row>
    <row r="1058" spans="1:49" x14ac:dyDescent="0.25">
      <c r="A1058" t="str">
        <f>"1054"</f>
        <v>1054</v>
      </c>
      <c r="B1058" t="str">
        <f t="shared" si="60"/>
        <v>1</v>
      </c>
      <c r="C1058" t="str">
        <f t="shared" si="59"/>
        <v>46</v>
      </c>
      <c r="D1058" t="str">
        <f>"13"</f>
        <v>13</v>
      </c>
      <c r="E1058" t="str">
        <f>"1-46-13"</f>
        <v>1-46-13</v>
      </c>
      <c r="F1058" t="s">
        <v>83</v>
      </c>
      <c r="G1058" t="s">
        <v>84</v>
      </c>
      <c r="H1058" t="s">
        <v>85</v>
      </c>
      <c r="AC1058">
        <v>0</v>
      </c>
      <c r="AD1058">
        <v>1</v>
      </c>
      <c r="AE1058">
        <v>0</v>
      </c>
      <c r="AF1058">
        <v>0</v>
      </c>
      <c r="AG1058">
        <v>1</v>
      </c>
      <c r="AJ1058">
        <v>0</v>
      </c>
      <c r="AK1058">
        <v>1</v>
      </c>
      <c r="AL1058">
        <v>0</v>
      </c>
      <c r="AM1058">
        <v>0</v>
      </c>
      <c r="AN1058">
        <v>1</v>
      </c>
      <c r="AO1058">
        <v>1</v>
      </c>
      <c r="AP1058">
        <v>1</v>
      </c>
      <c r="AQ1058">
        <v>1</v>
      </c>
      <c r="AR1058">
        <v>1</v>
      </c>
      <c r="AS1058">
        <v>0</v>
      </c>
      <c r="AT1058">
        <v>1</v>
      </c>
      <c r="AV1058">
        <v>1</v>
      </c>
      <c r="AW1058">
        <v>1</v>
      </c>
    </row>
    <row r="1059" spans="1:49" x14ac:dyDescent="0.25">
      <c r="A1059" t="str">
        <f>"1055"</f>
        <v>1055</v>
      </c>
      <c r="B1059" t="str">
        <f t="shared" si="60"/>
        <v>1</v>
      </c>
      <c r="C1059" t="str">
        <f t="shared" si="59"/>
        <v>46</v>
      </c>
      <c r="D1059" t="str">
        <f>"5"</f>
        <v>5</v>
      </c>
      <c r="E1059" t="str">
        <f>"1-46-5"</f>
        <v>1-46-5</v>
      </c>
      <c r="F1059" t="s">
        <v>83</v>
      </c>
      <c r="G1059" t="s">
        <v>84</v>
      </c>
      <c r="H1059" t="s">
        <v>85</v>
      </c>
      <c r="AC1059">
        <v>0</v>
      </c>
      <c r="AD1059">
        <v>1</v>
      </c>
      <c r="AE1059">
        <v>0</v>
      </c>
      <c r="AF1059">
        <v>0</v>
      </c>
      <c r="AG1059">
        <v>1</v>
      </c>
      <c r="AJ1059">
        <v>1</v>
      </c>
      <c r="AK1059">
        <v>0</v>
      </c>
      <c r="AL1059">
        <v>0</v>
      </c>
      <c r="AM1059">
        <v>0</v>
      </c>
      <c r="AN1059">
        <v>1</v>
      </c>
      <c r="AO1059">
        <v>1</v>
      </c>
      <c r="AP1059">
        <v>1</v>
      </c>
      <c r="AQ1059">
        <v>1</v>
      </c>
      <c r="AR1059">
        <v>1</v>
      </c>
      <c r="AS1059">
        <v>0</v>
      </c>
      <c r="AT1059">
        <v>1</v>
      </c>
      <c r="AV1059">
        <v>1</v>
      </c>
      <c r="AW1059">
        <v>1</v>
      </c>
    </row>
    <row r="1060" spans="1:49" x14ac:dyDescent="0.25">
      <c r="A1060" t="str">
        <f>"1056"</f>
        <v>1056</v>
      </c>
      <c r="B1060" t="str">
        <f t="shared" si="60"/>
        <v>1</v>
      </c>
      <c r="C1060" t="str">
        <f t="shared" si="59"/>
        <v>46</v>
      </c>
      <c r="D1060" t="str">
        <f>"24"</f>
        <v>24</v>
      </c>
      <c r="E1060" t="str">
        <f>"1-46-24"</f>
        <v>1-46-24</v>
      </c>
      <c r="F1060" t="s">
        <v>83</v>
      </c>
      <c r="G1060" t="s">
        <v>84</v>
      </c>
      <c r="H1060" t="s">
        <v>92</v>
      </c>
      <c r="I1060">
        <v>1</v>
      </c>
      <c r="J1060">
        <v>1</v>
      </c>
      <c r="N1060">
        <v>1</v>
      </c>
      <c r="O1060">
        <v>1</v>
      </c>
      <c r="P1060">
        <v>1</v>
      </c>
      <c r="Q1060">
        <v>1</v>
      </c>
      <c r="R1060">
        <v>1</v>
      </c>
      <c r="S1060">
        <v>1</v>
      </c>
      <c r="T1060">
        <v>1</v>
      </c>
      <c r="W1060">
        <v>1</v>
      </c>
      <c r="X1060">
        <v>1</v>
      </c>
      <c r="Y1060">
        <v>1</v>
      </c>
      <c r="Z1060">
        <v>1</v>
      </c>
      <c r="AA1060">
        <v>1</v>
      </c>
      <c r="AB1060">
        <v>1</v>
      </c>
    </row>
    <row r="1061" spans="1:49" x14ac:dyDescent="0.25">
      <c r="A1061" t="str">
        <f>"1057"</f>
        <v>1057</v>
      </c>
      <c r="B1061" t="str">
        <f t="shared" si="60"/>
        <v>1</v>
      </c>
      <c r="C1061" t="str">
        <f t="shared" si="59"/>
        <v>46</v>
      </c>
      <c r="D1061" t="str">
        <f>"16"</f>
        <v>16</v>
      </c>
      <c r="E1061" t="str">
        <f>"1-46-16"</f>
        <v>1-46-16</v>
      </c>
      <c r="F1061" t="s">
        <v>83</v>
      </c>
      <c r="G1061" t="s">
        <v>84</v>
      </c>
      <c r="H1061" t="s">
        <v>92</v>
      </c>
      <c r="I1061">
        <v>1</v>
      </c>
      <c r="J1061">
        <v>1</v>
      </c>
      <c r="N1061">
        <v>1</v>
      </c>
      <c r="O1061">
        <v>1</v>
      </c>
      <c r="P1061">
        <v>0</v>
      </c>
      <c r="Q1061">
        <v>0</v>
      </c>
      <c r="R1061">
        <v>0</v>
      </c>
      <c r="S1061">
        <v>1</v>
      </c>
      <c r="T1061">
        <v>0</v>
      </c>
      <c r="W1061">
        <v>1</v>
      </c>
      <c r="X1061">
        <v>1</v>
      </c>
      <c r="Y1061">
        <v>1</v>
      </c>
      <c r="Z1061">
        <v>1</v>
      </c>
      <c r="AA1061">
        <v>0</v>
      </c>
      <c r="AB1061">
        <v>1</v>
      </c>
    </row>
    <row r="1062" spans="1:49" x14ac:dyDescent="0.25">
      <c r="A1062" t="str">
        <f>"1058"</f>
        <v>1058</v>
      </c>
      <c r="B1062" t="str">
        <f t="shared" si="60"/>
        <v>1</v>
      </c>
      <c r="C1062" t="str">
        <f t="shared" si="59"/>
        <v>46</v>
      </c>
      <c r="D1062" t="str">
        <f>"3"</f>
        <v>3</v>
      </c>
      <c r="E1062" t="str">
        <f>"1-46-3"</f>
        <v>1-46-3</v>
      </c>
      <c r="F1062" t="s">
        <v>83</v>
      </c>
      <c r="G1062" t="s">
        <v>84</v>
      </c>
      <c r="H1062" t="s">
        <v>92</v>
      </c>
      <c r="I1062">
        <v>1</v>
      </c>
      <c r="J1062">
        <v>1</v>
      </c>
      <c r="N1062">
        <v>1</v>
      </c>
      <c r="O1062">
        <v>1</v>
      </c>
      <c r="P1062">
        <v>1</v>
      </c>
      <c r="Q1062">
        <v>1</v>
      </c>
      <c r="R1062">
        <v>1</v>
      </c>
      <c r="S1062">
        <v>1</v>
      </c>
      <c r="T1062">
        <v>1</v>
      </c>
      <c r="W1062">
        <v>1</v>
      </c>
      <c r="X1062">
        <v>1</v>
      </c>
      <c r="Y1062">
        <v>1</v>
      </c>
      <c r="Z1062">
        <v>1</v>
      </c>
      <c r="AA1062">
        <v>1</v>
      </c>
      <c r="AB1062">
        <v>1</v>
      </c>
    </row>
    <row r="1063" spans="1:49" x14ac:dyDescent="0.25">
      <c r="A1063" t="str">
        <f>"1059"</f>
        <v>1059</v>
      </c>
      <c r="B1063" t="str">
        <f t="shared" si="60"/>
        <v>1</v>
      </c>
      <c r="C1063" t="str">
        <f t="shared" si="59"/>
        <v>46</v>
      </c>
      <c r="D1063" t="str">
        <f>"25"</f>
        <v>25</v>
      </c>
      <c r="E1063" t="str">
        <f>"1-46-25"</f>
        <v>1-46-25</v>
      </c>
      <c r="F1063" t="s">
        <v>83</v>
      </c>
      <c r="G1063" t="s">
        <v>84</v>
      </c>
      <c r="H1063" t="s">
        <v>92</v>
      </c>
      <c r="I1063">
        <v>1</v>
      </c>
      <c r="J1063">
        <v>1</v>
      </c>
      <c r="N1063">
        <v>1</v>
      </c>
      <c r="O1063">
        <v>1</v>
      </c>
      <c r="P1063">
        <v>1</v>
      </c>
      <c r="Q1063">
        <v>1</v>
      </c>
      <c r="R1063">
        <v>1</v>
      </c>
      <c r="S1063">
        <v>1</v>
      </c>
      <c r="T1063">
        <v>1</v>
      </c>
      <c r="W1063">
        <v>1</v>
      </c>
      <c r="X1063">
        <v>1</v>
      </c>
      <c r="Y1063">
        <v>1</v>
      </c>
      <c r="Z1063">
        <v>1</v>
      </c>
      <c r="AA1063">
        <v>0</v>
      </c>
      <c r="AB1063">
        <v>1</v>
      </c>
    </row>
    <row r="1064" spans="1:49" x14ac:dyDescent="0.25">
      <c r="A1064" t="str">
        <f>"1060"</f>
        <v>1060</v>
      </c>
      <c r="B1064" t="str">
        <f t="shared" si="60"/>
        <v>1</v>
      </c>
      <c r="C1064" t="str">
        <f t="shared" si="59"/>
        <v>46</v>
      </c>
      <c r="D1064" t="str">
        <f>"17"</f>
        <v>17</v>
      </c>
      <c r="E1064" t="str">
        <f>"1-46-17"</f>
        <v>1-46-17</v>
      </c>
      <c r="F1064" t="s">
        <v>83</v>
      </c>
      <c r="G1064" t="s">
        <v>84</v>
      </c>
      <c r="H1064" t="s">
        <v>92</v>
      </c>
      <c r="I1064">
        <v>1</v>
      </c>
      <c r="J1064">
        <v>1</v>
      </c>
      <c r="N1064">
        <v>1</v>
      </c>
      <c r="O1064">
        <v>1</v>
      </c>
      <c r="P1064">
        <v>1</v>
      </c>
      <c r="Q1064">
        <v>1</v>
      </c>
      <c r="R1064">
        <v>1</v>
      </c>
      <c r="S1064">
        <v>1</v>
      </c>
      <c r="T1064">
        <v>1</v>
      </c>
      <c r="W1064">
        <v>1</v>
      </c>
      <c r="X1064">
        <v>1</v>
      </c>
      <c r="Y1064">
        <v>1</v>
      </c>
      <c r="Z1064">
        <v>1</v>
      </c>
      <c r="AA1064">
        <v>1</v>
      </c>
      <c r="AB1064">
        <v>1</v>
      </c>
    </row>
    <row r="1065" spans="1:49" x14ac:dyDescent="0.25">
      <c r="A1065" t="str">
        <f>"1061"</f>
        <v>1061</v>
      </c>
      <c r="B1065" t="str">
        <f t="shared" si="60"/>
        <v>1</v>
      </c>
      <c r="C1065" t="str">
        <f t="shared" si="59"/>
        <v>46</v>
      </c>
      <c r="D1065" t="str">
        <f>"7"</f>
        <v>7</v>
      </c>
      <c r="E1065" t="str">
        <f>"1-46-7"</f>
        <v>1-46-7</v>
      </c>
      <c r="F1065" t="s">
        <v>83</v>
      </c>
      <c r="G1065" t="s">
        <v>84</v>
      </c>
      <c r="H1065" t="s">
        <v>85</v>
      </c>
      <c r="AC1065">
        <v>0</v>
      </c>
      <c r="AD1065">
        <v>1</v>
      </c>
      <c r="AE1065">
        <v>0</v>
      </c>
      <c r="AF1065">
        <v>0</v>
      </c>
      <c r="AG1065">
        <v>0</v>
      </c>
      <c r="AJ1065">
        <v>0</v>
      </c>
      <c r="AK1065">
        <v>0</v>
      </c>
      <c r="AL1065">
        <v>0</v>
      </c>
      <c r="AM1065">
        <v>0</v>
      </c>
      <c r="AN1065">
        <v>1</v>
      </c>
      <c r="AO1065">
        <v>0</v>
      </c>
      <c r="AP1065">
        <v>0</v>
      </c>
      <c r="AQ1065">
        <v>0</v>
      </c>
      <c r="AR1065">
        <v>0</v>
      </c>
      <c r="AS1065">
        <v>1</v>
      </c>
      <c r="AT1065">
        <v>0</v>
      </c>
      <c r="AV1065">
        <v>0</v>
      </c>
      <c r="AW1065">
        <v>1</v>
      </c>
    </row>
    <row r="1066" spans="1:49" x14ac:dyDescent="0.25">
      <c r="A1066" t="str">
        <f>"1062"</f>
        <v>1062</v>
      </c>
      <c r="B1066" t="str">
        <f t="shared" si="60"/>
        <v>1</v>
      </c>
      <c r="C1066" t="str">
        <f>"47"</f>
        <v>47</v>
      </c>
      <c r="D1066" t="str">
        <f>"1"</f>
        <v>1</v>
      </c>
      <c r="E1066" t="str">
        <f>"1-47-1"</f>
        <v>1-47-1</v>
      </c>
      <c r="F1066" t="s">
        <v>83</v>
      </c>
      <c r="G1066" t="s">
        <v>86</v>
      </c>
      <c r="H1066" t="s">
        <v>93</v>
      </c>
      <c r="I1066">
        <v>1</v>
      </c>
      <c r="K1066">
        <v>1</v>
      </c>
      <c r="L1066">
        <v>0</v>
      </c>
      <c r="M1066">
        <v>0</v>
      </c>
      <c r="N1066">
        <v>1</v>
      </c>
      <c r="O1066">
        <v>1</v>
      </c>
      <c r="P1066">
        <v>1</v>
      </c>
      <c r="Q1066">
        <v>1</v>
      </c>
      <c r="R1066">
        <v>1</v>
      </c>
      <c r="U1066">
        <v>0</v>
      </c>
      <c r="V1066">
        <v>1</v>
      </c>
      <c r="W1066">
        <v>1</v>
      </c>
      <c r="X1066">
        <v>1</v>
      </c>
      <c r="Y1066">
        <v>1</v>
      </c>
      <c r="Z1066">
        <v>1</v>
      </c>
      <c r="AA1066">
        <v>1</v>
      </c>
      <c r="AB1066">
        <v>1</v>
      </c>
    </row>
    <row r="1067" spans="1:49" x14ac:dyDescent="0.25">
      <c r="A1067" t="str">
        <f>"1063"</f>
        <v>1063</v>
      </c>
      <c r="B1067" t="str">
        <f t="shared" si="60"/>
        <v>1</v>
      </c>
      <c r="C1067" t="str">
        <f>"47"</f>
        <v>47</v>
      </c>
      <c r="D1067" t="str">
        <f>"2"</f>
        <v>2</v>
      </c>
      <c r="E1067" t="str">
        <f>"1-47-2"</f>
        <v>1-47-2</v>
      </c>
      <c r="F1067" t="s">
        <v>83</v>
      </c>
      <c r="G1067" t="s">
        <v>86</v>
      </c>
      <c r="H1067" t="s">
        <v>93</v>
      </c>
      <c r="I1067">
        <v>1</v>
      </c>
      <c r="K1067">
        <v>1</v>
      </c>
      <c r="L1067">
        <v>0</v>
      </c>
      <c r="M1067">
        <v>0</v>
      </c>
      <c r="N1067">
        <v>1</v>
      </c>
      <c r="O1067">
        <v>1</v>
      </c>
      <c r="P1067">
        <v>1</v>
      </c>
      <c r="Q1067">
        <v>1</v>
      </c>
      <c r="R1067">
        <v>1</v>
      </c>
      <c r="U1067">
        <v>0</v>
      </c>
      <c r="V1067">
        <v>1</v>
      </c>
      <c r="W1067">
        <v>1</v>
      </c>
      <c r="X1067">
        <v>1</v>
      </c>
      <c r="Y1067">
        <v>1</v>
      </c>
      <c r="Z1067">
        <v>1</v>
      </c>
      <c r="AA1067">
        <v>1</v>
      </c>
      <c r="AB1067">
        <v>1</v>
      </c>
    </row>
    <row r="1068" spans="1:49" x14ac:dyDescent="0.25">
      <c r="A1068" t="str">
        <f>"1064"</f>
        <v>1064</v>
      </c>
      <c r="B1068" t="str">
        <f t="shared" si="60"/>
        <v>1</v>
      </c>
      <c r="C1068" t="str">
        <f>"47"</f>
        <v>47</v>
      </c>
      <c r="D1068" t="str">
        <f>"3"</f>
        <v>3</v>
      </c>
      <c r="E1068" t="str">
        <f>"1-47-3"</f>
        <v>1-47-3</v>
      </c>
      <c r="F1068" t="s">
        <v>83</v>
      </c>
      <c r="G1068" t="s">
        <v>86</v>
      </c>
      <c r="H1068" t="s">
        <v>93</v>
      </c>
      <c r="I1068">
        <v>1</v>
      </c>
      <c r="K1068">
        <v>1</v>
      </c>
      <c r="L1068">
        <v>0</v>
      </c>
      <c r="M1068">
        <v>0</v>
      </c>
      <c r="N1068">
        <v>1</v>
      </c>
      <c r="O1068">
        <v>1</v>
      </c>
      <c r="P1068">
        <v>1</v>
      </c>
      <c r="Q1068">
        <v>1</v>
      </c>
      <c r="R1068">
        <v>1</v>
      </c>
      <c r="U1068">
        <v>0</v>
      </c>
      <c r="V1068">
        <v>1</v>
      </c>
      <c r="W1068">
        <v>1</v>
      </c>
      <c r="X1068">
        <v>1</v>
      </c>
      <c r="Y1068">
        <v>1</v>
      </c>
      <c r="Z1068">
        <v>1</v>
      </c>
      <c r="AA1068">
        <v>1</v>
      </c>
      <c r="AB1068">
        <v>1</v>
      </c>
    </row>
    <row r="1069" spans="1:49" x14ac:dyDescent="0.25">
      <c r="A1069" t="str">
        <f>"1065"</f>
        <v>1065</v>
      </c>
      <c r="B1069" t="str">
        <f t="shared" si="60"/>
        <v>1</v>
      </c>
      <c r="C1069" t="str">
        <f>"47"</f>
        <v>47</v>
      </c>
      <c r="D1069" t="str">
        <f>"5"</f>
        <v>5</v>
      </c>
      <c r="E1069" t="str">
        <f>"1-47-5"</f>
        <v>1-47-5</v>
      </c>
      <c r="F1069" t="s">
        <v>83</v>
      </c>
      <c r="G1069" t="s">
        <v>84</v>
      </c>
      <c r="H1069" t="s">
        <v>92</v>
      </c>
      <c r="I1069">
        <v>1</v>
      </c>
      <c r="J1069">
        <v>1</v>
      </c>
      <c r="N1069">
        <v>1</v>
      </c>
      <c r="O1069">
        <v>1</v>
      </c>
      <c r="P1069">
        <v>1</v>
      </c>
      <c r="Q1069">
        <v>1</v>
      </c>
      <c r="R1069">
        <v>1</v>
      </c>
      <c r="S1069">
        <v>1</v>
      </c>
      <c r="T1069">
        <v>1</v>
      </c>
      <c r="W1069">
        <v>1</v>
      </c>
      <c r="X1069">
        <v>1</v>
      </c>
      <c r="Y1069">
        <v>1</v>
      </c>
      <c r="Z1069">
        <v>1</v>
      </c>
      <c r="AA1069">
        <v>1</v>
      </c>
      <c r="AB1069">
        <v>1</v>
      </c>
    </row>
    <row r="1070" spans="1:49" x14ac:dyDescent="0.25">
      <c r="A1070" t="str">
        <f>"1066"</f>
        <v>1066</v>
      </c>
      <c r="B1070" t="str">
        <f t="shared" si="60"/>
        <v>1</v>
      </c>
      <c r="C1070" t="str">
        <f>"47"</f>
        <v>47</v>
      </c>
      <c r="D1070" t="str">
        <f>"4"</f>
        <v>4</v>
      </c>
      <c r="E1070" t="str">
        <f>"1-47-4"</f>
        <v>1-47-4</v>
      </c>
      <c r="F1070" t="s">
        <v>83</v>
      </c>
      <c r="G1070" t="s">
        <v>86</v>
      </c>
      <c r="H1070" t="s">
        <v>93</v>
      </c>
      <c r="I1070">
        <v>1</v>
      </c>
      <c r="K1070">
        <v>1</v>
      </c>
      <c r="L1070">
        <v>0</v>
      </c>
      <c r="M1070">
        <v>0</v>
      </c>
      <c r="N1070">
        <v>1</v>
      </c>
      <c r="O1070">
        <v>1</v>
      </c>
      <c r="P1070">
        <v>1</v>
      </c>
      <c r="Q1070">
        <v>1</v>
      </c>
      <c r="R1070">
        <v>1</v>
      </c>
      <c r="U1070">
        <v>0</v>
      </c>
      <c r="V1070">
        <v>1</v>
      </c>
      <c r="W1070">
        <v>1</v>
      </c>
      <c r="X1070">
        <v>1</v>
      </c>
      <c r="Y1070">
        <v>1</v>
      </c>
      <c r="Z1070">
        <v>1</v>
      </c>
      <c r="AA1070">
        <v>1</v>
      </c>
      <c r="AB1070">
        <v>1</v>
      </c>
    </row>
    <row r="1071" spans="1:49" x14ac:dyDescent="0.25">
      <c r="A1071" t="str">
        <f>"1067"</f>
        <v>1067</v>
      </c>
      <c r="B1071" t="str">
        <f t="shared" si="60"/>
        <v>1</v>
      </c>
      <c r="C1071" t="str">
        <f t="shared" ref="C1071:C1095" si="61">"48"</f>
        <v>48</v>
      </c>
      <c r="D1071" t="str">
        <f>"23"</f>
        <v>23</v>
      </c>
      <c r="E1071" t="str">
        <f>"1-48-23"</f>
        <v>1-48-23</v>
      </c>
      <c r="F1071" t="s">
        <v>83</v>
      </c>
      <c r="G1071" t="s">
        <v>84</v>
      </c>
      <c r="H1071" t="s">
        <v>92</v>
      </c>
      <c r="I1071">
        <v>1</v>
      </c>
      <c r="J1071">
        <v>1</v>
      </c>
      <c r="N1071">
        <v>1</v>
      </c>
      <c r="O1071">
        <v>1</v>
      </c>
      <c r="P1071">
        <v>1</v>
      </c>
      <c r="Q1071">
        <v>1</v>
      </c>
      <c r="R1071">
        <v>1</v>
      </c>
      <c r="S1071">
        <v>1</v>
      </c>
      <c r="T1071">
        <v>1</v>
      </c>
      <c r="W1071">
        <v>1</v>
      </c>
      <c r="X1071">
        <v>1</v>
      </c>
      <c r="Y1071">
        <v>1</v>
      </c>
      <c r="Z1071">
        <v>1</v>
      </c>
      <c r="AA1071">
        <v>1</v>
      </c>
      <c r="AB1071">
        <v>1</v>
      </c>
    </row>
    <row r="1072" spans="1:49" x14ac:dyDescent="0.25">
      <c r="A1072" t="str">
        <f>"1068"</f>
        <v>1068</v>
      </c>
      <c r="B1072" t="str">
        <f t="shared" si="60"/>
        <v>1</v>
      </c>
      <c r="C1072" t="str">
        <f t="shared" si="61"/>
        <v>48</v>
      </c>
      <c r="D1072" t="str">
        <f>"22"</f>
        <v>22</v>
      </c>
      <c r="E1072" t="str">
        <f>"1-48-22"</f>
        <v>1-48-22</v>
      </c>
      <c r="F1072" t="s">
        <v>83</v>
      </c>
      <c r="G1072" t="s">
        <v>84</v>
      </c>
      <c r="H1072" t="s">
        <v>92</v>
      </c>
      <c r="I1072">
        <v>1</v>
      </c>
      <c r="J1072">
        <v>1</v>
      </c>
      <c r="N1072">
        <v>1</v>
      </c>
      <c r="O1072">
        <v>1</v>
      </c>
      <c r="P1072">
        <v>1</v>
      </c>
      <c r="Q1072">
        <v>1</v>
      </c>
      <c r="R1072">
        <v>1</v>
      </c>
      <c r="S1072">
        <v>1</v>
      </c>
      <c r="T1072">
        <v>1</v>
      </c>
      <c r="W1072">
        <v>1</v>
      </c>
      <c r="X1072">
        <v>1</v>
      </c>
      <c r="Y1072">
        <v>1</v>
      </c>
      <c r="Z1072">
        <v>1</v>
      </c>
      <c r="AA1072">
        <v>1</v>
      </c>
      <c r="AB1072">
        <v>1</v>
      </c>
    </row>
    <row r="1073" spans="1:28" x14ac:dyDescent="0.25">
      <c r="A1073" t="str">
        <f>"1069"</f>
        <v>1069</v>
      </c>
      <c r="B1073" t="str">
        <f t="shared" si="60"/>
        <v>1</v>
      </c>
      <c r="C1073" t="str">
        <f t="shared" si="61"/>
        <v>48</v>
      </c>
      <c r="D1073" t="str">
        <f>"17"</f>
        <v>17</v>
      </c>
      <c r="E1073" t="str">
        <f>"1-48-17"</f>
        <v>1-48-17</v>
      </c>
      <c r="F1073" t="s">
        <v>83</v>
      </c>
      <c r="G1073" t="s">
        <v>84</v>
      </c>
      <c r="H1073" t="s">
        <v>92</v>
      </c>
      <c r="I1073">
        <v>1</v>
      </c>
      <c r="J1073">
        <v>1</v>
      </c>
      <c r="N1073">
        <v>1</v>
      </c>
      <c r="O1073">
        <v>1</v>
      </c>
      <c r="P1073">
        <v>1</v>
      </c>
      <c r="Q1073">
        <v>1</v>
      </c>
      <c r="R1073">
        <v>1</v>
      </c>
      <c r="S1073">
        <v>1</v>
      </c>
      <c r="T1073">
        <v>1</v>
      </c>
      <c r="W1073">
        <v>1</v>
      </c>
      <c r="X1073">
        <v>1</v>
      </c>
      <c r="Y1073">
        <v>1</v>
      </c>
      <c r="Z1073">
        <v>1</v>
      </c>
      <c r="AA1073">
        <v>1</v>
      </c>
      <c r="AB1073">
        <v>1</v>
      </c>
    </row>
    <row r="1074" spans="1:28" x14ac:dyDescent="0.25">
      <c r="A1074" t="str">
        <f>"1070"</f>
        <v>1070</v>
      </c>
      <c r="B1074" t="str">
        <f t="shared" si="60"/>
        <v>1</v>
      </c>
      <c r="C1074" t="str">
        <f t="shared" si="61"/>
        <v>48</v>
      </c>
      <c r="D1074" t="str">
        <f>"16"</f>
        <v>16</v>
      </c>
      <c r="E1074" t="str">
        <f>"1-48-16"</f>
        <v>1-48-16</v>
      </c>
      <c r="F1074" t="s">
        <v>83</v>
      </c>
      <c r="G1074" t="s">
        <v>84</v>
      </c>
      <c r="H1074" t="s">
        <v>92</v>
      </c>
      <c r="I1074">
        <v>1</v>
      </c>
      <c r="J1074">
        <v>1</v>
      </c>
      <c r="N1074">
        <v>1</v>
      </c>
      <c r="O1074">
        <v>1</v>
      </c>
      <c r="P1074">
        <v>1</v>
      </c>
      <c r="Q1074">
        <v>1</v>
      </c>
      <c r="R1074">
        <v>1</v>
      </c>
      <c r="S1074">
        <v>1</v>
      </c>
      <c r="T1074">
        <v>1</v>
      </c>
      <c r="W1074">
        <v>1</v>
      </c>
      <c r="X1074">
        <v>1</v>
      </c>
      <c r="Y1074">
        <v>1</v>
      </c>
      <c r="Z1074">
        <v>1</v>
      </c>
      <c r="AA1074">
        <v>1</v>
      </c>
      <c r="AB1074">
        <v>1</v>
      </c>
    </row>
    <row r="1075" spans="1:28" x14ac:dyDescent="0.25">
      <c r="A1075" t="str">
        <f>"1071"</f>
        <v>1071</v>
      </c>
      <c r="B1075" t="str">
        <f t="shared" si="60"/>
        <v>1</v>
      </c>
      <c r="C1075" t="str">
        <f t="shared" si="61"/>
        <v>48</v>
      </c>
      <c r="D1075" t="str">
        <f>"9"</f>
        <v>9</v>
      </c>
      <c r="E1075" t="str">
        <f>"1-48-9"</f>
        <v>1-48-9</v>
      </c>
      <c r="F1075" t="s">
        <v>83</v>
      </c>
      <c r="G1075" t="s">
        <v>84</v>
      </c>
      <c r="H1075" t="s">
        <v>92</v>
      </c>
      <c r="I1075">
        <v>1</v>
      </c>
      <c r="J1075">
        <v>1</v>
      </c>
      <c r="N1075">
        <v>1</v>
      </c>
      <c r="O1075">
        <v>1</v>
      </c>
      <c r="P1075">
        <v>1</v>
      </c>
      <c r="Q1075">
        <v>1</v>
      </c>
      <c r="R1075">
        <v>0</v>
      </c>
      <c r="S1075">
        <v>1</v>
      </c>
      <c r="T1075">
        <v>0</v>
      </c>
      <c r="W1075">
        <v>1</v>
      </c>
      <c r="X1075">
        <v>1</v>
      </c>
      <c r="Y1075">
        <v>1</v>
      </c>
      <c r="Z1075">
        <v>1</v>
      </c>
      <c r="AA1075">
        <v>1</v>
      </c>
      <c r="AB1075">
        <v>1</v>
      </c>
    </row>
    <row r="1076" spans="1:28" x14ac:dyDescent="0.25">
      <c r="A1076" t="str">
        <f>"1072"</f>
        <v>1072</v>
      </c>
      <c r="B1076" t="str">
        <f t="shared" si="60"/>
        <v>1</v>
      </c>
      <c r="C1076" t="str">
        <f t="shared" si="61"/>
        <v>48</v>
      </c>
      <c r="D1076" t="str">
        <f>"8"</f>
        <v>8</v>
      </c>
      <c r="E1076" t="str">
        <f>"1-48-8"</f>
        <v>1-48-8</v>
      </c>
      <c r="F1076" t="s">
        <v>83</v>
      </c>
      <c r="G1076" t="s">
        <v>84</v>
      </c>
      <c r="H1076" t="s">
        <v>92</v>
      </c>
      <c r="I1076">
        <v>1</v>
      </c>
      <c r="J1076">
        <v>1</v>
      </c>
      <c r="N1076">
        <v>1</v>
      </c>
      <c r="O1076">
        <v>0</v>
      </c>
      <c r="P1076">
        <v>0</v>
      </c>
      <c r="Q1076">
        <v>1</v>
      </c>
      <c r="R1076">
        <v>0</v>
      </c>
      <c r="S1076">
        <v>0</v>
      </c>
      <c r="T1076">
        <v>0</v>
      </c>
      <c r="W1076">
        <v>0</v>
      </c>
      <c r="X1076">
        <v>0</v>
      </c>
      <c r="Y1076">
        <v>0</v>
      </c>
      <c r="Z1076">
        <v>0</v>
      </c>
      <c r="AA1076">
        <v>0</v>
      </c>
      <c r="AB1076">
        <v>0</v>
      </c>
    </row>
    <row r="1077" spans="1:28" x14ac:dyDescent="0.25">
      <c r="A1077" t="str">
        <f>"1073"</f>
        <v>1073</v>
      </c>
      <c r="B1077" t="str">
        <f t="shared" si="60"/>
        <v>1</v>
      </c>
      <c r="C1077" t="str">
        <f t="shared" si="61"/>
        <v>48</v>
      </c>
      <c r="D1077" t="str">
        <f>"1"</f>
        <v>1</v>
      </c>
      <c r="E1077" t="str">
        <f>"1-48-1"</f>
        <v>1-48-1</v>
      </c>
      <c r="F1077" t="s">
        <v>83</v>
      </c>
      <c r="G1077" t="s">
        <v>84</v>
      </c>
      <c r="H1077" t="s">
        <v>92</v>
      </c>
      <c r="I1077">
        <v>1</v>
      </c>
      <c r="J1077">
        <v>1</v>
      </c>
      <c r="N1077">
        <v>1</v>
      </c>
      <c r="O1077">
        <v>1</v>
      </c>
      <c r="P1077">
        <v>1</v>
      </c>
      <c r="Q1077">
        <v>1</v>
      </c>
      <c r="R1077">
        <v>1</v>
      </c>
      <c r="S1077">
        <v>1</v>
      </c>
      <c r="T1077">
        <v>1</v>
      </c>
      <c r="W1077">
        <v>1</v>
      </c>
      <c r="X1077">
        <v>1</v>
      </c>
      <c r="Y1077">
        <v>1</v>
      </c>
      <c r="Z1077">
        <v>1</v>
      </c>
      <c r="AA1077">
        <v>1</v>
      </c>
      <c r="AB1077">
        <v>1</v>
      </c>
    </row>
    <row r="1078" spans="1:28" x14ac:dyDescent="0.25">
      <c r="A1078" t="str">
        <f>"1074"</f>
        <v>1074</v>
      </c>
      <c r="B1078" t="str">
        <f t="shared" si="60"/>
        <v>1</v>
      </c>
      <c r="C1078" t="str">
        <f t="shared" si="61"/>
        <v>48</v>
      </c>
      <c r="D1078" t="str">
        <f>"18"</f>
        <v>18</v>
      </c>
      <c r="E1078" t="str">
        <f>"1-48-18"</f>
        <v>1-48-18</v>
      </c>
      <c r="F1078" t="s">
        <v>83</v>
      </c>
      <c r="G1078" t="s">
        <v>84</v>
      </c>
      <c r="H1078" t="s">
        <v>92</v>
      </c>
      <c r="I1078">
        <v>1</v>
      </c>
      <c r="J1078">
        <v>0</v>
      </c>
      <c r="N1078">
        <v>1</v>
      </c>
      <c r="O1078">
        <v>1</v>
      </c>
      <c r="P1078">
        <v>1</v>
      </c>
      <c r="Q1078">
        <v>1</v>
      </c>
      <c r="R1078">
        <v>1</v>
      </c>
      <c r="S1078">
        <v>1</v>
      </c>
      <c r="T1078">
        <v>0</v>
      </c>
      <c r="W1078">
        <v>1</v>
      </c>
      <c r="X1078">
        <v>1</v>
      </c>
      <c r="Y1078">
        <v>1</v>
      </c>
      <c r="Z1078">
        <v>1</v>
      </c>
      <c r="AA1078">
        <v>1</v>
      </c>
      <c r="AB1078">
        <v>1</v>
      </c>
    </row>
    <row r="1079" spans="1:28" x14ac:dyDescent="0.25">
      <c r="A1079" t="str">
        <f>"1075"</f>
        <v>1075</v>
      </c>
      <c r="B1079" t="str">
        <f t="shared" si="60"/>
        <v>1</v>
      </c>
      <c r="C1079" t="str">
        <f t="shared" si="61"/>
        <v>48</v>
      </c>
      <c r="D1079" t="str">
        <f>"10"</f>
        <v>10</v>
      </c>
      <c r="E1079" t="str">
        <f>"1-48-10"</f>
        <v>1-48-10</v>
      </c>
      <c r="F1079" t="s">
        <v>83</v>
      </c>
      <c r="G1079" t="s">
        <v>84</v>
      </c>
      <c r="H1079" t="s">
        <v>92</v>
      </c>
      <c r="I1079">
        <v>1</v>
      </c>
      <c r="J1079">
        <v>1</v>
      </c>
      <c r="N1079">
        <v>1</v>
      </c>
      <c r="O1079">
        <v>1</v>
      </c>
      <c r="P1079">
        <v>1</v>
      </c>
      <c r="Q1079">
        <v>1</v>
      </c>
      <c r="R1079">
        <v>1</v>
      </c>
      <c r="S1079">
        <v>1</v>
      </c>
      <c r="T1079">
        <v>1</v>
      </c>
      <c r="W1079">
        <v>1</v>
      </c>
      <c r="X1079">
        <v>1</v>
      </c>
      <c r="Y1079">
        <v>1</v>
      </c>
      <c r="Z1079">
        <v>1</v>
      </c>
      <c r="AA1079">
        <v>1</v>
      </c>
      <c r="AB1079">
        <v>1</v>
      </c>
    </row>
    <row r="1080" spans="1:28" x14ac:dyDescent="0.25">
      <c r="A1080" t="str">
        <f>"1076"</f>
        <v>1076</v>
      </c>
      <c r="B1080" t="str">
        <f t="shared" si="60"/>
        <v>1</v>
      </c>
      <c r="C1080" t="str">
        <f t="shared" si="61"/>
        <v>48</v>
      </c>
      <c r="D1080" t="str">
        <f>"7"</f>
        <v>7</v>
      </c>
      <c r="E1080" t="str">
        <f>"1-48-7"</f>
        <v>1-48-7</v>
      </c>
      <c r="F1080" t="s">
        <v>83</v>
      </c>
      <c r="G1080" t="s">
        <v>84</v>
      </c>
      <c r="H1080" t="s">
        <v>92</v>
      </c>
      <c r="I1080">
        <v>1</v>
      </c>
      <c r="J1080">
        <v>1</v>
      </c>
      <c r="N1080">
        <v>1</v>
      </c>
      <c r="O1080">
        <v>1</v>
      </c>
      <c r="P1080">
        <v>1</v>
      </c>
      <c r="Q1080">
        <v>1</v>
      </c>
      <c r="R1080">
        <v>1</v>
      </c>
      <c r="S1080">
        <v>1</v>
      </c>
      <c r="T1080">
        <v>1</v>
      </c>
      <c r="W1080">
        <v>1</v>
      </c>
      <c r="X1080">
        <v>1</v>
      </c>
      <c r="Y1080">
        <v>1</v>
      </c>
      <c r="Z1080">
        <v>1</v>
      </c>
      <c r="AA1080">
        <v>1</v>
      </c>
      <c r="AB1080">
        <v>1</v>
      </c>
    </row>
    <row r="1081" spans="1:28" x14ac:dyDescent="0.25">
      <c r="A1081" t="str">
        <f>"1077"</f>
        <v>1077</v>
      </c>
      <c r="B1081" t="str">
        <f t="shared" si="60"/>
        <v>1</v>
      </c>
      <c r="C1081" t="str">
        <f t="shared" si="61"/>
        <v>48</v>
      </c>
      <c r="D1081" t="str">
        <f>"19"</f>
        <v>19</v>
      </c>
      <c r="E1081" t="str">
        <f>"1-48-19"</f>
        <v>1-48-19</v>
      </c>
      <c r="F1081" t="s">
        <v>83</v>
      </c>
      <c r="G1081" t="s">
        <v>86</v>
      </c>
      <c r="H1081" t="s">
        <v>93</v>
      </c>
      <c r="I1081">
        <v>1</v>
      </c>
      <c r="K1081">
        <v>1</v>
      </c>
      <c r="L1081">
        <v>0</v>
      </c>
      <c r="M1081">
        <v>0</v>
      </c>
      <c r="N1081">
        <v>1</v>
      </c>
      <c r="O1081">
        <v>1</v>
      </c>
      <c r="P1081">
        <v>1</v>
      </c>
      <c r="Q1081">
        <v>1</v>
      </c>
      <c r="R1081">
        <v>1</v>
      </c>
      <c r="U1081">
        <v>0</v>
      </c>
      <c r="V1081">
        <v>1</v>
      </c>
      <c r="W1081">
        <v>1</v>
      </c>
      <c r="X1081">
        <v>1</v>
      </c>
      <c r="Y1081">
        <v>1</v>
      </c>
      <c r="Z1081">
        <v>1</v>
      </c>
      <c r="AA1081">
        <v>1</v>
      </c>
      <c r="AB1081">
        <v>1</v>
      </c>
    </row>
    <row r="1082" spans="1:28" x14ac:dyDescent="0.25">
      <c r="A1082" t="str">
        <f>"1078"</f>
        <v>1078</v>
      </c>
      <c r="B1082" t="str">
        <f t="shared" si="60"/>
        <v>1</v>
      </c>
      <c r="C1082" t="str">
        <f t="shared" si="61"/>
        <v>48</v>
      </c>
      <c r="D1082" t="str">
        <f>"11"</f>
        <v>11</v>
      </c>
      <c r="E1082" t="str">
        <f>"1-48-11"</f>
        <v>1-48-11</v>
      </c>
      <c r="F1082" t="s">
        <v>83</v>
      </c>
      <c r="G1082" t="s">
        <v>84</v>
      </c>
      <c r="H1082" t="s">
        <v>92</v>
      </c>
      <c r="I1082">
        <v>1</v>
      </c>
      <c r="J1082">
        <v>1</v>
      </c>
      <c r="N1082">
        <v>1</v>
      </c>
      <c r="O1082">
        <v>1</v>
      </c>
      <c r="P1082">
        <v>1</v>
      </c>
      <c r="Q1082">
        <v>1</v>
      </c>
      <c r="R1082">
        <v>1</v>
      </c>
      <c r="S1082">
        <v>1</v>
      </c>
      <c r="T1082">
        <v>1</v>
      </c>
      <c r="W1082">
        <v>1</v>
      </c>
      <c r="X1082">
        <v>1</v>
      </c>
      <c r="Y1082">
        <v>1</v>
      </c>
      <c r="Z1082">
        <v>1</v>
      </c>
      <c r="AA1082">
        <v>1</v>
      </c>
      <c r="AB1082">
        <v>1</v>
      </c>
    </row>
    <row r="1083" spans="1:28" x14ac:dyDescent="0.25">
      <c r="A1083" t="str">
        <f>"1079"</f>
        <v>1079</v>
      </c>
      <c r="B1083" t="str">
        <f t="shared" si="60"/>
        <v>1</v>
      </c>
      <c r="C1083" t="str">
        <f t="shared" si="61"/>
        <v>48</v>
      </c>
      <c r="D1083" t="str">
        <f>"3"</f>
        <v>3</v>
      </c>
      <c r="E1083" t="str">
        <f>"1-48-3"</f>
        <v>1-48-3</v>
      </c>
      <c r="F1083" t="s">
        <v>83</v>
      </c>
      <c r="G1083" t="s">
        <v>84</v>
      </c>
      <c r="H1083" t="s">
        <v>92</v>
      </c>
      <c r="I1083">
        <v>1</v>
      </c>
      <c r="J1083">
        <v>1</v>
      </c>
      <c r="N1083">
        <v>1</v>
      </c>
      <c r="O1083">
        <v>1</v>
      </c>
      <c r="P1083">
        <v>1</v>
      </c>
      <c r="Q1083">
        <v>1</v>
      </c>
      <c r="R1083">
        <v>1</v>
      </c>
      <c r="S1083">
        <v>1</v>
      </c>
      <c r="T1083">
        <v>1</v>
      </c>
      <c r="W1083">
        <v>1</v>
      </c>
      <c r="X1083">
        <v>1</v>
      </c>
      <c r="Y1083">
        <v>1</v>
      </c>
      <c r="Z1083">
        <v>1</v>
      </c>
      <c r="AA1083">
        <v>1</v>
      </c>
      <c r="AB1083">
        <v>1</v>
      </c>
    </row>
    <row r="1084" spans="1:28" x14ac:dyDescent="0.25">
      <c r="A1084" t="str">
        <f>"1080"</f>
        <v>1080</v>
      </c>
      <c r="B1084" t="str">
        <f t="shared" si="60"/>
        <v>1</v>
      </c>
      <c r="C1084" t="str">
        <f t="shared" si="61"/>
        <v>48</v>
      </c>
      <c r="D1084" t="str">
        <f>"20"</f>
        <v>20</v>
      </c>
      <c r="E1084" t="str">
        <f>"1-48-20"</f>
        <v>1-48-20</v>
      </c>
      <c r="F1084" t="s">
        <v>83</v>
      </c>
      <c r="G1084" t="s">
        <v>84</v>
      </c>
      <c r="H1084" t="s">
        <v>92</v>
      </c>
      <c r="I1084">
        <v>1</v>
      </c>
      <c r="J1084">
        <v>1</v>
      </c>
      <c r="N1084">
        <v>1</v>
      </c>
      <c r="O1084">
        <v>0</v>
      </c>
      <c r="P1084">
        <v>0</v>
      </c>
      <c r="Q1084">
        <v>0</v>
      </c>
      <c r="R1084">
        <v>0</v>
      </c>
      <c r="S1084">
        <v>0</v>
      </c>
      <c r="T1084">
        <v>0</v>
      </c>
      <c r="W1084">
        <v>0</v>
      </c>
      <c r="X1084">
        <v>0</v>
      </c>
      <c r="Y1084">
        <v>0</v>
      </c>
      <c r="Z1084">
        <v>0</v>
      </c>
      <c r="AA1084">
        <v>0</v>
      </c>
      <c r="AB1084">
        <v>0</v>
      </c>
    </row>
    <row r="1085" spans="1:28" x14ac:dyDescent="0.25">
      <c r="A1085" t="str">
        <f>"1081"</f>
        <v>1081</v>
      </c>
      <c r="B1085" t="str">
        <f t="shared" si="60"/>
        <v>1</v>
      </c>
      <c r="C1085" t="str">
        <f t="shared" si="61"/>
        <v>48</v>
      </c>
      <c r="D1085" t="str">
        <f>"12"</f>
        <v>12</v>
      </c>
      <c r="E1085" t="str">
        <f>"1-48-12"</f>
        <v>1-48-12</v>
      </c>
      <c r="F1085" t="s">
        <v>83</v>
      </c>
      <c r="G1085" t="s">
        <v>84</v>
      </c>
      <c r="H1085" t="s">
        <v>92</v>
      </c>
      <c r="I1085">
        <v>1</v>
      </c>
      <c r="J1085">
        <v>1</v>
      </c>
      <c r="N1085">
        <v>1</v>
      </c>
      <c r="O1085">
        <v>1</v>
      </c>
      <c r="P1085">
        <v>1</v>
      </c>
      <c r="Q1085">
        <v>1</v>
      </c>
      <c r="R1085">
        <v>1</v>
      </c>
      <c r="S1085">
        <v>1</v>
      </c>
      <c r="T1085">
        <v>1</v>
      </c>
      <c r="W1085">
        <v>1</v>
      </c>
      <c r="X1085">
        <v>1</v>
      </c>
      <c r="Y1085">
        <v>1</v>
      </c>
      <c r="Z1085">
        <v>1</v>
      </c>
      <c r="AA1085">
        <v>1</v>
      </c>
      <c r="AB1085">
        <v>1</v>
      </c>
    </row>
    <row r="1086" spans="1:28" x14ac:dyDescent="0.25">
      <c r="A1086" t="str">
        <f>"1082"</f>
        <v>1082</v>
      </c>
      <c r="B1086" t="str">
        <f t="shared" si="60"/>
        <v>1</v>
      </c>
      <c r="C1086" t="str">
        <f t="shared" si="61"/>
        <v>48</v>
      </c>
      <c r="D1086" t="str">
        <f>"2"</f>
        <v>2</v>
      </c>
      <c r="E1086" t="str">
        <f>"1-48-2"</f>
        <v>1-48-2</v>
      </c>
      <c r="F1086" t="s">
        <v>83</v>
      </c>
      <c r="G1086" t="s">
        <v>84</v>
      </c>
      <c r="H1086" t="s">
        <v>92</v>
      </c>
      <c r="I1086">
        <v>1</v>
      </c>
      <c r="J1086">
        <v>1</v>
      </c>
      <c r="N1086">
        <v>1</v>
      </c>
      <c r="O1086">
        <v>1</v>
      </c>
      <c r="P1086">
        <v>1</v>
      </c>
      <c r="Q1086">
        <v>1</v>
      </c>
      <c r="R1086">
        <v>1</v>
      </c>
      <c r="S1086">
        <v>1</v>
      </c>
      <c r="T1086">
        <v>1</v>
      </c>
      <c r="W1086">
        <v>1</v>
      </c>
      <c r="X1086">
        <v>1</v>
      </c>
      <c r="Y1086">
        <v>1</v>
      </c>
      <c r="Z1086">
        <v>1</v>
      </c>
      <c r="AA1086">
        <v>1</v>
      </c>
      <c r="AB1086">
        <v>1</v>
      </c>
    </row>
    <row r="1087" spans="1:28" x14ac:dyDescent="0.25">
      <c r="A1087" t="str">
        <f>"1083"</f>
        <v>1083</v>
      </c>
      <c r="B1087" t="str">
        <f t="shared" si="60"/>
        <v>1</v>
      </c>
      <c r="C1087" t="str">
        <f t="shared" si="61"/>
        <v>48</v>
      </c>
      <c r="D1087" t="str">
        <f>"21"</f>
        <v>21</v>
      </c>
      <c r="E1087" t="str">
        <f>"1-48-21"</f>
        <v>1-48-21</v>
      </c>
      <c r="F1087" t="s">
        <v>83</v>
      </c>
      <c r="G1087" t="s">
        <v>84</v>
      </c>
      <c r="H1087" t="s">
        <v>92</v>
      </c>
      <c r="I1087">
        <v>1</v>
      </c>
      <c r="J1087">
        <v>1</v>
      </c>
      <c r="N1087">
        <v>1</v>
      </c>
      <c r="O1087">
        <v>1</v>
      </c>
      <c r="P1087">
        <v>1</v>
      </c>
      <c r="Q1087">
        <v>1</v>
      </c>
      <c r="R1087">
        <v>1</v>
      </c>
      <c r="S1087">
        <v>1</v>
      </c>
      <c r="T1087">
        <v>1</v>
      </c>
      <c r="W1087">
        <v>1</v>
      </c>
      <c r="X1087">
        <v>1</v>
      </c>
      <c r="Y1087">
        <v>1</v>
      </c>
      <c r="Z1087">
        <v>1</v>
      </c>
      <c r="AA1087">
        <v>1</v>
      </c>
      <c r="AB1087">
        <v>1</v>
      </c>
    </row>
    <row r="1088" spans="1:28" x14ac:dyDescent="0.25">
      <c r="A1088" t="str">
        <f>"1084"</f>
        <v>1084</v>
      </c>
      <c r="B1088" t="str">
        <f t="shared" si="60"/>
        <v>1</v>
      </c>
      <c r="C1088" t="str">
        <f t="shared" si="61"/>
        <v>48</v>
      </c>
      <c r="D1088" t="str">
        <f>"13"</f>
        <v>13</v>
      </c>
      <c r="E1088" t="str">
        <f>"1-48-13"</f>
        <v>1-48-13</v>
      </c>
      <c r="F1088" t="s">
        <v>83</v>
      </c>
      <c r="G1088" t="s">
        <v>84</v>
      </c>
      <c r="H1088" t="s">
        <v>92</v>
      </c>
      <c r="I1088">
        <v>1</v>
      </c>
      <c r="J1088">
        <v>1</v>
      </c>
      <c r="N1088">
        <v>1</v>
      </c>
      <c r="O1088">
        <v>1</v>
      </c>
      <c r="P1088">
        <v>1</v>
      </c>
      <c r="Q1088">
        <v>1</v>
      </c>
      <c r="R1088">
        <v>1</v>
      </c>
      <c r="S1088">
        <v>1</v>
      </c>
      <c r="T1088">
        <v>1</v>
      </c>
      <c r="W1088">
        <v>1</v>
      </c>
      <c r="X1088">
        <v>1</v>
      </c>
      <c r="Y1088">
        <v>1</v>
      </c>
      <c r="Z1088">
        <v>1</v>
      </c>
      <c r="AA1088">
        <v>1</v>
      </c>
      <c r="AB1088">
        <v>1</v>
      </c>
    </row>
    <row r="1089" spans="1:49" x14ac:dyDescent="0.25">
      <c r="A1089" t="str">
        <f>"1085"</f>
        <v>1085</v>
      </c>
      <c r="B1089" t="str">
        <f t="shared" si="60"/>
        <v>1</v>
      </c>
      <c r="C1089" t="str">
        <f t="shared" si="61"/>
        <v>48</v>
      </c>
      <c r="D1089" t="str">
        <f>"6"</f>
        <v>6</v>
      </c>
      <c r="E1089" t="str">
        <f>"1-48-6"</f>
        <v>1-48-6</v>
      </c>
      <c r="F1089" t="s">
        <v>83</v>
      </c>
      <c r="G1089" t="s">
        <v>86</v>
      </c>
      <c r="H1089" t="s">
        <v>93</v>
      </c>
      <c r="I1089">
        <v>1</v>
      </c>
      <c r="K1089">
        <v>1</v>
      </c>
      <c r="L1089">
        <v>0</v>
      </c>
      <c r="M1089">
        <v>0</v>
      </c>
      <c r="N1089">
        <v>1</v>
      </c>
      <c r="O1089">
        <v>1</v>
      </c>
      <c r="P1089">
        <v>1</v>
      </c>
      <c r="Q1089">
        <v>1</v>
      </c>
      <c r="R1089">
        <v>1</v>
      </c>
      <c r="U1089">
        <v>0</v>
      </c>
      <c r="V1089">
        <v>1</v>
      </c>
      <c r="W1089">
        <v>1</v>
      </c>
      <c r="X1089">
        <v>1</v>
      </c>
      <c r="Y1089">
        <v>1</v>
      </c>
      <c r="Z1089">
        <v>1</v>
      </c>
      <c r="AA1089">
        <v>1</v>
      </c>
      <c r="AB1089">
        <v>1</v>
      </c>
    </row>
    <row r="1090" spans="1:49" x14ac:dyDescent="0.25">
      <c r="A1090" t="str">
        <f>"1086"</f>
        <v>1086</v>
      </c>
      <c r="B1090" t="str">
        <f t="shared" si="60"/>
        <v>1</v>
      </c>
      <c r="C1090" t="str">
        <f t="shared" si="61"/>
        <v>48</v>
      </c>
      <c r="D1090" t="str">
        <f>"24"</f>
        <v>24</v>
      </c>
      <c r="E1090" t="str">
        <f>"1-48-24"</f>
        <v>1-48-24</v>
      </c>
      <c r="F1090" t="s">
        <v>83</v>
      </c>
      <c r="G1090" t="s">
        <v>84</v>
      </c>
      <c r="H1090" t="s">
        <v>92</v>
      </c>
      <c r="I1090">
        <v>1</v>
      </c>
      <c r="J1090">
        <v>1</v>
      </c>
      <c r="N1090">
        <v>1</v>
      </c>
      <c r="O1090">
        <v>1</v>
      </c>
      <c r="P1090">
        <v>1</v>
      </c>
      <c r="Q1090">
        <v>1</v>
      </c>
      <c r="R1090">
        <v>1</v>
      </c>
      <c r="S1090">
        <v>1</v>
      </c>
      <c r="T1090">
        <v>1</v>
      </c>
      <c r="W1090">
        <v>1</v>
      </c>
      <c r="X1090">
        <v>1</v>
      </c>
      <c r="Y1090">
        <v>1</v>
      </c>
      <c r="Z1090">
        <v>1</v>
      </c>
      <c r="AA1090">
        <v>1</v>
      </c>
      <c r="AB1090">
        <v>1</v>
      </c>
    </row>
    <row r="1091" spans="1:49" x14ac:dyDescent="0.25">
      <c r="A1091" t="str">
        <f>"1087"</f>
        <v>1087</v>
      </c>
      <c r="B1091" t="str">
        <f t="shared" si="60"/>
        <v>1</v>
      </c>
      <c r="C1091" t="str">
        <f t="shared" si="61"/>
        <v>48</v>
      </c>
      <c r="D1091" t="str">
        <f>"14"</f>
        <v>14</v>
      </c>
      <c r="E1091" t="str">
        <f>"1-48-14"</f>
        <v>1-48-14</v>
      </c>
      <c r="F1091" t="s">
        <v>83</v>
      </c>
      <c r="G1091" t="s">
        <v>84</v>
      </c>
      <c r="H1091" t="s">
        <v>92</v>
      </c>
      <c r="I1091">
        <v>1</v>
      </c>
      <c r="J1091">
        <v>1</v>
      </c>
      <c r="N1091">
        <v>1</v>
      </c>
      <c r="O1091">
        <v>1</v>
      </c>
      <c r="P1091">
        <v>1</v>
      </c>
      <c r="Q1091">
        <v>1</v>
      </c>
      <c r="R1091">
        <v>1</v>
      </c>
      <c r="S1091">
        <v>1</v>
      </c>
      <c r="T1091">
        <v>1</v>
      </c>
      <c r="W1091">
        <v>1</v>
      </c>
      <c r="X1091">
        <v>1</v>
      </c>
      <c r="Y1091">
        <v>1</v>
      </c>
      <c r="Z1091">
        <v>1</v>
      </c>
      <c r="AA1091">
        <v>1</v>
      </c>
      <c r="AB1091">
        <v>1</v>
      </c>
    </row>
    <row r="1092" spans="1:49" x14ac:dyDescent="0.25">
      <c r="A1092" t="str">
        <f>"1088"</f>
        <v>1088</v>
      </c>
      <c r="B1092" t="str">
        <f t="shared" si="60"/>
        <v>1</v>
      </c>
      <c r="C1092" t="str">
        <f t="shared" si="61"/>
        <v>48</v>
      </c>
      <c r="D1092" t="str">
        <f>"4"</f>
        <v>4</v>
      </c>
      <c r="E1092" t="str">
        <f>"1-48-4"</f>
        <v>1-48-4</v>
      </c>
      <c r="F1092" t="s">
        <v>83</v>
      </c>
      <c r="G1092" t="s">
        <v>84</v>
      </c>
      <c r="H1092" t="s">
        <v>92</v>
      </c>
      <c r="I1092">
        <v>1</v>
      </c>
      <c r="J1092">
        <v>1</v>
      </c>
      <c r="N1092">
        <v>1</v>
      </c>
      <c r="O1092">
        <v>1</v>
      </c>
      <c r="P1092">
        <v>1</v>
      </c>
      <c r="Q1092">
        <v>1</v>
      </c>
      <c r="R1092">
        <v>1</v>
      </c>
      <c r="S1092">
        <v>1</v>
      </c>
      <c r="T1092">
        <v>1</v>
      </c>
      <c r="W1092">
        <v>1</v>
      </c>
      <c r="X1092">
        <v>1</v>
      </c>
      <c r="Y1092">
        <v>1</v>
      </c>
      <c r="Z1092">
        <v>1</v>
      </c>
      <c r="AA1092">
        <v>1</v>
      </c>
      <c r="AB1092">
        <v>1</v>
      </c>
    </row>
    <row r="1093" spans="1:49" x14ac:dyDescent="0.25">
      <c r="A1093" t="str">
        <f>"1089"</f>
        <v>1089</v>
      </c>
      <c r="B1093" t="str">
        <f t="shared" si="60"/>
        <v>1</v>
      </c>
      <c r="C1093" t="str">
        <f t="shared" si="61"/>
        <v>48</v>
      </c>
      <c r="D1093" t="str">
        <f>"25"</f>
        <v>25</v>
      </c>
      <c r="E1093" t="str">
        <f>"1-48-25"</f>
        <v>1-48-25</v>
      </c>
      <c r="F1093" t="s">
        <v>83</v>
      </c>
      <c r="G1093" t="s">
        <v>84</v>
      </c>
      <c r="H1093" t="s">
        <v>92</v>
      </c>
      <c r="I1093">
        <v>1</v>
      </c>
      <c r="J1093">
        <v>0</v>
      </c>
      <c r="N1093">
        <v>1</v>
      </c>
      <c r="O1093">
        <v>0</v>
      </c>
      <c r="P1093">
        <v>0</v>
      </c>
      <c r="Q1093">
        <v>1</v>
      </c>
      <c r="R1093">
        <v>1</v>
      </c>
      <c r="S1093">
        <v>0</v>
      </c>
      <c r="T1093">
        <v>1</v>
      </c>
      <c r="W1093">
        <v>1</v>
      </c>
      <c r="X1093">
        <v>1</v>
      </c>
      <c r="Y1093">
        <v>1</v>
      </c>
      <c r="Z1093">
        <v>1</v>
      </c>
      <c r="AA1093">
        <v>1</v>
      </c>
      <c r="AB1093">
        <v>1</v>
      </c>
    </row>
    <row r="1094" spans="1:49" x14ac:dyDescent="0.25">
      <c r="A1094" t="str">
        <f>"1090"</f>
        <v>1090</v>
      </c>
      <c r="B1094" t="str">
        <f t="shared" si="60"/>
        <v>1</v>
      </c>
      <c r="C1094" t="str">
        <f t="shared" si="61"/>
        <v>48</v>
      </c>
      <c r="D1094" t="str">
        <f>"15"</f>
        <v>15</v>
      </c>
      <c r="E1094" t="str">
        <f>"1-48-15"</f>
        <v>1-48-15</v>
      </c>
      <c r="F1094" t="s">
        <v>83</v>
      </c>
      <c r="G1094" t="s">
        <v>84</v>
      </c>
      <c r="H1094" t="s">
        <v>92</v>
      </c>
      <c r="I1094">
        <v>1</v>
      </c>
      <c r="J1094">
        <v>1</v>
      </c>
      <c r="N1094">
        <v>1</v>
      </c>
      <c r="O1094">
        <v>1</v>
      </c>
      <c r="P1094">
        <v>1</v>
      </c>
      <c r="Q1094">
        <v>1</v>
      </c>
      <c r="R1094">
        <v>1</v>
      </c>
      <c r="S1094">
        <v>1</v>
      </c>
      <c r="T1094">
        <v>1</v>
      </c>
      <c r="W1094">
        <v>1</v>
      </c>
      <c r="X1094">
        <v>1</v>
      </c>
      <c r="Y1094">
        <v>1</v>
      </c>
      <c r="Z1094">
        <v>1</v>
      </c>
      <c r="AA1094">
        <v>1</v>
      </c>
      <c r="AB1094">
        <v>1</v>
      </c>
    </row>
    <row r="1095" spans="1:49" x14ac:dyDescent="0.25">
      <c r="A1095" t="str">
        <f>"1091"</f>
        <v>1091</v>
      </c>
      <c r="B1095" t="str">
        <f t="shared" si="60"/>
        <v>1</v>
      </c>
      <c r="C1095" t="str">
        <f t="shared" si="61"/>
        <v>48</v>
      </c>
      <c r="D1095" t="str">
        <f>"5"</f>
        <v>5</v>
      </c>
      <c r="E1095" t="str">
        <f>"1-48-5"</f>
        <v>1-48-5</v>
      </c>
      <c r="F1095" t="s">
        <v>83</v>
      </c>
      <c r="G1095" t="s">
        <v>84</v>
      </c>
      <c r="H1095" t="s">
        <v>92</v>
      </c>
      <c r="I1095">
        <v>1</v>
      </c>
      <c r="J1095">
        <v>1</v>
      </c>
      <c r="N1095">
        <v>1</v>
      </c>
      <c r="O1095">
        <v>1</v>
      </c>
      <c r="P1095">
        <v>1</v>
      </c>
      <c r="Q1095">
        <v>1</v>
      </c>
      <c r="R1095">
        <v>0</v>
      </c>
      <c r="S1095">
        <v>1</v>
      </c>
      <c r="T1095">
        <v>0</v>
      </c>
      <c r="W1095">
        <v>1</v>
      </c>
      <c r="X1095">
        <v>1</v>
      </c>
      <c r="Y1095">
        <v>1</v>
      </c>
      <c r="Z1095">
        <v>0</v>
      </c>
      <c r="AA1095">
        <v>1</v>
      </c>
      <c r="AB1095">
        <v>1</v>
      </c>
    </row>
    <row r="1096" spans="1:49" x14ac:dyDescent="0.25">
      <c r="A1096" t="str">
        <f>"1092"</f>
        <v>1092</v>
      </c>
      <c r="B1096" t="str">
        <f t="shared" si="60"/>
        <v>1</v>
      </c>
      <c r="C1096" t="str">
        <f t="shared" ref="C1096:C1114" si="62">"49"</f>
        <v>49</v>
      </c>
      <c r="D1096" t="str">
        <f>"15"</f>
        <v>15</v>
      </c>
      <c r="E1096" t="str">
        <f>"1-49-15"</f>
        <v>1-49-15</v>
      </c>
      <c r="F1096" t="s">
        <v>83</v>
      </c>
      <c r="G1096" t="s">
        <v>84</v>
      </c>
      <c r="H1096" t="s">
        <v>85</v>
      </c>
      <c r="AC1096">
        <v>0</v>
      </c>
      <c r="AD1096">
        <v>1</v>
      </c>
      <c r="AE1096">
        <v>0</v>
      </c>
      <c r="AF1096">
        <v>0</v>
      </c>
      <c r="AG1096">
        <v>0</v>
      </c>
      <c r="AJ1096">
        <v>0</v>
      </c>
      <c r="AK1096">
        <v>1</v>
      </c>
      <c r="AL1096">
        <v>0</v>
      </c>
      <c r="AM1096">
        <v>0</v>
      </c>
      <c r="AN1096">
        <v>1</v>
      </c>
      <c r="AO1096">
        <v>1</v>
      </c>
      <c r="AP1096">
        <v>1</v>
      </c>
      <c r="AQ1096">
        <v>1</v>
      </c>
      <c r="AR1096">
        <v>1</v>
      </c>
      <c r="AS1096">
        <v>0</v>
      </c>
      <c r="AT1096">
        <v>1</v>
      </c>
      <c r="AV1096">
        <v>1</v>
      </c>
      <c r="AW1096">
        <v>1</v>
      </c>
    </row>
    <row r="1097" spans="1:49" x14ac:dyDescent="0.25">
      <c r="A1097" t="str">
        <f>"1093"</f>
        <v>1093</v>
      </c>
      <c r="B1097" t="str">
        <f t="shared" si="60"/>
        <v>1</v>
      </c>
      <c r="C1097" t="str">
        <f t="shared" si="62"/>
        <v>49</v>
      </c>
      <c r="D1097" t="str">
        <f>"8"</f>
        <v>8</v>
      </c>
      <c r="E1097" t="str">
        <f>"1-49-8"</f>
        <v>1-49-8</v>
      </c>
      <c r="F1097" t="s">
        <v>83</v>
      </c>
      <c r="G1097" t="s">
        <v>84</v>
      </c>
      <c r="H1097" t="s">
        <v>85</v>
      </c>
      <c r="AC1097">
        <v>0</v>
      </c>
      <c r="AD1097">
        <v>1</v>
      </c>
      <c r="AE1097">
        <v>0</v>
      </c>
      <c r="AF1097">
        <v>0</v>
      </c>
      <c r="AG1097">
        <v>0</v>
      </c>
      <c r="AJ1097">
        <v>0</v>
      </c>
      <c r="AK1097">
        <v>1</v>
      </c>
      <c r="AL1097">
        <v>0</v>
      </c>
      <c r="AM1097">
        <v>0</v>
      </c>
      <c r="AN1097">
        <v>1</v>
      </c>
      <c r="AO1097">
        <v>0</v>
      </c>
      <c r="AP1097">
        <v>0</v>
      </c>
      <c r="AQ1097">
        <v>0</v>
      </c>
      <c r="AR1097">
        <v>0</v>
      </c>
      <c r="AS1097">
        <v>0</v>
      </c>
      <c r="AT1097">
        <v>0</v>
      </c>
      <c r="AV1097">
        <v>0</v>
      </c>
      <c r="AW1097">
        <v>0</v>
      </c>
    </row>
    <row r="1098" spans="1:49" x14ac:dyDescent="0.25">
      <c r="A1098" t="str">
        <f>"1094"</f>
        <v>1094</v>
      </c>
      <c r="B1098" t="str">
        <f t="shared" si="60"/>
        <v>1</v>
      </c>
      <c r="C1098" t="str">
        <f t="shared" si="62"/>
        <v>49</v>
      </c>
      <c r="D1098" t="str">
        <f>"6"</f>
        <v>6</v>
      </c>
      <c r="E1098" t="str">
        <f>"1-49-6"</f>
        <v>1-49-6</v>
      </c>
      <c r="F1098" t="s">
        <v>83</v>
      </c>
      <c r="G1098" t="s">
        <v>84</v>
      </c>
      <c r="H1098" t="s">
        <v>92</v>
      </c>
      <c r="I1098">
        <v>1</v>
      </c>
      <c r="J1098">
        <v>1</v>
      </c>
      <c r="N1098">
        <v>1</v>
      </c>
      <c r="O1098">
        <v>1</v>
      </c>
      <c r="P1098">
        <v>1</v>
      </c>
      <c r="Q1098">
        <v>1</v>
      </c>
      <c r="R1098">
        <v>1</v>
      </c>
      <c r="S1098">
        <v>1</v>
      </c>
      <c r="T1098">
        <v>1</v>
      </c>
      <c r="W1098">
        <v>1</v>
      </c>
      <c r="X1098">
        <v>1</v>
      </c>
      <c r="Y1098">
        <v>1</v>
      </c>
      <c r="Z1098">
        <v>1</v>
      </c>
      <c r="AA1098">
        <v>1</v>
      </c>
      <c r="AB1098">
        <v>1</v>
      </c>
    </row>
    <row r="1099" spans="1:49" x14ac:dyDescent="0.25">
      <c r="A1099" t="str">
        <f>"1095"</f>
        <v>1095</v>
      </c>
      <c r="B1099" t="str">
        <f t="shared" si="60"/>
        <v>1</v>
      </c>
      <c r="C1099" t="str">
        <f t="shared" si="62"/>
        <v>49</v>
      </c>
      <c r="D1099" t="str">
        <f>"16"</f>
        <v>16</v>
      </c>
      <c r="E1099" t="str">
        <f>"1-49-16"</f>
        <v>1-49-16</v>
      </c>
      <c r="F1099" t="s">
        <v>83</v>
      </c>
      <c r="G1099" t="s">
        <v>84</v>
      </c>
      <c r="H1099" t="s">
        <v>92</v>
      </c>
      <c r="I1099">
        <v>1</v>
      </c>
      <c r="J1099">
        <v>1</v>
      </c>
      <c r="N1099">
        <v>1</v>
      </c>
      <c r="O1099">
        <v>1</v>
      </c>
      <c r="P1099">
        <v>1</v>
      </c>
      <c r="Q1099">
        <v>1</v>
      </c>
      <c r="R1099">
        <v>1</v>
      </c>
      <c r="S1099">
        <v>1</v>
      </c>
      <c r="T1099">
        <v>1</v>
      </c>
      <c r="W1099">
        <v>1</v>
      </c>
      <c r="X1099">
        <v>1</v>
      </c>
      <c r="Y1099">
        <v>1</v>
      </c>
      <c r="Z1099">
        <v>1</v>
      </c>
      <c r="AA1099">
        <v>1</v>
      </c>
      <c r="AB1099">
        <v>1</v>
      </c>
    </row>
    <row r="1100" spans="1:49" x14ac:dyDescent="0.25">
      <c r="A1100" t="str">
        <f>"1096"</f>
        <v>1096</v>
      </c>
      <c r="B1100" t="str">
        <f t="shared" si="60"/>
        <v>1</v>
      </c>
      <c r="C1100" t="str">
        <f t="shared" si="62"/>
        <v>49</v>
      </c>
      <c r="D1100" t="str">
        <f>"9"</f>
        <v>9</v>
      </c>
      <c r="E1100" t="str">
        <f>"1-49-9"</f>
        <v>1-49-9</v>
      </c>
      <c r="F1100" t="s">
        <v>83</v>
      </c>
      <c r="G1100" t="s">
        <v>84</v>
      </c>
      <c r="H1100" t="s">
        <v>85</v>
      </c>
      <c r="AC1100">
        <v>0</v>
      </c>
      <c r="AD1100">
        <v>1</v>
      </c>
      <c r="AE1100">
        <v>0</v>
      </c>
      <c r="AF1100">
        <v>0</v>
      </c>
      <c r="AG1100">
        <v>0</v>
      </c>
      <c r="AJ1100">
        <v>0</v>
      </c>
      <c r="AK1100">
        <v>1</v>
      </c>
      <c r="AL1100">
        <v>0</v>
      </c>
      <c r="AM1100">
        <v>0</v>
      </c>
      <c r="AN1100">
        <v>1</v>
      </c>
      <c r="AO1100">
        <v>0</v>
      </c>
      <c r="AP1100">
        <v>0</v>
      </c>
      <c r="AQ1100">
        <v>0</v>
      </c>
      <c r="AR1100">
        <v>0</v>
      </c>
      <c r="AS1100">
        <v>0</v>
      </c>
      <c r="AT1100">
        <v>0</v>
      </c>
      <c r="AV1100">
        <v>0</v>
      </c>
      <c r="AW1100">
        <v>0</v>
      </c>
    </row>
    <row r="1101" spans="1:49" x14ac:dyDescent="0.25">
      <c r="A1101" t="str">
        <f>"1097"</f>
        <v>1097</v>
      </c>
      <c r="B1101" t="str">
        <f t="shared" si="60"/>
        <v>1</v>
      </c>
      <c r="C1101" t="str">
        <f t="shared" si="62"/>
        <v>49</v>
      </c>
      <c r="D1101" t="str">
        <f>"4"</f>
        <v>4</v>
      </c>
      <c r="E1101" t="str">
        <f>"1-49-4"</f>
        <v>1-49-4</v>
      </c>
      <c r="F1101" t="s">
        <v>83</v>
      </c>
      <c r="G1101" t="s">
        <v>84</v>
      </c>
      <c r="H1101" t="s">
        <v>85</v>
      </c>
      <c r="AC1101">
        <v>1</v>
      </c>
      <c r="AD1101">
        <v>0</v>
      </c>
      <c r="AE1101">
        <v>0</v>
      </c>
      <c r="AF1101">
        <v>0</v>
      </c>
      <c r="AG1101">
        <v>0</v>
      </c>
      <c r="AJ1101">
        <v>1</v>
      </c>
      <c r="AK1101">
        <v>0</v>
      </c>
      <c r="AL1101">
        <v>0</v>
      </c>
      <c r="AM1101">
        <v>1</v>
      </c>
      <c r="AN1101">
        <v>0</v>
      </c>
      <c r="AO1101">
        <v>1</v>
      </c>
      <c r="AP1101">
        <v>1</v>
      </c>
      <c r="AQ1101">
        <v>1</v>
      </c>
      <c r="AR1101">
        <v>1</v>
      </c>
      <c r="AS1101">
        <v>0</v>
      </c>
      <c r="AT1101">
        <v>1</v>
      </c>
      <c r="AV1101">
        <v>1</v>
      </c>
      <c r="AW1101">
        <v>1</v>
      </c>
    </row>
    <row r="1102" spans="1:49" x14ac:dyDescent="0.25">
      <c r="A1102" t="str">
        <f>"1098"</f>
        <v>1098</v>
      </c>
      <c r="B1102" t="str">
        <f t="shared" si="60"/>
        <v>1</v>
      </c>
      <c r="C1102" t="str">
        <f t="shared" si="62"/>
        <v>49</v>
      </c>
      <c r="D1102" t="str">
        <f>"18"</f>
        <v>18</v>
      </c>
      <c r="E1102" t="str">
        <f>"1-49-18"</f>
        <v>1-49-18</v>
      </c>
      <c r="F1102" t="s">
        <v>83</v>
      </c>
      <c r="G1102" t="s">
        <v>84</v>
      </c>
      <c r="H1102" t="s">
        <v>85</v>
      </c>
      <c r="AC1102">
        <v>0</v>
      </c>
      <c r="AD1102">
        <v>1</v>
      </c>
      <c r="AE1102">
        <v>0</v>
      </c>
      <c r="AF1102">
        <v>0</v>
      </c>
      <c r="AG1102">
        <v>0</v>
      </c>
      <c r="AJ1102">
        <v>0</v>
      </c>
      <c r="AK1102">
        <v>1</v>
      </c>
      <c r="AL1102">
        <v>0</v>
      </c>
      <c r="AM1102">
        <v>0</v>
      </c>
      <c r="AN1102">
        <v>1</v>
      </c>
      <c r="AO1102">
        <v>0</v>
      </c>
      <c r="AP1102">
        <v>0</v>
      </c>
      <c r="AQ1102">
        <v>0</v>
      </c>
      <c r="AR1102">
        <v>0</v>
      </c>
      <c r="AS1102">
        <v>1</v>
      </c>
      <c r="AT1102">
        <v>0</v>
      </c>
      <c r="AV1102">
        <v>0</v>
      </c>
      <c r="AW1102">
        <v>0</v>
      </c>
    </row>
    <row r="1103" spans="1:49" x14ac:dyDescent="0.25">
      <c r="A1103" t="str">
        <f>"1099"</f>
        <v>1099</v>
      </c>
      <c r="B1103" t="str">
        <f t="shared" si="60"/>
        <v>1</v>
      </c>
      <c r="C1103" t="str">
        <f t="shared" si="62"/>
        <v>49</v>
      </c>
      <c r="D1103" t="str">
        <f>"10"</f>
        <v>10</v>
      </c>
      <c r="E1103" t="str">
        <f>"1-49-10"</f>
        <v>1-49-10</v>
      </c>
      <c r="F1103" t="s">
        <v>83</v>
      </c>
      <c r="G1103" t="s">
        <v>86</v>
      </c>
      <c r="H1103" t="s">
        <v>87</v>
      </c>
      <c r="AC1103">
        <v>0</v>
      </c>
      <c r="AD1103">
        <v>0</v>
      </c>
      <c r="AE1103">
        <v>0</v>
      </c>
      <c r="AF1103">
        <v>0</v>
      </c>
      <c r="AH1103">
        <v>0</v>
      </c>
      <c r="AI1103">
        <v>1</v>
      </c>
      <c r="AJ1103">
        <v>0</v>
      </c>
      <c r="AK1103">
        <v>0</v>
      </c>
      <c r="AL1103">
        <v>0</v>
      </c>
      <c r="AM1103">
        <v>0</v>
      </c>
      <c r="AN1103">
        <v>0</v>
      </c>
      <c r="AO1103">
        <v>0</v>
      </c>
      <c r="AP1103">
        <v>0</v>
      </c>
      <c r="AQ1103">
        <v>0</v>
      </c>
      <c r="AU1103">
        <v>0</v>
      </c>
      <c r="AV1103">
        <v>0</v>
      </c>
      <c r="AW1103">
        <v>0</v>
      </c>
    </row>
    <row r="1104" spans="1:49" x14ac:dyDescent="0.25">
      <c r="A1104" t="str">
        <f>"1100"</f>
        <v>1100</v>
      </c>
      <c r="B1104" t="str">
        <f t="shared" si="60"/>
        <v>1</v>
      </c>
      <c r="C1104" t="str">
        <f t="shared" si="62"/>
        <v>49</v>
      </c>
      <c r="D1104" t="str">
        <f>"5"</f>
        <v>5</v>
      </c>
      <c r="E1104" t="str">
        <f>"1-49-5"</f>
        <v>1-49-5</v>
      </c>
      <c r="F1104" t="s">
        <v>83</v>
      </c>
      <c r="G1104" t="s">
        <v>86</v>
      </c>
      <c r="H1104" t="s">
        <v>87</v>
      </c>
      <c r="AC1104">
        <v>0</v>
      </c>
      <c r="AD1104">
        <v>1</v>
      </c>
      <c r="AE1104">
        <v>0</v>
      </c>
      <c r="AF1104">
        <v>0</v>
      </c>
      <c r="AH1104">
        <v>0</v>
      </c>
      <c r="AI1104">
        <v>1</v>
      </c>
      <c r="AJ1104">
        <v>0</v>
      </c>
      <c r="AK1104">
        <v>1</v>
      </c>
      <c r="AL1104">
        <v>0</v>
      </c>
      <c r="AM1104">
        <v>1</v>
      </c>
      <c r="AN1104">
        <v>0</v>
      </c>
      <c r="AO1104">
        <v>1</v>
      </c>
      <c r="AP1104">
        <v>1</v>
      </c>
      <c r="AQ1104">
        <v>1</v>
      </c>
      <c r="AU1104">
        <v>1</v>
      </c>
      <c r="AV1104">
        <v>1</v>
      </c>
      <c r="AW1104">
        <v>1</v>
      </c>
    </row>
    <row r="1105" spans="1:49" x14ac:dyDescent="0.25">
      <c r="A1105" t="str">
        <f>"1101"</f>
        <v>1101</v>
      </c>
      <c r="B1105" t="str">
        <f t="shared" si="60"/>
        <v>1</v>
      </c>
      <c r="C1105" t="str">
        <f t="shared" si="62"/>
        <v>49</v>
      </c>
      <c r="D1105" t="str">
        <f>"19"</f>
        <v>19</v>
      </c>
      <c r="E1105" t="str">
        <f>"1-49-19"</f>
        <v>1-49-19</v>
      </c>
      <c r="F1105" t="s">
        <v>83</v>
      </c>
      <c r="G1105" t="s">
        <v>84</v>
      </c>
      <c r="H1105" t="s">
        <v>85</v>
      </c>
      <c r="AC1105">
        <v>0</v>
      </c>
      <c r="AD1105">
        <v>1</v>
      </c>
      <c r="AE1105">
        <v>0</v>
      </c>
      <c r="AF1105">
        <v>0</v>
      </c>
      <c r="AG1105">
        <v>0</v>
      </c>
      <c r="AJ1105">
        <v>1</v>
      </c>
      <c r="AK1105">
        <v>0</v>
      </c>
      <c r="AL1105">
        <v>0</v>
      </c>
      <c r="AM1105">
        <v>0</v>
      </c>
      <c r="AN1105">
        <v>1</v>
      </c>
      <c r="AO1105">
        <v>0</v>
      </c>
      <c r="AP1105">
        <v>0</v>
      </c>
      <c r="AQ1105">
        <v>0</v>
      </c>
      <c r="AR1105">
        <v>0</v>
      </c>
      <c r="AS1105">
        <v>0</v>
      </c>
      <c r="AT1105">
        <v>1</v>
      </c>
      <c r="AV1105">
        <v>0</v>
      </c>
      <c r="AW1105">
        <v>0</v>
      </c>
    </row>
    <row r="1106" spans="1:49" x14ac:dyDescent="0.25">
      <c r="A1106" t="str">
        <f>"1102"</f>
        <v>1102</v>
      </c>
      <c r="B1106" t="str">
        <f t="shared" si="60"/>
        <v>1</v>
      </c>
      <c r="C1106" t="str">
        <f t="shared" si="62"/>
        <v>49</v>
      </c>
      <c r="D1106" t="str">
        <f>"11"</f>
        <v>11</v>
      </c>
      <c r="E1106" t="str">
        <f>"1-49-11"</f>
        <v>1-49-11</v>
      </c>
      <c r="F1106" t="s">
        <v>83</v>
      </c>
      <c r="G1106" t="s">
        <v>86</v>
      </c>
      <c r="H1106" t="s">
        <v>93</v>
      </c>
      <c r="I1106">
        <v>1</v>
      </c>
      <c r="K1106">
        <v>0</v>
      </c>
      <c r="L1106">
        <v>0</v>
      </c>
      <c r="M1106">
        <v>1</v>
      </c>
      <c r="N1106">
        <v>1</v>
      </c>
      <c r="O1106">
        <v>1</v>
      </c>
      <c r="P1106">
        <v>1</v>
      </c>
      <c r="Q1106">
        <v>1</v>
      </c>
      <c r="R1106">
        <v>1</v>
      </c>
      <c r="U1106">
        <v>1</v>
      </c>
      <c r="V1106">
        <v>0</v>
      </c>
      <c r="W1106">
        <v>1</v>
      </c>
      <c r="X1106">
        <v>1</v>
      </c>
      <c r="Y1106">
        <v>1</v>
      </c>
      <c r="Z1106">
        <v>1</v>
      </c>
      <c r="AA1106">
        <v>1</v>
      </c>
      <c r="AB1106">
        <v>1</v>
      </c>
    </row>
    <row r="1107" spans="1:49" x14ac:dyDescent="0.25">
      <c r="A1107" t="str">
        <f>"1103"</f>
        <v>1103</v>
      </c>
      <c r="B1107" t="str">
        <f t="shared" si="60"/>
        <v>1</v>
      </c>
      <c r="C1107" t="str">
        <f t="shared" si="62"/>
        <v>49</v>
      </c>
      <c r="D1107" t="str">
        <f>"2"</f>
        <v>2</v>
      </c>
      <c r="E1107" t="str">
        <f>"1-49-2"</f>
        <v>1-49-2</v>
      </c>
      <c r="F1107" t="s">
        <v>83</v>
      </c>
      <c r="G1107" t="s">
        <v>84</v>
      </c>
      <c r="H1107" t="s">
        <v>92</v>
      </c>
      <c r="I1107">
        <v>1</v>
      </c>
      <c r="J1107">
        <v>1</v>
      </c>
      <c r="N1107">
        <v>1</v>
      </c>
      <c r="O1107">
        <v>1</v>
      </c>
      <c r="P1107">
        <v>1</v>
      </c>
      <c r="Q1107">
        <v>1</v>
      </c>
      <c r="R1107">
        <v>1</v>
      </c>
      <c r="S1107">
        <v>1</v>
      </c>
      <c r="T1107">
        <v>1</v>
      </c>
      <c r="W1107">
        <v>1</v>
      </c>
      <c r="X1107">
        <v>1</v>
      </c>
      <c r="Y1107">
        <v>1</v>
      </c>
      <c r="Z1107">
        <v>1</v>
      </c>
      <c r="AA1107">
        <v>1</v>
      </c>
      <c r="AB1107">
        <v>1</v>
      </c>
    </row>
    <row r="1108" spans="1:49" x14ac:dyDescent="0.25">
      <c r="A1108" t="str">
        <f>"1104"</f>
        <v>1104</v>
      </c>
      <c r="B1108" t="str">
        <f t="shared" si="60"/>
        <v>1</v>
      </c>
      <c r="C1108" t="str">
        <f t="shared" si="62"/>
        <v>49</v>
      </c>
      <c r="D1108" t="str">
        <f>"17"</f>
        <v>17</v>
      </c>
      <c r="E1108" t="str">
        <f>"1-49-17"</f>
        <v>1-49-17</v>
      </c>
      <c r="F1108" t="s">
        <v>83</v>
      </c>
      <c r="G1108" t="s">
        <v>84</v>
      </c>
      <c r="H1108" t="s">
        <v>85</v>
      </c>
      <c r="AC1108">
        <v>0</v>
      </c>
      <c r="AD1108">
        <v>1</v>
      </c>
      <c r="AE1108">
        <v>0</v>
      </c>
      <c r="AF1108">
        <v>0</v>
      </c>
      <c r="AG1108">
        <v>0</v>
      </c>
      <c r="AJ1108">
        <v>0</v>
      </c>
      <c r="AK1108">
        <v>1</v>
      </c>
      <c r="AL1108">
        <v>0</v>
      </c>
      <c r="AM1108">
        <v>0</v>
      </c>
      <c r="AN1108">
        <v>1</v>
      </c>
      <c r="AO1108">
        <v>0</v>
      </c>
      <c r="AP1108">
        <v>0</v>
      </c>
      <c r="AQ1108">
        <v>0</v>
      </c>
      <c r="AR1108">
        <v>0</v>
      </c>
      <c r="AS1108">
        <v>1</v>
      </c>
      <c r="AT1108">
        <v>0</v>
      </c>
      <c r="AV1108">
        <v>1</v>
      </c>
      <c r="AW1108">
        <v>1</v>
      </c>
    </row>
    <row r="1109" spans="1:49" x14ac:dyDescent="0.25">
      <c r="A1109" t="str">
        <f>"1105"</f>
        <v>1105</v>
      </c>
      <c r="B1109" t="str">
        <f t="shared" si="60"/>
        <v>1</v>
      </c>
      <c r="C1109" t="str">
        <f t="shared" si="62"/>
        <v>49</v>
      </c>
      <c r="D1109" t="str">
        <f>"12"</f>
        <v>12</v>
      </c>
      <c r="E1109" t="str">
        <f>"1-49-12"</f>
        <v>1-49-12</v>
      </c>
      <c r="F1109" t="s">
        <v>83</v>
      </c>
      <c r="G1109" t="s">
        <v>86</v>
      </c>
      <c r="H1109" t="s">
        <v>93</v>
      </c>
      <c r="I1109">
        <v>1</v>
      </c>
      <c r="K1109">
        <v>0</v>
      </c>
      <c r="L1109">
        <v>0</v>
      </c>
      <c r="M1109">
        <v>1</v>
      </c>
      <c r="N1109">
        <v>1</v>
      </c>
      <c r="O1109">
        <v>1</v>
      </c>
      <c r="P1109">
        <v>1</v>
      </c>
      <c r="Q1109">
        <v>1</v>
      </c>
      <c r="R1109">
        <v>1</v>
      </c>
      <c r="U1109">
        <v>0</v>
      </c>
      <c r="V1109">
        <v>1</v>
      </c>
      <c r="W1109">
        <v>1</v>
      </c>
      <c r="X1109">
        <v>1</v>
      </c>
      <c r="Y1109">
        <v>1</v>
      </c>
      <c r="Z1109">
        <v>1</v>
      </c>
      <c r="AA1109">
        <v>1</v>
      </c>
      <c r="AB1109">
        <v>1</v>
      </c>
    </row>
    <row r="1110" spans="1:49" x14ac:dyDescent="0.25">
      <c r="A1110" t="str">
        <f>"1106"</f>
        <v>1106</v>
      </c>
      <c r="B1110" t="str">
        <f t="shared" si="60"/>
        <v>1</v>
      </c>
      <c r="C1110" t="str">
        <f t="shared" si="62"/>
        <v>49</v>
      </c>
      <c r="D1110" t="str">
        <f>"3"</f>
        <v>3</v>
      </c>
      <c r="E1110" t="str">
        <f>"1-49-3"</f>
        <v>1-49-3</v>
      </c>
      <c r="F1110" t="s">
        <v>83</v>
      </c>
      <c r="G1110" t="s">
        <v>84</v>
      </c>
      <c r="H1110" t="s">
        <v>92</v>
      </c>
      <c r="I1110">
        <v>1</v>
      </c>
      <c r="J1110">
        <v>1</v>
      </c>
      <c r="N1110">
        <v>1</v>
      </c>
      <c r="O1110">
        <v>1</v>
      </c>
      <c r="P1110">
        <v>1</v>
      </c>
      <c r="Q1110">
        <v>1</v>
      </c>
      <c r="R1110">
        <v>1</v>
      </c>
      <c r="S1110">
        <v>1</v>
      </c>
      <c r="T1110">
        <v>1</v>
      </c>
      <c r="W1110">
        <v>1</v>
      </c>
      <c r="X1110">
        <v>1</v>
      </c>
      <c r="Y1110">
        <v>1</v>
      </c>
      <c r="Z1110">
        <v>1</v>
      </c>
      <c r="AA1110">
        <v>1</v>
      </c>
      <c r="AB1110">
        <v>1</v>
      </c>
    </row>
    <row r="1111" spans="1:49" x14ac:dyDescent="0.25">
      <c r="A1111" t="str">
        <f>"1107"</f>
        <v>1107</v>
      </c>
      <c r="B1111" t="str">
        <f t="shared" si="60"/>
        <v>1</v>
      </c>
      <c r="C1111" t="str">
        <f t="shared" si="62"/>
        <v>49</v>
      </c>
      <c r="D1111" t="str">
        <f>"13"</f>
        <v>13</v>
      </c>
      <c r="E1111" t="str">
        <f>"1-49-13"</f>
        <v>1-49-13</v>
      </c>
      <c r="F1111" t="s">
        <v>83</v>
      </c>
      <c r="G1111" t="s">
        <v>84</v>
      </c>
      <c r="H1111" t="s">
        <v>92</v>
      </c>
      <c r="I1111">
        <v>1</v>
      </c>
      <c r="J1111">
        <v>1</v>
      </c>
      <c r="N1111">
        <v>1</v>
      </c>
      <c r="O1111">
        <v>1</v>
      </c>
      <c r="P1111">
        <v>1</v>
      </c>
      <c r="Q1111">
        <v>1</v>
      </c>
      <c r="R1111">
        <v>1</v>
      </c>
      <c r="S1111">
        <v>1</v>
      </c>
      <c r="T1111">
        <v>1</v>
      </c>
      <c r="W1111">
        <v>1</v>
      </c>
      <c r="X1111">
        <v>1</v>
      </c>
      <c r="Y1111">
        <v>1</v>
      </c>
      <c r="Z1111">
        <v>1</v>
      </c>
      <c r="AA1111">
        <v>1</v>
      </c>
      <c r="AB1111">
        <v>1</v>
      </c>
    </row>
    <row r="1112" spans="1:49" x14ac:dyDescent="0.25">
      <c r="A1112" t="str">
        <f>"1108"</f>
        <v>1108</v>
      </c>
      <c r="B1112" t="str">
        <f t="shared" si="60"/>
        <v>1</v>
      </c>
      <c r="C1112" t="str">
        <f t="shared" si="62"/>
        <v>49</v>
      </c>
      <c r="D1112" t="str">
        <f>"1"</f>
        <v>1</v>
      </c>
      <c r="E1112" t="str">
        <f>"1-49-1"</f>
        <v>1-49-1</v>
      </c>
      <c r="F1112" t="s">
        <v>83</v>
      </c>
      <c r="G1112" t="s">
        <v>84</v>
      </c>
      <c r="H1112" t="s">
        <v>85</v>
      </c>
      <c r="AC1112">
        <v>1</v>
      </c>
      <c r="AD1112">
        <v>0</v>
      </c>
      <c r="AE1112">
        <v>0</v>
      </c>
      <c r="AF1112">
        <v>0</v>
      </c>
      <c r="AG1112">
        <v>1</v>
      </c>
      <c r="AJ1112">
        <v>1</v>
      </c>
      <c r="AK1112">
        <v>0</v>
      </c>
      <c r="AL1112">
        <v>0</v>
      </c>
      <c r="AM1112">
        <v>0</v>
      </c>
      <c r="AN1112">
        <v>1</v>
      </c>
      <c r="AO1112">
        <v>1</v>
      </c>
      <c r="AP1112">
        <v>1</v>
      </c>
      <c r="AQ1112">
        <v>1</v>
      </c>
      <c r="AR1112">
        <v>1</v>
      </c>
      <c r="AS1112">
        <v>0</v>
      </c>
      <c r="AT1112">
        <v>1</v>
      </c>
      <c r="AV1112">
        <v>1</v>
      </c>
      <c r="AW1112">
        <v>1</v>
      </c>
    </row>
    <row r="1113" spans="1:49" x14ac:dyDescent="0.25">
      <c r="A1113" t="str">
        <f>"1109"</f>
        <v>1109</v>
      </c>
      <c r="B1113" t="str">
        <f t="shared" si="60"/>
        <v>1</v>
      </c>
      <c r="C1113" t="str">
        <f t="shared" si="62"/>
        <v>49</v>
      </c>
      <c r="D1113" t="str">
        <f>"14"</f>
        <v>14</v>
      </c>
      <c r="E1113" t="str">
        <f>"1-49-14"</f>
        <v>1-49-14</v>
      </c>
      <c r="F1113" t="s">
        <v>83</v>
      </c>
      <c r="G1113" t="s">
        <v>84</v>
      </c>
      <c r="H1113" t="s">
        <v>85</v>
      </c>
      <c r="AC1113">
        <v>0</v>
      </c>
      <c r="AD1113">
        <v>1</v>
      </c>
      <c r="AE1113">
        <v>0</v>
      </c>
      <c r="AF1113">
        <v>0</v>
      </c>
      <c r="AG1113">
        <v>1</v>
      </c>
      <c r="AJ1113">
        <v>0</v>
      </c>
      <c r="AK1113">
        <v>1</v>
      </c>
      <c r="AL1113">
        <v>0</v>
      </c>
      <c r="AM1113">
        <v>0</v>
      </c>
      <c r="AN1113">
        <v>1</v>
      </c>
      <c r="AO1113">
        <v>1</v>
      </c>
      <c r="AP1113">
        <v>1</v>
      </c>
      <c r="AQ1113">
        <v>1</v>
      </c>
      <c r="AR1113">
        <v>1</v>
      </c>
      <c r="AS1113">
        <v>1</v>
      </c>
      <c r="AT1113">
        <v>0</v>
      </c>
      <c r="AV1113">
        <v>1</v>
      </c>
      <c r="AW1113">
        <v>1</v>
      </c>
    </row>
    <row r="1114" spans="1:49" x14ac:dyDescent="0.25">
      <c r="A1114" t="str">
        <f>"1110"</f>
        <v>1110</v>
      </c>
      <c r="B1114" t="str">
        <f t="shared" si="60"/>
        <v>1</v>
      </c>
      <c r="C1114" t="str">
        <f t="shared" si="62"/>
        <v>49</v>
      </c>
      <c r="D1114" t="str">
        <f>"7"</f>
        <v>7</v>
      </c>
      <c r="E1114" t="str">
        <f>"1-49-7"</f>
        <v>1-49-7</v>
      </c>
      <c r="F1114" t="s">
        <v>83</v>
      </c>
      <c r="G1114" t="s">
        <v>84</v>
      </c>
      <c r="H1114" t="s">
        <v>92</v>
      </c>
      <c r="I1114">
        <v>1</v>
      </c>
      <c r="J1114">
        <v>1</v>
      </c>
      <c r="N1114">
        <v>1</v>
      </c>
      <c r="O1114">
        <v>1</v>
      </c>
      <c r="P1114">
        <v>1</v>
      </c>
      <c r="Q1114">
        <v>1</v>
      </c>
      <c r="R1114">
        <v>1</v>
      </c>
      <c r="S1114">
        <v>1</v>
      </c>
      <c r="T1114">
        <v>1</v>
      </c>
      <c r="W1114">
        <v>1</v>
      </c>
      <c r="X1114">
        <v>1</v>
      </c>
      <c r="Y1114">
        <v>1</v>
      </c>
      <c r="Z1114">
        <v>1</v>
      </c>
      <c r="AA1114">
        <v>1</v>
      </c>
      <c r="AB1114">
        <v>1</v>
      </c>
    </row>
    <row r="1115" spans="1:49" x14ac:dyDescent="0.25">
      <c r="A1115" t="str">
        <f>"1111"</f>
        <v>1111</v>
      </c>
      <c r="B1115" t="str">
        <f t="shared" si="60"/>
        <v>1</v>
      </c>
      <c r="C1115" t="str">
        <f t="shared" ref="C1115:C1139" si="63">"50"</f>
        <v>50</v>
      </c>
      <c r="D1115" t="str">
        <f>"19"</f>
        <v>19</v>
      </c>
      <c r="E1115" t="str">
        <f>"1-50-19"</f>
        <v>1-50-19</v>
      </c>
      <c r="F1115" t="s">
        <v>83</v>
      </c>
      <c r="G1115" t="s">
        <v>84</v>
      </c>
      <c r="H1115" t="s">
        <v>92</v>
      </c>
      <c r="I1115">
        <v>1</v>
      </c>
      <c r="J1115">
        <v>1</v>
      </c>
      <c r="N1115">
        <v>1</v>
      </c>
      <c r="O1115">
        <v>1</v>
      </c>
      <c r="P1115">
        <v>1</v>
      </c>
      <c r="Q1115">
        <v>1</v>
      </c>
      <c r="R1115">
        <v>1</v>
      </c>
      <c r="S1115">
        <v>1</v>
      </c>
      <c r="T1115">
        <v>1</v>
      </c>
      <c r="W1115">
        <v>1</v>
      </c>
      <c r="X1115">
        <v>1</v>
      </c>
      <c r="Y1115">
        <v>1</v>
      </c>
      <c r="Z1115">
        <v>1</v>
      </c>
      <c r="AA1115">
        <v>1</v>
      </c>
      <c r="AB1115">
        <v>1</v>
      </c>
    </row>
    <row r="1116" spans="1:49" x14ac:dyDescent="0.25">
      <c r="A1116" t="str">
        <f>"1112"</f>
        <v>1112</v>
      </c>
      <c r="B1116" t="str">
        <f t="shared" si="60"/>
        <v>1</v>
      </c>
      <c r="C1116" t="str">
        <f t="shared" si="63"/>
        <v>50</v>
      </c>
      <c r="D1116" t="str">
        <f>"18"</f>
        <v>18</v>
      </c>
      <c r="E1116" t="str">
        <f>"1-50-18"</f>
        <v>1-50-18</v>
      </c>
      <c r="F1116" t="s">
        <v>83</v>
      </c>
      <c r="G1116" t="s">
        <v>84</v>
      </c>
      <c r="H1116" t="s">
        <v>85</v>
      </c>
      <c r="AC1116">
        <v>0</v>
      </c>
      <c r="AD1116">
        <v>1</v>
      </c>
      <c r="AE1116">
        <v>0</v>
      </c>
      <c r="AF1116">
        <v>0</v>
      </c>
      <c r="AG1116">
        <v>1</v>
      </c>
      <c r="AJ1116">
        <v>1</v>
      </c>
      <c r="AK1116">
        <v>0</v>
      </c>
      <c r="AL1116">
        <v>0</v>
      </c>
      <c r="AM1116">
        <v>0</v>
      </c>
      <c r="AN1116">
        <v>1</v>
      </c>
      <c r="AO1116">
        <v>0</v>
      </c>
      <c r="AP1116">
        <v>0</v>
      </c>
      <c r="AQ1116">
        <v>0</v>
      </c>
      <c r="AR1116">
        <v>0</v>
      </c>
      <c r="AS1116">
        <v>0</v>
      </c>
      <c r="AT1116">
        <v>1</v>
      </c>
      <c r="AV1116">
        <v>1</v>
      </c>
      <c r="AW1116">
        <v>0</v>
      </c>
    </row>
    <row r="1117" spans="1:49" x14ac:dyDescent="0.25">
      <c r="A1117" t="str">
        <f>"1113"</f>
        <v>1113</v>
      </c>
      <c r="B1117" t="str">
        <f t="shared" si="60"/>
        <v>1</v>
      </c>
      <c r="C1117" t="str">
        <f t="shared" si="63"/>
        <v>50</v>
      </c>
      <c r="D1117" t="str">
        <f>"13"</f>
        <v>13</v>
      </c>
      <c r="E1117" t="str">
        <f>"1-50-13"</f>
        <v>1-50-13</v>
      </c>
      <c r="F1117" t="s">
        <v>83</v>
      </c>
      <c r="G1117" t="s">
        <v>86</v>
      </c>
      <c r="H1117" t="s">
        <v>93</v>
      </c>
      <c r="I1117">
        <v>0</v>
      </c>
      <c r="K1117">
        <v>0</v>
      </c>
      <c r="L1117">
        <v>0</v>
      </c>
      <c r="M1117">
        <v>1</v>
      </c>
      <c r="N1117">
        <v>0</v>
      </c>
      <c r="O1117">
        <v>0</v>
      </c>
      <c r="P1117">
        <v>0</v>
      </c>
      <c r="Q1117">
        <v>0</v>
      </c>
      <c r="R1117">
        <v>0</v>
      </c>
      <c r="U1117">
        <v>0</v>
      </c>
      <c r="V1117">
        <v>1</v>
      </c>
      <c r="W1117">
        <v>0</v>
      </c>
      <c r="X1117">
        <v>0</v>
      </c>
      <c r="Y1117">
        <v>0</v>
      </c>
      <c r="Z1117">
        <v>0</v>
      </c>
      <c r="AA1117">
        <v>0</v>
      </c>
      <c r="AB1117">
        <v>0</v>
      </c>
    </row>
    <row r="1118" spans="1:49" x14ac:dyDescent="0.25">
      <c r="A1118" t="str">
        <f>"1114"</f>
        <v>1114</v>
      </c>
      <c r="B1118" t="str">
        <f t="shared" ref="B1118:B1181" si="64">"1"</f>
        <v>1</v>
      </c>
      <c r="C1118" t="str">
        <f t="shared" si="63"/>
        <v>50</v>
      </c>
      <c r="D1118" t="str">
        <f>"8"</f>
        <v>8</v>
      </c>
      <c r="E1118" t="str">
        <f>"1-50-8"</f>
        <v>1-50-8</v>
      </c>
      <c r="F1118" t="s">
        <v>83</v>
      </c>
      <c r="G1118" t="s">
        <v>86</v>
      </c>
      <c r="H1118" t="s">
        <v>87</v>
      </c>
      <c r="AC1118">
        <v>0</v>
      </c>
      <c r="AD1118">
        <v>1</v>
      </c>
      <c r="AE1118">
        <v>0</v>
      </c>
      <c r="AF1118">
        <v>0</v>
      </c>
      <c r="AH1118">
        <v>0</v>
      </c>
      <c r="AI1118">
        <v>1</v>
      </c>
      <c r="AJ1118">
        <v>1</v>
      </c>
      <c r="AK1118">
        <v>0</v>
      </c>
      <c r="AL1118">
        <v>0</v>
      </c>
      <c r="AM1118">
        <v>0</v>
      </c>
      <c r="AN1118">
        <v>1</v>
      </c>
      <c r="AO1118">
        <v>1</v>
      </c>
      <c r="AP1118">
        <v>1</v>
      </c>
      <c r="AQ1118">
        <v>1</v>
      </c>
      <c r="AU1118">
        <v>1</v>
      </c>
      <c r="AV1118">
        <v>1</v>
      </c>
      <c r="AW1118">
        <v>1</v>
      </c>
    </row>
    <row r="1119" spans="1:49" x14ac:dyDescent="0.25">
      <c r="A1119" t="str">
        <f>"1115"</f>
        <v>1115</v>
      </c>
      <c r="B1119" t="str">
        <f t="shared" si="64"/>
        <v>1</v>
      </c>
      <c r="C1119" t="str">
        <f t="shared" si="63"/>
        <v>50</v>
      </c>
      <c r="D1119" t="str">
        <f>"1"</f>
        <v>1</v>
      </c>
      <c r="E1119" t="str">
        <f>"1-50-1"</f>
        <v>1-50-1</v>
      </c>
      <c r="F1119" t="s">
        <v>83</v>
      </c>
      <c r="G1119" t="s">
        <v>84</v>
      </c>
      <c r="H1119" t="s">
        <v>92</v>
      </c>
      <c r="I1119">
        <v>0</v>
      </c>
      <c r="J1119">
        <v>0</v>
      </c>
      <c r="N1119">
        <v>1</v>
      </c>
      <c r="O1119">
        <v>0</v>
      </c>
      <c r="P1119">
        <v>0</v>
      </c>
      <c r="Q1119">
        <v>0</v>
      </c>
      <c r="R1119">
        <v>0</v>
      </c>
      <c r="S1119">
        <v>0</v>
      </c>
      <c r="T1119">
        <v>0</v>
      </c>
      <c r="W1119">
        <v>0</v>
      </c>
      <c r="X1119">
        <v>0</v>
      </c>
      <c r="Y1119">
        <v>0</v>
      </c>
      <c r="Z1119">
        <v>0</v>
      </c>
      <c r="AA1119">
        <v>0</v>
      </c>
      <c r="AB1119">
        <v>0</v>
      </c>
    </row>
    <row r="1120" spans="1:49" x14ac:dyDescent="0.25">
      <c r="A1120" t="str">
        <f>"1116"</f>
        <v>1116</v>
      </c>
      <c r="B1120" t="str">
        <f t="shared" si="64"/>
        <v>1</v>
      </c>
      <c r="C1120" t="str">
        <f t="shared" si="63"/>
        <v>50</v>
      </c>
      <c r="D1120" t="str">
        <f>"24"</f>
        <v>24</v>
      </c>
      <c r="E1120" t="str">
        <f>"1-50-24"</f>
        <v>1-50-24</v>
      </c>
      <c r="F1120" t="s">
        <v>83</v>
      </c>
      <c r="G1120" t="s">
        <v>86</v>
      </c>
      <c r="H1120" t="s">
        <v>87</v>
      </c>
      <c r="AC1120">
        <v>0</v>
      </c>
      <c r="AD1120">
        <v>0</v>
      </c>
      <c r="AE1120">
        <v>0</v>
      </c>
      <c r="AF1120">
        <v>0</v>
      </c>
      <c r="AH1120">
        <v>0</v>
      </c>
      <c r="AI1120">
        <v>1</v>
      </c>
      <c r="AJ1120">
        <v>0</v>
      </c>
      <c r="AK1120">
        <v>0</v>
      </c>
      <c r="AL1120">
        <v>0</v>
      </c>
      <c r="AM1120">
        <v>0</v>
      </c>
      <c r="AN1120">
        <v>0</v>
      </c>
      <c r="AO1120">
        <v>0</v>
      </c>
      <c r="AP1120">
        <v>0</v>
      </c>
      <c r="AQ1120">
        <v>0</v>
      </c>
      <c r="AU1120">
        <v>0</v>
      </c>
      <c r="AV1120">
        <v>0</v>
      </c>
      <c r="AW1120">
        <v>0</v>
      </c>
    </row>
    <row r="1121" spans="1:49" x14ac:dyDescent="0.25">
      <c r="A1121" t="str">
        <f>"1117"</f>
        <v>1117</v>
      </c>
      <c r="B1121" t="str">
        <f t="shared" si="64"/>
        <v>1</v>
      </c>
      <c r="C1121" t="str">
        <f t="shared" si="63"/>
        <v>50</v>
      </c>
      <c r="D1121" t="str">
        <f>"17"</f>
        <v>17</v>
      </c>
      <c r="E1121" t="str">
        <f>"1-50-17"</f>
        <v>1-50-17</v>
      </c>
      <c r="F1121" t="s">
        <v>83</v>
      </c>
      <c r="G1121" t="s">
        <v>84</v>
      </c>
      <c r="H1121" t="s">
        <v>85</v>
      </c>
      <c r="AC1121">
        <v>0</v>
      </c>
      <c r="AD1121">
        <v>1</v>
      </c>
      <c r="AE1121">
        <v>0</v>
      </c>
      <c r="AF1121">
        <v>0</v>
      </c>
      <c r="AG1121">
        <v>1</v>
      </c>
      <c r="AJ1121">
        <v>0</v>
      </c>
      <c r="AK1121">
        <v>1</v>
      </c>
      <c r="AL1121">
        <v>0</v>
      </c>
      <c r="AM1121">
        <v>0</v>
      </c>
      <c r="AN1121">
        <v>0</v>
      </c>
      <c r="AO1121">
        <v>1</v>
      </c>
      <c r="AP1121">
        <v>1</v>
      </c>
      <c r="AQ1121">
        <v>1</v>
      </c>
      <c r="AR1121">
        <v>1</v>
      </c>
      <c r="AS1121">
        <v>0</v>
      </c>
      <c r="AT1121">
        <v>1</v>
      </c>
      <c r="AV1121">
        <v>1</v>
      </c>
      <c r="AW1121">
        <v>1</v>
      </c>
    </row>
    <row r="1122" spans="1:49" x14ac:dyDescent="0.25">
      <c r="A1122" t="str">
        <f>"1118"</f>
        <v>1118</v>
      </c>
      <c r="B1122" t="str">
        <f t="shared" si="64"/>
        <v>1</v>
      </c>
      <c r="C1122" t="str">
        <f t="shared" si="63"/>
        <v>50</v>
      </c>
      <c r="D1122" t="str">
        <f>"9"</f>
        <v>9</v>
      </c>
      <c r="E1122" t="str">
        <f>"1-50-9"</f>
        <v>1-50-9</v>
      </c>
      <c r="F1122" t="s">
        <v>83</v>
      </c>
      <c r="G1122" t="s">
        <v>84</v>
      </c>
      <c r="H1122" t="s">
        <v>85</v>
      </c>
      <c r="AC1122">
        <v>0</v>
      </c>
      <c r="AD1122">
        <v>1</v>
      </c>
      <c r="AE1122">
        <v>0</v>
      </c>
      <c r="AF1122">
        <v>0</v>
      </c>
      <c r="AG1122">
        <v>1</v>
      </c>
      <c r="AJ1122">
        <v>0</v>
      </c>
      <c r="AK1122">
        <v>1</v>
      </c>
      <c r="AL1122">
        <v>0</v>
      </c>
      <c r="AM1122">
        <v>1</v>
      </c>
      <c r="AN1122">
        <v>0</v>
      </c>
      <c r="AO1122">
        <v>1</v>
      </c>
      <c r="AP1122">
        <v>1</v>
      </c>
      <c r="AQ1122">
        <v>1</v>
      </c>
      <c r="AR1122">
        <v>1</v>
      </c>
      <c r="AS1122">
        <v>0</v>
      </c>
      <c r="AT1122">
        <v>1</v>
      </c>
      <c r="AV1122">
        <v>1</v>
      </c>
      <c r="AW1122">
        <v>0</v>
      </c>
    </row>
    <row r="1123" spans="1:49" x14ac:dyDescent="0.25">
      <c r="A1123" t="str">
        <f>"1119"</f>
        <v>1119</v>
      </c>
      <c r="B1123" t="str">
        <f t="shared" si="64"/>
        <v>1</v>
      </c>
      <c r="C1123" t="str">
        <f t="shared" si="63"/>
        <v>50</v>
      </c>
      <c r="D1123" t="str">
        <f>"5"</f>
        <v>5</v>
      </c>
      <c r="E1123" t="str">
        <f>"1-50-5"</f>
        <v>1-50-5</v>
      </c>
      <c r="F1123" t="s">
        <v>83</v>
      </c>
      <c r="G1123" t="s">
        <v>84</v>
      </c>
      <c r="H1123" t="s">
        <v>92</v>
      </c>
      <c r="I1123">
        <v>1</v>
      </c>
      <c r="J1123">
        <v>1</v>
      </c>
      <c r="N1123">
        <v>1</v>
      </c>
      <c r="O1123">
        <v>0</v>
      </c>
      <c r="P1123">
        <v>0</v>
      </c>
      <c r="Q1123">
        <v>1</v>
      </c>
      <c r="R1123">
        <v>1</v>
      </c>
      <c r="S1123">
        <v>1</v>
      </c>
      <c r="T1123">
        <v>1</v>
      </c>
      <c r="W1123">
        <v>1</v>
      </c>
      <c r="X1123">
        <v>1</v>
      </c>
      <c r="Y1123">
        <v>1</v>
      </c>
      <c r="Z1123">
        <v>1</v>
      </c>
      <c r="AA1123">
        <v>1</v>
      </c>
      <c r="AB1123">
        <v>1</v>
      </c>
    </row>
    <row r="1124" spans="1:49" x14ac:dyDescent="0.25">
      <c r="A1124" t="str">
        <f>"1120"</f>
        <v>1120</v>
      </c>
      <c r="B1124" t="str">
        <f t="shared" si="64"/>
        <v>1</v>
      </c>
      <c r="C1124" t="str">
        <f t="shared" si="63"/>
        <v>50</v>
      </c>
      <c r="D1124" t="str">
        <f>"23"</f>
        <v>23</v>
      </c>
      <c r="E1124" t="str">
        <f>"1-50-23"</f>
        <v>1-50-23</v>
      </c>
      <c r="F1124" t="s">
        <v>83</v>
      </c>
      <c r="G1124" t="s">
        <v>84</v>
      </c>
      <c r="H1124" t="s">
        <v>85</v>
      </c>
      <c r="AC1124">
        <v>0</v>
      </c>
      <c r="AD1124">
        <v>1</v>
      </c>
      <c r="AE1124">
        <v>0</v>
      </c>
      <c r="AF1124">
        <v>0</v>
      </c>
      <c r="AG1124">
        <v>1</v>
      </c>
      <c r="AJ1124">
        <v>0</v>
      </c>
      <c r="AK1124">
        <v>1</v>
      </c>
      <c r="AL1124">
        <v>0</v>
      </c>
      <c r="AM1124">
        <v>0</v>
      </c>
      <c r="AN1124">
        <v>1</v>
      </c>
      <c r="AO1124">
        <v>1</v>
      </c>
      <c r="AP1124">
        <v>1</v>
      </c>
      <c r="AQ1124">
        <v>1</v>
      </c>
      <c r="AR1124">
        <v>1</v>
      </c>
      <c r="AS1124">
        <v>0</v>
      </c>
      <c r="AT1124">
        <v>0</v>
      </c>
      <c r="AV1124">
        <v>1</v>
      </c>
      <c r="AW1124">
        <v>0</v>
      </c>
    </row>
    <row r="1125" spans="1:49" x14ac:dyDescent="0.25">
      <c r="A1125" t="str">
        <f>"1121"</f>
        <v>1121</v>
      </c>
      <c r="B1125" t="str">
        <f t="shared" si="64"/>
        <v>1</v>
      </c>
      <c r="C1125" t="str">
        <f t="shared" si="63"/>
        <v>50</v>
      </c>
      <c r="D1125" t="str">
        <f>"22"</f>
        <v>22</v>
      </c>
      <c r="E1125" t="str">
        <f>"1-50-22"</f>
        <v>1-50-22</v>
      </c>
      <c r="F1125" t="s">
        <v>83</v>
      </c>
      <c r="G1125" t="s">
        <v>84</v>
      </c>
      <c r="H1125" t="s">
        <v>92</v>
      </c>
      <c r="I1125">
        <v>1</v>
      </c>
      <c r="J1125">
        <v>1</v>
      </c>
      <c r="N1125">
        <v>1</v>
      </c>
      <c r="O1125">
        <v>1</v>
      </c>
      <c r="P1125">
        <v>1</v>
      </c>
      <c r="Q1125">
        <v>1</v>
      </c>
      <c r="R1125">
        <v>1</v>
      </c>
      <c r="S1125">
        <v>1</v>
      </c>
      <c r="T1125">
        <v>1</v>
      </c>
      <c r="W1125">
        <v>1</v>
      </c>
      <c r="X1125">
        <v>1</v>
      </c>
      <c r="Y1125">
        <v>1</v>
      </c>
      <c r="Z1125">
        <v>1</v>
      </c>
      <c r="AA1125">
        <v>1</v>
      </c>
      <c r="AB1125">
        <v>1</v>
      </c>
    </row>
    <row r="1126" spans="1:49" x14ac:dyDescent="0.25">
      <c r="A1126" t="str">
        <f>"1122"</f>
        <v>1122</v>
      </c>
      <c r="B1126" t="str">
        <f t="shared" si="64"/>
        <v>1</v>
      </c>
      <c r="C1126" t="str">
        <f t="shared" si="63"/>
        <v>50</v>
      </c>
      <c r="D1126" t="str">
        <f>"16"</f>
        <v>16</v>
      </c>
      <c r="E1126" t="str">
        <f>"1-50-16"</f>
        <v>1-50-16</v>
      </c>
      <c r="F1126" t="s">
        <v>83</v>
      </c>
      <c r="G1126" t="s">
        <v>86</v>
      </c>
      <c r="H1126" t="s">
        <v>87</v>
      </c>
      <c r="AC1126">
        <v>1</v>
      </c>
      <c r="AD1126">
        <v>0</v>
      </c>
      <c r="AE1126">
        <v>0</v>
      </c>
      <c r="AF1126">
        <v>0</v>
      </c>
      <c r="AH1126">
        <v>0</v>
      </c>
      <c r="AI1126">
        <v>1</v>
      </c>
      <c r="AJ1126">
        <v>0</v>
      </c>
      <c r="AK1126">
        <v>1</v>
      </c>
      <c r="AL1126">
        <v>1</v>
      </c>
      <c r="AM1126">
        <v>0</v>
      </c>
      <c r="AN1126">
        <v>0</v>
      </c>
      <c r="AO1126">
        <v>1</v>
      </c>
      <c r="AP1126">
        <v>1</v>
      </c>
      <c r="AQ1126">
        <v>1</v>
      </c>
      <c r="AU1126">
        <v>1</v>
      </c>
      <c r="AV1126">
        <v>1</v>
      </c>
      <c r="AW1126">
        <v>1</v>
      </c>
    </row>
    <row r="1127" spans="1:49" x14ac:dyDescent="0.25">
      <c r="A1127" t="str">
        <f>"1123"</f>
        <v>1123</v>
      </c>
      <c r="B1127" t="str">
        <f t="shared" si="64"/>
        <v>1</v>
      </c>
      <c r="C1127" t="str">
        <f t="shared" si="63"/>
        <v>50</v>
      </c>
      <c r="D1127" t="str">
        <f>"10"</f>
        <v>10</v>
      </c>
      <c r="E1127" t="str">
        <f>"1-50-10"</f>
        <v>1-50-10</v>
      </c>
      <c r="F1127" t="s">
        <v>83</v>
      </c>
      <c r="G1127" t="s">
        <v>84</v>
      </c>
      <c r="H1127" t="s">
        <v>92</v>
      </c>
      <c r="I1127">
        <v>1</v>
      </c>
      <c r="J1127">
        <v>1</v>
      </c>
      <c r="N1127">
        <v>1</v>
      </c>
      <c r="O1127">
        <v>1</v>
      </c>
      <c r="P1127">
        <v>1</v>
      </c>
      <c r="Q1127">
        <v>1</v>
      </c>
      <c r="R1127">
        <v>1</v>
      </c>
      <c r="S1127">
        <v>1</v>
      </c>
      <c r="T1127">
        <v>1</v>
      </c>
      <c r="W1127">
        <v>1</v>
      </c>
      <c r="X1127">
        <v>1</v>
      </c>
      <c r="Y1127">
        <v>1</v>
      </c>
      <c r="Z1127">
        <v>1</v>
      </c>
      <c r="AA1127">
        <v>1</v>
      </c>
      <c r="AB1127">
        <v>1</v>
      </c>
    </row>
    <row r="1128" spans="1:49" x14ac:dyDescent="0.25">
      <c r="A1128" t="str">
        <f>"1124"</f>
        <v>1124</v>
      </c>
      <c r="B1128" t="str">
        <f t="shared" si="64"/>
        <v>1</v>
      </c>
      <c r="C1128" t="str">
        <f t="shared" si="63"/>
        <v>50</v>
      </c>
      <c r="D1128" t="str">
        <f>"20"</f>
        <v>20</v>
      </c>
      <c r="E1128" t="str">
        <f>"1-50-20"</f>
        <v>1-50-20</v>
      </c>
      <c r="F1128" t="s">
        <v>83</v>
      </c>
      <c r="G1128" t="s">
        <v>84</v>
      </c>
      <c r="H1128" t="s">
        <v>92</v>
      </c>
      <c r="I1128">
        <v>1</v>
      </c>
      <c r="J1128">
        <v>1</v>
      </c>
      <c r="N1128">
        <v>1</v>
      </c>
      <c r="O1128">
        <v>1</v>
      </c>
      <c r="P1128">
        <v>1</v>
      </c>
      <c r="Q1128">
        <v>1</v>
      </c>
      <c r="R1128">
        <v>1</v>
      </c>
      <c r="S1128">
        <v>1</v>
      </c>
      <c r="T1128">
        <v>1</v>
      </c>
      <c r="W1128">
        <v>1</v>
      </c>
      <c r="X1128">
        <v>1</v>
      </c>
      <c r="Y1128">
        <v>1</v>
      </c>
      <c r="Z1128">
        <v>1</v>
      </c>
      <c r="AA1128">
        <v>1</v>
      </c>
      <c r="AB1128">
        <v>1</v>
      </c>
    </row>
    <row r="1129" spans="1:49" x14ac:dyDescent="0.25">
      <c r="A1129" t="str">
        <f>"1125"</f>
        <v>1125</v>
      </c>
      <c r="B1129" t="str">
        <f t="shared" si="64"/>
        <v>1</v>
      </c>
      <c r="C1129" t="str">
        <f t="shared" si="63"/>
        <v>50</v>
      </c>
      <c r="D1129" t="str">
        <f>"11"</f>
        <v>11</v>
      </c>
      <c r="E1129" t="str">
        <f>"1-50-11"</f>
        <v>1-50-11</v>
      </c>
      <c r="F1129" t="s">
        <v>83</v>
      </c>
      <c r="G1129" t="s">
        <v>84</v>
      </c>
      <c r="H1129" t="s">
        <v>85</v>
      </c>
      <c r="AC1129">
        <v>0</v>
      </c>
      <c r="AD1129">
        <v>1</v>
      </c>
      <c r="AE1129">
        <v>0</v>
      </c>
      <c r="AF1129">
        <v>0</v>
      </c>
      <c r="AG1129">
        <v>1</v>
      </c>
      <c r="AJ1129">
        <v>0</v>
      </c>
      <c r="AK1129">
        <v>1</v>
      </c>
      <c r="AL1129">
        <v>0</v>
      </c>
      <c r="AM1129">
        <v>1</v>
      </c>
      <c r="AN1129">
        <v>0</v>
      </c>
      <c r="AO1129">
        <v>1</v>
      </c>
      <c r="AP1129">
        <v>1</v>
      </c>
      <c r="AQ1129">
        <v>1</v>
      </c>
      <c r="AR1129">
        <v>1</v>
      </c>
      <c r="AS1129">
        <v>0</v>
      </c>
      <c r="AT1129">
        <v>1</v>
      </c>
      <c r="AV1129">
        <v>1</v>
      </c>
      <c r="AW1129">
        <v>1</v>
      </c>
    </row>
    <row r="1130" spans="1:49" x14ac:dyDescent="0.25">
      <c r="A1130" t="str">
        <f>"1126"</f>
        <v>1126</v>
      </c>
      <c r="B1130" t="str">
        <f t="shared" si="64"/>
        <v>1</v>
      </c>
      <c r="C1130" t="str">
        <f t="shared" si="63"/>
        <v>50</v>
      </c>
      <c r="D1130" t="str">
        <f>"2"</f>
        <v>2</v>
      </c>
      <c r="E1130" t="str">
        <f>"1-50-2"</f>
        <v>1-50-2</v>
      </c>
      <c r="F1130" t="s">
        <v>83</v>
      </c>
      <c r="G1130" t="s">
        <v>84</v>
      </c>
      <c r="H1130" t="s">
        <v>92</v>
      </c>
      <c r="I1130">
        <v>1</v>
      </c>
      <c r="J1130">
        <v>0</v>
      </c>
      <c r="N1130">
        <v>1</v>
      </c>
      <c r="O1130">
        <v>0</v>
      </c>
      <c r="P1130">
        <v>1</v>
      </c>
      <c r="Q1130">
        <v>1</v>
      </c>
      <c r="R1130">
        <v>1</v>
      </c>
      <c r="S1130">
        <v>1</v>
      </c>
      <c r="T1130">
        <v>1</v>
      </c>
      <c r="W1130">
        <v>1</v>
      </c>
      <c r="X1130">
        <v>1</v>
      </c>
      <c r="Y1130">
        <v>1</v>
      </c>
      <c r="Z1130">
        <v>1</v>
      </c>
      <c r="AA1130">
        <v>1</v>
      </c>
      <c r="AB1130">
        <v>1</v>
      </c>
    </row>
    <row r="1131" spans="1:49" x14ac:dyDescent="0.25">
      <c r="A1131" t="str">
        <f>"1127"</f>
        <v>1127</v>
      </c>
      <c r="B1131" t="str">
        <f t="shared" si="64"/>
        <v>1</v>
      </c>
      <c r="C1131" t="str">
        <f t="shared" si="63"/>
        <v>50</v>
      </c>
      <c r="D1131" t="str">
        <f>"21"</f>
        <v>21</v>
      </c>
      <c r="E1131" t="str">
        <f>"1-50-21"</f>
        <v>1-50-21</v>
      </c>
      <c r="F1131" t="s">
        <v>83</v>
      </c>
      <c r="G1131" t="s">
        <v>84</v>
      </c>
      <c r="H1131" t="s">
        <v>85</v>
      </c>
      <c r="AC1131">
        <v>1</v>
      </c>
      <c r="AD1131">
        <v>0</v>
      </c>
      <c r="AE1131">
        <v>0</v>
      </c>
      <c r="AF1131">
        <v>0</v>
      </c>
      <c r="AG1131">
        <v>1</v>
      </c>
      <c r="AJ1131">
        <v>0</v>
      </c>
      <c r="AK1131">
        <v>1</v>
      </c>
      <c r="AL1131">
        <v>0</v>
      </c>
      <c r="AM1131">
        <v>1</v>
      </c>
      <c r="AN1131">
        <v>0</v>
      </c>
      <c r="AO1131">
        <v>1</v>
      </c>
      <c r="AP1131">
        <v>1</v>
      </c>
      <c r="AQ1131">
        <v>1</v>
      </c>
      <c r="AR1131">
        <v>1</v>
      </c>
      <c r="AS1131">
        <v>1</v>
      </c>
      <c r="AT1131">
        <v>0</v>
      </c>
      <c r="AV1131">
        <v>1</v>
      </c>
      <c r="AW1131">
        <v>1</v>
      </c>
    </row>
    <row r="1132" spans="1:49" x14ac:dyDescent="0.25">
      <c r="A1132" t="str">
        <f>"1128"</f>
        <v>1128</v>
      </c>
      <c r="B1132" t="str">
        <f t="shared" si="64"/>
        <v>1</v>
      </c>
      <c r="C1132" t="str">
        <f t="shared" si="63"/>
        <v>50</v>
      </c>
      <c r="D1132" t="str">
        <f>"12"</f>
        <v>12</v>
      </c>
      <c r="E1132" t="str">
        <f>"1-50-12"</f>
        <v>1-50-12</v>
      </c>
      <c r="F1132" t="s">
        <v>83</v>
      </c>
      <c r="G1132" t="s">
        <v>84</v>
      </c>
      <c r="H1132" t="s">
        <v>85</v>
      </c>
      <c r="AC1132">
        <v>0</v>
      </c>
      <c r="AD1132">
        <v>1</v>
      </c>
      <c r="AE1132">
        <v>0</v>
      </c>
      <c r="AF1132">
        <v>0</v>
      </c>
      <c r="AG1132">
        <v>1</v>
      </c>
      <c r="AJ1132">
        <v>0</v>
      </c>
      <c r="AK1132">
        <v>1</v>
      </c>
      <c r="AL1132">
        <v>0</v>
      </c>
      <c r="AM1132">
        <v>0</v>
      </c>
      <c r="AN1132">
        <v>1</v>
      </c>
      <c r="AO1132">
        <v>1</v>
      </c>
      <c r="AP1132">
        <v>1</v>
      </c>
      <c r="AQ1132">
        <v>1</v>
      </c>
      <c r="AR1132">
        <v>1</v>
      </c>
      <c r="AS1132">
        <v>0</v>
      </c>
      <c r="AT1132">
        <v>1</v>
      </c>
      <c r="AV1132">
        <v>1</v>
      </c>
      <c r="AW1132">
        <v>1</v>
      </c>
    </row>
    <row r="1133" spans="1:49" x14ac:dyDescent="0.25">
      <c r="A1133" t="str">
        <f>"1129"</f>
        <v>1129</v>
      </c>
      <c r="B1133" t="str">
        <f t="shared" si="64"/>
        <v>1</v>
      </c>
      <c r="C1133" t="str">
        <f t="shared" si="63"/>
        <v>50</v>
      </c>
      <c r="D1133" t="str">
        <f>"7"</f>
        <v>7</v>
      </c>
      <c r="E1133" t="str">
        <f>"1-50-7"</f>
        <v>1-50-7</v>
      </c>
      <c r="F1133" t="s">
        <v>83</v>
      </c>
      <c r="G1133" t="s">
        <v>84</v>
      </c>
      <c r="H1133" t="s">
        <v>92</v>
      </c>
      <c r="I1133">
        <v>1</v>
      </c>
      <c r="J1133">
        <v>1</v>
      </c>
      <c r="N1133">
        <v>1</v>
      </c>
      <c r="O1133">
        <v>1</v>
      </c>
      <c r="P1133">
        <v>1</v>
      </c>
      <c r="Q1133">
        <v>1</v>
      </c>
      <c r="R1133">
        <v>1</v>
      </c>
      <c r="S1133">
        <v>1</v>
      </c>
      <c r="T1133">
        <v>1</v>
      </c>
      <c r="W1133">
        <v>1</v>
      </c>
      <c r="X1133">
        <v>1</v>
      </c>
      <c r="Y1133">
        <v>1</v>
      </c>
      <c r="Z1133">
        <v>1</v>
      </c>
      <c r="AA1133">
        <v>1</v>
      </c>
      <c r="AB1133">
        <v>1</v>
      </c>
    </row>
    <row r="1134" spans="1:49" x14ac:dyDescent="0.25">
      <c r="A1134" t="str">
        <f>"1130"</f>
        <v>1130</v>
      </c>
      <c r="B1134" t="str">
        <f t="shared" si="64"/>
        <v>1</v>
      </c>
      <c r="C1134" t="str">
        <f t="shared" si="63"/>
        <v>50</v>
      </c>
      <c r="D1134" t="str">
        <f>"14"</f>
        <v>14</v>
      </c>
      <c r="E1134" t="str">
        <f>"1-50-14"</f>
        <v>1-50-14</v>
      </c>
      <c r="F1134" t="s">
        <v>83</v>
      </c>
      <c r="G1134" t="s">
        <v>86</v>
      </c>
      <c r="H1134" t="s">
        <v>87</v>
      </c>
      <c r="AC1134">
        <v>0</v>
      </c>
      <c r="AD1134">
        <v>0</v>
      </c>
      <c r="AE1134">
        <v>0</v>
      </c>
      <c r="AF1134">
        <v>0</v>
      </c>
      <c r="AH1134">
        <v>0</v>
      </c>
      <c r="AI1134">
        <v>1</v>
      </c>
      <c r="AJ1134">
        <v>0</v>
      </c>
      <c r="AK1134">
        <v>0</v>
      </c>
      <c r="AL1134">
        <v>0</v>
      </c>
      <c r="AM1134">
        <v>0</v>
      </c>
      <c r="AN1134">
        <v>0</v>
      </c>
      <c r="AO1134">
        <v>0</v>
      </c>
      <c r="AP1134">
        <v>0</v>
      </c>
      <c r="AQ1134">
        <v>0</v>
      </c>
      <c r="AU1134">
        <v>0</v>
      </c>
      <c r="AV1134">
        <v>0</v>
      </c>
      <c r="AW1134">
        <v>1</v>
      </c>
    </row>
    <row r="1135" spans="1:49" x14ac:dyDescent="0.25">
      <c r="A1135" t="str">
        <f>"1131"</f>
        <v>1131</v>
      </c>
      <c r="B1135" t="str">
        <f t="shared" si="64"/>
        <v>1</v>
      </c>
      <c r="C1135" t="str">
        <f t="shared" si="63"/>
        <v>50</v>
      </c>
      <c r="D1135" t="str">
        <f>"3"</f>
        <v>3</v>
      </c>
      <c r="E1135" t="str">
        <f>"1-50-3"</f>
        <v>1-50-3</v>
      </c>
      <c r="F1135" t="s">
        <v>83</v>
      </c>
      <c r="G1135" t="s">
        <v>84</v>
      </c>
      <c r="H1135" t="s">
        <v>85</v>
      </c>
      <c r="AC1135">
        <v>0</v>
      </c>
      <c r="AD1135">
        <v>1</v>
      </c>
      <c r="AE1135">
        <v>0</v>
      </c>
      <c r="AF1135">
        <v>0</v>
      </c>
      <c r="AG1135">
        <v>1</v>
      </c>
      <c r="AJ1135">
        <v>1</v>
      </c>
      <c r="AK1135">
        <v>0</v>
      </c>
      <c r="AL1135">
        <v>0</v>
      </c>
      <c r="AM1135">
        <v>1</v>
      </c>
      <c r="AN1135">
        <v>0</v>
      </c>
      <c r="AO1135">
        <v>1</v>
      </c>
      <c r="AP1135">
        <v>1</v>
      </c>
      <c r="AQ1135">
        <v>1</v>
      </c>
      <c r="AR1135">
        <v>1</v>
      </c>
      <c r="AS1135">
        <v>0</v>
      </c>
      <c r="AT1135">
        <v>1</v>
      </c>
      <c r="AV1135">
        <v>1</v>
      </c>
      <c r="AW1135">
        <v>1</v>
      </c>
    </row>
    <row r="1136" spans="1:49" x14ac:dyDescent="0.25">
      <c r="A1136" t="str">
        <f>"1132"</f>
        <v>1132</v>
      </c>
      <c r="B1136" t="str">
        <f t="shared" si="64"/>
        <v>1</v>
      </c>
      <c r="C1136" t="str">
        <f t="shared" si="63"/>
        <v>50</v>
      </c>
      <c r="D1136" t="str">
        <f>"15"</f>
        <v>15</v>
      </c>
      <c r="E1136" t="str">
        <f>"1-50-15"</f>
        <v>1-50-15</v>
      </c>
      <c r="F1136" t="s">
        <v>83</v>
      </c>
      <c r="G1136" t="s">
        <v>86</v>
      </c>
      <c r="H1136" t="s">
        <v>87</v>
      </c>
      <c r="AC1136">
        <v>0</v>
      </c>
      <c r="AD1136">
        <v>1</v>
      </c>
      <c r="AE1136">
        <v>0</v>
      </c>
      <c r="AF1136">
        <v>0</v>
      </c>
      <c r="AH1136">
        <v>0</v>
      </c>
      <c r="AI1136">
        <v>1</v>
      </c>
      <c r="AJ1136">
        <v>0</v>
      </c>
      <c r="AK1136">
        <v>1</v>
      </c>
      <c r="AL1136">
        <v>0</v>
      </c>
      <c r="AM1136">
        <v>0</v>
      </c>
      <c r="AN1136">
        <v>1</v>
      </c>
      <c r="AO1136">
        <v>1</v>
      </c>
      <c r="AP1136">
        <v>1</v>
      </c>
      <c r="AQ1136">
        <v>1</v>
      </c>
      <c r="AU1136">
        <v>1</v>
      </c>
      <c r="AV1136">
        <v>1</v>
      </c>
      <c r="AW1136">
        <v>1</v>
      </c>
    </row>
    <row r="1137" spans="1:49" x14ac:dyDescent="0.25">
      <c r="A1137" t="str">
        <f>"1133"</f>
        <v>1133</v>
      </c>
      <c r="B1137" t="str">
        <f t="shared" si="64"/>
        <v>1</v>
      </c>
      <c r="C1137" t="str">
        <f t="shared" si="63"/>
        <v>50</v>
      </c>
      <c r="D1137" t="str">
        <f>"6"</f>
        <v>6</v>
      </c>
      <c r="E1137" t="str">
        <f>"1-50-6"</f>
        <v>1-50-6</v>
      </c>
      <c r="F1137" t="s">
        <v>83</v>
      </c>
      <c r="G1137" t="s">
        <v>84</v>
      </c>
      <c r="H1137" t="s">
        <v>85</v>
      </c>
      <c r="AC1137">
        <v>0</v>
      </c>
      <c r="AD1137">
        <v>1</v>
      </c>
      <c r="AE1137">
        <v>0</v>
      </c>
      <c r="AF1137">
        <v>0</v>
      </c>
      <c r="AG1137">
        <v>0</v>
      </c>
      <c r="AJ1137">
        <v>0</v>
      </c>
      <c r="AK1137">
        <v>1</v>
      </c>
      <c r="AL1137">
        <v>0</v>
      </c>
      <c r="AM1137">
        <v>0</v>
      </c>
      <c r="AN1137">
        <v>1</v>
      </c>
      <c r="AO1137">
        <v>0</v>
      </c>
      <c r="AP1137">
        <v>0</v>
      </c>
      <c r="AQ1137">
        <v>0</v>
      </c>
      <c r="AR1137">
        <v>0</v>
      </c>
      <c r="AS1137">
        <v>0</v>
      </c>
      <c r="AT1137">
        <v>1</v>
      </c>
      <c r="AV1137">
        <v>0</v>
      </c>
      <c r="AW1137">
        <v>0</v>
      </c>
    </row>
    <row r="1138" spans="1:49" x14ac:dyDescent="0.25">
      <c r="A1138" t="str">
        <f>"1134"</f>
        <v>1134</v>
      </c>
      <c r="B1138" t="str">
        <f t="shared" si="64"/>
        <v>1</v>
      </c>
      <c r="C1138" t="str">
        <f t="shared" si="63"/>
        <v>50</v>
      </c>
      <c r="D1138" t="str">
        <f>"25"</f>
        <v>25</v>
      </c>
      <c r="E1138" t="str">
        <f>"1-50-25"</f>
        <v>1-50-25</v>
      </c>
      <c r="F1138" t="s">
        <v>83</v>
      </c>
      <c r="G1138" t="s">
        <v>86</v>
      </c>
      <c r="H1138" t="s">
        <v>87</v>
      </c>
      <c r="AC1138">
        <v>1</v>
      </c>
      <c r="AD1138">
        <v>0</v>
      </c>
      <c r="AE1138">
        <v>0</v>
      </c>
      <c r="AF1138">
        <v>0</v>
      </c>
      <c r="AH1138">
        <v>1</v>
      </c>
      <c r="AI1138">
        <v>0</v>
      </c>
      <c r="AJ1138">
        <v>0</v>
      </c>
      <c r="AK1138">
        <v>1</v>
      </c>
      <c r="AL1138">
        <v>0</v>
      </c>
      <c r="AM1138">
        <v>1</v>
      </c>
      <c r="AN1138">
        <v>0</v>
      </c>
      <c r="AO1138">
        <v>1</v>
      </c>
      <c r="AP1138">
        <v>1</v>
      </c>
      <c r="AQ1138">
        <v>1</v>
      </c>
      <c r="AU1138">
        <v>1</v>
      </c>
      <c r="AV1138">
        <v>1</v>
      </c>
      <c r="AW1138">
        <v>1</v>
      </c>
    </row>
    <row r="1139" spans="1:49" x14ac:dyDescent="0.25">
      <c r="A1139" t="str">
        <f>"1135"</f>
        <v>1135</v>
      </c>
      <c r="B1139" t="str">
        <f t="shared" si="64"/>
        <v>1</v>
      </c>
      <c r="C1139" t="str">
        <f t="shared" si="63"/>
        <v>50</v>
      </c>
      <c r="D1139" t="str">
        <f>"4"</f>
        <v>4</v>
      </c>
      <c r="E1139" t="str">
        <f>"1-50-4"</f>
        <v>1-50-4</v>
      </c>
      <c r="F1139" t="s">
        <v>83</v>
      </c>
      <c r="G1139" t="s">
        <v>84</v>
      </c>
      <c r="H1139" t="s">
        <v>85</v>
      </c>
      <c r="AC1139">
        <v>0</v>
      </c>
      <c r="AD1139">
        <v>0</v>
      </c>
      <c r="AE1139">
        <v>0</v>
      </c>
      <c r="AF1139">
        <v>0</v>
      </c>
      <c r="AG1139">
        <v>0</v>
      </c>
      <c r="AJ1139">
        <v>0</v>
      </c>
      <c r="AK1139">
        <v>0</v>
      </c>
      <c r="AL1139">
        <v>0</v>
      </c>
      <c r="AM1139">
        <v>0</v>
      </c>
      <c r="AN1139">
        <v>1</v>
      </c>
      <c r="AO1139">
        <v>0</v>
      </c>
      <c r="AP1139">
        <v>0</v>
      </c>
      <c r="AQ1139">
        <v>0</v>
      </c>
      <c r="AR1139">
        <v>0</v>
      </c>
      <c r="AS1139">
        <v>0</v>
      </c>
      <c r="AT1139">
        <v>0</v>
      </c>
      <c r="AV1139">
        <v>0</v>
      </c>
      <c r="AW1139">
        <v>1</v>
      </c>
    </row>
    <row r="1140" spans="1:49" x14ac:dyDescent="0.25">
      <c r="A1140" t="str">
        <f>"1136"</f>
        <v>1136</v>
      </c>
      <c r="B1140" t="str">
        <f t="shared" si="64"/>
        <v>1</v>
      </c>
      <c r="C1140" t="str">
        <f t="shared" ref="C1140:C1164" si="65">"51"</f>
        <v>51</v>
      </c>
      <c r="D1140" t="str">
        <f>"19"</f>
        <v>19</v>
      </c>
      <c r="E1140" t="str">
        <f>"1-51-19"</f>
        <v>1-51-19</v>
      </c>
      <c r="F1140" t="s">
        <v>83</v>
      </c>
      <c r="G1140" t="s">
        <v>84</v>
      </c>
      <c r="H1140" t="s">
        <v>85</v>
      </c>
      <c r="AC1140">
        <v>0</v>
      </c>
      <c r="AD1140">
        <v>1</v>
      </c>
      <c r="AE1140">
        <v>0</v>
      </c>
      <c r="AF1140">
        <v>0</v>
      </c>
      <c r="AG1140">
        <v>1</v>
      </c>
      <c r="AJ1140">
        <v>0</v>
      </c>
      <c r="AK1140">
        <v>1</v>
      </c>
      <c r="AL1140">
        <v>0</v>
      </c>
      <c r="AM1140">
        <v>1</v>
      </c>
      <c r="AN1140">
        <v>0</v>
      </c>
      <c r="AO1140">
        <v>1</v>
      </c>
      <c r="AP1140">
        <v>1</v>
      </c>
      <c r="AQ1140">
        <v>1</v>
      </c>
      <c r="AR1140">
        <v>0</v>
      </c>
      <c r="AS1140">
        <v>0</v>
      </c>
      <c r="AT1140">
        <v>1</v>
      </c>
      <c r="AV1140">
        <v>1</v>
      </c>
      <c r="AW1140">
        <v>1</v>
      </c>
    </row>
    <row r="1141" spans="1:49" x14ac:dyDescent="0.25">
      <c r="A1141" t="str">
        <f>"1137"</f>
        <v>1137</v>
      </c>
      <c r="B1141" t="str">
        <f t="shared" si="64"/>
        <v>1</v>
      </c>
      <c r="C1141" t="str">
        <f t="shared" si="65"/>
        <v>51</v>
      </c>
      <c r="D1141" t="str">
        <f>"18"</f>
        <v>18</v>
      </c>
      <c r="E1141" t="str">
        <f>"1-51-18"</f>
        <v>1-51-18</v>
      </c>
      <c r="F1141" t="s">
        <v>83</v>
      </c>
      <c r="G1141" t="s">
        <v>84</v>
      </c>
      <c r="H1141" t="s">
        <v>85</v>
      </c>
      <c r="AC1141">
        <v>0</v>
      </c>
      <c r="AD1141">
        <v>1</v>
      </c>
      <c r="AE1141">
        <v>0</v>
      </c>
      <c r="AF1141">
        <v>0</v>
      </c>
      <c r="AG1141">
        <v>1</v>
      </c>
      <c r="AJ1141">
        <v>0</v>
      </c>
      <c r="AK1141">
        <v>1</v>
      </c>
      <c r="AL1141">
        <v>0</v>
      </c>
      <c r="AM1141">
        <v>0</v>
      </c>
      <c r="AN1141">
        <v>1</v>
      </c>
      <c r="AO1141">
        <v>1</v>
      </c>
      <c r="AP1141">
        <v>1</v>
      </c>
      <c r="AQ1141">
        <v>1</v>
      </c>
      <c r="AR1141">
        <v>1</v>
      </c>
      <c r="AS1141">
        <v>0</v>
      </c>
      <c r="AT1141">
        <v>1</v>
      </c>
      <c r="AV1141">
        <v>1</v>
      </c>
      <c r="AW1141">
        <v>1</v>
      </c>
    </row>
    <row r="1142" spans="1:49" x14ac:dyDescent="0.25">
      <c r="A1142" t="str">
        <f>"1138"</f>
        <v>1138</v>
      </c>
      <c r="B1142" t="str">
        <f t="shared" si="64"/>
        <v>1</v>
      </c>
      <c r="C1142" t="str">
        <f t="shared" si="65"/>
        <v>51</v>
      </c>
      <c r="D1142" t="str">
        <f>"15"</f>
        <v>15</v>
      </c>
      <c r="E1142" t="str">
        <f>"1-51-15"</f>
        <v>1-51-15</v>
      </c>
      <c r="F1142" t="s">
        <v>83</v>
      </c>
      <c r="G1142" t="s">
        <v>84</v>
      </c>
      <c r="H1142" t="s">
        <v>85</v>
      </c>
      <c r="AC1142">
        <v>0</v>
      </c>
      <c r="AD1142">
        <v>1</v>
      </c>
      <c r="AE1142">
        <v>0</v>
      </c>
      <c r="AF1142">
        <v>0</v>
      </c>
      <c r="AG1142">
        <v>0</v>
      </c>
      <c r="AJ1142">
        <v>0</v>
      </c>
      <c r="AK1142">
        <v>1</v>
      </c>
      <c r="AL1142">
        <v>0</v>
      </c>
      <c r="AM1142">
        <v>0</v>
      </c>
      <c r="AN1142">
        <v>0</v>
      </c>
      <c r="AO1142">
        <v>0</v>
      </c>
      <c r="AP1142">
        <v>0</v>
      </c>
      <c r="AQ1142">
        <v>0</v>
      </c>
      <c r="AR1142">
        <v>0</v>
      </c>
      <c r="AS1142">
        <v>0</v>
      </c>
      <c r="AT1142">
        <v>0</v>
      </c>
      <c r="AV1142">
        <v>1</v>
      </c>
      <c r="AW1142">
        <v>0</v>
      </c>
    </row>
    <row r="1143" spans="1:49" x14ac:dyDescent="0.25">
      <c r="A1143" t="str">
        <f>"1139"</f>
        <v>1139</v>
      </c>
      <c r="B1143" t="str">
        <f t="shared" si="64"/>
        <v>1</v>
      </c>
      <c r="C1143" t="str">
        <f t="shared" si="65"/>
        <v>51</v>
      </c>
      <c r="D1143" t="str">
        <f>"8"</f>
        <v>8</v>
      </c>
      <c r="E1143" t="str">
        <f>"1-51-8"</f>
        <v>1-51-8</v>
      </c>
      <c r="F1143" t="s">
        <v>83</v>
      </c>
      <c r="G1143" t="s">
        <v>84</v>
      </c>
      <c r="H1143" t="s">
        <v>85</v>
      </c>
      <c r="AC1143">
        <v>0</v>
      </c>
      <c r="AD1143">
        <v>1</v>
      </c>
      <c r="AE1143">
        <v>0</v>
      </c>
      <c r="AF1143">
        <v>0</v>
      </c>
      <c r="AG1143">
        <v>1</v>
      </c>
      <c r="AJ1143">
        <v>0</v>
      </c>
      <c r="AK1143">
        <v>1</v>
      </c>
      <c r="AL1143">
        <v>0</v>
      </c>
      <c r="AM1143">
        <v>0</v>
      </c>
      <c r="AN1143">
        <v>1</v>
      </c>
      <c r="AO1143">
        <v>1</v>
      </c>
      <c r="AP1143">
        <v>1</v>
      </c>
      <c r="AQ1143">
        <v>1</v>
      </c>
      <c r="AR1143">
        <v>1</v>
      </c>
      <c r="AS1143">
        <v>1</v>
      </c>
      <c r="AT1143">
        <v>0</v>
      </c>
      <c r="AV1143">
        <v>1</v>
      </c>
      <c r="AW1143">
        <v>1</v>
      </c>
    </row>
    <row r="1144" spans="1:49" x14ac:dyDescent="0.25">
      <c r="A1144" t="str">
        <f>"1140"</f>
        <v>1140</v>
      </c>
      <c r="B1144" t="str">
        <f t="shared" si="64"/>
        <v>1</v>
      </c>
      <c r="C1144" t="str">
        <f t="shared" si="65"/>
        <v>51</v>
      </c>
      <c r="D1144" t="str">
        <f>"2"</f>
        <v>2</v>
      </c>
      <c r="E1144" t="str">
        <f>"1-51-2"</f>
        <v>1-51-2</v>
      </c>
      <c r="F1144" t="s">
        <v>83</v>
      </c>
      <c r="G1144" t="s">
        <v>84</v>
      </c>
      <c r="H1144" t="s">
        <v>85</v>
      </c>
      <c r="AC1144">
        <v>1</v>
      </c>
      <c r="AD1144">
        <v>0</v>
      </c>
      <c r="AE1144">
        <v>0</v>
      </c>
      <c r="AF1144">
        <v>0</v>
      </c>
      <c r="AG1144">
        <v>1</v>
      </c>
      <c r="AJ1144">
        <v>1</v>
      </c>
      <c r="AK1144">
        <v>0</v>
      </c>
      <c r="AL1144">
        <v>0</v>
      </c>
      <c r="AM1144">
        <v>0</v>
      </c>
      <c r="AN1144">
        <v>1</v>
      </c>
      <c r="AO1144">
        <v>1</v>
      </c>
      <c r="AP1144">
        <v>1</v>
      </c>
      <c r="AQ1144">
        <v>1</v>
      </c>
      <c r="AR1144">
        <v>1</v>
      </c>
      <c r="AS1144">
        <v>0</v>
      </c>
      <c r="AT1144">
        <v>1</v>
      </c>
      <c r="AV1144">
        <v>1</v>
      </c>
      <c r="AW1144">
        <v>1</v>
      </c>
    </row>
    <row r="1145" spans="1:49" x14ac:dyDescent="0.25">
      <c r="A1145" t="str">
        <f>"1141"</f>
        <v>1141</v>
      </c>
      <c r="B1145" t="str">
        <f t="shared" si="64"/>
        <v>1</v>
      </c>
      <c r="C1145" t="str">
        <f t="shared" si="65"/>
        <v>51</v>
      </c>
      <c r="D1145" t="str">
        <f>"25"</f>
        <v>25</v>
      </c>
      <c r="E1145" t="str">
        <f>"1-51-25"</f>
        <v>1-51-25</v>
      </c>
      <c r="F1145" t="s">
        <v>83</v>
      </c>
      <c r="G1145" t="s">
        <v>84</v>
      </c>
      <c r="H1145" t="s">
        <v>85</v>
      </c>
      <c r="AC1145">
        <v>1</v>
      </c>
      <c r="AD1145">
        <v>0</v>
      </c>
      <c r="AE1145">
        <v>0</v>
      </c>
      <c r="AF1145">
        <v>0</v>
      </c>
      <c r="AG1145">
        <v>1</v>
      </c>
      <c r="AJ1145">
        <v>1</v>
      </c>
      <c r="AK1145">
        <v>0</v>
      </c>
      <c r="AL1145">
        <v>1</v>
      </c>
      <c r="AM1145">
        <v>0</v>
      </c>
      <c r="AN1145">
        <v>0</v>
      </c>
      <c r="AO1145">
        <v>1</v>
      </c>
      <c r="AP1145">
        <v>1</v>
      </c>
      <c r="AQ1145">
        <v>1</v>
      </c>
      <c r="AR1145">
        <v>1</v>
      </c>
      <c r="AS1145">
        <v>1</v>
      </c>
      <c r="AT1145">
        <v>0</v>
      </c>
      <c r="AV1145">
        <v>1</v>
      </c>
      <c r="AW1145">
        <v>0</v>
      </c>
    </row>
    <row r="1146" spans="1:49" x14ac:dyDescent="0.25">
      <c r="A1146" t="str">
        <f>"1142"</f>
        <v>1142</v>
      </c>
      <c r="B1146" t="str">
        <f t="shared" si="64"/>
        <v>1</v>
      </c>
      <c r="C1146" t="str">
        <f t="shared" si="65"/>
        <v>51</v>
      </c>
      <c r="D1146" t="str">
        <f>"24"</f>
        <v>24</v>
      </c>
      <c r="E1146" t="str">
        <f>"1-51-24"</f>
        <v>1-51-24</v>
      </c>
      <c r="F1146" t="s">
        <v>83</v>
      </c>
      <c r="G1146" t="s">
        <v>84</v>
      </c>
      <c r="H1146" t="s">
        <v>85</v>
      </c>
      <c r="AC1146">
        <v>1</v>
      </c>
      <c r="AD1146">
        <v>0</v>
      </c>
      <c r="AE1146">
        <v>0</v>
      </c>
      <c r="AF1146">
        <v>0</v>
      </c>
      <c r="AG1146">
        <v>0</v>
      </c>
      <c r="AJ1146">
        <v>0</v>
      </c>
      <c r="AK1146">
        <v>1</v>
      </c>
      <c r="AL1146">
        <v>0</v>
      </c>
      <c r="AM1146">
        <v>0</v>
      </c>
      <c r="AN1146">
        <v>0</v>
      </c>
      <c r="AO1146">
        <v>0</v>
      </c>
      <c r="AP1146">
        <v>0</v>
      </c>
      <c r="AQ1146">
        <v>0</v>
      </c>
      <c r="AR1146">
        <v>0</v>
      </c>
      <c r="AS1146">
        <v>0</v>
      </c>
      <c r="AT1146">
        <v>0</v>
      </c>
      <c r="AV1146">
        <v>0</v>
      </c>
      <c r="AW1146">
        <v>0</v>
      </c>
    </row>
    <row r="1147" spans="1:49" x14ac:dyDescent="0.25">
      <c r="A1147" t="str">
        <f>"1143"</f>
        <v>1143</v>
      </c>
      <c r="B1147" t="str">
        <f t="shared" si="64"/>
        <v>1</v>
      </c>
      <c r="C1147" t="str">
        <f t="shared" si="65"/>
        <v>51</v>
      </c>
      <c r="D1147" t="str">
        <f>"16"</f>
        <v>16</v>
      </c>
      <c r="E1147" t="str">
        <f>"1-51-16"</f>
        <v>1-51-16</v>
      </c>
      <c r="F1147" t="s">
        <v>83</v>
      </c>
      <c r="G1147" t="s">
        <v>84</v>
      </c>
      <c r="H1147" t="s">
        <v>85</v>
      </c>
      <c r="AC1147">
        <v>0</v>
      </c>
      <c r="AD1147">
        <v>1</v>
      </c>
      <c r="AE1147">
        <v>0</v>
      </c>
      <c r="AF1147">
        <v>0</v>
      </c>
      <c r="AG1147">
        <v>1</v>
      </c>
      <c r="AJ1147">
        <v>0</v>
      </c>
      <c r="AK1147">
        <v>1</v>
      </c>
      <c r="AL1147">
        <v>1</v>
      </c>
      <c r="AM1147">
        <v>0</v>
      </c>
      <c r="AN1147">
        <v>0</v>
      </c>
      <c r="AO1147">
        <v>1</v>
      </c>
      <c r="AP1147">
        <v>1</v>
      </c>
      <c r="AQ1147">
        <v>1</v>
      </c>
      <c r="AR1147">
        <v>1</v>
      </c>
      <c r="AS1147">
        <v>1</v>
      </c>
      <c r="AT1147">
        <v>0</v>
      </c>
      <c r="AV1147">
        <v>1</v>
      </c>
      <c r="AW1147">
        <v>1</v>
      </c>
    </row>
    <row r="1148" spans="1:49" x14ac:dyDescent="0.25">
      <c r="A1148" t="str">
        <f>"1144"</f>
        <v>1144</v>
      </c>
      <c r="B1148" t="str">
        <f t="shared" si="64"/>
        <v>1</v>
      </c>
      <c r="C1148" t="str">
        <f t="shared" si="65"/>
        <v>51</v>
      </c>
      <c r="D1148" t="str">
        <f>"9"</f>
        <v>9</v>
      </c>
      <c r="E1148" t="str">
        <f>"1-51-9"</f>
        <v>1-51-9</v>
      </c>
      <c r="F1148" t="s">
        <v>83</v>
      </c>
      <c r="G1148" t="s">
        <v>84</v>
      </c>
      <c r="H1148" t="s">
        <v>85</v>
      </c>
      <c r="AC1148">
        <v>0</v>
      </c>
      <c r="AD1148">
        <v>1</v>
      </c>
      <c r="AE1148">
        <v>0</v>
      </c>
      <c r="AF1148">
        <v>0</v>
      </c>
      <c r="AG1148">
        <v>1</v>
      </c>
      <c r="AJ1148">
        <v>0</v>
      </c>
      <c r="AK1148">
        <v>1</v>
      </c>
      <c r="AL1148">
        <v>0</v>
      </c>
      <c r="AM1148">
        <v>0</v>
      </c>
      <c r="AN1148">
        <v>1</v>
      </c>
      <c r="AO1148">
        <v>1</v>
      </c>
      <c r="AP1148">
        <v>1</v>
      </c>
      <c r="AQ1148">
        <v>1</v>
      </c>
      <c r="AR1148">
        <v>1</v>
      </c>
      <c r="AS1148">
        <v>1</v>
      </c>
      <c r="AT1148">
        <v>0</v>
      </c>
      <c r="AV1148">
        <v>1</v>
      </c>
      <c r="AW1148">
        <v>1</v>
      </c>
    </row>
    <row r="1149" spans="1:49" x14ac:dyDescent="0.25">
      <c r="A1149" t="str">
        <f>"1145"</f>
        <v>1145</v>
      </c>
      <c r="B1149" t="str">
        <f t="shared" si="64"/>
        <v>1</v>
      </c>
      <c r="C1149" t="str">
        <f t="shared" si="65"/>
        <v>51</v>
      </c>
      <c r="D1149" t="str">
        <f>"3"</f>
        <v>3</v>
      </c>
      <c r="E1149" t="str">
        <f>"1-51-3"</f>
        <v>1-51-3</v>
      </c>
      <c r="F1149" t="s">
        <v>83</v>
      </c>
      <c r="G1149" t="s">
        <v>84</v>
      </c>
      <c r="H1149" t="s">
        <v>85</v>
      </c>
      <c r="AC1149">
        <v>0</v>
      </c>
      <c r="AD1149">
        <v>1</v>
      </c>
      <c r="AE1149">
        <v>0</v>
      </c>
      <c r="AF1149">
        <v>0</v>
      </c>
      <c r="AG1149">
        <v>1</v>
      </c>
      <c r="AJ1149">
        <v>0</v>
      </c>
      <c r="AK1149">
        <v>1</v>
      </c>
      <c r="AL1149">
        <v>0</v>
      </c>
      <c r="AM1149">
        <v>0</v>
      </c>
      <c r="AN1149">
        <v>1</v>
      </c>
      <c r="AO1149">
        <v>1</v>
      </c>
      <c r="AP1149">
        <v>1</v>
      </c>
      <c r="AQ1149">
        <v>1</v>
      </c>
      <c r="AR1149">
        <v>1</v>
      </c>
      <c r="AS1149">
        <v>1</v>
      </c>
      <c r="AT1149">
        <v>0</v>
      </c>
      <c r="AV1149">
        <v>1</v>
      </c>
      <c r="AW1149">
        <v>1</v>
      </c>
    </row>
    <row r="1150" spans="1:49" x14ac:dyDescent="0.25">
      <c r="A1150" t="str">
        <f>"1146"</f>
        <v>1146</v>
      </c>
      <c r="B1150" t="str">
        <f t="shared" si="64"/>
        <v>1</v>
      </c>
      <c r="C1150" t="str">
        <f t="shared" si="65"/>
        <v>51</v>
      </c>
      <c r="D1150" t="str">
        <f>"17"</f>
        <v>17</v>
      </c>
      <c r="E1150" t="str">
        <f>"1-51-17"</f>
        <v>1-51-17</v>
      </c>
      <c r="F1150" t="s">
        <v>83</v>
      </c>
      <c r="G1150" t="s">
        <v>84</v>
      </c>
      <c r="H1150" t="s">
        <v>85</v>
      </c>
      <c r="AC1150">
        <v>1</v>
      </c>
      <c r="AD1150">
        <v>0</v>
      </c>
      <c r="AE1150">
        <v>0</v>
      </c>
      <c r="AF1150">
        <v>0</v>
      </c>
      <c r="AG1150">
        <v>1</v>
      </c>
      <c r="AJ1150">
        <v>0</v>
      </c>
      <c r="AK1150">
        <v>1</v>
      </c>
      <c r="AL1150">
        <v>1</v>
      </c>
      <c r="AM1150">
        <v>0</v>
      </c>
      <c r="AN1150">
        <v>0</v>
      </c>
      <c r="AO1150">
        <v>1</v>
      </c>
      <c r="AP1150">
        <v>1</v>
      </c>
      <c r="AQ1150">
        <v>1</v>
      </c>
      <c r="AR1150">
        <v>1</v>
      </c>
      <c r="AS1150">
        <v>1</v>
      </c>
      <c r="AT1150">
        <v>0</v>
      </c>
      <c r="AV1150">
        <v>1</v>
      </c>
      <c r="AW1150">
        <v>1</v>
      </c>
    </row>
    <row r="1151" spans="1:49" x14ac:dyDescent="0.25">
      <c r="A1151" t="str">
        <f>"1147"</f>
        <v>1147</v>
      </c>
      <c r="B1151" t="str">
        <f t="shared" si="64"/>
        <v>1</v>
      </c>
      <c r="C1151" t="str">
        <f t="shared" si="65"/>
        <v>51</v>
      </c>
      <c r="D1151" t="str">
        <f>"10"</f>
        <v>10</v>
      </c>
      <c r="E1151" t="str">
        <f>"1-51-10"</f>
        <v>1-51-10</v>
      </c>
      <c r="F1151" t="s">
        <v>83</v>
      </c>
      <c r="G1151" t="s">
        <v>84</v>
      </c>
      <c r="H1151" t="s">
        <v>85</v>
      </c>
      <c r="AC1151">
        <v>1</v>
      </c>
      <c r="AD1151">
        <v>0</v>
      </c>
      <c r="AE1151">
        <v>0</v>
      </c>
      <c r="AF1151">
        <v>0</v>
      </c>
      <c r="AG1151">
        <v>0</v>
      </c>
      <c r="AJ1151">
        <v>0</v>
      </c>
      <c r="AK1151">
        <v>1</v>
      </c>
      <c r="AL1151">
        <v>1</v>
      </c>
      <c r="AM1151">
        <v>0</v>
      </c>
      <c r="AN1151">
        <v>0</v>
      </c>
      <c r="AO1151">
        <v>1</v>
      </c>
      <c r="AP1151">
        <v>1</v>
      </c>
      <c r="AQ1151">
        <v>1</v>
      </c>
      <c r="AR1151">
        <v>1</v>
      </c>
      <c r="AS1151">
        <v>1</v>
      </c>
      <c r="AT1151">
        <v>0</v>
      </c>
      <c r="AV1151">
        <v>1</v>
      </c>
      <c r="AW1151">
        <v>1</v>
      </c>
    </row>
    <row r="1152" spans="1:49" x14ac:dyDescent="0.25">
      <c r="A1152" t="str">
        <f>"1148"</f>
        <v>1148</v>
      </c>
      <c r="B1152" t="str">
        <f t="shared" si="64"/>
        <v>1</v>
      </c>
      <c r="C1152" t="str">
        <f t="shared" si="65"/>
        <v>51</v>
      </c>
      <c r="D1152" t="str">
        <f>"5"</f>
        <v>5</v>
      </c>
      <c r="E1152" t="str">
        <f>"1-51-5"</f>
        <v>1-51-5</v>
      </c>
      <c r="F1152" t="s">
        <v>83</v>
      </c>
      <c r="G1152" t="s">
        <v>84</v>
      </c>
      <c r="H1152" t="s">
        <v>85</v>
      </c>
      <c r="AC1152">
        <v>0</v>
      </c>
      <c r="AD1152">
        <v>1</v>
      </c>
      <c r="AE1152">
        <v>0</v>
      </c>
      <c r="AF1152">
        <v>0</v>
      </c>
      <c r="AG1152">
        <v>1</v>
      </c>
      <c r="AJ1152">
        <v>0</v>
      </c>
      <c r="AK1152">
        <v>1</v>
      </c>
      <c r="AL1152">
        <v>0</v>
      </c>
      <c r="AM1152">
        <v>0</v>
      </c>
      <c r="AN1152">
        <v>1</v>
      </c>
      <c r="AO1152">
        <v>1</v>
      </c>
      <c r="AP1152">
        <v>1</v>
      </c>
      <c r="AQ1152">
        <v>1</v>
      </c>
      <c r="AR1152">
        <v>1</v>
      </c>
      <c r="AS1152">
        <v>1</v>
      </c>
      <c r="AT1152">
        <v>0</v>
      </c>
      <c r="AV1152">
        <v>1</v>
      </c>
      <c r="AW1152">
        <v>1</v>
      </c>
    </row>
    <row r="1153" spans="1:49" x14ac:dyDescent="0.25">
      <c r="A1153" t="str">
        <f>"1149"</f>
        <v>1149</v>
      </c>
      <c r="B1153" t="str">
        <f t="shared" si="64"/>
        <v>1</v>
      </c>
      <c r="C1153" t="str">
        <f t="shared" si="65"/>
        <v>51</v>
      </c>
      <c r="D1153" t="str">
        <f>"20"</f>
        <v>20</v>
      </c>
      <c r="E1153" t="str">
        <f>"1-51-20"</f>
        <v>1-51-20</v>
      </c>
      <c r="F1153" t="s">
        <v>83</v>
      </c>
      <c r="G1153" t="s">
        <v>84</v>
      </c>
      <c r="H1153" t="s">
        <v>85</v>
      </c>
      <c r="AC1153">
        <v>0</v>
      </c>
      <c r="AD1153">
        <v>1</v>
      </c>
      <c r="AE1153">
        <v>0</v>
      </c>
      <c r="AF1153">
        <v>0</v>
      </c>
      <c r="AG1153">
        <v>1</v>
      </c>
      <c r="AJ1153">
        <v>1</v>
      </c>
      <c r="AK1153">
        <v>0</v>
      </c>
      <c r="AL1153">
        <v>0</v>
      </c>
      <c r="AM1153">
        <v>0</v>
      </c>
      <c r="AN1153">
        <v>1</v>
      </c>
      <c r="AO1153">
        <v>1</v>
      </c>
      <c r="AP1153">
        <v>1</v>
      </c>
      <c r="AQ1153">
        <v>1</v>
      </c>
      <c r="AR1153">
        <v>1</v>
      </c>
      <c r="AS1153">
        <v>0</v>
      </c>
      <c r="AT1153">
        <v>1</v>
      </c>
      <c r="AV1153">
        <v>1</v>
      </c>
      <c r="AW1153">
        <v>1</v>
      </c>
    </row>
    <row r="1154" spans="1:49" x14ac:dyDescent="0.25">
      <c r="A1154" t="str">
        <f>"1150"</f>
        <v>1150</v>
      </c>
      <c r="B1154" t="str">
        <f t="shared" si="64"/>
        <v>1</v>
      </c>
      <c r="C1154" t="str">
        <f t="shared" si="65"/>
        <v>51</v>
      </c>
      <c r="D1154" t="str">
        <f>"11"</f>
        <v>11</v>
      </c>
      <c r="E1154" t="str">
        <f>"1-51-11"</f>
        <v>1-51-11</v>
      </c>
      <c r="F1154" t="s">
        <v>83</v>
      </c>
      <c r="G1154" t="s">
        <v>84</v>
      </c>
      <c r="H1154" t="s">
        <v>85</v>
      </c>
      <c r="AC1154">
        <v>0</v>
      </c>
      <c r="AD1154">
        <v>1</v>
      </c>
      <c r="AE1154">
        <v>0</v>
      </c>
      <c r="AF1154">
        <v>0</v>
      </c>
      <c r="AG1154">
        <v>1</v>
      </c>
      <c r="AJ1154">
        <v>0</v>
      </c>
      <c r="AK1154">
        <v>1</v>
      </c>
      <c r="AL1154">
        <v>0</v>
      </c>
      <c r="AM1154">
        <v>0</v>
      </c>
      <c r="AN1154">
        <v>1</v>
      </c>
      <c r="AO1154">
        <v>1</v>
      </c>
      <c r="AP1154">
        <v>1</v>
      </c>
      <c r="AQ1154">
        <v>1</v>
      </c>
      <c r="AR1154">
        <v>1</v>
      </c>
      <c r="AS1154">
        <v>1</v>
      </c>
      <c r="AT1154">
        <v>0</v>
      </c>
      <c r="AV1154">
        <v>1</v>
      </c>
      <c r="AW1154">
        <v>1</v>
      </c>
    </row>
    <row r="1155" spans="1:49" x14ac:dyDescent="0.25">
      <c r="A1155" t="str">
        <f>"1151"</f>
        <v>1151</v>
      </c>
      <c r="B1155" t="str">
        <f t="shared" si="64"/>
        <v>1</v>
      </c>
      <c r="C1155" t="str">
        <f t="shared" si="65"/>
        <v>51</v>
      </c>
      <c r="D1155" t="str">
        <f>"7"</f>
        <v>7</v>
      </c>
      <c r="E1155" t="str">
        <f>"1-51-7"</f>
        <v>1-51-7</v>
      </c>
      <c r="F1155" t="s">
        <v>83</v>
      </c>
      <c r="G1155" t="s">
        <v>84</v>
      </c>
      <c r="H1155" t="s">
        <v>85</v>
      </c>
      <c r="AC1155">
        <v>0</v>
      </c>
      <c r="AD1155">
        <v>1</v>
      </c>
      <c r="AE1155">
        <v>0</v>
      </c>
      <c r="AF1155">
        <v>0</v>
      </c>
      <c r="AG1155">
        <v>1</v>
      </c>
      <c r="AJ1155">
        <v>0</v>
      </c>
      <c r="AK1155">
        <v>1</v>
      </c>
      <c r="AL1155">
        <v>0</v>
      </c>
      <c r="AM1155">
        <v>1</v>
      </c>
      <c r="AN1155">
        <v>0</v>
      </c>
      <c r="AO1155">
        <v>1</v>
      </c>
      <c r="AP1155">
        <v>1</v>
      </c>
      <c r="AQ1155">
        <v>1</v>
      </c>
      <c r="AR1155">
        <v>1</v>
      </c>
      <c r="AS1155">
        <v>1</v>
      </c>
      <c r="AT1155">
        <v>0</v>
      </c>
      <c r="AV1155">
        <v>1</v>
      </c>
      <c r="AW1155">
        <v>1</v>
      </c>
    </row>
    <row r="1156" spans="1:49" x14ac:dyDescent="0.25">
      <c r="A1156" t="str">
        <f>"1152"</f>
        <v>1152</v>
      </c>
      <c r="B1156" t="str">
        <f t="shared" si="64"/>
        <v>1</v>
      </c>
      <c r="C1156" t="str">
        <f t="shared" si="65"/>
        <v>51</v>
      </c>
      <c r="D1156" t="str">
        <f>"21"</f>
        <v>21</v>
      </c>
      <c r="E1156" t="str">
        <f>"1-51-21"</f>
        <v>1-51-21</v>
      </c>
      <c r="F1156" t="s">
        <v>83</v>
      </c>
      <c r="G1156" t="s">
        <v>84</v>
      </c>
      <c r="H1156" t="s">
        <v>85</v>
      </c>
      <c r="AC1156">
        <v>0</v>
      </c>
      <c r="AD1156">
        <v>1</v>
      </c>
      <c r="AE1156">
        <v>0</v>
      </c>
      <c r="AF1156">
        <v>0</v>
      </c>
      <c r="AG1156">
        <v>1</v>
      </c>
      <c r="AJ1156">
        <v>1</v>
      </c>
      <c r="AK1156">
        <v>0</v>
      </c>
      <c r="AL1156">
        <v>1</v>
      </c>
      <c r="AM1156">
        <v>0</v>
      </c>
      <c r="AN1156">
        <v>0</v>
      </c>
      <c r="AO1156">
        <v>1</v>
      </c>
      <c r="AP1156">
        <v>1</v>
      </c>
      <c r="AQ1156">
        <v>1</v>
      </c>
      <c r="AR1156">
        <v>1</v>
      </c>
      <c r="AS1156">
        <v>0</v>
      </c>
      <c r="AT1156">
        <v>1</v>
      </c>
      <c r="AV1156">
        <v>1</v>
      </c>
      <c r="AW1156">
        <v>1</v>
      </c>
    </row>
    <row r="1157" spans="1:49" x14ac:dyDescent="0.25">
      <c r="A1157" t="str">
        <f>"1153"</f>
        <v>1153</v>
      </c>
      <c r="B1157" t="str">
        <f t="shared" si="64"/>
        <v>1</v>
      </c>
      <c r="C1157" t="str">
        <f t="shared" si="65"/>
        <v>51</v>
      </c>
      <c r="D1157" t="str">
        <f>"12"</f>
        <v>12</v>
      </c>
      <c r="E1157" t="str">
        <f>"1-51-12"</f>
        <v>1-51-12</v>
      </c>
      <c r="F1157" t="s">
        <v>83</v>
      </c>
      <c r="G1157" t="s">
        <v>84</v>
      </c>
      <c r="H1157" t="s">
        <v>85</v>
      </c>
      <c r="AC1157">
        <v>1</v>
      </c>
      <c r="AD1157">
        <v>0</v>
      </c>
      <c r="AE1157">
        <v>0</v>
      </c>
      <c r="AF1157">
        <v>0</v>
      </c>
      <c r="AG1157">
        <v>1</v>
      </c>
      <c r="AJ1157">
        <v>0</v>
      </c>
      <c r="AK1157">
        <v>1</v>
      </c>
      <c r="AL1157">
        <v>1</v>
      </c>
      <c r="AM1157">
        <v>0</v>
      </c>
      <c r="AN1157">
        <v>0</v>
      </c>
      <c r="AO1157">
        <v>1</v>
      </c>
      <c r="AP1157">
        <v>1</v>
      </c>
      <c r="AQ1157">
        <v>1</v>
      </c>
      <c r="AR1157">
        <v>1</v>
      </c>
      <c r="AS1157">
        <v>0</v>
      </c>
      <c r="AT1157">
        <v>1</v>
      </c>
      <c r="AV1157">
        <v>1</v>
      </c>
      <c r="AW1157">
        <v>1</v>
      </c>
    </row>
    <row r="1158" spans="1:49" x14ac:dyDescent="0.25">
      <c r="A1158" t="str">
        <f>"1154"</f>
        <v>1154</v>
      </c>
      <c r="B1158" t="str">
        <f t="shared" si="64"/>
        <v>1</v>
      </c>
      <c r="C1158" t="str">
        <f t="shared" si="65"/>
        <v>51</v>
      </c>
      <c r="D1158" t="str">
        <f>"4"</f>
        <v>4</v>
      </c>
      <c r="E1158" t="str">
        <f>"1-51-4"</f>
        <v>1-51-4</v>
      </c>
      <c r="F1158" t="s">
        <v>83</v>
      </c>
      <c r="G1158" t="s">
        <v>84</v>
      </c>
      <c r="H1158" t="s">
        <v>85</v>
      </c>
      <c r="AC1158">
        <v>0</v>
      </c>
      <c r="AD1158">
        <v>1</v>
      </c>
      <c r="AE1158">
        <v>0</v>
      </c>
      <c r="AF1158">
        <v>0</v>
      </c>
      <c r="AG1158">
        <v>0</v>
      </c>
      <c r="AJ1158">
        <v>0</v>
      </c>
      <c r="AK1158">
        <v>1</v>
      </c>
      <c r="AL1158">
        <v>0</v>
      </c>
      <c r="AM1158">
        <v>0</v>
      </c>
      <c r="AN1158">
        <v>1</v>
      </c>
      <c r="AO1158">
        <v>0</v>
      </c>
      <c r="AP1158">
        <v>0</v>
      </c>
      <c r="AQ1158">
        <v>0</v>
      </c>
      <c r="AR1158">
        <v>0</v>
      </c>
      <c r="AS1158">
        <v>0</v>
      </c>
      <c r="AT1158">
        <v>1</v>
      </c>
      <c r="AV1158">
        <v>0</v>
      </c>
      <c r="AW1158">
        <v>0</v>
      </c>
    </row>
    <row r="1159" spans="1:49" x14ac:dyDescent="0.25">
      <c r="A1159" t="str">
        <f>"1155"</f>
        <v>1155</v>
      </c>
      <c r="B1159" t="str">
        <f t="shared" si="64"/>
        <v>1</v>
      </c>
      <c r="C1159" t="str">
        <f t="shared" si="65"/>
        <v>51</v>
      </c>
      <c r="D1159" t="str">
        <f>"22"</f>
        <v>22</v>
      </c>
      <c r="E1159" t="str">
        <f>"1-51-22"</f>
        <v>1-51-22</v>
      </c>
      <c r="F1159" t="s">
        <v>83</v>
      </c>
      <c r="G1159" t="s">
        <v>84</v>
      </c>
      <c r="H1159" t="s">
        <v>85</v>
      </c>
      <c r="AC1159">
        <v>0</v>
      </c>
      <c r="AD1159">
        <v>1</v>
      </c>
      <c r="AE1159">
        <v>0</v>
      </c>
      <c r="AF1159">
        <v>0</v>
      </c>
      <c r="AG1159">
        <v>1</v>
      </c>
      <c r="AJ1159">
        <v>1</v>
      </c>
      <c r="AK1159">
        <v>0</v>
      </c>
      <c r="AL1159">
        <v>0</v>
      </c>
      <c r="AM1159">
        <v>1</v>
      </c>
      <c r="AN1159">
        <v>0</v>
      </c>
      <c r="AO1159">
        <v>1</v>
      </c>
      <c r="AP1159">
        <v>1</v>
      </c>
      <c r="AQ1159">
        <v>1</v>
      </c>
      <c r="AR1159">
        <v>1</v>
      </c>
      <c r="AS1159">
        <v>0</v>
      </c>
      <c r="AT1159">
        <v>1</v>
      </c>
      <c r="AV1159">
        <v>1</v>
      </c>
      <c r="AW1159">
        <v>1</v>
      </c>
    </row>
    <row r="1160" spans="1:49" x14ac:dyDescent="0.25">
      <c r="A1160" t="str">
        <f>"1156"</f>
        <v>1156</v>
      </c>
      <c r="B1160" t="str">
        <f t="shared" si="64"/>
        <v>1</v>
      </c>
      <c r="C1160" t="str">
        <f t="shared" si="65"/>
        <v>51</v>
      </c>
      <c r="D1160" t="str">
        <f>"13"</f>
        <v>13</v>
      </c>
      <c r="E1160" t="str">
        <f>"1-51-13"</f>
        <v>1-51-13</v>
      </c>
      <c r="F1160" t="s">
        <v>83</v>
      </c>
      <c r="G1160" t="s">
        <v>84</v>
      </c>
      <c r="H1160" t="s">
        <v>85</v>
      </c>
      <c r="AC1160">
        <v>0</v>
      </c>
      <c r="AD1160">
        <v>1</v>
      </c>
      <c r="AE1160">
        <v>0</v>
      </c>
      <c r="AF1160">
        <v>0</v>
      </c>
      <c r="AG1160">
        <v>0</v>
      </c>
      <c r="AJ1160">
        <v>1</v>
      </c>
      <c r="AK1160">
        <v>0</v>
      </c>
      <c r="AL1160">
        <v>0</v>
      </c>
      <c r="AM1160">
        <v>0</v>
      </c>
      <c r="AN1160">
        <v>0</v>
      </c>
      <c r="AO1160">
        <v>0</v>
      </c>
      <c r="AP1160">
        <v>0</v>
      </c>
      <c r="AQ1160">
        <v>0</v>
      </c>
      <c r="AR1160">
        <v>1</v>
      </c>
      <c r="AS1160">
        <v>0</v>
      </c>
      <c r="AT1160">
        <v>1</v>
      </c>
      <c r="AV1160">
        <v>1</v>
      </c>
      <c r="AW1160">
        <v>1</v>
      </c>
    </row>
    <row r="1161" spans="1:49" x14ac:dyDescent="0.25">
      <c r="A1161" t="str">
        <f>"1157"</f>
        <v>1157</v>
      </c>
      <c r="B1161" t="str">
        <f t="shared" si="64"/>
        <v>1</v>
      </c>
      <c r="C1161" t="str">
        <f t="shared" si="65"/>
        <v>51</v>
      </c>
      <c r="D1161" t="str">
        <f>"6"</f>
        <v>6</v>
      </c>
      <c r="E1161" t="str">
        <f>"1-51-6"</f>
        <v>1-51-6</v>
      </c>
      <c r="F1161" t="s">
        <v>83</v>
      </c>
      <c r="G1161" t="s">
        <v>84</v>
      </c>
      <c r="H1161" t="s">
        <v>85</v>
      </c>
      <c r="AC1161">
        <v>0</v>
      </c>
      <c r="AD1161">
        <v>1</v>
      </c>
      <c r="AE1161">
        <v>0</v>
      </c>
      <c r="AF1161">
        <v>0</v>
      </c>
      <c r="AG1161">
        <v>0</v>
      </c>
      <c r="AJ1161">
        <v>0</v>
      </c>
      <c r="AK1161">
        <v>1</v>
      </c>
      <c r="AL1161">
        <v>0</v>
      </c>
      <c r="AM1161">
        <v>1</v>
      </c>
      <c r="AN1161">
        <v>0</v>
      </c>
      <c r="AO1161">
        <v>1</v>
      </c>
      <c r="AP1161">
        <v>1</v>
      </c>
      <c r="AQ1161">
        <v>1</v>
      </c>
      <c r="AR1161">
        <v>1</v>
      </c>
      <c r="AS1161">
        <v>1</v>
      </c>
      <c r="AT1161">
        <v>0</v>
      </c>
      <c r="AV1161">
        <v>0</v>
      </c>
      <c r="AW1161">
        <v>1</v>
      </c>
    </row>
    <row r="1162" spans="1:49" x14ac:dyDescent="0.25">
      <c r="A1162" t="str">
        <f>"1158"</f>
        <v>1158</v>
      </c>
      <c r="B1162" t="str">
        <f t="shared" si="64"/>
        <v>1</v>
      </c>
      <c r="C1162" t="str">
        <f t="shared" si="65"/>
        <v>51</v>
      </c>
      <c r="D1162" t="str">
        <f>"23"</f>
        <v>23</v>
      </c>
      <c r="E1162" t="str">
        <f>"1-51-23"</f>
        <v>1-51-23</v>
      </c>
      <c r="F1162" t="s">
        <v>83</v>
      </c>
      <c r="G1162" t="s">
        <v>84</v>
      </c>
      <c r="H1162" t="s">
        <v>85</v>
      </c>
      <c r="AC1162">
        <v>0</v>
      </c>
      <c r="AD1162">
        <v>0</v>
      </c>
      <c r="AE1162">
        <v>0</v>
      </c>
      <c r="AF1162">
        <v>0</v>
      </c>
      <c r="AG1162">
        <v>0</v>
      </c>
      <c r="AJ1162">
        <v>0</v>
      </c>
      <c r="AK1162">
        <v>1</v>
      </c>
      <c r="AL1162">
        <v>0</v>
      </c>
      <c r="AM1162">
        <v>0</v>
      </c>
      <c r="AN1162">
        <v>0</v>
      </c>
      <c r="AO1162">
        <v>1</v>
      </c>
      <c r="AP1162">
        <v>1</v>
      </c>
      <c r="AQ1162">
        <v>0</v>
      </c>
      <c r="AR1162">
        <v>0</v>
      </c>
      <c r="AS1162">
        <v>0</v>
      </c>
      <c r="AT1162">
        <v>0</v>
      </c>
      <c r="AV1162">
        <v>0</v>
      </c>
      <c r="AW1162">
        <v>1</v>
      </c>
    </row>
    <row r="1163" spans="1:49" x14ac:dyDescent="0.25">
      <c r="A1163" t="str">
        <f>"1159"</f>
        <v>1159</v>
      </c>
      <c r="B1163" t="str">
        <f t="shared" si="64"/>
        <v>1</v>
      </c>
      <c r="C1163" t="str">
        <f t="shared" si="65"/>
        <v>51</v>
      </c>
      <c r="D1163" t="str">
        <f>"14"</f>
        <v>14</v>
      </c>
      <c r="E1163" t="str">
        <f>"1-51-14"</f>
        <v>1-51-14</v>
      </c>
      <c r="F1163" t="s">
        <v>83</v>
      </c>
      <c r="G1163" t="s">
        <v>84</v>
      </c>
      <c r="H1163" t="s">
        <v>85</v>
      </c>
      <c r="AC1163">
        <v>0</v>
      </c>
      <c r="AD1163">
        <v>1</v>
      </c>
      <c r="AE1163">
        <v>0</v>
      </c>
      <c r="AF1163">
        <v>0</v>
      </c>
      <c r="AG1163">
        <v>0</v>
      </c>
      <c r="AJ1163">
        <v>0</v>
      </c>
      <c r="AK1163">
        <v>1</v>
      </c>
      <c r="AL1163">
        <v>0</v>
      </c>
      <c r="AM1163">
        <v>0</v>
      </c>
      <c r="AN1163">
        <v>0</v>
      </c>
      <c r="AO1163">
        <v>0</v>
      </c>
      <c r="AP1163">
        <v>0</v>
      </c>
      <c r="AQ1163">
        <v>0</v>
      </c>
      <c r="AR1163">
        <v>0</v>
      </c>
      <c r="AS1163">
        <v>0</v>
      </c>
      <c r="AT1163">
        <v>0</v>
      </c>
      <c r="AV1163">
        <v>1</v>
      </c>
      <c r="AW1163">
        <v>0</v>
      </c>
    </row>
    <row r="1164" spans="1:49" x14ac:dyDescent="0.25">
      <c r="A1164" t="str">
        <f>"1160"</f>
        <v>1160</v>
      </c>
      <c r="B1164" t="str">
        <f t="shared" si="64"/>
        <v>1</v>
      </c>
      <c r="C1164" t="str">
        <f t="shared" si="65"/>
        <v>51</v>
      </c>
      <c r="D1164" t="str">
        <f>"1"</f>
        <v>1</v>
      </c>
      <c r="E1164" t="str">
        <f>"1-51-1"</f>
        <v>1-51-1</v>
      </c>
      <c r="F1164" t="s">
        <v>83</v>
      </c>
      <c r="G1164" t="s">
        <v>84</v>
      </c>
      <c r="H1164" t="s">
        <v>85</v>
      </c>
      <c r="AC1164">
        <v>1</v>
      </c>
      <c r="AD1164">
        <v>0</v>
      </c>
      <c r="AE1164">
        <v>0</v>
      </c>
      <c r="AF1164">
        <v>0</v>
      </c>
      <c r="AG1164">
        <v>1</v>
      </c>
      <c r="AJ1164">
        <v>1</v>
      </c>
      <c r="AK1164">
        <v>0</v>
      </c>
      <c r="AL1164">
        <v>0</v>
      </c>
      <c r="AM1164">
        <v>0</v>
      </c>
      <c r="AN1164">
        <v>1</v>
      </c>
      <c r="AO1164">
        <v>1</v>
      </c>
      <c r="AP1164">
        <v>1</v>
      </c>
      <c r="AQ1164">
        <v>1</v>
      </c>
      <c r="AR1164">
        <v>1</v>
      </c>
      <c r="AS1164">
        <v>0</v>
      </c>
      <c r="AT1164">
        <v>1</v>
      </c>
      <c r="AV1164">
        <v>1</v>
      </c>
      <c r="AW1164">
        <v>1</v>
      </c>
    </row>
    <row r="1165" spans="1:49" x14ac:dyDescent="0.25">
      <c r="A1165" t="str">
        <f>"1161"</f>
        <v>1161</v>
      </c>
      <c r="B1165" t="str">
        <f t="shared" si="64"/>
        <v>1</v>
      </c>
      <c r="C1165" t="str">
        <f t="shared" ref="C1165:C1188" si="66">"52"</f>
        <v>52</v>
      </c>
      <c r="D1165" t="str">
        <f>"19"</f>
        <v>19</v>
      </c>
      <c r="E1165" t="str">
        <f>"1-52-19"</f>
        <v>1-52-19</v>
      </c>
      <c r="F1165" t="s">
        <v>83</v>
      </c>
      <c r="G1165" t="s">
        <v>84</v>
      </c>
      <c r="H1165" t="s">
        <v>85</v>
      </c>
      <c r="AC1165">
        <v>1</v>
      </c>
      <c r="AD1165">
        <v>0</v>
      </c>
      <c r="AE1165">
        <v>0</v>
      </c>
      <c r="AF1165">
        <v>0</v>
      </c>
      <c r="AG1165">
        <v>1</v>
      </c>
      <c r="AJ1165">
        <v>1</v>
      </c>
      <c r="AK1165">
        <v>0</v>
      </c>
      <c r="AL1165">
        <v>0</v>
      </c>
      <c r="AM1165">
        <v>1</v>
      </c>
      <c r="AN1165">
        <v>0</v>
      </c>
      <c r="AO1165">
        <v>1</v>
      </c>
      <c r="AP1165">
        <v>1</v>
      </c>
      <c r="AQ1165">
        <v>1</v>
      </c>
      <c r="AR1165">
        <v>1</v>
      </c>
      <c r="AS1165">
        <v>0</v>
      </c>
      <c r="AT1165">
        <v>1</v>
      </c>
      <c r="AV1165">
        <v>1</v>
      </c>
      <c r="AW1165">
        <v>1</v>
      </c>
    </row>
    <row r="1166" spans="1:49" x14ac:dyDescent="0.25">
      <c r="A1166" t="str">
        <f>"1162"</f>
        <v>1162</v>
      </c>
      <c r="B1166" t="str">
        <f t="shared" si="64"/>
        <v>1</v>
      </c>
      <c r="C1166" t="str">
        <f t="shared" si="66"/>
        <v>52</v>
      </c>
      <c r="D1166" t="str">
        <f>"18"</f>
        <v>18</v>
      </c>
      <c r="E1166" t="str">
        <f>"1-52-18"</f>
        <v>1-52-18</v>
      </c>
      <c r="F1166" t="s">
        <v>83</v>
      </c>
      <c r="G1166" t="s">
        <v>88</v>
      </c>
      <c r="H1166" t="s">
        <v>89</v>
      </c>
      <c r="AC1166">
        <v>1</v>
      </c>
      <c r="AD1166">
        <v>0</v>
      </c>
      <c r="AE1166">
        <v>0</v>
      </c>
      <c r="AF1166">
        <v>0</v>
      </c>
      <c r="AH1166">
        <v>1</v>
      </c>
      <c r="AI1166">
        <v>0</v>
      </c>
      <c r="AJ1166">
        <v>0</v>
      </c>
      <c r="AK1166">
        <v>1</v>
      </c>
      <c r="AL1166">
        <v>1</v>
      </c>
      <c r="AM1166">
        <v>0</v>
      </c>
      <c r="AN1166">
        <v>0</v>
      </c>
      <c r="AO1166">
        <v>0</v>
      </c>
      <c r="AP1166">
        <v>0</v>
      </c>
      <c r="AQ1166">
        <v>0</v>
      </c>
      <c r="AR1166">
        <v>0</v>
      </c>
      <c r="AS1166">
        <v>0</v>
      </c>
      <c r="AT1166">
        <v>1</v>
      </c>
      <c r="AV1166">
        <v>0</v>
      </c>
      <c r="AW1166">
        <v>0</v>
      </c>
    </row>
    <row r="1167" spans="1:49" x14ac:dyDescent="0.25">
      <c r="A1167" t="str">
        <f>"1163"</f>
        <v>1163</v>
      </c>
      <c r="B1167" t="str">
        <f t="shared" si="64"/>
        <v>1</v>
      </c>
      <c r="C1167" t="str">
        <f t="shared" si="66"/>
        <v>52</v>
      </c>
      <c r="D1167" t="str">
        <f>"15"</f>
        <v>15</v>
      </c>
      <c r="E1167" t="str">
        <f>"1-52-15"</f>
        <v>1-52-15</v>
      </c>
      <c r="F1167" t="s">
        <v>83</v>
      </c>
      <c r="G1167" t="s">
        <v>86</v>
      </c>
      <c r="H1167" t="s">
        <v>87</v>
      </c>
      <c r="AC1167">
        <v>0</v>
      </c>
      <c r="AD1167">
        <v>1</v>
      </c>
      <c r="AE1167">
        <v>0</v>
      </c>
      <c r="AF1167">
        <v>0</v>
      </c>
      <c r="AH1167">
        <v>1</v>
      </c>
      <c r="AI1167">
        <v>0</v>
      </c>
      <c r="AJ1167">
        <v>0</v>
      </c>
      <c r="AK1167">
        <v>1</v>
      </c>
      <c r="AL1167">
        <v>1</v>
      </c>
      <c r="AM1167">
        <v>0</v>
      </c>
      <c r="AN1167">
        <v>0</v>
      </c>
      <c r="AO1167">
        <v>1</v>
      </c>
      <c r="AP1167">
        <v>1</v>
      </c>
      <c r="AQ1167">
        <v>1</v>
      </c>
      <c r="AU1167">
        <v>1</v>
      </c>
      <c r="AV1167">
        <v>1</v>
      </c>
      <c r="AW1167">
        <v>1</v>
      </c>
    </row>
    <row r="1168" spans="1:49" x14ac:dyDescent="0.25">
      <c r="A1168" t="str">
        <f>"1164"</f>
        <v>1164</v>
      </c>
      <c r="B1168" t="str">
        <f t="shared" si="64"/>
        <v>1</v>
      </c>
      <c r="C1168" t="str">
        <f t="shared" si="66"/>
        <v>52</v>
      </c>
      <c r="D1168" t="str">
        <f>"8"</f>
        <v>8</v>
      </c>
      <c r="E1168" t="str">
        <f>"1-52-8"</f>
        <v>1-52-8</v>
      </c>
      <c r="F1168" t="s">
        <v>83</v>
      </c>
      <c r="G1168" t="s">
        <v>84</v>
      </c>
      <c r="H1168" t="s">
        <v>85</v>
      </c>
      <c r="AC1168">
        <v>1</v>
      </c>
      <c r="AD1168">
        <v>0</v>
      </c>
      <c r="AE1168">
        <v>0</v>
      </c>
      <c r="AF1168">
        <v>0</v>
      </c>
      <c r="AG1168">
        <v>1</v>
      </c>
      <c r="AJ1168">
        <v>1</v>
      </c>
      <c r="AK1168">
        <v>0</v>
      </c>
      <c r="AL1168">
        <v>1</v>
      </c>
      <c r="AM1168">
        <v>0</v>
      </c>
      <c r="AN1168">
        <v>0</v>
      </c>
      <c r="AO1168">
        <v>1</v>
      </c>
      <c r="AP1168">
        <v>1</v>
      </c>
      <c r="AQ1168">
        <v>1</v>
      </c>
      <c r="AR1168">
        <v>0</v>
      </c>
      <c r="AS1168">
        <v>1</v>
      </c>
      <c r="AT1168">
        <v>0</v>
      </c>
      <c r="AV1168">
        <v>1</v>
      </c>
      <c r="AW1168">
        <v>1</v>
      </c>
    </row>
    <row r="1169" spans="1:49" x14ac:dyDescent="0.25">
      <c r="A1169" t="str">
        <f>"1165"</f>
        <v>1165</v>
      </c>
      <c r="B1169" t="str">
        <f t="shared" si="64"/>
        <v>1</v>
      </c>
      <c r="C1169" t="str">
        <f t="shared" si="66"/>
        <v>52</v>
      </c>
      <c r="D1169" t="str">
        <f>"1"</f>
        <v>1</v>
      </c>
      <c r="E1169" t="str">
        <f>"1-52-1"</f>
        <v>1-52-1</v>
      </c>
      <c r="F1169" t="s">
        <v>83</v>
      </c>
      <c r="G1169" t="s">
        <v>84</v>
      </c>
      <c r="H1169" t="s">
        <v>85</v>
      </c>
      <c r="AC1169">
        <v>1</v>
      </c>
      <c r="AD1169">
        <v>0</v>
      </c>
      <c r="AE1169">
        <v>0</v>
      </c>
      <c r="AF1169">
        <v>0</v>
      </c>
      <c r="AG1169">
        <v>1</v>
      </c>
      <c r="AJ1169">
        <v>0</v>
      </c>
      <c r="AK1169">
        <v>1</v>
      </c>
      <c r="AL1169">
        <v>0</v>
      </c>
      <c r="AM1169">
        <v>0</v>
      </c>
      <c r="AN1169">
        <v>1</v>
      </c>
      <c r="AO1169">
        <v>1</v>
      </c>
      <c r="AP1169">
        <v>1</v>
      </c>
      <c r="AQ1169">
        <v>1</v>
      </c>
      <c r="AR1169">
        <v>1</v>
      </c>
      <c r="AS1169">
        <v>0</v>
      </c>
      <c r="AT1169">
        <v>1</v>
      </c>
      <c r="AV1169">
        <v>0</v>
      </c>
      <c r="AW1169">
        <v>1</v>
      </c>
    </row>
    <row r="1170" spans="1:49" x14ac:dyDescent="0.25">
      <c r="A1170" t="str">
        <f>"1166"</f>
        <v>1166</v>
      </c>
      <c r="B1170" t="str">
        <f t="shared" si="64"/>
        <v>1</v>
      </c>
      <c r="C1170" t="str">
        <f t="shared" si="66"/>
        <v>52</v>
      </c>
      <c r="D1170" t="str">
        <f>"23"</f>
        <v>23</v>
      </c>
      <c r="E1170" t="str">
        <f>"1-52-23"</f>
        <v>1-52-23</v>
      </c>
      <c r="F1170" t="s">
        <v>83</v>
      </c>
      <c r="G1170" t="s">
        <v>84</v>
      </c>
      <c r="H1170" t="s">
        <v>85</v>
      </c>
      <c r="AC1170">
        <v>0</v>
      </c>
      <c r="AD1170">
        <v>1</v>
      </c>
      <c r="AE1170">
        <v>0</v>
      </c>
      <c r="AF1170">
        <v>0</v>
      </c>
      <c r="AG1170">
        <v>1</v>
      </c>
      <c r="AJ1170">
        <v>0</v>
      </c>
      <c r="AK1170">
        <v>1</v>
      </c>
      <c r="AL1170">
        <v>0</v>
      </c>
      <c r="AM1170">
        <v>0</v>
      </c>
      <c r="AN1170">
        <v>1</v>
      </c>
      <c r="AO1170">
        <v>1</v>
      </c>
      <c r="AP1170">
        <v>1</v>
      </c>
      <c r="AQ1170">
        <v>1</v>
      </c>
      <c r="AR1170">
        <v>1</v>
      </c>
      <c r="AS1170">
        <v>0</v>
      </c>
      <c r="AT1170">
        <v>1</v>
      </c>
      <c r="AV1170">
        <v>1</v>
      </c>
      <c r="AW1170">
        <v>1</v>
      </c>
    </row>
    <row r="1171" spans="1:49" x14ac:dyDescent="0.25">
      <c r="A1171" t="str">
        <f>"1167"</f>
        <v>1167</v>
      </c>
      <c r="B1171" t="str">
        <f t="shared" si="64"/>
        <v>1</v>
      </c>
      <c r="C1171" t="str">
        <f t="shared" si="66"/>
        <v>52</v>
      </c>
      <c r="D1171" t="str">
        <f>"22"</f>
        <v>22</v>
      </c>
      <c r="E1171" t="str">
        <f>"1-52-22"</f>
        <v>1-52-22</v>
      </c>
      <c r="F1171" t="s">
        <v>83</v>
      </c>
      <c r="G1171" t="s">
        <v>84</v>
      </c>
      <c r="H1171" t="s">
        <v>85</v>
      </c>
      <c r="AC1171">
        <v>1</v>
      </c>
      <c r="AD1171">
        <v>0</v>
      </c>
      <c r="AE1171">
        <v>0</v>
      </c>
      <c r="AF1171">
        <v>0</v>
      </c>
      <c r="AG1171">
        <v>1</v>
      </c>
      <c r="AJ1171">
        <v>0</v>
      </c>
      <c r="AK1171">
        <v>1</v>
      </c>
      <c r="AL1171">
        <v>0</v>
      </c>
      <c r="AM1171">
        <v>0</v>
      </c>
      <c r="AN1171">
        <v>1</v>
      </c>
      <c r="AO1171">
        <v>1</v>
      </c>
      <c r="AP1171">
        <v>1</v>
      </c>
      <c r="AQ1171">
        <v>1</v>
      </c>
      <c r="AR1171">
        <v>1</v>
      </c>
      <c r="AS1171">
        <v>0</v>
      </c>
      <c r="AT1171">
        <v>1</v>
      </c>
      <c r="AV1171">
        <v>1</v>
      </c>
      <c r="AW1171">
        <v>1</v>
      </c>
    </row>
    <row r="1172" spans="1:49" x14ac:dyDescent="0.25">
      <c r="A1172" t="str">
        <f>"1168"</f>
        <v>1168</v>
      </c>
      <c r="B1172" t="str">
        <f t="shared" si="64"/>
        <v>1</v>
      </c>
      <c r="C1172" t="str">
        <f t="shared" si="66"/>
        <v>52</v>
      </c>
      <c r="D1172" t="str">
        <f>"16"</f>
        <v>16</v>
      </c>
      <c r="E1172" t="str">
        <f>"1-52-16"</f>
        <v>1-52-16</v>
      </c>
      <c r="F1172" t="s">
        <v>83</v>
      </c>
      <c r="G1172" t="s">
        <v>86</v>
      </c>
      <c r="H1172" t="s">
        <v>87</v>
      </c>
      <c r="AC1172">
        <v>0</v>
      </c>
      <c r="AD1172">
        <v>0</v>
      </c>
      <c r="AE1172">
        <v>0</v>
      </c>
      <c r="AF1172">
        <v>0</v>
      </c>
      <c r="AH1172">
        <v>0</v>
      </c>
      <c r="AI1172">
        <v>1</v>
      </c>
      <c r="AJ1172">
        <v>0</v>
      </c>
      <c r="AK1172">
        <v>0</v>
      </c>
      <c r="AL1172">
        <v>0</v>
      </c>
      <c r="AM1172">
        <v>0</v>
      </c>
      <c r="AN1172">
        <v>0</v>
      </c>
      <c r="AO1172">
        <v>0</v>
      </c>
      <c r="AP1172">
        <v>0</v>
      </c>
      <c r="AQ1172">
        <v>0</v>
      </c>
      <c r="AU1172">
        <v>0</v>
      </c>
      <c r="AV1172">
        <v>0</v>
      </c>
      <c r="AW1172">
        <v>0</v>
      </c>
    </row>
    <row r="1173" spans="1:49" x14ac:dyDescent="0.25">
      <c r="A1173" t="str">
        <f>"1169"</f>
        <v>1169</v>
      </c>
      <c r="B1173" t="str">
        <f t="shared" si="64"/>
        <v>1</v>
      </c>
      <c r="C1173" t="str">
        <f t="shared" si="66"/>
        <v>52</v>
      </c>
      <c r="D1173" t="str">
        <f>"9"</f>
        <v>9</v>
      </c>
      <c r="E1173" t="str">
        <f>"1-52-9"</f>
        <v>1-52-9</v>
      </c>
      <c r="F1173" t="s">
        <v>83</v>
      </c>
      <c r="G1173" t="s">
        <v>84</v>
      </c>
      <c r="H1173" t="s">
        <v>85</v>
      </c>
      <c r="AC1173">
        <v>0</v>
      </c>
      <c r="AD1173">
        <v>1</v>
      </c>
      <c r="AE1173">
        <v>0</v>
      </c>
      <c r="AF1173">
        <v>0</v>
      </c>
      <c r="AG1173">
        <v>1</v>
      </c>
      <c r="AJ1173">
        <v>1</v>
      </c>
      <c r="AK1173">
        <v>0</v>
      </c>
      <c r="AL1173">
        <v>0</v>
      </c>
      <c r="AM1173">
        <v>0</v>
      </c>
      <c r="AN1173">
        <v>1</v>
      </c>
      <c r="AO1173">
        <v>1</v>
      </c>
      <c r="AP1173">
        <v>0</v>
      </c>
      <c r="AQ1173">
        <v>1</v>
      </c>
      <c r="AR1173">
        <v>1</v>
      </c>
      <c r="AS1173">
        <v>1</v>
      </c>
      <c r="AT1173">
        <v>0</v>
      </c>
      <c r="AV1173">
        <v>1</v>
      </c>
      <c r="AW1173">
        <v>1</v>
      </c>
    </row>
    <row r="1174" spans="1:49" x14ac:dyDescent="0.25">
      <c r="A1174" t="str">
        <f>"1170"</f>
        <v>1170</v>
      </c>
      <c r="B1174" t="str">
        <f t="shared" si="64"/>
        <v>1</v>
      </c>
      <c r="C1174" t="str">
        <f t="shared" si="66"/>
        <v>52</v>
      </c>
      <c r="D1174" t="str">
        <f>"6"</f>
        <v>6</v>
      </c>
      <c r="E1174" t="str">
        <f>"1-52-6"</f>
        <v>1-52-6</v>
      </c>
      <c r="F1174" t="s">
        <v>83</v>
      </c>
      <c r="G1174" t="s">
        <v>84</v>
      </c>
      <c r="H1174" t="s">
        <v>85</v>
      </c>
      <c r="AC1174">
        <v>0</v>
      </c>
      <c r="AD1174">
        <v>1</v>
      </c>
      <c r="AE1174">
        <v>0</v>
      </c>
      <c r="AF1174">
        <v>0</v>
      </c>
      <c r="AG1174">
        <v>1</v>
      </c>
      <c r="AJ1174">
        <v>0</v>
      </c>
      <c r="AK1174">
        <v>1</v>
      </c>
      <c r="AL1174">
        <v>0</v>
      </c>
      <c r="AM1174">
        <v>0</v>
      </c>
      <c r="AN1174">
        <v>1</v>
      </c>
      <c r="AO1174">
        <v>1</v>
      </c>
      <c r="AP1174">
        <v>1</v>
      </c>
      <c r="AQ1174">
        <v>1</v>
      </c>
      <c r="AR1174">
        <v>1</v>
      </c>
      <c r="AS1174">
        <v>1</v>
      </c>
      <c r="AT1174">
        <v>0</v>
      </c>
      <c r="AV1174">
        <v>1</v>
      </c>
      <c r="AW1174">
        <v>1</v>
      </c>
    </row>
    <row r="1175" spans="1:49" x14ac:dyDescent="0.25">
      <c r="A1175" t="str">
        <f>"1171"</f>
        <v>1171</v>
      </c>
      <c r="B1175" t="str">
        <f t="shared" si="64"/>
        <v>1</v>
      </c>
      <c r="C1175" t="str">
        <f t="shared" si="66"/>
        <v>52</v>
      </c>
      <c r="D1175" t="str">
        <f>"24"</f>
        <v>24</v>
      </c>
      <c r="E1175" t="str">
        <f>"1-52-24"</f>
        <v>1-52-24</v>
      </c>
      <c r="F1175" t="s">
        <v>83</v>
      </c>
      <c r="G1175" t="s">
        <v>86</v>
      </c>
      <c r="H1175" t="s">
        <v>87</v>
      </c>
      <c r="AC1175">
        <v>1</v>
      </c>
      <c r="AD1175">
        <v>0</v>
      </c>
      <c r="AE1175">
        <v>0</v>
      </c>
      <c r="AF1175">
        <v>0</v>
      </c>
      <c r="AH1175">
        <v>1</v>
      </c>
      <c r="AI1175">
        <v>0</v>
      </c>
      <c r="AJ1175">
        <v>1</v>
      </c>
      <c r="AK1175">
        <v>0</v>
      </c>
      <c r="AL1175">
        <v>1</v>
      </c>
      <c r="AM1175">
        <v>0</v>
      </c>
      <c r="AN1175">
        <v>0</v>
      </c>
      <c r="AO1175">
        <v>1</v>
      </c>
      <c r="AP1175">
        <v>1</v>
      </c>
      <c r="AQ1175">
        <v>1</v>
      </c>
      <c r="AU1175">
        <v>1</v>
      </c>
      <c r="AV1175">
        <v>1</v>
      </c>
      <c r="AW1175">
        <v>1</v>
      </c>
    </row>
    <row r="1176" spans="1:49" x14ac:dyDescent="0.25">
      <c r="A1176" t="str">
        <f>"1172"</f>
        <v>1172</v>
      </c>
      <c r="B1176" t="str">
        <f t="shared" si="64"/>
        <v>1</v>
      </c>
      <c r="C1176" t="str">
        <f t="shared" si="66"/>
        <v>52</v>
      </c>
      <c r="D1176" t="str">
        <f>"17"</f>
        <v>17</v>
      </c>
      <c r="E1176" t="str">
        <f>"1-52-17"</f>
        <v>1-52-17</v>
      </c>
      <c r="F1176" t="s">
        <v>83</v>
      </c>
      <c r="G1176" t="s">
        <v>84</v>
      </c>
      <c r="H1176" t="s">
        <v>85</v>
      </c>
      <c r="AC1176">
        <v>0</v>
      </c>
      <c r="AD1176">
        <v>1</v>
      </c>
      <c r="AE1176">
        <v>0</v>
      </c>
      <c r="AF1176">
        <v>0</v>
      </c>
      <c r="AG1176">
        <v>1</v>
      </c>
      <c r="AJ1176">
        <v>1</v>
      </c>
      <c r="AK1176">
        <v>0</v>
      </c>
      <c r="AL1176">
        <v>0</v>
      </c>
      <c r="AM1176">
        <v>1</v>
      </c>
      <c r="AN1176">
        <v>0</v>
      </c>
      <c r="AO1176">
        <v>0</v>
      </c>
      <c r="AP1176">
        <v>0</v>
      </c>
      <c r="AQ1176">
        <v>0</v>
      </c>
      <c r="AR1176">
        <v>0</v>
      </c>
      <c r="AS1176">
        <v>0</v>
      </c>
      <c r="AT1176">
        <v>1</v>
      </c>
      <c r="AV1176">
        <v>0</v>
      </c>
      <c r="AW1176">
        <v>0</v>
      </c>
    </row>
    <row r="1177" spans="1:49" x14ac:dyDescent="0.25">
      <c r="A1177" t="str">
        <f>"1173"</f>
        <v>1173</v>
      </c>
      <c r="B1177" t="str">
        <f t="shared" si="64"/>
        <v>1</v>
      </c>
      <c r="C1177" t="str">
        <f t="shared" si="66"/>
        <v>52</v>
      </c>
      <c r="D1177" t="str">
        <f>"10"</f>
        <v>10</v>
      </c>
      <c r="E1177" t="str">
        <f>"1-52-10"</f>
        <v>1-52-10</v>
      </c>
      <c r="F1177" t="s">
        <v>83</v>
      </c>
      <c r="G1177" t="s">
        <v>88</v>
      </c>
      <c r="H1177" t="s">
        <v>89</v>
      </c>
      <c r="AC1177">
        <v>0</v>
      </c>
      <c r="AD1177">
        <v>1</v>
      </c>
      <c r="AE1177">
        <v>0</v>
      </c>
      <c r="AF1177">
        <v>0</v>
      </c>
      <c r="AH1177">
        <v>0</v>
      </c>
      <c r="AI1177">
        <v>1</v>
      </c>
      <c r="AJ1177">
        <v>0</v>
      </c>
      <c r="AK1177">
        <v>1</v>
      </c>
      <c r="AL1177">
        <v>0</v>
      </c>
      <c r="AM1177">
        <v>0</v>
      </c>
      <c r="AN1177">
        <v>1</v>
      </c>
      <c r="AO1177">
        <v>0</v>
      </c>
      <c r="AP1177">
        <v>0</v>
      </c>
      <c r="AQ1177">
        <v>0</v>
      </c>
      <c r="AR1177">
        <v>1</v>
      </c>
      <c r="AS1177">
        <v>0</v>
      </c>
      <c r="AT1177">
        <v>1</v>
      </c>
      <c r="AV1177">
        <v>0</v>
      </c>
      <c r="AW1177">
        <v>0</v>
      </c>
    </row>
    <row r="1178" spans="1:49" x14ac:dyDescent="0.25">
      <c r="A1178" t="str">
        <f>"1174"</f>
        <v>1174</v>
      </c>
      <c r="B1178" t="str">
        <f t="shared" si="64"/>
        <v>1</v>
      </c>
      <c r="C1178" t="str">
        <f t="shared" si="66"/>
        <v>52</v>
      </c>
      <c r="D1178" t="str">
        <f>"4"</f>
        <v>4</v>
      </c>
      <c r="E1178" t="str">
        <f>"1-52-4"</f>
        <v>1-52-4</v>
      </c>
      <c r="F1178" t="s">
        <v>83</v>
      </c>
      <c r="G1178" t="s">
        <v>84</v>
      </c>
      <c r="H1178" t="s">
        <v>85</v>
      </c>
      <c r="AC1178">
        <v>0</v>
      </c>
      <c r="AD1178">
        <v>1</v>
      </c>
      <c r="AE1178">
        <v>0</v>
      </c>
      <c r="AF1178">
        <v>0</v>
      </c>
      <c r="AG1178">
        <v>1</v>
      </c>
      <c r="AJ1178">
        <v>0</v>
      </c>
      <c r="AK1178">
        <v>1</v>
      </c>
      <c r="AL1178">
        <v>0</v>
      </c>
      <c r="AM1178">
        <v>0</v>
      </c>
      <c r="AN1178">
        <v>1</v>
      </c>
      <c r="AO1178">
        <v>1</v>
      </c>
      <c r="AP1178">
        <v>1</v>
      </c>
      <c r="AQ1178">
        <v>1</v>
      </c>
      <c r="AR1178">
        <v>1</v>
      </c>
      <c r="AS1178">
        <v>1</v>
      </c>
      <c r="AT1178">
        <v>0</v>
      </c>
      <c r="AV1178">
        <v>1</v>
      </c>
      <c r="AW1178">
        <v>1</v>
      </c>
    </row>
    <row r="1179" spans="1:49" x14ac:dyDescent="0.25">
      <c r="A1179" t="str">
        <f>"1175"</f>
        <v>1175</v>
      </c>
      <c r="B1179" t="str">
        <f t="shared" si="64"/>
        <v>1</v>
      </c>
      <c r="C1179" t="str">
        <f t="shared" si="66"/>
        <v>52</v>
      </c>
      <c r="D1179" t="str">
        <f>"21"</f>
        <v>21</v>
      </c>
      <c r="E1179" t="str">
        <f>"1-52-21"</f>
        <v>1-52-21</v>
      </c>
      <c r="F1179" t="s">
        <v>83</v>
      </c>
      <c r="G1179" t="s">
        <v>84</v>
      </c>
      <c r="H1179" t="s">
        <v>85</v>
      </c>
      <c r="AC1179">
        <v>0</v>
      </c>
      <c r="AD1179">
        <v>1</v>
      </c>
      <c r="AE1179">
        <v>0</v>
      </c>
      <c r="AF1179">
        <v>0</v>
      </c>
      <c r="AG1179">
        <v>1</v>
      </c>
      <c r="AJ1179">
        <v>1</v>
      </c>
      <c r="AK1179">
        <v>0</v>
      </c>
      <c r="AL1179">
        <v>0</v>
      </c>
      <c r="AM1179">
        <v>0</v>
      </c>
      <c r="AN1179">
        <v>1</v>
      </c>
      <c r="AO1179">
        <v>1</v>
      </c>
      <c r="AP1179">
        <v>1</v>
      </c>
      <c r="AQ1179">
        <v>1</v>
      </c>
      <c r="AR1179">
        <v>1</v>
      </c>
      <c r="AS1179">
        <v>0</v>
      </c>
      <c r="AT1179">
        <v>1</v>
      </c>
      <c r="AV1179">
        <v>1</v>
      </c>
      <c r="AW1179">
        <v>1</v>
      </c>
    </row>
    <row r="1180" spans="1:49" x14ac:dyDescent="0.25">
      <c r="A1180" t="str">
        <f>"1176"</f>
        <v>1176</v>
      </c>
      <c r="B1180" t="str">
        <f t="shared" si="64"/>
        <v>1</v>
      </c>
      <c r="C1180" t="str">
        <f t="shared" si="66"/>
        <v>52</v>
      </c>
      <c r="D1180" t="str">
        <f>"11"</f>
        <v>11</v>
      </c>
      <c r="E1180" t="str">
        <f>"1-52-11"</f>
        <v>1-52-11</v>
      </c>
      <c r="F1180" t="s">
        <v>83</v>
      </c>
      <c r="G1180" t="s">
        <v>84</v>
      </c>
      <c r="H1180" t="s">
        <v>85</v>
      </c>
      <c r="AC1180">
        <v>1</v>
      </c>
      <c r="AD1180">
        <v>0</v>
      </c>
      <c r="AE1180">
        <v>0</v>
      </c>
      <c r="AF1180">
        <v>0</v>
      </c>
      <c r="AG1180">
        <v>1</v>
      </c>
      <c r="AJ1180">
        <v>0</v>
      </c>
      <c r="AK1180">
        <v>1</v>
      </c>
      <c r="AL1180">
        <v>1</v>
      </c>
      <c r="AM1180">
        <v>0</v>
      </c>
      <c r="AN1180">
        <v>0</v>
      </c>
      <c r="AO1180">
        <v>1</v>
      </c>
      <c r="AP1180">
        <v>1</v>
      </c>
      <c r="AQ1180">
        <v>1</v>
      </c>
      <c r="AR1180">
        <v>1</v>
      </c>
      <c r="AS1180">
        <v>0</v>
      </c>
      <c r="AT1180">
        <v>1</v>
      </c>
      <c r="AV1180">
        <v>1</v>
      </c>
      <c r="AW1180">
        <v>1</v>
      </c>
    </row>
    <row r="1181" spans="1:49" x14ac:dyDescent="0.25">
      <c r="A1181" t="str">
        <f>"1177"</f>
        <v>1177</v>
      </c>
      <c r="B1181" t="str">
        <f t="shared" si="64"/>
        <v>1</v>
      </c>
      <c r="C1181" t="str">
        <f t="shared" si="66"/>
        <v>52</v>
      </c>
      <c r="D1181" t="str">
        <f>"7"</f>
        <v>7</v>
      </c>
      <c r="E1181" t="str">
        <f>"1-52-7"</f>
        <v>1-52-7</v>
      </c>
      <c r="F1181" t="s">
        <v>83</v>
      </c>
      <c r="G1181" t="s">
        <v>84</v>
      </c>
      <c r="H1181" t="s">
        <v>85</v>
      </c>
      <c r="AC1181">
        <v>0</v>
      </c>
      <c r="AD1181">
        <v>1</v>
      </c>
      <c r="AE1181">
        <v>0</v>
      </c>
      <c r="AF1181">
        <v>0</v>
      </c>
      <c r="AG1181">
        <v>1</v>
      </c>
      <c r="AJ1181">
        <v>0</v>
      </c>
      <c r="AK1181">
        <v>1</v>
      </c>
      <c r="AL1181">
        <v>0</v>
      </c>
      <c r="AM1181">
        <v>0</v>
      </c>
      <c r="AN1181">
        <v>1</v>
      </c>
      <c r="AO1181">
        <v>1</v>
      </c>
      <c r="AP1181">
        <v>1</v>
      </c>
      <c r="AQ1181">
        <v>1</v>
      </c>
      <c r="AR1181">
        <v>1</v>
      </c>
      <c r="AS1181">
        <v>1</v>
      </c>
      <c r="AT1181">
        <v>0</v>
      </c>
      <c r="AV1181">
        <v>1</v>
      </c>
      <c r="AW1181">
        <v>1</v>
      </c>
    </row>
    <row r="1182" spans="1:49" x14ac:dyDescent="0.25">
      <c r="A1182" t="str">
        <f>"1178"</f>
        <v>1178</v>
      </c>
      <c r="B1182" t="str">
        <f t="shared" ref="B1182:B1245" si="67">"1"</f>
        <v>1</v>
      </c>
      <c r="C1182" t="str">
        <f t="shared" si="66"/>
        <v>52</v>
      </c>
      <c r="D1182" t="str">
        <f>"20"</f>
        <v>20</v>
      </c>
      <c r="E1182" t="str">
        <f>"1-52-20"</f>
        <v>1-52-20</v>
      </c>
      <c r="F1182" t="s">
        <v>83</v>
      </c>
      <c r="G1182" t="s">
        <v>84</v>
      </c>
      <c r="H1182" t="s">
        <v>85</v>
      </c>
      <c r="AC1182">
        <v>0</v>
      </c>
      <c r="AD1182">
        <v>1</v>
      </c>
      <c r="AE1182">
        <v>0</v>
      </c>
      <c r="AF1182">
        <v>0</v>
      </c>
      <c r="AG1182">
        <v>1</v>
      </c>
      <c r="AJ1182">
        <v>1</v>
      </c>
      <c r="AK1182">
        <v>0</v>
      </c>
      <c r="AL1182">
        <v>0</v>
      </c>
      <c r="AM1182">
        <v>0</v>
      </c>
      <c r="AN1182">
        <v>1</v>
      </c>
      <c r="AO1182">
        <v>1</v>
      </c>
      <c r="AP1182">
        <v>1</v>
      </c>
      <c r="AQ1182">
        <v>1</v>
      </c>
      <c r="AR1182">
        <v>1</v>
      </c>
      <c r="AS1182">
        <v>0</v>
      </c>
      <c r="AT1182">
        <v>1</v>
      </c>
      <c r="AV1182">
        <v>1</v>
      </c>
      <c r="AW1182">
        <v>1</v>
      </c>
    </row>
    <row r="1183" spans="1:49" x14ac:dyDescent="0.25">
      <c r="A1183" t="str">
        <f>"1179"</f>
        <v>1179</v>
      </c>
      <c r="B1183" t="str">
        <f t="shared" si="67"/>
        <v>1</v>
      </c>
      <c r="C1183" t="str">
        <f t="shared" si="66"/>
        <v>52</v>
      </c>
      <c r="D1183" t="str">
        <f>"12"</f>
        <v>12</v>
      </c>
      <c r="E1183" t="str">
        <f>"1-52-12"</f>
        <v>1-52-12</v>
      </c>
      <c r="F1183" t="s">
        <v>83</v>
      </c>
      <c r="G1183" t="s">
        <v>84</v>
      </c>
      <c r="H1183" t="s">
        <v>85</v>
      </c>
      <c r="AC1183">
        <v>0</v>
      </c>
      <c r="AD1183">
        <v>1</v>
      </c>
      <c r="AE1183">
        <v>0</v>
      </c>
      <c r="AF1183">
        <v>0</v>
      </c>
      <c r="AG1183">
        <v>1</v>
      </c>
      <c r="AJ1183">
        <v>0</v>
      </c>
      <c r="AK1183">
        <v>1</v>
      </c>
      <c r="AL1183">
        <v>0</v>
      </c>
      <c r="AM1183">
        <v>0</v>
      </c>
      <c r="AN1183">
        <v>1</v>
      </c>
      <c r="AO1183">
        <v>1</v>
      </c>
      <c r="AP1183">
        <v>1</v>
      </c>
      <c r="AQ1183">
        <v>1</v>
      </c>
      <c r="AR1183">
        <v>1</v>
      </c>
      <c r="AS1183">
        <v>0</v>
      </c>
      <c r="AT1183">
        <v>1</v>
      </c>
      <c r="AV1183">
        <v>0</v>
      </c>
      <c r="AW1183">
        <v>1</v>
      </c>
    </row>
    <row r="1184" spans="1:49" x14ac:dyDescent="0.25">
      <c r="A1184" t="str">
        <f>"1180"</f>
        <v>1180</v>
      </c>
      <c r="B1184" t="str">
        <f t="shared" si="67"/>
        <v>1</v>
      </c>
      <c r="C1184" t="str">
        <f t="shared" si="66"/>
        <v>52</v>
      </c>
      <c r="D1184" t="str">
        <f>"2"</f>
        <v>2</v>
      </c>
      <c r="E1184" t="str">
        <f>"1-52-2"</f>
        <v>1-52-2</v>
      </c>
      <c r="F1184" t="s">
        <v>83</v>
      </c>
      <c r="G1184" t="s">
        <v>88</v>
      </c>
      <c r="H1184" t="s">
        <v>89</v>
      </c>
      <c r="AC1184">
        <v>1</v>
      </c>
      <c r="AD1184">
        <v>0</v>
      </c>
      <c r="AE1184">
        <v>0</v>
      </c>
      <c r="AF1184">
        <v>0</v>
      </c>
      <c r="AH1184">
        <v>1</v>
      </c>
      <c r="AI1184">
        <v>0</v>
      </c>
      <c r="AJ1184">
        <v>0</v>
      </c>
      <c r="AK1184">
        <v>1</v>
      </c>
      <c r="AL1184">
        <v>1</v>
      </c>
      <c r="AM1184">
        <v>0</v>
      </c>
      <c r="AN1184">
        <v>0</v>
      </c>
      <c r="AO1184">
        <v>0</v>
      </c>
      <c r="AP1184">
        <v>0</v>
      </c>
      <c r="AQ1184">
        <v>0</v>
      </c>
      <c r="AR1184">
        <v>0</v>
      </c>
      <c r="AS1184">
        <v>0</v>
      </c>
      <c r="AT1184">
        <v>1</v>
      </c>
      <c r="AV1184">
        <v>0</v>
      </c>
      <c r="AW1184">
        <v>0</v>
      </c>
    </row>
    <row r="1185" spans="1:49" x14ac:dyDescent="0.25">
      <c r="A1185" t="str">
        <f>"1181"</f>
        <v>1181</v>
      </c>
      <c r="B1185" t="str">
        <f t="shared" si="67"/>
        <v>1</v>
      </c>
      <c r="C1185" t="str">
        <f t="shared" si="66"/>
        <v>52</v>
      </c>
      <c r="D1185" t="str">
        <f>"13"</f>
        <v>13</v>
      </c>
      <c r="E1185" t="str">
        <f>"1-52-13"</f>
        <v>1-52-13</v>
      </c>
      <c r="F1185" t="s">
        <v>83</v>
      </c>
      <c r="G1185" t="s">
        <v>88</v>
      </c>
      <c r="H1185" t="s">
        <v>89</v>
      </c>
      <c r="AC1185">
        <v>1</v>
      </c>
      <c r="AD1185">
        <v>0</v>
      </c>
      <c r="AE1185">
        <v>0</v>
      </c>
      <c r="AF1185">
        <v>0</v>
      </c>
      <c r="AH1185">
        <v>1</v>
      </c>
      <c r="AI1185">
        <v>0</v>
      </c>
      <c r="AJ1185">
        <v>1</v>
      </c>
      <c r="AK1185">
        <v>0</v>
      </c>
      <c r="AL1185">
        <v>1</v>
      </c>
      <c r="AM1185">
        <v>0</v>
      </c>
      <c r="AN1185">
        <v>0</v>
      </c>
      <c r="AO1185">
        <v>1</v>
      </c>
      <c r="AP1185">
        <v>1</v>
      </c>
      <c r="AQ1185">
        <v>0</v>
      </c>
      <c r="AR1185">
        <v>1</v>
      </c>
      <c r="AS1185">
        <v>0</v>
      </c>
      <c r="AT1185">
        <v>1</v>
      </c>
      <c r="AV1185">
        <v>1</v>
      </c>
      <c r="AW1185">
        <v>1</v>
      </c>
    </row>
    <row r="1186" spans="1:49" x14ac:dyDescent="0.25">
      <c r="A1186" t="str">
        <f>"1182"</f>
        <v>1182</v>
      </c>
      <c r="B1186" t="str">
        <f t="shared" si="67"/>
        <v>1</v>
      </c>
      <c r="C1186" t="str">
        <f t="shared" si="66"/>
        <v>52</v>
      </c>
      <c r="D1186" t="str">
        <f>"3"</f>
        <v>3</v>
      </c>
      <c r="E1186" t="str">
        <f>"1-52-3"</f>
        <v>1-52-3</v>
      </c>
      <c r="F1186" t="s">
        <v>83</v>
      </c>
      <c r="G1186" t="s">
        <v>84</v>
      </c>
      <c r="H1186" t="s">
        <v>85</v>
      </c>
      <c r="AC1186">
        <v>0</v>
      </c>
      <c r="AD1186">
        <v>1</v>
      </c>
      <c r="AE1186">
        <v>0</v>
      </c>
      <c r="AF1186">
        <v>0</v>
      </c>
      <c r="AG1186">
        <v>1</v>
      </c>
      <c r="AJ1186">
        <v>0</v>
      </c>
      <c r="AK1186">
        <v>1</v>
      </c>
      <c r="AL1186">
        <v>0</v>
      </c>
      <c r="AM1186">
        <v>0</v>
      </c>
      <c r="AN1186">
        <v>1</v>
      </c>
      <c r="AO1186">
        <v>1</v>
      </c>
      <c r="AP1186">
        <v>1</v>
      </c>
      <c r="AQ1186">
        <v>1</v>
      </c>
      <c r="AR1186">
        <v>1</v>
      </c>
      <c r="AS1186">
        <v>0</v>
      </c>
      <c r="AT1186">
        <v>1</v>
      </c>
      <c r="AV1186">
        <v>1</v>
      </c>
      <c r="AW1186">
        <v>1</v>
      </c>
    </row>
    <row r="1187" spans="1:49" x14ac:dyDescent="0.25">
      <c r="A1187" t="str">
        <f>"1183"</f>
        <v>1183</v>
      </c>
      <c r="B1187" t="str">
        <f t="shared" si="67"/>
        <v>1</v>
      </c>
      <c r="C1187" t="str">
        <f t="shared" si="66"/>
        <v>52</v>
      </c>
      <c r="D1187" t="str">
        <f>"14"</f>
        <v>14</v>
      </c>
      <c r="E1187" t="str">
        <f>"1-52-14"</f>
        <v>1-52-14</v>
      </c>
      <c r="F1187" t="s">
        <v>83</v>
      </c>
      <c r="G1187" t="s">
        <v>84</v>
      </c>
      <c r="H1187" t="s">
        <v>85</v>
      </c>
      <c r="AC1187">
        <v>0</v>
      </c>
      <c r="AD1187">
        <v>1</v>
      </c>
      <c r="AE1187">
        <v>0</v>
      </c>
      <c r="AF1187">
        <v>0</v>
      </c>
      <c r="AG1187">
        <v>1</v>
      </c>
      <c r="AJ1187">
        <v>1</v>
      </c>
      <c r="AK1187">
        <v>0</v>
      </c>
      <c r="AL1187">
        <v>1</v>
      </c>
      <c r="AM1187">
        <v>0</v>
      </c>
      <c r="AN1187">
        <v>0</v>
      </c>
      <c r="AO1187">
        <v>1</v>
      </c>
      <c r="AP1187">
        <v>1</v>
      </c>
      <c r="AQ1187">
        <v>1</v>
      </c>
      <c r="AR1187">
        <v>1</v>
      </c>
      <c r="AS1187">
        <v>0</v>
      </c>
      <c r="AT1187">
        <v>1</v>
      </c>
      <c r="AV1187">
        <v>1</v>
      </c>
      <c r="AW1187">
        <v>1</v>
      </c>
    </row>
    <row r="1188" spans="1:49" x14ac:dyDescent="0.25">
      <c r="A1188" t="str">
        <f>"1184"</f>
        <v>1184</v>
      </c>
      <c r="B1188" t="str">
        <f t="shared" si="67"/>
        <v>1</v>
      </c>
      <c r="C1188" t="str">
        <f t="shared" si="66"/>
        <v>52</v>
      </c>
      <c r="D1188" t="str">
        <f>"5"</f>
        <v>5</v>
      </c>
      <c r="E1188" t="str">
        <f>"1-52-5"</f>
        <v>1-52-5</v>
      </c>
      <c r="F1188" t="s">
        <v>83</v>
      </c>
      <c r="G1188" t="s">
        <v>84</v>
      </c>
      <c r="H1188" t="s">
        <v>85</v>
      </c>
      <c r="AC1188">
        <v>0</v>
      </c>
      <c r="AD1188">
        <v>1</v>
      </c>
      <c r="AE1188">
        <v>0</v>
      </c>
      <c r="AF1188">
        <v>0</v>
      </c>
      <c r="AG1188">
        <v>1</v>
      </c>
      <c r="AJ1188">
        <v>0</v>
      </c>
      <c r="AK1188">
        <v>1</v>
      </c>
      <c r="AL1188">
        <v>0</v>
      </c>
      <c r="AM1188">
        <v>0</v>
      </c>
      <c r="AN1188">
        <v>1</v>
      </c>
      <c r="AO1188">
        <v>1</v>
      </c>
      <c r="AP1188">
        <v>1</v>
      </c>
      <c r="AQ1188">
        <v>1</v>
      </c>
      <c r="AR1188">
        <v>1</v>
      </c>
      <c r="AS1188">
        <v>1</v>
      </c>
      <c r="AT1188">
        <v>0</v>
      </c>
      <c r="AV1188">
        <v>1</v>
      </c>
      <c r="AW1188">
        <v>1</v>
      </c>
    </row>
    <row r="1189" spans="1:49" x14ac:dyDescent="0.25">
      <c r="A1189" t="str">
        <f>"1185"</f>
        <v>1185</v>
      </c>
      <c r="B1189" t="str">
        <f t="shared" si="67"/>
        <v>1</v>
      </c>
      <c r="C1189" t="str">
        <f t="shared" ref="C1189:C1211" si="68">"53"</f>
        <v>53</v>
      </c>
      <c r="D1189" t="str">
        <f>"19"</f>
        <v>19</v>
      </c>
      <c r="E1189" t="str">
        <f>"1-53-19"</f>
        <v>1-53-19</v>
      </c>
      <c r="F1189" t="s">
        <v>83</v>
      </c>
      <c r="G1189" t="s">
        <v>84</v>
      </c>
      <c r="H1189" t="s">
        <v>85</v>
      </c>
      <c r="AC1189">
        <v>0</v>
      </c>
      <c r="AD1189">
        <v>1</v>
      </c>
      <c r="AE1189">
        <v>0</v>
      </c>
      <c r="AF1189">
        <v>0</v>
      </c>
      <c r="AG1189">
        <v>0</v>
      </c>
      <c r="AJ1189">
        <v>0</v>
      </c>
      <c r="AK1189">
        <v>1</v>
      </c>
      <c r="AL1189">
        <v>1</v>
      </c>
      <c r="AM1189">
        <v>0</v>
      </c>
      <c r="AN1189">
        <v>0</v>
      </c>
      <c r="AO1189">
        <v>1</v>
      </c>
      <c r="AP1189">
        <v>1</v>
      </c>
      <c r="AQ1189">
        <v>1</v>
      </c>
      <c r="AR1189">
        <v>1</v>
      </c>
      <c r="AS1189">
        <v>0</v>
      </c>
      <c r="AT1189">
        <v>1</v>
      </c>
      <c r="AV1189">
        <v>1</v>
      </c>
      <c r="AW1189">
        <v>1</v>
      </c>
    </row>
    <row r="1190" spans="1:49" x14ac:dyDescent="0.25">
      <c r="A1190" t="str">
        <f>"1186"</f>
        <v>1186</v>
      </c>
      <c r="B1190" t="str">
        <f t="shared" si="67"/>
        <v>1</v>
      </c>
      <c r="C1190" t="str">
        <f t="shared" si="68"/>
        <v>53</v>
      </c>
      <c r="D1190" t="str">
        <f>"18"</f>
        <v>18</v>
      </c>
      <c r="E1190" t="str">
        <f>"1-53-18"</f>
        <v>1-53-18</v>
      </c>
      <c r="F1190" t="s">
        <v>83</v>
      </c>
      <c r="G1190" t="s">
        <v>84</v>
      </c>
      <c r="H1190" t="s">
        <v>85</v>
      </c>
      <c r="AC1190">
        <v>1</v>
      </c>
      <c r="AD1190">
        <v>0</v>
      </c>
      <c r="AE1190">
        <v>0</v>
      </c>
      <c r="AF1190">
        <v>0</v>
      </c>
      <c r="AG1190">
        <v>1</v>
      </c>
      <c r="AJ1190">
        <v>1</v>
      </c>
      <c r="AK1190">
        <v>0</v>
      </c>
      <c r="AL1190">
        <v>0</v>
      </c>
      <c r="AM1190">
        <v>0</v>
      </c>
      <c r="AN1190">
        <v>1</v>
      </c>
      <c r="AO1190">
        <v>1</v>
      </c>
      <c r="AP1190">
        <v>1</v>
      </c>
      <c r="AQ1190">
        <v>1</v>
      </c>
      <c r="AR1190">
        <v>1</v>
      </c>
      <c r="AS1190">
        <v>1</v>
      </c>
      <c r="AT1190">
        <v>0</v>
      </c>
      <c r="AV1190">
        <v>1</v>
      </c>
      <c r="AW1190">
        <v>1</v>
      </c>
    </row>
    <row r="1191" spans="1:49" x14ac:dyDescent="0.25">
      <c r="A1191" t="str">
        <f>"1187"</f>
        <v>1187</v>
      </c>
      <c r="B1191" t="str">
        <f t="shared" si="67"/>
        <v>1</v>
      </c>
      <c r="C1191" t="str">
        <f t="shared" si="68"/>
        <v>53</v>
      </c>
      <c r="D1191" t="str">
        <f>"13"</f>
        <v>13</v>
      </c>
      <c r="E1191" t="str">
        <f>"1-53-13"</f>
        <v>1-53-13</v>
      </c>
      <c r="F1191" t="s">
        <v>83</v>
      </c>
      <c r="G1191" t="s">
        <v>86</v>
      </c>
      <c r="H1191" t="s">
        <v>87</v>
      </c>
      <c r="AC1191">
        <v>0</v>
      </c>
      <c r="AD1191">
        <v>1</v>
      </c>
      <c r="AE1191">
        <v>0</v>
      </c>
      <c r="AF1191">
        <v>0</v>
      </c>
      <c r="AH1191">
        <v>1</v>
      </c>
      <c r="AI1191">
        <v>0</v>
      </c>
      <c r="AJ1191">
        <v>1</v>
      </c>
      <c r="AK1191">
        <v>0</v>
      </c>
      <c r="AL1191">
        <v>1</v>
      </c>
      <c r="AM1191">
        <v>0</v>
      </c>
      <c r="AN1191">
        <v>0</v>
      </c>
      <c r="AO1191">
        <v>1</v>
      </c>
      <c r="AP1191">
        <v>1</v>
      </c>
      <c r="AQ1191">
        <v>1</v>
      </c>
      <c r="AU1191">
        <v>1</v>
      </c>
      <c r="AV1191">
        <v>1</v>
      </c>
      <c r="AW1191">
        <v>1</v>
      </c>
    </row>
    <row r="1192" spans="1:49" x14ac:dyDescent="0.25">
      <c r="A1192" t="str">
        <f>"1188"</f>
        <v>1188</v>
      </c>
      <c r="B1192" t="str">
        <f t="shared" si="67"/>
        <v>1</v>
      </c>
      <c r="C1192" t="str">
        <f t="shared" si="68"/>
        <v>53</v>
      </c>
      <c r="D1192" t="str">
        <f>"8"</f>
        <v>8</v>
      </c>
      <c r="E1192" t="str">
        <f>"1-53-8"</f>
        <v>1-53-8</v>
      </c>
      <c r="F1192" t="s">
        <v>83</v>
      </c>
      <c r="G1192" t="s">
        <v>84</v>
      </c>
      <c r="H1192" t="s">
        <v>85</v>
      </c>
      <c r="AC1192">
        <v>0</v>
      </c>
      <c r="AD1192">
        <v>1</v>
      </c>
      <c r="AE1192">
        <v>0</v>
      </c>
      <c r="AF1192">
        <v>0</v>
      </c>
      <c r="AG1192">
        <v>1</v>
      </c>
      <c r="AJ1192">
        <v>0</v>
      </c>
      <c r="AK1192">
        <v>1</v>
      </c>
      <c r="AL1192">
        <v>0</v>
      </c>
      <c r="AM1192">
        <v>0</v>
      </c>
      <c r="AN1192">
        <v>1</v>
      </c>
      <c r="AO1192">
        <v>1</v>
      </c>
      <c r="AP1192">
        <v>1</v>
      </c>
      <c r="AQ1192">
        <v>1</v>
      </c>
      <c r="AR1192">
        <v>1</v>
      </c>
      <c r="AS1192">
        <v>1</v>
      </c>
      <c r="AT1192">
        <v>0</v>
      </c>
      <c r="AV1192">
        <v>1</v>
      </c>
      <c r="AW1192">
        <v>1</v>
      </c>
    </row>
    <row r="1193" spans="1:49" x14ac:dyDescent="0.25">
      <c r="A1193" t="str">
        <f>"1189"</f>
        <v>1189</v>
      </c>
      <c r="B1193" t="str">
        <f t="shared" si="67"/>
        <v>1</v>
      </c>
      <c r="C1193" t="str">
        <f t="shared" si="68"/>
        <v>53</v>
      </c>
      <c r="D1193" t="str">
        <f>"1"</f>
        <v>1</v>
      </c>
      <c r="E1193" t="str">
        <f>"1-53-1"</f>
        <v>1-53-1</v>
      </c>
      <c r="F1193" t="s">
        <v>83</v>
      </c>
      <c r="G1193" t="s">
        <v>84</v>
      </c>
      <c r="H1193" t="s">
        <v>85</v>
      </c>
      <c r="AC1193">
        <v>0</v>
      </c>
      <c r="AD1193">
        <v>1</v>
      </c>
      <c r="AE1193">
        <v>0</v>
      </c>
      <c r="AF1193">
        <v>0</v>
      </c>
      <c r="AG1193">
        <v>1</v>
      </c>
      <c r="AJ1193">
        <v>1</v>
      </c>
      <c r="AK1193">
        <v>0</v>
      </c>
      <c r="AL1193">
        <v>0</v>
      </c>
      <c r="AM1193">
        <v>1</v>
      </c>
      <c r="AN1193">
        <v>0</v>
      </c>
      <c r="AO1193">
        <v>1</v>
      </c>
      <c r="AP1193">
        <v>1</v>
      </c>
      <c r="AQ1193">
        <v>1</v>
      </c>
      <c r="AR1193">
        <v>1</v>
      </c>
      <c r="AS1193">
        <v>1</v>
      </c>
      <c r="AT1193">
        <v>0</v>
      </c>
      <c r="AV1193">
        <v>1</v>
      </c>
      <c r="AW1193">
        <v>1</v>
      </c>
    </row>
    <row r="1194" spans="1:49" x14ac:dyDescent="0.25">
      <c r="A1194" t="str">
        <f>"1190"</f>
        <v>1190</v>
      </c>
      <c r="B1194" t="str">
        <f t="shared" si="67"/>
        <v>1</v>
      </c>
      <c r="C1194" t="str">
        <f t="shared" si="68"/>
        <v>53</v>
      </c>
      <c r="D1194" t="str">
        <f>"16"</f>
        <v>16</v>
      </c>
      <c r="E1194" t="str">
        <f>"1-53-16"</f>
        <v>1-53-16</v>
      </c>
      <c r="F1194" t="s">
        <v>83</v>
      </c>
      <c r="G1194" t="s">
        <v>84</v>
      </c>
      <c r="H1194" t="s">
        <v>85</v>
      </c>
      <c r="AC1194">
        <v>0</v>
      </c>
      <c r="AD1194">
        <v>1</v>
      </c>
      <c r="AE1194">
        <v>0</v>
      </c>
      <c r="AF1194">
        <v>0</v>
      </c>
      <c r="AG1194">
        <v>0</v>
      </c>
      <c r="AJ1194">
        <v>1</v>
      </c>
      <c r="AK1194">
        <v>0</v>
      </c>
      <c r="AL1194">
        <v>0</v>
      </c>
      <c r="AM1194">
        <v>1</v>
      </c>
      <c r="AN1194">
        <v>0</v>
      </c>
      <c r="AO1194">
        <v>1</v>
      </c>
      <c r="AP1194">
        <v>1</v>
      </c>
      <c r="AQ1194">
        <v>1</v>
      </c>
      <c r="AR1194">
        <v>1</v>
      </c>
      <c r="AS1194">
        <v>0</v>
      </c>
      <c r="AT1194">
        <v>1</v>
      </c>
      <c r="AV1194">
        <v>1</v>
      </c>
      <c r="AW1194">
        <v>1</v>
      </c>
    </row>
    <row r="1195" spans="1:49" x14ac:dyDescent="0.25">
      <c r="A1195" t="str">
        <f>"1191"</f>
        <v>1191</v>
      </c>
      <c r="B1195" t="str">
        <f t="shared" si="67"/>
        <v>1</v>
      </c>
      <c r="C1195" t="str">
        <f t="shared" si="68"/>
        <v>53</v>
      </c>
      <c r="D1195" t="str">
        <f>"9"</f>
        <v>9</v>
      </c>
      <c r="E1195" t="str">
        <f>"1-53-9"</f>
        <v>1-53-9</v>
      </c>
      <c r="F1195" t="s">
        <v>83</v>
      </c>
      <c r="G1195" t="s">
        <v>84</v>
      </c>
      <c r="H1195" t="s">
        <v>85</v>
      </c>
      <c r="AC1195">
        <v>0</v>
      </c>
      <c r="AD1195">
        <v>1</v>
      </c>
      <c r="AE1195">
        <v>0</v>
      </c>
      <c r="AF1195">
        <v>0</v>
      </c>
      <c r="AG1195">
        <v>1</v>
      </c>
      <c r="AJ1195">
        <v>1</v>
      </c>
      <c r="AK1195">
        <v>0</v>
      </c>
      <c r="AL1195">
        <v>1</v>
      </c>
      <c r="AM1195">
        <v>0</v>
      </c>
      <c r="AN1195">
        <v>0</v>
      </c>
      <c r="AO1195">
        <v>1</v>
      </c>
      <c r="AP1195">
        <v>1</v>
      </c>
      <c r="AQ1195">
        <v>1</v>
      </c>
      <c r="AR1195">
        <v>1</v>
      </c>
      <c r="AS1195">
        <v>1</v>
      </c>
      <c r="AT1195">
        <v>0</v>
      </c>
      <c r="AV1195">
        <v>1</v>
      </c>
      <c r="AW1195">
        <v>1</v>
      </c>
    </row>
    <row r="1196" spans="1:49" x14ac:dyDescent="0.25">
      <c r="A1196" t="str">
        <f>"1192"</f>
        <v>1192</v>
      </c>
      <c r="B1196" t="str">
        <f t="shared" si="67"/>
        <v>1</v>
      </c>
      <c r="C1196" t="str">
        <f t="shared" si="68"/>
        <v>53</v>
      </c>
      <c r="D1196" t="str">
        <f>"5"</f>
        <v>5</v>
      </c>
      <c r="E1196" t="str">
        <f>"1-53-5"</f>
        <v>1-53-5</v>
      </c>
      <c r="F1196" t="s">
        <v>83</v>
      </c>
      <c r="G1196" t="s">
        <v>86</v>
      </c>
      <c r="H1196" t="s">
        <v>87</v>
      </c>
      <c r="AC1196">
        <v>0</v>
      </c>
      <c r="AD1196">
        <v>0</v>
      </c>
      <c r="AE1196">
        <v>0</v>
      </c>
      <c r="AF1196">
        <v>0</v>
      </c>
      <c r="AH1196">
        <v>0</v>
      </c>
      <c r="AI1196">
        <v>1</v>
      </c>
      <c r="AJ1196">
        <v>0</v>
      </c>
      <c r="AK1196">
        <v>0</v>
      </c>
      <c r="AL1196">
        <v>0</v>
      </c>
      <c r="AM1196">
        <v>0</v>
      </c>
      <c r="AN1196">
        <v>0</v>
      </c>
      <c r="AO1196">
        <v>0</v>
      </c>
      <c r="AP1196">
        <v>0</v>
      </c>
      <c r="AQ1196">
        <v>0</v>
      </c>
      <c r="AU1196">
        <v>0</v>
      </c>
      <c r="AV1196">
        <v>0</v>
      </c>
      <c r="AW1196">
        <v>0</v>
      </c>
    </row>
    <row r="1197" spans="1:49" x14ac:dyDescent="0.25">
      <c r="A1197" t="str">
        <f>"1193"</f>
        <v>1193</v>
      </c>
      <c r="B1197" t="str">
        <f t="shared" si="67"/>
        <v>1</v>
      </c>
      <c r="C1197" t="str">
        <f t="shared" si="68"/>
        <v>53</v>
      </c>
      <c r="D1197" t="str">
        <f>"23"</f>
        <v>23</v>
      </c>
      <c r="E1197" t="str">
        <f>"1-53-23"</f>
        <v>1-53-23</v>
      </c>
      <c r="F1197" t="s">
        <v>83</v>
      </c>
      <c r="G1197" t="s">
        <v>84</v>
      </c>
      <c r="H1197" t="s">
        <v>85</v>
      </c>
      <c r="AC1197">
        <v>0</v>
      </c>
      <c r="AD1197">
        <v>1</v>
      </c>
      <c r="AE1197">
        <v>0</v>
      </c>
      <c r="AF1197">
        <v>0</v>
      </c>
      <c r="AG1197">
        <v>1</v>
      </c>
      <c r="AJ1197">
        <v>0</v>
      </c>
      <c r="AK1197">
        <v>1</v>
      </c>
      <c r="AL1197">
        <v>0</v>
      </c>
      <c r="AM1197">
        <v>0</v>
      </c>
      <c r="AN1197">
        <v>1</v>
      </c>
      <c r="AO1197">
        <v>1</v>
      </c>
      <c r="AP1197">
        <v>1</v>
      </c>
      <c r="AQ1197">
        <v>1</v>
      </c>
      <c r="AR1197">
        <v>1</v>
      </c>
      <c r="AS1197">
        <v>0</v>
      </c>
      <c r="AT1197">
        <v>1</v>
      </c>
      <c r="AV1197">
        <v>1</v>
      </c>
      <c r="AW1197">
        <v>1</v>
      </c>
    </row>
    <row r="1198" spans="1:49" x14ac:dyDescent="0.25">
      <c r="A1198" t="str">
        <f>"1194"</f>
        <v>1194</v>
      </c>
      <c r="B1198" t="str">
        <f t="shared" si="67"/>
        <v>1</v>
      </c>
      <c r="C1198" t="str">
        <f t="shared" si="68"/>
        <v>53</v>
      </c>
      <c r="D1198" t="str">
        <f>"22"</f>
        <v>22</v>
      </c>
      <c r="E1198" t="str">
        <f>"1-53-22"</f>
        <v>1-53-22</v>
      </c>
      <c r="F1198" t="s">
        <v>83</v>
      </c>
      <c r="G1198" t="s">
        <v>84</v>
      </c>
      <c r="H1198" t="s">
        <v>85</v>
      </c>
      <c r="AC1198">
        <v>0</v>
      </c>
      <c r="AD1198">
        <v>1</v>
      </c>
      <c r="AE1198">
        <v>0</v>
      </c>
      <c r="AF1198">
        <v>0</v>
      </c>
      <c r="AG1198">
        <v>1</v>
      </c>
      <c r="AJ1198">
        <v>0</v>
      </c>
      <c r="AK1198">
        <v>1</v>
      </c>
      <c r="AL1198">
        <v>0</v>
      </c>
      <c r="AM1198">
        <v>1</v>
      </c>
      <c r="AN1198">
        <v>0</v>
      </c>
      <c r="AO1198">
        <v>1</v>
      </c>
      <c r="AP1198">
        <v>1</v>
      </c>
      <c r="AQ1198">
        <v>1</v>
      </c>
      <c r="AR1198">
        <v>1</v>
      </c>
      <c r="AS1198">
        <v>0</v>
      </c>
      <c r="AT1198">
        <v>1</v>
      </c>
      <c r="AV1198">
        <v>1</v>
      </c>
      <c r="AW1198">
        <v>1</v>
      </c>
    </row>
    <row r="1199" spans="1:49" x14ac:dyDescent="0.25">
      <c r="A1199" t="str">
        <f>"1195"</f>
        <v>1195</v>
      </c>
      <c r="B1199" t="str">
        <f t="shared" si="67"/>
        <v>1</v>
      </c>
      <c r="C1199" t="str">
        <f t="shared" si="68"/>
        <v>53</v>
      </c>
      <c r="D1199" t="str">
        <f>"17"</f>
        <v>17</v>
      </c>
      <c r="E1199" t="str">
        <f>"1-53-17"</f>
        <v>1-53-17</v>
      </c>
      <c r="F1199" t="s">
        <v>83</v>
      </c>
      <c r="G1199" t="s">
        <v>86</v>
      </c>
      <c r="H1199" t="s">
        <v>87</v>
      </c>
      <c r="AC1199">
        <v>0</v>
      </c>
      <c r="AD1199">
        <v>1</v>
      </c>
      <c r="AE1199">
        <v>0</v>
      </c>
      <c r="AF1199">
        <v>0</v>
      </c>
      <c r="AH1199">
        <v>1</v>
      </c>
      <c r="AI1199">
        <v>0</v>
      </c>
      <c r="AJ1199">
        <v>1</v>
      </c>
      <c r="AK1199">
        <v>0</v>
      </c>
      <c r="AL1199">
        <v>0</v>
      </c>
      <c r="AM1199">
        <v>1</v>
      </c>
      <c r="AN1199">
        <v>0</v>
      </c>
      <c r="AO1199">
        <v>1</v>
      </c>
      <c r="AP1199">
        <v>1</v>
      </c>
      <c r="AQ1199">
        <v>1</v>
      </c>
      <c r="AU1199">
        <v>1</v>
      </c>
      <c r="AV1199">
        <v>1</v>
      </c>
      <c r="AW1199">
        <v>1</v>
      </c>
    </row>
    <row r="1200" spans="1:49" x14ac:dyDescent="0.25">
      <c r="A1200" t="str">
        <f>"1196"</f>
        <v>1196</v>
      </c>
      <c r="B1200" t="str">
        <f t="shared" si="67"/>
        <v>1</v>
      </c>
      <c r="C1200" t="str">
        <f t="shared" si="68"/>
        <v>53</v>
      </c>
      <c r="D1200" t="str">
        <f>"10"</f>
        <v>10</v>
      </c>
      <c r="E1200" t="str">
        <f>"1-53-10"</f>
        <v>1-53-10</v>
      </c>
      <c r="F1200" t="s">
        <v>83</v>
      </c>
      <c r="G1200" t="s">
        <v>84</v>
      </c>
      <c r="H1200" t="s">
        <v>85</v>
      </c>
      <c r="AC1200">
        <v>1</v>
      </c>
      <c r="AD1200">
        <v>0</v>
      </c>
      <c r="AE1200">
        <v>0</v>
      </c>
      <c r="AF1200">
        <v>0</v>
      </c>
      <c r="AG1200">
        <v>1</v>
      </c>
      <c r="AJ1200">
        <v>1</v>
      </c>
      <c r="AK1200">
        <v>0</v>
      </c>
      <c r="AL1200">
        <v>0</v>
      </c>
      <c r="AM1200">
        <v>1</v>
      </c>
      <c r="AN1200">
        <v>0</v>
      </c>
      <c r="AO1200">
        <v>1</v>
      </c>
      <c r="AP1200">
        <v>1</v>
      </c>
      <c r="AQ1200">
        <v>1</v>
      </c>
      <c r="AR1200">
        <v>1</v>
      </c>
      <c r="AS1200">
        <v>0</v>
      </c>
      <c r="AT1200">
        <v>1</v>
      </c>
      <c r="AV1200">
        <v>1</v>
      </c>
      <c r="AW1200">
        <v>1</v>
      </c>
    </row>
    <row r="1201" spans="1:49" x14ac:dyDescent="0.25">
      <c r="A1201" t="str">
        <f>"1197"</f>
        <v>1197</v>
      </c>
      <c r="B1201" t="str">
        <f t="shared" si="67"/>
        <v>1</v>
      </c>
      <c r="C1201" t="str">
        <f t="shared" si="68"/>
        <v>53</v>
      </c>
      <c r="D1201" t="str">
        <f>"4"</f>
        <v>4</v>
      </c>
      <c r="E1201" t="str">
        <f>"1-53-4"</f>
        <v>1-53-4</v>
      </c>
      <c r="F1201" t="s">
        <v>83</v>
      </c>
      <c r="G1201" t="s">
        <v>84</v>
      </c>
      <c r="H1201" t="s">
        <v>85</v>
      </c>
      <c r="AC1201">
        <v>0</v>
      </c>
      <c r="AD1201">
        <v>1</v>
      </c>
      <c r="AE1201">
        <v>0</v>
      </c>
      <c r="AF1201">
        <v>0</v>
      </c>
      <c r="AG1201">
        <v>1</v>
      </c>
      <c r="AJ1201">
        <v>1</v>
      </c>
      <c r="AK1201">
        <v>0</v>
      </c>
      <c r="AL1201">
        <v>0</v>
      </c>
      <c r="AM1201">
        <v>1</v>
      </c>
      <c r="AN1201">
        <v>0</v>
      </c>
      <c r="AO1201">
        <v>1</v>
      </c>
      <c r="AP1201">
        <v>1</v>
      </c>
      <c r="AQ1201">
        <v>1</v>
      </c>
      <c r="AR1201">
        <v>1</v>
      </c>
      <c r="AS1201">
        <v>0</v>
      </c>
      <c r="AT1201">
        <v>1</v>
      </c>
      <c r="AV1201">
        <v>1</v>
      </c>
      <c r="AW1201">
        <v>1</v>
      </c>
    </row>
    <row r="1202" spans="1:49" x14ac:dyDescent="0.25">
      <c r="A1202" t="str">
        <f>"1198"</f>
        <v>1198</v>
      </c>
      <c r="B1202" t="str">
        <f t="shared" si="67"/>
        <v>1</v>
      </c>
      <c r="C1202" t="str">
        <f t="shared" si="68"/>
        <v>53</v>
      </c>
      <c r="D1202" t="str">
        <f>"20"</f>
        <v>20</v>
      </c>
      <c r="E1202" t="str">
        <f>"1-53-20"</f>
        <v>1-53-20</v>
      </c>
      <c r="F1202" t="s">
        <v>83</v>
      </c>
      <c r="G1202" t="s">
        <v>84</v>
      </c>
      <c r="H1202" t="s">
        <v>85</v>
      </c>
      <c r="AC1202">
        <v>1</v>
      </c>
      <c r="AD1202">
        <v>0</v>
      </c>
      <c r="AE1202">
        <v>0</v>
      </c>
      <c r="AF1202">
        <v>0</v>
      </c>
      <c r="AG1202">
        <v>1</v>
      </c>
      <c r="AJ1202">
        <v>0</v>
      </c>
      <c r="AK1202">
        <v>1</v>
      </c>
      <c r="AL1202">
        <v>1</v>
      </c>
      <c r="AM1202">
        <v>0</v>
      </c>
      <c r="AN1202">
        <v>0</v>
      </c>
      <c r="AO1202">
        <v>1</v>
      </c>
      <c r="AP1202">
        <v>1</v>
      </c>
      <c r="AQ1202">
        <v>1</v>
      </c>
      <c r="AR1202">
        <v>1</v>
      </c>
      <c r="AS1202">
        <v>1</v>
      </c>
      <c r="AT1202">
        <v>0</v>
      </c>
      <c r="AV1202">
        <v>1</v>
      </c>
      <c r="AW1202">
        <v>1</v>
      </c>
    </row>
    <row r="1203" spans="1:49" x14ac:dyDescent="0.25">
      <c r="A1203" t="str">
        <f>"1199"</f>
        <v>1199</v>
      </c>
      <c r="B1203" t="str">
        <f t="shared" si="67"/>
        <v>1</v>
      </c>
      <c r="C1203" t="str">
        <f t="shared" si="68"/>
        <v>53</v>
      </c>
      <c r="D1203" t="str">
        <f>"3"</f>
        <v>3</v>
      </c>
      <c r="E1203" t="str">
        <f>"1-53-3"</f>
        <v>1-53-3</v>
      </c>
      <c r="F1203" t="s">
        <v>83</v>
      </c>
      <c r="G1203" t="s">
        <v>84</v>
      </c>
      <c r="H1203" t="s">
        <v>85</v>
      </c>
      <c r="AC1203">
        <v>0</v>
      </c>
      <c r="AD1203">
        <v>1</v>
      </c>
      <c r="AE1203">
        <v>0</v>
      </c>
      <c r="AF1203">
        <v>0</v>
      </c>
      <c r="AG1203">
        <v>0</v>
      </c>
      <c r="AJ1203">
        <v>0</v>
      </c>
      <c r="AK1203">
        <v>1</v>
      </c>
      <c r="AL1203">
        <v>0</v>
      </c>
      <c r="AM1203">
        <v>0</v>
      </c>
      <c r="AN1203">
        <v>0</v>
      </c>
      <c r="AO1203">
        <v>0</v>
      </c>
      <c r="AP1203">
        <v>0</v>
      </c>
      <c r="AQ1203">
        <v>0</v>
      </c>
      <c r="AR1203">
        <v>1</v>
      </c>
      <c r="AS1203">
        <v>1</v>
      </c>
      <c r="AT1203">
        <v>0</v>
      </c>
      <c r="AV1203">
        <v>0</v>
      </c>
      <c r="AW1203">
        <v>0</v>
      </c>
    </row>
    <row r="1204" spans="1:49" x14ac:dyDescent="0.25">
      <c r="A1204" t="str">
        <f>"1200"</f>
        <v>1200</v>
      </c>
      <c r="B1204" t="str">
        <f t="shared" si="67"/>
        <v>1</v>
      </c>
      <c r="C1204" t="str">
        <f t="shared" si="68"/>
        <v>53</v>
      </c>
      <c r="D1204" t="str">
        <f>"21"</f>
        <v>21</v>
      </c>
      <c r="E1204" t="str">
        <f>"1-53-21"</f>
        <v>1-53-21</v>
      </c>
      <c r="F1204" t="s">
        <v>83</v>
      </c>
      <c r="G1204" t="s">
        <v>84</v>
      </c>
      <c r="H1204" t="s">
        <v>85</v>
      </c>
      <c r="AC1204">
        <v>1</v>
      </c>
      <c r="AD1204">
        <v>0</v>
      </c>
      <c r="AE1204">
        <v>0</v>
      </c>
      <c r="AF1204">
        <v>0</v>
      </c>
      <c r="AG1204">
        <v>1</v>
      </c>
      <c r="AJ1204">
        <v>1</v>
      </c>
      <c r="AK1204">
        <v>0</v>
      </c>
      <c r="AL1204">
        <v>0</v>
      </c>
      <c r="AM1204">
        <v>0</v>
      </c>
      <c r="AN1204">
        <v>1</v>
      </c>
      <c r="AO1204">
        <v>1</v>
      </c>
      <c r="AP1204">
        <v>1</v>
      </c>
      <c r="AQ1204">
        <v>1</v>
      </c>
      <c r="AR1204">
        <v>1</v>
      </c>
      <c r="AS1204">
        <v>0</v>
      </c>
      <c r="AT1204">
        <v>1</v>
      </c>
      <c r="AV1204">
        <v>1</v>
      </c>
      <c r="AW1204">
        <v>1</v>
      </c>
    </row>
    <row r="1205" spans="1:49" x14ac:dyDescent="0.25">
      <c r="A1205" t="str">
        <f>"1201"</f>
        <v>1201</v>
      </c>
      <c r="B1205" t="str">
        <f t="shared" si="67"/>
        <v>1</v>
      </c>
      <c r="C1205" t="str">
        <f t="shared" si="68"/>
        <v>53</v>
      </c>
      <c r="D1205" t="str">
        <f>"12"</f>
        <v>12</v>
      </c>
      <c r="E1205" t="str">
        <f>"1-53-12"</f>
        <v>1-53-12</v>
      </c>
      <c r="F1205" t="s">
        <v>83</v>
      </c>
      <c r="G1205" t="s">
        <v>84</v>
      </c>
      <c r="H1205" t="s">
        <v>85</v>
      </c>
      <c r="AC1205">
        <v>1</v>
      </c>
      <c r="AD1205">
        <v>0</v>
      </c>
      <c r="AE1205">
        <v>0</v>
      </c>
      <c r="AF1205">
        <v>0</v>
      </c>
      <c r="AG1205">
        <v>1</v>
      </c>
      <c r="AJ1205">
        <v>0</v>
      </c>
      <c r="AK1205">
        <v>1</v>
      </c>
      <c r="AL1205">
        <v>0</v>
      </c>
      <c r="AM1205">
        <v>1</v>
      </c>
      <c r="AN1205">
        <v>0</v>
      </c>
      <c r="AO1205">
        <v>1</v>
      </c>
      <c r="AP1205">
        <v>1</v>
      </c>
      <c r="AQ1205">
        <v>1</v>
      </c>
      <c r="AR1205">
        <v>1</v>
      </c>
      <c r="AS1205">
        <v>0</v>
      </c>
      <c r="AT1205">
        <v>1</v>
      </c>
      <c r="AV1205">
        <v>1</v>
      </c>
      <c r="AW1205">
        <v>1</v>
      </c>
    </row>
    <row r="1206" spans="1:49" x14ac:dyDescent="0.25">
      <c r="A1206" t="str">
        <f>"1202"</f>
        <v>1202</v>
      </c>
      <c r="B1206" t="str">
        <f t="shared" si="67"/>
        <v>1</v>
      </c>
      <c r="C1206" t="str">
        <f t="shared" si="68"/>
        <v>53</v>
      </c>
      <c r="D1206" t="str">
        <f>"7"</f>
        <v>7</v>
      </c>
      <c r="E1206" t="str">
        <f>"1-53-7"</f>
        <v>1-53-7</v>
      </c>
      <c r="F1206" t="s">
        <v>83</v>
      </c>
      <c r="G1206" t="s">
        <v>84</v>
      </c>
      <c r="H1206" t="s">
        <v>85</v>
      </c>
      <c r="AC1206">
        <v>1</v>
      </c>
      <c r="AD1206">
        <v>0</v>
      </c>
      <c r="AE1206">
        <v>0</v>
      </c>
      <c r="AF1206">
        <v>0</v>
      </c>
      <c r="AG1206">
        <v>1</v>
      </c>
      <c r="AJ1206">
        <v>0</v>
      </c>
      <c r="AK1206">
        <v>0</v>
      </c>
      <c r="AL1206">
        <v>0</v>
      </c>
      <c r="AM1206">
        <v>1</v>
      </c>
      <c r="AN1206">
        <v>0</v>
      </c>
      <c r="AO1206">
        <v>1</v>
      </c>
      <c r="AP1206">
        <v>1</v>
      </c>
      <c r="AQ1206">
        <v>1</v>
      </c>
      <c r="AR1206">
        <v>1</v>
      </c>
      <c r="AS1206">
        <v>0</v>
      </c>
      <c r="AT1206">
        <v>1</v>
      </c>
      <c r="AV1206">
        <v>1</v>
      </c>
      <c r="AW1206">
        <v>1</v>
      </c>
    </row>
    <row r="1207" spans="1:49" x14ac:dyDescent="0.25">
      <c r="A1207" t="str">
        <f>"1203"</f>
        <v>1203</v>
      </c>
      <c r="B1207" t="str">
        <f t="shared" si="67"/>
        <v>1</v>
      </c>
      <c r="C1207" t="str">
        <f t="shared" si="68"/>
        <v>53</v>
      </c>
      <c r="D1207" t="str">
        <f>"14"</f>
        <v>14</v>
      </c>
      <c r="E1207" t="str">
        <f>"1-53-14"</f>
        <v>1-53-14</v>
      </c>
      <c r="F1207" t="s">
        <v>83</v>
      </c>
      <c r="G1207" t="s">
        <v>86</v>
      </c>
      <c r="H1207" t="s">
        <v>87</v>
      </c>
      <c r="AC1207">
        <v>1</v>
      </c>
      <c r="AD1207">
        <v>0</v>
      </c>
      <c r="AE1207">
        <v>0</v>
      </c>
      <c r="AF1207">
        <v>0</v>
      </c>
      <c r="AH1207">
        <v>1</v>
      </c>
      <c r="AI1207">
        <v>0</v>
      </c>
      <c r="AJ1207">
        <v>0</v>
      </c>
      <c r="AK1207">
        <v>1</v>
      </c>
      <c r="AL1207">
        <v>0</v>
      </c>
      <c r="AM1207">
        <v>1</v>
      </c>
      <c r="AN1207">
        <v>0</v>
      </c>
      <c r="AO1207">
        <v>1</v>
      </c>
      <c r="AP1207">
        <v>1</v>
      </c>
      <c r="AQ1207">
        <v>1</v>
      </c>
      <c r="AU1207">
        <v>1</v>
      </c>
      <c r="AV1207">
        <v>1</v>
      </c>
      <c r="AW1207">
        <v>1</v>
      </c>
    </row>
    <row r="1208" spans="1:49" x14ac:dyDescent="0.25">
      <c r="A1208" t="str">
        <f>"1204"</f>
        <v>1204</v>
      </c>
      <c r="B1208" t="str">
        <f t="shared" si="67"/>
        <v>1</v>
      </c>
      <c r="C1208" t="str">
        <f t="shared" si="68"/>
        <v>53</v>
      </c>
      <c r="D1208" t="str">
        <f>"6"</f>
        <v>6</v>
      </c>
      <c r="E1208" t="str">
        <f>"1-53-6"</f>
        <v>1-53-6</v>
      </c>
      <c r="F1208" t="s">
        <v>83</v>
      </c>
      <c r="G1208" t="s">
        <v>84</v>
      </c>
      <c r="H1208" t="s">
        <v>85</v>
      </c>
      <c r="AC1208">
        <v>0</v>
      </c>
      <c r="AD1208">
        <v>1</v>
      </c>
      <c r="AE1208">
        <v>0</v>
      </c>
      <c r="AF1208">
        <v>0</v>
      </c>
      <c r="AG1208">
        <v>0</v>
      </c>
      <c r="AJ1208">
        <v>0</v>
      </c>
      <c r="AK1208">
        <v>1</v>
      </c>
      <c r="AL1208">
        <v>1</v>
      </c>
      <c r="AM1208">
        <v>0</v>
      </c>
      <c r="AN1208">
        <v>0</v>
      </c>
      <c r="AO1208">
        <v>1</v>
      </c>
      <c r="AP1208">
        <v>1</v>
      </c>
      <c r="AQ1208">
        <v>1</v>
      </c>
      <c r="AR1208">
        <v>1</v>
      </c>
      <c r="AS1208">
        <v>1</v>
      </c>
      <c r="AT1208">
        <v>0</v>
      </c>
      <c r="AV1208">
        <v>1</v>
      </c>
      <c r="AW1208">
        <v>1</v>
      </c>
    </row>
    <row r="1209" spans="1:49" x14ac:dyDescent="0.25">
      <c r="A1209" t="str">
        <f>"1205"</f>
        <v>1205</v>
      </c>
      <c r="B1209" t="str">
        <f t="shared" si="67"/>
        <v>1</v>
      </c>
      <c r="C1209" t="str">
        <f t="shared" si="68"/>
        <v>53</v>
      </c>
      <c r="D1209" t="str">
        <f>"15"</f>
        <v>15</v>
      </c>
      <c r="E1209" t="str">
        <f>"1-53-15"</f>
        <v>1-53-15</v>
      </c>
      <c r="F1209" t="s">
        <v>83</v>
      </c>
      <c r="G1209" t="s">
        <v>86</v>
      </c>
      <c r="H1209" t="s">
        <v>87</v>
      </c>
      <c r="AC1209">
        <v>0</v>
      </c>
      <c r="AD1209">
        <v>0</v>
      </c>
      <c r="AE1209">
        <v>0</v>
      </c>
      <c r="AF1209">
        <v>0</v>
      </c>
      <c r="AH1209">
        <v>0</v>
      </c>
      <c r="AI1209">
        <v>1</v>
      </c>
      <c r="AJ1209">
        <v>0</v>
      </c>
      <c r="AK1209">
        <v>0</v>
      </c>
      <c r="AL1209">
        <v>0</v>
      </c>
      <c r="AM1209">
        <v>0</v>
      </c>
      <c r="AN1209">
        <v>0</v>
      </c>
      <c r="AO1209">
        <v>0</v>
      </c>
      <c r="AP1209">
        <v>0</v>
      </c>
      <c r="AQ1209">
        <v>0</v>
      </c>
      <c r="AU1209">
        <v>0</v>
      </c>
      <c r="AV1209">
        <v>0</v>
      </c>
      <c r="AW1209">
        <v>0</v>
      </c>
    </row>
    <row r="1210" spans="1:49" x14ac:dyDescent="0.25">
      <c r="A1210" t="str">
        <f>"1206"</f>
        <v>1206</v>
      </c>
      <c r="B1210" t="str">
        <f t="shared" si="67"/>
        <v>1</v>
      </c>
      <c r="C1210" t="str">
        <f t="shared" si="68"/>
        <v>53</v>
      </c>
      <c r="D1210" t="str">
        <f>"2"</f>
        <v>2</v>
      </c>
      <c r="E1210" t="str">
        <f>"1-53-2"</f>
        <v>1-53-2</v>
      </c>
      <c r="F1210" t="s">
        <v>83</v>
      </c>
      <c r="G1210" t="s">
        <v>84</v>
      </c>
      <c r="H1210" t="s">
        <v>85</v>
      </c>
      <c r="AC1210">
        <v>0</v>
      </c>
      <c r="AD1210">
        <v>1</v>
      </c>
      <c r="AE1210">
        <v>0</v>
      </c>
      <c r="AF1210">
        <v>0</v>
      </c>
      <c r="AG1210">
        <v>1</v>
      </c>
      <c r="AJ1210">
        <v>1</v>
      </c>
      <c r="AK1210">
        <v>0</v>
      </c>
      <c r="AL1210">
        <v>0</v>
      </c>
      <c r="AM1210">
        <v>1</v>
      </c>
      <c r="AN1210">
        <v>0</v>
      </c>
      <c r="AO1210">
        <v>1</v>
      </c>
      <c r="AP1210">
        <v>1</v>
      </c>
      <c r="AQ1210">
        <v>1</v>
      </c>
      <c r="AR1210">
        <v>1</v>
      </c>
      <c r="AS1210">
        <v>1</v>
      </c>
      <c r="AT1210">
        <v>0</v>
      </c>
      <c r="AV1210">
        <v>1</v>
      </c>
      <c r="AW1210">
        <v>1</v>
      </c>
    </row>
    <row r="1211" spans="1:49" x14ac:dyDescent="0.25">
      <c r="A1211" t="str">
        <f>"1207"</f>
        <v>1207</v>
      </c>
      <c r="B1211" t="str">
        <f t="shared" si="67"/>
        <v>1</v>
      </c>
      <c r="C1211" t="str">
        <f t="shared" si="68"/>
        <v>53</v>
      </c>
      <c r="D1211" t="str">
        <f>"11"</f>
        <v>11</v>
      </c>
      <c r="E1211" t="str">
        <f>"1-53-11"</f>
        <v>1-53-11</v>
      </c>
      <c r="F1211" t="s">
        <v>83</v>
      </c>
      <c r="G1211" t="s">
        <v>84</v>
      </c>
      <c r="H1211" t="s">
        <v>85</v>
      </c>
      <c r="AC1211">
        <v>0</v>
      </c>
      <c r="AD1211">
        <v>0</v>
      </c>
      <c r="AE1211">
        <v>0</v>
      </c>
      <c r="AF1211">
        <v>0</v>
      </c>
      <c r="AG1211">
        <v>1</v>
      </c>
      <c r="AJ1211">
        <v>0</v>
      </c>
      <c r="AK1211">
        <v>1</v>
      </c>
      <c r="AL1211">
        <v>0</v>
      </c>
      <c r="AM1211">
        <v>0</v>
      </c>
      <c r="AN1211">
        <v>1</v>
      </c>
      <c r="AO1211">
        <v>1</v>
      </c>
      <c r="AP1211">
        <v>1</v>
      </c>
      <c r="AQ1211">
        <v>1</v>
      </c>
      <c r="AR1211">
        <v>1</v>
      </c>
      <c r="AS1211">
        <v>1</v>
      </c>
      <c r="AT1211">
        <v>0</v>
      </c>
      <c r="AV1211">
        <v>1</v>
      </c>
      <c r="AW1211">
        <v>1</v>
      </c>
    </row>
    <row r="1212" spans="1:49" x14ac:dyDescent="0.25">
      <c r="A1212" t="str">
        <f>"1208"</f>
        <v>1208</v>
      </c>
      <c r="B1212" t="str">
        <f t="shared" si="67"/>
        <v>1</v>
      </c>
      <c r="C1212" t="str">
        <f t="shared" ref="C1212:C1236" si="69">"54"</f>
        <v>54</v>
      </c>
      <c r="D1212" t="str">
        <f>"19"</f>
        <v>19</v>
      </c>
      <c r="E1212" t="str">
        <f>"1-54-19"</f>
        <v>1-54-19</v>
      </c>
      <c r="F1212" t="s">
        <v>83</v>
      </c>
      <c r="G1212" t="s">
        <v>84</v>
      </c>
      <c r="H1212" t="s">
        <v>85</v>
      </c>
      <c r="AC1212">
        <v>0</v>
      </c>
      <c r="AD1212">
        <v>1</v>
      </c>
      <c r="AE1212">
        <v>0</v>
      </c>
      <c r="AF1212">
        <v>0</v>
      </c>
      <c r="AG1212">
        <v>0</v>
      </c>
      <c r="AJ1212">
        <v>0</v>
      </c>
      <c r="AK1212">
        <v>1</v>
      </c>
      <c r="AL1212">
        <v>0</v>
      </c>
      <c r="AM1212">
        <v>1</v>
      </c>
      <c r="AN1212">
        <v>0</v>
      </c>
      <c r="AO1212">
        <v>1</v>
      </c>
      <c r="AP1212">
        <v>1</v>
      </c>
      <c r="AQ1212">
        <v>1</v>
      </c>
      <c r="AR1212">
        <v>1</v>
      </c>
      <c r="AS1212">
        <v>0</v>
      </c>
      <c r="AT1212">
        <v>1</v>
      </c>
      <c r="AV1212">
        <v>1</v>
      </c>
      <c r="AW1212">
        <v>1</v>
      </c>
    </row>
    <row r="1213" spans="1:49" x14ac:dyDescent="0.25">
      <c r="A1213" t="str">
        <f>"1209"</f>
        <v>1209</v>
      </c>
      <c r="B1213" t="str">
        <f t="shared" si="67"/>
        <v>1</v>
      </c>
      <c r="C1213" t="str">
        <f t="shared" si="69"/>
        <v>54</v>
      </c>
      <c r="D1213" t="str">
        <f>"18"</f>
        <v>18</v>
      </c>
      <c r="E1213" t="str">
        <f>"1-54-18"</f>
        <v>1-54-18</v>
      </c>
      <c r="F1213" t="s">
        <v>83</v>
      </c>
      <c r="G1213" t="s">
        <v>84</v>
      </c>
      <c r="H1213" t="s">
        <v>85</v>
      </c>
      <c r="AC1213">
        <v>0</v>
      </c>
      <c r="AD1213">
        <v>1</v>
      </c>
      <c r="AE1213">
        <v>0</v>
      </c>
      <c r="AF1213">
        <v>0</v>
      </c>
      <c r="AG1213">
        <v>0</v>
      </c>
      <c r="AJ1213">
        <v>0</v>
      </c>
      <c r="AK1213">
        <v>1</v>
      </c>
      <c r="AL1213">
        <v>0</v>
      </c>
      <c r="AM1213">
        <v>1</v>
      </c>
      <c r="AN1213">
        <v>0</v>
      </c>
      <c r="AO1213">
        <v>1</v>
      </c>
      <c r="AP1213">
        <v>1</v>
      </c>
      <c r="AQ1213">
        <v>1</v>
      </c>
      <c r="AR1213">
        <v>1</v>
      </c>
      <c r="AS1213">
        <v>0</v>
      </c>
      <c r="AT1213">
        <v>1</v>
      </c>
      <c r="AV1213">
        <v>1</v>
      </c>
      <c r="AW1213">
        <v>1</v>
      </c>
    </row>
    <row r="1214" spans="1:49" x14ac:dyDescent="0.25">
      <c r="A1214" t="str">
        <f>"1210"</f>
        <v>1210</v>
      </c>
      <c r="B1214" t="str">
        <f t="shared" si="67"/>
        <v>1</v>
      </c>
      <c r="C1214" t="str">
        <f t="shared" si="69"/>
        <v>54</v>
      </c>
      <c r="D1214" t="str">
        <f>"13"</f>
        <v>13</v>
      </c>
      <c r="E1214" t="str">
        <f>"1-54-13"</f>
        <v>1-54-13</v>
      </c>
      <c r="F1214" t="s">
        <v>83</v>
      </c>
      <c r="G1214" t="s">
        <v>84</v>
      </c>
      <c r="H1214" t="s">
        <v>85</v>
      </c>
      <c r="AC1214">
        <v>1</v>
      </c>
      <c r="AD1214">
        <v>0</v>
      </c>
      <c r="AE1214">
        <v>0</v>
      </c>
      <c r="AF1214">
        <v>0</v>
      </c>
      <c r="AG1214">
        <v>0</v>
      </c>
      <c r="AJ1214">
        <v>0</v>
      </c>
      <c r="AK1214">
        <v>1</v>
      </c>
      <c r="AL1214">
        <v>0</v>
      </c>
      <c r="AM1214">
        <v>0</v>
      </c>
      <c r="AN1214">
        <v>1</v>
      </c>
      <c r="AO1214">
        <v>0</v>
      </c>
      <c r="AP1214">
        <v>1</v>
      </c>
      <c r="AQ1214">
        <v>0</v>
      </c>
      <c r="AR1214">
        <v>0</v>
      </c>
      <c r="AS1214">
        <v>1</v>
      </c>
      <c r="AT1214">
        <v>0</v>
      </c>
      <c r="AV1214">
        <v>0</v>
      </c>
      <c r="AW1214">
        <v>0</v>
      </c>
    </row>
    <row r="1215" spans="1:49" x14ac:dyDescent="0.25">
      <c r="A1215" t="str">
        <f>"1211"</f>
        <v>1211</v>
      </c>
      <c r="B1215" t="str">
        <f t="shared" si="67"/>
        <v>1</v>
      </c>
      <c r="C1215" t="str">
        <f t="shared" si="69"/>
        <v>54</v>
      </c>
      <c r="D1215" t="str">
        <f>"8"</f>
        <v>8</v>
      </c>
      <c r="E1215" t="str">
        <f>"1-54-8"</f>
        <v>1-54-8</v>
      </c>
      <c r="F1215" t="s">
        <v>83</v>
      </c>
      <c r="G1215" t="s">
        <v>84</v>
      </c>
      <c r="H1215" t="s">
        <v>85</v>
      </c>
      <c r="AC1215">
        <v>0</v>
      </c>
      <c r="AD1215">
        <v>1</v>
      </c>
      <c r="AE1215">
        <v>0</v>
      </c>
      <c r="AF1215">
        <v>0</v>
      </c>
      <c r="AG1215">
        <v>1</v>
      </c>
      <c r="AJ1215">
        <v>0</v>
      </c>
      <c r="AK1215">
        <v>1</v>
      </c>
      <c r="AL1215">
        <v>0</v>
      </c>
      <c r="AM1215">
        <v>1</v>
      </c>
      <c r="AN1215">
        <v>0</v>
      </c>
      <c r="AO1215">
        <v>1</v>
      </c>
      <c r="AP1215">
        <v>1</v>
      </c>
      <c r="AQ1215">
        <v>1</v>
      </c>
      <c r="AR1215">
        <v>1</v>
      </c>
      <c r="AS1215">
        <v>0</v>
      </c>
      <c r="AT1215">
        <v>1</v>
      </c>
      <c r="AV1215">
        <v>1</v>
      </c>
      <c r="AW1215">
        <v>1</v>
      </c>
    </row>
    <row r="1216" spans="1:49" x14ac:dyDescent="0.25">
      <c r="A1216" t="str">
        <f>"1212"</f>
        <v>1212</v>
      </c>
      <c r="B1216" t="str">
        <f t="shared" si="67"/>
        <v>1</v>
      </c>
      <c r="C1216" t="str">
        <f t="shared" si="69"/>
        <v>54</v>
      </c>
      <c r="D1216" t="str">
        <f>"1"</f>
        <v>1</v>
      </c>
      <c r="E1216" t="str">
        <f>"1-54-1"</f>
        <v>1-54-1</v>
      </c>
      <c r="F1216" t="s">
        <v>83</v>
      </c>
      <c r="G1216" t="s">
        <v>84</v>
      </c>
      <c r="H1216" t="s">
        <v>85</v>
      </c>
      <c r="AC1216">
        <v>0</v>
      </c>
      <c r="AD1216">
        <v>1</v>
      </c>
      <c r="AE1216">
        <v>0</v>
      </c>
      <c r="AF1216">
        <v>0</v>
      </c>
      <c r="AG1216">
        <v>1</v>
      </c>
      <c r="AJ1216">
        <v>1</v>
      </c>
      <c r="AK1216">
        <v>0</v>
      </c>
      <c r="AL1216">
        <v>0</v>
      </c>
      <c r="AM1216">
        <v>1</v>
      </c>
      <c r="AN1216">
        <v>0</v>
      </c>
      <c r="AO1216">
        <v>1</v>
      </c>
      <c r="AP1216">
        <v>1</v>
      </c>
      <c r="AQ1216">
        <v>1</v>
      </c>
      <c r="AR1216">
        <v>1</v>
      </c>
      <c r="AS1216">
        <v>0</v>
      </c>
      <c r="AT1216">
        <v>1</v>
      </c>
      <c r="AV1216">
        <v>1</v>
      </c>
      <c r="AW1216">
        <v>1</v>
      </c>
    </row>
    <row r="1217" spans="1:49" x14ac:dyDescent="0.25">
      <c r="A1217" t="str">
        <f>"1213"</f>
        <v>1213</v>
      </c>
      <c r="B1217" t="str">
        <f t="shared" si="67"/>
        <v>1</v>
      </c>
      <c r="C1217" t="str">
        <f t="shared" si="69"/>
        <v>54</v>
      </c>
      <c r="D1217" t="str">
        <f>"25"</f>
        <v>25</v>
      </c>
      <c r="E1217" t="str">
        <f>"1-54-25"</f>
        <v>1-54-25</v>
      </c>
      <c r="F1217" t="s">
        <v>83</v>
      </c>
      <c r="G1217" t="s">
        <v>84</v>
      </c>
      <c r="H1217" t="s">
        <v>85</v>
      </c>
      <c r="AC1217">
        <v>0</v>
      </c>
      <c r="AD1217">
        <v>1</v>
      </c>
      <c r="AE1217">
        <v>0</v>
      </c>
      <c r="AF1217">
        <v>0</v>
      </c>
      <c r="AG1217">
        <v>1</v>
      </c>
      <c r="AJ1217">
        <v>1</v>
      </c>
      <c r="AK1217">
        <v>0</v>
      </c>
      <c r="AL1217">
        <v>0</v>
      </c>
      <c r="AM1217">
        <v>1</v>
      </c>
      <c r="AN1217">
        <v>0</v>
      </c>
      <c r="AO1217">
        <v>1</v>
      </c>
      <c r="AP1217">
        <v>1</v>
      </c>
      <c r="AQ1217">
        <v>1</v>
      </c>
      <c r="AR1217">
        <v>1</v>
      </c>
      <c r="AS1217">
        <v>0</v>
      </c>
      <c r="AT1217">
        <v>1</v>
      </c>
      <c r="AV1217">
        <v>1</v>
      </c>
      <c r="AW1217">
        <v>1</v>
      </c>
    </row>
    <row r="1218" spans="1:49" x14ac:dyDescent="0.25">
      <c r="A1218" t="str">
        <f>"1214"</f>
        <v>1214</v>
      </c>
      <c r="B1218" t="str">
        <f t="shared" si="67"/>
        <v>1</v>
      </c>
      <c r="C1218" t="str">
        <f t="shared" si="69"/>
        <v>54</v>
      </c>
      <c r="D1218" t="str">
        <f>"24"</f>
        <v>24</v>
      </c>
      <c r="E1218" t="str">
        <f>"1-54-24"</f>
        <v>1-54-24</v>
      </c>
      <c r="F1218" t="s">
        <v>83</v>
      </c>
      <c r="G1218" t="s">
        <v>84</v>
      </c>
      <c r="H1218" t="s">
        <v>85</v>
      </c>
      <c r="AC1218">
        <v>0</v>
      </c>
      <c r="AD1218">
        <v>1</v>
      </c>
      <c r="AE1218">
        <v>0</v>
      </c>
      <c r="AF1218">
        <v>0</v>
      </c>
      <c r="AG1218">
        <v>1</v>
      </c>
      <c r="AJ1218">
        <v>0</v>
      </c>
      <c r="AK1218">
        <v>1</v>
      </c>
      <c r="AL1218">
        <v>0</v>
      </c>
      <c r="AM1218">
        <v>1</v>
      </c>
      <c r="AN1218">
        <v>0</v>
      </c>
      <c r="AO1218">
        <v>1</v>
      </c>
      <c r="AP1218">
        <v>1</v>
      </c>
      <c r="AQ1218">
        <v>1</v>
      </c>
      <c r="AR1218">
        <v>1</v>
      </c>
      <c r="AS1218">
        <v>1</v>
      </c>
      <c r="AT1218">
        <v>0</v>
      </c>
      <c r="AV1218">
        <v>1</v>
      </c>
      <c r="AW1218">
        <v>1</v>
      </c>
    </row>
    <row r="1219" spans="1:49" x14ac:dyDescent="0.25">
      <c r="A1219" t="str">
        <f>"1215"</f>
        <v>1215</v>
      </c>
      <c r="B1219" t="str">
        <f t="shared" si="67"/>
        <v>1</v>
      </c>
      <c r="C1219" t="str">
        <f t="shared" si="69"/>
        <v>54</v>
      </c>
      <c r="D1219" t="str">
        <f>"17"</f>
        <v>17</v>
      </c>
      <c r="E1219" t="str">
        <f>"1-54-17"</f>
        <v>1-54-17</v>
      </c>
      <c r="F1219" t="s">
        <v>83</v>
      </c>
      <c r="G1219" t="s">
        <v>84</v>
      </c>
      <c r="H1219" t="s">
        <v>85</v>
      </c>
      <c r="AC1219">
        <v>0</v>
      </c>
      <c r="AD1219">
        <v>1</v>
      </c>
      <c r="AE1219">
        <v>0</v>
      </c>
      <c r="AF1219">
        <v>0</v>
      </c>
      <c r="AG1219">
        <v>1</v>
      </c>
      <c r="AJ1219">
        <v>1</v>
      </c>
      <c r="AK1219">
        <v>0</v>
      </c>
      <c r="AL1219">
        <v>0</v>
      </c>
      <c r="AM1219">
        <v>1</v>
      </c>
      <c r="AN1219">
        <v>0</v>
      </c>
      <c r="AO1219">
        <v>1</v>
      </c>
      <c r="AP1219">
        <v>1</v>
      </c>
      <c r="AQ1219">
        <v>1</v>
      </c>
      <c r="AR1219">
        <v>1</v>
      </c>
      <c r="AS1219">
        <v>0</v>
      </c>
      <c r="AT1219">
        <v>1</v>
      </c>
      <c r="AV1219">
        <v>1</v>
      </c>
      <c r="AW1219">
        <v>1</v>
      </c>
    </row>
    <row r="1220" spans="1:49" x14ac:dyDescent="0.25">
      <c r="A1220" t="str">
        <f>"1216"</f>
        <v>1216</v>
      </c>
      <c r="B1220" t="str">
        <f t="shared" si="67"/>
        <v>1</v>
      </c>
      <c r="C1220" t="str">
        <f t="shared" si="69"/>
        <v>54</v>
      </c>
      <c r="D1220" t="str">
        <f>"9"</f>
        <v>9</v>
      </c>
      <c r="E1220" t="str">
        <f>"1-54-9"</f>
        <v>1-54-9</v>
      </c>
      <c r="F1220" t="s">
        <v>83</v>
      </c>
      <c r="G1220" t="s">
        <v>84</v>
      </c>
      <c r="H1220" t="s">
        <v>85</v>
      </c>
      <c r="AC1220">
        <v>1</v>
      </c>
      <c r="AD1220">
        <v>0</v>
      </c>
      <c r="AE1220">
        <v>0</v>
      </c>
      <c r="AF1220">
        <v>0</v>
      </c>
      <c r="AG1220">
        <v>1</v>
      </c>
      <c r="AJ1220">
        <v>1</v>
      </c>
      <c r="AK1220">
        <v>0</v>
      </c>
      <c r="AL1220">
        <v>0</v>
      </c>
      <c r="AM1220">
        <v>1</v>
      </c>
      <c r="AN1220">
        <v>0</v>
      </c>
      <c r="AO1220">
        <v>1</v>
      </c>
      <c r="AP1220">
        <v>1</v>
      </c>
      <c r="AQ1220">
        <v>1</v>
      </c>
      <c r="AR1220">
        <v>1</v>
      </c>
      <c r="AS1220">
        <v>0</v>
      </c>
      <c r="AT1220">
        <v>1</v>
      </c>
      <c r="AV1220">
        <v>0</v>
      </c>
      <c r="AW1220">
        <v>1</v>
      </c>
    </row>
    <row r="1221" spans="1:49" x14ac:dyDescent="0.25">
      <c r="A1221" t="str">
        <f>"1217"</f>
        <v>1217</v>
      </c>
      <c r="B1221" t="str">
        <f t="shared" si="67"/>
        <v>1</v>
      </c>
      <c r="C1221" t="str">
        <f t="shared" si="69"/>
        <v>54</v>
      </c>
      <c r="D1221" t="str">
        <f>"23"</f>
        <v>23</v>
      </c>
      <c r="E1221" t="str">
        <f>"1-54-23"</f>
        <v>1-54-23</v>
      </c>
      <c r="F1221" t="s">
        <v>83</v>
      </c>
      <c r="G1221" t="s">
        <v>84</v>
      </c>
      <c r="H1221" t="s">
        <v>85</v>
      </c>
      <c r="AC1221">
        <v>0</v>
      </c>
      <c r="AD1221">
        <v>1</v>
      </c>
      <c r="AE1221">
        <v>0</v>
      </c>
      <c r="AF1221">
        <v>0</v>
      </c>
      <c r="AG1221">
        <v>1</v>
      </c>
      <c r="AJ1221">
        <v>0</v>
      </c>
      <c r="AK1221">
        <v>1</v>
      </c>
      <c r="AL1221">
        <v>0</v>
      </c>
      <c r="AM1221">
        <v>1</v>
      </c>
      <c r="AN1221">
        <v>0</v>
      </c>
      <c r="AO1221">
        <v>1</v>
      </c>
      <c r="AP1221">
        <v>1</v>
      </c>
      <c r="AQ1221">
        <v>1</v>
      </c>
      <c r="AR1221">
        <v>1</v>
      </c>
      <c r="AS1221">
        <v>0</v>
      </c>
      <c r="AT1221">
        <v>1</v>
      </c>
      <c r="AV1221">
        <v>1</v>
      </c>
      <c r="AW1221">
        <v>1</v>
      </c>
    </row>
    <row r="1222" spans="1:49" x14ac:dyDescent="0.25">
      <c r="A1222" t="str">
        <f>"1218"</f>
        <v>1218</v>
      </c>
      <c r="B1222" t="str">
        <f t="shared" si="67"/>
        <v>1</v>
      </c>
      <c r="C1222" t="str">
        <f t="shared" si="69"/>
        <v>54</v>
      </c>
      <c r="D1222" t="str">
        <f>"22"</f>
        <v>22</v>
      </c>
      <c r="E1222" t="str">
        <f>"1-54-22"</f>
        <v>1-54-22</v>
      </c>
      <c r="F1222" t="s">
        <v>83</v>
      </c>
      <c r="G1222" t="s">
        <v>84</v>
      </c>
      <c r="H1222" t="s">
        <v>85</v>
      </c>
      <c r="AC1222">
        <v>0</v>
      </c>
      <c r="AD1222">
        <v>1</v>
      </c>
      <c r="AE1222">
        <v>0</v>
      </c>
      <c r="AF1222">
        <v>0</v>
      </c>
      <c r="AG1222">
        <v>1</v>
      </c>
      <c r="AJ1222">
        <v>0</v>
      </c>
      <c r="AK1222">
        <v>1</v>
      </c>
      <c r="AL1222">
        <v>0</v>
      </c>
      <c r="AM1222">
        <v>0</v>
      </c>
      <c r="AN1222">
        <v>1</v>
      </c>
      <c r="AO1222">
        <v>1</v>
      </c>
      <c r="AP1222">
        <v>1</v>
      </c>
      <c r="AQ1222">
        <v>1</v>
      </c>
      <c r="AR1222">
        <v>1</v>
      </c>
      <c r="AS1222">
        <v>0</v>
      </c>
      <c r="AT1222">
        <v>1</v>
      </c>
      <c r="AV1222">
        <v>1</v>
      </c>
      <c r="AW1222">
        <v>1</v>
      </c>
    </row>
    <row r="1223" spans="1:49" x14ac:dyDescent="0.25">
      <c r="A1223" t="str">
        <f>"1219"</f>
        <v>1219</v>
      </c>
      <c r="B1223" t="str">
        <f t="shared" si="67"/>
        <v>1</v>
      </c>
      <c r="C1223" t="str">
        <f t="shared" si="69"/>
        <v>54</v>
      </c>
      <c r="D1223" t="str">
        <f>"16"</f>
        <v>16</v>
      </c>
      <c r="E1223" t="str">
        <f>"1-54-16"</f>
        <v>1-54-16</v>
      </c>
      <c r="F1223" t="s">
        <v>83</v>
      </c>
      <c r="G1223" t="s">
        <v>84</v>
      </c>
      <c r="H1223" t="s">
        <v>85</v>
      </c>
      <c r="AC1223">
        <v>1</v>
      </c>
      <c r="AD1223">
        <v>0</v>
      </c>
      <c r="AE1223">
        <v>0</v>
      </c>
      <c r="AF1223">
        <v>0</v>
      </c>
      <c r="AG1223">
        <v>1</v>
      </c>
      <c r="AJ1223">
        <v>1</v>
      </c>
      <c r="AK1223">
        <v>0</v>
      </c>
      <c r="AL1223">
        <v>1</v>
      </c>
      <c r="AM1223">
        <v>0</v>
      </c>
      <c r="AN1223">
        <v>0</v>
      </c>
      <c r="AO1223">
        <v>1</v>
      </c>
      <c r="AP1223">
        <v>1</v>
      </c>
      <c r="AQ1223">
        <v>1</v>
      </c>
      <c r="AR1223">
        <v>1</v>
      </c>
      <c r="AS1223">
        <v>1</v>
      </c>
      <c r="AT1223">
        <v>0</v>
      </c>
      <c r="AV1223">
        <v>1</v>
      </c>
      <c r="AW1223">
        <v>1</v>
      </c>
    </row>
    <row r="1224" spans="1:49" x14ac:dyDescent="0.25">
      <c r="A1224" t="str">
        <f>"1220"</f>
        <v>1220</v>
      </c>
      <c r="B1224" t="str">
        <f t="shared" si="67"/>
        <v>1</v>
      </c>
      <c r="C1224" t="str">
        <f t="shared" si="69"/>
        <v>54</v>
      </c>
      <c r="D1224" t="str">
        <f>"10"</f>
        <v>10</v>
      </c>
      <c r="E1224" t="str">
        <f>"1-54-10"</f>
        <v>1-54-10</v>
      </c>
      <c r="F1224" t="s">
        <v>83</v>
      </c>
      <c r="G1224" t="s">
        <v>84</v>
      </c>
      <c r="H1224" t="s">
        <v>85</v>
      </c>
      <c r="AC1224">
        <v>0</v>
      </c>
      <c r="AD1224">
        <v>1</v>
      </c>
      <c r="AE1224">
        <v>0</v>
      </c>
      <c r="AF1224">
        <v>0</v>
      </c>
      <c r="AG1224">
        <v>1</v>
      </c>
      <c r="AJ1224">
        <v>1</v>
      </c>
      <c r="AK1224">
        <v>0</v>
      </c>
      <c r="AL1224">
        <v>0</v>
      </c>
      <c r="AM1224">
        <v>0</v>
      </c>
      <c r="AN1224">
        <v>1</v>
      </c>
      <c r="AO1224">
        <v>1</v>
      </c>
      <c r="AP1224">
        <v>1</v>
      </c>
      <c r="AQ1224">
        <v>1</v>
      </c>
      <c r="AR1224">
        <v>1</v>
      </c>
      <c r="AS1224">
        <v>0</v>
      </c>
      <c r="AT1224">
        <v>1</v>
      </c>
      <c r="AV1224">
        <v>1</v>
      </c>
      <c r="AW1224">
        <v>1</v>
      </c>
    </row>
    <row r="1225" spans="1:49" x14ac:dyDescent="0.25">
      <c r="A1225" t="str">
        <f>"1221"</f>
        <v>1221</v>
      </c>
      <c r="B1225" t="str">
        <f t="shared" si="67"/>
        <v>1</v>
      </c>
      <c r="C1225" t="str">
        <f t="shared" si="69"/>
        <v>54</v>
      </c>
      <c r="D1225" t="str">
        <f>"2"</f>
        <v>2</v>
      </c>
      <c r="E1225" t="str">
        <f>"1-54-2"</f>
        <v>1-54-2</v>
      </c>
      <c r="F1225" t="s">
        <v>83</v>
      </c>
      <c r="G1225" t="s">
        <v>84</v>
      </c>
      <c r="H1225" t="s">
        <v>85</v>
      </c>
      <c r="AC1225">
        <v>0</v>
      </c>
      <c r="AD1225">
        <v>1</v>
      </c>
      <c r="AE1225">
        <v>0</v>
      </c>
      <c r="AF1225">
        <v>0</v>
      </c>
      <c r="AG1225">
        <v>0</v>
      </c>
      <c r="AJ1225">
        <v>1</v>
      </c>
      <c r="AK1225">
        <v>0</v>
      </c>
      <c r="AL1225">
        <v>0</v>
      </c>
      <c r="AM1225">
        <v>0</v>
      </c>
      <c r="AN1225">
        <v>1</v>
      </c>
      <c r="AO1225">
        <v>0</v>
      </c>
      <c r="AP1225">
        <v>0</v>
      </c>
      <c r="AQ1225">
        <v>0</v>
      </c>
      <c r="AR1225">
        <v>0</v>
      </c>
      <c r="AS1225">
        <v>0</v>
      </c>
      <c r="AT1225">
        <v>1</v>
      </c>
      <c r="AV1225">
        <v>0</v>
      </c>
      <c r="AW1225">
        <v>0</v>
      </c>
    </row>
    <row r="1226" spans="1:49" x14ac:dyDescent="0.25">
      <c r="A1226" t="str">
        <f>"1222"</f>
        <v>1222</v>
      </c>
      <c r="B1226" t="str">
        <f t="shared" si="67"/>
        <v>1</v>
      </c>
      <c r="C1226" t="str">
        <f t="shared" si="69"/>
        <v>54</v>
      </c>
      <c r="D1226" t="str">
        <f>"20"</f>
        <v>20</v>
      </c>
      <c r="E1226" t="str">
        <f>"1-54-20"</f>
        <v>1-54-20</v>
      </c>
      <c r="F1226" t="s">
        <v>83</v>
      </c>
      <c r="G1226" t="s">
        <v>84</v>
      </c>
      <c r="H1226" t="s">
        <v>85</v>
      </c>
      <c r="AC1226">
        <v>0</v>
      </c>
      <c r="AD1226">
        <v>0</v>
      </c>
      <c r="AE1226">
        <v>0</v>
      </c>
      <c r="AF1226">
        <v>0</v>
      </c>
      <c r="AG1226">
        <v>0</v>
      </c>
      <c r="AJ1226">
        <v>1</v>
      </c>
      <c r="AK1226">
        <v>0</v>
      </c>
      <c r="AL1226">
        <v>0</v>
      </c>
      <c r="AM1226">
        <v>0</v>
      </c>
      <c r="AN1226">
        <v>0</v>
      </c>
      <c r="AO1226">
        <v>0</v>
      </c>
      <c r="AP1226">
        <v>0</v>
      </c>
      <c r="AQ1226">
        <v>0</v>
      </c>
      <c r="AR1226">
        <v>0</v>
      </c>
      <c r="AS1226">
        <v>0</v>
      </c>
      <c r="AT1226">
        <v>0</v>
      </c>
      <c r="AV1226">
        <v>0</v>
      </c>
      <c r="AW1226">
        <v>1</v>
      </c>
    </row>
    <row r="1227" spans="1:49" x14ac:dyDescent="0.25">
      <c r="A1227" t="str">
        <f>"1223"</f>
        <v>1223</v>
      </c>
      <c r="B1227" t="str">
        <f t="shared" si="67"/>
        <v>1</v>
      </c>
      <c r="C1227" t="str">
        <f t="shared" si="69"/>
        <v>54</v>
      </c>
      <c r="D1227" t="str">
        <f>"11"</f>
        <v>11</v>
      </c>
      <c r="E1227" t="str">
        <f>"1-54-11"</f>
        <v>1-54-11</v>
      </c>
      <c r="F1227" t="s">
        <v>83</v>
      </c>
      <c r="G1227" t="s">
        <v>84</v>
      </c>
      <c r="H1227" t="s">
        <v>85</v>
      </c>
      <c r="AC1227">
        <v>0</v>
      </c>
      <c r="AD1227">
        <v>1</v>
      </c>
      <c r="AE1227">
        <v>0</v>
      </c>
      <c r="AF1227">
        <v>0</v>
      </c>
      <c r="AG1227">
        <v>1</v>
      </c>
      <c r="AJ1227">
        <v>0</v>
      </c>
      <c r="AK1227">
        <v>1</v>
      </c>
      <c r="AL1227">
        <v>0</v>
      </c>
      <c r="AM1227">
        <v>0</v>
      </c>
      <c r="AN1227">
        <v>1</v>
      </c>
      <c r="AO1227">
        <v>1</v>
      </c>
      <c r="AP1227">
        <v>1</v>
      </c>
      <c r="AQ1227">
        <v>1</v>
      </c>
      <c r="AR1227">
        <v>1</v>
      </c>
      <c r="AS1227">
        <v>1</v>
      </c>
      <c r="AT1227">
        <v>0</v>
      </c>
      <c r="AV1227">
        <v>1</v>
      </c>
      <c r="AW1227">
        <v>1</v>
      </c>
    </row>
    <row r="1228" spans="1:49" x14ac:dyDescent="0.25">
      <c r="A1228" t="str">
        <f>"1224"</f>
        <v>1224</v>
      </c>
      <c r="B1228" t="str">
        <f t="shared" si="67"/>
        <v>1</v>
      </c>
      <c r="C1228" t="str">
        <f t="shared" si="69"/>
        <v>54</v>
      </c>
      <c r="D1228" t="str">
        <f>"5"</f>
        <v>5</v>
      </c>
      <c r="E1228" t="str">
        <f>"1-54-5"</f>
        <v>1-54-5</v>
      </c>
      <c r="F1228" t="s">
        <v>83</v>
      </c>
      <c r="G1228" t="s">
        <v>84</v>
      </c>
      <c r="H1228" t="s">
        <v>85</v>
      </c>
      <c r="AC1228">
        <v>1</v>
      </c>
      <c r="AD1228">
        <v>0</v>
      </c>
      <c r="AE1228">
        <v>0</v>
      </c>
      <c r="AF1228">
        <v>0</v>
      </c>
      <c r="AG1228">
        <v>1</v>
      </c>
      <c r="AJ1228">
        <v>1</v>
      </c>
      <c r="AK1228">
        <v>0</v>
      </c>
      <c r="AL1228">
        <v>1</v>
      </c>
      <c r="AM1228">
        <v>0</v>
      </c>
      <c r="AN1228">
        <v>0</v>
      </c>
      <c r="AO1228">
        <v>1</v>
      </c>
      <c r="AP1228">
        <v>1</v>
      </c>
      <c r="AQ1228">
        <v>1</v>
      </c>
      <c r="AR1228">
        <v>1</v>
      </c>
      <c r="AS1228">
        <v>1</v>
      </c>
      <c r="AT1228">
        <v>0</v>
      </c>
      <c r="AV1228">
        <v>1</v>
      </c>
      <c r="AW1228">
        <v>1</v>
      </c>
    </row>
    <row r="1229" spans="1:49" x14ac:dyDescent="0.25">
      <c r="A1229" t="str">
        <f>"1225"</f>
        <v>1225</v>
      </c>
      <c r="B1229" t="str">
        <f t="shared" si="67"/>
        <v>1</v>
      </c>
      <c r="C1229" t="str">
        <f t="shared" si="69"/>
        <v>54</v>
      </c>
      <c r="D1229" t="str">
        <f>"21"</f>
        <v>21</v>
      </c>
      <c r="E1229" t="str">
        <f>"1-54-21"</f>
        <v>1-54-21</v>
      </c>
      <c r="F1229" t="s">
        <v>83</v>
      </c>
      <c r="G1229" t="s">
        <v>84</v>
      </c>
      <c r="H1229" t="s">
        <v>85</v>
      </c>
      <c r="AC1229">
        <v>0</v>
      </c>
      <c r="AD1229">
        <v>1</v>
      </c>
      <c r="AE1229">
        <v>0</v>
      </c>
      <c r="AF1229">
        <v>0</v>
      </c>
      <c r="AG1229">
        <v>0</v>
      </c>
      <c r="AJ1229">
        <v>1</v>
      </c>
      <c r="AK1229">
        <v>0</v>
      </c>
      <c r="AL1229">
        <v>0</v>
      </c>
      <c r="AM1229">
        <v>1</v>
      </c>
      <c r="AN1229">
        <v>0</v>
      </c>
      <c r="AO1229">
        <v>0</v>
      </c>
      <c r="AP1229">
        <v>0</v>
      </c>
      <c r="AQ1229">
        <v>0</v>
      </c>
      <c r="AR1229">
        <v>0</v>
      </c>
      <c r="AS1229">
        <v>0</v>
      </c>
      <c r="AT1229">
        <v>1</v>
      </c>
      <c r="AV1229">
        <v>0</v>
      </c>
      <c r="AW1229">
        <v>0</v>
      </c>
    </row>
    <row r="1230" spans="1:49" x14ac:dyDescent="0.25">
      <c r="A1230" t="str">
        <f>"1226"</f>
        <v>1226</v>
      </c>
      <c r="B1230" t="str">
        <f t="shared" si="67"/>
        <v>1</v>
      </c>
      <c r="C1230" t="str">
        <f t="shared" si="69"/>
        <v>54</v>
      </c>
      <c r="D1230" t="str">
        <f>"12"</f>
        <v>12</v>
      </c>
      <c r="E1230" t="str">
        <f>"1-54-12"</f>
        <v>1-54-12</v>
      </c>
      <c r="F1230" t="s">
        <v>83</v>
      </c>
      <c r="G1230" t="s">
        <v>84</v>
      </c>
      <c r="H1230" t="s">
        <v>85</v>
      </c>
      <c r="AC1230">
        <v>1</v>
      </c>
      <c r="AD1230">
        <v>0</v>
      </c>
      <c r="AE1230">
        <v>0</v>
      </c>
      <c r="AF1230">
        <v>0</v>
      </c>
      <c r="AG1230">
        <v>1</v>
      </c>
      <c r="AJ1230">
        <v>1</v>
      </c>
      <c r="AK1230">
        <v>0</v>
      </c>
      <c r="AL1230">
        <v>1</v>
      </c>
      <c r="AM1230">
        <v>0</v>
      </c>
      <c r="AN1230">
        <v>0</v>
      </c>
      <c r="AO1230">
        <v>1</v>
      </c>
      <c r="AP1230">
        <v>1</v>
      </c>
      <c r="AQ1230">
        <v>1</v>
      </c>
      <c r="AR1230">
        <v>1</v>
      </c>
      <c r="AS1230">
        <v>1</v>
      </c>
      <c r="AT1230">
        <v>0</v>
      </c>
      <c r="AV1230">
        <v>1</v>
      </c>
      <c r="AW1230">
        <v>1</v>
      </c>
    </row>
    <row r="1231" spans="1:49" x14ac:dyDescent="0.25">
      <c r="A1231" t="str">
        <f>"1227"</f>
        <v>1227</v>
      </c>
      <c r="B1231" t="str">
        <f t="shared" si="67"/>
        <v>1</v>
      </c>
      <c r="C1231" t="str">
        <f t="shared" si="69"/>
        <v>54</v>
      </c>
      <c r="D1231" t="str">
        <f>"4"</f>
        <v>4</v>
      </c>
      <c r="E1231" t="str">
        <f>"1-54-4"</f>
        <v>1-54-4</v>
      </c>
      <c r="F1231" t="s">
        <v>83</v>
      </c>
      <c r="G1231" t="s">
        <v>84</v>
      </c>
      <c r="H1231" t="s">
        <v>85</v>
      </c>
      <c r="AC1231">
        <v>0</v>
      </c>
      <c r="AD1231">
        <v>1</v>
      </c>
      <c r="AE1231">
        <v>0</v>
      </c>
      <c r="AF1231">
        <v>0</v>
      </c>
      <c r="AG1231">
        <v>0</v>
      </c>
      <c r="AJ1231">
        <v>1</v>
      </c>
      <c r="AK1231">
        <v>0</v>
      </c>
      <c r="AL1231">
        <v>0</v>
      </c>
      <c r="AM1231">
        <v>0</v>
      </c>
      <c r="AN1231">
        <v>1</v>
      </c>
      <c r="AO1231">
        <v>0</v>
      </c>
      <c r="AP1231">
        <v>0</v>
      </c>
      <c r="AQ1231">
        <v>0</v>
      </c>
      <c r="AR1231">
        <v>0</v>
      </c>
      <c r="AS1231">
        <v>1</v>
      </c>
      <c r="AT1231">
        <v>0</v>
      </c>
      <c r="AV1231">
        <v>1</v>
      </c>
      <c r="AW1231">
        <v>0</v>
      </c>
    </row>
    <row r="1232" spans="1:49" x14ac:dyDescent="0.25">
      <c r="A1232" t="str">
        <f>"1228"</f>
        <v>1228</v>
      </c>
      <c r="B1232" t="str">
        <f t="shared" si="67"/>
        <v>1</v>
      </c>
      <c r="C1232" t="str">
        <f t="shared" si="69"/>
        <v>54</v>
      </c>
      <c r="D1232" t="str">
        <f>"14"</f>
        <v>14</v>
      </c>
      <c r="E1232" t="str">
        <f>"1-54-14"</f>
        <v>1-54-14</v>
      </c>
      <c r="F1232" t="s">
        <v>83</v>
      </c>
      <c r="G1232" t="s">
        <v>84</v>
      </c>
      <c r="H1232" t="s">
        <v>85</v>
      </c>
      <c r="AC1232">
        <v>0</v>
      </c>
      <c r="AD1232">
        <v>1</v>
      </c>
      <c r="AE1232">
        <v>0</v>
      </c>
      <c r="AF1232">
        <v>0</v>
      </c>
      <c r="AG1232">
        <v>1</v>
      </c>
      <c r="AJ1232">
        <v>0</v>
      </c>
      <c r="AK1232">
        <v>1</v>
      </c>
      <c r="AL1232">
        <v>0</v>
      </c>
      <c r="AM1232">
        <v>1</v>
      </c>
      <c r="AN1232">
        <v>0</v>
      </c>
      <c r="AO1232">
        <v>1</v>
      </c>
      <c r="AP1232">
        <v>1</v>
      </c>
      <c r="AQ1232">
        <v>1</v>
      </c>
      <c r="AR1232">
        <v>1</v>
      </c>
      <c r="AS1232">
        <v>1</v>
      </c>
      <c r="AT1232">
        <v>0</v>
      </c>
      <c r="AV1232">
        <v>1</v>
      </c>
      <c r="AW1232">
        <v>1</v>
      </c>
    </row>
    <row r="1233" spans="1:49" x14ac:dyDescent="0.25">
      <c r="A1233" t="str">
        <f>"1229"</f>
        <v>1229</v>
      </c>
      <c r="B1233" t="str">
        <f t="shared" si="67"/>
        <v>1</v>
      </c>
      <c r="C1233" t="str">
        <f t="shared" si="69"/>
        <v>54</v>
      </c>
      <c r="D1233" t="str">
        <f>"6"</f>
        <v>6</v>
      </c>
      <c r="E1233" t="str">
        <f>"1-54-6"</f>
        <v>1-54-6</v>
      </c>
      <c r="F1233" t="s">
        <v>83</v>
      </c>
      <c r="G1233" t="s">
        <v>84</v>
      </c>
      <c r="H1233" t="s">
        <v>85</v>
      </c>
      <c r="AC1233">
        <v>1</v>
      </c>
      <c r="AD1233">
        <v>0</v>
      </c>
      <c r="AE1233">
        <v>0</v>
      </c>
      <c r="AF1233">
        <v>0</v>
      </c>
      <c r="AG1233">
        <v>1</v>
      </c>
      <c r="AJ1233">
        <v>1</v>
      </c>
      <c r="AK1233">
        <v>0</v>
      </c>
      <c r="AL1233">
        <v>0</v>
      </c>
      <c r="AM1233">
        <v>1</v>
      </c>
      <c r="AN1233">
        <v>0</v>
      </c>
      <c r="AO1233">
        <v>1</v>
      </c>
      <c r="AP1233">
        <v>1</v>
      </c>
      <c r="AQ1233">
        <v>1</v>
      </c>
      <c r="AR1233">
        <v>1</v>
      </c>
      <c r="AS1233">
        <v>0</v>
      </c>
      <c r="AT1233">
        <v>1</v>
      </c>
      <c r="AV1233">
        <v>1</v>
      </c>
      <c r="AW1233">
        <v>1</v>
      </c>
    </row>
    <row r="1234" spans="1:49" x14ac:dyDescent="0.25">
      <c r="A1234" t="str">
        <f>"1230"</f>
        <v>1230</v>
      </c>
      <c r="B1234" t="str">
        <f t="shared" si="67"/>
        <v>1</v>
      </c>
      <c r="C1234" t="str">
        <f t="shared" si="69"/>
        <v>54</v>
      </c>
      <c r="D1234" t="str">
        <f>"15"</f>
        <v>15</v>
      </c>
      <c r="E1234" t="str">
        <f>"1-54-15"</f>
        <v>1-54-15</v>
      </c>
      <c r="F1234" t="s">
        <v>83</v>
      </c>
      <c r="G1234" t="s">
        <v>84</v>
      </c>
      <c r="H1234" t="s">
        <v>85</v>
      </c>
      <c r="AC1234">
        <v>1</v>
      </c>
      <c r="AD1234">
        <v>0</v>
      </c>
      <c r="AE1234">
        <v>0</v>
      </c>
      <c r="AF1234">
        <v>0</v>
      </c>
      <c r="AG1234">
        <v>1</v>
      </c>
      <c r="AJ1234">
        <v>0</v>
      </c>
      <c r="AK1234">
        <v>1</v>
      </c>
      <c r="AL1234">
        <v>0</v>
      </c>
      <c r="AM1234">
        <v>0</v>
      </c>
      <c r="AN1234">
        <v>1</v>
      </c>
      <c r="AO1234">
        <v>1</v>
      </c>
      <c r="AP1234">
        <v>1</v>
      </c>
      <c r="AQ1234">
        <v>1</v>
      </c>
      <c r="AR1234">
        <v>1</v>
      </c>
      <c r="AS1234">
        <v>1</v>
      </c>
      <c r="AT1234">
        <v>0</v>
      </c>
      <c r="AV1234">
        <v>1</v>
      </c>
      <c r="AW1234">
        <v>1</v>
      </c>
    </row>
    <row r="1235" spans="1:49" x14ac:dyDescent="0.25">
      <c r="A1235" t="str">
        <f>"1231"</f>
        <v>1231</v>
      </c>
      <c r="B1235" t="str">
        <f t="shared" si="67"/>
        <v>1</v>
      </c>
      <c r="C1235" t="str">
        <f t="shared" si="69"/>
        <v>54</v>
      </c>
      <c r="D1235" t="str">
        <f>"3"</f>
        <v>3</v>
      </c>
      <c r="E1235" t="str">
        <f>"1-54-3"</f>
        <v>1-54-3</v>
      </c>
      <c r="F1235" t="s">
        <v>83</v>
      </c>
      <c r="G1235" t="s">
        <v>84</v>
      </c>
      <c r="H1235" t="s">
        <v>85</v>
      </c>
      <c r="AC1235">
        <v>0</v>
      </c>
      <c r="AD1235">
        <v>1</v>
      </c>
      <c r="AE1235">
        <v>0</v>
      </c>
      <c r="AF1235">
        <v>0</v>
      </c>
      <c r="AG1235">
        <v>0</v>
      </c>
      <c r="AJ1235">
        <v>0</v>
      </c>
      <c r="AK1235">
        <v>1</v>
      </c>
      <c r="AL1235">
        <v>1</v>
      </c>
      <c r="AM1235">
        <v>0</v>
      </c>
      <c r="AN1235">
        <v>0</v>
      </c>
      <c r="AO1235">
        <v>1</v>
      </c>
      <c r="AP1235">
        <v>1</v>
      </c>
      <c r="AQ1235">
        <v>1</v>
      </c>
      <c r="AR1235">
        <v>1</v>
      </c>
      <c r="AS1235">
        <v>0</v>
      </c>
      <c r="AT1235">
        <v>1</v>
      </c>
      <c r="AV1235">
        <v>1</v>
      </c>
      <c r="AW1235">
        <v>1</v>
      </c>
    </row>
    <row r="1236" spans="1:49" x14ac:dyDescent="0.25">
      <c r="A1236" t="str">
        <f>"1232"</f>
        <v>1232</v>
      </c>
      <c r="B1236" t="str">
        <f t="shared" si="67"/>
        <v>1</v>
      </c>
      <c r="C1236" t="str">
        <f t="shared" si="69"/>
        <v>54</v>
      </c>
      <c r="D1236" t="str">
        <f>"7"</f>
        <v>7</v>
      </c>
      <c r="E1236" t="str">
        <f>"1-54-7"</f>
        <v>1-54-7</v>
      </c>
      <c r="F1236" t="s">
        <v>83</v>
      </c>
      <c r="G1236" t="s">
        <v>84</v>
      </c>
      <c r="H1236" t="s">
        <v>85</v>
      </c>
      <c r="AC1236">
        <v>0</v>
      </c>
      <c r="AD1236">
        <v>1</v>
      </c>
      <c r="AE1236">
        <v>0</v>
      </c>
      <c r="AF1236">
        <v>0</v>
      </c>
      <c r="AG1236">
        <v>1</v>
      </c>
      <c r="AJ1236">
        <v>0</v>
      </c>
      <c r="AK1236">
        <v>1</v>
      </c>
      <c r="AL1236">
        <v>0</v>
      </c>
      <c r="AM1236">
        <v>1</v>
      </c>
      <c r="AN1236">
        <v>0</v>
      </c>
      <c r="AO1236">
        <v>1</v>
      </c>
      <c r="AP1236">
        <v>0</v>
      </c>
      <c r="AQ1236">
        <v>1</v>
      </c>
      <c r="AR1236">
        <v>1</v>
      </c>
      <c r="AS1236">
        <v>1</v>
      </c>
      <c r="AT1236">
        <v>0</v>
      </c>
      <c r="AV1236">
        <v>1</v>
      </c>
      <c r="AW1236">
        <v>1</v>
      </c>
    </row>
    <row r="1237" spans="1:49" x14ac:dyDescent="0.25">
      <c r="A1237" t="str">
        <f>"1233"</f>
        <v>1233</v>
      </c>
      <c r="B1237" t="str">
        <f t="shared" si="67"/>
        <v>1</v>
      </c>
      <c r="C1237" t="str">
        <f t="shared" ref="C1237:C1258" si="70">"55"</f>
        <v>55</v>
      </c>
      <c r="D1237" t="str">
        <f>"19"</f>
        <v>19</v>
      </c>
      <c r="E1237" t="str">
        <f>"1-55-19"</f>
        <v>1-55-19</v>
      </c>
      <c r="F1237" t="s">
        <v>83</v>
      </c>
      <c r="G1237" t="s">
        <v>86</v>
      </c>
      <c r="H1237" t="s">
        <v>93</v>
      </c>
      <c r="I1237">
        <v>1</v>
      </c>
      <c r="K1237">
        <v>1</v>
      </c>
      <c r="L1237">
        <v>0</v>
      </c>
      <c r="M1237">
        <v>0</v>
      </c>
      <c r="N1237">
        <v>1</v>
      </c>
      <c r="O1237">
        <v>1</v>
      </c>
      <c r="P1237">
        <v>1</v>
      </c>
      <c r="Q1237">
        <v>1</v>
      </c>
      <c r="R1237">
        <v>1</v>
      </c>
      <c r="U1237">
        <v>0</v>
      </c>
      <c r="V1237">
        <v>1</v>
      </c>
      <c r="W1237">
        <v>1</v>
      </c>
      <c r="X1237">
        <v>1</v>
      </c>
      <c r="Y1237">
        <v>1</v>
      </c>
      <c r="Z1237">
        <v>1</v>
      </c>
      <c r="AA1237">
        <v>1</v>
      </c>
      <c r="AB1237">
        <v>1</v>
      </c>
    </row>
    <row r="1238" spans="1:49" x14ac:dyDescent="0.25">
      <c r="A1238" t="str">
        <f>"1234"</f>
        <v>1234</v>
      </c>
      <c r="B1238" t="str">
        <f t="shared" si="67"/>
        <v>1</v>
      </c>
      <c r="C1238" t="str">
        <f t="shared" si="70"/>
        <v>55</v>
      </c>
      <c r="D1238" t="str">
        <f>"18"</f>
        <v>18</v>
      </c>
      <c r="E1238" t="str">
        <f>"1-55-18"</f>
        <v>1-55-18</v>
      </c>
      <c r="F1238" t="s">
        <v>83</v>
      </c>
      <c r="G1238" t="s">
        <v>86</v>
      </c>
      <c r="H1238" t="s">
        <v>87</v>
      </c>
      <c r="AC1238">
        <v>0</v>
      </c>
      <c r="AD1238">
        <v>0</v>
      </c>
      <c r="AE1238">
        <v>0</v>
      </c>
      <c r="AF1238">
        <v>0</v>
      </c>
      <c r="AH1238">
        <v>0</v>
      </c>
      <c r="AI1238">
        <v>1</v>
      </c>
      <c r="AJ1238">
        <v>0</v>
      </c>
      <c r="AK1238">
        <v>0</v>
      </c>
      <c r="AL1238">
        <v>0</v>
      </c>
      <c r="AM1238">
        <v>0</v>
      </c>
      <c r="AN1238">
        <v>0</v>
      </c>
      <c r="AO1238">
        <v>0</v>
      </c>
      <c r="AP1238">
        <v>0</v>
      </c>
      <c r="AQ1238">
        <v>0</v>
      </c>
      <c r="AU1238">
        <v>0</v>
      </c>
      <c r="AV1238">
        <v>1</v>
      </c>
      <c r="AW1238">
        <v>1</v>
      </c>
    </row>
    <row r="1239" spans="1:49" x14ac:dyDescent="0.25">
      <c r="A1239" t="str">
        <f>"1235"</f>
        <v>1235</v>
      </c>
      <c r="B1239" t="str">
        <f t="shared" si="67"/>
        <v>1</v>
      </c>
      <c r="C1239" t="str">
        <f t="shared" si="70"/>
        <v>55</v>
      </c>
      <c r="D1239" t="str">
        <f>"15"</f>
        <v>15</v>
      </c>
      <c r="E1239" t="str">
        <f>"1-55-15"</f>
        <v>1-55-15</v>
      </c>
      <c r="F1239" t="s">
        <v>83</v>
      </c>
      <c r="G1239" t="s">
        <v>86</v>
      </c>
      <c r="H1239" t="s">
        <v>87</v>
      </c>
      <c r="AC1239">
        <v>1</v>
      </c>
      <c r="AD1239">
        <v>0</v>
      </c>
      <c r="AE1239">
        <v>0</v>
      </c>
      <c r="AF1239">
        <v>0</v>
      </c>
      <c r="AH1239">
        <v>0</v>
      </c>
      <c r="AI1239">
        <v>1</v>
      </c>
      <c r="AJ1239">
        <v>1</v>
      </c>
      <c r="AK1239">
        <v>0</v>
      </c>
      <c r="AL1239">
        <v>1</v>
      </c>
      <c r="AM1239">
        <v>0</v>
      </c>
      <c r="AN1239">
        <v>0</v>
      </c>
      <c r="AO1239">
        <v>1</v>
      </c>
      <c r="AP1239">
        <v>1</v>
      </c>
      <c r="AQ1239">
        <v>1</v>
      </c>
      <c r="AU1239">
        <v>1</v>
      </c>
      <c r="AV1239">
        <v>1</v>
      </c>
      <c r="AW1239">
        <v>1</v>
      </c>
    </row>
    <row r="1240" spans="1:49" x14ac:dyDescent="0.25">
      <c r="A1240" t="str">
        <f>"1236"</f>
        <v>1236</v>
      </c>
      <c r="B1240" t="str">
        <f t="shared" si="67"/>
        <v>1</v>
      </c>
      <c r="C1240" t="str">
        <f t="shared" si="70"/>
        <v>55</v>
      </c>
      <c r="D1240" t="str">
        <f>"8"</f>
        <v>8</v>
      </c>
      <c r="E1240" t="str">
        <f>"1-55-8"</f>
        <v>1-55-8</v>
      </c>
      <c r="F1240" t="s">
        <v>83</v>
      </c>
      <c r="G1240" t="s">
        <v>86</v>
      </c>
      <c r="H1240" t="s">
        <v>93</v>
      </c>
      <c r="I1240">
        <v>1</v>
      </c>
      <c r="K1240">
        <v>0</v>
      </c>
      <c r="L1240">
        <v>0</v>
      </c>
      <c r="M1240">
        <v>1</v>
      </c>
      <c r="N1240">
        <v>1</v>
      </c>
      <c r="O1240">
        <v>1</v>
      </c>
      <c r="P1240">
        <v>1</v>
      </c>
      <c r="Q1240">
        <v>1</v>
      </c>
      <c r="R1240">
        <v>1</v>
      </c>
      <c r="U1240">
        <v>1</v>
      </c>
      <c r="V1240">
        <v>0</v>
      </c>
      <c r="W1240">
        <v>1</v>
      </c>
      <c r="X1240">
        <v>1</v>
      </c>
      <c r="Y1240">
        <v>1</v>
      </c>
      <c r="Z1240">
        <v>1</v>
      </c>
      <c r="AA1240">
        <v>1</v>
      </c>
      <c r="AB1240">
        <v>1</v>
      </c>
    </row>
    <row r="1241" spans="1:49" x14ac:dyDescent="0.25">
      <c r="A1241" t="str">
        <f>"1237"</f>
        <v>1237</v>
      </c>
      <c r="B1241" t="str">
        <f t="shared" si="67"/>
        <v>1</v>
      </c>
      <c r="C1241" t="str">
        <f t="shared" si="70"/>
        <v>55</v>
      </c>
      <c r="D1241" t="str">
        <f>"2"</f>
        <v>2</v>
      </c>
      <c r="E1241" t="str">
        <f>"1-55-2"</f>
        <v>1-55-2</v>
      </c>
      <c r="F1241" t="s">
        <v>83</v>
      </c>
      <c r="G1241" t="s">
        <v>86</v>
      </c>
      <c r="H1241" t="s">
        <v>87</v>
      </c>
      <c r="AC1241">
        <v>0</v>
      </c>
      <c r="AD1241">
        <v>0</v>
      </c>
      <c r="AE1241">
        <v>0</v>
      </c>
      <c r="AF1241">
        <v>0</v>
      </c>
      <c r="AH1241">
        <v>0</v>
      </c>
      <c r="AI1241">
        <v>1</v>
      </c>
      <c r="AJ1241">
        <v>0</v>
      </c>
      <c r="AK1241">
        <v>0</v>
      </c>
      <c r="AL1241">
        <v>0</v>
      </c>
      <c r="AM1241">
        <v>0</v>
      </c>
      <c r="AN1241">
        <v>0</v>
      </c>
      <c r="AO1241">
        <v>0</v>
      </c>
      <c r="AP1241">
        <v>0</v>
      </c>
      <c r="AQ1241">
        <v>0</v>
      </c>
      <c r="AU1241">
        <v>0</v>
      </c>
      <c r="AV1241">
        <v>0</v>
      </c>
      <c r="AW1241">
        <v>0</v>
      </c>
    </row>
    <row r="1242" spans="1:49" x14ac:dyDescent="0.25">
      <c r="A1242" t="str">
        <f>"1238"</f>
        <v>1238</v>
      </c>
      <c r="B1242" t="str">
        <f t="shared" si="67"/>
        <v>1</v>
      </c>
      <c r="C1242" t="str">
        <f t="shared" si="70"/>
        <v>55</v>
      </c>
      <c r="D1242" t="str">
        <f>"16"</f>
        <v>16</v>
      </c>
      <c r="E1242" t="str">
        <f>"1-55-16"</f>
        <v>1-55-16</v>
      </c>
      <c r="F1242" t="s">
        <v>83</v>
      </c>
      <c r="G1242" t="s">
        <v>86</v>
      </c>
      <c r="H1242" t="s">
        <v>93</v>
      </c>
      <c r="I1242">
        <v>1</v>
      </c>
      <c r="K1242">
        <v>0</v>
      </c>
      <c r="L1242">
        <v>1</v>
      </c>
      <c r="M1242">
        <v>0</v>
      </c>
      <c r="N1242">
        <v>1</v>
      </c>
      <c r="O1242">
        <v>1</v>
      </c>
      <c r="P1242">
        <v>1</v>
      </c>
      <c r="Q1242">
        <v>1</v>
      </c>
      <c r="R1242">
        <v>1</v>
      </c>
      <c r="U1242">
        <v>1</v>
      </c>
      <c r="V1242">
        <v>0</v>
      </c>
      <c r="W1242">
        <v>1</v>
      </c>
      <c r="X1242">
        <v>1</v>
      </c>
      <c r="Y1242">
        <v>1</v>
      </c>
      <c r="Z1242">
        <v>1</v>
      </c>
      <c r="AA1242">
        <v>1</v>
      </c>
      <c r="AB1242">
        <v>1</v>
      </c>
    </row>
    <row r="1243" spans="1:49" x14ac:dyDescent="0.25">
      <c r="A1243" t="str">
        <f>"1239"</f>
        <v>1239</v>
      </c>
      <c r="B1243" t="str">
        <f t="shared" si="67"/>
        <v>1</v>
      </c>
      <c r="C1243" t="str">
        <f t="shared" si="70"/>
        <v>55</v>
      </c>
      <c r="D1243" t="str">
        <f>"9"</f>
        <v>9</v>
      </c>
      <c r="E1243" t="str">
        <f>"1-55-9"</f>
        <v>1-55-9</v>
      </c>
      <c r="F1243" t="s">
        <v>83</v>
      </c>
      <c r="G1243" t="s">
        <v>86</v>
      </c>
      <c r="H1243" t="s">
        <v>87</v>
      </c>
      <c r="AC1243">
        <v>0</v>
      </c>
      <c r="AD1243">
        <v>1</v>
      </c>
      <c r="AE1243">
        <v>0</v>
      </c>
      <c r="AF1243">
        <v>0</v>
      </c>
      <c r="AH1243">
        <v>0</v>
      </c>
      <c r="AI1243">
        <v>1</v>
      </c>
      <c r="AJ1243">
        <v>0</v>
      </c>
      <c r="AK1243">
        <v>0</v>
      </c>
      <c r="AL1243">
        <v>0</v>
      </c>
      <c r="AM1243">
        <v>0</v>
      </c>
      <c r="AN1243">
        <v>1</v>
      </c>
      <c r="AO1243">
        <v>0</v>
      </c>
      <c r="AP1243">
        <v>0</v>
      </c>
      <c r="AQ1243">
        <v>0</v>
      </c>
      <c r="AU1243">
        <v>0</v>
      </c>
      <c r="AV1243">
        <v>0</v>
      </c>
      <c r="AW1243">
        <v>0</v>
      </c>
    </row>
    <row r="1244" spans="1:49" x14ac:dyDescent="0.25">
      <c r="A1244" t="str">
        <f>"1240"</f>
        <v>1240</v>
      </c>
      <c r="B1244" t="str">
        <f t="shared" si="67"/>
        <v>1</v>
      </c>
      <c r="C1244" t="str">
        <f t="shared" si="70"/>
        <v>55</v>
      </c>
      <c r="D1244" t="str">
        <f>"3"</f>
        <v>3</v>
      </c>
      <c r="E1244" t="str">
        <f>"1-55-3"</f>
        <v>1-55-3</v>
      </c>
      <c r="F1244" t="s">
        <v>83</v>
      </c>
      <c r="G1244" t="s">
        <v>86</v>
      </c>
      <c r="H1244" t="s">
        <v>87</v>
      </c>
      <c r="AC1244">
        <v>0</v>
      </c>
      <c r="AD1244">
        <v>0</v>
      </c>
      <c r="AE1244">
        <v>0</v>
      </c>
      <c r="AF1244">
        <v>0</v>
      </c>
      <c r="AH1244">
        <v>0</v>
      </c>
      <c r="AI1244">
        <v>1</v>
      </c>
      <c r="AJ1244">
        <v>0</v>
      </c>
      <c r="AK1244">
        <v>0</v>
      </c>
      <c r="AL1244">
        <v>0</v>
      </c>
      <c r="AM1244">
        <v>0</v>
      </c>
      <c r="AN1244">
        <v>1</v>
      </c>
      <c r="AO1244">
        <v>0</v>
      </c>
      <c r="AP1244">
        <v>0</v>
      </c>
      <c r="AQ1244">
        <v>0</v>
      </c>
      <c r="AU1244">
        <v>0</v>
      </c>
      <c r="AV1244">
        <v>0</v>
      </c>
      <c r="AW1244">
        <v>0</v>
      </c>
    </row>
    <row r="1245" spans="1:49" x14ac:dyDescent="0.25">
      <c r="A1245" t="str">
        <f>"1241"</f>
        <v>1241</v>
      </c>
      <c r="B1245" t="str">
        <f t="shared" si="67"/>
        <v>1</v>
      </c>
      <c r="C1245" t="str">
        <f t="shared" si="70"/>
        <v>55</v>
      </c>
      <c r="D1245" t="str">
        <f>"17"</f>
        <v>17</v>
      </c>
      <c r="E1245" t="str">
        <f>"1-55-17"</f>
        <v>1-55-17</v>
      </c>
      <c r="F1245" t="s">
        <v>83</v>
      </c>
      <c r="G1245" t="s">
        <v>86</v>
      </c>
      <c r="H1245" t="s">
        <v>87</v>
      </c>
      <c r="AC1245">
        <v>0</v>
      </c>
      <c r="AD1245">
        <v>1</v>
      </c>
      <c r="AE1245">
        <v>0</v>
      </c>
      <c r="AF1245">
        <v>0</v>
      </c>
      <c r="AH1245">
        <v>0</v>
      </c>
      <c r="AI1245">
        <v>1</v>
      </c>
      <c r="AJ1245">
        <v>0</v>
      </c>
      <c r="AK1245">
        <v>0</v>
      </c>
      <c r="AL1245">
        <v>0</v>
      </c>
      <c r="AM1245">
        <v>0</v>
      </c>
      <c r="AN1245">
        <v>1</v>
      </c>
      <c r="AO1245">
        <v>0</v>
      </c>
      <c r="AP1245">
        <v>0</v>
      </c>
      <c r="AQ1245">
        <v>0</v>
      </c>
      <c r="AU1245">
        <v>0</v>
      </c>
      <c r="AV1245">
        <v>0</v>
      </c>
      <c r="AW1245">
        <v>0</v>
      </c>
    </row>
    <row r="1246" spans="1:49" x14ac:dyDescent="0.25">
      <c r="A1246" t="str">
        <f>"1242"</f>
        <v>1242</v>
      </c>
      <c r="B1246" t="str">
        <f t="shared" ref="B1246:B1309" si="71">"1"</f>
        <v>1</v>
      </c>
      <c r="C1246" t="str">
        <f t="shared" si="70"/>
        <v>55</v>
      </c>
      <c r="D1246" t="str">
        <f>"10"</f>
        <v>10</v>
      </c>
      <c r="E1246" t="str">
        <f>"1-55-10"</f>
        <v>1-55-10</v>
      </c>
      <c r="F1246" t="s">
        <v>83</v>
      </c>
      <c r="G1246" t="s">
        <v>86</v>
      </c>
      <c r="H1246" t="s">
        <v>93</v>
      </c>
      <c r="I1246">
        <v>1</v>
      </c>
      <c r="K1246">
        <v>0</v>
      </c>
      <c r="L1246">
        <v>0</v>
      </c>
      <c r="M1246">
        <v>1</v>
      </c>
      <c r="N1246">
        <v>1</v>
      </c>
      <c r="O1246">
        <v>1</v>
      </c>
      <c r="P1246">
        <v>1</v>
      </c>
      <c r="Q1246">
        <v>1</v>
      </c>
      <c r="R1246">
        <v>1</v>
      </c>
      <c r="U1246">
        <v>1</v>
      </c>
      <c r="V1246">
        <v>0</v>
      </c>
      <c r="W1246">
        <v>1</v>
      </c>
      <c r="X1246">
        <v>1</v>
      </c>
      <c r="Y1246">
        <v>1</v>
      </c>
      <c r="Z1246">
        <v>1</v>
      </c>
      <c r="AA1246">
        <v>1</v>
      </c>
      <c r="AB1246">
        <v>1</v>
      </c>
    </row>
    <row r="1247" spans="1:49" x14ac:dyDescent="0.25">
      <c r="A1247" t="str">
        <f>"1243"</f>
        <v>1243</v>
      </c>
      <c r="B1247" t="str">
        <f t="shared" si="71"/>
        <v>1</v>
      </c>
      <c r="C1247" t="str">
        <f t="shared" si="70"/>
        <v>55</v>
      </c>
      <c r="D1247" t="str">
        <f>"7"</f>
        <v>7</v>
      </c>
      <c r="E1247" t="str">
        <f>"1-55-7"</f>
        <v>1-55-7</v>
      </c>
      <c r="F1247" t="s">
        <v>83</v>
      </c>
      <c r="G1247" t="s">
        <v>86</v>
      </c>
      <c r="H1247" t="s">
        <v>93</v>
      </c>
      <c r="I1247">
        <v>1</v>
      </c>
      <c r="K1247">
        <v>0</v>
      </c>
      <c r="L1247">
        <v>1</v>
      </c>
      <c r="M1247">
        <v>0</v>
      </c>
      <c r="N1247">
        <v>1</v>
      </c>
      <c r="O1247">
        <v>1</v>
      </c>
      <c r="P1247">
        <v>1</v>
      </c>
      <c r="Q1247">
        <v>1</v>
      </c>
      <c r="R1247">
        <v>1</v>
      </c>
      <c r="U1247">
        <v>1</v>
      </c>
      <c r="V1247">
        <v>0</v>
      </c>
      <c r="W1247">
        <v>1</v>
      </c>
      <c r="X1247">
        <v>1</v>
      </c>
      <c r="Y1247">
        <v>1</v>
      </c>
      <c r="Z1247">
        <v>1</v>
      </c>
      <c r="AA1247">
        <v>1</v>
      </c>
      <c r="AB1247">
        <v>1</v>
      </c>
    </row>
    <row r="1248" spans="1:49" x14ac:dyDescent="0.25">
      <c r="A1248" t="str">
        <f>"1244"</f>
        <v>1244</v>
      </c>
      <c r="B1248" t="str">
        <f t="shared" si="71"/>
        <v>1</v>
      </c>
      <c r="C1248" t="str">
        <f t="shared" si="70"/>
        <v>55</v>
      </c>
      <c r="D1248" t="str">
        <f>"21"</f>
        <v>21</v>
      </c>
      <c r="E1248" t="str">
        <f>"1-55-21"</f>
        <v>1-55-21</v>
      </c>
      <c r="F1248" t="s">
        <v>83</v>
      </c>
      <c r="G1248" t="s">
        <v>86</v>
      </c>
      <c r="H1248" t="s">
        <v>87</v>
      </c>
      <c r="AC1248">
        <v>0</v>
      </c>
      <c r="AD1248">
        <v>1</v>
      </c>
      <c r="AE1248">
        <v>0</v>
      </c>
      <c r="AF1248">
        <v>0</v>
      </c>
      <c r="AH1248">
        <v>0</v>
      </c>
      <c r="AI1248">
        <v>1</v>
      </c>
      <c r="AJ1248">
        <v>0</v>
      </c>
      <c r="AK1248">
        <v>1</v>
      </c>
      <c r="AL1248">
        <v>0</v>
      </c>
      <c r="AM1248">
        <v>0</v>
      </c>
      <c r="AN1248">
        <v>1</v>
      </c>
      <c r="AO1248">
        <v>0</v>
      </c>
      <c r="AP1248">
        <v>0</v>
      </c>
      <c r="AQ1248">
        <v>0</v>
      </c>
      <c r="AU1248">
        <v>0</v>
      </c>
      <c r="AV1248">
        <v>0</v>
      </c>
      <c r="AW1248">
        <v>0</v>
      </c>
    </row>
    <row r="1249" spans="1:49" x14ac:dyDescent="0.25">
      <c r="A1249" t="str">
        <f>"1245"</f>
        <v>1245</v>
      </c>
      <c r="B1249" t="str">
        <f t="shared" si="71"/>
        <v>1</v>
      </c>
      <c r="C1249" t="str">
        <f t="shared" si="70"/>
        <v>55</v>
      </c>
      <c r="D1249" t="str">
        <f>"11"</f>
        <v>11</v>
      </c>
      <c r="E1249" t="str">
        <f>"1-55-11"</f>
        <v>1-55-11</v>
      </c>
      <c r="F1249" t="s">
        <v>83</v>
      </c>
      <c r="G1249" t="s">
        <v>86</v>
      </c>
      <c r="H1249" t="s">
        <v>87</v>
      </c>
      <c r="AC1249">
        <v>0</v>
      </c>
      <c r="AD1249">
        <v>1</v>
      </c>
      <c r="AE1249">
        <v>0</v>
      </c>
      <c r="AF1249">
        <v>0</v>
      </c>
      <c r="AH1249">
        <v>1</v>
      </c>
      <c r="AI1249">
        <v>0</v>
      </c>
      <c r="AJ1249">
        <v>1</v>
      </c>
      <c r="AK1249">
        <v>0</v>
      </c>
      <c r="AL1249">
        <v>0</v>
      </c>
      <c r="AM1249">
        <v>0</v>
      </c>
      <c r="AN1249">
        <v>1</v>
      </c>
      <c r="AO1249">
        <v>1</v>
      </c>
      <c r="AP1249">
        <v>1</v>
      </c>
      <c r="AQ1249">
        <v>1</v>
      </c>
      <c r="AU1249">
        <v>1</v>
      </c>
      <c r="AV1249">
        <v>1</v>
      </c>
      <c r="AW1249">
        <v>1</v>
      </c>
    </row>
    <row r="1250" spans="1:49" x14ac:dyDescent="0.25">
      <c r="A1250" t="str">
        <f>"1246"</f>
        <v>1246</v>
      </c>
      <c r="B1250" t="str">
        <f t="shared" si="71"/>
        <v>1</v>
      </c>
      <c r="C1250" t="str">
        <f t="shared" si="70"/>
        <v>55</v>
      </c>
      <c r="D1250" t="str">
        <f>"4"</f>
        <v>4</v>
      </c>
      <c r="E1250" t="str">
        <f>"1-55-4"</f>
        <v>1-55-4</v>
      </c>
      <c r="F1250" t="s">
        <v>83</v>
      </c>
      <c r="G1250" t="s">
        <v>86</v>
      </c>
      <c r="H1250" t="s">
        <v>87</v>
      </c>
      <c r="AC1250">
        <v>1</v>
      </c>
      <c r="AD1250">
        <v>0</v>
      </c>
      <c r="AE1250">
        <v>0</v>
      </c>
      <c r="AF1250">
        <v>0</v>
      </c>
      <c r="AH1250">
        <v>0</v>
      </c>
      <c r="AI1250">
        <v>1</v>
      </c>
      <c r="AJ1250">
        <v>1</v>
      </c>
      <c r="AK1250">
        <v>0</v>
      </c>
      <c r="AL1250">
        <v>1</v>
      </c>
      <c r="AM1250">
        <v>0</v>
      </c>
      <c r="AN1250">
        <v>0</v>
      </c>
      <c r="AO1250">
        <v>0</v>
      </c>
      <c r="AP1250">
        <v>0</v>
      </c>
      <c r="AQ1250">
        <v>0</v>
      </c>
      <c r="AU1250">
        <v>0</v>
      </c>
      <c r="AV1250">
        <v>0</v>
      </c>
      <c r="AW1250">
        <v>0</v>
      </c>
    </row>
    <row r="1251" spans="1:49" x14ac:dyDescent="0.25">
      <c r="A1251" t="str">
        <f>"1247"</f>
        <v>1247</v>
      </c>
      <c r="B1251" t="str">
        <f t="shared" si="71"/>
        <v>1</v>
      </c>
      <c r="C1251" t="str">
        <f t="shared" si="70"/>
        <v>55</v>
      </c>
      <c r="D1251" t="str">
        <f>"20"</f>
        <v>20</v>
      </c>
      <c r="E1251" t="str">
        <f>"1-55-20"</f>
        <v>1-55-20</v>
      </c>
      <c r="F1251" t="s">
        <v>83</v>
      </c>
      <c r="G1251" t="s">
        <v>86</v>
      </c>
      <c r="H1251" t="s">
        <v>87</v>
      </c>
      <c r="AC1251">
        <v>0</v>
      </c>
      <c r="AD1251">
        <v>1</v>
      </c>
      <c r="AE1251">
        <v>0</v>
      </c>
      <c r="AF1251">
        <v>0</v>
      </c>
      <c r="AH1251">
        <v>0</v>
      </c>
      <c r="AI1251">
        <v>1</v>
      </c>
      <c r="AJ1251">
        <v>0</v>
      </c>
      <c r="AK1251">
        <v>1</v>
      </c>
      <c r="AL1251">
        <v>0</v>
      </c>
      <c r="AM1251">
        <v>0</v>
      </c>
      <c r="AN1251">
        <v>1</v>
      </c>
      <c r="AO1251">
        <v>0</v>
      </c>
      <c r="AP1251">
        <v>0</v>
      </c>
      <c r="AQ1251">
        <v>0</v>
      </c>
      <c r="AU1251">
        <v>0</v>
      </c>
      <c r="AV1251">
        <v>0</v>
      </c>
      <c r="AW1251">
        <v>0</v>
      </c>
    </row>
    <row r="1252" spans="1:49" x14ac:dyDescent="0.25">
      <c r="A1252" t="str">
        <f>"1248"</f>
        <v>1248</v>
      </c>
      <c r="B1252" t="str">
        <f t="shared" si="71"/>
        <v>1</v>
      </c>
      <c r="C1252" t="str">
        <f t="shared" si="70"/>
        <v>55</v>
      </c>
      <c r="D1252" t="str">
        <f>"12"</f>
        <v>12</v>
      </c>
      <c r="E1252" t="str">
        <f>"1-55-12"</f>
        <v>1-55-12</v>
      </c>
      <c r="F1252" t="s">
        <v>83</v>
      </c>
      <c r="G1252" t="s">
        <v>86</v>
      </c>
      <c r="H1252" t="s">
        <v>87</v>
      </c>
      <c r="AC1252">
        <v>0</v>
      </c>
      <c r="AD1252">
        <v>0</v>
      </c>
      <c r="AE1252">
        <v>0</v>
      </c>
      <c r="AF1252">
        <v>0</v>
      </c>
      <c r="AH1252">
        <v>0</v>
      </c>
      <c r="AI1252">
        <v>1</v>
      </c>
      <c r="AJ1252">
        <v>0</v>
      </c>
      <c r="AK1252">
        <v>0</v>
      </c>
      <c r="AL1252">
        <v>0</v>
      </c>
      <c r="AM1252">
        <v>0</v>
      </c>
      <c r="AN1252">
        <v>0</v>
      </c>
      <c r="AO1252">
        <v>0</v>
      </c>
      <c r="AP1252">
        <v>0</v>
      </c>
      <c r="AQ1252">
        <v>0</v>
      </c>
      <c r="AU1252">
        <v>0</v>
      </c>
      <c r="AV1252">
        <v>0</v>
      </c>
      <c r="AW1252">
        <v>0</v>
      </c>
    </row>
    <row r="1253" spans="1:49" x14ac:dyDescent="0.25">
      <c r="A1253" t="str">
        <f>"1249"</f>
        <v>1249</v>
      </c>
      <c r="B1253" t="str">
        <f t="shared" si="71"/>
        <v>1</v>
      </c>
      <c r="C1253" t="str">
        <f t="shared" si="70"/>
        <v>55</v>
      </c>
      <c r="D1253" t="str">
        <f>"5"</f>
        <v>5</v>
      </c>
      <c r="E1253" t="str">
        <f>"1-55-5"</f>
        <v>1-55-5</v>
      </c>
      <c r="F1253" t="s">
        <v>83</v>
      </c>
      <c r="G1253" t="s">
        <v>86</v>
      </c>
      <c r="H1253" t="s">
        <v>87</v>
      </c>
      <c r="AC1253">
        <v>0</v>
      </c>
      <c r="AD1253">
        <v>0</v>
      </c>
      <c r="AE1253">
        <v>0</v>
      </c>
      <c r="AF1253">
        <v>0</v>
      </c>
      <c r="AH1253">
        <v>0</v>
      </c>
      <c r="AI1253">
        <v>1</v>
      </c>
      <c r="AJ1253">
        <v>0</v>
      </c>
      <c r="AK1253">
        <v>1</v>
      </c>
      <c r="AL1253">
        <v>0</v>
      </c>
      <c r="AM1253">
        <v>1</v>
      </c>
      <c r="AN1253">
        <v>0</v>
      </c>
      <c r="AO1253">
        <v>0</v>
      </c>
      <c r="AP1253">
        <v>0</v>
      </c>
      <c r="AQ1253">
        <v>0</v>
      </c>
      <c r="AU1253">
        <v>0</v>
      </c>
      <c r="AV1253">
        <v>0</v>
      </c>
      <c r="AW1253">
        <v>0</v>
      </c>
    </row>
    <row r="1254" spans="1:49" x14ac:dyDescent="0.25">
      <c r="A1254" t="str">
        <f>"1250"</f>
        <v>1250</v>
      </c>
      <c r="B1254" t="str">
        <f t="shared" si="71"/>
        <v>1</v>
      </c>
      <c r="C1254" t="str">
        <f t="shared" si="70"/>
        <v>55</v>
      </c>
      <c r="D1254" t="str">
        <f>"22"</f>
        <v>22</v>
      </c>
      <c r="E1254" t="str">
        <f>"1-55-22"</f>
        <v>1-55-22</v>
      </c>
      <c r="F1254" t="s">
        <v>83</v>
      </c>
      <c r="G1254" t="s">
        <v>86</v>
      </c>
      <c r="H1254" t="s">
        <v>87</v>
      </c>
      <c r="AC1254">
        <v>0</v>
      </c>
      <c r="AD1254">
        <v>0</v>
      </c>
      <c r="AE1254">
        <v>0</v>
      </c>
      <c r="AF1254">
        <v>0</v>
      </c>
      <c r="AH1254">
        <v>0</v>
      </c>
      <c r="AI1254">
        <v>1</v>
      </c>
      <c r="AJ1254">
        <v>0</v>
      </c>
      <c r="AK1254">
        <v>0</v>
      </c>
      <c r="AL1254">
        <v>0</v>
      </c>
      <c r="AM1254">
        <v>0</v>
      </c>
      <c r="AN1254">
        <v>0</v>
      </c>
      <c r="AO1254">
        <v>0</v>
      </c>
      <c r="AP1254">
        <v>0</v>
      </c>
      <c r="AQ1254">
        <v>0</v>
      </c>
      <c r="AU1254">
        <v>0</v>
      </c>
      <c r="AV1254">
        <v>0</v>
      </c>
      <c r="AW1254">
        <v>0</v>
      </c>
    </row>
    <row r="1255" spans="1:49" x14ac:dyDescent="0.25">
      <c r="A1255" t="str">
        <f>"1251"</f>
        <v>1251</v>
      </c>
      <c r="B1255" t="str">
        <f t="shared" si="71"/>
        <v>1</v>
      </c>
      <c r="C1255" t="str">
        <f t="shared" si="70"/>
        <v>55</v>
      </c>
      <c r="D1255" t="str">
        <f>"13"</f>
        <v>13</v>
      </c>
      <c r="E1255" t="str">
        <f>"1-55-13"</f>
        <v>1-55-13</v>
      </c>
      <c r="F1255" t="s">
        <v>83</v>
      </c>
      <c r="G1255" t="s">
        <v>86</v>
      </c>
      <c r="H1255" t="s">
        <v>87</v>
      </c>
      <c r="AC1255">
        <v>1</v>
      </c>
      <c r="AD1255">
        <v>0</v>
      </c>
      <c r="AE1255">
        <v>0</v>
      </c>
      <c r="AF1255">
        <v>0</v>
      </c>
      <c r="AH1255">
        <v>1</v>
      </c>
      <c r="AI1255">
        <v>0</v>
      </c>
      <c r="AJ1255">
        <v>1</v>
      </c>
      <c r="AK1255">
        <v>0</v>
      </c>
      <c r="AL1255">
        <v>1</v>
      </c>
      <c r="AM1255">
        <v>0</v>
      </c>
      <c r="AN1255">
        <v>0</v>
      </c>
      <c r="AO1255">
        <v>1</v>
      </c>
      <c r="AP1255">
        <v>1</v>
      </c>
      <c r="AQ1255">
        <v>1</v>
      </c>
      <c r="AU1255">
        <v>1</v>
      </c>
      <c r="AV1255">
        <v>1</v>
      </c>
      <c r="AW1255">
        <v>1</v>
      </c>
    </row>
    <row r="1256" spans="1:49" x14ac:dyDescent="0.25">
      <c r="A1256" t="str">
        <f>"1252"</f>
        <v>1252</v>
      </c>
      <c r="B1256" t="str">
        <f t="shared" si="71"/>
        <v>1</v>
      </c>
      <c r="C1256" t="str">
        <f t="shared" si="70"/>
        <v>55</v>
      </c>
      <c r="D1256" t="str">
        <f>"6"</f>
        <v>6</v>
      </c>
      <c r="E1256" t="str">
        <f>"1-55-6"</f>
        <v>1-55-6</v>
      </c>
      <c r="F1256" t="s">
        <v>83</v>
      </c>
      <c r="G1256" t="s">
        <v>86</v>
      </c>
      <c r="H1256" t="s">
        <v>87</v>
      </c>
      <c r="AC1256">
        <v>0</v>
      </c>
      <c r="AD1256">
        <v>1</v>
      </c>
      <c r="AE1256">
        <v>0</v>
      </c>
      <c r="AF1256">
        <v>0</v>
      </c>
      <c r="AH1256">
        <v>0</v>
      </c>
      <c r="AI1256">
        <v>1</v>
      </c>
      <c r="AJ1256">
        <v>0</v>
      </c>
      <c r="AK1256">
        <v>0</v>
      </c>
      <c r="AL1256">
        <v>0</v>
      </c>
      <c r="AM1256">
        <v>0</v>
      </c>
      <c r="AN1256">
        <v>1</v>
      </c>
      <c r="AO1256">
        <v>1</v>
      </c>
      <c r="AP1256">
        <v>1</v>
      </c>
      <c r="AQ1256">
        <v>1</v>
      </c>
      <c r="AU1256">
        <v>1</v>
      </c>
      <c r="AV1256">
        <v>0</v>
      </c>
      <c r="AW1256">
        <v>1</v>
      </c>
    </row>
    <row r="1257" spans="1:49" x14ac:dyDescent="0.25">
      <c r="A1257" t="str">
        <f>"1253"</f>
        <v>1253</v>
      </c>
      <c r="B1257" t="str">
        <f t="shared" si="71"/>
        <v>1</v>
      </c>
      <c r="C1257" t="str">
        <f t="shared" si="70"/>
        <v>55</v>
      </c>
      <c r="D1257" t="str">
        <f>"1"</f>
        <v>1</v>
      </c>
      <c r="E1257" t="str">
        <f>"1-55-1"</f>
        <v>1-55-1</v>
      </c>
      <c r="F1257" t="s">
        <v>83</v>
      </c>
      <c r="G1257" t="s">
        <v>86</v>
      </c>
      <c r="H1257" t="s">
        <v>93</v>
      </c>
      <c r="I1257">
        <v>1</v>
      </c>
      <c r="K1257">
        <v>1</v>
      </c>
      <c r="L1257">
        <v>0</v>
      </c>
      <c r="M1257">
        <v>0</v>
      </c>
      <c r="N1257">
        <v>1</v>
      </c>
      <c r="O1257">
        <v>1</v>
      </c>
      <c r="P1257">
        <v>1</v>
      </c>
      <c r="Q1257">
        <v>1</v>
      </c>
      <c r="R1257">
        <v>1</v>
      </c>
      <c r="U1257">
        <v>0</v>
      </c>
      <c r="V1257">
        <v>1</v>
      </c>
      <c r="W1257">
        <v>1</v>
      </c>
      <c r="X1257">
        <v>1</v>
      </c>
      <c r="Y1257">
        <v>1</v>
      </c>
      <c r="Z1257">
        <v>1</v>
      </c>
      <c r="AA1257">
        <v>1</v>
      </c>
      <c r="AB1257">
        <v>1</v>
      </c>
    </row>
    <row r="1258" spans="1:49" x14ac:dyDescent="0.25">
      <c r="A1258" t="str">
        <f>"1254"</f>
        <v>1254</v>
      </c>
      <c r="B1258" t="str">
        <f t="shared" si="71"/>
        <v>1</v>
      </c>
      <c r="C1258" t="str">
        <f t="shared" si="70"/>
        <v>55</v>
      </c>
      <c r="D1258" t="str">
        <f>"14"</f>
        <v>14</v>
      </c>
      <c r="E1258" t="str">
        <f>"1-55-14"</f>
        <v>1-55-14</v>
      </c>
      <c r="F1258" t="s">
        <v>83</v>
      </c>
      <c r="G1258" t="s">
        <v>86</v>
      </c>
      <c r="H1258" t="s">
        <v>87</v>
      </c>
      <c r="AC1258">
        <v>0</v>
      </c>
      <c r="AD1258">
        <v>0</v>
      </c>
      <c r="AE1258">
        <v>0</v>
      </c>
      <c r="AF1258">
        <v>0</v>
      </c>
      <c r="AH1258">
        <v>0</v>
      </c>
      <c r="AI1258">
        <v>1</v>
      </c>
      <c r="AJ1258">
        <v>0</v>
      </c>
      <c r="AK1258">
        <v>0</v>
      </c>
      <c r="AL1258">
        <v>0</v>
      </c>
      <c r="AM1258">
        <v>0</v>
      </c>
      <c r="AN1258">
        <v>1</v>
      </c>
      <c r="AO1258">
        <v>0</v>
      </c>
      <c r="AP1258">
        <v>0</v>
      </c>
      <c r="AQ1258">
        <v>0</v>
      </c>
      <c r="AU1258">
        <v>0</v>
      </c>
      <c r="AV1258">
        <v>0</v>
      </c>
      <c r="AW1258">
        <v>0</v>
      </c>
    </row>
    <row r="1259" spans="1:49" x14ac:dyDescent="0.25">
      <c r="A1259" t="str">
        <f>"1255"</f>
        <v>1255</v>
      </c>
      <c r="B1259" t="str">
        <f t="shared" si="71"/>
        <v>1</v>
      </c>
      <c r="C1259" t="str">
        <f t="shared" ref="C1259:C1283" si="72">"56"</f>
        <v>56</v>
      </c>
      <c r="D1259" t="str">
        <f>"19"</f>
        <v>19</v>
      </c>
      <c r="E1259" t="str">
        <f>"1-56-19"</f>
        <v>1-56-19</v>
      </c>
      <c r="F1259" t="s">
        <v>83</v>
      </c>
      <c r="G1259" t="s">
        <v>84</v>
      </c>
      <c r="H1259" t="s">
        <v>92</v>
      </c>
      <c r="I1259">
        <v>1</v>
      </c>
      <c r="J1259">
        <v>1</v>
      </c>
      <c r="N1259">
        <v>1</v>
      </c>
      <c r="O1259">
        <v>1</v>
      </c>
      <c r="P1259">
        <v>1</v>
      </c>
      <c r="Q1259">
        <v>1</v>
      </c>
      <c r="R1259">
        <v>1</v>
      </c>
      <c r="S1259">
        <v>1</v>
      </c>
      <c r="T1259">
        <v>1</v>
      </c>
      <c r="W1259">
        <v>1</v>
      </c>
      <c r="X1259">
        <v>1</v>
      </c>
      <c r="Y1259">
        <v>1</v>
      </c>
      <c r="Z1259">
        <v>1</v>
      </c>
      <c r="AA1259">
        <v>1</v>
      </c>
      <c r="AB1259">
        <v>1</v>
      </c>
    </row>
    <row r="1260" spans="1:49" x14ac:dyDescent="0.25">
      <c r="A1260" t="str">
        <f>"1256"</f>
        <v>1256</v>
      </c>
      <c r="B1260" t="str">
        <f t="shared" si="71"/>
        <v>1</v>
      </c>
      <c r="C1260" t="str">
        <f t="shared" si="72"/>
        <v>56</v>
      </c>
      <c r="D1260" t="str">
        <f>"18"</f>
        <v>18</v>
      </c>
      <c r="E1260" t="str">
        <f>"1-56-18"</f>
        <v>1-56-18</v>
      </c>
      <c r="F1260" t="s">
        <v>83</v>
      </c>
      <c r="G1260" t="s">
        <v>84</v>
      </c>
      <c r="H1260" t="s">
        <v>92</v>
      </c>
      <c r="I1260">
        <v>1</v>
      </c>
      <c r="J1260">
        <v>1</v>
      </c>
      <c r="N1260">
        <v>1</v>
      </c>
      <c r="O1260">
        <v>1</v>
      </c>
      <c r="P1260">
        <v>1</v>
      </c>
      <c r="Q1260">
        <v>1</v>
      </c>
      <c r="R1260">
        <v>1</v>
      </c>
      <c r="S1260">
        <v>1</v>
      </c>
      <c r="T1260">
        <v>1</v>
      </c>
      <c r="W1260">
        <v>1</v>
      </c>
      <c r="X1260">
        <v>1</v>
      </c>
      <c r="Y1260">
        <v>1</v>
      </c>
      <c r="Z1260">
        <v>1</v>
      </c>
      <c r="AA1260">
        <v>1</v>
      </c>
      <c r="AB1260">
        <v>1</v>
      </c>
    </row>
    <row r="1261" spans="1:49" x14ac:dyDescent="0.25">
      <c r="A1261" t="str">
        <f>"1257"</f>
        <v>1257</v>
      </c>
      <c r="B1261" t="str">
        <f t="shared" si="71"/>
        <v>1</v>
      </c>
      <c r="C1261" t="str">
        <f t="shared" si="72"/>
        <v>56</v>
      </c>
      <c r="D1261" t="str">
        <f>"14"</f>
        <v>14</v>
      </c>
      <c r="E1261" t="str">
        <f>"1-56-14"</f>
        <v>1-56-14</v>
      </c>
      <c r="F1261" t="s">
        <v>83</v>
      </c>
      <c r="G1261" t="s">
        <v>84</v>
      </c>
      <c r="H1261" t="s">
        <v>85</v>
      </c>
      <c r="AC1261">
        <v>1</v>
      </c>
      <c r="AD1261">
        <v>0</v>
      </c>
      <c r="AE1261">
        <v>0</v>
      </c>
      <c r="AF1261">
        <v>0</v>
      </c>
      <c r="AG1261">
        <v>1</v>
      </c>
      <c r="AJ1261">
        <v>0</v>
      </c>
      <c r="AK1261">
        <v>1</v>
      </c>
      <c r="AL1261">
        <v>1</v>
      </c>
      <c r="AM1261">
        <v>0</v>
      </c>
      <c r="AN1261">
        <v>0</v>
      </c>
      <c r="AO1261">
        <v>1</v>
      </c>
      <c r="AP1261">
        <v>1</v>
      </c>
      <c r="AQ1261">
        <v>1</v>
      </c>
      <c r="AR1261">
        <v>1</v>
      </c>
      <c r="AS1261">
        <v>0</v>
      </c>
      <c r="AT1261">
        <v>1</v>
      </c>
      <c r="AV1261">
        <v>1</v>
      </c>
      <c r="AW1261">
        <v>1</v>
      </c>
    </row>
    <row r="1262" spans="1:49" x14ac:dyDescent="0.25">
      <c r="A1262" t="str">
        <f>"1258"</f>
        <v>1258</v>
      </c>
      <c r="B1262" t="str">
        <f t="shared" si="71"/>
        <v>1</v>
      </c>
      <c r="C1262" t="str">
        <f t="shared" si="72"/>
        <v>56</v>
      </c>
      <c r="D1262" t="str">
        <f>"13"</f>
        <v>13</v>
      </c>
      <c r="E1262" t="str">
        <f>"1-56-13"</f>
        <v>1-56-13</v>
      </c>
      <c r="F1262" t="s">
        <v>83</v>
      </c>
      <c r="G1262" t="s">
        <v>84</v>
      </c>
      <c r="H1262" t="s">
        <v>92</v>
      </c>
      <c r="I1262">
        <v>1</v>
      </c>
      <c r="J1262">
        <v>1</v>
      </c>
      <c r="N1262">
        <v>1</v>
      </c>
      <c r="O1262">
        <v>1</v>
      </c>
      <c r="P1262">
        <v>1</v>
      </c>
      <c r="Q1262">
        <v>1</v>
      </c>
      <c r="R1262">
        <v>1</v>
      </c>
      <c r="S1262">
        <v>1</v>
      </c>
      <c r="T1262">
        <v>1</v>
      </c>
      <c r="W1262">
        <v>1</v>
      </c>
      <c r="X1262">
        <v>1</v>
      </c>
      <c r="Y1262">
        <v>1</v>
      </c>
      <c r="Z1262">
        <v>1</v>
      </c>
      <c r="AA1262">
        <v>1</v>
      </c>
      <c r="AB1262">
        <v>1</v>
      </c>
    </row>
    <row r="1263" spans="1:49" x14ac:dyDescent="0.25">
      <c r="A1263" t="str">
        <f>"1259"</f>
        <v>1259</v>
      </c>
      <c r="B1263" t="str">
        <f t="shared" si="71"/>
        <v>1</v>
      </c>
      <c r="C1263" t="str">
        <f t="shared" si="72"/>
        <v>56</v>
      </c>
      <c r="D1263" t="str">
        <f>"9"</f>
        <v>9</v>
      </c>
      <c r="E1263" t="str">
        <f>"1-56-9"</f>
        <v>1-56-9</v>
      </c>
      <c r="F1263" t="s">
        <v>83</v>
      </c>
      <c r="G1263" t="s">
        <v>86</v>
      </c>
      <c r="H1263" t="s">
        <v>87</v>
      </c>
      <c r="AC1263">
        <v>0</v>
      </c>
      <c r="AD1263">
        <v>0</v>
      </c>
      <c r="AE1263">
        <v>0</v>
      </c>
      <c r="AF1263">
        <v>0</v>
      </c>
      <c r="AH1263">
        <v>0</v>
      </c>
      <c r="AI1263">
        <v>1</v>
      </c>
      <c r="AJ1263">
        <v>0</v>
      </c>
      <c r="AK1263">
        <v>0</v>
      </c>
      <c r="AL1263">
        <v>0</v>
      </c>
      <c r="AM1263">
        <v>0</v>
      </c>
      <c r="AN1263">
        <v>0</v>
      </c>
      <c r="AO1263">
        <v>0</v>
      </c>
      <c r="AP1263">
        <v>0</v>
      </c>
      <c r="AQ1263">
        <v>0</v>
      </c>
      <c r="AU1263">
        <v>0</v>
      </c>
      <c r="AV1263">
        <v>0</v>
      </c>
      <c r="AW1263">
        <v>0</v>
      </c>
    </row>
    <row r="1264" spans="1:49" x14ac:dyDescent="0.25">
      <c r="A1264" t="str">
        <f>"1260"</f>
        <v>1260</v>
      </c>
      <c r="B1264" t="str">
        <f t="shared" si="71"/>
        <v>1</v>
      </c>
      <c r="C1264" t="str">
        <f t="shared" si="72"/>
        <v>56</v>
      </c>
      <c r="D1264" t="str">
        <f>"8"</f>
        <v>8</v>
      </c>
      <c r="E1264" t="str">
        <f>"1-56-8"</f>
        <v>1-56-8</v>
      </c>
      <c r="F1264" t="s">
        <v>83</v>
      </c>
      <c r="G1264" t="s">
        <v>84</v>
      </c>
      <c r="H1264" t="s">
        <v>92</v>
      </c>
      <c r="I1264">
        <v>1</v>
      </c>
      <c r="J1264">
        <v>1</v>
      </c>
      <c r="N1264">
        <v>1</v>
      </c>
      <c r="O1264">
        <v>1</v>
      </c>
      <c r="P1264">
        <v>1</v>
      </c>
      <c r="Q1264">
        <v>1</v>
      </c>
      <c r="R1264">
        <v>1</v>
      </c>
      <c r="S1264">
        <v>1</v>
      </c>
      <c r="T1264">
        <v>1</v>
      </c>
      <c r="W1264">
        <v>1</v>
      </c>
      <c r="X1264">
        <v>1</v>
      </c>
      <c r="Y1264">
        <v>1</v>
      </c>
      <c r="Z1264">
        <v>1</v>
      </c>
      <c r="AA1264">
        <v>1</v>
      </c>
      <c r="AB1264">
        <v>1</v>
      </c>
    </row>
    <row r="1265" spans="1:49" x14ac:dyDescent="0.25">
      <c r="A1265" t="str">
        <f>"1261"</f>
        <v>1261</v>
      </c>
      <c r="B1265" t="str">
        <f t="shared" si="71"/>
        <v>1</v>
      </c>
      <c r="C1265" t="str">
        <f t="shared" si="72"/>
        <v>56</v>
      </c>
      <c r="D1265" t="str">
        <f>"2"</f>
        <v>2</v>
      </c>
      <c r="E1265" t="str">
        <f>"1-56-2"</f>
        <v>1-56-2</v>
      </c>
      <c r="F1265" t="s">
        <v>83</v>
      </c>
      <c r="G1265" t="s">
        <v>84</v>
      </c>
      <c r="H1265" t="s">
        <v>92</v>
      </c>
      <c r="I1265">
        <v>1</v>
      </c>
      <c r="J1265">
        <v>1</v>
      </c>
      <c r="N1265">
        <v>1</v>
      </c>
      <c r="O1265">
        <v>1</v>
      </c>
      <c r="P1265">
        <v>1</v>
      </c>
      <c r="Q1265">
        <v>1</v>
      </c>
      <c r="R1265">
        <v>1</v>
      </c>
      <c r="S1265">
        <v>1</v>
      </c>
      <c r="T1265">
        <v>1</v>
      </c>
      <c r="W1265">
        <v>1</v>
      </c>
      <c r="X1265">
        <v>1</v>
      </c>
      <c r="Y1265">
        <v>1</v>
      </c>
      <c r="Z1265">
        <v>1</v>
      </c>
      <c r="AA1265">
        <v>1</v>
      </c>
      <c r="AB1265">
        <v>1</v>
      </c>
    </row>
    <row r="1266" spans="1:49" x14ac:dyDescent="0.25">
      <c r="A1266" t="str">
        <f>"1262"</f>
        <v>1262</v>
      </c>
      <c r="B1266" t="str">
        <f t="shared" si="71"/>
        <v>1</v>
      </c>
      <c r="C1266" t="str">
        <f t="shared" si="72"/>
        <v>56</v>
      </c>
      <c r="D1266" t="str">
        <f>"21"</f>
        <v>21</v>
      </c>
      <c r="E1266" t="str">
        <f>"1-56-21"</f>
        <v>1-56-21</v>
      </c>
      <c r="F1266" t="s">
        <v>83</v>
      </c>
      <c r="G1266" t="s">
        <v>84</v>
      </c>
      <c r="H1266" t="s">
        <v>85</v>
      </c>
      <c r="AC1266">
        <v>0</v>
      </c>
      <c r="AD1266">
        <v>1</v>
      </c>
      <c r="AE1266">
        <v>0</v>
      </c>
      <c r="AF1266">
        <v>0</v>
      </c>
      <c r="AG1266">
        <v>1</v>
      </c>
      <c r="AJ1266">
        <v>0</v>
      </c>
      <c r="AK1266">
        <v>1</v>
      </c>
      <c r="AL1266">
        <v>0</v>
      </c>
      <c r="AM1266">
        <v>1</v>
      </c>
      <c r="AN1266">
        <v>0</v>
      </c>
      <c r="AO1266">
        <v>1</v>
      </c>
      <c r="AP1266">
        <v>1</v>
      </c>
      <c r="AQ1266">
        <v>1</v>
      </c>
      <c r="AR1266">
        <v>1</v>
      </c>
      <c r="AS1266">
        <v>0</v>
      </c>
      <c r="AT1266">
        <v>1</v>
      </c>
      <c r="AV1266">
        <v>1</v>
      </c>
      <c r="AW1266">
        <v>1</v>
      </c>
    </row>
    <row r="1267" spans="1:49" x14ac:dyDescent="0.25">
      <c r="A1267" t="str">
        <f>"1263"</f>
        <v>1263</v>
      </c>
      <c r="B1267" t="str">
        <f t="shared" si="71"/>
        <v>1</v>
      </c>
      <c r="C1267" t="str">
        <f t="shared" si="72"/>
        <v>56</v>
      </c>
      <c r="D1267" t="str">
        <f>"10"</f>
        <v>10</v>
      </c>
      <c r="E1267" t="str">
        <f>"1-56-10"</f>
        <v>1-56-10</v>
      </c>
      <c r="F1267" t="s">
        <v>83</v>
      </c>
      <c r="G1267" t="s">
        <v>86</v>
      </c>
      <c r="H1267" t="s">
        <v>87</v>
      </c>
      <c r="AC1267">
        <v>1</v>
      </c>
      <c r="AD1267">
        <v>0</v>
      </c>
      <c r="AE1267">
        <v>0</v>
      </c>
      <c r="AF1267">
        <v>0</v>
      </c>
      <c r="AH1267">
        <v>1</v>
      </c>
      <c r="AI1267">
        <v>0</v>
      </c>
      <c r="AJ1267">
        <v>0</v>
      </c>
      <c r="AK1267">
        <v>1</v>
      </c>
      <c r="AL1267">
        <v>0</v>
      </c>
      <c r="AM1267">
        <v>1</v>
      </c>
      <c r="AN1267">
        <v>0</v>
      </c>
      <c r="AO1267">
        <v>1</v>
      </c>
      <c r="AP1267">
        <v>1</v>
      </c>
      <c r="AQ1267">
        <v>1</v>
      </c>
      <c r="AU1267">
        <v>1</v>
      </c>
      <c r="AV1267">
        <v>1</v>
      </c>
      <c r="AW1267">
        <v>1</v>
      </c>
    </row>
    <row r="1268" spans="1:49" x14ac:dyDescent="0.25">
      <c r="A1268" t="str">
        <f>"1264"</f>
        <v>1264</v>
      </c>
      <c r="B1268" t="str">
        <f t="shared" si="71"/>
        <v>1</v>
      </c>
      <c r="C1268" t="str">
        <f t="shared" si="72"/>
        <v>56</v>
      </c>
      <c r="D1268" t="str">
        <f>"5"</f>
        <v>5</v>
      </c>
      <c r="E1268" t="str">
        <f>"1-56-5"</f>
        <v>1-56-5</v>
      </c>
      <c r="F1268" t="s">
        <v>83</v>
      </c>
      <c r="G1268" t="s">
        <v>84</v>
      </c>
      <c r="H1268" t="s">
        <v>85</v>
      </c>
      <c r="AC1268">
        <v>0</v>
      </c>
      <c r="AD1268">
        <v>1</v>
      </c>
      <c r="AE1268">
        <v>0</v>
      </c>
      <c r="AF1268">
        <v>0</v>
      </c>
      <c r="AG1268">
        <v>1</v>
      </c>
      <c r="AJ1268">
        <v>0</v>
      </c>
      <c r="AK1268">
        <v>1</v>
      </c>
      <c r="AL1268">
        <v>0</v>
      </c>
      <c r="AM1268">
        <v>0</v>
      </c>
      <c r="AN1268">
        <v>1</v>
      </c>
      <c r="AO1268">
        <v>1</v>
      </c>
      <c r="AP1268">
        <v>1</v>
      </c>
      <c r="AQ1268">
        <v>1</v>
      </c>
      <c r="AR1268">
        <v>1</v>
      </c>
      <c r="AS1268">
        <v>1</v>
      </c>
      <c r="AT1268">
        <v>0</v>
      </c>
      <c r="AV1268">
        <v>1</v>
      </c>
      <c r="AW1268">
        <v>1</v>
      </c>
    </row>
    <row r="1269" spans="1:49" x14ac:dyDescent="0.25">
      <c r="A1269" t="str">
        <f>"1265"</f>
        <v>1265</v>
      </c>
      <c r="B1269" t="str">
        <f t="shared" si="71"/>
        <v>1</v>
      </c>
      <c r="C1269" t="str">
        <f t="shared" si="72"/>
        <v>56</v>
      </c>
      <c r="D1269" t="str">
        <f>"20"</f>
        <v>20</v>
      </c>
      <c r="E1269" t="str">
        <f>"1-56-20"</f>
        <v>1-56-20</v>
      </c>
      <c r="F1269" t="s">
        <v>83</v>
      </c>
      <c r="G1269" t="s">
        <v>84</v>
      </c>
      <c r="H1269" t="s">
        <v>85</v>
      </c>
      <c r="AC1269">
        <v>0</v>
      </c>
      <c r="AD1269">
        <v>1</v>
      </c>
      <c r="AE1269">
        <v>0</v>
      </c>
      <c r="AF1269">
        <v>0</v>
      </c>
      <c r="AG1269">
        <v>1</v>
      </c>
      <c r="AJ1269">
        <v>0</v>
      </c>
      <c r="AK1269">
        <v>1</v>
      </c>
      <c r="AL1269">
        <v>0</v>
      </c>
      <c r="AM1269">
        <v>1</v>
      </c>
      <c r="AN1269">
        <v>0</v>
      </c>
      <c r="AO1269">
        <v>1</v>
      </c>
      <c r="AP1269">
        <v>1</v>
      </c>
      <c r="AQ1269">
        <v>1</v>
      </c>
      <c r="AR1269">
        <v>1</v>
      </c>
      <c r="AS1269">
        <v>1</v>
      </c>
      <c r="AT1269">
        <v>0</v>
      </c>
      <c r="AV1269">
        <v>1</v>
      </c>
      <c r="AW1269">
        <v>1</v>
      </c>
    </row>
    <row r="1270" spans="1:49" x14ac:dyDescent="0.25">
      <c r="A1270" t="str">
        <f>"1266"</f>
        <v>1266</v>
      </c>
      <c r="B1270" t="str">
        <f t="shared" si="71"/>
        <v>1</v>
      </c>
      <c r="C1270" t="str">
        <f t="shared" si="72"/>
        <v>56</v>
      </c>
      <c r="D1270" t="str">
        <f>"11"</f>
        <v>11</v>
      </c>
      <c r="E1270" t="str">
        <f>"1-56-11"</f>
        <v>1-56-11</v>
      </c>
      <c r="F1270" t="s">
        <v>83</v>
      </c>
      <c r="G1270" t="s">
        <v>86</v>
      </c>
      <c r="H1270" t="s">
        <v>87</v>
      </c>
      <c r="AC1270">
        <v>1</v>
      </c>
      <c r="AD1270">
        <v>0</v>
      </c>
      <c r="AE1270">
        <v>0</v>
      </c>
      <c r="AF1270">
        <v>0</v>
      </c>
      <c r="AH1270">
        <v>1</v>
      </c>
      <c r="AI1270">
        <v>0</v>
      </c>
      <c r="AJ1270">
        <v>0</v>
      </c>
      <c r="AK1270">
        <v>1</v>
      </c>
      <c r="AL1270">
        <v>1</v>
      </c>
      <c r="AM1270">
        <v>0</v>
      </c>
      <c r="AN1270">
        <v>0</v>
      </c>
      <c r="AO1270">
        <v>0</v>
      </c>
      <c r="AP1270">
        <v>0</v>
      </c>
      <c r="AQ1270">
        <v>0</v>
      </c>
      <c r="AU1270">
        <v>0</v>
      </c>
      <c r="AV1270">
        <v>0</v>
      </c>
      <c r="AW1270">
        <v>0</v>
      </c>
    </row>
    <row r="1271" spans="1:49" x14ac:dyDescent="0.25">
      <c r="A1271" t="str">
        <f>"1267"</f>
        <v>1267</v>
      </c>
      <c r="B1271" t="str">
        <f t="shared" si="71"/>
        <v>1</v>
      </c>
      <c r="C1271" t="str">
        <f t="shared" si="72"/>
        <v>56</v>
      </c>
      <c r="D1271" t="str">
        <f>"4"</f>
        <v>4</v>
      </c>
      <c r="E1271" t="str">
        <f>"1-56-4"</f>
        <v>1-56-4</v>
      </c>
      <c r="F1271" t="s">
        <v>83</v>
      </c>
      <c r="G1271" t="s">
        <v>84</v>
      </c>
      <c r="H1271" t="s">
        <v>85</v>
      </c>
      <c r="AC1271">
        <v>0</v>
      </c>
      <c r="AD1271">
        <v>1</v>
      </c>
      <c r="AE1271">
        <v>0</v>
      </c>
      <c r="AF1271">
        <v>0</v>
      </c>
      <c r="AG1271">
        <v>0</v>
      </c>
      <c r="AJ1271">
        <v>0</v>
      </c>
      <c r="AK1271">
        <v>0</v>
      </c>
      <c r="AL1271">
        <v>0</v>
      </c>
      <c r="AM1271">
        <v>1</v>
      </c>
      <c r="AN1271">
        <v>0</v>
      </c>
      <c r="AO1271">
        <v>0</v>
      </c>
      <c r="AP1271">
        <v>0</v>
      </c>
      <c r="AQ1271">
        <v>0</v>
      </c>
      <c r="AR1271">
        <v>0</v>
      </c>
      <c r="AS1271">
        <v>0</v>
      </c>
      <c r="AT1271">
        <v>1</v>
      </c>
      <c r="AV1271">
        <v>0</v>
      </c>
      <c r="AW1271">
        <v>0</v>
      </c>
    </row>
    <row r="1272" spans="1:49" x14ac:dyDescent="0.25">
      <c r="A1272" t="str">
        <f>"1268"</f>
        <v>1268</v>
      </c>
      <c r="B1272" t="str">
        <f t="shared" si="71"/>
        <v>1</v>
      </c>
      <c r="C1272" t="str">
        <f t="shared" si="72"/>
        <v>56</v>
      </c>
      <c r="D1272" t="str">
        <f>"22"</f>
        <v>22</v>
      </c>
      <c r="E1272" t="str">
        <f>"1-56-22"</f>
        <v>1-56-22</v>
      </c>
      <c r="F1272" t="s">
        <v>83</v>
      </c>
      <c r="G1272" t="s">
        <v>84</v>
      </c>
      <c r="H1272" t="s">
        <v>92</v>
      </c>
      <c r="I1272">
        <v>1</v>
      </c>
      <c r="J1272">
        <v>1</v>
      </c>
      <c r="N1272">
        <v>1</v>
      </c>
      <c r="O1272">
        <v>1</v>
      </c>
      <c r="P1272">
        <v>1</v>
      </c>
      <c r="Q1272">
        <v>1</v>
      </c>
      <c r="R1272">
        <v>1</v>
      </c>
      <c r="S1272">
        <v>1</v>
      </c>
      <c r="T1272">
        <v>1</v>
      </c>
      <c r="W1272">
        <v>1</v>
      </c>
      <c r="X1272">
        <v>1</v>
      </c>
      <c r="Y1272">
        <v>1</v>
      </c>
      <c r="Z1272">
        <v>1</v>
      </c>
      <c r="AA1272">
        <v>1</v>
      </c>
      <c r="AB1272">
        <v>1</v>
      </c>
    </row>
    <row r="1273" spans="1:49" x14ac:dyDescent="0.25">
      <c r="A1273" t="str">
        <f>"1269"</f>
        <v>1269</v>
      </c>
      <c r="B1273" t="str">
        <f t="shared" si="71"/>
        <v>1</v>
      </c>
      <c r="C1273" t="str">
        <f t="shared" si="72"/>
        <v>56</v>
      </c>
      <c r="D1273" t="str">
        <f>"12"</f>
        <v>12</v>
      </c>
      <c r="E1273" t="str">
        <f>"1-56-12"</f>
        <v>1-56-12</v>
      </c>
      <c r="F1273" t="s">
        <v>83</v>
      </c>
      <c r="G1273" t="s">
        <v>86</v>
      </c>
      <c r="H1273" t="s">
        <v>93</v>
      </c>
      <c r="I1273">
        <v>1</v>
      </c>
      <c r="K1273">
        <v>0</v>
      </c>
      <c r="L1273">
        <v>0</v>
      </c>
      <c r="M1273">
        <v>1</v>
      </c>
      <c r="N1273">
        <v>1</v>
      </c>
      <c r="O1273">
        <v>1</v>
      </c>
      <c r="P1273">
        <v>1</v>
      </c>
      <c r="Q1273">
        <v>1</v>
      </c>
      <c r="R1273">
        <v>1</v>
      </c>
      <c r="U1273">
        <v>0</v>
      </c>
      <c r="V1273">
        <v>1</v>
      </c>
      <c r="W1273">
        <v>1</v>
      </c>
      <c r="X1273">
        <v>1</v>
      </c>
      <c r="Y1273">
        <v>1</v>
      </c>
      <c r="Z1273">
        <v>1</v>
      </c>
      <c r="AA1273">
        <v>1</v>
      </c>
      <c r="AB1273">
        <v>1</v>
      </c>
    </row>
    <row r="1274" spans="1:49" x14ac:dyDescent="0.25">
      <c r="A1274" t="str">
        <f>"1270"</f>
        <v>1270</v>
      </c>
      <c r="B1274" t="str">
        <f t="shared" si="71"/>
        <v>1</v>
      </c>
      <c r="C1274" t="str">
        <f t="shared" si="72"/>
        <v>56</v>
      </c>
      <c r="D1274" t="str">
        <f>"6"</f>
        <v>6</v>
      </c>
      <c r="E1274" t="str">
        <f>"1-56-6"</f>
        <v>1-56-6</v>
      </c>
      <c r="F1274" t="s">
        <v>83</v>
      </c>
      <c r="G1274" t="s">
        <v>84</v>
      </c>
      <c r="H1274" t="s">
        <v>85</v>
      </c>
      <c r="AC1274">
        <v>1</v>
      </c>
      <c r="AD1274">
        <v>0</v>
      </c>
      <c r="AE1274">
        <v>0</v>
      </c>
      <c r="AF1274">
        <v>0</v>
      </c>
      <c r="AG1274">
        <v>0</v>
      </c>
      <c r="AJ1274">
        <v>1</v>
      </c>
      <c r="AK1274">
        <v>0</v>
      </c>
      <c r="AL1274">
        <v>0</v>
      </c>
      <c r="AM1274">
        <v>0</v>
      </c>
      <c r="AN1274">
        <v>0</v>
      </c>
      <c r="AO1274">
        <v>0</v>
      </c>
      <c r="AP1274">
        <v>0</v>
      </c>
      <c r="AQ1274">
        <v>0</v>
      </c>
      <c r="AR1274">
        <v>0</v>
      </c>
      <c r="AS1274">
        <v>1</v>
      </c>
      <c r="AT1274">
        <v>0</v>
      </c>
      <c r="AV1274">
        <v>0</v>
      </c>
      <c r="AW1274">
        <v>1</v>
      </c>
    </row>
    <row r="1275" spans="1:49" x14ac:dyDescent="0.25">
      <c r="A1275" t="str">
        <f>"1271"</f>
        <v>1271</v>
      </c>
      <c r="B1275" t="str">
        <f t="shared" si="71"/>
        <v>1</v>
      </c>
      <c r="C1275" t="str">
        <f t="shared" si="72"/>
        <v>56</v>
      </c>
      <c r="D1275" t="str">
        <f>"23"</f>
        <v>23</v>
      </c>
      <c r="E1275" t="str">
        <f>"1-56-23"</f>
        <v>1-56-23</v>
      </c>
      <c r="F1275" t="s">
        <v>83</v>
      </c>
      <c r="G1275" t="s">
        <v>84</v>
      </c>
      <c r="H1275" t="s">
        <v>92</v>
      </c>
      <c r="I1275">
        <v>1</v>
      </c>
      <c r="J1275">
        <v>1</v>
      </c>
      <c r="N1275">
        <v>1</v>
      </c>
      <c r="O1275">
        <v>1</v>
      </c>
      <c r="P1275">
        <v>1</v>
      </c>
      <c r="Q1275">
        <v>1</v>
      </c>
      <c r="R1275">
        <v>1</v>
      </c>
      <c r="S1275">
        <v>1</v>
      </c>
      <c r="T1275">
        <v>1</v>
      </c>
      <c r="W1275">
        <v>1</v>
      </c>
      <c r="X1275">
        <v>1</v>
      </c>
      <c r="Y1275">
        <v>1</v>
      </c>
      <c r="Z1275">
        <v>1</v>
      </c>
      <c r="AA1275">
        <v>1</v>
      </c>
      <c r="AB1275">
        <v>1</v>
      </c>
    </row>
    <row r="1276" spans="1:49" x14ac:dyDescent="0.25">
      <c r="A1276" t="str">
        <f>"1272"</f>
        <v>1272</v>
      </c>
      <c r="B1276" t="str">
        <f t="shared" si="71"/>
        <v>1</v>
      </c>
      <c r="C1276" t="str">
        <f t="shared" si="72"/>
        <v>56</v>
      </c>
      <c r="D1276" t="str">
        <f>"15"</f>
        <v>15</v>
      </c>
      <c r="E1276" t="str">
        <f>"1-56-15"</f>
        <v>1-56-15</v>
      </c>
      <c r="F1276" t="s">
        <v>83</v>
      </c>
      <c r="G1276" t="s">
        <v>84</v>
      </c>
      <c r="H1276" t="s">
        <v>92</v>
      </c>
      <c r="I1276">
        <v>1</v>
      </c>
      <c r="J1276">
        <v>1</v>
      </c>
      <c r="N1276">
        <v>1</v>
      </c>
      <c r="O1276">
        <v>1</v>
      </c>
      <c r="P1276">
        <v>1</v>
      </c>
      <c r="Q1276">
        <v>1</v>
      </c>
      <c r="R1276">
        <v>1</v>
      </c>
      <c r="S1276">
        <v>1</v>
      </c>
      <c r="T1276">
        <v>1</v>
      </c>
      <c r="W1276">
        <v>1</v>
      </c>
      <c r="X1276">
        <v>1</v>
      </c>
      <c r="Y1276">
        <v>1</v>
      </c>
      <c r="Z1276">
        <v>1</v>
      </c>
      <c r="AA1276">
        <v>1</v>
      </c>
      <c r="AB1276">
        <v>1</v>
      </c>
    </row>
    <row r="1277" spans="1:49" x14ac:dyDescent="0.25">
      <c r="A1277" t="str">
        <f>"1273"</f>
        <v>1273</v>
      </c>
      <c r="B1277" t="str">
        <f t="shared" si="71"/>
        <v>1</v>
      </c>
      <c r="C1277" t="str">
        <f t="shared" si="72"/>
        <v>56</v>
      </c>
      <c r="D1277" t="str">
        <f>"7"</f>
        <v>7</v>
      </c>
      <c r="E1277" t="str">
        <f>"1-56-7"</f>
        <v>1-56-7</v>
      </c>
      <c r="F1277" t="s">
        <v>83</v>
      </c>
      <c r="G1277" t="s">
        <v>84</v>
      </c>
      <c r="H1277" t="s">
        <v>85</v>
      </c>
      <c r="AC1277">
        <v>0</v>
      </c>
      <c r="AD1277">
        <v>1</v>
      </c>
      <c r="AE1277">
        <v>0</v>
      </c>
      <c r="AF1277">
        <v>0</v>
      </c>
      <c r="AG1277">
        <v>1</v>
      </c>
      <c r="AJ1277">
        <v>0</v>
      </c>
      <c r="AK1277">
        <v>1</v>
      </c>
      <c r="AL1277">
        <v>0</v>
      </c>
      <c r="AM1277">
        <v>1</v>
      </c>
      <c r="AN1277">
        <v>0</v>
      </c>
      <c r="AO1277">
        <v>1</v>
      </c>
      <c r="AP1277">
        <v>1</v>
      </c>
      <c r="AQ1277">
        <v>1</v>
      </c>
      <c r="AR1277">
        <v>1</v>
      </c>
      <c r="AS1277">
        <v>0</v>
      </c>
      <c r="AT1277">
        <v>1</v>
      </c>
      <c r="AV1277">
        <v>1</v>
      </c>
      <c r="AW1277">
        <v>1</v>
      </c>
    </row>
    <row r="1278" spans="1:49" x14ac:dyDescent="0.25">
      <c r="A1278" t="str">
        <f>"1274"</f>
        <v>1274</v>
      </c>
      <c r="B1278" t="str">
        <f t="shared" si="71"/>
        <v>1</v>
      </c>
      <c r="C1278" t="str">
        <f t="shared" si="72"/>
        <v>56</v>
      </c>
      <c r="D1278" t="str">
        <f>"25"</f>
        <v>25</v>
      </c>
      <c r="E1278" t="str">
        <f>"1-56-25"</f>
        <v>1-56-25</v>
      </c>
      <c r="F1278" t="s">
        <v>83</v>
      </c>
      <c r="G1278" t="s">
        <v>84</v>
      </c>
      <c r="H1278" t="s">
        <v>92</v>
      </c>
      <c r="I1278">
        <v>1</v>
      </c>
      <c r="J1278">
        <v>1</v>
      </c>
      <c r="N1278">
        <v>1</v>
      </c>
      <c r="O1278">
        <v>1</v>
      </c>
      <c r="P1278">
        <v>1</v>
      </c>
      <c r="Q1278">
        <v>1</v>
      </c>
      <c r="R1278">
        <v>1</v>
      </c>
      <c r="S1278">
        <v>1</v>
      </c>
      <c r="T1278">
        <v>1</v>
      </c>
      <c r="W1278">
        <v>1</v>
      </c>
      <c r="X1278">
        <v>1</v>
      </c>
      <c r="Y1278">
        <v>1</v>
      </c>
      <c r="Z1278">
        <v>1</v>
      </c>
      <c r="AA1278">
        <v>1</v>
      </c>
      <c r="AB1278">
        <v>1</v>
      </c>
    </row>
    <row r="1279" spans="1:49" x14ac:dyDescent="0.25">
      <c r="A1279" t="str">
        <f>"1275"</f>
        <v>1275</v>
      </c>
      <c r="B1279" t="str">
        <f t="shared" si="71"/>
        <v>1</v>
      </c>
      <c r="C1279" t="str">
        <f t="shared" si="72"/>
        <v>56</v>
      </c>
      <c r="D1279" t="str">
        <f>"16"</f>
        <v>16</v>
      </c>
      <c r="E1279" t="str">
        <f>"1-56-16"</f>
        <v>1-56-16</v>
      </c>
      <c r="F1279" t="s">
        <v>83</v>
      </c>
      <c r="G1279" t="s">
        <v>84</v>
      </c>
      <c r="H1279" t="s">
        <v>92</v>
      </c>
      <c r="I1279">
        <v>1</v>
      </c>
      <c r="J1279">
        <v>1</v>
      </c>
      <c r="N1279">
        <v>1</v>
      </c>
      <c r="O1279">
        <v>1</v>
      </c>
      <c r="P1279">
        <v>1</v>
      </c>
      <c r="Q1279">
        <v>1</v>
      </c>
      <c r="R1279">
        <v>1</v>
      </c>
      <c r="S1279">
        <v>1</v>
      </c>
      <c r="T1279">
        <v>1</v>
      </c>
      <c r="W1279">
        <v>1</v>
      </c>
      <c r="X1279">
        <v>1</v>
      </c>
      <c r="Y1279">
        <v>1</v>
      </c>
      <c r="Z1279">
        <v>1</v>
      </c>
      <c r="AA1279">
        <v>1</v>
      </c>
      <c r="AB1279">
        <v>1</v>
      </c>
    </row>
    <row r="1280" spans="1:49" x14ac:dyDescent="0.25">
      <c r="A1280" t="str">
        <f>"1276"</f>
        <v>1276</v>
      </c>
      <c r="B1280" t="str">
        <f t="shared" si="71"/>
        <v>1</v>
      </c>
      <c r="C1280" t="str">
        <f t="shared" si="72"/>
        <v>56</v>
      </c>
      <c r="D1280" t="str">
        <f>"1"</f>
        <v>1</v>
      </c>
      <c r="E1280" t="str">
        <f>"1-56-1"</f>
        <v>1-56-1</v>
      </c>
      <c r="F1280" t="s">
        <v>83</v>
      </c>
      <c r="G1280" t="s">
        <v>86</v>
      </c>
      <c r="H1280" t="s">
        <v>93</v>
      </c>
      <c r="I1280">
        <v>1</v>
      </c>
      <c r="K1280">
        <v>0</v>
      </c>
      <c r="L1280">
        <v>0</v>
      </c>
      <c r="M1280">
        <v>0</v>
      </c>
      <c r="N1280">
        <v>1</v>
      </c>
      <c r="O1280">
        <v>1</v>
      </c>
      <c r="P1280">
        <v>1</v>
      </c>
      <c r="Q1280">
        <v>1</v>
      </c>
      <c r="R1280">
        <v>1</v>
      </c>
      <c r="U1280">
        <v>0</v>
      </c>
      <c r="V1280">
        <v>0</v>
      </c>
      <c r="W1280">
        <v>1</v>
      </c>
      <c r="X1280">
        <v>0</v>
      </c>
      <c r="Y1280">
        <v>1</v>
      </c>
      <c r="Z1280">
        <v>1</v>
      </c>
      <c r="AA1280">
        <v>1</v>
      </c>
      <c r="AB1280">
        <v>1</v>
      </c>
    </row>
    <row r="1281" spans="1:49" x14ac:dyDescent="0.25">
      <c r="A1281" t="str">
        <f>"1277"</f>
        <v>1277</v>
      </c>
      <c r="B1281" t="str">
        <f t="shared" si="71"/>
        <v>1</v>
      </c>
      <c r="C1281" t="str">
        <f t="shared" si="72"/>
        <v>56</v>
      </c>
      <c r="D1281" t="str">
        <f>"24"</f>
        <v>24</v>
      </c>
      <c r="E1281" t="str">
        <f>"1-56-24"</f>
        <v>1-56-24</v>
      </c>
      <c r="F1281" t="s">
        <v>83</v>
      </c>
      <c r="G1281" t="s">
        <v>86</v>
      </c>
      <c r="H1281" t="s">
        <v>93</v>
      </c>
      <c r="I1281">
        <v>1</v>
      </c>
      <c r="K1281">
        <v>1</v>
      </c>
      <c r="L1281">
        <v>0</v>
      </c>
      <c r="M1281">
        <v>0</v>
      </c>
      <c r="N1281">
        <v>1</v>
      </c>
      <c r="O1281">
        <v>1</v>
      </c>
      <c r="P1281">
        <v>1</v>
      </c>
      <c r="Q1281">
        <v>1</v>
      </c>
      <c r="R1281">
        <v>1</v>
      </c>
      <c r="U1281">
        <v>0</v>
      </c>
      <c r="V1281">
        <v>1</v>
      </c>
      <c r="W1281">
        <v>1</v>
      </c>
      <c r="X1281">
        <v>1</v>
      </c>
      <c r="Y1281">
        <v>1</v>
      </c>
      <c r="Z1281">
        <v>1</v>
      </c>
      <c r="AA1281">
        <v>1</v>
      </c>
      <c r="AB1281">
        <v>1</v>
      </c>
    </row>
    <row r="1282" spans="1:49" x14ac:dyDescent="0.25">
      <c r="A1282" t="str">
        <f>"1278"</f>
        <v>1278</v>
      </c>
      <c r="B1282" t="str">
        <f t="shared" si="71"/>
        <v>1</v>
      </c>
      <c r="C1282" t="str">
        <f t="shared" si="72"/>
        <v>56</v>
      </c>
      <c r="D1282" t="str">
        <f>"17"</f>
        <v>17</v>
      </c>
      <c r="E1282" t="str">
        <f>"1-56-17"</f>
        <v>1-56-17</v>
      </c>
      <c r="F1282" t="s">
        <v>83</v>
      </c>
      <c r="G1282" t="s">
        <v>84</v>
      </c>
      <c r="H1282" t="s">
        <v>92</v>
      </c>
      <c r="I1282">
        <v>1</v>
      </c>
      <c r="J1282">
        <v>1</v>
      </c>
      <c r="N1282">
        <v>1</v>
      </c>
      <c r="O1282">
        <v>1</v>
      </c>
      <c r="P1282">
        <v>1</v>
      </c>
      <c r="Q1282">
        <v>1</v>
      </c>
      <c r="R1282">
        <v>1</v>
      </c>
      <c r="S1282">
        <v>1</v>
      </c>
      <c r="T1282">
        <v>1</v>
      </c>
      <c r="W1282">
        <v>1</v>
      </c>
      <c r="X1282">
        <v>1</v>
      </c>
      <c r="Y1282">
        <v>1</v>
      </c>
      <c r="Z1282">
        <v>1</v>
      </c>
      <c r="AA1282">
        <v>1</v>
      </c>
      <c r="AB1282">
        <v>1</v>
      </c>
    </row>
    <row r="1283" spans="1:49" x14ac:dyDescent="0.25">
      <c r="A1283" t="str">
        <f>"1279"</f>
        <v>1279</v>
      </c>
      <c r="B1283" t="str">
        <f t="shared" si="71"/>
        <v>1</v>
      </c>
      <c r="C1283" t="str">
        <f t="shared" si="72"/>
        <v>56</v>
      </c>
      <c r="D1283" t="str">
        <f>"3"</f>
        <v>3</v>
      </c>
      <c r="E1283" t="str">
        <f>"1-56-3"</f>
        <v>1-56-3</v>
      </c>
      <c r="F1283" t="s">
        <v>83</v>
      </c>
      <c r="G1283" t="s">
        <v>84</v>
      </c>
      <c r="H1283" t="s">
        <v>85</v>
      </c>
      <c r="AC1283">
        <v>0</v>
      </c>
      <c r="AD1283">
        <v>1</v>
      </c>
      <c r="AE1283">
        <v>0</v>
      </c>
      <c r="AF1283">
        <v>0</v>
      </c>
      <c r="AG1283">
        <v>1</v>
      </c>
      <c r="AJ1283">
        <v>0</v>
      </c>
      <c r="AK1283">
        <v>1</v>
      </c>
      <c r="AL1283">
        <v>0</v>
      </c>
      <c r="AM1283">
        <v>0</v>
      </c>
      <c r="AN1283">
        <v>1</v>
      </c>
      <c r="AO1283">
        <v>1</v>
      </c>
      <c r="AP1283">
        <v>1</v>
      </c>
      <c r="AQ1283">
        <v>1</v>
      </c>
      <c r="AR1283">
        <v>1</v>
      </c>
      <c r="AS1283">
        <v>0</v>
      </c>
      <c r="AT1283">
        <v>1</v>
      </c>
      <c r="AV1283">
        <v>1</v>
      </c>
      <c r="AW1283">
        <v>1</v>
      </c>
    </row>
    <row r="1284" spans="1:49" x14ac:dyDescent="0.25">
      <c r="A1284" t="str">
        <f>"1280"</f>
        <v>1280</v>
      </c>
      <c r="B1284" t="str">
        <f t="shared" si="71"/>
        <v>1</v>
      </c>
      <c r="C1284" t="str">
        <f t="shared" ref="C1284:C1307" si="73">"57"</f>
        <v>57</v>
      </c>
      <c r="D1284" t="str">
        <f>"21"</f>
        <v>21</v>
      </c>
      <c r="E1284" t="str">
        <f>"1-57-21"</f>
        <v>1-57-21</v>
      </c>
      <c r="F1284" t="s">
        <v>83</v>
      </c>
      <c r="G1284" t="s">
        <v>86</v>
      </c>
      <c r="H1284" t="s">
        <v>87</v>
      </c>
      <c r="AC1284">
        <v>0</v>
      </c>
      <c r="AD1284">
        <v>1</v>
      </c>
      <c r="AE1284">
        <v>0</v>
      </c>
      <c r="AF1284">
        <v>0</v>
      </c>
      <c r="AH1284">
        <v>1</v>
      </c>
      <c r="AI1284">
        <v>0</v>
      </c>
      <c r="AJ1284">
        <v>1</v>
      </c>
      <c r="AK1284">
        <v>0</v>
      </c>
      <c r="AL1284">
        <v>1</v>
      </c>
      <c r="AM1284">
        <v>0</v>
      </c>
      <c r="AN1284">
        <v>0</v>
      </c>
      <c r="AO1284">
        <v>0</v>
      </c>
      <c r="AP1284">
        <v>0</v>
      </c>
      <c r="AQ1284">
        <v>0</v>
      </c>
      <c r="AU1284">
        <v>1</v>
      </c>
      <c r="AV1284">
        <v>0</v>
      </c>
      <c r="AW1284">
        <v>0</v>
      </c>
    </row>
    <row r="1285" spans="1:49" x14ac:dyDescent="0.25">
      <c r="A1285" t="str">
        <f>"1281"</f>
        <v>1281</v>
      </c>
      <c r="B1285" t="str">
        <f t="shared" si="71"/>
        <v>1</v>
      </c>
      <c r="C1285" t="str">
        <f t="shared" si="73"/>
        <v>57</v>
      </c>
      <c r="D1285" t="str">
        <f>"20"</f>
        <v>20</v>
      </c>
      <c r="E1285" t="str">
        <f>"1-57-20"</f>
        <v>1-57-20</v>
      </c>
      <c r="F1285" t="s">
        <v>83</v>
      </c>
      <c r="G1285" t="s">
        <v>84</v>
      </c>
      <c r="H1285" t="s">
        <v>85</v>
      </c>
      <c r="AC1285">
        <v>0</v>
      </c>
      <c r="AD1285">
        <v>1</v>
      </c>
      <c r="AE1285">
        <v>0</v>
      </c>
      <c r="AF1285">
        <v>0</v>
      </c>
      <c r="AG1285">
        <v>1</v>
      </c>
      <c r="AJ1285">
        <v>0</v>
      </c>
      <c r="AK1285">
        <v>1</v>
      </c>
      <c r="AL1285">
        <v>0</v>
      </c>
      <c r="AM1285">
        <v>1</v>
      </c>
      <c r="AN1285">
        <v>0</v>
      </c>
      <c r="AO1285">
        <v>1</v>
      </c>
      <c r="AP1285">
        <v>1</v>
      </c>
      <c r="AQ1285">
        <v>1</v>
      </c>
      <c r="AR1285">
        <v>1</v>
      </c>
      <c r="AS1285">
        <v>0</v>
      </c>
      <c r="AT1285">
        <v>1</v>
      </c>
      <c r="AV1285">
        <v>1</v>
      </c>
      <c r="AW1285">
        <v>1</v>
      </c>
    </row>
    <row r="1286" spans="1:49" x14ac:dyDescent="0.25">
      <c r="A1286" t="str">
        <f>"1282"</f>
        <v>1282</v>
      </c>
      <c r="B1286" t="str">
        <f t="shared" si="71"/>
        <v>1</v>
      </c>
      <c r="C1286" t="str">
        <f t="shared" si="73"/>
        <v>57</v>
      </c>
      <c r="D1286" t="str">
        <f>"17"</f>
        <v>17</v>
      </c>
      <c r="E1286" t="str">
        <f>"1-57-17"</f>
        <v>1-57-17</v>
      </c>
      <c r="F1286" t="s">
        <v>83</v>
      </c>
      <c r="G1286" t="s">
        <v>84</v>
      </c>
      <c r="H1286" t="s">
        <v>85</v>
      </c>
      <c r="AC1286">
        <v>1</v>
      </c>
      <c r="AD1286">
        <v>0</v>
      </c>
      <c r="AE1286">
        <v>0</v>
      </c>
      <c r="AF1286">
        <v>0</v>
      </c>
      <c r="AG1286">
        <v>1</v>
      </c>
      <c r="AJ1286">
        <v>1</v>
      </c>
      <c r="AK1286">
        <v>0</v>
      </c>
      <c r="AL1286">
        <v>0</v>
      </c>
      <c r="AM1286">
        <v>1</v>
      </c>
      <c r="AN1286">
        <v>0</v>
      </c>
      <c r="AO1286">
        <v>1</v>
      </c>
      <c r="AP1286">
        <v>1</v>
      </c>
      <c r="AQ1286">
        <v>1</v>
      </c>
      <c r="AR1286">
        <v>1</v>
      </c>
      <c r="AS1286">
        <v>0</v>
      </c>
      <c r="AT1286">
        <v>1</v>
      </c>
      <c r="AV1286">
        <v>1</v>
      </c>
      <c r="AW1286">
        <v>1</v>
      </c>
    </row>
    <row r="1287" spans="1:49" x14ac:dyDescent="0.25">
      <c r="A1287" t="str">
        <f>"1283"</f>
        <v>1283</v>
      </c>
      <c r="B1287" t="str">
        <f t="shared" si="71"/>
        <v>1</v>
      </c>
      <c r="C1287" t="str">
        <f t="shared" si="73"/>
        <v>57</v>
      </c>
      <c r="D1287" t="str">
        <f>"16"</f>
        <v>16</v>
      </c>
      <c r="E1287" t="str">
        <f>"1-57-16"</f>
        <v>1-57-16</v>
      </c>
      <c r="F1287" t="s">
        <v>83</v>
      </c>
      <c r="G1287" t="s">
        <v>88</v>
      </c>
      <c r="H1287" t="s">
        <v>89</v>
      </c>
      <c r="AC1287">
        <v>1</v>
      </c>
      <c r="AD1287">
        <v>0</v>
      </c>
      <c r="AE1287">
        <v>0</v>
      </c>
      <c r="AF1287">
        <v>0</v>
      </c>
      <c r="AH1287">
        <v>1</v>
      </c>
      <c r="AI1287">
        <v>0</v>
      </c>
      <c r="AJ1287">
        <v>1</v>
      </c>
      <c r="AK1287">
        <v>0</v>
      </c>
      <c r="AL1287">
        <v>0</v>
      </c>
      <c r="AM1287">
        <v>0</v>
      </c>
      <c r="AN1287">
        <v>1</v>
      </c>
      <c r="AO1287">
        <v>1</v>
      </c>
      <c r="AP1287">
        <v>1</v>
      </c>
      <c r="AQ1287">
        <v>1</v>
      </c>
      <c r="AR1287">
        <v>1</v>
      </c>
      <c r="AS1287">
        <v>1</v>
      </c>
      <c r="AT1287">
        <v>0</v>
      </c>
      <c r="AV1287">
        <v>1</v>
      </c>
      <c r="AW1287">
        <v>1</v>
      </c>
    </row>
    <row r="1288" spans="1:49" x14ac:dyDescent="0.25">
      <c r="A1288" t="str">
        <f>"1284"</f>
        <v>1284</v>
      </c>
      <c r="B1288" t="str">
        <f t="shared" si="71"/>
        <v>1</v>
      </c>
      <c r="C1288" t="str">
        <f t="shared" si="73"/>
        <v>57</v>
      </c>
      <c r="D1288" t="str">
        <f>"9"</f>
        <v>9</v>
      </c>
      <c r="E1288" t="str">
        <f>"1-57-9"</f>
        <v>1-57-9</v>
      </c>
      <c r="F1288" t="s">
        <v>83</v>
      </c>
      <c r="G1288" t="s">
        <v>84</v>
      </c>
      <c r="H1288" t="s">
        <v>85</v>
      </c>
      <c r="AC1288">
        <v>0</v>
      </c>
      <c r="AD1288">
        <v>1</v>
      </c>
      <c r="AE1288">
        <v>0</v>
      </c>
      <c r="AF1288">
        <v>0</v>
      </c>
      <c r="AG1288">
        <v>1</v>
      </c>
      <c r="AJ1288">
        <v>0</v>
      </c>
      <c r="AK1288">
        <v>1</v>
      </c>
      <c r="AL1288">
        <v>1</v>
      </c>
      <c r="AM1288">
        <v>0</v>
      </c>
      <c r="AN1288">
        <v>0</v>
      </c>
      <c r="AO1288">
        <v>1</v>
      </c>
      <c r="AP1288">
        <v>1</v>
      </c>
      <c r="AQ1288">
        <v>1</v>
      </c>
      <c r="AR1288">
        <v>1</v>
      </c>
      <c r="AS1288">
        <v>1</v>
      </c>
      <c r="AT1288">
        <v>0</v>
      </c>
      <c r="AV1288">
        <v>1</v>
      </c>
      <c r="AW1288">
        <v>1</v>
      </c>
    </row>
    <row r="1289" spans="1:49" x14ac:dyDescent="0.25">
      <c r="A1289" t="str">
        <f>"1285"</f>
        <v>1285</v>
      </c>
      <c r="B1289" t="str">
        <f t="shared" si="71"/>
        <v>1</v>
      </c>
      <c r="C1289" t="str">
        <f t="shared" si="73"/>
        <v>57</v>
      </c>
      <c r="D1289" t="str">
        <f>"8"</f>
        <v>8</v>
      </c>
      <c r="E1289" t="str">
        <f>"1-57-8"</f>
        <v>1-57-8</v>
      </c>
      <c r="F1289" t="s">
        <v>83</v>
      </c>
      <c r="G1289" t="s">
        <v>86</v>
      </c>
      <c r="H1289" t="s">
        <v>87</v>
      </c>
      <c r="AC1289">
        <v>1</v>
      </c>
      <c r="AD1289">
        <v>0</v>
      </c>
      <c r="AE1289">
        <v>0</v>
      </c>
      <c r="AF1289">
        <v>0</v>
      </c>
      <c r="AH1289">
        <v>1</v>
      </c>
      <c r="AI1289">
        <v>0</v>
      </c>
      <c r="AJ1289">
        <v>1</v>
      </c>
      <c r="AK1289">
        <v>0</v>
      </c>
      <c r="AL1289">
        <v>0</v>
      </c>
      <c r="AM1289">
        <v>1</v>
      </c>
      <c r="AN1289">
        <v>0</v>
      </c>
      <c r="AO1289">
        <v>0</v>
      </c>
      <c r="AP1289">
        <v>0</v>
      </c>
      <c r="AQ1289">
        <v>0</v>
      </c>
      <c r="AU1289">
        <v>0</v>
      </c>
      <c r="AV1289">
        <v>0</v>
      </c>
      <c r="AW1289">
        <v>0</v>
      </c>
    </row>
    <row r="1290" spans="1:49" x14ac:dyDescent="0.25">
      <c r="A1290" t="str">
        <f>"1286"</f>
        <v>1286</v>
      </c>
      <c r="B1290" t="str">
        <f t="shared" si="71"/>
        <v>1</v>
      </c>
      <c r="C1290" t="str">
        <f t="shared" si="73"/>
        <v>57</v>
      </c>
      <c r="D1290" t="str">
        <f>"3"</f>
        <v>3</v>
      </c>
      <c r="E1290" t="str">
        <f>"1-57-3"</f>
        <v>1-57-3</v>
      </c>
      <c r="F1290" t="s">
        <v>83</v>
      </c>
      <c r="G1290" t="s">
        <v>86</v>
      </c>
      <c r="H1290" t="s">
        <v>87</v>
      </c>
      <c r="AC1290">
        <v>0</v>
      </c>
      <c r="AD1290">
        <v>1</v>
      </c>
      <c r="AE1290">
        <v>0</v>
      </c>
      <c r="AF1290">
        <v>0</v>
      </c>
      <c r="AH1290">
        <v>0</v>
      </c>
      <c r="AI1290">
        <v>1</v>
      </c>
      <c r="AJ1290">
        <v>0</v>
      </c>
      <c r="AK1290">
        <v>1</v>
      </c>
      <c r="AL1290">
        <v>0</v>
      </c>
      <c r="AM1290">
        <v>0</v>
      </c>
      <c r="AN1290">
        <v>1</v>
      </c>
      <c r="AO1290">
        <v>1</v>
      </c>
      <c r="AP1290">
        <v>1</v>
      </c>
      <c r="AQ1290">
        <v>1</v>
      </c>
      <c r="AU1290">
        <v>1</v>
      </c>
      <c r="AV1290">
        <v>1</v>
      </c>
      <c r="AW1290">
        <v>1</v>
      </c>
    </row>
    <row r="1291" spans="1:49" x14ac:dyDescent="0.25">
      <c r="A1291" t="str">
        <f>"1287"</f>
        <v>1287</v>
      </c>
      <c r="B1291" t="str">
        <f t="shared" si="71"/>
        <v>1</v>
      </c>
      <c r="C1291" t="str">
        <f t="shared" si="73"/>
        <v>57</v>
      </c>
      <c r="D1291" t="str">
        <f>"19"</f>
        <v>19</v>
      </c>
      <c r="E1291" t="str">
        <f>"1-57-19"</f>
        <v>1-57-19</v>
      </c>
      <c r="F1291" t="s">
        <v>83</v>
      </c>
      <c r="G1291" t="s">
        <v>84</v>
      </c>
      <c r="H1291" t="s">
        <v>85</v>
      </c>
      <c r="AC1291">
        <v>0</v>
      </c>
      <c r="AD1291">
        <v>1</v>
      </c>
      <c r="AE1291">
        <v>0</v>
      </c>
      <c r="AF1291">
        <v>0</v>
      </c>
      <c r="AG1291">
        <v>1</v>
      </c>
      <c r="AJ1291">
        <v>0</v>
      </c>
      <c r="AK1291">
        <v>0</v>
      </c>
      <c r="AL1291">
        <v>0</v>
      </c>
      <c r="AM1291">
        <v>1</v>
      </c>
      <c r="AN1291">
        <v>0</v>
      </c>
      <c r="AO1291">
        <v>1</v>
      </c>
      <c r="AP1291">
        <v>1</v>
      </c>
      <c r="AQ1291">
        <v>1</v>
      </c>
      <c r="AR1291">
        <v>1</v>
      </c>
      <c r="AS1291">
        <v>0</v>
      </c>
      <c r="AT1291">
        <v>1</v>
      </c>
      <c r="AV1291">
        <v>1</v>
      </c>
      <c r="AW1291">
        <v>1</v>
      </c>
    </row>
    <row r="1292" spans="1:49" x14ac:dyDescent="0.25">
      <c r="A1292" t="str">
        <f>"1288"</f>
        <v>1288</v>
      </c>
      <c r="B1292" t="str">
        <f t="shared" si="71"/>
        <v>1</v>
      </c>
      <c r="C1292" t="str">
        <f t="shared" si="73"/>
        <v>57</v>
      </c>
      <c r="D1292" t="str">
        <f>"10"</f>
        <v>10</v>
      </c>
      <c r="E1292" t="str">
        <f>"1-57-10"</f>
        <v>1-57-10</v>
      </c>
      <c r="F1292" t="s">
        <v>83</v>
      </c>
      <c r="G1292" t="s">
        <v>84</v>
      </c>
      <c r="H1292" t="s">
        <v>85</v>
      </c>
      <c r="AC1292">
        <v>0</v>
      </c>
      <c r="AD1292">
        <v>1</v>
      </c>
      <c r="AE1292">
        <v>0</v>
      </c>
      <c r="AF1292">
        <v>0</v>
      </c>
      <c r="AG1292">
        <v>1</v>
      </c>
      <c r="AJ1292">
        <v>0</v>
      </c>
      <c r="AK1292">
        <v>1</v>
      </c>
      <c r="AL1292">
        <v>0</v>
      </c>
      <c r="AM1292">
        <v>1</v>
      </c>
      <c r="AN1292">
        <v>0</v>
      </c>
      <c r="AO1292">
        <v>1</v>
      </c>
      <c r="AP1292">
        <v>1</v>
      </c>
      <c r="AQ1292">
        <v>1</v>
      </c>
      <c r="AR1292">
        <v>1</v>
      </c>
      <c r="AS1292">
        <v>0</v>
      </c>
      <c r="AT1292">
        <v>1</v>
      </c>
      <c r="AV1292">
        <v>0</v>
      </c>
      <c r="AW1292">
        <v>1</v>
      </c>
    </row>
    <row r="1293" spans="1:49" x14ac:dyDescent="0.25">
      <c r="A1293" t="str">
        <f>"1289"</f>
        <v>1289</v>
      </c>
      <c r="B1293" t="str">
        <f t="shared" si="71"/>
        <v>1</v>
      </c>
      <c r="C1293" t="str">
        <f t="shared" si="73"/>
        <v>57</v>
      </c>
      <c r="D1293" t="str">
        <f>"2"</f>
        <v>2</v>
      </c>
      <c r="E1293" t="str">
        <f>"1-57-2"</f>
        <v>1-57-2</v>
      </c>
      <c r="F1293" t="s">
        <v>83</v>
      </c>
      <c r="G1293" t="s">
        <v>86</v>
      </c>
      <c r="H1293" t="s">
        <v>87</v>
      </c>
      <c r="AC1293">
        <v>1</v>
      </c>
      <c r="AD1293">
        <v>0</v>
      </c>
      <c r="AE1293">
        <v>0</v>
      </c>
      <c r="AF1293">
        <v>0</v>
      </c>
      <c r="AH1293">
        <v>1</v>
      </c>
      <c r="AI1293">
        <v>0</v>
      </c>
      <c r="AJ1293">
        <v>0</v>
      </c>
      <c r="AK1293">
        <v>1</v>
      </c>
      <c r="AL1293">
        <v>0</v>
      </c>
      <c r="AM1293">
        <v>0</v>
      </c>
      <c r="AN1293">
        <v>1</v>
      </c>
      <c r="AO1293">
        <v>1</v>
      </c>
      <c r="AP1293">
        <v>1</v>
      </c>
      <c r="AQ1293">
        <v>1</v>
      </c>
      <c r="AU1293">
        <v>1</v>
      </c>
      <c r="AV1293">
        <v>1</v>
      </c>
      <c r="AW1293">
        <v>1</v>
      </c>
    </row>
    <row r="1294" spans="1:49" x14ac:dyDescent="0.25">
      <c r="A1294" t="str">
        <f>"1290"</f>
        <v>1290</v>
      </c>
      <c r="B1294" t="str">
        <f t="shared" si="71"/>
        <v>1</v>
      </c>
      <c r="C1294" t="str">
        <f t="shared" si="73"/>
        <v>57</v>
      </c>
      <c r="D1294" t="str">
        <f>"18"</f>
        <v>18</v>
      </c>
      <c r="E1294" t="str">
        <f>"1-57-18"</f>
        <v>1-57-18</v>
      </c>
      <c r="F1294" t="s">
        <v>83</v>
      </c>
      <c r="G1294" t="s">
        <v>84</v>
      </c>
      <c r="H1294" t="s">
        <v>85</v>
      </c>
      <c r="AC1294">
        <v>0</v>
      </c>
      <c r="AD1294">
        <v>1</v>
      </c>
      <c r="AE1294">
        <v>0</v>
      </c>
      <c r="AF1294">
        <v>0</v>
      </c>
      <c r="AG1294">
        <v>1</v>
      </c>
      <c r="AJ1294">
        <v>0</v>
      </c>
      <c r="AK1294">
        <v>1</v>
      </c>
      <c r="AL1294">
        <v>0</v>
      </c>
      <c r="AM1294">
        <v>0</v>
      </c>
      <c r="AN1294">
        <v>1</v>
      </c>
      <c r="AO1294">
        <v>1</v>
      </c>
      <c r="AP1294">
        <v>1</v>
      </c>
      <c r="AQ1294">
        <v>1</v>
      </c>
      <c r="AR1294">
        <v>1</v>
      </c>
      <c r="AS1294">
        <v>1</v>
      </c>
      <c r="AT1294">
        <v>0</v>
      </c>
      <c r="AV1294">
        <v>1</v>
      </c>
      <c r="AW1294">
        <v>1</v>
      </c>
    </row>
    <row r="1295" spans="1:49" x14ac:dyDescent="0.25">
      <c r="A1295" t="str">
        <f>"1291"</f>
        <v>1291</v>
      </c>
      <c r="B1295" t="str">
        <f t="shared" si="71"/>
        <v>1</v>
      </c>
      <c r="C1295" t="str">
        <f t="shared" si="73"/>
        <v>57</v>
      </c>
      <c r="D1295" t="str">
        <f>"11"</f>
        <v>11</v>
      </c>
      <c r="E1295" t="str">
        <f>"1-57-11"</f>
        <v>1-57-11</v>
      </c>
      <c r="F1295" t="s">
        <v>83</v>
      </c>
      <c r="G1295" t="s">
        <v>86</v>
      </c>
      <c r="H1295" t="s">
        <v>87</v>
      </c>
      <c r="AC1295">
        <v>1</v>
      </c>
      <c r="AD1295">
        <v>0</v>
      </c>
      <c r="AE1295">
        <v>0</v>
      </c>
      <c r="AF1295">
        <v>0</v>
      </c>
      <c r="AH1295">
        <v>1</v>
      </c>
      <c r="AI1295">
        <v>0</v>
      </c>
      <c r="AJ1295">
        <v>1</v>
      </c>
      <c r="AK1295">
        <v>0</v>
      </c>
      <c r="AL1295">
        <v>1</v>
      </c>
      <c r="AM1295">
        <v>0</v>
      </c>
      <c r="AN1295">
        <v>0</v>
      </c>
      <c r="AO1295">
        <v>1</v>
      </c>
      <c r="AP1295">
        <v>1</v>
      </c>
      <c r="AQ1295">
        <v>1</v>
      </c>
      <c r="AU1295">
        <v>1</v>
      </c>
      <c r="AV1295">
        <v>1</v>
      </c>
      <c r="AW1295">
        <v>1</v>
      </c>
    </row>
    <row r="1296" spans="1:49" x14ac:dyDescent="0.25">
      <c r="A1296" t="str">
        <f>"1292"</f>
        <v>1292</v>
      </c>
      <c r="B1296" t="str">
        <f t="shared" si="71"/>
        <v>1</v>
      </c>
      <c r="C1296" t="str">
        <f t="shared" si="73"/>
        <v>57</v>
      </c>
      <c r="D1296" t="str">
        <f>"7"</f>
        <v>7</v>
      </c>
      <c r="E1296" t="str">
        <f>"1-57-7"</f>
        <v>1-57-7</v>
      </c>
      <c r="F1296" t="s">
        <v>83</v>
      </c>
      <c r="G1296" t="s">
        <v>84</v>
      </c>
      <c r="H1296" t="s">
        <v>85</v>
      </c>
      <c r="AC1296">
        <v>0</v>
      </c>
      <c r="AD1296">
        <v>1</v>
      </c>
      <c r="AE1296">
        <v>0</v>
      </c>
      <c r="AF1296">
        <v>0</v>
      </c>
      <c r="AG1296">
        <v>1</v>
      </c>
      <c r="AJ1296">
        <v>0</v>
      </c>
      <c r="AK1296">
        <v>1</v>
      </c>
      <c r="AL1296">
        <v>1</v>
      </c>
      <c r="AM1296">
        <v>0</v>
      </c>
      <c r="AN1296">
        <v>0</v>
      </c>
      <c r="AO1296">
        <v>1</v>
      </c>
      <c r="AP1296">
        <v>1</v>
      </c>
      <c r="AQ1296">
        <v>1</v>
      </c>
      <c r="AR1296">
        <v>1</v>
      </c>
      <c r="AS1296">
        <v>0</v>
      </c>
      <c r="AT1296">
        <v>1</v>
      </c>
      <c r="AV1296">
        <v>1</v>
      </c>
      <c r="AW1296">
        <v>1</v>
      </c>
    </row>
    <row r="1297" spans="1:49" x14ac:dyDescent="0.25">
      <c r="A1297" t="str">
        <f>"1293"</f>
        <v>1293</v>
      </c>
      <c r="B1297" t="str">
        <f t="shared" si="71"/>
        <v>1</v>
      </c>
      <c r="C1297" t="str">
        <f t="shared" si="73"/>
        <v>57</v>
      </c>
      <c r="D1297" t="str">
        <f>"22"</f>
        <v>22</v>
      </c>
      <c r="E1297" t="str">
        <f>"1-57-22"</f>
        <v>1-57-22</v>
      </c>
      <c r="F1297" t="s">
        <v>83</v>
      </c>
      <c r="G1297" t="s">
        <v>84</v>
      </c>
      <c r="H1297" t="s">
        <v>85</v>
      </c>
      <c r="AC1297">
        <v>1</v>
      </c>
      <c r="AD1297">
        <v>0</v>
      </c>
      <c r="AE1297">
        <v>0</v>
      </c>
      <c r="AF1297">
        <v>0</v>
      </c>
      <c r="AG1297">
        <v>0</v>
      </c>
      <c r="AJ1297">
        <v>0</v>
      </c>
      <c r="AK1297">
        <v>1</v>
      </c>
      <c r="AL1297">
        <v>1</v>
      </c>
      <c r="AM1297">
        <v>0</v>
      </c>
      <c r="AN1297">
        <v>0</v>
      </c>
      <c r="AO1297">
        <v>0</v>
      </c>
      <c r="AP1297">
        <v>0</v>
      </c>
      <c r="AQ1297">
        <v>0</v>
      </c>
      <c r="AR1297">
        <v>0</v>
      </c>
      <c r="AS1297">
        <v>0</v>
      </c>
      <c r="AT1297">
        <v>0</v>
      </c>
      <c r="AV1297">
        <v>0</v>
      </c>
      <c r="AW1297">
        <v>0</v>
      </c>
    </row>
    <row r="1298" spans="1:49" x14ac:dyDescent="0.25">
      <c r="A1298" t="str">
        <f>"1294"</f>
        <v>1294</v>
      </c>
      <c r="B1298" t="str">
        <f t="shared" si="71"/>
        <v>1</v>
      </c>
      <c r="C1298" t="str">
        <f t="shared" si="73"/>
        <v>57</v>
      </c>
      <c r="D1298" t="str">
        <f>"12"</f>
        <v>12</v>
      </c>
      <c r="E1298" t="str">
        <f>"1-57-12"</f>
        <v>1-57-12</v>
      </c>
      <c r="F1298" t="s">
        <v>83</v>
      </c>
      <c r="G1298" t="s">
        <v>86</v>
      </c>
      <c r="H1298" t="s">
        <v>87</v>
      </c>
      <c r="AC1298">
        <v>0</v>
      </c>
      <c r="AD1298">
        <v>1</v>
      </c>
      <c r="AE1298">
        <v>0</v>
      </c>
      <c r="AF1298">
        <v>0</v>
      </c>
      <c r="AH1298">
        <v>1</v>
      </c>
      <c r="AI1298">
        <v>0</v>
      </c>
      <c r="AJ1298">
        <v>1</v>
      </c>
      <c r="AK1298">
        <v>0</v>
      </c>
      <c r="AL1298">
        <v>0</v>
      </c>
      <c r="AM1298">
        <v>0</v>
      </c>
      <c r="AN1298">
        <v>1</v>
      </c>
      <c r="AO1298">
        <v>1</v>
      </c>
      <c r="AP1298">
        <v>1</v>
      </c>
      <c r="AQ1298">
        <v>1</v>
      </c>
      <c r="AU1298">
        <v>1</v>
      </c>
      <c r="AV1298">
        <v>1</v>
      </c>
      <c r="AW1298">
        <v>1</v>
      </c>
    </row>
    <row r="1299" spans="1:49" x14ac:dyDescent="0.25">
      <c r="A1299" t="str">
        <f>"1295"</f>
        <v>1295</v>
      </c>
      <c r="B1299" t="str">
        <f t="shared" si="71"/>
        <v>1</v>
      </c>
      <c r="C1299" t="str">
        <f t="shared" si="73"/>
        <v>57</v>
      </c>
      <c r="D1299" t="str">
        <f>"5"</f>
        <v>5</v>
      </c>
      <c r="E1299" t="str">
        <f>"1-57-5"</f>
        <v>1-57-5</v>
      </c>
      <c r="F1299" t="s">
        <v>83</v>
      </c>
      <c r="G1299" t="s">
        <v>86</v>
      </c>
      <c r="H1299" t="s">
        <v>87</v>
      </c>
      <c r="AC1299">
        <v>0</v>
      </c>
      <c r="AD1299">
        <v>1</v>
      </c>
      <c r="AE1299">
        <v>0</v>
      </c>
      <c r="AF1299">
        <v>0</v>
      </c>
      <c r="AH1299">
        <v>0</v>
      </c>
      <c r="AI1299">
        <v>1</v>
      </c>
      <c r="AJ1299">
        <v>0</v>
      </c>
      <c r="AK1299">
        <v>1</v>
      </c>
      <c r="AL1299">
        <v>0</v>
      </c>
      <c r="AM1299">
        <v>1</v>
      </c>
      <c r="AN1299">
        <v>0</v>
      </c>
      <c r="AO1299">
        <v>1</v>
      </c>
      <c r="AP1299">
        <v>1</v>
      </c>
      <c r="AQ1299">
        <v>1</v>
      </c>
      <c r="AU1299">
        <v>1</v>
      </c>
      <c r="AV1299">
        <v>0</v>
      </c>
      <c r="AW1299">
        <v>1</v>
      </c>
    </row>
    <row r="1300" spans="1:49" x14ac:dyDescent="0.25">
      <c r="A1300" t="str">
        <f>"1296"</f>
        <v>1296</v>
      </c>
      <c r="B1300" t="str">
        <f t="shared" si="71"/>
        <v>1</v>
      </c>
      <c r="C1300" t="str">
        <f t="shared" si="73"/>
        <v>57</v>
      </c>
      <c r="D1300" t="str">
        <f>"23"</f>
        <v>23</v>
      </c>
      <c r="E1300" t="str">
        <f>"1-57-23"</f>
        <v>1-57-23</v>
      </c>
      <c r="F1300" t="s">
        <v>83</v>
      </c>
      <c r="G1300" t="s">
        <v>84</v>
      </c>
      <c r="H1300" t="s">
        <v>85</v>
      </c>
      <c r="AC1300">
        <v>1</v>
      </c>
      <c r="AD1300">
        <v>0</v>
      </c>
      <c r="AE1300">
        <v>0</v>
      </c>
      <c r="AF1300">
        <v>0</v>
      </c>
      <c r="AG1300">
        <v>1</v>
      </c>
      <c r="AJ1300">
        <v>0</v>
      </c>
      <c r="AK1300">
        <v>1</v>
      </c>
      <c r="AL1300">
        <v>0</v>
      </c>
      <c r="AM1300">
        <v>0</v>
      </c>
      <c r="AN1300">
        <v>1</v>
      </c>
      <c r="AO1300">
        <v>1</v>
      </c>
      <c r="AP1300">
        <v>1</v>
      </c>
      <c r="AQ1300">
        <v>1</v>
      </c>
      <c r="AR1300">
        <v>1</v>
      </c>
      <c r="AS1300">
        <v>1</v>
      </c>
      <c r="AT1300">
        <v>0</v>
      </c>
      <c r="AV1300">
        <v>1</v>
      </c>
      <c r="AW1300">
        <v>1</v>
      </c>
    </row>
    <row r="1301" spans="1:49" x14ac:dyDescent="0.25">
      <c r="A1301" t="str">
        <f>"1297"</f>
        <v>1297</v>
      </c>
      <c r="B1301" t="str">
        <f t="shared" si="71"/>
        <v>1</v>
      </c>
      <c r="C1301" t="str">
        <f t="shared" si="73"/>
        <v>57</v>
      </c>
      <c r="D1301" t="str">
        <f>"13"</f>
        <v>13</v>
      </c>
      <c r="E1301" t="str">
        <f>"1-57-13"</f>
        <v>1-57-13</v>
      </c>
      <c r="F1301" t="s">
        <v>83</v>
      </c>
      <c r="G1301" t="s">
        <v>84</v>
      </c>
      <c r="H1301" t="s">
        <v>85</v>
      </c>
      <c r="AC1301">
        <v>1</v>
      </c>
      <c r="AD1301">
        <v>0</v>
      </c>
      <c r="AE1301">
        <v>0</v>
      </c>
      <c r="AF1301">
        <v>0</v>
      </c>
      <c r="AG1301">
        <v>1</v>
      </c>
      <c r="AJ1301">
        <v>0</v>
      </c>
      <c r="AK1301">
        <v>1</v>
      </c>
      <c r="AL1301">
        <v>0</v>
      </c>
      <c r="AM1301">
        <v>1</v>
      </c>
      <c r="AN1301">
        <v>0</v>
      </c>
      <c r="AO1301">
        <v>1</v>
      </c>
      <c r="AP1301">
        <v>1</v>
      </c>
      <c r="AQ1301">
        <v>1</v>
      </c>
      <c r="AR1301">
        <v>1</v>
      </c>
      <c r="AS1301">
        <v>0</v>
      </c>
      <c r="AT1301">
        <v>1</v>
      </c>
      <c r="AV1301">
        <v>1</v>
      </c>
      <c r="AW1301">
        <v>1</v>
      </c>
    </row>
    <row r="1302" spans="1:49" x14ac:dyDescent="0.25">
      <c r="A1302" t="str">
        <f>"1298"</f>
        <v>1298</v>
      </c>
      <c r="B1302" t="str">
        <f t="shared" si="71"/>
        <v>1</v>
      </c>
      <c r="C1302" t="str">
        <f t="shared" si="73"/>
        <v>57</v>
      </c>
      <c r="D1302" t="str">
        <f>"1"</f>
        <v>1</v>
      </c>
      <c r="E1302" t="str">
        <f>"1-57-1"</f>
        <v>1-57-1</v>
      </c>
      <c r="F1302" t="s">
        <v>83</v>
      </c>
      <c r="G1302" t="s">
        <v>86</v>
      </c>
      <c r="H1302" t="s">
        <v>87</v>
      </c>
      <c r="AC1302">
        <v>1</v>
      </c>
      <c r="AD1302">
        <v>0</v>
      </c>
      <c r="AE1302">
        <v>0</v>
      </c>
      <c r="AF1302">
        <v>0</v>
      </c>
      <c r="AH1302">
        <v>1</v>
      </c>
      <c r="AI1302">
        <v>0</v>
      </c>
      <c r="AJ1302">
        <v>1</v>
      </c>
      <c r="AK1302">
        <v>0</v>
      </c>
      <c r="AL1302">
        <v>1</v>
      </c>
      <c r="AM1302">
        <v>0</v>
      </c>
      <c r="AN1302">
        <v>0</v>
      </c>
      <c r="AO1302">
        <v>1</v>
      </c>
      <c r="AP1302">
        <v>1</v>
      </c>
      <c r="AQ1302">
        <v>1</v>
      </c>
      <c r="AU1302">
        <v>1</v>
      </c>
      <c r="AV1302">
        <v>1</v>
      </c>
      <c r="AW1302">
        <v>1</v>
      </c>
    </row>
    <row r="1303" spans="1:49" x14ac:dyDescent="0.25">
      <c r="A1303" t="str">
        <f>"1299"</f>
        <v>1299</v>
      </c>
      <c r="B1303" t="str">
        <f t="shared" si="71"/>
        <v>1</v>
      </c>
      <c r="C1303" t="str">
        <f t="shared" si="73"/>
        <v>57</v>
      </c>
      <c r="D1303" t="str">
        <f>"14"</f>
        <v>14</v>
      </c>
      <c r="E1303" t="str">
        <f>"1-57-14"</f>
        <v>1-57-14</v>
      </c>
      <c r="F1303" t="s">
        <v>83</v>
      </c>
      <c r="G1303" t="s">
        <v>84</v>
      </c>
      <c r="H1303" t="s">
        <v>85</v>
      </c>
      <c r="AC1303">
        <v>1</v>
      </c>
      <c r="AD1303">
        <v>0</v>
      </c>
      <c r="AE1303">
        <v>0</v>
      </c>
      <c r="AF1303">
        <v>0</v>
      </c>
      <c r="AG1303">
        <v>1</v>
      </c>
      <c r="AJ1303">
        <v>1</v>
      </c>
      <c r="AK1303">
        <v>0</v>
      </c>
      <c r="AL1303">
        <v>0</v>
      </c>
      <c r="AM1303">
        <v>1</v>
      </c>
      <c r="AN1303">
        <v>0</v>
      </c>
      <c r="AO1303">
        <v>1</v>
      </c>
      <c r="AP1303">
        <v>1</v>
      </c>
      <c r="AQ1303">
        <v>1</v>
      </c>
      <c r="AR1303">
        <v>1</v>
      </c>
      <c r="AS1303">
        <v>0</v>
      </c>
      <c r="AT1303">
        <v>1</v>
      </c>
      <c r="AV1303">
        <v>1</v>
      </c>
      <c r="AW1303">
        <v>1</v>
      </c>
    </row>
    <row r="1304" spans="1:49" x14ac:dyDescent="0.25">
      <c r="A1304" t="str">
        <f>"1300"</f>
        <v>1300</v>
      </c>
      <c r="B1304" t="str">
        <f t="shared" si="71"/>
        <v>1</v>
      </c>
      <c r="C1304" t="str">
        <f t="shared" si="73"/>
        <v>57</v>
      </c>
      <c r="D1304" t="str">
        <f>"4"</f>
        <v>4</v>
      </c>
      <c r="E1304" t="str">
        <f>"1-57-4"</f>
        <v>1-57-4</v>
      </c>
      <c r="F1304" t="s">
        <v>83</v>
      </c>
      <c r="G1304" t="s">
        <v>86</v>
      </c>
      <c r="H1304" t="s">
        <v>87</v>
      </c>
      <c r="AC1304">
        <v>1</v>
      </c>
      <c r="AD1304">
        <v>0</v>
      </c>
      <c r="AE1304">
        <v>0</v>
      </c>
      <c r="AF1304">
        <v>0</v>
      </c>
      <c r="AH1304">
        <v>1</v>
      </c>
      <c r="AI1304">
        <v>0</v>
      </c>
      <c r="AJ1304">
        <v>1</v>
      </c>
      <c r="AK1304">
        <v>0</v>
      </c>
      <c r="AL1304">
        <v>0</v>
      </c>
      <c r="AM1304">
        <v>0</v>
      </c>
      <c r="AN1304">
        <v>1</v>
      </c>
      <c r="AO1304">
        <v>1</v>
      </c>
      <c r="AP1304">
        <v>1</v>
      </c>
      <c r="AQ1304">
        <v>1</v>
      </c>
      <c r="AU1304">
        <v>1</v>
      </c>
      <c r="AV1304">
        <v>1</v>
      </c>
      <c r="AW1304">
        <v>1</v>
      </c>
    </row>
    <row r="1305" spans="1:49" x14ac:dyDescent="0.25">
      <c r="A1305" t="str">
        <f>"1301"</f>
        <v>1301</v>
      </c>
      <c r="B1305" t="str">
        <f t="shared" si="71"/>
        <v>1</v>
      </c>
      <c r="C1305" t="str">
        <f t="shared" si="73"/>
        <v>57</v>
      </c>
      <c r="D1305" t="str">
        <f>"24"</f>
        <v>24</v>
      </c>
      <c r="E1305" t="str">
        <f>"1-57-24"</f>
        <v>1-57-24</v>
      </c>
      <c r="F1305" t="s">
        <v>83</v>
      </c>
      <c r="G1305" t="s">
        <v>84</v>
      </c>
      <c r="H1305" t="s">
        <v>85</v>
      </c>
      <c r="AC1305">
        <v>0</v>
      </c>
      <c r="AD1305">
        <v>1</v>
      </c>
      <c r="AE1305">
        <v>0</v>
      </c>
      <c r="AF1305">
        <v>0</v>
      </c>
      <c r="AG1305">
        <v>1</v>
      </c>
      <c r="AJ1305">
        <v>0</v>
      </c>
      <c r="AK1305">
        <v>1</v>
      </c>
      <c r="AL1305">
        <v>0</v>
      </c>
      <c r="AM1305">
        <v>0</v>
      </c>
      <c r="AN1305">
        <v>1</v>
      </c>
      <c r="AO1305">
        <v>1</v>
      </c>
      <c r="AP1305">
        <v>1</v>
      </c>
      <c r="AQ1305">
        <v>1</v>
      </c>
      <c r="AR1305">
        <v>1</v>
      </c>
      <c r="AS1305">
        <v>0</v>
      </c>
      <c r="AT1305">
        <v>1</v>
      </c>
      <c r="AV1305">
        <v>1</v>
      </c>
      <c r="AW1305">
        <v>1</v>
      </c>
    </row>
    <row r="1306" spans="1:49" x14ac:dyDescent="0.25">
      <c r="A1306" t="str">
        <f>"1302"</f>
        <v>1302</v>
      </c>
      <c r="B1306" t="str">
        <f t="shared" si="71"/>
        <v>1</v>
      </c>
      <c r="C1306" t="str">
        <f t="shared" si="73"/>
        <v>57</v>
      </c>
      <c r="D1306" t="str">
        <f>"15"</f>
        <v>15</v>
      </c>
      <c r="E1306" t="str">
        <f>"1-57-15"</f>
        <v>1-57-15</v>
      </c>
      <c r="F1306" t="s">
        <v>83</v>
      </c>
      <c r="G1306" t="s">
        <v>84</v>
      </c>
      <c r="H1306" t="s">
        <v>85</v>
      </c>
      <c r="AC1306">
        <v>1</v>
      </c>
      <c r="AD1306">
        <v>0</v>
      </c>
      <c r="AE1306">
        <v>0</v>
      </c>
      <c r="AF1306">
        <v>0</v>
      </c>
      <c r="AG1306">
        <v>1</v>
      </c>
      <c r="AJ1306">
        <v>0</v>
      </c>
      <c r="AK1306">
        <v>1</v>
      </c>
      <c r="AL1306">
        <v>1</v>
      </c>
      <c r="AM1306">
        <v>0</v>
      </c>
      <c r="AN1306">
        <v>0</v>
      </c>
      <c r="AO1306">
        <v>1</v>
      </c>
      <c r="AP1306">
        <v>1</v>
      </c>
      <c r="AQ1306">
        <v>1</v>
      </c>
      <c r="AR1306">
        <v>1</v>
      </c>
      <c r="AS1306">
        <v>1</v>
      </c>
      <c r="AT1306">
        <v>0</v>
      </c>
      <c r="AV1306">
        <v>1</v>
      </c>
      <c r="AW1306">
        <v>1</v>
      </c>
    </row>
    <row r="1307" spans="1:49" x14ac:dyDescent="0.25">
      <c r="A1307" t="str">
        <f>"1303"</f>
        <v>1303</v>
      </c>
      <c r="B1307" t="str">
        <f t="shared" si="71"/>
        <v>1</v>
      </c>
      <c r="C1307" t="str">
        <f t="shared" si="73"/>
        <v>57</v>
      </c>
      <c r="D1307" t="str">
        <f>"6"</f>
        <v>6</v>
      </c>
      <c r="E1307" t="str">
        <f>"1-57-6"</f>
        <v>1-57-6</v>
      </c>
      <c r="F1307" t="s">
        <v>83</v>
      </c>
      <c r="G1307" t="s">
        <v>86</v>
      </c>
      <c r="H1307" t="s">
        <v>87</v>
      </c>
      <c r="AC1307">
        <v>0</v>
      </c>
      <c r="AD1307">
        <v>1</v>
      </c>
      <c r="AE1307">
        <v>0</v>
      </c>
      <c r="AF1307">
        <v>0</v>
      </c>
      <c r="AH1307">
        <v>1</v>
      </c>
      <c r="AI1307">
        <v>0</v>
      </c>
      <c r="AJ1307">
        <v>1</v>
      </c>
      <c r="AK1307">
        <v>0</v>
      </c>
      <c r="AL1307">
        <v>0</v>
      </c>
      <c r="AM1307">
        <v>0</v>
      </c>
      <c r="AN1307">
        <v>0</v>
      </c>
      <c r="AO1307">
        <v>0</v>
      </c>
      <c r="AP1307">
        <v>0</v>
      </c>
      <c r="AQ1307">
        <v>0</v>
      </c>
      <c r="AU1307">
        <v>1</v>
      </c>
      <c r="AV1307">
        <v>0</v>
      </c>
      <c r="AW1307">
        <v>1</v>
      </c>
    </row>
    <row r="1308" spans="1:49" x14ac:dyDescent="0.25">
      <c r="A1308" t="str">
        <f>"1304"</f>
        <v>1304</v>
      </c>
      <c r="B1308" t="str">
        <f t="shared" si="71"/>
        <v>1</v>
      </c>
      <c r="C1308" t="str">
        <f t="shared" ref="C1308:C1332" si="74">"58"</f>
        <v>58</v>
      </c>
      <c r="D1308" t="str">
        <f>"19"</f>
        <v>19</v>
      </c>
      <c r="E1308" t="str">
        <f>"1-58-19"</f>
        <v>1-58-19</v>
      </c>
      <c r="F1308" t="s">
        <v>83</v>
      </c>
      <c r="G1308" t="s">
        <v>84</v>
      </c>
      <c r="H1308" t="s">
        <v>85</v>
      </c>
      <c r="AC1308">
        <v>1</v>
      </c>
      <c r="AD1308">
        <v>0</v>
      </c>
      <c r="AE1308">
        <v>0</v>
      </c>
      <c r="AF1308">
        <v>0</v>
      </c>
      <c r="AG1308">
        <v>1</v>
      </c>
      <c r="AJ1308">
        <v>0</v>
      </c>
      <c r="AK1308">
        <v>1</v>
      </c>
      <c r="AL1308">
        <v>0</v>
      </c>
      <c r="AM1308">
        <v>0</v>
      </c>
      <c r="AN1308">
        <v>1</v>
      </c>
      <c r="AO1308">
        <v>1</v>
      </c>
      <c r="AP1308">
        <v>1</v>
      </c>
      <c r="AQ1308">
        <v>1</v>
      </c>
      <c r="AR1308">
        <v>1</v>
      </c>
      <c r="AS1308">
        <v>1</v>
      </c>
      <c r="AT1308">
        <v>0</v>
      </c>
      <c r="AV1308">
        <v>1</v>
      </c>
      <c r="AW1308">
        <v>1</v>
      </c>
    </row>
    <row r="1309" spans="1:49" x14ac:dyDescent="0.25">
      <c r="A1309" t="str">
        <f>"1305"</f>
        <v>1305</v>
      </c>
      <c r="B1309" t="str">
        <f t="shared" si="71"/>
        <v>1</v>
      </c>
      <c r="C1309" t="str">
        <f t="shared" si="74"/>
        <v>58</v>
      </c>
      <c r="D1309" t="str">
        <f>"18"</f>
        <v>18</v>
      </c>
      <c r="E1309" t="str">
        <f>"1-58-18"</f>
        <v>1-58-18</v>
      </c>
      <c r="F1309" t="s">
        <v>83</v>
      </c>
      <c r="G1309" t="s">
        <v>84</v>
      </c>
      <c r="H1309" t="s">
        <v>85</v>
      </c>
      <c r="AC1309">
        <v>0</v>
      </c>
      <c r="AD1309">
        <v>1</v>
      </c>
      <c r="AE1309">
        <v>0</v>
      </c>
      <c r="AF1309">
        <v>0</v>
      </c>
      <c r="AG1309">
        <v>1</v>
      </c>
      <c r="AJ1309">
        <v>1</v>
      </c>
      <c r="AK1309">
        <v>0</v>
      </c>
      <c r="AL1309">
        <v>1</v>
      </c>
      <c r="AM1309">
        <v>0</v>
      </c>
      <c r="AN1309">
        <v>0</v>
      </c>
      <c r="AO1309">
        <v>1</v>
      </c>
      <c r="AP1309">
        <v>1</v>
      </c>
      <c r="AQ1309">
        <v>1</v>
      </c>
      <c r="AR1309">
        <v>1</v>
      </c>
      <c r="AS1309">
        <v>0</v>
      </c>
      <c r="AT1309">
        <v>1</v>
      </c>
      <c r="AV1309">
        <v>1</v>
      </c>
      <c r="AW1309">
        <v>1</v>
      </c>
    </row>
    <row r="1310" spans="1:49" x14ac:dyDescent="0.25">
      <c r="A1310" t="str">
        <f>"1306"</f>
        <v>1306</v>
      </c>
      <c r="B1310" t="str">
        <f t="shared" ref="B1310:B1373" si="75">"1"</f>
        <v>1</v>
      </c>
      <c r="C1310" t="str">
        <f t="shared" si="74"/>
        <v>58</v>
      </c>
      <c r="D1310" t="str">
        <f>"13"</f>
        <v>13</v>
      </c>
      <c r="E1310" t="str">
        <f>"1-58-13"</f>
        <v>1-58-13</v>
      </c>
      <c r="F1310" t="s">
        <v>83</v>
      </c>
      <c r="G1310" t="s">
        <v>84</v>
      </c>
      <c r="H1310" t="s">
        <v>85</v>
      </c>
      <c r="AC1310">
        <v>1</v>
      </c>
      <c r="AD1310">
        <v>0</v>
      </c>
      <c r="AE1310">
        <v>0</v>
      </c>
      <c r="AF1310">
        <v>0</v>
      </c>
      <c r="AG1310">
        <v>1</v>
      </c>
      <c r="AJ1310">
        <v>1</v>
      </c>
      <c r="AK1310">
        <v>0</v>
      </c>
      <c r="AL1310">
        <v>0</v>
      </c>
      <c r="AM1310">
        <v>0</v>
      </c>
      <c r="AN1310">
        <v>1</v>
      </c>
      <c r="AO1310">
        <v>1</v>
      </c>
      <c r="AP1310">
        <v>1</v>
      </c>
      <c r="AQ1310">
        <v>1</v>
      </c>
      <c r="AR1310">
        <v>1</v>
      </c>
      <c r="AS1310">
        <v>1</v>
      </c>
      <c r="AT1310">
        <v>0</v>
      </c>
      <c r="AV1310">
        <v>1</v>
      </c>
      <c r="AW1310">
        <v>1</v>
      </c>
    </row>
    <row r="1311" spans="1:49" x14ac:dyDescent="0.25">
      <c r="A1311" t="str">
        <f>"1307"</f>
        <v>1307</v>
      </c>
      <c r="B1311" t="str">
        <f t="shared" si="75"/>
        <v>1</v>
      </c>
      <c r="C1311" t="str">
        <f t="shared" si="74"/>
        <v>58</v>
      </c>
      <c r="D1311" t="str">
        <f>"8"</f>
        <v>8</v>
      </c>
      <c r="E1311" t="str">
        <f>"1-58-8"</f>
        <v>1-58-8</v>
      </c>
      <c r="F1311" t="s">
        <v>83</v>
      </c>
      <c r="G1311" t="s">
        <v>84</v>
      </c>
      <c r="H1311" t="s">
        <v>85</v>
      </c>
      <c r="AC1311">
        <v>0</v>
      </c>
      <c r="AD1311">
        <v>1</v>
      </c>
      <c r="AE1311">
        <v>0</v>
      </c>
      <c r="AF1311">
        <v>0</v>
      </c>
      <c r="AG1311">
        <v>1</v>
      </c>
      <c r="AJ1311">
        <v>1</v>
      </c>
      <c r="AK1311">
        <v>0</v>
      </c>
      <c r="AL1311">
        <v>0</v>
      </c>
      <c r="AM1311">
        <v>1</v>
      </c>
      <c r="AN1311">
        <v>0</v>
      </c>
      <c r="AO1311">
        <v>1</v>
      </c>
      <c r="AP1311">
        <v>1</v>
      </c>
      <c r="AQ1311">
        <v>1</v>
      </c>
      <c r="AR1311">
        <v>1</v>
      </c>
      <c r="AS1311">
        <v>0</v>
      </c>
      <c r="AT1311">
        <v>1</v>
      </c>
      <c r="AV1311">
        <v>1</v>
      </c>
      <c r="AW1311">
        <v>1</v>
      </c>
    </row>
    <row r="1312" spans="1:49" x14ac:dyDescent="0.25">
      <c r="A1312" t="str">
        <f>"1308"</f>
        <v>1308</v>
      </c>
      <c r="B1312" t="str">
        <f t="shared" si="75"/>
        <v>1</v>
      </c>
      <c r="C1312" t="str">
        <f t="shared" si="74"/>
        <v>58</v>
      </c>
      <c r="D1312" t="str">
        <f>"1"</f>
        <v>1</v>
      </c>
      <c r="E1312" t="str">
        <f>"1-58-1"</f>
        <v>1-58-1</v>
      </c>
      <c r="F1312" t="s">
        <v>83</v>
      </c>
      <c r="G1312" t="s">
        <v>84</v>
      </c>
      <c r="H1312" t="s">
        <v>85</v>
      </c>
      <c r="AC1312">
        <v>1</v>
      </c>
      <c r="AD1312">
        <v>0</v>
      </c>
      <c r="AE1312">
        <v>0</v>
      </c>
      <c r="AF1312">
        <v>0</v>
      </c>
      <c r="AG1312">
        <v>0</v>
      </c>
      <c r="AJ1312">
        <v>1</v>
      </c>
      <c r="AK1312">
        <v>0</v>
      </c>
      <c r="AL1312">
        <v>0</v>
      </c>
      <c r="AM1312">
        <v>0</v>
      </c>
      <c r="AN1312">
        <v>1</v>
      </c>
      <c r="AO1312">
        <v>0</v>
      </c>
      <c r="AP1312">
        <v>0</v>
      </c>
      <c r="AQ1312">
        <v>0</v>
      </c>
      <c r="AR1312">
        <v>0</v>
      </c>
      <c r="AS1312">
        <v>0</v>
      </c>
      <c r="AT1312">
        <v>1</v>
      </c>
      <c r="AV1312">
        <v>0</v>
      </c>
      <c r="AW1312">
        <v>0</v>
      </c>
    </row>
    <row r="1313" spans="1:49" x14ac:dyDescent="0.25">
      <c r="A1313" t="str">
        <f>"1309"</f>
        <v>1309</v>
      </c>
      <c r="B1313" t="str">
        <f t="shared" si="75"/>
        <v>1</v>
      </c>
      <c r="C1313" t="str">
        <f t="shared" si="74"/>
        <v>58</v>
      </c>
      <c r="D1313" t="str">
        <f>"25"</f>
        <v>25</v>
      </c>
      <c r="E1313" t="str">
        <f>"1-58-25"</f>
        <v>1-58-25</v>
      </c>
      <c r="F1313" t="s">
        <v>83</v>
      </c>
      <c r="G1313" t="s">
        <v>84</v>
      </c>
      <c r="H1313" t="s">
        <v>85</v>
      </c>
      <c r="AC1313">
        <v>1</v>
      </c>
      <c r="AD1313">
        <v>0</v>
      </c>
      <c r="AE1313">
        <v>0</v>
      </c>
      <c r="AF1313">
        <v>0</v>
      </c>
      <c r="AG1313">
        <v>1</v>
      </c>
      <c r="AJ1313">
        <v>0</v>
      </c>
      <c r="AK1313">
        <v>1</v>
      </c>
      <c r="AL1313">
        <v>0</v>
      </c>
      <c r="AM1313">
        <v>0</v>
      </c>
      <c r="AN1313">
        <v>1</v>
      </c>
      <c r="AO1313">
        <v>1</v>
      </c>
      <c r="AP1313">
        <v>1</v>
      </c>
      <c r="AQ1313">
        <v>1</v>
      </c>
      <c r="AR1313">
        <v>1</v>
      </c>
      <c r="AS1313">
        <v>0</v>
      </c>
      <c r="AT1313">
        <v>1</v>
      </c>
      <c r="AV1313">
        <v>1</v>
      </c>
      <c r="AW1313">
        <v>1</v>
      </c>
    </row>
    <row r="1314" spans="1:49" x14ac:dyDescent="0.25">
      <c r="A1314" t="str">
        <f>"1310"</f>
        <v>1310</v>
      </c>
      <c r="B1314" t="str">
        <f t="shared" si="75"/>
        <v>1</v>
      </c>
      <c r="C1314" t="str">
        <f t="shared" si="74"/>
        <v>58</v>
      </c>
      <c r="D1314" t="str">
        <f>"24"</f>
        <v>24</v>
      </c>
      <c r="E1314" t="str">
        <f>"1-58-24"</f>
        <v>1-58-24</v>
      </c>
      <c r="F1314" t="s">
        <v>83</v>
      </c>
      <c r="G1314" t="s">
        <v>84</v>
      </c>
      <c r="H1314" t="s">
        <v>85</v>
      </c>
      <c r="AC1314">
        <v>0</v>
      </c>
      <c r="AD1314">
        <v>1</v>
      </c>
      <c r="AE1314">
        <v>0</v>
      </c>
      <c r="AF1314">
        <v>0</v>
      </c>
      <c r="AG1314">
        <v>1</v>
      </c>
      <c r="AJ1314">
        <v>0</v>
      </c>
      <c r="AK1314">
        <v>1</v>
      </c>
      <c r="AL1314">
        <v>0</v>
      </c>
      <c r="AM1314">
        <v>0</v>
      </c>
      <c r="AN1314">
        <v>1</v>
      </c>
      <c r="AO1314">
        <v>1</v>
      </c>
      <c r="AP1314">
        <v>1</v>
      </c>
      <c r="AQ1314">
        <v>1</v>
      </c>
      <c r="AR1314">
        <v>1</v>
      </c>
      <c r="AS1314">
        <v>0</v>
      </c>
      <c r="AT1314">
        <v>1</v>
      </c>
      <c r="AV1314">
        <v>1</v>
      </c>
      <c r="AW1314">
        <v>1</v>
      </c>
    </row>
    <row r="1315" spans="1:49" x14ac:dyDescent="0.25">
      <c r="A1315" t="str">
        <f>"1311"</f>
        <v>1311</v>
      </c>
      <c r="B1315" t="str">
        <f t="shared" si="75"/>
        <v>1</v>
      </c>
      <c r="C1315" t="str">
        <f t="shared" si="74"/>
        <v>58</v>
      </c>
      <c r="D1315" t="str">
        <f>"16"</f>
        <v>16</v>
      </c>
      <c r="E1315" t="str">
        <f>"1-58-16"</f>
        <v>1-58-16</v>
      </c>
      <c r="F1315" t="s">
        <v>83</v>
      </c>
      <c r="G1315" t="s">
        <v>84</v>
      </c>
      <c r="H1315" t="s">
        <v>85</v>
      </c>
      <c r="AC1315">
        <v>0</v>
      </c>
      <c r="AD1315">
        <v>1</v>
      </c>
      <c r="AE1315">
        <v>0</v>
      </c>
      <c r="AF1315">
        <v>0</v>
      </c>
      <c r="AG1315">
        <v>1</v>
      </c>
      <c r="AJ1315">
        <v>1</v>
      </c>
      <c r="AK1315">
        <v>0</v>
      </c>
      <c r="AL1315">
        <v>1</v>
      </c>
      <c r="AM1315">
        <v>0</v>
      </c>
      <c r="AN1315">
        <v>0</v>
      </c>
      <c r="AO1315">
        <v>1</v>
      </c>
      <c r="AP1315">
        <v>1</v>
      </c>
      <c r="AQ1315">
        <v>1</v>
      </c>
      <c r="AR1315">
        <v>1</v>
      </c>
      <c r="AS1315">
        <v>1</v>
      </c>
      <c r="AT1315">
        <v>0</v>
      </c>
      <c r="AV1315">
        <v>1</v>
      </c>
      <c r="AW1315">
        <v>1</v>
      </c>
    </row>
    <row r="1316" spans="1:49" x14ac:dyDescent="0.25">
      <c r="A1316" t="str">
        <f>"1312"</f>
        <v>1312</v>
      </c>
      <c r="B1316" t="str">
        <f t="shared" si="75"/>
        <v>1</v>
      </c>
      <c r="C1316" t="str">
        <f t="shared" si="74"/>
        <v>58</v>
      </c>
      <c r="D1316" t="str">
        <f>"9"</f>
        <v>9</v>
      </c>
      <c r="E1316" t="str">
        <f>"1-58-9"</f>
        <v>1-58-9</v>
      </c>
      <c r="F1316" t="s">
        <v>83</v>
      </c>
      <c r="G1316" t="s">
        <v>84</v>
      </c>
      <c r="H1316" t="s">
        <v>85</v>
      </c>
      <c r="AC1316">
        <v>0</v>
      </c>
      <c r="AD1316">
        <v>1</v>
      </c>
      <c r="AE1316">
        <v>0</v>
      </c>
      <c r="AF1316">
        <v>0</v>
      </c>
      <c r="AG1316">
        <v>0</v>
      </c>
      <c r="AJ1316">
        <v>1</v>
      </c>
      <c r="AK1316">
        <v>0</v>
      </c>
      <c r="AL1316">
        <v>1</v>
      </c>
      <c r="AM1316">
        <v>0</v>
      </c>
      <c r="AN1316">
        <v>0</v>
      </c>
      <c r="AO1316">
        <v>0</v>
      </c>
      <c r="AP1316">
        <v>0</v>
      </c>
      <c r="AQ1316">
        <v>0</v>
      </c>
      <c r="AR1316">
        <v>1</v>
      </c>
      <c r="AS1316">
        <v>1</v>
      </c>
      <c r="AT1316">
        <v>0</v>
      </c>
      <c r="AV1316">
        <v>1</v>
      </c>
      <c r="AW1316">
        <v>1</v>
      </c>
    </row>
    <row r="1317" spans="1:49" x14ac:dyDescent="0.25">
      <c r="A1317" t="str">
        <f>"1313"</f>
        <v>1313</v>
      </c>
      <c r="B1317" t="str">
        <f t="shared" si="75"/>
        <v>1</v>
      </c>
      <c r="C1317" t="str">
        <f t="shared" si="74"/>
        <v>58</v>
      </c>
      <c r="D1317" t="str">
        <f>"4"</f>
        <v>4</v>
      </c>
      <c r="E1317" t="str">
        <f>"1-58-4"</f>
        <v>1-58-4</v>
      </c>
      <c r="F1317" t="s">
        <v>83</v>
      </c>
      <c r="G1317" t="s">
        <v>86</v>
      </c>
      <c r="H1317" t="s">
        <v>87</v>
      </c>
      <c r="AC1317">
        <v>0</v>
      </c>
      <c r="AD1317">
        <v>0</v>
      </c>
      <c r="AE1317">
        <v>0</v>
      </c>
      <c r="AF1317">
        <v>0</v>
      </c>
      <c r="AH1317">
        <v>0</v>
      </c>
      <c r="AI1317">
        <v>1</v>
      </c>
      <c r="AJ1317">
        <v>0</v>
      </c>
      <c r="AK1317">
        <v>0</v>
      </c>
      <c r="AL1317">
        <v>0</v>
      </c>
      <c r="AM1317">
        <v>0</v>
      </c>
      <c r="AN1317">
        <v>1</v>
      </c>
      <c r="AO1317">
        <v>0</v>
      </c>
      <c r="AP1317">
        <v>0</v>
      </c>
      <c r="AQ1317">
        <v>0</v>
      </c>
      <c r="AU1317">
        <v>0</v>
      </c>
      <c r="AV1317">
        <v>0</v>
      </c>
      <c r="AW1317">
        <v>0</v>
      </c>
    </row>
    <row r="1318" spans="1:49" x14ac:dyDescent="0.25">
      <c r="A1318" t="str">
        <f>"1314"</f>
        <v>1314</v>
      </c>
      <c r="B1318" t="str">
        <f t="shared" si="75"/>
        <v>1</v>
      </c>
      <c r="C1318" t="str">
        <f t="shared" si="74"/>
        <v>58</v>
      </c>
      <c r="D1318" t="str">
        <f>"23"</f>
        <v>23</v>
      </c>
      <c r="E1318" t="str">
        <f>"1-58-23"</f>
        <v>1-58-23</v>
      </c>
      <c r="F1318" t="s">
        <v>83</v>
      </c>
      <c r="G1318" t="s">
        <v>86</v>
      </c>
      <c r="H1318" t="s">
        <v>87</v>
      </c>
      <c r="AC1318">
        <v>0</v>
      </c>
      <c r="AD1318">
        <v>1</v>
      </c>
      <c r="AE1318">
        <v>0</v>
      </c>
      <c r="AF1318">
        <v>0</v>
      </c>
      <c r="AH1318">
        <v>0</v>
      </c>
      <c r="AI1318">
        <v>1</v>
      </c>
      <c r="AJ1318">
        <v>0</v>
      </c>
      <c r="AK1318">
        <v>1</v>
      </c>
      <c r="AL1318">
        <v>0</v>
      </c>
      <c r="AM1318">
        <v>1</v>
      </c>
      <c r="AN1318">
        <v>0</v>
      </c>
      <c r="AO1318">
        <v>0</v>
      </c>
      <c r="AP1318">
        <v>0</v>
      </c>
      <c r="AQ1318">
        <v>0</v>
      </c>
      <c r="AU1318">
        <v>0</v>
      </c>
      <c r="AV1318">
        <v>0</v>
      </c>
      <c r="AW1318">
        <v>0</v>
      </c>
    </row>
    <row r="1319" spans="1:49" x14ac:dyDescent="0.25">
      <c r="A1319" t="str">
        <f>"1315"</f>
        <v>1315</v>
      </c>
      <c r="B1319" t="str">
        <f t="shared" si="75"/>
        <v>1</v>
      </c>
      <c r="C1319" t="str">
        <f t="shared" si="74"/>
        <v>58</v>
      </c>
      <c r="D1319" t="str">
        <f>"22"</f>
        <v>22</v>
      </c>
      <c r="E1319" t="str">
        <f>"1-58-22"</f>
        <v>1-58-22</v>
      </c>
      <c r="F1319" t="s">
        <v>83</v>
      </c>
      <c r="G1319" t="s">
        <v>84</v>
      </c>
      <c r="H1319" t="s">
        <v>85</v>
      </c>
      <c r="AC1319">
        <v>0</v>
      </c>
      <c r="AD1319">
        <v>1</v>
      </c>
      <c r="AE1319">
        <v>0</v>
      </c>
      <c r="AF1319">
        <v>0</v>
      </c>
      <c r="AG1319">
        <v>0</v>
      </c>
      <c r="AJ1319">
        <v>0</v>
      </c>
      <c r="AK1319">
        <v>0</v>
      </c>
      <c r="AL1319">
        <v>0</v>
      </c>
      <c r="AM1319">
        <v>1</v>
      </c>
      <c r="AN1319">
        <v>0</v>
      </c>
      <c r="AO1319">
        <v>0</v>
      </c>
      <c r="AP1319">
        <v>0</v>
      </c>
      <c r="AQ1319">
        <v>0</v>
      </c>
      <c r="AR1319">
        <v>0</v>
      </c>
      <c r="AS1319">
        <v>0</v>
      </c>
      <c r="AT1319">
        <v>1</v>
      </c>
      <c r="AV1319">
        <v>0</v>
      </c>
      <c r="AW1319">
        <v>0</v>
      </c>
    </row>
    <row r="1320" spans="1:49" x14ac:dyDescent="0.25">
      <c r="A1320" t="str">
        <f>"1316"</f>
        <v>1316</v>
      </c>
      <c r="B1320" t="str">
        <f t="shared" si="75"/>
        <v>1</v>
      </c>
      <c r="C1320" t="str">
        <f t="shared" si="74"/>
        <v>58</v>
      </c>
      <c r="D1320" t="str">
        <f>"17"</f>
        <v>17</v>
      </c>
      <c r="E1320" t="str">
        <f>"1-58-17"</f>
        <v>1-58-17</v>
      </c>
      <c r="F1320" t="s">
        <v>83</v>
      </c>
      <c r="G1320" t="s">
        <v>84</v>
      </c>
      <c r="H1320" t="s">
        <v>85</v>
      </c>
      <c r="AC1320">
        <v>1</v>
      </c>
      <c r="AD1320">
        <v>0</v>
      </c>
      <c r="AE1320">
        <v>0</v>
      </c>
      <c r="AF1320">
        <v>0</v>
      </c>
      <c r="AG1320">
        <v>1</v>
      </c>
      <c r="AJ1320">
        <v>1</v>
      </c>
      <c r="AK1320">
        <v>0</v>
      </c>
      <c r="AL1320">
        <v>0</v>
      </c>
      <c r="AM1320">
        <v>0</v>
      </c>
      <c r="AN1320">
        <v>1</v>
      </c>
      <c r="AO1320">
        <v>1</v>
      </c>
      <c r="AP1320">
        <v>1</v>
      </c>
      <c r="AQ1320">
        <v>1</v>
      </c>
      <c r="AR1320">
        <v>1</v>
      </c>
      <c r="AS1320">
        <v>1</v>
      </c>
      <c r="AT1320">
        <v>0</v>
      </c>
      <c r="AV1320">
        <v>1</v>
      </c>
      <c r="AW1320">
        <v>1</v>
      </c>
    </row>
    <row r="1321" spans="1:49" x14ac:dyDescent="0.25">
      <c r="A1321" t="str">
        <f>"1317"</f>
        <v>1317</v>
      </c>
      <c r="B1321" t="str">
        <f t="shared" si="75"/>
        <v>1</v>
      </c>
      <c r="C1321" t="str">
        <f t="shared" si="74"/>
        <v>58</v>
      </c>
      <c r="D1321" t="str">
        <f>"10"</f>
        <v>10</v>
      </c>
      <c r="E1321" t="str">
        <f>"1-58-10"</f>
        <v>1-58-10</v>
      </c>
      <c r="F1321" t="s">
        <v>83</v>
      </c>
      <c r="G1321" t="s">
        <v>84</v>
      </c>
      <c r="H1321" t="s">
        <v>85</v>
      </c>
      <c r="AC1321">
        <v>0</v>
      </c>
      <c r="AD1321">
        <v>1</v>
      </c>
      <c r="AE1321">
        <v>0</v>
      </c>
      <c r="AF1321">
        <v>0</v>
      </c>
      <c r="AG1321">
        <v>1</v>
      </c>
      <c r="AJ1321">
        <v>0</v>
      </c>
      <c r="AK1321">
        <v>1</v>
      </c>
      <c r="AL1321">
        <v>0</v>
      </c>
      <c r="AM1321">
        <v>0</v>
      </c>
      <c r="AN1321">
        <v>1</v>
      </c>
      <c r="AO1321">
        <v>1</v>
      </c>
      <c r="AP1321">
        <v>1</v>
      </c>
      <c r="AQ1321">
        <v>1</v>
      </c>
      <c r="AR1321">
        <v>1</v>
      </c>
      <c r="AS1321">
        <v>0</v>
      </c>
      <c r="AT1321">
        <v>1</v>
      </c>
      <c r="AV1321">
        <v>1</v>
      </c>
      <c r="AW1321">
        <v>1</v>
      </c>
    </row>
    <row r="1322" spans="1:49" x14ac:dyDescent="0.25">
      <c r="A1322" t="str">
        <f>"1318"</f>
        <v>1318</v>
      </c>
      <c r="B1322" t="str">
        <f t="shared" si="75"/>
        <v>1</v>
      </c>
      <c r="C1322" t="str">
        <f t="shared" si="74"/>
        <v>58</v>
      </c>
      <c r="D1322" t="str">
        <f>"5"</f>
        <v>5</v>
      </c>
      <c r="E1322" t="str">
        <f>"1-58-5"</f>
        <v>1-58-5</v>
      </c>
      <c r="F1322" t="s">
        <v>83</v>
      </c>
      <c r="G1322" t="s">
        <v>84</v>
      </c>
      <c r="H1322" t="s">
        <v>85</v>
      </c>
      <c r="AC1322">
        <v>1</v>
      </c>
      <c r="AD1322">
        <v>0</v>
      </c>
      <c r="AE1322">
        <v>0</v>
      </c>
      <c r="AF1322">
        <v>0</v>
      </c>
      <c r="AG1322">
        <v>1</v>
      </c>
      <c r="AJ1322">
        <v>0</v>
      </c>
      <c r="AK1322">
        <v>1</v>
      </c>
      <c r="AL1322">
        <v>1</v>
      </c>
      <c r="AM1322">
        <v>0</v>
      </c>
      <c r="AN1322">
        <v>0</v>
      </c>
      <c r="AO1322">
        <v>1</v>
      </c>
      <c r="AP1322">
        <v>1</v>
      </c>
      <c r="AQ1322">
        <v>1</v>
      </c>
      <c r="AR1322">
        <v>1</v>
      </c>
      <c r="AS1322">
        <v>1</v>
      </c>
      <c r="AT1322">
        <v>0</v>
      </c>
      <c r="AV1322">
        <v>1</v>
      </c>
      <c r="AW1322">
        <v>1</v>
      </c>
    </row>
    <row r="1323" spans="1:49" x14ac:dyDescent="0.25">
      <c r="A1323" t="str">
        <f>"1319"</f>
        <v>1319</v>
      </c>
      <c r="B1323" t="str">
        <f t="shared" si="75"/>
        <v>1</v>
      </c>
      <c r="C1323" t="str">
        <f t="shared" si="74"/>
        <v>58</v>
      </c>
      <c r="D1323" t="str">
        <f>"20"</f>
        <v>20</v>
      </c>
      <c r="E1323" t="str">
        <f>"1-58-20"</f>
        <v>1-58-20</v>
      </c>
      <c r="F1323" t="s">
        <v>83</v>
      </c>
      <c r="G1323" t="s">
        <v>86</v>
      </c>
      <c r="H1323" t="s">
        <v>87</v>
      </c>
      <c r="AC1323">
        <v>0</v>
      </c>
      <c r="AD1323">
        <v>0</v>
      </c>
      <c r="AE1323">
        <v>0</v>
      </c>
      <c r="AF1323">
        <v>0</v>
      </c>
      <c r="AH1323">
        <v>0</v>
      </c>
      <c r="AI1323">
        <v>1</v>
      </c>
      <c r="AJ1323">
        <v>0</v>
      </c>
      <c r="AK1323">
        <v>0</v>
      </c>
      <c r="AL1323">
        <v>0</v>
      </c>
      <c r="AM1323">
        <v>1</v>
      </c>
      <c r="AN1323">
        <v>0</v>
      </c>
      <c r="AO1323">
        <v>0</v>
      </c>
      <c r="AP1323">
        <v>0</v>
      </c>
      <c r="AQ1323">
        <v>0</v>
      </c>
      <c r="AU1323">
        <v>1</v>
      </c>
      <c r="AV1323">
        <v>0</v>
      </c>
      <c r="AW1323">
        <v>0</v>
      </c>
    </row>
    <row r="1324" spans="1:49" x14ac:dyDescent="0.25">
      <c r="A1324" t="str">
        <f>"1320"</f>
        <v>1320</v>
      </c>
      <c r="B1324" t="str">
        <f t="shared" si="75"/>
        <v>1</v>
      </c>
      <c r="C1324" t="str">
        <f t="shared" si="74"/>
        <v>58</v>
      </c>
      <c r="D1324" t="str">
        <f>"11"</f>
        <v>11</v>
      </c>
      <c r="E1324" t="str">
        <f>"1-58-11"</f>
        <v>1-58-11</v>
      </c>
      <c r="F1324" t="s">
        <v>83</v>
      </c>
      <c r="G1324" t="s">
        <v>84</v>
      </c>
      <c r="H1324" t="s">
        <v>85</v>
      </c>
      <c r="AC1324">
        <v>0</v>
      </c>
      <c r="AD1324">
        <v>1</v>
      </c>
      <c r="AE1324">
        <v>0</v>
      </c>
      <c r="AF1324">
        <v>0</v>
      </c>
      <c r="AG1324">
        <v>1</v>
      </c>
      <c r="AJ1324">
        <v>0</v>
      </c>
      <c r="AK1324">
        <v>1</v>
      </c>
      <c r="AL1324">
        <v>0</v>
      </c>
      <c r="AM1324">
        <v>0</v>
      </c>
      <c r="AN1324">
        <v>1</v>
      </c>
      <c r="AO1324">
        <v>1</v>
      </c>
      <c r="AP1324">
        <v>1</v>
      </c>
      <c r="AQ1324">
        <v>1</v>
      </c>
      <c r="AR1324">
        <v>1</v>
      </c>
      <c r="AS1324">
        <v>1</v>
      </c>
      <c r="AT1324">
        <v>0</v>
      </c>
      <c r="AV1324">
        <v>0</v>
      </c>
      <c r="AW1324">
        <v>0</v>
      </c>
    </row>
    <row r="1325" spans="1:49" x14ac:dyDescent="0.25">
      <c r="A1325" t="str">
        <f>"1321"</f>
        <v>1321</v>
      </c>
      <c r="B1325" t="str">
        <f t="shared" si="75"/>
        <v>1</v>
      </c>
      <c r="C1325" t="str">
        <f t="shared" si="74"/>
        <v>58</v>
      </c>
      <c r="D1325" t="str">
        <f>"2"</f>
        <v>2</v>
      </c>
      <c r="E1325" t="str">
        <f>"1-58-2"</f>
        <v>1-58-2</v>
      </c>
      <c r="F1325" t="s">
        <v>83</v>
      </c>
      <c r="G1325" t="s">
        <v>84</v>
      </c>
      <c r="H1325" t="s">
        <v>85</v>
      </c>
      <c r="AC1325">
        <v>0</v>
      </c>
      <c r="AD1325">
        <v>1</v>
      </c>
      <c r="AE1325">
        <v>0</v>
      </c>
      <c r="AF1325">
        <v>0</v>
      </c>
      <c r="AG1325">
        <v>1</v>
      </c>
      <c r="AJ1325">
        <v>1</v>
      </c>
      <c r="AK1325">
        <v>0</v>
      </c>
      <c r="AL1325">
        <v>0</v>
      </c>
      <c r="AM1325">
        <v>0</v>
      </c>
      <c r="AN1325">
        <v>1</v>
      </c>
      <c r="AO1325">
        <v>1</v>
      </c>
      <c r="AP1325">
        <v>0</v>
      </c>
      <c r="AQ1325">
        <v>1</v>
      </c>
      <c r="AR1325">
        <v>1</v>
      </c>
      <c r="AS1325">
        <v>0</v>
      </c>
      <c r="AT1325">
        <v>1</v>
      </c>
      <c r="AV1325">
        <v>1</v>
      </c>
      <c r="AW1325">
        <v>1</v>
      </c>
    </row>
    <row r="1326" spans="1:49" x14ac:dyDescent="0.25">
      <c r="A1326" t="str">
        <f>"1322"</f>
        <v>1322</v>
      </c>
      <c r="B1326" t="str">
        <f t="shared" si="75"/>
        <v>1</v>
      </c>
      <c r="C1326" t="str">
        <f t="shared" si="74"/>
        <v>58</v>
      </c>
      <c r="D1326" t="str">
        <f>"21"</f>
        <v>21</v>
      </c>
      <c r="E1326" t="str">
        <f>"1-58-21"</f>
        <v>1-58-21</v>
      </c>
      <c r="F1326" t="s">
        <v>83</v>
      </c>
      <c r="G1326" t="s">
        <v>84</v>
      </c>
      <c r="H1326" t="s">
        <v>85</v>
      </c>
      <c r="AC1326">
        <v>0</v>
      </c>
      <c r="AD1326">
        <v>1</v>
      </c>
      <c r="AE1326">
        <v>0</v>
      </c>
      <c r="AF1326">
        <v>0</v>
      </c>
      <c r="AG1326">
        <v>1</v>
      </c>
      <c r="AJ1326">
        <v>1</v>
      </c>
      <c r="AK1326">
        <v>0</v>
      </c>
      <c r="AL1326">
        <v>0</v>
      </c>
      <c r="AM1326">
        <v>0</v>
      </c>
      <c r="AN1326">
        <v>1</v>
      </c>
      <c r="AO1326">
        <v>1</v>
      </c>
      <c r="AP1326">
        <v>1</v>
      </c>
      <c r="AQ1326">
        <v>1</v>
      </c>
      <c r="AR1326">
        <v>1</v>
      </c>
      <c r="AS1326">
        <v>1</v>
      </c>
      <c r="AT1326">
        <v>0</v>
      </c>
      <c r="AV1326">
        <v>1</v>
      </c>
      <c r="AW1326">
        <v>1</v>
      </c>
    </row>
    <row r="1327" spans="1:49" x14ac:dyDescent="0.25">
      <c r="A1327" t="str">
        <f>"1323"</f>
        <v>1323</v>
      </c>
      <c r="B1327" t="str">
        <f t="shared" si="75"/>
        <v>1</v>
      </c>
      <c r="C1327" t="str">
        <f t="shared" si="74"/>
        <v>58</v>
      </c>
      <c r="D1327" t="str">
        <f>"12"</f>
        <v>12</v>
      </c>
      <c r="E1327" t="str">
        <f>"1-58-12"</f>
        <v>1-58-12</v>
      </c>
      <c r="F1327" t="s">
        <v>83</v>
      </c>
      <c r="G1327" t="s">
        <v>84</v>
      </c>
      <c r="H1327" t="s">
        <v>85</v>
      </c>
      <c r="AC1327">
        <v>0</v>
      </c>
      <c r="AD1327">
        <v>1</v>
      </c>
      <c r="AE1327">
        <v>0</v>
      </c>
      <c r="AF1327">
        <v>0</v>
      </c>
      <c r="AG1327">
        <v>1</v>
      </c>
      <c r="AJ1327">
        <v>1</v>
      </c>
      <c r="AK1327">
        <v>0</v>
      </c>
      <c r="AL1327">
        <v>1</v>
      </c>
      <c r="AM1327">
        <v>0</v>
      </c>
      <c r="AN1327">
        <v>0</v>
      </c>
      <c r="AO1327">
        <v>1</v>
      </c>
      <c r="AP1327">
        <v>1</v>
      </c>
      <c r="AQ1327">
        <v>1</v>
      </c>
      <c r="AR1327">
        <v>1</v>
      </c>
      <c r="AS1327">
        <v>0</v>
      </c>
      <c r="AT1327">
        <v>1</v>
      </c>
      <c r="AV1327">
        <v>1</v>
      </c>
      <c r="AW1327">
        <v>1</v>
      </c>
    </row>
    <row r="1328" spans="1:49" x14ac:dyDescent="0.25">
      <c r="A1328" t="str">
        <f>"1324"</f>
        <v>1324</v>
      </c>
      <c r="B1328" t="str">
        <f t="shared" si="75"/>
        <v>1</v>
      </c>
      <c r="C1328" t="str">
        <f t="shared" si="74"/>
        <v>58</v>
      </c>
      <c r="D1328" t="str">
        <f>"6"</f>
        <v>6</v>
      </c>
      <c r="E1328" t="str">
        <f>"1-58-6"</f>
        <v>1-58-6</v>
      </c>
      <c r="F1328" t="s">
        <v>83</v>
      </c>
      <c r="G1328" t="s">
        <v>84</v>
      </c>
      <c r="H1328" t="s">
        <v>85</v>
      </c>
      <c r="AC1328">
        <v>0</v>
      </c>
      <c r="AD1328">
        <v>1</v>
      </c>
      <c r="AE1328">
        <v>0</v>
      </c>
      <c r="AF1328">
        <v>0</v>
      </c>
      <c r="AG1328">
        <v>0</v>
      </c>
      <c r="AJ1328">
        <v>0</v>
      </c>
      <c r="AK1328">
        <v>1</v>
      </c>
      <c r="AL1328">
        <v>0</v>
      </c>
      <c r="AM1328">
        <v>1</v>
      </c>
      <c r="AN1328">
        <v>0</v>
      </c>
      <c r="AO1328">
        <v>0</v>
      </c>
      <c r="AP1328">
        <v>0</v>
      </c>
      <c r="AQ1328">
        <v>0</v>
      </c>
      <c r="AR1328">
        <v>0</v>
      </c>
      <c r="AS1328">
        <v>1</v>
      </c>
      <c r="AT1328">
        <v>0</v>
      </c>
      <c r="AV1328">
        <v>0</v>
      </c>
      <c r="AW1328">
        <v>0</v>
      </c>
    </row>
    <row r="1329" spans="1:49" x14ac:dyDescent="0.25">
      <c r="A1329" t="str">
        <f>"1325"</f>
        <v>1325</v>
      </c>
      <c r="B1329" t="str">
        <f t="shared" si="75"/>
        <v>1</v>
      </c>
      <c r="C1329" t="str">
        <f t="shared" si="74"/>
        <v>58</v>
      </c>
      <c r="D1329" t="str">
        <f>"14"</f>
        <v>14</v>
      </c>
      <c r="E1329" t="str">
        <f>"1-58-14"</f>
        <v>1-58-14</v>
      </c>
      <c r="F1329" t="s">
        <v>83</v>
      </c>
      <c r="G1329" t="s">
        <v>84</v>
      </c>
      <c r="H1329" t="s">
        <v>85</v>
      </c>
      <c r="AC1329">
        <v>1</v>
      </c>
      <c r="AD1329">
        <v>0</v>
      </c>
      <c r="AE1329">
        <v>0</v>
      </c>
      <c r="AF1329">
        <v>0</v>
      </c>
      <c r="AG1329">
        <v>1</v>
      </c>
      <c r="AJ1329">
        <v>1</v>
      </c>
      <c r="AK1329">
        <v>0</v>
      </c>
      <c r="AL1329">
        <v>0</v>
      </c>
      <c r="AM1329">
        <v>0</v>
      </c>
      <c r="AN1329">
        <v>1</v>
      </c>
      <c r="AO1329">
        <v>1</v>
      </c>
      <c r="AP1329">
        <v>1</v>
      </c>
      <c r="AQ1329">
        <v>1</v>
      </c>
      <c r="AR1329">
        <v>1</v>
      </c>
      <c r="AS1329">
        <v>0</v>
      </c>
      <c r="AT1329">
        <v>1</v>
      </c>
      <c r="AV1329">
        <v>1</v>
      </c>
      <c r="AW1329">
        <v>1</v>
      </c>
    </row>
    <row r="1330" spans="1:49" x14ac:dyDescent="0.25">
      <c r="A1330" t="str">
        <f>"1326"</f>
        <v>1326</v>
      </c>
      <c r="B1330" t="str">
        <f t="shared" si="75"/>
        <v>1</v>
      </c>
      <c r="C1330" t="str">
        <f t="shared" si="74"/>
        <v>58</v>
      </c>
      <c r="D1330" t="str">
        <f>"7"</f>
        <v>7</v>
      </c>
      <c r="E1330" t="str">
        <f>"1-58-7"</f>
        <v>1-58-7</v>
      </c>
      <c r="F1330" t="s">
        <v>83</v>
      </c>
      <c r="G1330" t="s">
        <v>84</v>
      </c>
      <c r="H1330" t="s">
        <v>85</v>
      </c>
      <c r="AC1330">
        <v>1</v>
      </c>
      <c r="AD1330">
        <v>0</v>
      </c>
      <c r="AE1330">
        <v>0</v>
      </c>
      <c r="AF1330">
        <v>0</v>
      </c>
      <c r="AG1330">
        <v>1</v>
      </c>
      <c r="AJ1330">
        <v>0</v>
      </c>
      <c r="AK1330">
        <v>1</v>
      </c>
      <c r="AL1330">
        <v>0</v>
      </c>
      <c r="AM1330">
        <v>0</v>
      </c>
      <c r="AN1330">
        <v>1</v>
      </c>
      <c r="AO1330">
        <v>1</v>
      </c>
      <c r="AP1330">
        <v>1</v>
      </c>
      <c r="AQ1330">
        <v>1</v>
      </c>
      <c r="AR1330">
        <v>1</v>
      </c>
      <c r="AS1330">
        <v>0</v>
      </c>
      <c r="AT1330">
        <v>1</v>
      </c>
      <c r="AV1330">
        <v>1</v>
      </c>
      <c r="AW1330">
        <v>1</v>
      </c>
    </row>
    <row r="1331" spans="1:49" x14ac:dyDescent="0.25">
      <c r="A1331" t="str">
        <f>"1327"</f>
        <v>1327</v>
      </c>
      <c r="B1331" t="str">
        <f t="shared" si="75"/>
        <v>1</v>
      </c>
      <c r="C1331" t="str">
        <f t="shared" si="74"/>
        <v>58</v>
      </c>
      <c r="D1331" t="str">
        <f>"15"</f>
        <v>15</v>
      </c>
      <c r="E1331" t="str">
        <f>"1-58-15"</f>
        <v>1-58-15</v>
      </c>
      <c r="F1331" t="s">
        <v>83</v>
      </c>
      <c r="G1331" t="s">
        <v>84</v>
      </c>
      <c r="H1331" t="s">
        <v>85</v>
      </c>
      <c r="AC1331">
        <v>0</v>
      </c>
      <c r="AD1331">
        <v>1</v>
      </c>
      <c r="AE1331">
        <v>0</v>
      </c>
      <c r="AF1331">
        <v>0</v>
      </c>
      <c r="AG1331">
        <v>1</v>
      </c>
      <c r="AJ1331">
        <v>1</v>
      </c>
      <c r="AK1331">
        <v>0</v>
      </c>
      <c r="AL1331">
        <v>0</v>
      </c>
      <c r="AM1331">
        <v>0</v>
      </c>
      <c r="AN1331">
        <v>1</v>
      </c>
      <c r="AO1331">
        <v>1</v>
      </c>
      <c r="AP1331">
        <v>1</v>
      </c>
      <c r="AQ1331">
        <v>1</v>
      </c>
      <c r="AR1331">
        <v>1</v>
      </c>
      <c r="AS1331">
        <v>1</v>
      </c>
      <c r="AT1331">
        <v>0</v>
      </c>
      <c r="AV1331">
        <v>1</v>
      </c>
      <c r="AW1331">
        <v>1</v>
      </c>
    </row>
    <row r="1332" spans="1:49" x14ac:dyDescent="0.25">
      <c r="A1332" t="str">
        <f>"1328"</f>
        <v>1328</v>
      </c>
      <c r="B1332" t="str">
        <f t="shared" si="75"/>
        <v>1</v>
      </c>
      <c r="C1332" t="str">
        <f t="shared" si="74"/>
        <v>58</v>
      </c>
      <c r="D1332" t="str">
        <f>"3"</f>
        <v>3</v>
      </c>
      <c r="E1332" t="str">
        <f>"1-58-3"</f>
        <v>1-58-3</v>
      </c>
      <c r="F1332" t="s">
        <v>83</v>
      </c>
      <c r="G1332" t="s">
        <v>84</v>
      </c>
      <c r="H1332" t="s">
        <v>85</v>
      </c>
      <c r="AC1332">
        <v>0</v>
      </c>
      <c r="AD1332">
        <v>1</v>
      </c>
      <c r="AE1332">
        <v>0</v>
      </c>
      <c r="AF1332">
        <v>0</v>
      </c>
      <c r="AG1332">
        <v>1</v>
      </c>
      <c r="AJ1332">
        <v>0</v>
      </c>
      <c r="AK1332">
        <v>1</v>
      </c>
      <c r="AL1332">
        <v>0</v>
      </c>
      <c r="AM1332">
        <v>1</v>
      </c>
      <c r="AN1332">
        <v>0</v>
      </c>
      <c r="AO1332">
        <v>1</v>
      </c>
      <c r="AP1332">
        <v>1</v>
      </c>
      <c r="AQ1332">
        <v>1</v>
      </c>
      <c r="AR1332">
        <v>1</v>
      </c>
      <c r="AS1332">
        <v>1</v>
      </c>
      <c r="AT1332">
        <v>0</v>
      </c>
      <c r="AV1332">
        <v>1</v>
      </c>
      <c r="AW1332">
        <v>1</v>
      </c>
    </row>
    <row r="1333" spans="1:49" x14ac:dyDescent="0.25">
      <c r="A1333" t="str">
        <f>"1329"</f>
        <v>1329</v>
      </c>
      <c r="B1333" t="str">
        <f t="shared" si="75"/>
        <v>1</v>
      </c>
      <c r="C1333" t="str">
        <f t="shared" ref="C1333:C1357" si="76">"59"</f>
        <v>59</v>
      </c>
      <c r="D1333" t="str">
        <f>"19"</f>
        <v>19</v>
      </c>
      <c r="E1333" t="str">
        <f>"1-59-19"</f>
        <v>1-59-19</v>
      </c>
      <c r="F1333" t="s">
        <v>83</v>
      </c>
      <c r="G1333" t="s">
        <v>84</v>
      </c>
      <c r="H1333" t="s">
        <v>92</v>
      </c>
      <c r="I1333">
        <v>1</v>
      </c>
      <c r="J1333">
        <v>1</v>
      </c>
      <c r="N1333">
        <v>1</v>
      </c>
      <c r="O1333">
        <v>1</v>
      </c>
      <c r="P1333">
        <v>1</v>
      </c>
      <c r="Q1333">
        <v>1</v>
      </c>
      <c r="R1333">
        <v>1</v>
      </c>
      <c r="S1333">
        <v>1</v>
      </c>
      <c r="T1333">
        <v>1</v>
      </c>
      <c r="W1333">
        <v>1</v>
      </c>
      <c r="X1333">
        <v>1</v>
      </c>
      <c r="Y1333">
        <v>1</v>
      </c>
      <c r="Z1333">
        <v>1</v>
      </c>
      <c r="AA1333">
        <v>1</v>
      </c>
      <c r="AB1333">
        <v>1</v>
      </c>
    </row>
    <row r="1334" spans="1:49" x14ac:dyDescent="0.25">
      <c r="A1334" t="str">
        <f>"1330"</f>
        <v>1330</v>
      </c>
      <c r="B1334" t="str">
        <f t="shared" si="75"/>
        <v>1</v>
      </c>
      <c r="C1334" t="str">
        <f t="shared" si="76"/>
        <v>59</v>
      </c>
      <c r="D1334" t="str">
        <f>"18"</f>
        <v>18</v>
      </c>
      <c r="E1334" t="str">
        <f>"1-59-18"</f>
        <v>1-59-18</v>
      </c>
      <c r="F1334" t="s">
        <v>83</v>
      </c>
      <c r="G1334" t="s">
        <v>84</v>
      </c>
      <c r="H1334" t="s">
        <v>92</v>
      </c>
      <c r="I1334">
        <v>1</v>
      </c>
      <c r="J1334">
        <v>1</v>
      </c>
      <c r="N1334">
        <v>1</v>
      </c>
      <c r="O1334">
        <v>1</v>
      </c>
      <c r="P1334">
        <v>1</v>
      </c>
      <c r="Q1334">
        <v>1</v>
      </c>
      <c r="R1334">
        <v>1</v>
      </c>
      <c r="S1334">
        <v>1</v>
      </c>
      <c r="T1334">
        <v>1</v>
      </c>
      <c r="W1334">
        <v>1</v>
      </c>
      <c r="X1334">
        <v>1</v>
      </c>
      <c r="Y1334">
        <v>1</v>
      </c>
      <c r="Z1334">
        <v>1</v>
      </c>
      <c r="AA1334">
        <v>1</v>
      </c>
      <c r="AB1334">
        <v>1</v>
      </c>
    </row>
    <row r="1335" spans="1:49" x14ac:dyDescent="0.25">
      <c r="A1335" t="str">
        <f>"1331"</f>
        <v>1331</v>
      </c>
      <c r="B1335" t="str">
        <f t="shared" si="75"/>
        <v>1</v>
      </c>
      <c r="C1335" t="str">
        <f t="shared" si="76"/>
        <v>59</v>
      </c>
      <c r="D1335" t="str">
        <f>"15"</f>
        <v>15</v>
      </c>
      <c r="E1335" t="str">
        <f>"1-59-15"</f>
        <v>1-59-15</v>
      </c>
      <c r="F1335" t="s">
        <v>83</v>
      </c>
      <c r="G1335" t="s">
        <v>84</v>
      </c>
      <c r="H1335" t="s">
        <v>92</v>
      </c>
      <c r="I1335">
        <v>1</v>
      </c>
      <c r="J1335">
        <v>1</v>
      </c>
      <c r="N1335">
        <v>1</v>
      </c>
      <c r="O1335">
        <v>1</v>
      </c>
      <c r="P1335">
        <v>1</v>
      </c>
      <c r="Q1335">
        <v>1</v>
      </c>
      <c r="R1335">
        <v>1</v>
      </c>
      <c r="S1335">
        <v>1</v>
      </c>
      <c r="T1335">
        <v>1</v>
      </c>
      <c r="W1335">
        <v>1</v>
      </c>
      <c r="X1335">
        <v>1</v>
      </c>
      <c r="Y1335">
        <v>1</v>
      </c>
      <c r="Z1335">
        <v>1</v>
      </c>
      <c r="AA1335">
        <v>1</v>
      </c>
      <c r="AB1335">
        <v>1</v>
      </c>
    </row>
    <row r="1336" spans="1:49" x14ac:dyDescent="0.25">
      <c r="A1336" t="str">
        <f>"1332"</f>
        <v>1332</v>
      </c>
      <c r="B1336" t="str">
        <f t="shared" si="75"/>
        <v>1</v>
      </c>
      <c r="C1336" t="str">
        <f t="shared" si="76"/>
        <v>59</v>
      </c>
      <c r="D1336" t="str">
        <f>"8"</f>
        <v>8</v>
      </c>
      <c r="E1336" t="str">
        <f>"1-59-8"</f>
        <v>1-59-8</v>
      </c>
      <c r="F1336" t="s">
        <v>83</v>
      </c>
      <c r="G1336" t="s">
        <v>84</v>
      </c>
      <c r="H1336" t="s">
        <v>92</v>
      </c>
      <c r="I1336">
        <v>1</v>
      </c>
      <c r="J1336">
        <v>1</v>
      </c>
      <c r="N1336">
        <v>1</v>
      </c>
      <c r="O1336">
        <v>1</v>
      </c>
      <c r="P1336">
        <v>1</v>
      </c>
      <c r="Q1336">
        <v>1</v>
      </c>
      <c r="R1336">
        <v>1</v>
      </c>
      <c r="S1336">
        <v>1</v>
      </c>
      <c r="T1336">
        <v>1</v>
      </c>
      <c r="W1336">
        <v>1</v>
      </c>
      <c r="X1336">
        <v>1</v>
      </c>
      <c r="Y1336">
        <v>1</v>
      </c>
      <c r="Z1336">
        <v>1</v>
      </c>
      <c r="AA1336">
        <v>1</v>
      </c>
      <c r="AB1336">
        <v>1</v>
      </c>
    </row>
    <row r="1337" spans="1:49" x14ac:dyDescent="0.25">
      <c r="A1337" t="str">
        <f>"1333"</f>
        <v>1333</v>
      </c>
      <c r="B1337" t="str">
        <f t="shared" si="75"/>
        <v>1</v>
      </c>
      <c r="C1337" t="str">
        <f t="shared" si="76"/>
        <v>59</v>
      </c>
      <c r="D1337" t="str">
        <f>"2"</f>
        <v>2</v>
      </c>
      <c r="E1337" t="str">
        <f>"1-59-2"</f>
        <v>1-59-2</v>
      </c>
      <c r="F1337" t="s">
        <v>83</v>
      </c>
      <c r="G1337" t="s">
        <v>84</v>
      </c>
      <c r="H1337" t="s">
        <v>92</v>
      </c>
      <c r="I1337">
        <v>1</v>
      </c>
      <c r="J1337">
        <v>1</v>
      </c>
      <c r="N1337">
        <v>1</v>
      </c>
      <c r="O1337">
        <v>1</v>
      </c>
      <c r="P1337">
        <v>1</v>
      </c>
      <c r="Q1337">
        <v>1</v>
      </c>
      <c r="R1337">
        <v>1</v>
      </c>
      <c r="S1337">
        <v>1</v>
      </c>
      <c r="T1337">
        <v>1</v>
      </c>
      <c r="W1337">
        <v>1</v>
      </c>
      <c r="X1337">
        <v>1</v>
      </c>
      <c r="Y1337">
        <v>1</v>
      </c>
      <c r="Z1337">
        <v>1</v>
      </c>
      <c r="AA1337">
        <v>1</v>
      </c>
      <c r="AB1337">
        <v>1</v>
      </c>
    </row>
    <row r="1338" spans="1:49" x14ac:dyDescent="0.25">
      <c r="A1338" t="str">
        <f>"1334"</f>
        <v>1334</v>
      </c>
      <c r="B1338" t="str">
        <f t="shared" si="75"/>
        <v>1</v>
      </c>
      <c r="C1338" t="str">
        <f t="shared" si="76"/>
        <v>59</v>
      </c>
      <c r="D1338" t="str">
        <f>"16"</f>
        <v>16</v>
      </c>
      <c r="E1338" t="str">
        <f>"1-59-16"</f>
        <v>1-59-16</v>
      </c>
      <c r="F1338" t="s">
        <v>83</v>
      </c>
      <c r="G1338" t="s">
        <v>84</v>
      </c>
      <c r="H1338" t="s">
        <v>92</v>
      </c>
      <c r="I1338">
        <v>1</v>
      </c>
      <c r="J1338">
        <v>1</v>
      </c>
      <c r="N1338">
        <v>1</v>
      </c>
      <c r="O1338">
        <v>1</v>
      </c>
      <c r="P1338">
        <v>1</v>
      </c>
      <c r="Q1338">
        <v>1</v>
      </c>
      <c r="R1338">
        <v>1</v>
      </c>
      <c r="S1338">
        <v>1</v>
      </c>
      <c r="T1338">
        <v>1</v>
      </c>
      <c r="W1338">
        <v>1</v>
      </c>
      <c r="X1338">
        <v>1</v>
      </c>
      <c r="Y1338">
        <v>1</v>
      </c>
      <c r="Z1338">
        <v>1</v>
      </c>
      <c r="AA1338">
        <v>1</v>
      </c>
      <c r="AB1338">
        <v>1</v>
      </c>
    </row>
    <row r="1339" spans="1:49" x14ac:dyDescent="0.25">
      <c r="A1339" t="str">
        <f>"1335"</f>
        <v>1335</v>
      </c>
      <c r="B1339" t="str">
        <f t="shared" si="75"/>
        <v>1</v>
      </c>
      <c r="C1339" t="str">
        <f t="shared" si="76"/>
        <v>59</v>
      </c>
      <c r="D1339" t="str">
        <f>"9"</f>
        <v>9</v>
      </c>
      <c r="E1339" t="str">
        <f>"1-59-9"</f>
        <v>1-59-9</v>
      </c>
      <c r="F1339" t="s">
        <v>83</v>
      </c>
      <c r="G1339" t="s">
        <v>84</v>
      </c>
      <c r="H1339" t="s">
        <v>92</v>
      </c>
      <c r="I1339">
        <v>1</v>
      </c>
      <c r="J1339">
        <v>1</v>
      </c>
      <c r="N1339">
        <v>1</v>
      </c>
      <c r="O1339">
        <v>1</v>
      </c>
      <c r="P1339">
        <v>1</v>
      </c>
      <c r="Q1339">
        <v>1</v>
      </c>
      <c r="R1339">
        <v>1</v>
      </c>
      <c r="S1339">
        <v>1</v>
      </c>
      <c r="T1339">
        <v>1</v>
      </c>
      <c r="W1339">
        <v>1</v>
      </c>
      <c r="X1339">
        <v>1</v>
      </c>
      <c r="Y1339">
        <v>1</v>
      </c>
      <c r="Z1339">
        <v>1</v>
      </c>
      <c r="AA1339">
        <v>1</v>
      </c>
      <c r="AB1339">
        <v>1</v>
      </c>
    </row>
    <row r="1340" spans="1:49" x14ac:dyDescent="0.25">
      <c r="A1340" t="str">
        <f>"1336"</f>
        <v>1336</v>
      </c>
      <c r="B1340" t="str">
        <f t="shared" si="75"/>
        <v>1</v>
      </c>
      <c r="C1340" t="str">
        <f t="shared" si="76"/>
        <v>59</v>
      </c>
      <c r="D1340" t="str">
        <f>"6"</f>
        <v>6</v>
      </c>
      <c r="E1340" t="str">
        <f>"1-59-6"</f>
        <v>1-59-6</v>
      </c>
      <c r="F1340" t="s">
        <v>83</v>
      </c>
      <c r="G1340" t="s">
        <v>84</v>
      </c>
      <c r="H1340" t="s">
        <v>92</v>
      </c>
      <c r="I1340">
        <v>1</v>
      </c>
      <c r="J1340">
        <v>1</v>
      </c>
      <c r="N1340">
        <v>1</v>
      </c>
      <c r="O1340">
        <v>1</v>
      </c>
      <c r="P1340">
        <v>1</v>
      </c>
      <c r="Q1340">
        <v>1</v>
      </c>
      <c r="R1340">
        <v>1</v>
      </c>
      <c r="S1340">
        <v>1</v>
      </c>
      <c r="T1340">
        <v>1</v>
      </c>
      <c r="W1340">
        <v>1</v>
      </c>
      <c r="X1340">
        <v>1</v>
      </c>
      <c r="Y1340">
        <v>1</v>
      </c>
      <c r="Z1340">
        <v>1</v>
      </c>
      <c r="AA1340">
        <v>1</v>
      </c>
      <c r="AB1340">
        <v>1</v>
      </c>
    </row>
    <row r="1341" spans="1:49" x14ac:dyDescent="0.25">
      <c r="A1341" t="str">
        <f>"1337"</f>
        <v>1337</v>
      </c>
      <c r="B1341" t="str">
        <f t="shared" si="75"/>
        <v>1</v>
      </c>
      <c r="C1341" t="str">
        <f t="shared" si="76"/>
        <v>59</v>
      </c>
      <c r="D1341" t="str">
        <f>"25"</f>
        <v>25</v>
      </c>
      <c r="E1341" t="str">
        <f>"1-59-25"</f>
        <v>1-59-25</v>
      </c>
      <c r="F1341" t="s">
        <v>83</v>
      </c>
      <c r="G1341" t="s">
        <v>84</v>
      </c>
      <c r="H1341" t="s">
        <v>92</v>
      </c>
      <c r="I1341">
        <v>1</v>
      </c>
      <c r="J1341">
        <v>1</v>
      </c>
      <c r="N1341">
        <v>1</v>
      </c>
      <c r="O1341">
        <v>1</v>
      </c>
      <c r="P1341">
        <v>1</v>
      </c>
      <c r="Q1341">
        <v>1</v>
      </c>
      <c r="R1341">
        <v>1</v>
      </c>
      <c r="S1341">
        <v>1</v>
      </c>
      <c r="T1341">
        <v>1</v>
      </c>
      <c r="W1341">
        <v>1</v>
      </c>
      <c r="X1341">
        <v>1</v>
      </c>
      <c r="Y1341">
        <v>1</v>
      </c>
      <c r="Z1341">
        <v>1</v>
      </c>
      <c r="AA1341">
        <v>1</v>
      </c>
      <c r="AB1341">
        <v>1</v>
      </c>
    </row>
    <row r="1342" spans="1:49" x14ac:dyDescent="0.25">
      <c r="A1342" t="str">
        <f>"1338"</f>
        <v>1338</v>
      </c>
      <c r="B1342" t="str">
        <f t="shared" si="75"/>
        <v>1</v>
      </c>
      <c r="C1342" t="str">
        <f t="shared" si="76"/>
        <v>59</v>
      </c>
      <c r="D1342" t="str">
        <f>"24"</f>
        <v>24</v>
      </c>
      <c r="E1342" t="str">
        <f>"1-59-24"</f>
        <v>1-59-24</v>
      </c>
      <c r="F1342" t="s">
        <v>83</v>
      </c>
      <c r="G1342" t="s">
        <v>84</v>
      </c>
      <c r="H1342" t="s">
        <v>92</v>
      </c>
      <c r="I1342">
        <v>1</v>
      </c>
      <c r="J1342">
        <v>0</v>
      </c>
      <c r="N1342">
        <v>1</v>
      </c>
      <c r="O1342">
        <v>0</v>
      </c>
      <c r="P1342">
        <v>0</v>
      </c>
      <c r="Q1342">
        <v>0</v>
      </c>
      <c r="R1342">
        <v>0</v>
      </c>
      <c r="S1342">
        <v>0</v>
      </c>
      <c r="T1342">
        <v>0</v>
      </c>
      <c r="W1342">
        <v>1</v>
      </c>
      <c r="X1342">
        <v>1</v>
      </c>
      <c r="Y1342">
        <v>1</v>
      </c>
      <c r="Z1342">
        <v>1</v>
      </c>
      <c r="AA1342">
        <v>1</v>
      </c>
      <c r="AB1342">
        <v>1</v>
      </c>
    </row>
    <row r="1343" spans="1:49" x14ac:dyDescent="0.25">
      <c r="A1343" t="str">
        <f>"1339"</f>
        <v>1339</v>
      </c>
      <c r="B1343" t="str">
        <f t="shared" si="75"/>
        <v>1</v>
      </c>
      <c r="C1343" t="str">
        <f t="shared" si="76"/>
        <v>59</v>
      </c>
      <c r="D1343" t="str">
        <f>"17"</f>
        <v>17</v>
      </c>
      <c r="E1343" t="str">
        <f>"1-59-17"</f>
        <v>1-59-17</v>
      </c>
      <c r="F1343" t="s">
        <v>83</v>
      </c>
      <c r="G1343" t="s">
        <v>84</v>
      </c>
      <c r="H1343" t="s">
        <v>92</v>
      </c>
      <c r="I1343">
        <v>1</v>
      </c>
      <c r="J1343">
        <v>1</v>
      </c>
      <c r="N1343">
        <v>1</v>
      </c>
      <c r="O1343">
        <v>1</v>
      </c>
      <c r="P1343">
        <v>1</v>
      </c>
      <c r="Q1343">
        <v>1</v>
      </c>
      <c r="R1343">
        <v>1</v>
      </c>
      <c r="S1343">
        <v>1</v>
      </c>
      <c r="T1343">
        <v>1</v>
      </c>
      <c r="W1343">
        <v>1</v>
      </c>
      <c r="X1343">
        <v>1</v>
      </c>
      <c r="Y1343">
        <v>1</v>
      </c>
      <c r="Z1343">
        <v>1</v>
      </c>
      <c r="AA1343">
        <v>1</v>
      </c>
      <c r="AB1343">
        <v>1</v>
      </c>
    </row>
    <row r="1344" spans="1:49" x14ac:dyDescent="0.25">
      <c r="A1344" t="str">
        <f>"1340"</f>
        <v>1340</v>
      </c>
      <c r="B1344" t="str">
        <f t="shared" si="75"/>
        <v>1</v>
      </c>
      <c r="C1344" t="str">
        <f t="shared" si="76"/>
        <v>59</v>
      </c>
      <c r="D1344" t="str">
        <f>"10"</f>
        <v>10</v>
      </c>
      <c r="E1344" t="str">
        <f>"1-59-10"</f>
        <v>1-59-10</v>
      </c>
      <c r="F1344" t="s">
        <v>83</v>
      </c>
      <c r="G1344" t="s">
        <v>84</v>
      </c>
      <c r="H1344" t="s">
        <v>92</v>
      </c>
      <c r="I1344">
        <v>1</v>
      </c>
      <c r="J1344">
        <v>1</v>
      </c>
      <c r="N1344">
        <v>1</v>
      </c>
      <c r="O1344">
        <v>0</v>
      </c>
      <c r="P1344">
        <v>0</v>
      </c>
      <c r="Q1344">
        <v>1</v>
      </c>
      <c r="R1344">
        <v>0</v>
      </c>
      <c r="S1344">
        <v>1</v>
      </c>
      <c r="T1344">
        <v>0</v>
      </c>
      <c r="W1344">
        <v>1</v>
      </c>
      <c r="X1344">
        <v>1</v>
      </c>
      <c r="Y1344">
        <v>1</v>
      </c>
      <c r="Z1344">
        <v>1</v>
      </c>
      <c r="AA1344">
        <v>0</v>
      </c>
      <c r="AB1344">
        <v>1</v>
      </c>
    </row>
    <row r="1345" spans="1:28" x14ac:dyDescent="0.25">
      <c r="A1345" t="str">
        <f>"1341"</f>
        <v>1341</v>
      </c>
      <c r="B1345" t="str">
        <f t="shared" si="75"/>
        <v>1</v>
      </c>
      <c r="C1345" t="str">
        <f t="shared" si="76"/>
        <v>59</v>
      </c>
      <c r="D1345" t="str">
        <f>"3"</f>
        <v>3</v>
      </c>
      <c r="E1345" t="str">
        <f>"1-59-3"</f>
        <v>1-59-3</v>
      </c>
      <c r="F1345" t="s">
        <v>83</v>
      </c>
      <c r="G1345" t="s">
        <v>84</v>
      </c>
      <c r="H1345" t="s">
        <v>92</v>
      </c>
      <c r="I1345">
        <v>1</v>
      </c>
      <c r="J1345">
        <v>1</v>
      </c>
      <c r="N1345">
        <v>1</v>
      </c>
      <c r="O1345">
        <v>1</v>
      </c>
      <c r="P1345">
        <v>1</v>
      </c>
      <c r="Q1345">
        <v>1</v>
      </c>
      <c r="R1345">
        <v>1</v>
      </c>
      <c r="S1345">
        <v>1</v>
      </c>
      <c r="T1345">
        <v>1</v>
      </c>
      <c r="W1345">
        <v>1</v>
      </c>
      <c r="X1345">
        <v>1</v>
      </c>
      <c r="Y1345">
        <v>1</v>
      </c>
      <c r="Z1345">
        <v>1</v>
      </c>
      <c r="AA1345">
        <v>1</v>
      </c>
      <c r="AB1345">
        <v>0</v>
      </c>
    </row>
    <row r="1346" spans="1:28" x14ac:dyDescent="0.25">
      <c r="A1346" t="str">
        <f>"1342"</f>
        <v>1342</v>
      </c>
      <c r="B1346" t="str">
        <f t="shared" si="75"/>
        <v>1</v>
      </c>
      <c r="C1346" t="str">
        <f t="shared" si="76"/>
        <v>59</v>
      </c>
      <c r="D1346" t="str">
        <f>"21"</f>
        <v>21</v>
      </c>
      <c r="E1346" t="str">
        <f>"1-59-21"</f>
        <v>1-59-21</v>
      </c>
      <c r="F1346" t="s">
        <v>83</v>
      </c>
      <c r="G1346" t="s">
        <v>84</v>
      </c>
      <c r="H1346" t="s">
        <v>92</v>
      </c>
      <c r="I1346">
        <v>1</v>
      </c>
      <c r="J1346">
        <v>1</v>
      </c>
      <c r="N1346">
        <v>0</v>
      </c>
      <c r="O1346">
        <v>1</v>
      </c>
      <c r="P1346">
        <v>0</v>
      </c>
      <c r="Q1346">
        <v>1</v>
      </c>
      <c r="R1346">
        <v>1</v>
      </c>
      <c r="S1346">
        <v>1</v>
      </c>
      <c r="T1346">
        <v>1</v>
      </c>
      <c r="W1346">
        <v>1</v>
      </c>
      <c r="X1346">
        <v>1</v>
      </c>
      <c r="Y1346">
        <v>1</v>
      </c>
      <c r="Z1346">
        <v>0</v>
      </c>
      <c r="AA1346">
        <v>1</v>
      </c>
      <c r="AB1346">
        <v>1</v>
      </c>
    </row>
    <row r="1347" spans="1:28" x14ac:dyDescent="0.25">
      <c r="A1347" t="str">
        <f>"1343"</f>
        <v>1343</v>
      </c>
      <c r="B1347" t="str">
        <f t="shared" si="75"/>
        <v>1</v>
      </c>
      <c r="C1347" t="str">
        <f t="shared" si="76"/>
        <v>59</v>
      </c>
      <c r="D1347" t="str">
        <f>"11"</f>
        <v>11</v>
      </c>
      <c r="E1347" t="str">
        <f>"1-59-11"</f>
        <v>1-59-11</v>
      </c>
      <c r="F1347" t="s">
        <v>83</v>
      </c>
      <c r="G1347" t="s">
        <v>84</v>
      </c>
      <c r="H1347" t="s">
        <v>92</v>
      </c>
      <c r="I1347">
        <v>1</v>
      </c>
      <c r="J1347">
        <v>1</v>
      </c>
      <c r="N1347">
        <v>1</v>
      </c>
      <c r="O1347">
        <v>1</v>
      </c>
      <c r="P1347">
        <v>1</v>
      </c>
      <c r="Q1347">
        <v>1</v>
      </c>
      <c r="R1347">
        <v>1</v>
      </c>
      <c r="S1347">
        <v>1</v>
      </c>
      <c r="T1347">
        <v>1</v>
      </c>
      <c r="W1347">
        <v>1</v>
      </c>
      <c r="X1347">
        <v>1</v>
      </c>
      <c r="Y1347">
        <v>1</v>
      </c>
      <c r="Z1347">
        <v>1</v>
      </c>
      <c r="AA1347">
        <v>1</v>
      </c>
      <c r="AB1347">
        <v>1</v>
      </c>
    </row>
    <row r="1348" spans="1:28" x14ac:dyDescent="0.25">
      <c r="A1348" t="str">
        <f>"1344"</f>
        <v>1344</v>
      </c>
      <c r="B1348" t="str">
        <f t="shared" si="75"/>
        <v>1</v>
      </c>
      <c r="C1348" t="str">
        <f t="shared" si="76"/>
        <v>59</v>
      </c>
      <c r="D1348" t="str">
        <f>"5"</f>
        <v>5</v>
      </c>
      <c r="E1348" t="str">
        <f>"1-59-5"</f>
        <v>1-59-5</v>
      </c>
      <c r="F1348" t="s">
        <v>83</v>
      </c>
      <c r="G1348" t="s">
        <v>84</v>
      </c>
      <c r="H1348" t="s">
        <v>92</v>
      </c>
      <c r="I1348">
        <v>1</v>
      </c>
      <c r="J1348">
        <v>1</v>
      </c>
      <c r="N1348">
        <v>1</v>
      </c>
      <c r="O1348">
        <v>1</v>
      </c>
      <c r="P1348">
        <v>1</v>
      </c>
      <c r="Q1348">
        <v>1</v>
      </c>
      <c r="R1348">
        <v>1</v>
      </c>
      <c r="S1348">
        <v>1</v>
      </c>
      <c r="T1348">
        <v>1</v>
      </c>
      <c r="W1348">
        <v>1</v>
      </c>
      <c r="X1348">
        <v>1</v>
      </c>
      <c r="Y1348">
        <v>1</v>
      </c>
      <c r="Z1348">
        <v>1</v>
      </c>
      <c r="AA1348">
        <v>1</v>
      </c>
      <c r="AB1348">
        <v>1</v>
      </c>
    </row>
    <row r="1349" spans="1:28" x14ac:dyDescent="0.25">
      <c r="A1349" t="str">
        <f>"1345"</f>
        <v>1345</v>
      </c>
      <c r="B1349" t="str">
        <f t="shared" si="75"/>
        <v>1</v>
      </c>
      <c r="C1349" t="str">
        <f t="shared" si="76"/>
        <v>59</v>
      </c>
      <c r="D1349" t="str">
        <f>"20"</f>
        <v>20</v>
      </c>
      <c r="E1349" t="str">
        <f>"1-59-20"</f>
        <v>1-59-20</v>
      </c>
      <c r="F1349" t="s">
        <v>83</v>
      </c>
      <c r="G1349" t="s">
        <v>84</v>
      </c>
      <c r="H1349" t="s">
        <v>92</v>
      </c>
      <c r="I1349">
        <v>1</v>
      </c>
      <c r="J1349">
        <v>1</v>
      </c>
      <c r="N1349">
        <v>1</v>
      </c>
      <c r="O1349">
        <v>1</v>
      </c>
      <c r="P1349">
        <v>1</v>
      </c>
      <c r="Q1349">
        <v>1</v>
      </c>
      <c r="R1349">
        <v>1</v>
      </c>
      <c r="S1349">
        <v>1</v>
      </c>
      <c r="T1349">
        <v>1</v>
      </c>
      <c r="W1349">
        <v>1</v>
      </c>
      <c r="X1349">
        <v>1</v>
      </c>
      <c r="Y1349">
        <v>1</v>
      </c>
      <c r="Z1349">
        <v>1</v>
      </c>
      <c r="AA1349">
        <v>1</v>
      </c>
      <c r="AB1349">
        <v>1</v>
      </c>
    </row>
    <row r="1350" spans="1:28" x14ac:dyDescent="0.25">
      <c r="A1350" t="str">
        <f>"1346"</f>
        <v>1346</v>
      </c>
      <c r="B1350" t="str">
        <f t="shared" si="75"/>
        <v>1</v>
      </c>
      <c r="C1350" t="str">
        <f t="shared" si="76"/>
        <v>59</v>
      </c>
      <c r="D1350" t="str">
        <f>"12"</f>
        <v>12</v>
      </c>
      <c r="E1350" t="str">
        <f>"1-59-12"</f>
        <v>1-59-12</v>
      </c>
      <c r="F1350" t="s">
        <v>83</v>
      </c>
      <c r="G1350" t="s">
        <v>84</v>
      </c>
      <c r="H1350" t="s">
        <v>92</v>
      </c>
      <c r="I1350">
        <v>1</v>
      </c>
      <c r="J1350">
        <v>1</v>
      </c>
      <c r="N1350">
        <v>1</v>
      </c>
      <c r="O1350">
        <v>1</v>
      </c>
      <c r="P1350">
        <v>1</v>
      </c>
      <c r="Q1350">
        <v>1</v>
      </c>
      <c r="R1350">
        <v>1</v>
      </c>
      <c r="S1350">
        <v>1</v>
      </c>
      <c r="T1350">
        <v>1</v>
      </c>
      <c r="W1350">
        <v>1</v>
      </c>
      <c r="X1350">
        <v>1</v>
      </c>
      <c r="Y1350">
        <v>1</v>
      </c>
      <c r="Z1350">
        <v>1</v>
      </c>
      <c r="AA1350">
        <v>1</v>
      </c>
      <c r="AB1350">
        <v>1</v>
      </c>
    </row>
    <row r="1351" spans="1:28" x14ac:dyDescent="0.25">
      <c r="A1351" t="str">
        <f>"1347"</f>
        <v>1347</v>
      </c>
      <c r="B1351" t="str">
        <f t="shared" si="75"/>
        <v>1</v>
      </c>
      <c r="C1351" t="str">
        <f t="shared" si="76"/>
        <v>59</v>
      </c>
      <c r="D1351" t="str">
        <f>"4"</f>
        <v>4</v>
      </c>
      <c r="E1351" t="str">
        <f>"1-59-4"</f>
        <v>1-59-4</v>
      </c>
      <c r="F1351" t="s">
        <v>83</v>
      </c>
      <c r="G1351" t="s">
        <v>84</v>
      </c>
      <c r="H1351" t="s">
        <v>92</v>
      </c>
      <c r="I1351">
        <v>1</v>
      </c>
      <c r="J1351">
        <v>1</v>
      </c>
      <c r="N1351">
        <v>1</v>
      </c>
      <c r="O1351">
        <v>1</v>
      </c>
      <c r="P1351">
        <v>1</v>
      </c>
      <c r="Q1351">
        <v>1</v>
      </c>
      <c r="R1351">
        <v>1</v>
      </c>
      <c r="S1351">
        <v>1</v>
      </c>
      <c r="T1351">
        <v>1</v>
      </c>
      <c r="W1351">
        <v>1</v>
      </c>
      <c r="X1351">
        <v>1</v>
      </c>
      <c r="Y1351">
        <v>1</v>
      </c>
      <c r="Z1351">
        <v>1</v>
      </c>
      <c r="AA1351">
        <v>1</v>
      </c>
      <c r="AB1351">
        <v>1</v>
      </c>
    </row>
    <row r="1352" spans="1:28" x14ac:dyDescent="0.25">
      <c r="A1352" t="str">
        <f>"1348"</f>
        <v>1348</v>
      </c>
      <c r="B1352" t="str">
        <f t="shared" si="75"/>
        <v>1</v>
      </c>
      <c r="C1352" t="str">
        <f t="shared" si="76"/>
        <v>59</v>
      </c>
      <c r="D1352" t="str">
        <f>"23"</f>
        <v>23</v>
      </c>
      <c r="E1352" t="str">
        <f>"1-59-23"</f>
        <v>1-59-23</v>
      </c>
      <c r="F1352" t="s">
        <v>83</v>
      </c>
      <c r="G1352" t="s">
        <v>84</v>
      </c>
      <c r="H1352" t="s">
        <v>92</v>
      </c>
      <c r="I1352">
        <v>1</v>
      </c>
      <c r="J1352">
        <v>1</v>
      </c>
      <c r="N1352">
        <v>1</v>
      </c>
      <c r="O1352">
        <v>1</v>
      </c>
      <c r="P1352">
        <v>1</v>
      </c>
      <c r="Q1352">
        <v>1</v>
      </c>
      <c r="R1352">
        <v>1</v>
      </c>
      <c r="S1352">
        <v>1</v>
      </c>
      <c r="T1352">
        <v>1</v>
      </c>
      <c r="W1352">
        <v>1</v>
      </c>
      <c r="X1352">
        <v>1</v>
      </c>
      <c r="Y1352">
        <v>1</v>
      </c>
      <c r="Z1352">
        <v>1</v>
      </c>
      <c r="AA1352">
        <v>1</v>
      </c>
      <c r="AB1352">
        <v>1</v>
      </c>
    </row>
    <row r="1353" spans="1:28" x14ac:dyDescent="0.25">
      <c r="A1353" t="str">
        <f>"1349"</f>
        <v>1349</v>
      </c>
      <c r="B1353" t="str">
        <f t="shared" si="75"/>
        <v>1</v>
      </c>
      <c r="C1353" t="str">
        <f t="shared" si="76"/>
        <v>59</v>
      </c>
      <c r="D1353" t="str">
        <f>"13"</f>
        <v>13</v>
      </c>
      <c r="E1353" t="str">
        <f>"1-59-13"</f>
        <v>1-59-13</v>
      </c>
      <c r="F1353" t="s">
        <v>83</v>
      </c>
      <c r="G1353" t="s">
        <v>84</v>
      </c>
      <c r="H1353" t="s">
        <v>92</v>
      </c>
      <c r="I1353">
        <v>1</v>
      </c>
      <c r="J1353">
        <v>1</v>
      </c>
      <c r="N1353">
        <v>1</v>
      </c>
      <c r="O1353">
        <v>1</v>
      </c>
      <c r="P1353">
        <v>1</v>
      </c>
      <c r="Q1353">
        <v>1</v>
      </c>
      <c r="R1353">
        <v>1</v>
      </c>
      <c r="S1353">
        <v>1</v>
      </c>
      <c r="T1353">
        <v>1</v>
      </c>
      <c r="W1353">
        <v>1</v>
      </c>
      <c r="X1353">
        <v>1</v>
      </c>
      <c r="Y1353">
        <v>1</v>
      </c>
      <c r="Z1353">
        <v>1</v>
      </c>
      <c r="AA1353">
        <v>1</v>
      </c>
      <c r="AB1353">
        <v>1</v>
      </c>
    </row>
    <row r="1354" spans="1:28" s="2" customFormat="1" x14ac:dyDescent="0.25">
      <c r="A1354" s="1" t="str">
        <f>"1350"</f>
        <v>1350</v>
      </c>
      <c r="B1354" s="1" t="str">
        <f t="shared" si="75"/>
        <v>1</v>
      </c>
      <c r="C1354" s="1" t="str">
        <f t="shared" si="76"/>
        <v>59</v>
      </c>
      <c r="D1354" s="1" t="str">
        <f>"1"</f>
        <v>1</v>
      </c>
      <c r="E1354" s="1" t="str">
        <f>"1-59-1"</f>
        <v>1-59-1</v>
      </c>
      <c r="F1354" s="1" t="s">
        <v>83</v>
      </c>
      <c r="G1354" s="4" t="s">
        <v>96</v>
      </c>
      <c r="I1354" s="4"/>
    </row>
    <row r="1355" spans="1:28" x14ac:dyDescent="0.25">
      <c r="A1355" t="str">
        <f>"1351"</f>
        <v>1351</v>
      </c>
      <c r="B1355" t="str">
        <f t="shared" si="75"/>
        <v>1</v>
      </c>
      <c r="C1355" t="str">
        <f t="shared" si="76"/>
        <v>59</v>
      </c>
      <c r="D1355" t="str">
        <f>"22"</f>
        <v>22</v>
      </c>
      <c r="E1355" t="str">
        <f>"1-59-22"</f>
        <v>1-59-22</v>
      </c>
      <c r="F1355" t="s">
        <v>83</v>
      </c>
      <c r="G1355" t="s">
        <v>84</v>
      </c>
      <c r="H1355" t="s">
        <v>92</v>
      </c>
      <c r="I1355">
        <v>1</v>
      </c>
      <c r="J1355">
        <v>1</v>
      </c>
      <c r="N1355">
        <v>1</v>
      </c>
      <c r="O1355">
        <v>1</v>
      </c>
      <c r="P1355">
        <v>1</v>
      </c>
      <c r="Q1355">
        <v>0</v>
      </c>
      <c r="R1355">
        <v>1</v>
      </c>
      <c r="S1355">
        <v>1</v>
      </c>
      <c r="T1355">
        <v>1</v>
      </c>
      <c r="W1355">
        <v>1</v>
      </c>
      <c r="X1355">
        <v>1</v>
      </c>
      <c r="Y1355">
        <v>1</v>
      </c>
      <c r="Z1355">
        <v>1</v>
      </c>
      <c r="AA1355">
        <v>1</v>
      </c>
      <c r="AB1355">
        <v>1</v>
      </c>
    </row>
    <row r="1356" spans="1:28" x14ac:dyDescent="0.25">
      <c r="A1356" t="str">
        <f>"1352"</f>
        <v>1352</v>
      </c>
      <c r="B1356" t="str">
        <f t="shared" si="75"/>
        <v>1</v>
      </c>
      <c r="C1356" t="str">
        <f t="shared" si="76"/>
        <v>59</v>
      </c>
      <c r="D1356" t="str">
        <f>"14"</f>
        <v>14</v>
      </c>
      <c r="E1356" t="str">
        <f>"1-59-14"</f>
        <v>1-59-14</v>
      </c>
      <c r="F1356" t="s">
        <v>83</v>
      </c>
      <c r="G1356" t="s">
        <v>84</v>
      </c>
      <c r="H1356" t="s">
        <v>92</v>
      </c>
      <c r="I1356">
        <v>1</v>
      </c>
      <c r="J1356">
        <v>1</v>
      </c>
      <c r="N1356">
        <v>1</v>
      </c>
      <c r="O1356">
        <v>1</v>
      </c>
      <c r="P1356">
        <v>1</v>
      </c>
      <c r="Q1356">
        <v>1</v>
      </c>
      <c r="R1356">
        <v>1</v>
      </c>
      <c r="S1356">
        <v>1</v>
      </c>
      <c r="T1356">
        <v>1</v>
      </c>
      <c r="W1356">
        <v>1</v>
      </c>
      <c r="X1356">
        <v>1</v>
      </c>
      <c r="Y1356">
        <v>1</v>
      </c>
      <c r="Z1356">
        <v>1</v>
      </c>
      <c r="AA1356">
        <v>1</v>
      </c>
      <c r="AB1356">
        <v>1</v>
      </c>
    </row>
    <row r="1357" spans="1:28" x14ac:dyDescent="0.25">
      <c r="A1357" t="str">
        <f>"1353"</f>
        <v>1353</v>
      </c>
      <c r="B1357" t="str">
        <f t="shared" si="75"/>
        <v>1</v>
      </c>
      <c r="C1357" t="str">
        <f t="shared" si="76"/>
        <v>59</v>
      </c>
      <c r="D1357" t="str">
        <f>"7"</f>
        <v>7</v>
      </c>
      <c r="E1357" t="str">
        <f>"1-59-7"</f>
        <v>1-59-7</v>
      </c>
      <c r="F1357" t="s">
        <v>83</v>
      </c>
      <c r="G1357" t="s">
        <v>84</v>
      </c>
      <c r="H1357" t="s">
        <v>92</v>
      </c>
      <c r="I1357">
        <v>0</v>
      </c>
      <c r="J1357">
        <v>1</v>
      </c>
      <c r="N1357">
        <v>1</v>
      </c>
      <c r="O1357">
        <v>1</v>
      </c>
      <c r="P1357">
        <v>1</v>
      </c>
      <c r="Q1357">
        <v>1</v>
      </c>
      <c r="R1357">
        <v>1</v>
      </c>
      <c r="S1357">
        <v>1</v>
      </c>
      <c r="T1357">
        <v>1</v>
      </c>
      <c r="W1357">
        <v>1</v>
      </c>
      <c r="X1357">
        <v>1</v>
      </c>
      <c r="Y1357">
        <v>1</v>
      </c>
      <c r="Z1357">
        <v>1</v>
      </c>
      <c r="AA1357">
        <v>1</v>
      </c>
      <c r="AB1357">
        <v>1</v>
      </c>
    </row>
    <row r="1358" spans="1:28" x14ac:dyDescent="0.25">
      <c r="A1358" t="str">
        <f>"1354"</f>
        <v>1354</v>
      </c>
      <c r="B1358" t="str">
        <f t="shared" si="75"/>
        <v>1</v>
      </c>
      <c r="C1358" t="str">
        <f t="shared" ref="C1358:C1382" si="77">"60"</f>
        <v>60</v>
      </c>
      <c r="D1358" t="str">
        <f>"19"</f>
        <v>19</v>
      </c>
      <c r="E1358" t="str">
        <f>"1-60-19"</f>
        <v>1-60-19</v>
      </c>
      <c r="F1358" t="s">
        <v>83</v>
      </c>
      <c r="G1358" t="s">
        <v>84</v>
      </c>
      <c r="H1358" t="s">
        <v>92</v>
      </c>
      <c r="I1358">
        <v>1</v>
      </c>
      <c r="J1358">
        <v>1</v>
      </c>
      <c r="N1358">
        <v>1</v>
      </c>
      <c r="O1358">
        <v>1</v>
      </c>
      <c r="P1358">
        <v>1</v>
      </c>
      <c r="Q1358">
        <v>1</v>
      </c>
      <c r="R1358">
        <v>0</v>
      </c>
      <c r="S1358">
        <v>1</v>
      </c>
      <c r="T1358">
        <v>1</v>
      </c>
      <c r="W1358">
        <v>1</v>
      </c>
      <c r="X1358">
        <v>1</v>
      </c>
      <c r="Y1358">
        <v>1</v>
      </c>
      <c r="Z1358">
        <v>1</v>
      </c>
      <c r="AA1358">
        <v>1</v>
      </c>
      <c r="AB1358">
        <v>1</v>
      </c>
    </row>
    <row r="1359" spans="1:28" x14ac:dyDescent="0.25">
      <c r="A1359" t="str">
        <f>"1355"</f>
        <v>1355</v>
      </c>
      <c r="B1359" t="str">
        <f t="shared" si="75"/>
        <v>1</v>
      </c>
      <c r="C1359" t="str">
        <f t="shared" si="77"/>
        <v>60</v>
      </c>
      <c r="D1359" t="str">
        <f>"18"</f>
        <v>18</v>
      </c>
      <c r="E1359" t="str">
        <f>"1-60-18"</f>
        <v>1-60-18</v>
      </c>
      <c r="F1359" t="s">
        <v>83</v>
      </c>
      <c r="G1359" t="s">
        <v>84</v>
      </c>
      <c r="H1359" t="s">
        <v>92</v>
      </c>
      <c r="I1359">
        <v>1</v>
      </c>
      <c r="J1359">
        <v>1</v>
      </c>
      <c r="N1359">
        <v>1</v>
      </c>
      <c r="O1359">
        <v>1</v>
      </c>
      <c r="P1359">
        <v>1</v>
      </c>
      <c r="Q1359">
        <v>1</v>
      </c>
      <c r="R1359">
        <v>1</v>
      </c>
      <c r="S1359">
        <v>1</v>
      </c>
      <c r="T1359">
        <v>1</v>
      </c>
      <c r="W1359">
        <v>1</v>
      </c>
      <c r="X1359">
        <v>1</v>
      </c>
      <c r="Y1359">
        <v>1</v>
      </c>
      <c r="Z1359">
        <v>1</v>
      </c>
      <c r="AA1359">
        <v>1</v>
      </c>
      <c r="AB1359">
        <v>1</v>
      </c>
    </row>
    <row r="1360" spans="1:28" x14ac:dyDescent="0.25">
      <c r="A1360" t="str">
        <f>"1356"</f>
        <v>1356</v>
      </c>
      <c r="B1360" t="str">
        <f t="shared" si="75"/>
        <v>1</v>
      </c>
      <c r="C1360" t="str">
        <f t="shared" si="77"/>
        <v>60</v>
      </c>
      <c r="D1360" t="str">
        <f>"13"</f>
        <v>13</v>
      </c>
      <c r="E1360" t="str">
        <f>"1-60-13"</f>
        <v>1-60-13</v>
      </c>
      <c r="F1360" t="s">
        <v>83</v>
      </c>
      <c r="G1360" t="s">
        <v>84</v>
      </c>
      <c r="H1360" t="s">
        <v>92</v>
      </c>
      <c r="I1360">
        <v>1</v>
      </c>
      <c r="J1360">
        <v>1</v>
      </c>
      <c r="N1360">
        <v>1</v>
      </c>
      <c r="O1360">
        <v>1</v>
      </c>
      <c r="P1360">
        <v>1</v>
      </c>
      <c r="Q1360">
        <v>1</v>
      </c>
      <c r="R1360">
        <v>1</v>
      </c>
      <c r="S1360">
        <v>1</v>
      </c>
      <c r="T1360">
        <v>1</v>
      </c>
      <c r="W1360">
        <v>1</v>
      </c>
      <c r="X1360">
        <v>1</v>
      </c>
      <c r="Y1360">
        <v>1</v>
      </c>
      <c r="Z1360">
        <v>1</v>
      </c>
      <c r="AA1360">
        <v>1</v>
      </c>
      <c r="AB1360">
        <v>1</v>
      </c>
    </row>
    <row r="1361" spans="1:28" x14ac:dyDescent="0.25">
      <c r="A1361" t="str">
        <f>"1357"</f>
        <v>1357</v>
      </c>
      <c r="B1361" t="str">
        <f t="shared" si="75"/>
        <v>1</v>
      </c>
      <c r="C1361" t="str">
        <f t="shared" si="77"/>
        <v>60</v>
      </c>
      <c r="D1361" t="str">
        <f>"8"</f>
        <v>8</v>
      </c>
      <c r="E1361" t="str">
        <f>"1-60-8"</f>
        <v>1-60-8</v>
      </c>
      <c r="F1361" t="s">
        <v>83</v>
      </c>
      <c r="G1361" t="s">
        <v>84</v>
      </c>
      <c r="H1361" t="s">
        <v>92</v>
      </c>
      <c r="I1361">
        <v>1</v>
      </c>
      <c r="J1361">
        <v>1</v>
      </c>
      <c r="N1361">
        <v>1</v>
      </c>
      <c r="O1361">
        <v>1</v>
      </c>
      <c r="P1361">
        <v>1</v>
      </c>
      <c r="Q1361">
        <v>1</v>
      </c>
      <c r="R1361">
        <v>1</v>
      </c>
      <c r="S1361">
        <v>1</v>
      </c>
      <c r="T1361">
        <v>1</v>
      </c>
      <c r="W1361">
        <v>1</v>
      </c>
      <c r="X1361">
        <v>1</v>
      </c>
      <c r="Y1361">
        <v>1</v>
      </c>
      <c r="Z1361">
        <v>1</v>
      </c>
      <c r="AA1361">
        <v>1</v>
      </c>
      <c r="AB1361">
        <v>1</v>
      </c>
    </row>
    <row r="1362" spans="1:28" x14ac:dyDescent="0.25">
      <c r="A1362" t="str">
        <f>"1358"</f>
        <v>1358</v>
      </c>
      <c r="B1362" t="str">
        <f t="shared" si="75"/>
        <v>1</v>
      </c>
      <c r="C1362" t="str">
        <f t="shared" si="77"/>
        <v>60</v>
      </c>
      <c r="D1362" t="str">
        <f>"1"</f>
        <v>1</v>
      </c>
      <c r="E1362" t="str">
        <f>"1-60-1"</f>
        <v>1-60-1</v>
      </c>
      <c r="F1362" t="s">
        <v>83</v>
      </c>
      <c r="G1362" t="s">
        <v>86</v>
      </c>
      <c r="H1362" t="s">
        <v>93</v>
      </c>
      <c r="I1362">
        <v>1</v>
      </c>
      <c r="K1362">
        <v>0</v>
      </c>
      <c r="L1362">
        <v>0</v>
      </c>
      <c r="M1362">
        <v>1</v>
      </c>
      <c r="N1362">
        <v>1</v>
      </c>
      <c r="O1362">
        <v>1</v>
      </c>
      <c r="P1362">
        <v>1</v>
      </c>
      <c r="Q1362">
        <v>1</v>
      </c>
      <c r="R1362">
        <v>1</v>
      </c>
      <c r="U1362">
        <v>0</v>
      </c>
      <c r="V1362">
        <v>1</v>
      </c>
      <c r="W1362">
        <v>1</v>
      </c>
      <c r="X1362">
        <v>1</v>
      </c>
      <c r="Y1362">
        <v>1</v>
      </c>
      <c r="Z1362">
        <v>1</v>
      </c>
      <c r="AA1362">
        <v>1</v>
      </c>
      <c r="AB1362">
        <v>1</v>
      </c>
    </row>
    <row r="1363" spans="1:28" x14ac:dyDescent="0.25">
      <c r="A1363" t="str">
        <f>"1359"</f>
        <v>1359</v>
      </c>
      <c r="B1363" t="str">
        <f t="shared" si="75"/>
        <v>1</v>
      </c>
      <c r="C1363" t="str">
        <f t="shared" si="77"/>
        <v>60</v>
      </c>
      <c r="D1363" t="str">
        <f>"23"</f>
        <v>23</v>
      </c>
      <c r="E1363" t="str">
        <f>"1-60-23"</f>
        <v>1-60-23</v>
      </c>
      <c r="F1363" t="s">
        <v>83</v>
      </c>
      <c r="G1363" t="s">
        <v>84</v>
      </c>
      <c r="H1363" t="s">
        <v>92</v>
      </c>
      <c r="I1363">
        <v>1</v>
      </c>
      <c r="J1363">
        <v>1</v>
      </c>
      <c r="N1363">
        <v>1</v>
      </c>
      <c r="O1363">
        <v>1</v>
      </c>
      <c r="P1363">
        <v>1</v>
      </c>
      <c r="Q1363">
        <v>1</v>
      </c>
      <c r="R1363">
        <v>1</v>
      </c>
      <c r="S1363">
        <v>1</v>
      </c>
      <c r="T1363">
        <v>1</v>
      </c>
      <c r="W1363">
        <v>1</v>
      </c>
      <c r="X1363">
        <v>1</v>
      </c>
      <c r="Y1363">
        <v>1</v>
      </c>
      <c r="Z1363">
        <v>1</v>
      </c>
      <c r="AA1363">
        <v>1</v>
      </c>
      <c r="AB1363">
        <v>1</v>
      </c>
    </row>
    <row r="1364" spans="1:28" x14ac:dyDescent="0.25">
      <c r="A1364" t="str">
        <f>"1360"</f>
        <v>1360</v>
      </c>
      <c r="B1364" t="str">
        <f t="shared" si="75"/>
        <v>1</v>
      </c>
      <c r="C1364" t="str">
        <f t="shared" si="77"/>
        <v>60</v>
      </c>
      <c r="D1364" t="str">
        <f>"22"</f>
        <v>22</v>
      </c>
      <c r="E1364" t="str">
        <f>"1-60-22"</f>
        <v>1-60-22</v>
      </c>
      <c r="F1364" t="s">
        <v>83</v>
      </c>
      <c r="G1364" t="s">
        <v>84</v>
      </c>
      <c r="H1364" t="s">
        <v>92</v>
      </c>
      <c r="I1364">
        <v>1</v>
      </c>
      <c r="J1364">
        <v>1</v>
      </c>
      <c r="N1364">
        <v>1</v>
      </c>
      <c r="O1364">
        <v>1</v>
      </c>
      <c r="P1364">
        <v>1</v>
      </c>
      <c r="Q1364">
        <v>1</v>
      </c>
      <c r="R1364">
        <v>1</v>
      </c>
      <c r="S1364">
        <v>1</v>
      </c>
      <c r="T1364">
        <v>1</v>
      </c>
      <c r="W1364">
        <v>1</v>
      </c>
      <c r="X1364">
        <v>1</v>
      </c>
      <c r="Y1364">
        <v>1</v>
      </c>
      <c r="Z1364">
        <v>1</v>
      </c>
      <c r="AA1364">
        <v>1</v>
      </c>
      <c r="AB1364">
        <v>1</v>
      </c>
    </row>
    <row r="1365" spans="1:28" x14ac:dyDescent="0.25">
      <c r="A1365" t="str">
        <f>"1361"</f>
        <v>1361</v>
      </c>
      <c r="B1365" t="str">
        <f t="shared" si="75"/>
        <v>1</v>
      </c>
      <c r="C1365" t="str">
        <f t="shared" si="77"/>
        <v>60</v>
      </c>
      <c r="D1365" t="str">
        <f>"16"</f>
        <v>16</v>
      </c>
      <c r="E1365" t="str">
        <f>"1-60-16"</f>
        <v>1-60-16</v>
      </c>
      <c r="F1365" t="s">
        <v>83</v>
      </c>
      <c r="G1365" t="s">
        <v>84</v>
      </c>
      <c r="H1365" t="s">
        <v>92</v>
      </c>
      <c r="I1365">
        <v>1</v>
      </c>
      <c r="J1365">
        <v>1</v>
      </c>
      <c r="N1365">
        <v>1</v>
      </c>
      <c r="O1365">
        <v>1</v>
      </c>
      <c r="P1365">
        <v>1</v>
      </c>
      <c r="Q1365">
        <v>1</v>
      </c>
      <c r="R1365">
        <v>1</v>
      </c>
      <c r="S1365">
        <v>1</v>
      </c>
      <c r="T1365">
        <v>1</v>
      </c>
      <c r="W1365">
        <v>1</v>
      </c>
      <c r="X1365">
        <v>1</v>
      </c>
      <c r="Y1365">
        <v>1</v>
      </c>
      <c r="Z1365">
        <v>1</v>
      </c>
      <c r="AA1365">
        <v>1</v>
      </c>
      <c r="AB1365">
        <v>1</v>
      </c>
    </row>
    <row r="1366" spans="1:28" x14ac:dyDescent="0.25">
      <c r="A1366" t="str">
        <f>"1362"</f>
        <v>1362</v>
      </c>
      <c r="B1366" t="str">
        <f t="shared" si="75"/>
        <v>1</v>
      </c>
      <c r="C1366" t="str">
        <f t="shared" si="77"/>
        <v>60</v>
      </c>
      <c r="D1366" t="str">
        <f>"9"</f>
        <v>9</v>
      </c>
      <c r="E1366" t="str">
        <f>"1-60-9"</f>
        <v>1-60-9</v>
      </c>
      <c r="F1366" t="s">
        <v>83</v>
      </c>
      <c r="G1366" t="s">
        <v>84</v>
      </c>
      <c r="H1366" t="s">
        <v>92</v>
      </c>
      <c r="I1366">
        <v>1</v>
      </c>
      <c r="J1366">
        <v>1</v>
      </c>
      <c r="N1366">
        <v>1</v>
      </c>
      <c r="O1366">
        <v>1</v>
      </c>
      <c r="P1366">
        <v>0</v>
      </c>
      <c r="Q1366">
        <v>1</v>
      </c>
      <c r="R1366">
        <v>0</v>
      </c>
      <c r="S1366">
        <v>1</v>
      </c>
      <c r="T1366">
        <v>1</v>
      </c>
      <c r="W1366">
        <v>1</v>
      </c>
      <c r="X1366">
        <v>1</v>
      </c>
      <c r="Y1366">
        <v>1</v>
      </c>
      <c r="Z1366">
        <v>1</v>
      </c>
      <c r="AA1366">
        <v>0</v>
      </c>
      <c r="AB1366">
        <v>1</v>
      </c>
    </row>
    <row r="1367" spans="1:28" x14ac:dyDescent="0.25">
      <c r="A1367" t="str">
        <f>"1363"</f>
        <v>1363</v>
      </c>
      <c r="B1367" t="str">
        <f t="shared" si="75"/>
        <v>1</v>
      </c>
      <c r="C1367" t="str">
        <f t="shared" si="77"/>
        <v>60</v>
      </c>
      <c r="D1367" t="str">
        <f>"7"</f>
        <v>7</v>
      </c>
      <c r="E1367" t="str">
        <f>"1-60-7"</f>
        <v>1-60-7</v>
      </c>
      <c r="F1367" t="s">
        <v>83</v>
      </c>
      <c r="G1367" t="s">
        <v>84</v>
      </c>
      <c r="H1367" t="s">
        <v>92</v>
      </c>
      <c r="I1367">
        <v>1</v>
      </c>
      <c r="J1367">
        <v>1</v>
      </c>
      <c r="N1367">
        <v>1</v>
      </c>
      <c r="O1367">
        <v>1</v>
      </c>
      <c r="P1367">
        <v>1</v>
      </c>
      <c r="Q1367">
        <v>1</v>
      </c>
      <c r="R1367">
        <v>1</v>
      </c>
      <c r="S1367">
        <v>1</v>
      </c>
      <c r="T1367">
        <v>1</v>
      </c>
      <c r="W1367">
        <v>1</v>
      </c>
      <c r="X1367">
        <v>1</v>
      </c>
      <c r="Y1367">
        <v>1</v>
      </c>
      <c r="Z1367">
        <v>1</v>
      </c>
      <c r="AA1367">
        <v>1</v>
      </c>
      <c r="AB1367">
        <v>1</v>
      </c>
    </row>
    <row r="1368" spans="1:28" x14ac:dyDescent="0.25">
      <c r="A1368" t="str">
        <f>"1364"</f>
        <v>1364</v>
      </c>
      <c r="B1368" t="str">
        <f t="shared" si="75"/>
        <v>1</v>
      </c>
      <c r="C1368" t="str">
        <f t="shared" si="77"/>
        <v>60</v>
      </c>
      <c r="D1368" t="str">
        <f>"25"</f>
        <v>25</v>
      </c>
      <c r="E1368" t="str">
        <f>"1-60-25"</f>
        <v>1-60-25</v>
      </c>
      <c r="F1368" t="s">
        <v>83</v>
      </c>
      <c r="G1368" t="s">
        <v>84</v>
      </c>
      <c r="H1368" t="s">
        <v>92</v>
      </c>
      <c r="I1368">
        <v>1</v>
      </c>
      <c r="J1368">
        <v>1</v>
      </c>
      <c r="N1368">
        <v>1</v>
      </c>
      <c r="O1368">
        <v>1</v>
      </c>
      <c r="P1368">
        <v>1</v>
      </c>
      <c r="Q1368">
        <v>1</v>
      </c>
      <c r="R1368">
        <v>1</v>
      </c>
      <c r="S1368">
        <v>1</v>
      </c>
      <c r="T1368">
        <v>1</v>
      </c>
      <c r="W1368">
        <v>1</v>
      </c>
      <c r="X1368">
        <v>1</v>
      </c>
      <c r="Y1368">
        <v>1</v>
      </c>
      <c r="Z1368">
        <v>1</v>
      </c>
      <c r="AA1368">
        <v>1</v>
      </c>
      <c r="AB1368">
        <v>1</v>
      </c>
    </row>
    <row r="1369" spans="1:28" x14ac:dyDescent="0.25">
      <c r="A1369" t="str">
        <f>"1365"</f>
        <v>1365</v>
      </c>
      <c r="B1369" t="str">
        <f t="shared" si="75"/>
        <v>1</v>
      </c>
      <c r="C1369" t="str">
        <f t="shared" si="77"/>
        <v>60</v>
      </c>
      <c r="D1369" t="str">
        <f>"24"</f>
        <v>24</v>
      </c>
      <c r="E1369" t="str">
        <f>"1-60-24"</f>
        <v>1-60-24</v>
      </c>
      <c r="F1369" t="s">
        <v>83</v>
      </c>
      <c r="G1369" t="s">
        <v>84</v>
      </c>
      <c r="H1369" t="s">
        <v>92</v>
      </c>
      <c r="I1369">
        <v>1</v>
      </c>
      <c r="J1369">
        <v>0</v>
      </c>
      <c r="N1369">
        <v>1</v>
      </c>
      <c r="O1369">
        <v>1</v>
      </c>
      <c r="P1369">
        <v>1</v>
      </c>
      <c r="Q1369">
        <v>1</v>
      </c>
      <c r="R1369">
        <v>0</v>
      </c>
      <c r="S1369">
        <v>0</v>
      </c>
      <c r="T1369">
        <v>0</v>
      </c>
      <c r="W1369">
        <v>0</v>
      </c>
      <c r="X1369">
        <v>0</v>
      </c>
      <c r="Y1369">
        <v>0</v>
      </c>
      <c r="Z1369">
        <v>0</v>
      </c>
      <c r="AA1369">
        <v>0</v>
      </c>
      <c r="AB1369">
        <v>0</v>
      </c>
    </row>
    <row r="1370" spans="1:28" x14ac:dyDescent="0.25">
      <c r="A1370" t="str">
        <f>"1366"</f>
        <v>1366</v>
      </c>
      <c r="B1370" t="str">
        <f t="shared" si="75"/>
        <v>1</v>
      </c>
      <c r="C1370" t="str">
        <f t="shared" si="77"/>
        <v>60</v>
      </c>
      <c r="D1370" t="str">
        <f>"17"</f>
        <v>17</v>
      </c>
      <c r="E1370" t="str">
        <f>"1-60-17"</f>
        <v>1-60-17</v>
      </c>
      <c r="F1370" t="s">
        <v>83</v>
      </c>
      <c r="G1370" t="s">
        <v>84</v>
      </c>
      <c r="H1370" t="s">
        <v>92</v>
      </c>
      <c r="I1370">
        <v>1</v>
      </c>
      <c r="J1370">
        <v>1</v>
      </c>
      <c r="N1370">
        <v>1</v>
      </c>
      <c r="O1370">
        <v>1</v>
      </c>
      <c r="P1370">
        <v>1</v>
      </c>
      <c r="Q1370">
        <v>1</v>
      </c>
      <c r="R1370">
        <v>0</v>
      </c>
      <c r="S1370">
        <v>1</v>
      </c>
      <c r="T1370">
        <v>1</v>
      </c>
      <c r="W1370">
        <v>1</v>
      </c>
      <c r="X1370">
        <v>1</v>
      </c>
      <c r="Y1370">
        <v>1</v>
      </c>
      <c r="Z1370">
        <v>1</v>
      </c>
      <c r="AA1370">
        <v>1</v>
      </c>
      <c r="AB1370">
        <v>1</v>
      </c>
    </row>
    <row r="1371" spans="1:28" x14ac:dyDescent="0.25">
      <c r="A1371" t="str">
        <f>"1367"</f>
        <v>1367</v>
      </c>
      <c r="B1371" t="str">
        <f t="shared" si="75"/>
        <v>1</v>
      </c>
      <c r="C1371" t="str">
        <f t="shared" si="77"/>
        <v>60</v>
      </c>
      <c r="D1371" t="str">
        <f>"10"</f>
        <v>10</v>
      </c>
      <c r="E1371" t="str">
        <f>"1-60-10"</f>
        <v>1-60-10</v>
      </c>
      <c r="F1371" t="s">
        <v>83</v>
      </c>
      <c r="G1371" t="s">
        <v>84</v>
      </c>
      <c r="H1371" t="s">
        <v>92</v>
      </c>
      <c r="I1371">
        <v>1</v>
      </c>
      <c r="J1371">
        <v>1</v>
      </c>
      <c r="N1371">
        <v>1</v>
      </c>
      <c r="O1371">
        <v>1</v>
      </c>
      <c r="P1371">
        <v>0</v>
      </c>
      <c r="Q1371">
        <v>0</v>
      </c>
      <c r="R1371">
        <v>0</v>
      </c>
      <c r="S1371">
        <v>0</v>
      </c>
      <c r="T1371">
        <v>0</v>
      </c>
      <c r="W1371">
        <v>0</v>
      </c>
      <c r="X1371">
        <v>0</v>
      </c>
      <c r="Y1371">
        <v>0</v>
      </c>
      <c r="Z1371">
        <v>0</v>
      </c>
      <c r="AA1371">
        <v>0</v>
      </c>
      <c r="AB1371">
        <v>0</v>
      </c>
    </row>
    <row r="1372" spans="1:28" x14ac:dyDescent="0.25">
      <c r="A1372" t="str">
        <f>"1368"</f>
        <v>1368</v>
      </c>
      <c r="B1372" t="str">
        <f t="shared" si="75"/>
        <v>1</v>
      </c>
      <c r="C1372" t="str">
        <f t="shared" si="77"/>
        <v>60</v>
      </c>
      <c r="D1372" t="str">
        <f>"2"</f>
        <v>2</v>
      </c>
      <c r="E1372" t="str">
        <f>"1-60-2"</f>
        <v>1-60-2</v>
      </c>
      <c r="F1372" t="s">
        <v>83</v>
      </c>
      <c r="G1372" t="s">
        <v>84</v>
      </c>
      <c r="H1372" t="s">
        <v>92</v>
      </c>
      <c r="I1372">
        <v>1</v>
      </c>
      <c r="J1372">
        <v>1</v>
      </c>
      <c r="N1372">
        <v>1</v>
      </c>
      <c r="O1372">
        <v>1</v>
      </c>
      <c r="P1372">
        <v>1</v>
      </c>
      <c r="Q1372">
        <v>1</v>
      </c>
      <c r="R1372">
        <v>1</v>
      </c>
      <c r="S1372">
        <v>1</v>
      </c>
      <c r="T1372">
        <v>1</v>
      </c>
      <c r="W1372">
        <v>1</v>
      </c>
      <c r="X1372">
        <v>1</v>
      </c>
      <c r="Y1372">
        <v>1</v>
      </c>
      <c r="Z1372">
        <v>1</v>
      </c>
      <c r="AA1372">
        <v>1</v>
      </c>
      <c r="AB1372">
        <v>0</v>
      </c>
    </row>
    <row r="1373" spans="1:28" x14ac:dyDescent="0.25">
      <c r="A1373" t="str">
        <f>"1369"</f>
        <v>1369</v>
      </c>
      <c r="B1373" t="str">
        <f t="shared" si="75"/>
        <v>1</v>
      </c>
      <c r="C1373" t="str">
        <f t="shared" si="77"/>
        <v>60</v>
      </c>
      <c r="D1373" t="str">
        <f>"20"</f>
        <v>20</v>
      </c>
      <c r="E1373" t="str">
        <f>"1-60-20"</f>
        <v>1-60-20</v>
      </c>
      <c r="F1373" t="s">
        <v>83</v>
      </c>
      <c r="G1373" t="s">
        <v>84</v>
      </c>
      <c r="H1373" t="s">
        <v>92</v>
      </c>
      <c r="I1373">
        <v>1</v>
      </c>
      <c r="J1373">
        <v>1</v>
      </c>
      <c r="N1373">
        <v>1</v>
      </c>
      <c r="O1373">
        <v>1</v>
      </c>
      <c r="P1373">
        <v>1</v>
      </c>
      <c r="Q1373">
        <v>1</v>
      </c>
      <c r="R1373">
        <v>1</v>
      </c>
      <c r="S1373">
        <v>1</v>
      </c>
      <c r="T1373">
        <v>1</v>
      </c>
      <c r="W1373">
        <v>1</v>
      </c>
      <c r="X1373">
        <v>1</v>
      </c>
      <c r="Y1373">
        <v>1</v>
      </c>
      <c r="Z1373">
        <v>1</v>
      </c>
      <c r="AA1373">
        <v>1</v>
      </c>
      <c r="AB1373">
        <v>1</v>
      </c>
    </row>
    <row r="1374" spans="1:28" x14ac:dyDescent="0.25">
      <c r="A1374" t="str">
        <f>"1370"</f>
        <v>1370</v>
      </c>
      <c r="B1374" t="str">
        <f t="shared" ref="B1374:B1437" si="78">"1"</f>
        <v>1</v>
      </c>
      <c r="C1374" t="str">
        <f t="shared" si="77"/>
        <v>60</v>
      </c>
      <c r="D1374" t="str">
        <f>"11"</f>
        <v>11</v>
      </c>
      <c r="E1374" t="str">
        <f>"1-60-11"</f>
        <v>1-60-11</v>
      </c>
      <c r="F1374" t="s">
        <v>83</v>
      </c>
      <c r="G1374" t="s">
        <v>84</v>
      </c>
      <c r="H1374" t="s">
        <v>92</v>
      </c>
      <c r="I1374">
        <v>1</v>
      </c>
      <c r="J1374">
        <v>1</v>
      </c>
      <c r="N1374">
        <v>1</v>
      </c>
      <c r="O1374">
        <v>1</v>
      </c>
      <c r="P1374">
        <v>1</v>
      </c>
      <c r="Q1374">
        <v>1</v>
      </c>
      <c r="R1374">
        <v>1</v>
      </c>
      <c r="S1374">
        <v>1</v>
      </c>
      <c r="T1374">
        <v>1</v>
      </c>
      <c r="W1374">
        <v>1</v>
      </c>
      <c r="X1374">
        <v>1</v>
      </c>
      <c r="Y1374">
        <v>1</v>
      </c>
      <c r="Z1374">
        <v>1</v>
      </c>
      <c r="AA1374">
        <v>1</v>
      </c>
      <c r="AB1374">
        <v>1</v>
      </c>
    </row>
    <row r="1375" spans="1:28" x14ac:dyDescent="0.25">
      <c r="A1375" t="str">
        <f>"1371"</f>
        <v>1371</v>
      </c>
      <c r="B1375" t="str">
        <f t="shared" si="78"/>
        <v>1</v>
      </c>
      <c r="C1375" t="str">
        <f t="shared" si="77"/>
        <v>60</v>
      </c>
      <c r="D1375" t="str">
        <f>"6"</f>
        <v>6</v>
      </c>
      <c r="E1375" t="str">
        <f>"1-60-6"</f>
        <v>1-60-6</v>
      </c>
      <c r="F1375" t="s">
        <v>83</v>
      </c>
      <c r="G1375" t="s">
        <v>84</v>
      </c>
      <c r="H1375" t="s">
        <v>92</v>
      </c>
      <c r="I1375">
        <v>1</v>
      </c>
      <c r="J1375">
        <v>1</v>
      </c>
      <c r="N1375">
        <v>1</v>
      </c>
      <c r="O1375">
        <v>1</v>
      </c>
      <c r="P1375">
        <v>1</v>
      </c>
      <c r="Q1375">
        <v>1</v>
      </c>
      <c r="R1375">
        <v>1</v>
      </c>
      <c r="S1375">
        <v>1</v>
      </c>
      <c r="T1375">
        <v>1</v>
      </c>
      <c r="W1375">
        <v>1</v>
      </c>
      <c r="X1375">
        <v>1</v>
      </c>
      <c r="Y1375">
        <v>1</v>
      </c>
      <c r="Z1375">
        <v>1</v>
      </c>
      <c r="AA1375">
        <v>1</v>
      </c>
      <c r="AB1375">
        <v>1</v>
      </c>
    </row>
    <row r="1376" spans="1:28" x14ac:dyDescent="0.25">
      <c r="A1376" t="str">
        <f>"1372"</f>
        <v>1372</v>
      </c>
      <c r="B1376" t="str">
        <f t="shared" si="78"/>
        <v>1</v>
      </c>
      <c r="C1376" t="str">
        <f t="shared" si="77"/>
        <v>60</v>
      </c>
      <c r="D1376" t="str">
        <f>"21"</f>
        <v>21</v>
      </c>
      <c r="E1376" t="str">
        <f>"1-60-21"</f>
        <v>1-60-21</v>
      </c>
      <c r="F1376" t="s">
        <v>83</v>
      </c>
      <c r="G1376" t="s">
        <v>84</v>
      </c>
      <c r="H1376" t="s">
        <v>92</v>
      </c>
      <c r="I1376">
        <v>1</v>
      </c>
      <c r="J1376">
        <v>1</v>
      </c>
      <c r="N1376">
        <v>1</v>
      </c>
      <c r="O1376">
        <v>1</v>
      </c>
      <c r="P1376">
        <v>1</v>
      </c>
      <c r="Q1376">
        <v>1</v>
      </c>
      <c r="R1376">
        <v>1</v>
      </c>
      <c r="S1376">
        <v>1</v>
      </c>
      <c r="T1376">
        <v>1</v>
      </c>
      <c r="W1376">
        <v>1</v>
      </c>
      <c r="X1376">
        <v>1</v>
      </c>
      <c r="Y1376">
        <v>1</v>
      </c>
      <c r="Z1376">
        <v>1</v>
      </c>
      <c r="AA1376">
        <v>1</v>
      </c>
      <c r="AB1376">
        <v>1</v>
      </c>
    </row>
    <row r="1377" spans="1:49" x14ac:dyDescent="0.25">
      <c r="A1377" t="str">
        <f>"1373"</f>
        <v>1373</v>
      </c>
      <c r="B1377" t="str">
        <f t="shared" si="78"/>
        <v>1</v>
      </c>
      <c r="C1377" t="str">
        <f t="shared" si="77"/>
        <v>60</v>
      </c>
      <c r="D1377" t="str">
        <f>"12"</f>
        <v>12</v>
      </c>
      <c r="E1377" t="str">
        <f>"1-60-12"</f>
        <v>1-60-12</v>
      </c>
      <c r="F1377" t="s">
        <v>83</v>
      </c>
      <c r="G1377" t="s">
        <v>84</v>
      </c>
      <c r="H1377" t="s">
        <v>92</v>
      </c>
      <c r="I1377">
        <v>1</v>
      </c>
      <c r="J1377">
        <v>1</v>
      </c>
      <c r="N1377">
        <v>1</v>
      </c>
      <c r="O1377">
        <v>1</v>
      </c>
      <c r="P1377">
        <v>1</v>
      </c>
      <c r="Q1377">
        <v>1</v>
      </c>
      <c r="R1377">
        <v>1</v>
      </c>
      <c r="S1377">
        <v>1</v>
      </c>
      <c r="T1377">
        <v>1</v>
      </c>
      <c r="W1377">
        <v>1</v>
      </c>
      <c r="X1377">
        <v>1</v>
      </c>
      <c r="Y1377">
        <v>1</v>
      </c>
      <c r="Z1377">
        <v>1</v>
      </c>
      <c r="AA1377">
        <v>1</v>
      </c>
      <c r="AB1377">
        <v>1</v>
      </c>
    </row>
    <row r="1378" spans="1:49" x14ac:dyDescent="0.25">
      <c r="A1378" t="str">
        <f>"1374"</f>
        <v>1374</v>
      </c>
      <c r="B1378" t="str">
        <f t="shared" si="78"/>
        <v>1</v>
      </c>
      <c r="C1378" t="str">
        <f t="shared" si="77"/>
        <v>60</v>
      </c>
      <c r="D1378" t="str">
        <f>"3"</f>
        <v>3</v>
      </c>
      <c r="E1378" t="str">
        <f>"1-60-3"</f>
        <v>1-60-3</v>
      </c>
      <c r="F1378" t="s">
        <v>83</v>
      </c>
      <c r="G1378" t="s">
        <v>84</v>
      </c>
      <c r="H1378" t="s">
        <v>92</v>
      </c>
      <c r="I1378">
        <v>1</v>
      </c>
      <c r="J1378">
        <v>1</v>
      </c>
      <c r="N1378">
        <v>1</v>
      </c>
      <c r="O1378">
        <v>1</v>
      </c>
      <c r="P1378">
        <v>1</v>
      </c>
      <c r="Q1378">
        <v>1</v>
      </c>
      <c r="R1378">
        <v>1</v>
      </c>
      <c r="S1378">
        <v>1</v>
      </c>
      <c r="T1378">
        <v>1</v>
      </c>
      <c r="W1378">
        <v>1</v>
      </c>
      <c r="X1378">
        <v>1</v>
      </c>
      <c r="Y1378">
        <v>1</v>
      </c>
      <c r="Z1378">
        <v>1</v>
      </c>
      <c r="AA1378">
        <v>1</v>
      </c>
      <c r="AB1378">
        <v>1</v>
      </c>
    </row>
    <row r="1379" spans="1:49" x14ac:dyDescent="0.25">
      <c r="A1379" t="str">
        <f>"1375"</f>
        <v>1375</v>
      </c>
      <c r="B1379" t="str">
        <f t="shared" si="78"/>
        <v>1</v>
      </c>
      <c r="C1379" t="str">
        <f t="shared" si="77"/>
        <v>60</v>
      </c>
      <c r="D1379" t="str">
        <f>"14"</f>
        <v>14</v>
      </c>
      <c r="E1379" t="str">
        <f>"1-60-14"</f>
        <v>1-60-14</v>
      </c>
      <c r="F1379" t="s">
        <v>83</v>
      </c>
      <c r="G1379" t="s">
        <v>84</v>
      </c>
      <c r="H1379" t="s">
        <v>92</v>
      </c>
      <c r="I1379">
        <v>1</v>
      </c>
      <c r="J1379">
        <v>1</v>
      </c>
      <c r="N1379">
        <v>1</v>
      </c>
      <c r="O1379">
        <v>1</v>
      </c>
      <c r="P1379">
        <v>1</v>
      </c>
      <c r="Q1379">
        <v>1</v>
      </c>
      <c r="R1379">
        <v>1</v>
      </c>
      <c r="S1379">
        <v>1</v>
      </c>
      <c r="T1379">
        <v>1</v>
      </c>
      <c r="W1379">
        <v>1</v>
      </c>
      <c r="X1379">
        <v>1</v>
      </c>
      <c r="Y1379">
        <v>1</v>
      </c>
      <c r="Z1379">
        <v>1</v>
      </c>
      <c r="AA1379">
        <v>1</v>
      </c>
      <c r="AB1379">
        <v>1</v>
      </c>
    </row>
    <row r="1380" spans="1:49" x14ac:dyDescent="0.25">
      <c r="A1380" t="str">
        <f>"1376"</f>
        <v>1376</v>
      </c>
      <c r="B1380" t="str">
        <f t="shared" si="78"/>
        <v>1</v>
      </c>
      <c r="C1380" t="str">
        <f t="shared" si="77"/>
        <v>60</v>
      </c>
      <c r="D1380" t="str">
        <f>"4"</f>
        <v>4</v>
      </c>
      <c r="E1380" t="str">
        <f>"1-60-4"</f>
        <v>1-60-4</v>
      </c>
      <c r="F1380" t="s">
        <v>83</v>
      </c>
      <c r="G1380" t="s">
        <v>84</v>
      </c>
      <c r="H1380" t="s">
        <v>92</v>
      </c>
      <c r="I1380">
        <v>1</v>
      </c>
      <c r="J1380">
        <v>1</v>
      </c>
      <c r="N1380">
        <v>1</v>
      </c>
      <c r="O1380">
        <v>1</v>
      </c>
      <c r="P1380">
        <v>1</v>
      </c>
      <c r="Q1380">
        <v>1</v>
      </c>
      <c r="R1380">
        <v>1</v>
      </c>
      <c r="S1380">
        <v>1</v>
      </c>
      <c r="T1380">
        <v>1</v>
      </c>
      <c r="W1380">
        <v>1</v>
      </c>
      <c r="X1380">
        <v>1</v>
      </c>
      <c r="Y1380">
        <v>1</v>
      </c>
      <c r="Z1380">
        <v>1</v>
      </c>
      <c r="AA1380">
        <v>1</v>
      </c>
      <c r="AB1380">
        <v>1</v>
      </c>
    </row>
    <row r="1381" spans="1:49" x14ac:dyDescent="0.25">
      <c r="A1381" t="str">
        <f>"1377"</f>
        <v>1377</v>
      </c>
      <c r="B1381" t="str">
        <f t="shared" si="78"/>
        <v>1</v>
      </c>
      <c r="C1381" t="str">
        <f t="shared" si="77"/>
        <v>60</v>
      </c>
      <c r="D1381" t="str">
        <f>"15"</f>
        <v>15</v>
      </c>
      <c r="E1381" t="str">
        <f>"1-60-15"</f>
        <v>1-60-15</v>
      </c>
      <c r="F1381" t="s">
        <v>83</v>
      </c>
      <c r="G1381" t="s">
        <v>84</v>
      </c>
      <c r="H1381" t="s">
        <v>92</v>
      </c>
      <c r="I1381">
        <v>1</v>
      </c>
      <c r="J1381">
        <v>1</v>
      </c>
      <c r="N1381">
        <v>1</v>
      </c>
      <c r="O1381">
        <v>1</v>
      </c>
      <c r="P1381">
        <v>1</v>
      </c>
      <c r="Q1381">
        <v>1</v>
      </c>
      <c r="R1381">
        <v>1</v>
      </c>
      <c r="S1381">
        <v>1</v>
      </c>
      <c r="T1381">
        <v>1</v>
      </c>
      <c r="W1381">
        <v>1</v>
      </c>
      <c r="X1381">
        <v>1</v>
      </c>
      <c r="Y1381">
        <v>1</v>
      </c>
      <c r="Z1381">
        <v>1</v>
      </c>
      <c r="AA1381">
        <v>1</v>
      </c>
      <c r="AB1381">
        <v>1</v>
      </c>
    </row>
    <row r="1382" spans="1:49" x14ac:dyDescent="0.25">
      <c r="A1382" t="str">
        <f>"1378"</f>
        <v>1378</v>
      </c>
      <c r="B1382" t="str">
        <f t="shared" si="78"/>
        <v>1</v>
      </c>
      <c r="C1382" t="str">
        <f t="shared" si="77"/>
        <v>60</v>
      </c>
      <c r="D1382" t="str">
        <f>"5"</f>
        <v>5</v>
      </c>
      <c r="E1382" t="str">
        <f>"1-60-5"</f>
        <v>1-60-5</v>
      </c>
      <c r="F1382" t="s">
        <v>83</v>
      </c>
      <c r="G1382" t="s">
        <v>84</v>
      </c>
      <c r="H1382" t="s">
        <v>92</v>
      </c>
      <c r="I1382">
        <v>1</v>
      </c>
      <c r="J1382">
        <v>0</v>
      </c>
      <c r="N1382">
        <v>1</v>
      </c>
      <c r="O1382">
        <v>1</v>
      </c>
      <c r="P1382">
        <v>1</v>
      </c>
      <c r="Q1382">
        <v>1</v>
      </c>
      <c r="R1382">
        <v>1</v>
      </c>
      <c r="S1382">
        <v>1</v>
      </c>
      <c r="T1382">
        <v>1</v>
      </c>
      <c r="W1382">
        <v>1</v>
      </c>
      <c r="X1382">
        <v>1</v>
      </c>
      <c r="Y1382">
        <v>1</v>
      </c>
      <c r="Z1382">
        <v>1</v>
      </c>
      <c r="AA1382">
        <v>1</v>
      </c>
      <c r="AB1382">
        <v>1</v>
      </c>
    </row>
    <row r="1383" spans="1:49" x14ac:dyDescent="0.25">
      <c r="A1383" t="str">
        <f>"1379"</f>
        <v>1379</v>
      </c>
      <c r="B1383" t="str">
        <f t="shared" si="78"/>
        <v>1</v>
      </c>
      <c r="C1383" t="str">
        <f t="shared" ref="C1383:C1405" si="79">"61"</f>
        <v>61</v>
      </c>
      <c r="D1383" t="str">
        <f>"19"</f>
        <v>19</v>
      </c>
      <c r="E1383" t="str">
        <f>"1-61-19"</f>
        <v>1-61-19</v>
      </c>
      <c r="F1383" t="s">
        <v>83</v>
      </c>
      <c r="G1383" t="s">
        <v>84</v>
      </c>
      <c r="H1383" t="s">
        <v>85</v>
      </c>
      <c r="AC1383">
        <v>0</v>
      </c>
      <c r="AD1383">
        <v>1</v>
      </c>
      <c r="AE1383">
        <v>0</v>
      </c>
      <c r="AF1383">
        <v>0</v>
      </c>
      <c r="AG1383">
        <v>0</v>
      </c>
      <c r="AJ1383">
        <v>0</v>
      </c>
      <c r="AK1383">
        <v>0</v>
      </c>
      <c r="AL1383">
        <v>0</v>
      </c>
      <c r="AM1383">
        <v>0</v>
      </c>
      <c r="AN1383">
        <v>0</v>
      </c>
      <c r="AO1383">
        <v>0</v>
      </c>
      <c r="AP1383">
        <v>0</v>
      </c>
      <c r="AQ1383">
        <v>0</v>
      </c>
      <c r="AR1383">
        <v>0</v>
      </c>
      <c r="AS1383">
        <v>0</v>
      </c>
      <c r="AT1383">
        <v>0</v>
      </c>
      <c r="AV1383">
        <v>0</v>
      </c>
      <c r="AW1383">
        <v>1</v>
      </c>
    </row>
    <row r="1384" spans="1:49" x14ac:dyDescent="0.25">
      <c r="A1384" t="str">
        <f>"1380"</f>
        <v>1380</v>
      </c>
      <c r="B1384" t="str">
        <f t="shared" si="78"/>
        <v>1</v>
      </c>
      <c r="C1384" t="str">
        <f t="shared" si="79"/>
        <v>61</v>
      </c>
      <c r="D1384" t="str">
        <f>"18"</f>
        <v>18</v>
      </c>
      <c r="E1384" t="str">
        <f>"1-61-18"</f>
        <v>1-61-18</v>
      </c>
      <c r="F1384" t="s">
        <v>83</v>
      </c>
      <c r="G1384" t="s">
        <v>84</v>
      </c>
      <c r="H1384" t="s">
        <v>85</v>
      </c>
      <c r="AC1384">
        <v>0</v>
      </c>
      <c r="AD1384">
        <v>1</v>
      </c>
      <c r="AE1384">
        <v>0</v>
      </c>
      <c r="AF1384">
        <v>0</v>
      </c>
      <c r="AG1384">
        <v>0</v>
      </c>
      <c r="AJ1384">
        <v>1</v>
      </c>
      <c r="AK1384">
        <v>0</v>
      </c>
      <c r="AL1384">
        <v>0</v>
      </c>
      <c r="AM1384">
        <v>0</v>
      </c>
      <c r="AN1384">
        <v>1</v>
      </c>
      <c r="AO1384">
        <v>1</v>
      </c>
      <c r="AP1384">
        <v>1</v>
      </c>
      <c r="AQ1384">
        <v>1</v>
      </c>
      <c r="AR1384">
        <v>1</v>
      </c>
      <c r="AS1384">
        <v>0</v>
      </c>
      <c r="AT1384">
        <v>1</v>
      </c>
      <c r="AV1384">
        <v>1</v>
      </c>
      <c r="AW1384">
        <v>1</v>
      </c>
    </row>
    <row r="1385" spans="1:49" x14ac:dyDescent="0.25">
      <c r="A1385" t="str">
        <f>"1381"</f>
        <v>1381</v>
      </c>
      <c r="B1385" t="str">
        <f t="shared" si="78"/>
        <v>1</v>
      </c>
      <c r="C1385" t="str">
        <f t="shared" si="79"/>
        <v>61</v>
      </c>
      <c r="D1385" t="str">
        <f>"15"</f>
        <v>15</v>
      </c>
      <c r="E1385" t="str">
        <f>"1-61-15"</f>
        <v>1-61-15</v>
      </c>
      <c r="F1385" t="s">
        <v>83</v>
      </c>
      <c r="G1385" t="s">
        <v>84</v>
      </c>
      <c r="H1385" t="s">
        <v>85</v>
      </c>
      <c r="AC1385">
        <v>1</v>
      </c>
      <c r="AD1385">
        <v>0</v>
      </c>
      <c r="AE1385">
        <v>0</v>
      </c>
      <c r="AF1385">
        <v>0</v>
      </c>
      <c r="AG1385">
        <v>1</v>
      </c>
      <c r="AJ1385">
        <v>0</v>
      </c>
      <c r="AK1385">
        <v>1</v>
      </c>
      <c r="AL1385">
        <v>1</v>
      </c>
      <c r="AM1385">
        <v>0</v>
      </c>
      <c r="AN1385">
        <v>0</v>
      </c>
      <c r="AO1385">
        <v>1</v>
      </c>
      <c r="AP1385">
        <v>1</v>
      </c>
      <c r="AQ1385">
        <v>1</v>
      </c>
      <c r="AR1385">
        <v>1</v>
      </c>
      <c r="AS1385">
        <v>0</v>
      </c>
      <c r="AT1385">
        <v>1</v>
      </c>
      <c r="AV1385">
        <v>1</v>
      </c>
      <c r="AW1385">
        <v>1</v>
      </c>
    </row>
    <row r="1386" spans="1:49" x14ac:dyDescent="0.25">
      <c r="A1386" t="str">
        <f>"1382"</f>
        <v>1382</v>
      </c>
      <c r="B1386" t="str">
        <f t="shared" si="78"/>
        <v>1</v>
      </c>
      <c r="C1386" t="str">
        <f t="shared" si="79"/>
        <v>61</v>
      </c>
      <c r="D1386" t="str">
        <f>"1"</f>
        <v>1</v>
      </c>
      <c r="E1386" t="str">
        <f>"1-61-1"</f>
        <v>1-61-1</v>
      </c>
      <c r="F1386" t="s">
        <v>83</v>
      </c>
      <c r="G1386" t="s">
        <v>84</v>
      </c>
      <c r="H1386" t="s">
        <v>85</v>
      </c>
      <c r="AC1386">
        <v>1</v>
      </c>
      <c r="AD1386">
        <v>0</v>
      </c>
      <c r="AE1386">
        <v>0</v>
      </c>
      <c r="AF1386">
        <v>0</v>
      </c>
      <c r="AG1386">
        <v>1</v>
      </c>
      <c r="AJ1386">
        <v>0</v>
      </c>
      <c r="AK1386">
        <v>1</v>
      </c>
      <c r="AL1386">
        <v>1</v>
      </c>
      <c r="AM1386">
        <v>0</v>
      </c>
      <c r="AN1386">
        <v>0</v>
      </c>
      <c r="AO1386">
        <v>1</v>
      </c>
      <c r="AP1386">
        <v>1</v>
      </c>
      <c r="AQ1386">
        <v>1</v>
      </c>
      <c r="AR1386">
        <v>1</v>
      </c>
      <c r="AS1386">
        <v>1</v>
      </c>
      <c r="AT1386">
        <v>0</v>
      </c>
      <c r="AV1386">
        <v>1</v>
      </c>
      <c r="AW1386">
        <v>1</v>
      </c>
    </row>
    <row r="1387" spans="1:49" x14ac:dyDescent="0.25">
      <c r="A1387" t="str">
        <f>"1383"</f>
        <v>1383</v>
      </c>
      <c r="B1387" t="str">
        <f t="shared" si="78"/>
        <v>1</v>
      </c>
      <c r="C1387" t="str">
        <f t="shared" si="79"/>
        <v>61</v>
      </c>
      <c r="D1387" t="str">
        <f>"23"</f>
        <v>23</v>
      </c>
      <c r="E1387" t="str">
        <f>"1-61-23"</f>
        <v>1-61-23</v>
      </c>
      <c r="F1387" t="s">
        <v>83</v>
      </c>
      <c r="G1387" t="s">
        <v>84</v>
      </c>
      <c r="H1387" t="s">
        <v>85</v>
      </c>
      <c r="AC1387">
        <v>1</v>
      </c>
      <c r="AD1387">
        <v>0</v>
      </c>
      <c r="AE1387">
        <v>0</v>
      </c>
      <c r="AF1387">
        <v>0</v>
      </c>
      <c r="AG1387">
        <v>1</v>
      </c>
      <c r="AJ1387">
        <v>1</v>
      </c>
      <c r="AK1387">
        <v>0</v>
      </c>
      <c r="AL1387">
        <v>1</v>
      </c>
      <c r="AM1387">
        <v>0</v>
      </c>
      <c r="AN1387">
        <v>0</v>
      </c>
      <c r="AO1387">
        <v>1</v>
      </c>
      <c r="AP1387">
        <v>1</v>
      </c>
      <c r="AQ1387">
        <v>1</v>
      </c>
      <c r="AR1387">
        <v>1</v>
      </c>
      <c r="AS1387">
        <v>0</v>
      </c>
      <c r="AT1387">
        <v>1</v>
      </c>
      <c r="AV1387">
        <v>1</v>
      </c>
      <c r="AW1387">
        <v>1</v>
      </c>
    </row>
    <row r="1388" spans="1:49" x14ac:dyDescent="0.25">
      <c r="A1388" t="str">
        <f>"1384"</f>
        <v>1384</v>
      </c>
      <c r="B1388" t="str">
        <f t="shared" si="78"/>
        <v>1</v>
      </c>
      <c r="C1388" t="str">
        <f t="shared" si="79"/>
        <v>61</v>
      </c>
      <c r="D1388" t="str">
        <f>"22"</f>
        <v>22</v>
      </c>
      <c r="E1388" t="str">
        <f>"1-61-22"</f>
        <v>1-61-22</v>
      </c>
      <c r="F1388" t="s">
        <v>83</v>
      </c>
      <c r="G1388" t="s">
        <v>84</v>
      </c>
      <c r="H1388" t="s">
        <v>85</v>
      </c>
      <c r="AC1388">
        <v>1</v>
      </c>
      <c r="AD1388">
        <v>0</v>
      </c>
      <c r="AE1388">
        <v>0</v>
      </c>
      <c r="AF1388">
        <v>0</v>
      </c>
      <c r="AG1388">
        <v>1</v>
      </c>
      <c r="AJ1388">
        <v>0</v>
      </c>
      <c r="AK1388">
        <v>1</v>
      </c>
      <c r="AL1388">
        <v>1</v>
      </c>
      <c r="AM1388">
        <v>0</v>
      </c>
      <c r="AN1388">
        <v>0</v>
      </c>
      <c r="AO1388">
        <v>1</v>
      </c>
      <c r="AP1388">
        <v>1</v>
      </c>
      <c r="AQ1388">
        <v>1</v>
      </c>
      <c r="AR1388">
        <v>1</v>
      </c>
      <c r="AS1388">
        <v>0</v>
      </c>
      <c r="AT1388">
        <v>1</v>
      </c>
      <c r="AV1388">
        <v>1</v>
      </c>
      <c r="AW1388">
        <v>1</v>
      </c>
    </row>
    <row r="1389" spans="1:49" x14ac:dyDescent="0.25">
      <c r="A1389" t="str">
        <f>"1385"</f>
        <v>1385</v>
      </c>
      <c r="B1389" t="str">
        <f t="shared" si="78"/>
        <v>1</v>
      </c>
      <c r="C1389" t="str">
        <f t="shared" si="79"/>
        <v>61</v>
      </c>
      <c r="D1389" t="str">
        <f>"16"</f>
        <v>16</v>
      </c>
      <c r="E1389" t="str">
        <f>"1-61-16"</f>
        <v>1-61-16</v>
      </c>
      <c r="F1389" t="s">
        <v>83</v>
      </c>
      <c r="G1389" t="s">
        <v>84</v>
      </c>
      <c r="H1389" t="s">
        <v>85</v>
      </c>
      <c r="AC1389">
        <v>1</v>
      </c>
      <c r="AD1389">
        <v>0</v>
      </c>
      <c r="AE1389">
        <v>0</v>
      </c>
      <c r="AF1389">
        <v>0</v>
      </c>
      <c r="AG1389">
        <v>0</v>
      </c>
      <c r="AJ1389">
        <v>1</v>
      </c>
      <c r="AK1389">
        <v>0</v>
      </c>
      <c r="AL1389">
        <v>1</v>
      </c>
      <c r="AM1389">
        <v>0</v>
      </c>
      <c r="AN1389">
        <v>0</v>
      </c>
      <c r="AO1389">
        <v>0</v>
      </c>
      <c r="AP1389">
        <v>0</v>
      </c>
      <c r="AQ1389">
        <v>0</v>
      </c>
      <c r="AR1389">
        <v>0</v>
      </c>
      <c r="AS1389">
        <v>1</v>
      </c>
      <c r="AT1389">
        <v>0</v>
      </c>
      <c r="AV1389">
        <v>0</v>
      </c>
      <c r="AW1389">
        <v>0</v>
      </c>
    </row>
    <row r="1390" spans="1:49" x14ac:dyDescent="0.25">
      <c r="A1390" t="str">
        <f>"1386"</f>
        <v>1386</v>
      </c>
      <c r="B1390" t="str">
        <f t="shared" si="78"/>
        <v>1</v>
      </c>
      <c r="C1390" t="str">
        <f t="shared" si="79"/>
        <v>61</v>
      </c>
      <c r="D1390" t="str">
        <f>"9"</f>
        <v>9</v>
      </c>
      <c r="E1390" t="str">
        <f>"1-61-9"</f>
        <v>1-61-9</v>
      </c>
      <c r="F1390" t="s">
        <v>83</v>
      </c>
      <c r="G1390" t="s">
        <v>84</v>
      </c>
      <c r="H1390" t="s">
        <v>85</v>
      </c>
      <c r="AC1390">
        <v>0</v>
      </c>
      <c r="AD1390">
        <v>0</v>
      </c>
      <c r="AE1390">
        <v>0</v>
      </c>
      <c r="AF1390">
        <v>0</v>
      </c>
      <c r="AG1390">
        <v>0</v>
      </c>
      <c r="AJ1390">
        <v>0</v>
      </c>
      <c r="AK1390">
        <v>1</v>
      </c>
      <c r="AL1390">
        <v>0</v>
      </c>
      <c r="AM1390">
        <v>0</v>
      </c>
      <c r="AN1390">
        <v>1</v>
      </c>
      <c r="AO1390">
        <v>0</v>
      </c>
      <c r="AP1390">
        <v>0</v>
      </c>
      <c r="AQ1390">
        <v>0</v>
      </c>
      <c r="AR1390">
        <v>1</v>
      </c>
      <c r="AS1390">
        <v>0</v>
      </c>
      <c r="AT1390">
        <v>1</v>
      </c>
      <c r="AV1390">
        <v>0</v>
      </c>
      <c r="AW1390">
        <v>1</v>
      </c>
    </row>
    <row r="1391" spans="1:49" x14ac:dyDescent="0.25">
      <c r="A1391" t="str">
        <f>"1387"</f>
        <v>1387</v>
      </c>
      <c r="B1391" t="str">
        <f t="shared" si="78"/>
        <v>1</v>
      </c>
      <c r="C1391" t="str">
        <f t="shared" si="79"/>
        <v>61</v>
      </c>
      <c r="D1391" t="str">
        <f>"4"</f>
        <v>4</v>
      </c>
      <c r="E1391" t="str">
        <f>"1-61-4"</f>
        <v>1-61-4</v>
      </c>
      <c r="F1391" t="s">
        <v>83</v>
      </c>
      <c r="G1391" t="s">
        <v>84</v>
      </c>
      <c r="H1391" t="s">
        <v>85</v>
      </c>
      <c r="AC1391">
        <v>1</v>
      </c>
      <c r="AD1391">
        <v>0</v>
      </c>
      <c r="AE1391">
        <v>0</v>
      </c>
      <c r="AF1391">
        <v>0</v>
      </c>
      <c r="AG1391">
        <v>1</v>
      </c>
      <c r="AJ1391">
        <v>1</v>
      </c>
      <c r="AK1391">
        <v>0</v>
      </c>
      <c r="AL1391">
        <v>0</v>
      </c>
      <c r="AM1391">
        <v>1</v>
      </c>
      <c r="AN1391">
        <v>0</v>
      </c>
      <c r="AO1391">
        <v>1</v>
      </c>
      <c r="AP1391">
        <v>1</v>
      </c>
      <c r="AQ1391">
        <v>1</v>
      </c>
      <c r="AR1391">
        <v>1</v>
      </c>
      <c r="AS1391">
        <v>1</v>
      </c>
      <c r="AT1391">
        <v>0</v>
      </c>
      <c r="AV1391">
        <v>1</v>
      </c>
      <c r="AW1391">
        <v>1</v>
      </c>
    </row>
    <row r="1392" spans="1:49" x14ac:dyDescent="0.25">
      <c r="A1392" t="str">
        <f>"1388"</f>
        <v>1388</v>
      </c>
      <c r="B1392" t="str">
        <f t="shared" si="78"/>
        <v>1</v>
      </c>
      <c r="C1392" t="str">
        <f t="shared" si="79"/>
        <v>61</v>
      </c>
      <c r="D1392" t="str">
        <f>"17"</f>
        <v>17</v>
      </c>
      <c r="E1392" t="str">
        <f>"1-61-17"</f>
        <v>1-61-17</v>
      </c>
      <c r="F1392" t="s">
        <v>83</v>
      </c>
      <c r="G1392" t="s">
        <v>90</v>
      </c>
      <c r="H1392" t="s">
        <v>91</v>
      </c>
      <c r="AC1392">
        <v>0</v>
      </c>
      <c r="AD1392">
        <v>1</v>
      </c>
      <c r="AE1392">
        <v>0</v>
      </c>
      <c r="AF1392">
        <v>0</v>
      </c>
      <c r="AH1392">
        <v>0</v>
      </c>
      <c r="AI1392">
        <v>1</v>
      </c>
      <c r="AJ1392">
        <v>0</v>
      </c>
      <c r="AK1392">
        <v>1</v>
      </c>
      <c r="AL1392">
        <v>0</v>
      </c>
      <c r="AM1392">
        <v>0</v>
      </c>
      <c r="AN1392">
        <v>1</v>
      </c>
      <c r="AO1392">
        <v>1</v>
      </c>
      <c r="AP1392">
        <v>1</v>
      </c>
      <c r="AQ1392">
        <v>1</v>
      </c>
      <c r="AR1392">
        <v>1</v>
      </c>
      <c r="AU1392">
        <v>1</v>
      </c>
      <c r="AV1392">
        <v>1</v>
      </c>
      <c r="AW1392">
        <v>1</v>
      </c>
    </row>
    <row r="1393" spans="1:49" x14ac:dyDescent="0.25">
      <c r="A1393" t="str">
        <f>"1389"</f>
        <v>1389</v>
      </c>
      <c r="B1393" t="str">
        <f t="shared" si="78"/>
        <v>1</v>
      </c>
      <c r="C1393" t="str">
        <f t="shared" si="79"/>
        <v>61</v>
      </c>
      <c r="D1393" t="str">
        <f>"10"</f>
        <v>10</v>
      </c>
      <c r="E1393" t="str">
        <f>"1-61-10"</f>
        <v>1-61-10</v>
      </c>
      <c r="F1393" t="s">
        <v>83</v>
      </c>
      <c r="G1393" t="s">
        <v>84</v>
      </c>
      <c r="H1393" t="s">
        <v>85</v>
      </c>
      <c r="AC1393">
        <v>1</v>
      </c>
      <c r="AD1393">
        <v>0</v>
      </c>
      <c r="AE1393">
        <v>0</v>
      </c>
      <c r="AF1393">
        <v>0</v>
      </c>
      <c r="AG1393">
        <v>1</v>
      </c>
      <c r="AJ1393">
        <v>1</v>
      </c>
      <c r="AK1393">
        <v>0</v>
      </c>
      <c r="AL1393">
        <v>0</v>
      </c>
      <c r="AM1393">
        <v>1</v>
      </c>
      <c r="AN1393">
        <v>0</v>
      </c>
      <c r="AO1393">
        <v>1</v>
      </c>
      <c r="AP1393">
        <v>1</v>
      </c>
      <c r="AQ1393">
        <v>1</v>
      </c>
      <c r="AR1393">
        <v>1</v>
      </c>
      <c r="AS1393">
        <v>0</v>
      </c>
      <c r="AT1393">
        <v>1</v>
      </c>
      <c r="AV1393">
        <v>1</v>
      </c>
      <c r="AW1393">
        <v>1</v>
      </c>
    </row>
    <row r="1394" spans="1:49" x14ac:dyDescent="0.25">
      <c r="A1394" t="str">
        <f>"1390"</f>
        <v>1390</v>
      </c>
      <c r="B1394" t="str">
        <f t="shared" si="78"/>
        <v>1</v>
      </c>
      <c r="C1394" t="str">
        <f t="shared" si="79"/>
        <v>61</v>
      </c>
      <c r="D1394" t="str">
        <f>"6"</f>
        <v>6</v>
      </c>
      <c r="E1394" t="str">
        <f>"1-61-6"</f>
        <v>1-61-6</v>
      </c>
      <c r="F1394" t="s">
        <v>83</v>
      </c>
      <c r="G1394" t="s">
        <v>88</v>
      </c>
      <c r="H1394" t="s">
        <v>89</v>
      </c>
      <c r="AC1394">
        <v>0</v>
      </c>
      <c r="AD1394">
        <v>1</v>
      </c>
      <c r="AE1394">
        <v>0</v>
      </c>
      <c r="AF1394">
        <v>0</v>
      </c>
      <c r="AH1394">
        <v>0</v>
      </c>
      <c r="AI1394">
        <v>1</v>
      </c>
      <c r="AJ1394">
        <v>0</v>
      </c>
      <c r="AK1394">
        <v>1</v>
      </c>
      <c r="AL1394">
        <v>0</v>
      </c>
      <c r="AM1394">
        <v>1</v>
      </c>
      <c r="AN1394">
        <v>0</v>
      </c>
      <c r="AO1394">
        <v>1</v>
      </c>
      <c r="AP1394">
        <v>1</v>
      </c>
      <c r="AQ1394">
        <v>1</v>
      </c>
      <c r="AR1394">
        <v>1</v>
      </c>
      <c r="AS1394">
        <v>0</v>
      </c>
      <c r="AT1394">
        <v>1</v>
      </c>
      <c r="AV1394">
        <v>1</v>
      </c>
      <c r="AW1394">
        <v>1</v>
      </c>
    </row>
    <row r="1395" spans="1:49" x14ac:dyDescent="0.25">
      <c r="A1395" t="str">
        <f>"1391"</f>
        <v>1391</v>
      </c>
      <c r="B1395" t="str">
        <f t="shared" si="78"/>
        <v>1</v>
      </c>
      <c r="C1395" t="str">
        <f t="shared" si="79"/>
        <v>61</v>
      </c>
      <c r="D1395" t="str">
        <f>"20"</f>
        <v>20</v>
      </c>
      <c r="E1395" t="str">
        <f>"1-61-20"</f>
        <v>1-61-20</v>
      </c>
      <c r="F1395" t="s">
        <v>83</v>
      </c>
      <c r="G1395" t="s">
        <v>84</v>
      </c>
      <c r="H1395" t="s">
        <v>85</v>
      </c>
      <c r="AC1395">
        <v>0</v>
      </c>
      <c r="AD1395">
        <v>1</v>
      </c>
      <c r="AE1395">
        <v>0</v>
      </c>
      <c r="AF1395">
        <v>0</v>
      </c>
      <c r="AG1395">
        <v>1</v>
      </c>
      <c r="AJ1395">
        <v>0</v>
      </c>
      <c r="AK1395">
        <v>1</v>
      </c>
      <c r="AL1395">
        <v>0</v>
      </c>
      <c r="AM1395">
        <v>1</v>
      </c>
      <c r="AN1395">
        <v>0</v>
      </c>
      <c r="AO1395">
        <v>1</v>
      </c>
      <c r="AP1395">
        <v>1</v>
      </c>
      <c r="AQ1395">
        <v>1</v>
      </c>
      <c r="AR1395">
        <v>1</v>
      </c>
      <c r="AS1395">
        <v>0</v>
      </c>
      <c r="AT1395">
        <v>1</v>
      </c>
      <c r="AV1395">
        <v>1</v>
      </c>
      <c r="AW1395">
        <v>1</v>
      </c>
    </row>
    <row r="1396" spans="1:49" x14ac:dyDescent="0.25">
      <c r="A1396" t="str">
        <f>"1392"</f>
        <v>1392</v>
      </c>
      <c r="B1396" t="str">
        <f t="shared" si="78"/>
        <v>1</v>
      </c>
      <c r="C1396" t="str">
        <f t="shared" si="79"/>
        <v>61</v>
      </c>
      <c r="D1396" t="str">
        <f>"11"</f>
        <v>11</v>
      </c>
      <c r="E1396" t="str">
        <f>"1-61-11"</f>
        <v>1-61-11</v>
      </c>
      <c r="F1396" t="s">
        <v>83</v>
      </c>
      <c r="G1396" t="s">
        <v>84</v>
      </c>
      <c r="H1396" t="s">
        <v>85</v>
      </c>
      <c r="AC1396">
        <v>1</v>
      </c>
      <c r="AD1396">
        <v>0</v>
      </c>
      <c r="AE1396">
        <v>0</v>
      </c>
      <c r="AF1396">
        <v>0</v>
      </c>
      <c r="AG1396">
        <v>0</v>
      </c>
      <c r="AJ1396">
        <v>1</v>
      </c>
      <c r="AK1396">
        <v>0</v>
      </c>
      <c r="AL1396">
        <v>0</v>
      </c>
      <c r="AM1396">
        <v>0</v>
      </c>
      <c r="AN1396">
        <v>1</v>
      </c>
      <c r="AO1396">
        <v>0</v>
      </c>
      <c r="AP1396">
        <v>0</v>
      </c>
      <c r="AQ1396">
        <v>0</v>
      </c>
      <c r="AR1396">
        <v>0</v>
      </c>
      <c r="AS1396">
        <v>1</v>
      </c>
      <c r="AT1396">
        <v>0</v>
      </c>
      <c r="AV1396">
        <v>0</v>
      </c>
      <c r="AW1396">
        <v>1</v>
      </c>
    </row>
    <row r="1397" spans="1:49" x14ac:dyDescent="0.25">
      <c r="A1397" t="str">
        <f>"1393"</f>
        <v>1393</v>
      </c>
      <c r="B1397" t="str">
        <f t="shared" si="78"/>
        <v>1</v>
      </c>
      <c r="C1397" t="str">
        <f t="shared" si="79"/>
        <v>61</v>
      </c>
      <c r="D1397" t="str">
        <f>"2"</f>
        <v>2</v>
      </c>
      <c r="E1397" t="str">
        <f>"1-61-2"</f>
        <v>1-61-2</v>
      </c>
      <c r="F1397" t="s">
        <v>83</v>
      </c>
      <c r="G1397" t="s">
        <v>84</v>
      </c>
      <c r="H1397" t="s">
        <v>85</v>
      </c>
      <c r="AC1397">
        <v>0</v>
      </c>
      <c r="AD1397">
        <v>1</v>
      </c>
      <c r="AE1397">
        <v>0</v>
      </c>
      <c r="AF1397">
        <v>0</v>
      </c>
      <c r="AG1397">
        <v>0</v>
      </c>
      <c r="AJ1397">
        <v>0</v>
      </c>
      <c r="AK1397">
        <v>1</v>
      </c>
      <c r="AL1397">
        <v>0</v>
      </c>
      <c r="AM1397">
        <v>0</v>
      </c>
      <c r="AN1397">
        <v>1</v>
      </c>
      <c r="AO1397">
        <v>0</v>
      </c>
      <c r="AP1397">
        <v>0</v>
      </c>
      <c r="AQ1397">
        <v>0</v>
      </c>
      <c r="AR1397">
        <v>0</v>
      </c>
      <c r="AS1397">
        <v>1</v>
      </c>
      <c r="AT1397">
        <v>0</v>
      </c>
      <c r="AV1397">
        <v>0</v>
      </c>
      <c r="AW1397">
        <v>1</v>
      </c>
    </row>
    <row r="1398" spans="1:49" x14ac:dyDescent="0.25">
      <c r="A1398" t="str">
        <f>"1394"</f>
        <v>1394</v>
      </c>
      <c r="B1398" t="str">
        <f t="shared" si="78"/>
        <v>1</v>
      </c>
      <c r="C1398" t="str">
        <f t="shared" si="79"/>
        <v>61</v>
      </c>
      <c r="D1398" t="str">
        <f>"21"</f>
        <v>21</v>
      </c>
      <c r="E1398" t="str">
        <f>"1-61-21"</f>
        <v>1-61-21</v>
      </c>
      <c r="F1398" t="s">
        <v>83</v>
      </c>
      <c r="G1398" t="s">
        <v>84</v>
      </c>
      <c r="H1398" t="s">
        <v>85</v>
      </c>
      <c r="AC1398">
        <v>1</v>
      </c>
      <c r="AD1398">
        <v>0</v>
      </c>
      <c r="AE1398">
        <v>0</v>
      </c>
      <c r="AF1398">
        <v>0</v>
      </c>
      <c r="AG1398">
        <v>1</v>
      </c>
      <c r="AJ1398">
        <v>1</v>
      </c>
      <c r="AK1398">
        <v>0</v>
      </c>
      <c r="AL1398">
        <v>0</v>
      </c>
      <c r="AM1398">
        <v>0</v>
      </c>
      <c r="AN1398">
        <v>1</v>
      </c>
      <c r="AO1398">
        <v>1</v>
      </c>
      <c r="AP1398">
        <v>1</v>
      </c>
      <c r="AQ1398">
        <v>1</v>
      </c>
      <c r="AR1398">
        <v>1</v>
      </c>
      <c r="AS1398">
        <v>0</v>
      </c>
      <c r="AT1398">
        <v>1</v>
      </c>
      <c r="AV1398">
        <v>1</v>
      </c>
      <c r="AW1398">
        <v>1</v>
      </c>
    </row>
    <row r="1399" spans="1:49" x14ac:dyDescent="0.25">
      <c r="A1399" t="str">
        <f>"1395"</f>
        <v>1395</v>
      </c>
      <c r="B1399" t="str">
        <f t="shared" si="78"/>
        <v>1</v>
      </c>
      <c r="C1399" t="str">
        <f t="shared" si="79"/>
        <v>61</v>
      </c>
      <c r="D1399" t="str">
        <f>"12"</f>
        <v>12</v>
      </c>
      <c r="E1399" t="str">
        <f>"1-61-12"</f>
        <v>1-61-12</v>
      </c>
      <c r="F1399" t="s">
        <v>83</v>
      </c>
      <c r="G1399" t="s">
        <v>84</v>
      </c>
      <c r="H1399" t="s">
        <v>85</v>
      </c>
      <c r="AC1399">
        <v>0</v>
      </c>
      <c r="AD1399">
        <v>1</v>
      </c>
      <c r="AE1399">
        <v>0</v>
      </c>
      <c r="AF1399">
        <v>0</v>
      </c>
      <c r="AG1399">
        <v>1</v>
      </c>
      <c r="AJ1399">
        <v>0</v>
      </c>
      <c r="AK1399">
        <v>1</v>
      </c>
      <c r="AL1399">
        <v>0</v>
      </c>
      <c r="AM1399">
        <v>0</v>
      </c>
      <c r="AN1399">
        <v>1</v>
      </c>
      <c r="AO1399">
        <v>1</v>
      </c>
      <c r="AP1399">
        <v>1</v>
      </c>
      <c r="AQ1399">
        <v>1</v>
      </c>
      <c r="AR1399">
        <v>1</v>
      </c>
      <c r="AS1399">
        <v>0</v>
      </c>
      <c r="AT1399">
        <v>1</v>
      </c>
      <c r="AV1399">
        <v>1</v>
      </c>
      <c r="AW1399">
        <v>1</v>
      </c>
    </row>
    <row r="1400" spans="1:49" x14ac:dyDescent="0.25">
      <c r="A1400" t="str">
        <f>"1396"</f>
        <v>1396</v>
      </c>
      <c r="B1400" t="str">
        <f t="shared" si="78"/>
        <v>1</v>
      </c>
      <c r="C1400" t="str">
        <f t="shared" si="79"/>
        <v>61</v>
      </c>
      <c r="D1400" t="str">
        <f>"5"</f>
        <v>5</v>
      </c>
      <c r="E1400" t="str">
        <f>"1-61-5"</f>
        <v>1-61-5</v>
      </c>
      <c r="F1400" t="s">
        <v>83</v>
      </c>
      <c r="G1400" t="s">
        <v>84</v>
      </c>
      <c r="H1400" t="s">
        <v>85</v>
      </c>
      <c r="AC1400">
        <v>0</v>
      </c>
      <c r="AD1400">
        <v>1</v>
      </c>
      <c r="AE1400">
        <v>0</v>
      </c>
      <c r="AF1400">
        <v>0</v>
      </c>
      <c r="AG1400">
        <v>1</v>
      </c>
      <c r="AJ1400">
        <v>0</v>
      </c>
      <c r="AK1400">
        <v>1</v>
      </c>
      <c r="AL1400">
        <v>0</v>
      </c>
      <c r="AM1400">
        <v>0</v>
      </c>
      <c r="AN1400">
        <v>1</v>
      </c>
      <c r="AO1400">
        <v>1</v>
      </c>
      <c r="AP1400">
        <v>1</v>
      </c>
      <c r="AQ1400">
        <v>1</v>
      </c>
      <c r="AR1400">
        <v>1</v>
      </c>
      <c r="AS1400">
        <v>1</v>
      </c>
      <c r="AT1400">
        <v>0</v>
      </c>
      <c r="AV1400">
        <v>1</v>
      </c>
      <c r="AW1400">
        <v>1</v>
      </c>
    </row>
    <row r="1401" spans="1:49" x14ac:dyDescent="0.25">
      <c r="A1401" t="str">
        <f>"1397"</f>
        <v>1397</v>
      </c>
      <c r="B1401" t="str">
        <f t="shared" si="78"/>
        <v>1</v>
      </c>
      <c r="C1401" t="str">
        <f t="shared" si="79"/>
        <v>61</v>
      </c>
      <c r="D1401" t="str">
        <f>"13"</f>
        <v>13</v>
      </c>
      <c r="E1401" t="str">
        <f>"1-61-13"</f>
        <v>1-61-13</v>
      </c>
      <c r="F1401" t="s">
        <v>83</v>
      </c>
      <c r="G1401" t="s">
        <v>84</v>
      </c>
      <c r="H1401" t="s">
        <v>85</v>
      </c>
      <c r="AC1401">
        <v>1</v>
      </c>
      <c r="AD1401">
        <v>0</v>
      </c>
      <c r="AE1401">
        <v>0</v>
      </c>
      <c r="AF1401">
        <v>0</v>
      </c>
      <c r="AG1401">
        <v>0</v>
      </c>
      <c r="AJ1401">
        <v>1</v>
      </c>
      <c r="AK1401">
        <v>0</v>
      </c>
      <c r="AL1401">
        <v>0</v>
      </c>
      <c r="AM1401">
        <v>0</v>
      </c>
      <c r="AN1401">
        <v>1</v>
      </c>
      <c r="AO1401">
        <v>1</v>
      </c>
      <c r="AP1401">
        <v>1</v>
      </c>
      <c r="AQ1401">
        <v>1</v>
      </c>
      <c r="AR1401">
        <v>0</v>
      </c>
      <c r="AS1401">
        <v>0</v>
      </c>
      <c r="AT1401">
        <v>1</v>
      </c>
      <c r="AV1401">
        <v>0</v>
      </c>
      <c r="AW1401">
        <v>1</v>
      </c>
    </row>
    <row r="1402" spans="1:49" x14ac:dyDescent="0.25">
      <c r="A1402" t="str">
        <f>"1398"</f>
        <v>1398</v>
      </c>
      <c r="B1402" t="str">
        <f t="shared" si="78"/>
        <v>1</v>
      </c>
      <c r="C1402" t="str">
        <f t="shared" si="79"/>
        <v>61</v>
      </c>
      <c r="D1402" t="str">
        <f>"7"</f>
        <v>7</v>
      </c>
      <c r="E1402" t="str">
        <f>"1-61-7"</f>
        <v>1-61-7</v>
      </c>
      <c r="F1402" t="s">
        <v>83</v>
      </c>
      <c r="G1402" t="s">
        <v>84</v>
      </c>
      <c r="H1402" t="s">
        <v>85</v>
      </c>
      <c r="AC1402">
        <v>1</v>
      </c>
      <c r="AD1402">
        <v>0</v>
      </c>
      <c r="AE1402">
        <v>0</v>
      </c>
      <c r="AF1402">
        <v>0</v>
      </c>
      <c r="AG1402">
        <v>1</v>
      </c>
      <c r="AJ1402">
        <v>1</v>
      </c>
      <c r="AK1402">
        <v>0</v>
      </c>
      <c r="AL1402">
        <v>1</v>
      </c>
      <c r="AM1402">
        <v>0</v>
      </c>
      <c r="AN1402">
        <v>0</v>
      </c>
      <c r="AO1402">
        <v>1</v>
      </c>
      <c r="AP1402">
        <v>1</v>
      </c>
      <c r="AQ1402">
        <v>1</v>
      </c>
      <c r="AR1402">
        <v>1</v>
      </c>
      <c r="AS1402">
        <v>1</v>
      </c>
      <c r="AT1402">
        <v>0</v>
      </c>
      <c r="AV1402">
        <v>1</v>
      </c>
      <c r="AW1402">
        <v>1</v>
      </c>
    </row>
    <row r="1403" spans="1:49" x14ac:dyDescent="0.25">
      <c r="A1403" t="str">
        <f>"1399"</f>
        <v>1399</v>
      </c>
      <c r="B1403" t="str">
        <f t="shared" si="78"/>
        <v>1</v>
      </c>
      <c r="C1403" t="str">
        <f t="shared" si="79"/>
        <v>61</v>
      </c>
      <c r="D1403" t="str">
        <f>"14"</f>
        <v>14</v>
      </c>
      <c r="E1403" t="str">
        <f>"1-61-14"</f>
        <v>1-61-14</v>
      </c>
      <c r="F1403" t="s">
        <v>83</v>
      </c>
      <c r="G1403" t="s">
        <v>84</v>
      </c>
      <c r="H1403" t="s">
        <v>85</v>
      </c>
      <c r="AC1403">
        <v>0</v>
      </c>
      <c r="AD1403">
        <v>0</v>
      </c>
      <c r="AE1403">
        <v>0</v>
      </c>
      <c r="AF1403">
        <v>0</v>
      </c>
      <c r="AG1403">
        <v>0</v>
      </c>
      <c r="AJ1403">
        <v>0</v>
      </c>
      <c r="AK1403">
        <v>0</v>
      </c>
      <c r="AL1403">
        <v>0</v>
      </c>
      <c r="AM1403">
        <v>0</v>
      </c>
      <c r="AN1403">
        <v>1</v>
      </c>
      <c r="AO1403">
        <v>0</v>
      </c>
      <c r="AP1403">
        <v>0</v>
      </c>
      <c r="AQ1403">
        <v>0</v>
      </c>
      <c r="AR1403">
        <v>1</v>
      </c>
      <c r="AS1403">
        <v>0</v>
      </c>
      <c r="AT1403">
        <v>1</v>
      </c>
      <c r="AV1403">
        <v>0</v>
      </c>
      <c r="AW1403">
        <v>1</v>
      </c>
    </row>
    <row r="1404" spans="1:49" x14ac:dyDescent="0.25">
      <c r="A1404" t="str">
        <f>"1400"</f>
        <v>1400</v>
      </c>
      <c r="B1404" t="str">
        <f t="shared" si="78"/>
        <v>1</v>
      </c>
      <c r="C1404" t="str">
        <f t="shared" si="79"/>
        <v>61</v>
      </c>
      <c r="D1404" t="str">
        <f>"3"</f>
        <v>3</v>
      </c>
      <c r="E1404" t="str">
        <f>"1-61-3"</f>
        <v>1-61-3</v>
      </c>
      <c r="F1404" t="s">
        <v>83</v>
      </c>
      <c r="G1404" t="s">
        <v>84</v>
      </c>
      <c r="H1404" t="s">
        <v>85</v>
      </c>
      <c r="AC1404">
        <v>0</v>
      </c>
      <c r="AD1404">
        <v>1</v>
      </c>
      <c r="AE1404">
        <v>0</v>
      </c>
      <c r="AF1404">
        <v>0</v>
      </c>
      <c r="AG1404">
        <v>1</v>
      </c>
      <c r="AJ1404">
        <v>0</v>
      </c>
      <c r="AK1404">
        <v>1</v>
      </c>
      <c r="AL1404">
        <v>0</v>
      </c>
      <c r="AM1404">
        <v>1</v>
      </c>
      <c r="AN1404">
        <v>0</v>
      </c>
      <c r="AO1404">
        <v>1</v>
      </c>
      <c r="AP1404">
        <v>0</v>
      </c>
      <c r="AQ1404">
        <v>1</v>
      </c>
      <c r="AR1404">
        <v>1</v>
      </c>
      <c r="AS1404">
        <v>1</v>
      </c>
      <c r="AT1404">
        <v>0</v>
      </c>
      <c r="AV1404">
        <v>0</v>
      </c>
      <c r="AW1404">
        <v>1</v>
      </c>
    </row>
    <row r="1405" spans="1:49" x14ac:dyDescent="0.25">
      <c r="A1405" t="str">
        <f>"1401"</f>
        <v>1401</v>
      </c>
      <c r="B1405" t="str">
        <f t="shared" si="78"/>
        <v>1</v>
      </c>
      <c r="C1405" t="str">
        <f t="shared" si="79"/>
        <v>61</v>
      </c>
      <c r="D1405" t="str">
        <f>"8"</f>
        <v>8</v>
      </c>
      <c r="E1405" t="str">
        <f>"1-61-8"</f>
        <v>1-61-8</v>
      </c>
      <c r="F1405" t="s">
        <v>83</v>
      </c>
      <c r="G1405" t="s">
        <v>84</v>
      </c>
      <c r="H1405" t="s">
        <v>85</v>
      </c>
      <c r="AC1405">
        <v>0</v>
      </c>
      <c r="AD1405">
        <v>1</v>
      </c>
      <c r="AE1405">
        <v>0</v>
      </c>
      <c r="AF1405">
        <v>0</v>
      </c>
      <c r="AG1405">
        <v>1</v>
      </c>
      <c r="AJ1405">
        <v>1</v>
      </c>
      <c r="AK1405">
        <v>0</v>
      </c>
      <c r="AL1405">
        <v>0</v>
      </c>
      <c r="AM1405">
        <v>0</v>
      </c>
      <c r="AN1405">
        <v>1</v>
      </c>
      <c r="AO1405">
        <v>1</v>
      </c>
      <c r="AP1405">
        <v>1</v>
      </c>
      <c r="AQ1405">
        <v>1</v>
      </c>
      <c r="AR1405">
        <v>0</v>
      </c>
      <c r="AS1405">
        <v>0</v>
      </c>
      <c r="AT1405">
        <v>1</v>
      </c>
      <c r="AV1405">
        <v>0</v>
      </c>
      <c r="AW1405">
        <v>1</v>
      </c>
    </row>
    <row r="1406" spans="1:49" x14ac:dyDescent="0.25">
      <c r="A1406" t="str">
        <f>"1402"</f>
        <v>1402</v>
      </c>
      <c r="B1406" t="str">
        <f t="shared" si="78"/>
        <v>1</v>
      </c>
      <c r="C1406" t="str">
        <f t="shared" ref="C1406:C1430" si="80">"62"</f>
        <v>62</v>
      </c>
      <c r="D1406" t="str">
        <f>"19"</f>
        <v>19</v>
      </c>
      <c r="E1406" t="str">
        <f>"1-62-19"</f>
        <v>1-62-19</v>
      </c>
      <c r="F1406" t="s">
        <v>83</v>
      </c>
      <c r="G1406" t="s">
        <v>84</v>
      </c>
      <c r="H1406" t="s">
        <v>85</v>
      </c>
      <c r="AC1406">
        <v>0</v>
      </c>
      <c r="AD1406">
        <v>1</v>
      </c>
      <c r="AE1406">
        <v>0</v>
      </c>
      <c r="AF1406">
        <v>0</v>
      </c>
      <c r="AG1406">
        <v>1</v>
      </c>
      <c r="AJ1406">
        <v>0</v>
      </c>
      <c r="AK1406">
        <v>1</v>
      </c>
      <c r="AL1406">
        <v>0</v>
      </c>
      <c r="AM1406">
        <v>0</v>
      </c>
      <c r="AN1406">
        <v>1</v>
      </c>
      <c r="AO1406">
        <v>1</v>
      </c>
      <c r="AP1406">
        <v>1</v>
      </c>
      <c r="AQ1406">
        <v>1</v>
      </c>
      <c r="AR1406">
        <v>1</v>
      </c>
      <c r="AS1406">
        <v>0</v>
      </c>
      <c r="AT1406">
        <v>1</v>
      </c>
      <c r="AV1406">
        <v>1</v>
      </c>
      <c r="AW1406">
        <v>1</v>
      </c>
    </row>
    <row r="1407" spans="1:49" x14ac:dyDescent="0.25">
      <c r="A1407" t="str">
        <f>"1403"</f>
        <v>1403</v>
      </c>
      <c r="B1407" t="str">
        <f t="shared" si="78"/>
        <v>1</v>
      </c>
      <c r="C1407" t="str">
        <f t="shared" si="80"/>
        <v>62</v>
      </c>
      <c r="D1407" t="str">
        <f>"18"</f>
        <v>18</v>
      </c>
      <c r="E1407" t="str">
        <f>"1-62-18"</f>
        <v>1-62-18</v>
      </c>
      <c r="F1407" t="s">
        <v>83</v>
      </c>
      <c r="G1407" t="s">
        <v>84</v>
      </c>
      <c r="H1407" t="s">
        <v>85</v>
      </c>
      <c r="AC1407">
        <v>0</v>
      </c>
      <c r="AD1407">
        <v>1</v>
      </c>
      <c r="AE1407">
        <v>0</v>
      </c>
      <c r="AF1407">
        <v>0</v>
      </c>
      <c r="AG1407">
        <v>1</v>
      </c>
      <c r="AJ1407">
        <v>0</v>
      </c>
      <c r="AK1407">
        <v>1</v>
      </c>
      <c r="AL1407">
        <v>0</v>
      </c>
      <c r="AM1407">
        <v>0</v>
      </c>
      <c r="AN1407">
        <v>1</v>
      </c>
      <c r="AO1407">
        <v>1</v>
      </c>
      <c r="AP1407">
        <v>1</v>
      </c>
      <c r="AQ1407">
        <v>1</v>
      </c>
      <c r="AR1407">
        <v>1</v>
      </c>
      <c r="AS1407">
        <v>0</v>
      </c>
      <c r="AT1407">
        <v>1</v>
      </c>
      <c r="AV1407">
        <v>1</v>
      </c>
      <c r="AW1407">
        <v>1</v>
      </c>
    </row>
    <row r="1408" spans="1:49" x14ac:dyDescent="0.25">
      <c r="A1408" t="str">
        <f>"1404"</f>
        <v>1404</v>
      </c>
      <c r="B1408" t="str">
        <f t="shared" si="78"/>
        <v>1</v>
      </c>
      <c r="C1408" t="str">
        <f t="shared" si="80"/>
        <v>62</v>
      </c>
      <c r="D1408" t="str">
        <f>"15"</f>
        <v>15</v>
      </c>
      <c r="E1408" t="str">
        <f>"1-62-15"</f>
        <v>1-62-15</v>
      </c>
      <c r="F1408" t="s">
        <v>83</v>
      </c>
      <c r="G1408" t="s">
        <v>84</v>
      </c>
      <c r="H1408" t="s">
        <v>85</v>
      </c>
      <c r="AC1408">
        <v>1</v>
      </c>
      <c r="AD1408">
        <v>0</v>
      </c>
      <c r="AE1408">
        <v>0</v>
      </c>
      <c r="AF1408">
        <v>0</v>
      </c>
      <c r="AG1408">
        <v>0</v>
      </c>
      <c r="AJ1408">
        <v>0</v>
      </c>
      <c r="AK1408">
        <v>1</v>
      </c>
      <c r="AL1408">
        <v>1</v>
      </c>
      <c r="AM1408">
        <v>0</v>
      </c>
      <c r="AN1408">
        <v>0</v>
      </c>
      <c r="AO1408">
        <v>0</v>
      </c>
      <c r="AP1408">
        <v>0</v>
      </c>
      <c r="AQ1408">
        <v>0</v>
      </c>
      <c r="AR1408">
        <v>0</v>
      </c>
      <c r="AS1408">
        <v>0</v>
      </c>
      <c r="AT1408">
        <v>0</v>
      </c>
      <c r="AV1408">
        <v>0</v>
      </c>
      <c r="AW1408">
        <v>0</v>
      </c>
    </row>
    <row r="1409" spans="1:49" x14ac:dyDescent="0.25">
      <c r="A1409" t="str">
        <f>"1405"</f>
        <v>1405</v>
      </c>
      <c r="B1409" t="str">
        <f t="shared" si="78"/>
        <v>1</v>
      </c>
      <c r="C1409" t="str">
        <f t="shared" si="80"/>
        <v>62</v>
      </c>
      <c r="D1409" t="str">
        <f>"8"</f>
        <v>8</v>
      </c>
      <c r="E1409" t="str">
        <f>"1-62-8"</f>
        <v>1-62-8</v>
      </c>
      <c r="F1409" t="s">
        <v>83</v>
      </c>
      <c r="G1409" t="s">
        <v>84</v>
      </c>
      <c r="H1409" t="s">
        <v>85</v>
      </c>
      <c r="AC1409">
        <v>0</v>
      </c>
      <c r="AD1409">
        <v>1</v>
      </c>
      <c r="AE1409">
        <v>0</v>
      </c>
      <c r="AF1409">
        <v>0</v>
      </c>
      <c r="AG1409">
        <v>0</v>
      </c>
      <c r="AJ1409">
        <v>1</v>
      </c>
      <c r="AK1409">
        <v>0</v>
      </c>
      <c r="AL1409">
        <v>1</v>
      </c>
      <c r="AM1409">
        <v>0</v>
      </c>
      <c r="AN1409">
        <v>0</v>
      </c>
      <c r="AO1409">
        <v>1</v>
      </c>
      <c r="AP1409">
        <v>1</v>
      </c>
      <c r="AQ1409">
        <v>1</v>
      </c>
      <c r="AR1409">
        <v>1</v>
      </c>
      <c r="AS1409">
        <v>1</v>
      </c>
      <c r="AT1409">
        <v>0</v>
      </c>
      <c r="AV1409">
        <v>1</v>
      </c>
      <c r="AW1409">
        <v>1</v>
      </c>
    </row>
    <row r="1410" spans="1:49" x14ac:dyDescent="0.25">
      <c r="A1410" t="str">
        <f>"1406"</f>
        <v>1406</v>
      </c>
      <c r="B1410" t="str">
        <f t="shared" si="78"/>
        <v>1</v>
      </c>
      <c r="C1410" t="str">
        <f t="shared" si="80"/>
        <v>62</v>
      </c>
      <c r="D1410" t="str">
        <f>"2"</f>
        <v>2</v>
      </c>
      <c r="E1410" t="str">
        <f>"1-62-2"</f>
        <v>1-62-2</v>
      </c>
      <c r="F1410" t="s">
        <v>83</v>
      </c>
      <c r="G1410" t="s">
        <v>84</v>
      </c>
      <c r="H1410" t="s">
        <v>85</v>
      </c>
      <c r="AC1410">
        <v>1</v>
      </c>
      <c r="AD1410">
        <v>0</v>
      </c>
      <c r="AE1410">
        <v>0</v>
      </c>
      <c r="AF1410">
        <v>0</v>
      </c>
      <c r="AG1410">
        <v>1</v>
      </c>
      <c r="AJ1410">
        <v>0</v>
      </c>
      <c r="AK1410">
        <v>1</v>
      </c>
      <c r="AL1410">
        <v>1</v>
      </c>
      <c r="AM1410">
        <v>0</v>
      </c>
      <c r="AN1410">
        <v>0</v>
      </c>
      <c r="AO1410">
        <v>1</v>
      </c>
      <c r="AP1410">
        <v>1</v>
      </c>
      <c r="AQ1410">
        <v>1</v>
      </c>
      <c r="AR1410">
        <v>1</v>
      </c>
      <c r="AS1410">
        <v>0</v>
      </c>
      <c r="AT1410">
        <v>1</v>
      </c>
      <c r="AV1410">
        <v>1</v>
      </c>
      <c r="AW1410">
        <v>1</v>
      </c>
    </row>
    <row r="1411" spans="1:49" x14ac:dyDescent="0.25">
      <c r="A1411" t="str">
        <f>"1407"</f>
        <v>1407</v>
      </c>
      <c r="B1411" t="str">
        <f t="shared" si="78"/>
        <v>1</v>
      </c>
      <c r="C1411" t="str">
        <f t="shared" si="80"/>
        <v>62</v>
      </c>
      <c r="D1411" t="str">
        <f>"25"</f>
        <v>25</v>
      </c>
      <c r="E1411" t="str">
        <f>"1-62-25"</f>
        <v>1-62-25</v>
      </c>
      <c r="F1411" t="s">
        <v>83</v>
      </c>
      <c r="G1411" t="s">
        <v>84</v>
      </c>
      <c r="H1411" t="s">
        <v>85</v>
      </c>
      <c r="AC1411">
        <v>1</v>
      </c>
      <c r="AD1411">
        <v>0</v>
      </c>
      <c r="AE1411">
        <v>0</v>
      </c>
      <c r="AF1411">
        <v>0</v>
      </c>
      <c r="AG1411">
        <v>1</v>
      </c>
      <c r="AJ1411">
        <v>0</v>
      </c>
      <c r="AK1411">
        <v>1</v>
      </c>
      <c r="AL1411">
        <v>0</v>
      </c>
      <c r="AM1411">
        <v>0</v>
      </c>
      <c r="AN1411">
        <v>1</v>
      </c>
      <c r="AO1411">
        <v>1</v>
      </c>
      <c r="AP1411">
        <v>1</v>
      </c>
      <c r="AQ1411">
        <v>1</v>
      </c>
      <c r="AR1411">
        <v>1</v>
      </c>
      <c r="AS1411">
        <v>0</v>
      </c>
      <c r="AT1411">
        <v>1</v>
      </c>
      <c r="AV1411">
        <v>1</v>
      </c>
      <c r="AW1411">
        <v>1</v>
      </c>
    </row>
    <row r="1412" spans="1:49" x14ac:dyDescent="0.25">
      <c r="A1412" t="str">
        <f>"1408"</f>
        <v>1408</v>
      </c>
      <c r="B1412" t="str">
        <f t="shared" si="78"/>
        <v>1</v>
      </c>
      <c r="C1412" t="str">
        <f t="shared" si="80"/>
        <v>62</v>
      </c>
      <c r="D1412" t="str">
        <f>"24"</f>
        <v>24</v>
      </c>
      <c r="E1412" t="str">
        <f>"1-62-24"</f>
        <v>1-62-24</v>
      </c>
      <c r="F1412" t="s">
        <v>83</v>
      </c>
      <c r="G1412" t="s">
        <v>84</v>
      </c>
      <c r="H1412" t="s">
        <v>85</v>
      </c>
      <c r="AC1412">
        <v>0</v>
      </c>
      <c r="AD1412">
        <v>1</v>
      </c>
      <c r="AE1412">
        <v>0</v>
      </c>
      <c r="AF1412">
        <v>0</v>
      </c>
      <c r="AG1412">
        <v>1</v>
      </c>
      <c r="AJ1412">
        <v>0</v>
      </c>
      <c r="AK1412">
        <v>1</v>
      </c>
      <c r="AL1412">
        <v>0</v>
      </c>
      <c r="AM1412">
        <v>0</v>
      </c>
      <c r="AN1412">
        <v>1</v>
      </c>
      <c r="AO1412">
        <v>1</v>
      </c>
      <c r="AP1412">
        <v>1</v>
      </c>
      <c r="AQ1412">
        <v>1</v>
      </c>
      <c r="AR1412">
        <v>1</v>
      </c>
      <c r="AS1412">
        <v>0</v>
      </c>
      <c r="AT1412">
        <v>1</v>
      </c>
      <c r="AV1412">
        <v>1</v>
      </c>
      <c r="AW1412">
        <v>1</v>
      </c>
    </row>
    <row r="1413" spans="1:49" x14ac:dyDescent="0.25">
      <c r="A1413" t="str">
        <f>"1409"</f>
        <v>1409</v>
      </c>
      <c r="B1413" t="str">
        <f t="shared" si="78"/>
        <v>1</v>
      </c>
      <c r="C1413" t="str">
        <f t="shared" si="80"/>
        <v>62</v>
      </c>
      <c r="D1413" t="str">
        <f>"16"</f>
        <v>16</v>
      </c>
      <c r="E1413" t="str">
        <f>"1-62-16"</f>
        <v>1-62-16</v>
      </c>
      <c r="F1413" t="s">
        <v>83</v>
      </c>
      <c r="G1413" t="s">
        <v>84</v>
      </c>
      <c r="H1413" t="s">
        <v>85</v>
      </c>
      <c r="AC1413">
        <v>0</v>
      </c>
      <c r="AD1413">
        <v>1</v>
      </c>
      <c r="AE1413">
        <v>0</v>
      </c>
      <c r="AF1413">
        <v>0</v>
      </c>
      <c r="AG1413">
        <v>1</v>
      </c>
      <c r="AJ1413">
        <v>1</v>
      </c>
      <c r="AK1413">
        <v>0</v>
      </c>
      <c r="AL1413">
        <v>0</v>
      </c>
      <c r="AM1413">
        <v>1</v>
      </c>
      <c r="AN1413">
        <v>0</v>
      </c>
      <c r="AO1413">
        <v>1</v>
      </c>
      <c r="AP1413">
        <v>1</v>
      </c>
      <c r="AQ1413">
        <v>1</v>
      </c>
      <c r="AR1413">
        <v>1</v>
      </c>
      <c r="AS1413">
        <v>0</v>
      </c>
      <c r="AT1413">
        <v>1</v>
      </c>
      <c r="AV1413">
        <v>1</v>
      </c>
      <c r="AW1413">
        <v>1</v>
      </c>
    </row>
    <row r="1414" spans="1:49" x14ac:dyDescent="0.25">
      <c r="A1414" t="str">
        <f>"1410"</f>
        <v>1410</v>
      </c>
      <c r="B1414" t="str">
        <f t="shared" si="78"/>
        <v>1</v>
      </c>
      <c r="C1414" t="str">
        <f t="shared" si="80"/>
        <v>62</v>
      </c>
      <c r="D1414" t="str">
        <f>"9"</f>
        <v>9</v>
      </c>
      <c r="E1414" t="str">
        <f>"1-62-9"</f>
        <v>1-62-9</v>
      </c>
      <c r="F1414" t="s">
        <v>83</v>
      </c>
      <c r="G1414" t="s">
        <v>84</v>
      </c>
      <c r="H1414" t="s">
        <v>85</v>
      </c>
      <c r="AC1414">
        <v>1</v>
      </c>
      <c r="AD1414">
        <v>0</v>
      </c>
      <c r="AE1414">
        <v>0</v>
      </c>
      <c r="AF1414">
        <v>0</v>
      </c>
      <c r="AG1414">
        <v>1</v>
      </c>
      <c r="AJ1414">
        <v>1</v>
      </c>
      <c r="AK1414">
        <v>0</v>
      </c>
      <c r="AL1414">
        <v>0</v>
      </c>
      <c r="AM1414">
        <v>0</v>
      </c>
      <c r="AN1414">
        <v>1</v>
      </c>
      <c r="AO1414">
        <v>1</v>
      </c>
      <c r="AP1414">
        <v>1</v>
      </c>
      <c r="AQ1414">
        <v>1</v>
      </c>
      <c r="AR1414">
        <v>1</v>
      </c>
      <c r="AS1414">
        <v>0</v>
      </c>
      <c r="AT1414">
        <v>1</v>
      </c>
      <c r="AV1414">
        <v>1</v>
      </c>
      <c r="AW1414">
        <v>1</v>
      </c>
    </row>
    <row r="1415" spans="1:49" x14ac:dyDescent="0.25">
      <c r="A1415" t="str">
        <f>"1411"</f>
        <v>1411</v>
      </c>
      <c r="B1415" t="str">
        <f t="shared" si="78"/>
        <v>1</v>
      </c>
      <c r="C1415" t="str">
        <f t="shared" si="80"/>
        <v>62</v>
      </c>
      <c r="D1415" t="str">
        <f>"4"</f>
        <v>4</v>
      </c>
      <c r="E1415" t="str">
        <f>"1-62-4"</f>
        <v>1-62-4</v>
      </c>
      <c r="F1415" t="s">
        <v>83</v>
      </c>
      <c r="G1415" t="s">
        <v>84</v>
      </c>
      <c r="H1415" t="s">
        <v>85</v>
      </c>
      <c r="AC1415">
        <v>1</v>
      </c>
      <c r="AD1415">
        <v>0</v>
      </c>
      <c r="AE1415">
        <v>0</v>
      </c>
      <c r="AF1415">
        <v>0</v>
      </c>
      <c r="AG1415">
        <v>0</v>
      </c>
      <c r="AJ1415">
        <v>1</v>
      </c>
      <c r="AK1415">
        <v>0</v>
      </c>
      <c r="AL1415">
        <v>0</v>
      </c>
      <c r="AM1415">
        <v>0</v>
      </c>
      <c r="AN1415">
        <v>1</v>
      </c>
      <c r="AO1415">
        <v>0</v>
      </c>
      <c r="AP1415">
        <v>0</v>
      </c>
      <c r="AQ1415">
        <v>0</v>
      </c>
      <c r="AR1415">
        <v>0</v>
      </c>
      <c r="AS1415">
        <v>1</v>
      </c>
      <c r="AT1415">
        <v>0</v>
      </c>
      <c r="AV1415">
        <v>0</v>
      </c>
      <c r="AW1415">
        <v>1</v>
      </c>
    </row>
    <row r="1416" spans="1:49" x14ac:dyDescent="0.25">
      <c r="A1416" t="str">
        <f>"1412"</f>
        <v>1412</v>
      </c>
      <c r="B1416" t="str">
        <f t="shared" si="78"/>
        <v>1</v>
      </c>
      <c r="C1416" t="str">
        <f t="shared" si="80"/>
        <v>62</v>
      </c>
      <c r="D1416" t="str">
        <f>"17"</f>
        <v>17</v>
      </c>
      <c r="E1416" t="str">
        <f>"1-62-17"</f>
        <v>1-62-17</v>
      </c>
      <c r="F1416" t="s">
        <v>83</v>
      </c>
      <c r="G1416" t="s">
        <v>84</v>
      </c>
      <c r="H1416" t="s">
        <v>85</v>
      </c>
      <c r="AC1416">
        <v>0</v>
      </c>
      <c r="AD1416">
        <v>1</v>
      </c>
      <c r="AE1416">
        <v>0</v>
      </c>
      <c r="AF1416">
        <v>0</v>
      </c>
      <c r="AG1416">
        <v>1</v>
      </c>
      <c r="AJ1416">
        <v>0</v>
      </c>
      <c r="AK1416">
        <v>1</v>
      </c>
      <c r="AL1416">
        <v>0</v>
      </c>
      <c r="AM1416">
        <v>0</v>
      </c>
      <c r="AN1416">
        <v>1</v>
      </c>
      <c r="AO1416">
        <v>1</v>
      </c>
      <c r="AP1416">
        <v>1</v>
      </c>
      <c r="AQ1416">
        <v>1</v>
      </c>
      <c r="AR1416">
        <v>1</v>
      </c>
      <c r="AS1416">
        <v>0</v>
      </c>
      <c r="AT1416">
        <v>1</v>
      </c>
      <c r="AV1416">
        <v>1</v>
      </c>
      <c r="AW1416">
        <v>1</v>
      </c>
    </row>
    <row r="1417" spans="1:49" x14ac:dyDescent="0.25">
      <c r="A1417" t="str">
        <f>"1413"</f>
        <v>1413</v>
      </c>
      <c r="B1417" t="str">
        <f t="shared" si="78"/>
        <v>1</v>
      </c>
      <c r="C1417" t="str">
        <f t="shared" si="80"/>
        <v>62</v>
      </c>
      <c r="D1417" t="str">
        <f>"10"</f>
        <v>10</v>
      </c>
      <c r="E1417" t="str">
        <f>"1-62-10"</f>
        <v>1-62-10</v>
      </c>
      <c r="F1417" t="s">
        <v>83</v>
      </c>
      <c r="G1417" t="s">
        <v>84</v>
      </c>
      <c r="H1417" t="s">
        <v>85</v>
      </c>
      <c r="AC1417">
        <v>0</v>
      </c>
      <c r="AD1417">
        <v>1</v>
      </c>
      <c r="AE1417">
        <v>0</v>
      </c>
      <c r="AF1417">
        <v>0</v>
      </c>
      <c r="AG1417">
        <v>0</v>
      </c>
      <c r="AJ1417">
        <v>0</v>
      </c>
      <c r="AK1417">
        <v>1</v>
      </c>
      <c r="AL1417">
        <v>0</v>
      </c>
      <c r="AM1417">
        <v>0</v>
      </c>
      <c r="AN1417">
        <v>1</v>
      </c>
      <c r="AO1417">
        <v>0</v>
      </c>
      <c r="AP1417">
        <v>0</v>
      </c>
      <c r="AQ1417">
        <v>0</v>
      </c>
      <c r="AR1417">
        <v>0</v>
      </c>
      <c r="AS1417">
        <v>1</v>
      </c>
      <c r="AT1417">
        <v>0</v>
      </c>
      <c r="AV1417">
        <v>0</v>
      </c>
      <c r="AW1417">
        <v>1</v>
      </c>
    </row>
    <row r="1418" spans="1:49" x14ac:dyDescent="0.25">
      <c r="A1418" t="str">
        <f>"1414"</f>
        <v>1414</v>
      </c>
      <c r="B1418" t="str">
        <f t="shared" si="78"/>
        <v>1</v>
      </c>
      <c r="C1418" t="str">
        <f t="shared" si="80"/>
        <v>62</v>
      </c>
      <c r="D1418" t="str">
        <f>"7"</f>
        <v>7</v>
      </c>
      <c r="E1418" t="str">
        <f>"1-62-7"</f>
        <v>1-62-7</v>
      </c>
      <c r="F1418" t="s">
        <v>83</v>
      </c>
      <c r="G1418" t="s">
        <v>88</v>
      </c>
      <c r="H1418" t="s">
        <v>89</v>
      </c>
      <c r="AC1418">
        <v>0</v>
      </c>
      <c r="AD1418">
        <v>1</v>
      </c>
      <c r="AE1418">
        <v>0</v>
      </c>
      <c r="AF1418">
        <v>0</v>
      </c>
      <c r="AH1418">
        <v>1</v>
      </c>
      <c r="AI1418">
        <v>0</v>
      </c>
      <c r="AJ1418">
        <v>0</v>
      </c>
      <c r="AK1418">
        <v>1</v>
      </c>
      <c r="AL1418">
        <v>0</v>
      </c>
      <c r="AM1418">
        <v>1</v>
      </c>
      <c r="AN1418">
        <v>0</v>
      </c>
      <c r="AO1418">
        <v>0</v>
      </c>
      <c r="AP1418">
        <v>0</v>
      </c>
      <c r="AQ1418">
        <v>0</v>
      </c>
      <c r="AR1418">
        <v>1</v>
      </c>
      <c r="AS1418">
        <v>0</v>
      </c>
      <c r="AT1418">
        <v>1</v>
      </c>
      <c r="AV1418">
        <v>0</v>
      </c>
      <c r="AW1418">
        <v>1</v>
      </c>
    </row>
    <row r="1419" spans="1:49" x14ac:dyDescent="0.25">
      <c r="A1419" t="str">
        <f>"1415"</f>
        <v>1415</v>
      </c>
      <c r="B1419" t="str">
        <f t="shared" si="78"/>
        <v>1</v>
      </c>
      <c r="C1419" t="str">
        <f t="shared" si="80"/>
        <v>62</v>
      </c>
      <c r="D1419" t="str">
        <f>"20"</f>
        <v>20</v>
      </c>
      <c r="E1419" t="str">
        <f>"1-62-20"</f>
        <v>1-62-20</v>
      </c>
      <c r="F1419" t="s">
        <v>83</v>
      </c>
      <c r="G1419" t="s">
        <v>84</v>
      </c>
      <c r="H1419" t="s">
        <v>85</v>
      </c>
      <c r="AC1419">
        <v>1</v>
      </c>
      <c r="AD1419">
        <v>0</v>
      </c>
      <c r="AE1419">
        <v>0</v>
      </c>
      <c r="AF1419">
        <v>0</v>
      </c>
      <c r="AG1419">
        <v>1</v>
      </c>
      <c r="AJ1419">
        <v>0</v>
      </c>
      <c r="AK1419">
        <v>1</v>
      </c>
      <c r="AL1419">
        <v>0</v>
      </c>
      <c r="AM1419">
        <v>0</v>
      </c>
      <c r="AN1419">
        <v>1</v>
      </c>
      <c r="AO1419">
        <v>1</v>
      </c>
      <c r="AP1419">
        <v>1</v>
      </c>
      <c r="AQ1419">
        <v>1</v>
      </c>
      <c r="AR1419">
        <v>1</v>
      </c>
      <c r="AS1419">
        <v>0</v>
      </c>
      <c r="AT1419">
        <v>1</v>
      </c>
      <c r="AV1419">
        <v>1</v>
      </c>
      <c r="AW1419">
        <v>1</v>
      </c>
    </row>
    <row r="1420" spans="1:49" x14ac:dyDescent="0.25">
      <c r="A1420" t="str">
        <f>"1416"</f>
        <v>1416</v>
      </c>
      <c r="B1420" t="str">
        <f t="shared" si="78"/>
        <v>1</v>
      </c>
      <c r="C1420" t="str">
        <f t="shared" si="80"/>
        <v>62</v>
      </c>
      <c r="D1420" t="str">
        <f>"11"</f>
        <v>11</v>
      </c>
      <c r="E1420" t="str">
        <f>"1-62-11"</f>
        <v>1-62-11</v>
      </c>
      <c r="F1420" t="s">
        <v>83</v>
      </c>
      <c r="G1420" t="s">
        <v>84</v>
      </c>
      <c r="H1420" t="s">
        <v>85</v>
      </c>
      <c r="AC1420">
        <v>1</v>
      </c>
      <c r="AD1420">
        <v>0</v>
      </c>
      <c r="AE1420">
        <v>0</v>
      </c>
      <c r="AF1420">
        <v>0</v>
      </c>
      <c r="AG1420">
        <v>1</v>
      </c>
      <c r="AJ1420">
        <v>0</v>
      </c>
      <c r="AK1420">
        <v>1</v>
      </c>
      <c r="AL1420">
        <v>0</v>
      </c>
      <c r="AM1420">
        <v>1</v>
      </c>
      <c r="AN1420">
        <v>0</v>
      </c>
      <c r="AO1420">
        <v>1</v>
      </c>
      <c r="AP1420">
        <v>1</v>
      </c>
      <c r="AQ1420">
        <v>1</v>
      </c>
      <c r="AR1420">
        <v>1</v>
      </c>
      <c r="AS1420">
        <v>1</v>
      </c>
      <c r="AT1420">
        <v>0</v>
      </c>
      <c r="AV1420">
        <v>1</v>
      </c>
      <c r="AW1420">
        <v>1</v>
      </c>
    </row>
    <row r="1421" spans="1:49" x14ac:dyDescent="0.25">
      <c r="A1421" t="str">
        <f>"1417"</f>
        <v>1417</v>
      </c>
      <c r="B1421" t="str">
        <f t="shared" si="78"/>
        <v>1</v>
      </c>
      <c r="C1421" t="str">
        <f t="shared" si="80"/>
        <v>62</v>
      </c>
      <c r="D1421" t="str">
        <f>"3"</f>
        <v>3</v>
      </c>
      <c r="E1421" t="str">
        <f>"1-62-3"</f>
        <v>1-62-3</v>
      </c>
      <c r="F1421" t="s">
        <v>83</v>
      </c>
      <c r="G1421" t="s">
        <v>84</v>
      </c>
      <c r="H1421" t="s">
        <v>85</v>
      </c>
      <c r="AC1421">
        <v>0</v>
      </c>
      <c r="AD1421">
        <v>0</v>
      </c>
      <c r="AE1421">
        <v>0</v>
      </c>
      <c r="AF1421">
        <v>0</v>
      </c>
      <c r="AG1421">
        <v>0</v>
      </c>
      <c r="AJ1421">
        <v>0</v>
      </c>
      <c r="AK1421">
        <v>1</v>
      </c>
      <c r="AL1421">
        <v>0</v>
      </c>
      <c r="AM1421">
        <v>0</v>
      </c>
      <c r="AN1421">
        <v>0</v>
      </c>
      <c r="AO1421">
        <v>0</v>
      </c>
      <c r="AP1421">
        <v>0</v>
      </c>
      <c r="AQ1421">
        <v>0</v>
      </c>
      <c r="AR1421">
        <v>0</v>
      </c>
      <c r="AS1421">
        <v>1</v>
      </c>
      <c r="AT1421">
        <v>0</v>
      </c>
      <c r="AV1421">
        <v>0</v>
      </c>
      <c r="AW1421">
        <v>1</v>
      </c>
    </row>
    <row r="1422" spans="1:49" x14ac:dyDescent="0.25">
      <c r="A1422" t="str">
        <f>"1418"</f>
        <v>1418</v>
      </c>
      <c r="B1422" t="str">
        <f t="shared" si="78"/>
        <v>1</v>
      </c>
      <c r="C1422" t="str">
        <f t="shared" si="80"/>
        <v>62</v>
      </c>
      <c r="D1422" t="str">
        <f>"21"</f>
        <v>21</v>
      </c>
      <c r="E1422" t="str">
        <f>"1-62-21"</f>
        <v>1-62-21</v>
      </c>
      <c r="F1422" t="s">
        <v>83</v>
      </c>
      <c r="G1422" t="s">
        <v>84</v>
      </c>
      <c r="H1422" t="s">
        <v>85</v>
      </c>
      <c r="AC1422">
        <v>1</v>
      </c>
      <c r="AD1422">
        <v>0</v>
      </c>
      <c r="AE1422">
        <v>0</v>
      </c>
      <c r="AF1422">
        <v>0</v>
      </c>
      <c r="AG1422">
        <v>1</v>
      </c>
      <c r="AJ1422">
        <v>1</v>
      </c>
      <c r="AK1422">
        <v>0</v>
      </c>
      <c r="AL1422">
        <v>1</v>
      </c>
      <c r="AM1422">
        <v>0</v>
      </c>
      <c r="AN1422">
        <v>0</v>
      </c>
      <c r="AO1422">
        <v>1</v>
      </c>
      <c r="AP1422">
        <v>1</v>
      </c>
      <c r="AQ1422">
        <v>1</v>
      </c>
      <c r="AR1422">
        <v>1</v>
      </c>
      <c r="AS1422">
        <v>0</v>
      </c>
      <c r="AT1422">
        <v>1</v>
      </c>
      <c r="AV1422">
        <v>1</v>
      </c>
      <c r="AW1422">
        <v>1</v>
      </c>
    </row>
    <row r="1423" spans="1:49" x14ac:dyDescent="0.25">
      <c r="A1423" t="str">
        <f>"1419"</f>
        <v>1419</v>
      </c>
      <c r="B1423" t="str">
        <f t="shared" si="78"/>
        <v>1</v>
      </c>
      <c r="C1423" t="str">
        <f t="shared" si="80"/>
        <v>62</v>
      </c>
      <c r="D1423" t="str">
        <f>"12"</f>
        <v>12</v>
      </c>
      <c r="E1423" t="str">
        <f>"1-62-12"</f>
        <v>1-62-12</v>
      </c>
      <c r="F1423" t="s">
        <v>83</v>
      </c>
      <c r="G1423" t="s">
        <v>84</v>
      </c>
      <c r="H1423" t="s">
        <v>85</v>
      </c>
      <c r="AC1423">
        <v>1</v>
      </c>
      <c r="AD1423">
        <v>0</v>
      </c>
      <c r="AE1423">
        <v>0</v>
      </c>
      <c r="AF1423">
        <v>0</v>
      </c>
      <c r="AG1423">
        <v>1</v>
      </c>
      <c r="AJ1423">
        <v>0</v>
      </c>
      <c r="AK1423">
        <v>1</v>
      </c>
      <c r="AL1423">
        <v>1</v>
      </c>
      <c r="AM1423">
        <v>0</v>
      </c>
      <c r="AN1423">
        <v>0</v>
      </c>
      <c r="AO1423">
        <v>1</v>
      </c>
      <c r="AP1423">
        <v>1</v>
      </c>
      <c r="AQ1423">
        <v>1</v>
      </c>
      <c r="AR1423">
        <v>1</v>
      </c>
      <c r="AS1423">
        <v>1</v>
      </c>
      <c r="AT1423">
        <v>0</v>
      </c>
      <c r="AV1423">
        <v>1</v>
      </c>
      <c r="AW1423">
        <v>1</v>
      </c>
    </row>
    <row r="1424" spans="1:49" x14ac:dyDescent="0.25">
      <c r="A1424" t="str">
        <f>"1420"</f>
        <v>1420</v>
      </c>
      <c r="B1424" t="str">
        <f t="shared" si="78"/>
        <v>1</v>
      </c>
      <c r="C1424" t="str">
        <f t="shared" si="80"/>
        <v>62</v>
      </c>
      <c r="D1424" t="str">
        <f>"5"</f>
        <v>5</v>
      </c>
      <c r="E1424" t="str">
        <f>"1-62-5"</f>
        <v>1-62-5</v>
      </c>
      <c r="F1424" t="s">
        <v>83</v>
      </c>
      <c r="G1424" t="s">
        <v>84</v>
      </c>
      <c r="H1424" t="s">
        <v>85</v>
      </c>
      <c r="AC1424">
        <v>1</v>
      </c>
      <c r="AD1424">
        <v>0</v>
      </c>
      <c r="AE1424">
        <v>0</v>
      </c>
      <c r="AF1424">
        <v>0</v>
      </c>
      <c r="AG1424">
        <v>1</v>
      </c>
      <c r="AJ1424">
        <v>1</v>
      </c>
      <c r="AK1424">
        <v>0</v>
      </c>
      <c r="AL1424">
        <v>0</v>
      </c>
      <c r="AM1424">
        <v>1</v>
      </c>
      <c r="AN1424">
        <v>0</v>
      </c>
      <c r="AO1424">
        <v>1</v>
      </c>
      <c r="AP1424">
        <v>1</v>
      </c>
      <c r="AQ1424">
        <v>1</v>
      </c>
      <c r="AR1424">
        <v>1</v>
      </c>
      <c r="AS1424">
        <v>1</v>
      </c>
      <c r="AT1424">
        <v>0</v>
      </c>
      <c r="AV1424">
        <v>1</v>
      </c>
      <c r="AW1424">
        <v>1</v>
      </c>
    </row>
    <row r="1425" spans="1:49" x14ac:dyDescent="0.25">
      <c r="A1425" t="str">
        <f>"1421"</f>
        <v>1421</v>
      </c>
      <c r="B1425" t="str">
        <f t="shared" si="78"/>
        <v>1</v>
      </c>
      <c r="C1425" t="str">
        <f t="shared" si="80"/>
        <v>62</v>
      </c>
      <c r="D1425" t="str">
        <f>"23"</f>
        <v>23</v>
      </c>
      <c r="E1425" t="str">
        <f>"1-62-23"</f>
        <v>1-62-23</v>
      </c>
      <c r="F1425" t="s">
        <v>83</v>
      </c>
      <c r="G1425" t="s">
        <v>84</v>
      </c>
      <c r="H1425" t="s">
        <v>85</v>
      </c>
      <c r="AC1425">
        <v>0</v>
      </c>
      <c r="AD1425">
        <v>1</v>
      </c>
      <c r="AE1425">
        <v>0</v>
      </c>
      <c r="AF1425">
        <v>0</v>
      </c>
      <c r="AG1425">
        <v>1</v>
      </c>
      <c r="AJ1425">
        <v>0</v>
      </c>
      <c r="AK1425">
        <v>1</v>
      </c>
      <c r="AL1425">
        <v>0</v>
      </c>
      <c r="AM1425">
        <v>0</v>
      </c>
      <c r="AN1425">
        <v>1</v>
      </c>
      <c r="AO1425">
        <v>1</v>
      </c>
      <c r="AP1425">
        <v>1</v>
      </c>
      <c r="AQ1425">
        <v>1</v>
      </c>
      <c r="AR1425">
        <v>1</v>
      </c>
      <c r="AS1425">
        <v>0</v>
      </c>
      <c r="AT1425">
        <v>1</v>
      </c>
      <c r="AV1425">
        <v>1</v>
      </c>
      <c r="AW1425">
        <v>1</v>
      </c>
    </row>
    <row r="1426" spans="1:49" x14ac:dyDescent="0.25">
      <c r="A1426" t="str">
        <f>"1422"</f>
        <v>1422</v>
      </c>
      <c r="B1426" t="str">
        <f t="shared" si="78"/>
        <v>1</v>
      </c>
      <c r="C1426" t="str">
        <f t="shared" si="80"/>
        <v>62</v>
      </c>
      <c r="D1426" t="str">
        <f>"13"</f>
        <v>13</v>
      </c>
      <c r="E1426" t="str">
        <f>"1-62-13"</f>
        <v>1-62-13</v>
      </c>
      <c r="F1426" t="s">
        <v>83</v>
      </c>
      <c r="G1426" t="s">
        <v>84</v>
      </c>
      <c r="H1426" t="s">
        <v>85</v>
      </c>
      <c r="AC1426">
        <v>1</v>
      </c>
      <c r="AD1426">
        <v>0</v>
      </c>
      <c r="AE1426">
        <v>0</v>
      </c>
      <c r="AF1426">
        <v>0</v>
      </c>
      <c r="AG1426">
        <v>1</v>
      </c>
      <c r="AJ1426">
        <v>0</v>
      </c>
      <c r="AK1426">
        <v>1</v>
      </c>
      <c r="AL1426">
        <v>0</v>
      </c>
      <c r="AM1426">
        <v>0</v>
      </c>
      <c r="AN1426">
        <v>1</v>
      </c>
      <c r="AO1426">
        <v>1</v>
      </c>
      <c r="AP1426">
        <v>1</v>
      </c>
      <c r="AQ1426">
        <v>1</v>
      </c>
      <c r="AR1426">
        <v>1</v>
      </c>
      <c r="AS1426">
        <v>0</v>
      </c>
      <c r="AT1426">
        <v>1</v>
      </c>
      <c r="AV1426">
        <v>1</v>
      </c>
      <c r="AW1426">
        <v>1</v>
      </c>
    </row>
    <row r="1427" spans="1:49" x14ac:dyDescent="0.25">
      <c r="A1427" t="str">
        <f>"1423"</f>
        <v>1423</v>
      </c>
      <c r="B1427" t="str">
        <f t="shared" si="78"/>
        <v>1</v>
      </c>
      <c r="C1427" t="str">
        <f t="shared" si="80"/>
        <v>62</v>
      </c>
      <c r="D1427" t="str">
        <f>"1"</f>
        <v>1</v>
      </c>
      <c r="E1427" t="str">
        <f>"1-62-1"</f>
        <v>1-62-1</v>
      </c>
      <c r="F1427" t="s">
        <v>83</v>
      </c>
      <c r="G1427" t="s">
        <v>88</v>
      </c>
      <c r="H1427" t="s">
        <v>89</v>
      </c>
      <c r="AC1427">
        <v>0</v>
      </c>
      <c r="AD1427">
        <v>1</v>
      </c>
      <c r="AE1427">
        <v>0</v>
      </c>
      <c r="AF1427">
        <v>0</v>
      </c>
      <c r="AH1427">
        <v>1</v>
      </c>
      <c r="AI1427">
        <v>0</v>
      </c>
      <c r="AJ1427">
        <v>0</v>
      </c>
      <c r="AK1427">
        <v>1</v>
      </c>
      <c r="AL1427">
        <v>0</v>
      </c>
      <c r="AM1427">
        <v>0</v>
      </c>
      <c r="AN1427">
        <v>0</v>
      </c>
      <c r="AO1427">
        <v>0</v>
      </c>
      <c r="AP1427">
        <v>0</v>
      </c>
      <c r="AQ1427">
        <v>0</v>
      </c>
      <c r="AR1427">
        <v>0</v>
      </c>
      <c r="AS1427">
        <v>0</v>
      </c>
      <c r="AT1427">
        <v>1</v>
      </c>
      <c r="AV1427">
        <v>0</v>
      </c>
      <c r="AW1427">
        <v>1</v>
      </c>
    </row>
    <row r="1428" spans="1:49" x14ac:dyDescent="0.25">
      <c r="A1428" t="str">
        <f>"1424"</f>
        <v>1424</v>
      </c>
      <c r="B1428" t="str">
        <f t="shared" si="78"/>
        <v>1</v>
      </c>
      <c r="C1428" t="str">
        <f t="shared" si="80"/>
        <v>62</v>
      </c>
      <c r="D1428" t="str">
        <f>"22"</f>
        <v>22</v>
      </c>
      <c r="E1428" t="str">
        <f>"1-62-22"</f>
        <v>1-62-22</v>
      </c>
      <c r="F1428" t="s">
        <v>83</v>
      </c>
      <c r="G1428" t="s">
        <v>84</v>
      </c>
      <c r="H1428" t="s">
        <v>85</v>
      </c>
      <c r="AC1428">
        <v>1</v>
      </c>
      <c r="AD1428">
        <v>0</v>
      </c>
      <c r="AE1428">
        <v>0</v>
      </c>
      <c r="AF1428">
        <v>0</v>
      </c>
      <c r="AG1428">
        <v>0</v>
      </c>
      <c r="AJ1428">
        <v>0</v>
      </c>
      <c r="AK1428">
        <v>1</v>
      </c>
      <c r="AL1428">
        <v>1</v>
      </c>
      <c r="AM1428">
        <v>0</v>
      </c>
      <c r="AN1428">
        <v>0</v>
      </c>
      <c r="AO1428">
        <v>0</v>
      </c>
      <c r="AP1428">
        <v>0</v>
      </c>
      <c r="AQ1428">
        <v>0</v>
      </c>
      <c r="AR1428">
        <v>0</v>
      </c>
      <c r="AS1428">
        <v>0</v>
      </c>
      <c r="AT1428">
        <v>0</v>
      </c>
      <c r="AV1428">
        <v>0</v>
      </c>
      <c r="AW1428">
        <v>0</v>
      </c>
    </row>
    <row r="1429" spans="1:49" x14ac:dyDescent="0.25">
      <c r="A1429" t="str">
        <f>"1425"</f>
        <v>1425</v>
      </c>
      <c r="B1429" t="str">
        <f t="shared" si="78"/>
        <v>1</v>
      </c>
      <c r="C1429" t="str">
        <f t="shared" si="80"/>
        <v>62</v>
      </c>
      <c r="D1429" t="str">
        <f>"14"</f>
        <v>14</v>
      </c>
      <c r="E1429" t="str">
        <f>"1-62-14"</f>
        <v>1-62-14</v>
      </c>
      <c r="F1429" t="s">
        <v>83</v>
      </c>
      <c r="G1429" t="s">
        <v>84</v>
      </c>
      <c r="H1429" t="s">
        <v>85</v>
      </c>
      <c r="AC1429">
        <v>0</v>
      </c>
      <c r="AD1429">
        <v>1</v>
      </c>
      <c r="AE1429">
        <v>0</v>
      </c>
      <c r="AF1429">
        <v>0</v>
      </c>
      <c r="AG1429">
        <v>1</v>
      </c>
      <c r="AJ1429">
        <v>1</v>
      </c>
      <c r="AK1429">
        <v>0</v>
      </c>
      <c r="AL1429">
        <v>0</v>
      </c>
      <c r="AM1429">
        <v>1</v>
      </c>
      <c r="AN1429">
        <v>0</v>
      </c>
      <c r="AO1429">
        <v>1</v>
      </c>
      <c r="AP1429">
        <v>1</v>
      </c>
      <c r="AQ1429">
        <v>1</v>
      </c>
      <c r="AR1429">
        <v>1</v>
      </c>
      <c r="AS1429">
        <v>0</v>
      </c>
      <c r="AT1429">
        <v>1</v>
      </c>
      <c r="AV1429">
        <v>1</v>
      </c>
      <c r="AW1429">
        <v>1</v>
      </c>
    </row>
    <row r="1430" spans="1:49" x14ac:dyDescent="0.25">
      <c r="A1430" t="str">
        <f>"1426"</f>
        <v>1426</v>
      </c>
      <c r="B1430" t="str">
        <f t="shared" si="78"/>
        <v>1</v>
      </c>
      <c r="C1430" t="str">
        <f t="shared" si="80"/>
        <v>62</v>
      </c>
      <c r="D1430" t="str">
        <f>"6"</f>
        <v>6</v>
      </c>
      <c r="E1430" t="str">
        <f>"1-62-6"</f>
        <v>1-62-6</v>
      </c>
      <c r="F1430" t="s">
        <v>83</v>
      </c>
      <c r="G1430" t="s">
        <v>88</v>
      </c>
      <c r="H1430" t="s">
        <v>89</v>
      </c>
      <c r="AC1430">
        <v>1</v>
      </c>
      <c r="AD1430">
        <v>0</v>
      </c>
      <c r="AE1430">
        <v>0</v>
      </c>
      <c r="AF1430">
        <v>0</v>
      </c>
      <c r="AH1430">
        <v>0</v>
      </c>
      <c r="AI1430">
        <v>1</v>
      </c>
      <c r="AJ1430">
        <v>1</v>
      </c>
      <c r="AK1430">
        <v>0</v>
      </c>
      <c r="AL1430">
        <v>0</v>
      </c>
      <c r="AM1430">
        <v>1</v>
      </c>
      <c r="AN1430">
        <v>0</v>
      </c>
      <c r="AO1430">
        <v>1</v>
      </c>
      <c r="AP1430">
        <v>1</v>
      </c>
      <c r="AQ1430">
        <v>1</v>
      </c>
      <c r="AR1430">
        <v>1</v>
      </c>
      <c r="AS1430">
        <v>0</v>
      </c>
      <c r="AT1430">
        <v>1</v>
      </c>
      <c r="AV1430">
        <v>1</v>
      </c>
      <c r="AW1430">
        <v>1</v>
      </c>
    </row>
    <row r="1431" spans="1:49" x14ac:dyDescent="0.25">
      <c r="A1431" t="str">
        <f>"1427"</f>
        <v>1427</v>
      </c>
      <c r="B1431" t="str">
        <f t="shared" si="78"/>
        <v>1</v>
      </c>
      <c r="C1431" t="str">
        <f t="shared" ref="C1431:C1455" si="81">"63"</f>
        <v>63</v>
      </c>
      <c r="D1431" t="str">
        <f>"19"</f>
        <v>19</v>
      </c>
      <c r="E1431" t="str">
        <f>"1-63-19"</f>
        <v>1-63-19</v>
      </c>
      <c r="F1431" t="s">
        <v>83</v>
      </c>
      <c r="G1431" t="s">
        <v>86</v>
      </c>
      <c r="H1431" t="s">
        <v>93</v>
      </c>
      <c r="I1431">
        <v>1</v>
      </c>
      <c r="K1431">
        <v>0</v>
      </c>
      <c r="L1431">
        <v>0</v>
      </c>
      <c r="M1431">
        <v>1</v>
      </c>
      <c r="N1431">
        <v>1</v>
      </c>
      <c r="O1431">
        <v>1</v>
      </c>
      <c r="P1431">
        <v>1</v>
      </c>
      <c r="Q1431">
        <v>1</v>
      </c>
      <c r="R1431">
        <v>1</v>
      </c>
      <c r="U1431">
        <v>1</v>
      </c>
      <c r="V1431">
        <v>0</v>
      </c>
      <c r="W1431">
        <v>1</v>
      </c>
      <c r="X1431">
        <v>1</v>
      </c>
      <c r="Y1431">
        <v>1</v>
      </c>
      <c r="Z1431">
        <v>1</v>
      </c>
      <c r="AA1431">
        <v>1</v>
      </c>
      <c r="AB1431">
        <v>1</v>
      </c>
    </row>
    <row r="1432" spans="1:49" x14ac:dyDescent="0.25">
      <c r="A1432" t="str">
        <f>"1428"</f>
        <v>1428</v>
      </c>
      <c r="B1432" t="str">
        <f t="shared" si="78"/>
        <v>1</v>
      </c>
      <c r="C1432" t="str">
        <f t="shared" si="81"/>
        <v>63</v>
      </c>
      <c r="D1432" t="str">
        <f>"18"</f>
        <v>18</v>
      </c>
      <c r="E1432" t="str">
        <f>"1-63-18"</f>
        <v>1-63-18</v>
      </c>
      <c r="F1432" t="s">
        <v>83</v>
      </c>
      <c r="G1432" t="s">
        <v>84</v>
      </c>
      <c r="H1432" t="s">
        <v>92</v>
      </c>
      <c r="I1432">
        <v>1</v>
      </c>
      <c r="J1432">
        <v>1</v>
      </c>
      <c r="N1432">
        <v>1</v>
      </c>
      <c r="O1432">
        <v>1</v>
      </c>
      <c r="P1432">
        <v>1</v>
      </c>
      <c r="Q1432">
        <v>1</v>
      </c>
      <c r="R1432">
        <v>1</v>
      </c>
      <c r="S1432">
        <v>1</v>
      </c>
      <c r="T1432">
        <v>1</v>
      </c>
      <c r="W1432">
        <v>1</v>
      </c>
      <c r="X1432">
        <v>1</v>
      </c>
      <c r="Y1432">
        <v>1</v>
      </c>
      <c r="Z1432">
        <v>1</v>
      </c>
      <c r="AA1432">
        <v>1</v>
      </c>
      <c r="AB1432">
        <v>1</v>
      </c>
    </row>
    <row r="1433" spans="1:49" x14ac:dyDescent="0.25">
      <c r="A1433" t="str">
        <f>"1429"</f>
        <v>1429</v>
      </c>
      <c r="B1433" t="str">
        <f t="shared" si="78"/>
        <v>1</v>
      </c>
      <c r="C1433" t="str">
        <f t="shared" si="81"/>
        <v>63</v>
      </c>
      <c r="D1433" t="str">
        <f>"11"</f>
        <v>11</v>
      </c>
      <c r="E1433" t="str">
        <f>"1-63-11"</f>
        <v>1-63-11</v>
      </c>
      <c r="F1433" t="s">
        <v>83</v>
      </c>
      <c r="G1433" t="s">
        <v>86</v>
      </c>
      <c r="H1433" t="s">
        <v>93</v>
      </c>
      <c r="I1433">
        <v>1</v>
      </c>
      <c r="K1433">
        <v>0</v>
      </c>
      <c r="L1433">
        <v>0</v>
      </c>
      <c r="M1433">
        <v>1</v>
      </c>
      <c r="N1433">
        <v>1</v>
      </c>
      <c r="O1433">
        <v>1</v>
      </c>
      <c r="P1433">
        <v>1</v>
      </c>
      <c r="Q1433">
        <v>1</v>
      </c>
      <c r="R1433">
        <v>1</v>
      </c>
      <c r="U1433">
        <v>0</v>
      </c>
      <c r="V1433">
        <v>1</v>
      </c>
      <c r="W1433">
        <v>1</v>
      </c>
      <c r="X1433">
        <v>1</v>
      </c>
      <c r="Y1433">
        <v>1</v>
      </c>
      <c r="Z1433">
        <v>1</v>
      </c>
      <c r="AA1433">
        <v>1</v>
      </c>
      <c r="AB1433">
        <v>1</v>
      </c>
    </row>
    <row r="1434" spans="1:49" x14ac:dyDescent="0.25">
      <c r="A1434" t="str">
        <f>"1430"</f>
        <v>1430</v>
      </c>
      <c r="B1434" t="str">
        <f t="shared" si="78"/>
        <v>1</v>
      </c>
      <c r="C1434" t="str">
        <f t="shared" si="81"/>
        <v>63</v>
      </c>
      <c r="D1434" t="str">
        <f>"8"</f>
        <v>8</v>
      </c>
      <c r="E1434" t="str">
        <f>"1-63-8"</f>
        <v>1-63-8</v>
      </c>
      <c r="F1434" t="s">
        <v>83</v>
      </c>
      <c r="G1434" t="s">
        <v>86</v>
      </c>
      <c r="H1434" t="s">
        <v>93</v>
      </c>
      <c r="I1434">
        <v>1</v>
      </c>
      <c r="K1434">
        <v>0</v>
      </c>
      <c r="L1434">
        <v>0</v>
      </c>
      <c r="M1434">
        <v>1</v>
      </c>
      <c r="N1434">
        <v>1</v>
      </c>
      <c r="O1434">
        <v>1</v>
      </c>
      <c r="P1434">
        <v>1</v>
      </c>
      <c r="Q1434">
        <v>1</v>
      </c>
      <c r="R1434">
        <v>1</v>
      </c>
      <c r="U1434">
        <v>1</v>
      </c>
      <c r="V1434">
        <v>0</v>
      </c>
      <c r="W1434">
        <v>1</v>
      </c>
      <c r="X1434">
        <v>1</v>
      </c>
      <c r="Y1434">
        <v>1</v>
      </c>
      <c r="Z1434">
        <v>1</v>
      </c>
      <c r="AA1434">
        <v>1</v>
      </c>
      <c r="AB1434">
        <v>1</v>
      </c>
    </row>
    <row r="1435" spans="1:49" x14ac:dyDescent="0.25">
      <c r="A1435" t="str">
        <f>"1431"</f>
        <v>1431</v>
      </c>
      <c r="B1435" t="str">
        <f t="shared" si="78"/>
        <v>1</v>
      </c>
      <c r="C1435" t="str">
        <f t="shared" si="81"/>
        <v>63</v>
      </c>
      <c r="D1435" t="str">
        <f>"3"</f>
        <v>3</v>
      </c>
      <c r="E1435" t="str">
        <f>"1-63-3"</f>
        <v>1-63-3</v>
      </c>
      <c r="F1435" t="s">
        <v>83</v>
      </c>
      <c r="G1435" t="s">
        <v>86</v>
      </c>
      <c r="H1435" t="s">
        <v>93</v>
      </c>
      <c r="I1435">
        <v>1</v>
      </c>
      <c r="K1435">
        <v>0</v>
      </c>
      <c r="L1435">
        <v>0</v>
      </c>
      <c r="M1435">
        <v>1</v>
      </c>
      <c r="N1435">
        <v>1</v>
      </c>
      <c r="O1435">
        <v>1</v>
      </c>
      <c r="P1435">
        <v>1</v>
      </c>
      <c r="Q1435">
        <v>1</v>
      </c>
      <c r="R1435">
        <v>1</v>
      </c>
      <c r="U1435">
        <v>0</v>
      </c>
      <c r="V1435">
        <v>1</v>
      </c>
      <c r="W1435">
        <v>1</v>
      </c>
      <c r="X1435">
        <v>1</v>
      </c>
      <c r="Y1435">
        <v>1</v>
      </c>
      <c r="Z1435">
        <v>1</v>
      </c>
      <c r="AA1435">
        <v>1</v>
      </c>
      <c r="AB1435">
        <v>1</v>
      </c>
    </row>
    <row r="1436" spans="1:49" x14ac:dyDescent="0.25">
      <c r="A1436" t="str">
        <f>"1432"</f>
        <v>1432</v>
      </c>
      <c r="B1436" t="str">
        <f t="shared" si="78"/>
        <v>1</v>
      </c>
      <c r="C1436" t="str">
        <f t="shared" si="81"/>
        <v>63</v>
      </c>
      <c r="D1436" t="str">
        <f>"25"</f>
        <v>25</v>
      </c>
      <c r="E1436" t="str">
        <f>"1-63-25"</f>
        <v>1-63-25</v>
      </c>
      <c r="F1436" t="s">
        <v>83</v>
      </c>
      <c r="G1436" t="s">
        <v>84</v>
      </c>
      <c r="H1436" t="s">
        <v>92</v>
      </c>
      <c r="I1436">
        <v>1</v>
      </c>
      <c r="J1436">
        <v>1</v>
      </c>
      <c r="N1436">
        <v>1</v>
      </c>
      <c r="O1436">
        <v>1</v>
      </c>
      <c r="P1436">
        <v>1</v>
      </c>
      <c r="Q1436">
        <v>1</v>
      </c>
      <c r="R1436">
        <v>1</v>
      </c>
      <c r="S1436">
        <v>1</v>
      </c>
      <c r="T1436">
        <v>1</v>
      </c>
      <c r="W1436">
        <v>1</v>
      </c>
      <c r="X1436">
        <v>1</v>
      </c>
      <c r="Y1436">
        <v>1</v>
      </c>
      <c r="Z1436">
        <v>1</v>
      </c>
      <c r="AA1436">
        <v>1</v>
      </c>
      <c r="AB1436">
        <v>1</v>
      </c>
    </row>
    <row r="1437" spans="1:49" x14ac:dyDescent="0.25">
      <c r="A1437" t="str">
        <f>"1433"</f>
        <v>1433</v>
      </c>
      <c r="B1437" t="str">
        <f t="shared" si="78"/>
        <v>1</v>
      </c>
      <c r="C1437" t="str">
        <f t="shared" si="81"/>
        <v>63</v>
      </c>
      <c r="D1437" t="str">
        <f>"24"</f>
        <v>24</v>
      </c>
      <c r="E1437" t="str">
        <f>"1-63-24"</f>
        <v>1-63-24</v>
      </c>
      <c r="F1437" t="s">
        <v>83</v>
      </c>
      <c r="G1437" t="s">
        <v>86</v>
      </c>
      <c r="H1437" t="s">
        <v>93</v>
      </c>
      <c r="I1437">
        <v>1</v>
      </c>
      <c r="K1437">
        <v>0</v>
      </c>
      <c r="L1437">
        <v>0</v>
      </c>
      <c r="M1437">
        <v>1</v>
      </c>
      <c r="N1437">
        <v>1</v>
      </c>
      <c r="O1437">
        <v>1</v>
      </c>
      <c r="P1437">
        <v>1</v>
      </c>
      <c r="Q1437">
        <v>1</v>
      </c>
      <c r="R1437">
        <v>1</v>
      </c>
      <c r="U1437">
        <v>1</v>
      </c>
      <c r="V1437">
        <v>0</v>
      </c>
      <c r="W1437">
        <v>1</v>
      </c>
      <c r="X1437">
        <v>1</v>
      </c>
      <c r="Y1437">
        <v>1</v>
      </c>
      <c r="Z1437">
        <v>1</v>
      </c>
      <c r="AA1437">
        <v>1</v>
      </c>
      <c r="AB1437">
        <v>1</v>
      </c>
    </row>
    <row r="1438" spans="1:49" x14ac:dyDescent="0.25">
      <c r="A1438" t="str">
        <f>"1434"</f>
        <v>1434</v>
      </c>
      <c r="B1438" t="str">
        <f t="shared" ref="B1438:B1501" si="82">"1"</f>
        <v>1</v>
      </c>
      <c r="C1438" t="str">
        <f t="shared" si="81"/>
        <v>63</v>
      </c>
      <c r="D1438" t="str">
        <f>"16"</f>
        <v>16</v>
      </c>
      <c r="E1438" t="str">
        <f>"1-63-16"</f>
        <v>1-63-16</v>
      </c>
      <c r="F1438" t="s">
        <v>83</v>
      </c>
      <c r="G1438" t="s">
        <v>86</v>
      </c>
      <c r="H1438" t="s">
        <v>93</v>
      </c>
      <c r="I1438">
        <v>1</v>
      </c>
      <c r="K1438">
        <v>0</v>
      </c>
      <c r="L1438">
        <v>0</v>
      </c>
      <c r="M1438">
        <v>1</v>
      </c>
      <c r="N1438">
        <v>1</v>
      </c>
      <c r="O1438">
        <v>1</v>
      </c>
      <c r="P1438">
        <v>1</v>
      </c>
      <c r="Q1438">
        <v>1</v>
      </c>
      <c r="R1438">
        <v>1</v>
      </c>
      <c r="U1438">
        <v>1</v>
      </c>
      <c r="V1438">
        <v>0</v>
      </c>
      <c r="W1438">
        <v>1</v>
      </c>
      <c r="X1438">
        <v>1</v>
      </c>
      <c r="Y1438">
        <v>1</v>
      </c>
      <c r="Z1438">
        <v>1</v>
      </c>
      <c r="AA1438">
        <v>1</v>
      </c>
      <c r="AB1438">
        <v>1</v>
      </c>
    </row>
    <row r="1439" spans="1:49" x14ac:dyDescent="0.25">
      <c r="A1439" t="str">
        <f>"1435"</f>
        <v>1435</v>
      </c>
      <c r="B1439" t="str">
        <f t="shared" si="82"/>
        <v>1</v>
      </c>
      <c r="C1439" t="str">
        <f t="shared" si="81"/>
        <v>63</v>
      </c>
      <c r="D1439" t="str">
        <f>"9"</f>
        <v>9</v>
      </c>
      <c r="E1439" t="str">
        <f>"1-63-9"</f>
        <v>1-63-9</v>
      </c>
      <c r="F1439" t="s">
        <v>83</v>
      </c>
      <c r="G1439" t="s">
        <v>86</v>
      </c>
      <c r="H1439" t="s">
        <v>93</v>
      </c>
      <c r="I1439">
        <v>1</v>
      </c>
      <c r="K1439">
        <v>0</v>
      </c>
      <c r="L1439">
        <v>0</v>
      </c>
      <c r="M1439">
        <v>1</v>
      </c>
      <c r="N1439">
        <v>1</v>
      </c>
      <c r="O1439">
        <v>1</v>
      </c>
      <c r="P1439">
        <v>1</v>
      </c>
      <c r="Q1439">
        <v>1</v>
      </c>
      <c r="R1439">
        <v>0</v>
      </c>
      <c r="U1439">
        <v>1</v>
      </c>
      <c r="V1439">
        <v>0</v>
      </c>
      <c r="W1439">
        <v>1</v>
      </c>
      <c r="X1439">
        <v>1</v>
      </c>
      <c r="Y1439">
        <v>1</v>
      </c>
      <c r="Z1439">
        <v>1</v>
      </c>
      <c r="AA1439">
        <v>1</v>
      </c>
      <c r="AB1439">
        <v>1</v>
      </c>
    </row>
    <row r="1440" spans="1:49" x14ac:dyDescent="0.25">
      <c r="A1440" t="str">
        <f>"1436"</f>
        <v>1436</v>
      </c>
      <c r="B1440" t="str">
        <f t="shared" si="82"/>
        <v>1</v>
      </c>
      <c r="C1440" t="str">
        <f t="shared" si="81"/>
        <v>63</v>
      </c>
      <c r="D1440" t="str">
        <f>"2"</f>
        <v>2</v>
      </c>
      <c r="E1440" t="str">
        <f>"1-63-2"</f>
        <v>1-63-2</v>
      </c>
      <c r="F1440" t="s">
        <v>83</v>
      </c>
      <c r="G1440" t="s">
        <v>86</v>
      </c>
      <c r="H1440" t="s">
        <v>93</v>
      </c>
      <c r="I1440">
        <v>1</v>
      </c>
      <c r="K1440">
        <v>1</v>
      </c>
      <c r="L1440">
        <v>0</v>
      </c>
      <c r="M1440">
        <v>0</v>
      </c>
      <c r="N1440">
        <v>1</v>
      </c>
      <c r="O1440">
        <v>1</v>
      </c>
      <c r="P1440">
        <v>1</v>
      </c>
      <c r="Q1440">
        <v>1</v>
      </c>
      <c r="R1440">
        <v>1</v>
      </c>
      <c r="U1440">
        <v>0</v>
      </c>
      <c r="V1440">
        <v>1</v>
      </c>
      <c r="W1440">
        <v>0</v>
      </c>
      <c r="X1440">
        <v>1</v>
      </c>
      <c r="Y1440">
        <v>1</v>
      </c>
      <c r="Z1440">
        <v>1</v>
      </c>
      <c r="AA1440">
        <v>1</v>
      </c>
      <c r="AB1440">
        <v>1</v>
      </c>
    </row>
    <row r="1441" spans="1:28" x14ac:dyDescent="0.25">
      <c r="A1441" t="str">
        <f>"1437"</f>
        <v>1437</v>
      </c>
      <c r="B1441" t="str">
        <f t="shared" si="82"/>
        <v>1</v>
      </c>
      <c r="C1441" t="str">
        <f t="shared" si="81"/>
        <v>63</v>
      </c>
      <c r="D1441" t="str">
        <f>"22"</f>
        <v>22</v>
      </c>
      <c r="E1441" t="str">
        <f>"1-63-22"</f>
        <v>1-63-22</v>
      </c>
      <c r="F1441" t="s">
        <v>83</v>
      </c>
      <c r="G1441" t="s">
        <v>84</v>
      </c>
      <c r="H1441" t="s">
        <v>92</v>
      </c>
      <c r="I1441">
        <v>1</v>
      </c>
      <c r="J1441">
        <v>1</v>
      </c>
      <c r="N1441">
        <v>1</v>
      </c>
      <c r="O1441">
        <v>1</v>
      </c>
      <c r="P1441">
        <v>1</v>
      </c>
      <c r="Q1441">
        <v>1</v>
      </c>
      <c r="R1441">
        <v>1</v>
      </c>
      <c r="S1441">
        <v>1</v>
      </c>
      <c r="T1441">
        <v>1</v>
      </c>
      <c r="W1441">
        <v>1</v>
      </c>
      <c r="X1441">
        <v>1</v>
      </c>
      <c r="Y1441">
        <v>1</v>
      </c>
      <c r="Z1441">
        <v>1</v>
      </c>
      <c r="AA1441">
        <v>1</v>
      </c>
      <c r="AB1441">
        <v>1</v>
      </c>
    </row>
    <row r="1442" spans="1:28" x14ac:dyDescent="0.25">
      <c r="A1442" t="str">
        <f>"1438"</f>
        <v>1438</v>
      </c>
      <c r="B1442" t="str">
        <f t="shared" si="82"/>
        <v>1</v>
      </c>
      <c r="C1442" t="str">
        <f t="shared" si="81"/>
        <v>63</v>
      </c>
      <c r="D1442" t="str">
        <f>"17"</f>
        <v>17</v>
      </c>
      <c r="E1442" t="str">
        <f>"1-63-17"</f>
        <v>1-63-17</v>
      </c>
      <c r="F1442" t="s">
        <v>83</v>
      </c>
      <c r="G1442" t="s">
        <v>86</v>
      </c>
      <c r="H1442" t="s">
        <v>93</v>
      </c>
      <c r="I1442">
        <v>1</v>
      </c>
      <c r="K1442">
        <v>0</v>
      </c>
      <c r="L1442">
        <v>0</v>
      </c>
      <c r="M1442">
        <v>1</v>
      </c>
      <c r="N1442">
        <v>1</v>
      </c>
      <c r="O1442">
        <v>1</v>
      </c>
      <c r="P1442">
        <v>1</v>
      </c>
      <c r="Q1442">
        <v>1</v>
      </c>
      <c r="R1442">
        <v>1</v>
      </c>
      <c r="U1442">
        <v>1</v>
      </c>
      <c r="V1442">
        <v>0</v>
      </c>
      <c r="W1442">
        <v>1</v>
      </c>
      <c r="X1442">
        <v>1</v>
      </c>
      <c r="Y1442">
        <v>1</v>
      </c>
      <c r="Z1442">
        <v>1</v>
      </c>
      <c r="AA1442">
        <v>1</v>
      </c>
      <c r="AB1442">
        <v>1</v>
      </c>
    </row>
    <row r="1443" spans="1:28" x14ac:dyDescent="0.25">
      <c r="A1443" t="str">
        <f>"1439"</f>
        <v>1439</v>
      </c>
      <c r="B1443" t="str">
        <f t="shared" si="82"/>
        <v>1</v>
      </c>
      <c r="C1443" t="str">
        <f t="shared" si="81"/>
        <v>63</v>
      </c>
      <c r="D1443" t="str">
        <f>"10"</f>
        <v>10</v>
      </c>
      <c r="E1443" t="str">
        <f>"1-63-10"</f>
        <v>1-63-10</v>
      </c>
      <c r="F1443" t="s">
        <v>83</v>
      </c>
      <c r="G1443" t="s">
        <v>86</v>
      </c>
      <c r="H1443" t="s">
        <v>93</v>
      </c>
      <c r="I1443">
        <v>1</v>
      </c>
      <c r="K1443">
        <v>0</v>
      </c>
      <c r="L1443">
        <v>0</v>
      </c>
      <c r="M1443">
        <v>1</v>
      </c>
      <c r="N1443">
        <v>1</v>
      </c>
      <c r="O1443">
        <v>1</v>
      </c>
      <c r="P1443">
        <v>1</v>
      </c>
      <c r="Q1443">
        <v>1</v>
      </c>
      <c r="R1443">
        <v>1</v>
      </c>
      <c r="U1443">
        <v>0</v>
      </c>
      <c r="V1443">
        <v>1</v>
      </c>
      <c r="W1443">
        <v>1</v>
      </c>
      <c r="X1443">
        <v>1</v>
      </c>
      <c r="Y1443">
        <v>1</v>
      </c>
      <c r="Z1443">
        <v>1</v>
      </c>
      <c r="AA1443">
        <v>1</v>
      </c>
      <c r="AB1443">
        <v>1</v>
      </c>
    </row>
    <row r="1444" spans="1:28" x14ac:dyDescent="0.25">
      <c r="A1444" t="str">
        <f>"1440"</f>
        <v>1440</v>
      </c>
      <c r="B1444" t="str">
        <f t="shared" si="82"/>
        <v>1</v>
      </c>
      <c r="C1444" t="str">
        <f t="shared" si="81"/>
        <v>63</v>
      </c>
      <c r="D1444" t="str">
        <f>"4"</f>
        <v>4</v>
      </c>
      <c r="E1444" t="str">
        <f>"1-63-4"</f>
        <v>1-63-4</v>
      </c>
      <c r="F1444" t="s">
        <v>83</v>
      </c>
      <c r="G1444" t="s">
        <v>86</v>
      </c>
      <c r="H1444" t="s">
        <v>93</v>
      </c>
      <c r="I1444">
        <v>1</v>
      </c>
      <c r="K1444">
        <v>0</v>
      </c>
      <c r="L1444">
        <v>0</v>
      </c>
      <c r="M1444">
        <v>1</v>
      </c>
      <c r="N1444">
        <v>1</v>
      </c>
      <c r="O1444">
        <v>1</v>
      </c>
      <c r="P1444">
        <v>1</v>
      </c>
      <c r="Q1444">
        <v>1</v>
      </c>
      <c r="R1444">
        <v>1</v>
      </c>
      <c r="U1444">
        <v>1</v>
      </c>
      <c r="V1444">
        <v>0</v>
      </c>
      <c r="W1444">
        <v>1</v>
      </c>
      <c r="X1444">
        <v>1</v>
      </c>
      <c r="Y1444">
        <v>1</v>
      </c>
      <c r="Z1444">
        <v>1</v>
      </c>
      <c r="AA1444">
        <v>1</v>
      </c>
      <c r="AB1444">
        <v>1</v>
      </c>
    </row>
    <row r="1445" spans="1:28" x14ac:dyDescent="0.25">
      <c r="A1445" t="str">
        <f>"1441"</f>
        <v>1441</v>
      </c>
      <c r="B1445" t="str">
        <f t="shared" si="82"/>
        <v>1</v>
      </c>
      <c r="C1445" t="str">
        <f t="shared" si="81"/>
        <v>63</v>
      </c>
      <c r="D1445" t="str">
        <f>"21"</f>
        <v>21</v>
      </c>
      <c r="E1445" t="str">
        <f>"1-63-21"</f>
        <v>1-63-21</v>
      </c>
      <c r="F1445" t="s">
        <v>83</v>
      </c>
      <c r="G1445" t="s">
        <v>86</v>
      </c>
      <c r="H1445" t="s">
        <v>93</v>
      </c>
      <c r="I1445">
        <v>1</v>
      </c>
      <c r="K1445">
        <v>0</v>
      </c>
      <c r="L1445">
        <v>0</v>
      </c>
      <c r="M1445">
        <v>1</v>
      </c>
      <c r="N1445">
        <v>1</v>
      </c>
      <c r="O1445">
        <v>1</v>
      </c>
      <c r="P1445">
        <v>1</v>
      </c>
      <c r="Q1445">
        <v>1</v>
      </c>
      <c r="R1445">
        <v>1</v>
      </c>
      <c r="U1445">
        <v>0</v>
      </c>
      <c r="V1445">
        <v>1</v>
      </c>
      <c r="W1445">
        <v>1</v>
      </c>
      <c r="X1445">
        <v>1</v>
      </c>
      <c r="Y1445">
        <v>1</v>
      </c>
      <c r="Z1445">
        <v>1</v>
      </c>
      <c r="AA1445">
        <v>1</v>
      </c>
      <c r="AB1445">
        <v>1</v>
      </c>
    </row>
    <row r="1446" spans="1:28" x14ac:dyDescent="0.25">
      <c r="A1446" t="str">
        <f>"1442"</f>
        <v>1442</v>
      </c>
      <c r="B1446" t="str">
        <f t="shared" si="82"/>
        <v>1</v>
      </c>
      <c r="C1446" t="str">
        <f t="shared" si="81"/>
        <v>63</v>
      </c>
      <c r="D1446" t="str">
        <f>"12"</f>
        <v>12</v>
      </c>
      <c r="E1446" t="str">
        <f>"1-63-12"</f>
        <v>1-63-12</v>
      </c>
      <c r="F1446" t="s">
        <v>83</v>
      </c>
      <c r="G1446" t="s">
        <v>86</v>
      </c>
      <c r="H1446" t="s">
        <v>93</v>
      </c>
      <c r="I1446">
        <v>1</v>
      </c>
      <c r="K1446">
        <v>0</v>
      </c>
      <c r="L1446">
        <v>0</v>
      </c>
      <c r="M1446">
        <v>1</v>
      </c>
      <c r="N1446">
        <v>1</v>
      </c>
      <c r="O1446">
        <v>1</v>
      </c>
      <c r="P1446">
        <v>1</v>
      </c>
      <c r="Q1446">
        <v>1</v>
      </c>
      <c r="R1446">
        <v>1</v>
      </c>
      <c r="U1446">
        <v>1</v>
      </c>
      <c r="V1446">
        <v>0</v>
      </c>
      <c r="W1446">
        <v>1</v>
      </c>
      <c r="X1446">
        <v>1</v>
      </c>
      <c r="Y1446">
        <v>1</v>
      </c>
      <c r="Z1446">
        <v>1</v>
      </c>
      <c r="AA1446">
        <v>1</v>
      </c>
      <c r="AB1446">
        <v>1</v>
      </c>
    </row>
    <row r="1447" spans="1:28" x14ac:dyDescent="0.25">
      <c r="A1447" t="str">
        <f>"1443"</f>
        <v>1443</v>
      </c>
      <c r="B1447" t="str">
        <f t="shared" si="82"/>
        <v>1</v>
      </c>
      <c r="C1447" t="str">
        <f t="shared" si="81"/>
        <v>63</v>
      </c>
      <c r="D1447" t="str">
        <f>"1"</f>
        <v>1</v>
      </c>
      <c r="E1447" t="str">
        <f>"1-63-1"</f>
        <v>1-63-1</v>
      </c>
      <c r="F1447" t="s">
        <v>83</v>
      </c>
      <c r="G1447" t="s">
        <v>86</v>
      </c>
      <c r="H1447" t="s">
        <v>93</v>
      </c>
      <c r="I1447">
        <v>1</v>
      </c>
      <c r="K1447">
        <v>0</v>
      </c>
      <c r="L1447">
        <v>0</v>
      </c>
      <c r="M1447">
        <v>1</v>
      </c>
      <c r="N1447">
        <v>1</v>
      </c>
      <c r="O1447">
        <v>1</v>
      </c>
      <c r="P1447">
        <v>1</v>
      </c>
      <c r="Q1447">
        <v>1</v>
      </c>
      <c r="R1447">
        <v>1</v>
      </c>
      <c r="U1447">
        <v>0</v>
      </c>
      <c r="V1447">
        <v>1</v>
      </c>
      <c r="W1447">
        <v>1</v>
      </c>
      <c r="X1447">
        <v>1</v>
      </c>
      <c r="Y1447">
        <v>1</v>
      </c>
      <c r="Z1447">
        <v>1</v>
      </c>
      <c r="AA1447">
        <v>1</v>
      </c>
      <c r="AB1447">
        <v>1</v>
      </c>
    </row>
    <row r="1448" spans="1:28" x14ac:dyDescent="0.25">
      <c r="A1448" t="str">
        <f>"1444"</f>
        <v>1444</v>
      </c>
      <c r="B1448" t="str">
        <f t="shared" si="82"/>
        <v>1</v>
      </c>
      <c r="C1448" t="str">
        <f t="shared" si="81"/>
        <v>63</v>
      </c>
      <c r="D1448" t="str">
        <f>"20"</f>
        <v>20</v>
      </c>
      <c r="E1448" t="str">
        <f>"1-63-20"</f>
        <v>1-63-20</v>
      </c>
      <c r="F1448" t="s">
        <v>83</v>
      </c>
      <c r="G1448" t="s">
        <v>84</v>
      </c>
      <c r="H1448" t="s">
        <v>92</v>
      </c>
      <c r="I1448">
        <v>1</v>
      </c>
      <c r="J1448">
        <v>1</v>
      </c>
      <c r="N1448">
        <v>1</v>
      </c>
      <c r="O1448">
        <v>1</v>
      </c>
      <c r="P1448">
        <v>1</v>
      </c>
      <c r="Q1448">
        <v>1</v>
      </c>
      <c r="R1448">
        <v>1</v>
      </c>
      <c r="S1448">
        <v>1</v>
      </c>
      <c r="T1448">
        <v>1</v>
      </c>
      <c r="W1448">
        <v>1</v>
      </c>
      <c r="X1448">
        <v>1</v>
      </c>
      <c r="Y1448">
        <v>1</v>
      </c>
      <c r="Z1448">
        <v>1</v>
      </c>
      <c r="AA1448">
        <v>1</v>
      </c>
      <c r="AB1448">
        <v>1</v>
      </c>
    </row>
    <row r="1449" spans="1:28" x14ac:dyDescent="0.25">
      <c r="A1449" t="str">
        <f>"1445"</f>
        <v>1445</v>
      </c>
      <c r="B1449" t="str">
        <f t="shared" si="82"/>
        <v>1</v>
      </c>
      <c r="C1449" t="str">
        <f t="shared" si="81"/>
        <v>63</v>
      </c>
      <c r="D1449" t="str">
        <f>"13"</f>
        <v>13</v>
      </c>
      <c r="E1449" t="str">
        <f>"1-63-13"</f>
        <v>1-63-13</v>
      </c>
      <c r="F1449" t="s">
        <v>83</v>
      </c>
      <c r="G1449" t="s">
        <v>86</v>
      </c>
      <c r="H1449" t="s">
        <v>93</v>
      </c>
      <c r="I1449">
        <v>1</v>
      </c>
      <c r="K1449">
        <v>0</v>
      </c>
      <c r="L1449">
        <v>1</v>
      </c>
      <c r="M1449">
        <v>0</v>
      </c>
      <c r="N1449">
        <v>1</v>
      </c>
      <c r="O1449">
        <v>1</v>
      </c>
      <c r="P1449">
        <v>1</v>
      </c>
      <c r="Q1449">
        <v>1</v>
      </c>
      <c r="R1449">
        <v>0</v>
      </c>
      <c r="U1449">
        <v>0</v>
      </c>
      <c r="V1449">
        <v>1</v>
      </c>
      <c r="W1449">
        <v>0</v>
      </c>
      <c r="X1449">
        <v>1</v>
      </c>
      <c r="Y1449">
        <v>0</v>
      </c>
      <c r="Z1449">
        <v>1</v>
      </c>
      <c r="AA1449">
        <v>0</v>
      </c>
      <c r="AB1449">
        <v>0</v>
      </c>
    </row>
    <row r="1450" spans="1:28" x14ac:dyDescent="0.25">
      <c r="A1450" t="str">
        <f>"1446"</f>
        <v>1446</v>
      </c>
      <c r="B1450" t="str">
        <f t="shared" si="82"/>
        <v>1</v>
      </c>
      <c r="C1450" t="str">
        <f t="shared" si="81"/>
        <v>63</v>
      </c>
      <c r="D1450" t="str">
        <f>"5"</f>
        <v>5</v>
      </c>
      <c r="E1450" t="str">
        <f>"1-63-5"</f>
        <v>1-63-5</v>
      </c>
      <c r="F1450" t="s">
        <v>83</v>
      </c>
      <c r="G1450" t="s">
        <v>86</v>
      </c>
      <c r="H1450" t="s">
        <v>93</v>
      </c>
      <c r="I1450">
        <v>1</v>
      </c>
      <c r="K1450">
        <v>1</v>
      </c>
      <c r="L1450">
        <v>0</v>
      </c>
      <c r="M1450">
        <v>0</v>
      </c>
      <c r="N1450">
        <v>1</v>
      </c>
      <c r="O1450">
        <v>1</v>
      </c>
      <c r="P1450">
        <v>0</v>
      </c>
      <c r="Q1450">
        <v>0</v>
      </c>
      <c r="R1450">
        <v>0</v>
      </c>
      <c r="U1450">
        <v>0</v>
      </c>
      <c r="V1450">
        <v>1</v>
      </c>
      <c r="W1450">
        <v>0</v>
      </c>
      <c r="X1450">
        <v>0</v>
      </c>
      <c r="Y1450">
        <v>0</v>
      </c>
      <c r="Z1450">
        <v>0</v>
      </c>
      <c r="AA1450">
        <v>0</v>
      </c>
      <c r="AB1450">
        <v>0</v>
      </c>
    </row>
    <row r="1451" spans="1:28" x14ac:dyDescent="0.25">
      <c r="A1451" t="str">
        <f>"1447"</f>
        <v>1447</v>
      </c>
      <c r="B1451" t="str">
        <f t="shared" si="82"/>
        <v>1</v>
      </c>
      <c r="C1451" t="str">
        <f t="shared" si="81"/>
        <v>63</v>
      </c>
      <c r="D1451" t="str">
        <f>"14"</f>
        <v>14</v>
      </c>
      <c r="E1451" t="str">
        <f>"1-63-14"</f>
        <v>1-63-14</v>
      </c>
      <c r="F1451" t="s">
        <v>83</v>
      </c>
      <c r="G1451" t="s">
        <v>86</v>
      </c>
      <c r="H1451" t="s">
        <v>93</v>
      </c>
      <c r="I1451">
        <v>1</v>
      </c>
      <c r="K1451">
        <v>0</v>
      </c>
      <c r="L1451">
        <v>0</v>
      </c>
      <c r="M1451">
        <v>1</v>
      </c>
      <c r="N1451">
        <v>1</v>
      </c>
      <c r="O1451">
        <v>1</v>
      </c>
      <c r="P1451">
        <v>0</v>
      </c>
      <c r="Q1451">
        <v>0</v>
      </c>
      <c r="R1451">
        <v>0</v>
      </c>
      <c r="U1451">
        <v>1</v>
      </c>
      <c r="V1451">
        <v>0</v>
      </c>
      <c r="W1451">
        <v>0</v>
      </c>
      <c r="X1451">
        <v>0</v>
      </c>
      <c r="Y1451">
        <v>0</v>
      </c>
      <c r="Z1451">
        <v>0</v>
      </c>
      <c r="AA1451">
        <v>0</v>
      </c>
      <c r="AB1451">
        <v>0</v>
      </c>
    </row>
    <row r="1452" spans="1:28" x14ac:dyDescent="0.25">
      <c r="A1452" t="str">
        <f>"1448"</f>
        <v>1448</v>
      </c>
      <c r="B1452" t="str">
        <f t="shared" si="82"/>
        <v>1</v>
      </c>
      <c r="C1452" t="str">
        <f t="shared" si="81"/>
        <v>63</v>
      </c>
      <c r="D1452" t="str">
        <f>"6"</f>
        <v>6</v>
      </c>
      <c r="E1452" t="str">
        <f>"1-63-6"</f>
        <v>1-63-6</v>
      </c>
      <c r="F1452" t="s">
        <v>83</v>
      </c>
      <c r="G1452" t="s">
        <v>86</v>
      </c>
      <c r="H1452" t="s">
        <v>93</v>
      </c>
      <c r="I1452">
        <v>1</v>
      </c>
      <c r="K1452">
        <v>1</v>
      </c>
      <c r="L1452">
        <v>0</v>
      </c>
      <c r="M1452">
        <v>0</v>
      </c>
      <c r="N1452">
        <v>1</v>
      </c>
      <c r="O1452">
        <v>1</v>
      </c>
      <c r="P1452">
        <v>1</v>
      </c>
      <c r="Q1452">
        <v>1</v>
      </c>
      <c r="R1452">
        <v>1</v>
      </c>
      <c r="U1452">
        <v>0</v>
      </c>
      <c r="V1452">
        <v>1</v>
      </c>
      <c r="W1452">
        <v>1</v>
      </c>
      <c r="X1452">
        <v>1</v>
      </c>
      <c r="Y1452">
        <v>1</v>
      </c>
      <c r="Z1452">
        <v>1</v>
      </c>
      <c r="AA1452">
        <v>1</v>
      </c>
      <c r="AB1452">
        <v>1</v>
      </c>
    </row>
    <row r="1453" spans="1:28" x14ac:dyDescent="0.25">
      <c r="A1453" t="str">
        <f>"1449"</f>
        <v>1449</v>
      </c>
      <c r="B1453" t="str">
        <f t="shared" si="82"/>
        <v>1</v>
      </c>
      <c r="C1453" t="str">
        <f t="shared" si="81"/>
        <v>63</v>
      </c>
      <c r="D1453" t="str">
        <f>"15"</f>
        <v>15</v>
      </c>
      <c r="E1453" t="str">
        <f>"1-63-15"</f>
        <v>1-63-15</v>
      </c>
      <c r="F1453" t="s">
        <v>83</v>
      </c>
      <c r="G1453" t="s">
        <v>86</v>
      </c>
      <c r="H1453" t="s">
        <v>93</v>
      </c>
      <c r="I1453">
        <v>1</v>
      </c>
      <c r="K1453">
        <v>0</v>
      </c>
      <c r="L1453">
        <v>0</v>
      </c>
      <c r="M1453">
        <v>1</v>
      </c>
      <c r="N1453">
        <v>1</v>
      </c>
      <c r="O1453">
        <v>1</v>
      </c>
      <c r="P1453">
        <v>1</v>
      </c>
      <c r="Q1453">
        <v>1</v>
      </c>
      <c r="R1453">
        <v>0</v>
      </c>
      <c r="U1453">
        <v>0</v>
      </c>
      <c r="V1453">
        <v>0</v>
      </c>
      <c r="W1453">
        <v>1</v>
      </c>
      <c r="X1453">
        <v>1</v>
      </c>
      <c r="Y1453">
        <v>1</v>
      </c>
      <c r="Z1453">
        <v>1</v>
      </c>
      <c r="AA1453">
        <v>1</v>
      </c>
      <c r="AB1453">
        <v>1</v>
      </c>
    </row>
    <row r="1454" spans="1:28" x14ac:dyDescent="0.25">
      <c r="A1454" t="str">
        <f>"1450"</f>
        <v>1450</v>
      </c>
      <c r="B1454" t="str">
        <f t="shared" si="82"/>
        <v>1</v>
      </c>
      <c r="C1454" t="str">
        <f t="shared" si="81"/>
        <v>63</v>
      </c>
      <c r="D1454" t="str">
        <f>"7"</f>
        <v>7</v>
      </c>
      <c r="E1454" t="str">
        <f>"1-63-7"</f>
        <v>1-63-7</v>
      </c>
      <c r="F1454" t="s">
        <v>83</v>
      </c>
      <c r="G1454" t="s">
        <v>86</v>
      </c>
      <c r="H1454" t="s">
        <v>93</v>
      </c>
      <c r="I1454">
        <v>1</v>
      </c>
      <c r="K1454">
        <v>0</v>
      </c>
      <c r="L1454">
        <v>1</v>
      </c>
      <c r="M1454">
        <v>0</v>
      </c>
      <c r="N1454">
        <v>1</v>
      </c>
      <c r="O1454">
        <v>1</v>
      </c>
      <c r="P1454">
        <v>1</v>
      </c>
      <c r="Q1454">
        <v>1</v>
      </c>
      <c r="R1454">
        <v>1</v>
      </c>
      <c r="U1454">
        <v>1</v>
      </c>
      <c r="V1454">
        <v>0</v>
      </c>
      <c r="W1454">
        <v>1</v>
      </c>
      <c r="X1454">
        <v>1</v>
      </c>
      <c r="Y1454">
        <v>1</v>
      </c>
      <c r="Z1454">
        <v>1</v>
      </c>
      <c r="AA1454">
        <v>1</v>
      </c>
      <c r="AB1454">
        <v>1</v>
      </c>
    </row>
    <row r="1455" spans="1:28" x14ac:dyDescent="0.25">
      <c r="A1455" t="str">
        <f>"1451"</f>
        <v>1451</v>
      </c>
      <c r="B1455" t="str">
        <f t="shared" si="82"/>
        <v>1</v>
      </c>
      <c r="C1455" t="str">
        <f t="shared" si="81"/>
        <v>63</v>
      </c>
      <c r="D1455" t="str">
        <f>"23"</f>
        <v>23</v>
      </c>
      <c r="E1455" t="str">
        <f>"1-63-23"</f>
        <v>1-63-23</v>
      </c>
      <c r="F1455" t="s">
        <v>83</v>
      </c>
      <c r="G1455" t="s">
        <v>86</v>
      </c>
      <c r="H1455" t="s">
        <v>93</v>
      </c>
      <c r="I1455">
        <v>1</v>
      </c>
      <c r="K1455">
        <v>0</v>
      </c>
      <c r="L1455">
        <v>0</v>
      </c>
      <c r="M1455">
        <v>1</v>
      </c>
      <c r="N1455">
        <v>1</v>
      </c>
      <c r="O1455">
        <v>1</v>
      </c>
      <c r="P1455">
        <v>1</v>
      </c>
      <c r="Q1455">
        <v>1</v>
      </c>
      <c r="R1455">
        <v>1</v>
      </c>
      <c r="U1455">
        <v>0</v>
      </c>
      <c r="V1455">
        <v>1</v>
      </c>
      <c r="W1455">
        <v>1</v>
      </c>
      <c r="X1455">
        <v>1</v>
      </c>
      <c r="Y1455">
        <v>1</v>
      </c>
      <c r="Z1455">
        <v>1</v>
      </c>
      <c r="AA1455">
        <v>1</v>
      </c>
      <c r="AB1455">
        <v>1</v>
      </c>
    </row>
    <row r="1456" spans="1:28" x14ac:dyDescent="0.25">
      <c r="A1456" t="str">
        <f>"1452"</f>
        <v>1452</v>
      </c>
      <c r="B1456" t="str">
        <f t="shared" si="82"/>
        <v>1</v>
      </c>
      <c r="C1456" t="str">
        <f t="shared" ref="C1456:C1479" si="83">"64"</f>
        <v>64</v>
      </c>
      <c r="D1456" t="str">
        <f>"19"</f>
        <v>19</v>
      </c>
      <c r="E1456" t="str">
        <f>"1-64-19"</f>
        <v>1-64-19</v>
      </c>
      <c r="F1456" t="s">
        <v>83</v>
      </c>
      <c r="G1456" t="s">
        <v>84</v>
      </c>
      <c r="H1456" t="s">
        <v>92</v>
      </c>
      <c r="I1456">
        <v>1</v>
      </c>
      <c r="J1456">
        <v>1</v>
      </c>
      <c r="N1456">
        <v>1</v>
      </c>
      <c r="O1456">
        <v>1</v>
      </c>
      <c r="P1456">
        <v>1</v>
      </c>
      <c r="Q1456">
        <v>1</v>
      </c>
      <c r="R1456">
        <v>1</v>
      </c>
      <c r="S1456">
        <v>1</v>
      </c>
      <c r="T1456">
        <v>1</v>
      </c>
      <c r="W1456">
        <v>1</v>
      </c>
      <c r="X1456">
        <v>1</v>
      </c>
      <c r="Y1456">
        <v>1</v>
      </c>
      <c r="Z1456">
        <v>1</v>
      </c>
      <c r="AA1456">
        <v>1</v>
      </c>
      <c r="AB1456">
        <v>1</v>
      </c>
    </row>
    <row r="1457" spans="1:28" x14ac:dyDescent="0.25">
      <c r="A1457" t="str">
        <f>"1453"</f>
        <v>1453</v>
      </c>
      <c r="B1457" t="str">
        <f t="shared" si="82"/>
        <v>1</v>
      </c>
      <c r="C1457" t="str">
        <f t="shared" si="83"/>
        <v>64</v>
      </c>
      <c r="D1457" t="str">
        <f>"18"</f>
        <v>18</v>
      </c>
      <c r="E1457" t="str">
        <f>"1-64-18"</f>
        <v>1-64-18</v>
      </c>
      <c r="F1457" t="s">
        <v>83</v>
      </c>
      <c r="G1457" t="s">
        <v>84</v>
      </c>
      <c r="H1457" t="s">
        <v>92</v>
      </c>
      <c r="I1457">
        <v>1</v>
      </c>
      <c r="J1457">
        <v>1</v>
      </c>
      <c r="N1457">
        <v>1</v>
      </c>
      <c r="O1457">
        <v>1</v>
      </c>
      <c r="P1457">
        <v>1</v>
      </c>
      <c r="Q1457">
        <v>1</v>
      </c>
      <c r="R1457">
        <v>1</v>
      </c>
      <c r="S1457">
        <v>1</v>
      </c>
      <c r="T1457">
        <v>1</v>
      </c>
      <c r="W1457">
        <v>1</v>
      </c>
      <c r="X1457">
        <v>1</v>
      </c>
      <c r="Y1457">
        <v>1</v>
      </c>
      <c r="Z1457">
        <v>1</v>
      </c>
      <c r="AA1457">
        <v>1</v>
      </c>
      <c r="AB1457">
        <v>1</v>
      </c>
    </row>
    <row r="1458" spans="1:28" x14ac:dyDescent="0.25">
      <c r="A1458" t="str">
        <f>"1454"</f>
        <v>1454</v>
      </c>
      <c r="B1458" t="str">
        <f t="shared" si="82"/>
        <v>1</v>
      </c>
      <c r="C1458" t="str">
        <f t="shared" si="83"/>
        <v>64</v>
      </c>
      <c r="D1458" t="str">
        <f>"15"</f>
        <v>15</v>
      </c>
      <c r="E1458" t="str">
        <f>"1-64-15"</f>
        <v>1-64-15</v>
      </c>
      <c r="F1458" t="s">
        <v>83</v>
      </c>
      <c r="G1458" t="s">
        <v>84</v>
      </c>
      <c r="H1458" t="s">
        <v>92</v>
      </c>
      <c r="I1458">
        <v>1</v>
      </c>
      <c r="J1458">
        <v>1</v>
      </c>
      <c r="N1458">
        <v>1</v>
      </c>
      <c r="O1458">
        <v>1</v>
      </c>
      <c r="P1458">
        <v>1</v>
      </c>
      <c r="Q1458">
        <v>1</v>
      </c>
      <c r="R1458">
        <v>1</v>
      </c>
      <c r="S1458">
        <v>1</v>
      </c>
      <c r="T1458">
        <v>1</v>
      </c>
      <c r="W1458">
        <v>1</v>
      </c>
      <c r="X1458">
        <v>1</v>
      </c>
      <c r="Y1458">
        <v>1</v>
      </c>
      <c r="Z1458">
        <v>1</v>
      </c>
      <c r="AA1458">
        <v>1</v>
      </c>
      <c r="AB1458">
        <v>1</v>
      </c>
    </row>
    <row r="1459" spans="1:28" x14ac:dyDescent="0.25">
      <c r="A1459" t="str">
        <f>"1455"</f>
        <v>1455</v>
      </c>
      <c r="B1459" t="str">
        <f t="shared" si="82"/>
        <v>1</v>
      </c>
      <c r="C1459" t="str">
        <f t="shared" si="83"/>
        <v>64</v>
      </c>
      <c r="D1459" t="str">
        <f>"8"</f>
        <v>8</v>
      </c>
      <c r="E1459" t="str">
        <f>"1-64-8"</f>
        <v>1-64-8</v>
      </c>
      <c r="F1459" t="s">
        <v>83</v>
      </c>
      <c r="G1459" t="s">
        <v>84</v>
      </c>
      <c r="H1459" t="s">
        <v>92</v>
      </c>
      <c r="I1459">
        <v>1</v>
      </c>
      <c r="J1459">
        <v>1</v>
      </c>
      <c r="N1459">
        <v>1</v>
      </c>
      <c r="O1459">
        <v>1</v>
      </c>
      <c r="P1459">
        <v>1</v>
      </c>
      <c r="Q1459">
        <v>1</v>
      </c>
      <c r="R1459">
        <v>1</v>
      </c>
      <c r="S1459">
        <v>1</v>
      </c>
      <c r="T1459">
        <v>1</v>
      </c>
      <c r="W1459">
        <v>1</v>
      </c>
      <c r="X1459">
        <v>1</v>
      </c>
      <c r="Y1459">
        <v>1</v>
      </c>
      <c r="Z1459">
        <v>1</v>
      </c>
      <c r="AA1459">
        <v>1</v>
      </c>
      <c r="AB1459">
        <v>1</v>
      </c>
    </row>
    <row r="1460" spans="1:28" x14ac:dyDescent="0.25">
      <c r="A1460" t="str">
        <f>"1456"</f>
        <v>1456</v>
      </c>
      <c r="B1460" t="str">
        <f t="shared" si="82"/>
        <v>1</v>
      </c>
      <c r="C1460" t="str">
        <f t="shared" si="83"/>
        <v>64</v>
      </c>
      <c r="D1460" t="str">
        <f>"7"</f>
        <v>7</v>
      </c>
      <c r="E1460" t="str">
        <f>"1-64-7"</f>
        <v>1-64-7</v>
      </c>
      <c r="F1460" t="s">
        <v>83</v>
      </c>
      <c r="G1460" t="s">
        <v>84</v>
      </c>
      <c r="H1460" t="s">
        <v>92</v>
      </c>
      <c r="I1460">
        <v>1</v>
      </c>
      <c r="J1460">
        <v>1</v>
      </c>
      <c r="N1460">
        <v>1</v>
      </c>
      <c r="O1460">
        <v>1</v>
      </c>
      <c r="P1460">
        <v>1</v>
      </c>
      <c r="Q1460">
        <v>1</v>
      </c>
      <c r="R1460">
        <v>1</v>
      </c>
      <c r="S1460">
        <v>1</v>
      </c>
      <c r="T1460">
        <v>1</v>
      </c>
      <c r="W1460">
        <v>1</v>
      </c>
      <c r="X1460">
        <v>1</v>
      </c>
      <c r="Y1460">
        <v>1</v>
      </c>
      <c r="Z1460">
        <v>1</v>
      </c>
      <c r="AA1460">
        <v>1</v>
      </c>
      <c r="AB1460">
        <v>1</v>
      </c>
    </row>
    <row r="1461" spans="1:28" x14ac:dyDescent="0.25">
      <c r="A1461" t="str">
        <f>"1457"</f>
        <v>1457</v>
      </c>
      <c r="B1461" t="str">
        <f t="shared" si="82"/>
        <v>1</v>
      </c>
      <c r="C1461" t="str">
        <f t="shared" si="83"/>
        <v>64</v>
      </c>
      <c r="D1461" t="str">
        <f>"24"</f>
        <v>24</v>
      </c>
      <c r="E1461" t="str">
        <f>"1-64-24"</f>
        <v>1-64-24</v>
      </c>
      <c r="F1461" t="s">
        <v>83</v>
      </c>
      <c r="G1461" t="s">
        <v>84</v>
      </c>
      <c r="H1461" t="s">
        <v>92</v>
      </c>
      <c r="I1461">
        <v>1</v>
      </c>
      <c r="J1461">
        <v>1</v>
      </c>
      <c r="N1461">
        <v>1</v>
      </c>
      <c r="O1461">
        <v>1</v>
      </c>
      <c r="P1461">
        <v>1</v>
      </c>
      <c r="Q1461">
        <v>1</v>
      </c>
      <c r="R1461">
        <v>1</v>
      </c>
      <c r="S1461">
        <v>1</v>
      </c>
      <c r="T1461">
        <v>1</v>
      </c>
      <c r="W1461">
        <v>1</v>
      </c>
      <c r="X1461">
        <v>1</v>
      </c>
      <c r="Y1461">
        <v>1</v>
      </c>
      <c r="Z1461">
        <v>1</v>
      </c>
      <c r="AA1461">
        <v>1</v>
      </c>
      <c r="AB1461">
        <v>1</v>
      </c>
    </row>
    <row r="1462" spans="1:28" x14ac:dyDescent="0.25">
      <c r="A1462" t="str">
        <f>"1458"</f>
        <v>1458</v>
      </c>
      <c r="B1462" t="str">
        <f t="shared" si="82"/>
        <v>1</v>
      </c>
      <c r="C1462" t="str">
        <f t="shared" si="83"/>
        <v>64</v>
      </c>
      <c r="D1462" t="str">
        <f>"16"</f>
        <v>16</v>
      </c>
      <c r="E1462" t="str">
        <f>"1-64-16"</f>
        <v>1-64-16</v>
      </c>
      <c r="F1462" t="s">
        <v>83</v>
      </c>
      <c r="G1462" t="s">
        <v>84</v>
      </c>
      <c r="H1462" t="s">
        <v>92</v>
      </c>
      <c r="I1462">
        <v>1</v>
      </c>
      <c r="J1462">
        <v>0</v>
      </c>
      <c r="N1462">
        <v>1</v>
      </c>
      <c r="O1462">
        <v>1</v>
      </c>
      <c r="P1462">
        <v>1</v>
      </c>
      <c r="Q1462">
        <v>1</v>
      </c>
      <c r="R1462">
        <v>1</v>
      </c>
      <c r="S1462">
        <v>1</v>
      </c>
      <c r="T1462">
        <v>1</v>
      </c>
      <c r="W1462">
        <v>1</v>
      </c>
      <c r="X1462">
        <v>1</v>
      </c>
      <c r="Y1462">
        <v>1</v>
      </c>
      <c r="Z1462">
        <v>1</v>
      </c>
      <c r="AA1462">
        <v>1</v>
      </c>
      <c r="AB1462">
        <v>1</v>
      </c>
    </row>
    <row r="1463" spans="1:28" x14ac:dyDescent="0.25">
      <c r="A1463" t="str">
        <f>"1459"</f>
        <v>1459</v>
      </c>
      <c r="B1463" t="str">
        <f t="shared" si="82"/>
        <v>1</v>
      </c>
      <c r="C1463" t="str">
        <f t="shared" si="83"/>
        <v>64</v>
      </c>
      <c r="D1463" t="str">
        <f>"9"</f>
        <v>9</v>
      </c>
      <c r="E1463" t="str">
        <f>"1-64-9"</f>
        <v>1-64-9</v>
      </c>
      <c r="F1463" t="s">
        <v>83</v>
      </c>
      <c r="G1463" t="s">
        <v>84</v>
      </c>
      <c r="H1463" t="s">
        <v>92</v>
      </c>
      <c r="I1463">
        <v>1</v>
      </c>
      <c r="J1463">
        <v>1</v>
      </c>
      <c r="N1463">
        <v>1</v>
      </c>
      <c r="O1463">
        <v>1</v>
      </c>
      <c r="P1463">
        <v>1</v>
      </c>
      <c r="Q1463">
        <v>1</v>
      </c>
      <c r="R1463">
        <v>1</v>
      </c>
      <c r="S1463">
        <v>1</v>
      </c>
      <c r="T1463">
        <v>1</v>
      </c>
      <c r="W1463">
        <v>1</v>
      </c>
      <c r="X1463">
        <v>1</v>
      </c>
      <c r="Y1463">
        <v>1</v>
      </c>
      <c r="Z1463">
        <v>1</v>
      </c>
      <c r="AA1463">
        <v>1</v>
      </c>
      <c r="AB1463">
        <v>1</v>
      </c>
    </row>
    <row r="1464" spans="1:28" x14ac:dyDescent="0.25">
      <c r="A1464" t="str">
        <f>"1460"</f>
        <v>1460</v>
      </c>
      <c r="B1464" t="str">
        <f t="shared" si="82"/>
        <v>1</v>
      </c>
      <c r="C1464" t="str">
        <f t="shared" si="83"/>
        <v>64</v>
      </c>
      <c r="D1464" t="str">
        <f>"4"</f>
        <v>4</v>
      </c>
      <c r="E1464" t="str">
        <f>"1-64-4"</f>
        <v>1-64-4</v>
      </c>
      <c r="F1464" t="s">
        <v>83</v>
      </c>
      <c r="G1464" t="s">
        <v>84</v>
      </c>
      <c r="H1464" t="s">
        <v>92</v>
      </c>
      <c r="I1464">
        <v>1</v>
      </c>
      <c r="J1464">
        <v>1</v>
      </c>
      <c r="N1464">
        <v>1</v>
      </c>
      <c r="O1464">
        <v>1</v>
      </c>
      <c r="P1464">
        <v>1</v>
      </c>
      <c r="Q1464">
        <v>1</v>
      </c>
      <c r="R1464">
        <v>1</v>
      </c>
      <c r="S1464">
        <v>1</v>
      </c>
      <c r="T1464">
        <v>1</v>
      </c>
      <c r="W1464">
        <v>0</v>
      </c>
      <c r="X1464">
        <v>1</v>
      </c>
      <c r="Y1464">
        <v>1</v>
      </c>
      <c r="Z1464">
        <v>1</v>
      </c>
      <c r="AA1464">
        <v>1</v>
      </c>
      <c r="AB1464">
        <v>1</v>
      </c>
    </row>
    <row r="1465" spans="1:28" x14ac:dyDescent="0.25">
      <c r="A1465" t="str">
        <f>"1461"</f>
        <v>1461</v>
      </c>
      <c r="B1465" t="str">
        <f t="shared" si="82"/>
        <v>1</v>
      </c>
      <c r="C1465" t="str">
        <f t="shared" si="83"/>
        <v>64</v>
      </c>
      <c r="D1465" t="str">
        <f>"17"</f>
        <v>17</v>
      </c>
      <c r="E1465" t="str">
        <f>"1-64-17"</f>
        <v>1-64-17</v>
      </c>
      <c r="F1465" t="s">
        <v>83</v>
      </c>
      <c r="G1465" t="s">
        <v>84</v>
      </c>
      <c r="H1465" t="s">
        <v>92</v>
      </c>
      <c r="I1465">
        <v>1</v>
      </c>
      <c r="J1465">
        <v>1</v>
      </c>
      <c r="N1465">
        <v>1</v>
      </c>
      <c r="O1465">
        <v>1</v>
      </c>
      <c r="P1465">
        <v>1</v>
      </c>
      <c r="Q1465">
        <v>1</v>
      </c>
      <c r="R1465">
        <v>1</v>
      </c>
      <c r="S1465">
        <v>1</v>
      </c>
      <c r="T1465">
        <v>1</v>
      </c>
      <c r="W1465">
        <v>1</v>
      </c>
      <c r="X1465">
        <v>1</v>
      </c>
      <c r="Y1465">
        <v>1</v>
      </c>
      <c r="Z1465">
        <v>1</v>
      </c>
      <c r="AA1465">
        <v>1</v>
      </c>
      <c r="AB1465">
        <v>1</v>
      </c>
    </row>
    <row r="1466" spans="1:28" x14ac:dyDescent="0.25">
      <c r="A1466" t="str">
        <f>"1462"</f>
        <v>1462</v>
      </c>
      <c r="B1466" t="str">
        <f t="shared" si="82"/>
        <v>1</v>
      </c>
      <c r="C1466" t="str">
        <f t="shared" si="83"/>
        <v>64</v>
      </c>
      <c r="D1466" t="str">
        <f>"10"</f>
        <v>10</v>
      </c>
      <c r="E1466" t="str">
        <f>"1-64-10"</f>
        <v>1-64-10</v>
      </c>
      <c r="F1466" t="s">
        <v>83</v>
      </c>
      <c r="G1466" t="s">
        <v>84</v>
      </c>
      <c r="H1466" t="s">
        <v>92</v>
      </c>
      <c r="I1466">
        <v>1</v>
      </c>
      <c r="J1466">
        <v>1</v>
      </c>
      <c r="N1466">
        <v>1</v>
      </c>
      <c r="O1466">
        <v>1</v>
      </c>
      <c r="P1466">
        <v>1</v>
      </c>
      <c r="Q1466">
        <v>1</v>
      </c>
      <c r="R1466">
        <v>1</v>
      </c>
      <c r="S1466">
        <v>1</v>
      </c>
      <c r="T1466">
        <v>1</v>
      </c>
      <c r="W1466">
        <v>1</v>
      </c>
      <c r="X1466">
        <v>1</v>
      </c>
      <c r="Y1466">
        <v>1</v>
      </c>
      <c r="Z1466">
        <v>1</v>
      </c>
      <c r="AA1466">
        <v>1</v>
      </c>
      <c r="AB1466">
        <v>1</v>
      </c>
    </row>
    <row r="1467" spans="1:28" x14ac:dyDescent="0.25">
      <c r="A1467" t="str">
        <f>"1463"</f>
        <v>1463</v>
      </c>
      <c r="B1467" t="str">
        <f t="shared" si="82"/>
        <v>1</v>
      </c>
      <c r="C1467" t="str">
        <f t="shared" si="83"/>
        <v>64</v>
      </c>
      <c r="D1467" t="str">
        <f>"3"</f>
        <v>3</v>
      </c>
      <c r="E1467" t="str">
        <f>"1-64-3"</f>
        <v>1-64-3</v>
      </c>
      <c r="F1467" t="s">
        <v>83</v>
      </c>
      <c r="G1467" t="s">
        <v>86</v>
      </c>
      <c r="H1467" t="s">
        <v>93</v>
      </c>
      <c r="I1467">
        <v>1</v>
      </c>
      <c r="K1467">
        <v>0</v>
      </c>
      <c r="L1467">
        <v>0</v>
      </c>
      <c r="M1467">
        <v>1</v>
      </c>
      <c r="N1467">
        <v>1</v>
      </c>
      <c r="O1467">
        <v>1</v>
      </c>
      <c r="P1467">
        <v>1</v>
      </c>
      <c r="Q1467">
        <v>1</v>
      </c>
      <c r="R1467">
        <v>1</v>
      </c>
      <c r="U1467">
        <v>1</v>
      </c>
      <c r="V1467">
        <v>0</v>
      </c>
      <c r="W1467">
        <v>1</v>
      </c>
      <c r="X1467">
        <v>1</v>
      </c>
      <c r="Y1467">
        <v>1</v>
      </c>
      <c r="Z1467">
        <v>1</v>
      </c>
      <c r="AA1467">
        <v>1</v>
      </c>
      <c r="AB1467">
        <v>1</v>
      </c>
    </row>
    <row r="1468" spans="1:28" x14ac:dyDescent="0.25">
      <c r="A1468" t="str">
        <f>"1464"</f>
        <v>1464</v>
      </c>
      <c r="B1468" t="str">
        <f t="shared" si="82"/>
        <v>1</v>
      </c>
      <c r="C1468" t="str">
        <f t="shared" si="83"/>
        <v>64</v>
      </c>
      <c r="D1468" t="str">
        <f>"20"</f>
        <v>20</v>
      </c>
      <c r="E1468" t="str">
        <f>"1-64-20"</f>
        <v>1-64-20</v>
      </c>
      <c r="F1468" t="s">
        <v>83</v>
      </c>
      <c r="G1468" t="s">
        <v>84</v>
      </c>
      <c r="H1468" t="s">
        <v>92</v>
      </c>
      <c r="I1468">
        <v>1</v>
      </c>
      <c r="J1468">
        <v>1</v>
      </c>
      <c r="N1468">
        <v>1</v>
      </c>
      <c r="O1468">
        <v>1</v>
      </c>
      <c r="P1468">
        <v>1</v>
      </c>
      <c r="Q1468">
        <v>1</v>
      </c>
      <c r="R1468">
        <v>1</v>
      </c>
      <c r="S1468">
        <v>1</v>
      </c>
      <c r="T1468">
        <v>0</v>
      </c>
      <c r="W1468">
        <v>1</v>
      </c>
      <c r="X1468">
        <v>1</v>
      </c>
      <c r="Y1468">
        <v>1</v>
      </c>
      <c r="Z1468">
        <v>1</v>
      </c>
      <c r="AA1468">
        <v>1</v>
      </c>
      <c r="AB1468">
        <v>1</v>
      </c>
    </row>
    <row r="1469" spans="1:28" x14ac:dyDescent="0.25">
      <c r="A1469" t="str">
        <f>"1465"</f>
        <v>1465</v>
      </c>
      <c r="B1469" t="str">
        <f t="shared" si="82"/>
        <v>1</v>
      </c>
      <c r="C1469" t="str">
        <f t="shared" si="83"/>
        <v>64</v>
      </c>
      <c r="D1469" t="str">
        <f>"11"</f>
        <v>11</v>
      </c>
      <c r="E1469" t="str">
        <f>"1-64-11"</f>
        <v>1-64-11</v>
      </c>
      <c r="F1469" t="s">
        <v>83</v>
      </c>
      <c r="G1469" t="s">
        <v>84</v>
      </c>
      <c r="H1469" t="s">
        <v>92</v>
      </c>
      <c r="I1469">
        <v>1</v>
      </c>
      <c r="J1469">
        <v>1</v>
      </c>
      <c r="N1469">
        <v>1</v>
      </c>
      <c r="O1469">
        <v>1</v>
      </c>
      <c r="P1469">
        <v>1</v>
      </c>
      <c r="Q1469">
        <v>1</v>
      </c>
      <c r="R1469">
        <v>1</v>
      </c>
      <c r="S1469">
        <v>1</v>
      </c>
      <c r="T1469">
        <v>1</v>
      </c>
      <c r="W1469">
        <v>1</v>
      </c>
      <c r="X1469">
        <v>1</v>
      </c>
      <c r="Y1469">
        <v>1</v>
      </c>
      <c r="Z1469">
        <v>1</v>
      </c>
      <c r="AA1469">
        <v>1</v>
      </c>
      <c r="AB1469">
        <v>1</v>
      </c>
    </row>
    <row r="1470" spans="1:28" x14ac:dyDescent="0.25">
      <c r="A1470" t="str">
        <f>"1466"</f>
        <v>1466</v>
      </c>
      <c r="B1470" t="str">
        <f t="shared" si="82"/>
        <v>1</v>
      </c>
      <c r="C1470" t="str">
        <f t="shared" si="83"/>
        <v>64</v>
      </c>
      <c r="D1470" t="str">
        <f>"2"</f>
        <v>2</v>
      </c>
      <c r="E1470" t="str">
        <f>"1-64-2"</f>
        <v>1-64-2</v>
      </c>
      <c r="F1470" t="s">
        <v>83</v>
      </c>
      <c r="G1470" t="s">
        <v>84</v>
      </c>
      <c r="H1470" t="s">
        <v>92</v>
      </c>
      <c r="I1470">
        <v>1</v>
      </c>
      <c r="J1470">
        <v>1</v>
      </c>
      <c r="N1470">
        <v>1</v>
      </c>
      <c r="O1470">
        <v>1</v>
      </c>
      <c r="P1470">
        <v>1</v>
      </c>
      <c r="Q1470">
        <v>1</v>
      </c>
      <c r="R1470">
        <v>1</v>
      </c>
      <c r="S1470">
        <v>1</v>
      </c>
      <c r="T1470">
        <v>1</v>
      </c>
      <c r="W1470">
        <v>1</v>
      </c>
      <c r="X1470">
        <v>1</v>
      </c>
      <c r="Y1470">
        <v>1</v>
      </c>
      <c r="Z1470">
        <v>1</v>
      </c>
      <c r="AA1470">
        <v>1</v>
      </c>
      <c r="AB1470">
        <v>1</v>
      </c>
    </row>
    <row r="1471" spans="1:28" x14ac:dyDescent="0.25">
      <c r="A1471" t="str">
        <f>"1467"</f>
        <v>1467</v>
      </c>
      <c r="B1471" t="str">
        <f t="shared" si="82"/>
        <v>1</v>
      </c>
      <c r="C1471" t="str">
        <f t="shared" si="83"/>
        <v>64</v>
      </c>
      <c r="D1471" t="str">
        <f>"21"</f>
        <v>21</v>
      </c>
      <c r="E1471" t="str">
        <f>"1-64-21"</f>
        <v>1-64-21</v>
      </c>
      <c r="F1471" t="s">
        <v>83</v>
      </c>
      <c r="G1471" t="s">
        <v>84</v>
      </c>
      <c r="H1471" t="s">
        <v>92</v>
      </c>
      <c r="I1471">
        <v>1</v>
      </c>
      <c r="J1471">
        <v>1</v>
      </c>
      <c r="N1471">
        <v>1</v>
      </c>
      <c r="O1471">
        <v>1</v>
      </c>
      <c r="P1471">
        <v>1</v>
      </c>
      <c r="Q1471">
        <v>1</v>
      </c>
      <c r="R1471">
        <v>1</v>
      </c>
      <c r="S1471">
        <v>1</v>
      </c>
      <c r="T1471">
        <v>1</v>
      </c>
      <c r="W1471">
        <v>1</v>
      </c>
      <c r="X1471">
        <v>1</v>
      </c>
      <c r="Y1471">
        <v>1</v>
      </c>
      <c r="Z1471">
        <v>1</v>
      </c>
      <c r="AA1471">
        <v>1</v>
      </c>
      <c r="AB1471">
        <v>1</v>
      </c>
    </row>
    <row r="1472" spans="1:28" x14ac:dyDescent="0.25">
      <c r="A1472" t="str">
        <f>"1468"</f>
        <v>1468</v>
      </c>
      <c r="B1472" t="str">
        <f t="shared" si="82"/>
        <v>1</v>
      </c>
      <c r="C1472" t="str">
        <f t="shared" si="83"/>
        <v>64</v>
      </c>
      <c r="D1472" t="str">
        <f>"12"</f>
        <v>12</v>
      </c>
      <c r="E1472" t="str">
        <f>"1-64-12"</f>
        <v>1-64-12</v>
      </c>
      <c r="F1472" t="s">
        <v>83</v>
      </c>
      <c r="G1472" t="s">
        <v>84</v>
      </c>
      <c r="H1472" t="s">
        <v>92</v>
      </c>
      <c r="I1472">
        <v>1</v>
      </c>
      <c r="J1472">
        <v>1</v>
      </c>
      <c r="N1472">
        <v>1</v>
      </c>
      <c r="O1472">
        <v>1</v>
      </c>
      <c r="P1472">
        <v>1</v>
      </c>
      <c r="Q1472">
        <v>1</v>
      </c>
      <c r="R1472">
        <v>1</v>
      </c>
      <c r="S1472">
        <v>1</v>
      </c>
      <c r="T1472">
        <v>1</v>
      </c>
      <c r="W1472">
        <v>1</v>
      </c>
      <c r="X1472">
        <v>1</v>
      </c>
      <c r="Y1472">
        <v>1</v>
      </c>
      <c r="Z1472">
        <v>1</v>
      </c>
      <c r="AA1472">
        <v>1</v>
      </c>
      <c r="AB1472">
        <v>1</v>
      </c>
    </row>
    <row r="1473" spans="1:28" x14ac:dyDescent="0.25">
      <c r="A1473" t="str">
        <f>"1469"</f>
        <v>1469</v>
      </c>
      <c r="B1473" t="str">
        <f t="shared" si="82"/>
        <v>1</v>
      </c>
      <c r="C1473" t="str">
        <f t="shared" si="83"/>
        <v>64</v>
      </c>
      <c r="D1473" t="str">
        <f>"5"</f>
        <v>5</v>
      </c>
      <c r="E1473" t="str">
        <f>"1-64-5"</f>
        <v>1-64-5</v>
      </c>
      <c r="F1473" t="s">
        <v>83</v>
      </c>
      <c r="G1473" t="s">
        <v>84</v>
      </c>
      <c r="H1473" t="s">
        <v>92</v>
      </c>
      <c r="I1473">
        <v>1</v>
      </c>
      <c r="J1473">
        <v>1</v>
      </c>
      <c r="N1473">
        <v>1</v>
      </c>
      <c r="O1473">
        <v>1</v>
      </c>
      <c r="P1473">
        <v>1</v>
      </c>
      <c r="Q1473">
        <v>1</v>
      </c>
      <c r="R1473">
        <v>1</v>
      </c>
      <c r="S1473">
        <v>1</v>
      </c>
      <c r="T1473">
        <v>1</v>
      </c>
      <c r="W1473">
        <v>1</v>
      </c>
      <c r="X1473">
        <v>1</v>
      </c>
      <c r="Y1473">
        <v>1</v>
      </c>
      <c r="Z1473">
        <v>1</v>
      </c>
      <c r="AA1473">
        <v>1</v>
      </c>
      <c r="AB1473">
        <v>1</v>
      </c>
    </row>
    <row r="1474" spans="1:28" x14ac:dyDescent="0.25">
      <c r="A1474" t="str">
        <f>"1470"</f>
        <v>1470</v>
      </c>
      <c r="B1474" t="str">
        <f t="shared" si="82"/>
        <v>1</v>
      </c>
      <c r="C1474" t="str">
        <f t="shared" si="83"/>
        <v>64</v>
      </c>
      <c r="D1474" t="str">
        <f>"22"</f>
        <v>22</v>
      </c>
      <c r="E1474" t="str">
        <f>"1-64-22"</f>
        <v>1-64-22</v>
      </c>
      <c r="F1474" t="s">
        <v>83</v>
      </c>
      <c r="G1474" t="s">
        <v>84</v>
      </c>
      <c r="H1474" t="s">
        <v>92</v>
      </c>
      <c r="I1474">
        <v>1</v>
      </c>
      <c r="J1474">
        <v>1</v>
      </c>
      <c r="N1474">
        <v>1</v>
      </c>
      <c r="O1474">
        <v>1</v>
      </c>
      <c r="P1474">
        <v>1</v>
      </c>
      <c r="Q1474">
        <v>1</v>
      </c>
      <c r="R1474">
        <v>1</v>
      </c>
      <c r="S1474">
        <v>1</v>
      </c>
      <c r="T1474">
        <v>1</v>
      </c>
      <c r="W1474">
        <v>1</v>
      </c>
      <c r="X1474">
        <v>1</v>
      </c>
      <c r="Y1474">
        <v>1</v>
      </c>
      <c r="Z1474">
        <v>1</v>
      </c>
      <c r="AA1474">
        <v>1</v>
      </c>
      <c r="AB1474">
        <v>1</v>
      </c>
    </row>
    <row r="1475" spans="1:28" x14ac:dyDescent="0.25">
      <c r="A1475" t="str">
        <f>"1471"</f>
        <v>1471</v>
      </c>
      <c r="B1475" t="str">
        <f t="shared" si="82"/>
        <v>1</v>
      </c>
      <c r="C1475" t="str">
        <f t="shared" si="83"/>
        <v>64</v>
      </c>
      <c r="D1475" t="str">
        <f>"13"</f>
        <v>13</v>
      </c>
      <c r="E1475" t="str">
        <f>"1-64-13"</f>
        <v>1-64-13</v>
      </c>
      <c r="F1475" t="s">
        <v>83</v>
      </c>
      <c r="G1475" t="s">
        <v>84</v>
      </c>
      <c r="H1475" t="s">
        <v>92</v>
      </c>
      <c r="I1475">
        <v>1</v>
      </c>
      <c r="J1475">
        <v>1</v>
      </c>
      <c r="N1475">
        <v>1</v>
      </c>
      <c r="O1475">
        <v>1</v>
      </c>
      <c r="P1475">
        <v>1</v>
      </c>
      <c r="Q1475">
        <v>1</v>
      </c>
      <c r="R1475">
        <v>1</v>
      </c>
      <c r="S1475">
        <v>1</v>
      </c>
      <c r="T1475">
        <v>1</v>
      </c>
      <c r="W1475">
        <v>1</v>
      </c>
      <c r="X1475">
        <v>1</v>
      </c>
      <c r="Y1475">
        <v>1</v>
      </c>
      <c r="Z1475">
        <v>1</v>
      </c>
      <c r="AA1475">
        <v>1</v>
      </c>
      <c r="AB1475">
        <v>1</v>
      </c>
    </row>
    <row r="1476" spans="1:28" x14ac:dyDescent="0.25">
      <c r="A1476" t="str">
        <f>"1472"</f>
        <v>1472</v>
      </c>
      <c r="B1476" t="str">
        <f t="shared" si="82"/>
        <v>1</v>
      </c>
      <c r="C1476" t="str">
        <f t="shared" si="83"/>
        <v>64</v>
      </c>
      <c r="D1476" t="str">
        <f>"1"</f>
        <v>1</v>
      </c>
      <c r="E1476" t="str">
        <f>"1-64-1"</f>
        <v>1-64-1</v>
      </c>
      <c r="F1476" t="s">
        <v>83</v>
      </c>
      <c r="G1476" t="s">
        <v>84</v>
      </c>
      <c r="H1476" t="s">
        <v>92</v>
      </c>
      <c r="I1476">
        <v>1</v>
      </c>
      <c r="J1476">
        <v>1</v>
      </c>
      <c r="N1476">
        <v>1</v>
      </c>
      <c r="O1476">
        <v>1</v>
      </c>
      <c r="P1476">
        <v>1</v>
      </c>
      <c r="Q1476">
        <v>1</v>
      </c>
      <c r="R1476">
        <v>1</v>
      </c>
      <c r="S1476">
        <v>1</v>
      </c>
      <c r="T1476">
        <v>1</v>
      </c>
      <c r="W1476">
        <v>1</v>
      </c>
      <c r="X1476">
        <v>1</v>
      </c>
      <c r="Y1476">
        <v>1</v>
      </c>
      <c r="Z1476">
        <v>1</v>
      </c>
      <c r="AA1476">
        <v>1</v>
      </c>
      <c r="AB1476">
        <v>1</v>
      </c>
    </row>
    <row r="1477" spans="1:28" x14ac:dyDescent="0.25">
      <c r="A1477" t="str">
        <f>"1473"</f>
        <v>1473</v>
      </c>
      <c r="B1477" t="str">
        <f t="shared" si="82"/>
        <v>1</v>
      </c>
      <c r="C1477" t="str">
        <f t="shared" si="83"/>
        <v>64</v>
      </c>
      <c r="D1477" t="str">
        <f>"23"</f>
        <v>23</v>
      </c>
      <c r="E1477" t="str">
        <f>"1-64-23"</f>
        <v>1-64-23</v>
      </c>
      <c r="F1477" t="s">
        <v>83</v>
      </c>
      <c r="G1477" t="s">
        <v>84</v>
      </c>
      <c r="H1477" t="s">
        <v>92</v>
      </c>
      <c r="I1477">
        <v>1</v>
      </c>
      <c r="J1477">
        <v>1</v>
      </c>
      <c r="N1477">
        <v>1</v>
      </c>
      <c r="O1477">
        <v>1</v>
      </c>
      <c r="P1477">
        <v>1</v>
      </c>
      <c r="Q1477">
        <v>1</v>
      </c>
      <c r="R1477">
        <v>1</v>
      </c>
      <c r="S1477">
        <v>1</v>
      </c>
      <c r="T1477">
        <v>1</v>
      </c>
      <c r="W1477">
        <v>1</v>
      </c>
      <c r="X1477">
        <v>1</v>
      </c>
      <c r="Y1477">
        <v>1</v>
      </c>
      <c r="Z1477">
        <v>1</v>
      </c>
      <c r="AA1477">
        <v>1</v>
      </c>
      <c r="AB1477">
        <v>1</v>
      </c>
    </row>
    <row r="1478" spans="1:28" x14ac:dyDescent="0.25">
      <c r="A1478" t="str">
        <f>"1474"</f>
        <v>1474</v>
      </c>
      <c r="B1478" t="str">
        <f t="shared" si="82"/>
        <v>1</v>
      </c>
      <c r="C1478" t="str">
        <f t="shared" si="83"/>
        <v>64</v>
      </c>
      <c r="D1478" t="str">
        <f>"14"</f>
        <v>14</v>
      </c>
      <c r="E1478" t="str">
        <f>"1-64-14"</f>
        <v>1-64-14</v>
      </c>
      <c r="F1478" t="s">
        <v>83</v>
      </c>
      <c r="G1478" t="s">
        <v>84</v>
      </c>
      <c r="H1478" t="s">
        <v>92</v>
      </c>
      <c r="I1478">
        <v>1</v>
      </c>
      <c r="J1478">
        <v>1</v>
      </c>
      <c r="N1478">
        <v>1</v>
      </c>
      <c r="O1478">
        <v>1</v>
      </c>
      <c r="P1478">
        <v>1</v>
      </c>
      <c r="Q1478">
        <v>1</v>
      </c>
      <c r="R1478">
        <v>1</v>
      </c>
      <c r="S1478">
        <v>1</v>
      </c>
      <c r="T1478">
        <v>1</v>
      </c>
      <c r="W1478">
        <v>1</v>
      </c>
      <c r="X1478">
        <v>1</v>
      </c>
      <c r="Y1478">
        <v>1</v>
      </c>
      <c r="Z1478">
        <v>1</v>
      </c>
      <c r="AA1478">
        <v>1</v>
      </c>
      <c r="AB1478">
        <v>1</v>
      </c>
    </row>
    <row r="1479" spans="1:28" x14ac:dyDescent="0.25">
      <c r="A1479" t="str">
        <f>"1475"</f>
        <v>1475</v>
      </c>
      <c r="B1479" t="str">
        <f t="shared" si="82"/>
        <v>1</v>
      </c>
      <c r="C1479" t="str">
        <f t="shared" si="83"/>
        <v>64</v>
      </c>
      <c r="D1479" t="str">
        <f>"6"</f>
        <v>6</v>
      </c>
      <c r="E1479" t="str">
        <f>"1-64-6"</f>
        <v>1-64-6</v>
      </c>
      <c r="F1479" t="s">
        <v>83</v>
      </c>
      <c r="G1479" t="s">
        <v>84</v>
      </c>
      <c r="H1479" t="s">
        <v>92</v>
      </c>
      <c r="I1479">
        <v>1</v>
      </c>
      <c r="J1479">
        <v>1</v>
      </c>
      <c r="N1479">
        <v>1</v>
      </c>
      <c r="O1479">
        <v>1</v>
      </c>
      <c r="P1479">
        <v>1</v>
      </c>
      <c r="Q1479">
        <v>1</v>
      </c>
      <c r="R1479">
        <v>1</v>
      </c>
      <c r="S1479">
        <v>1</v>
      </c>
      <c r="T1479">
        <v>1</v>
      </c>
      <c r="W1479">
        <v>1</v>
      </c>
      <c r="X1479">
        <v>1</v>
      </c>
      <c r="Y1479">
        <v>1</v>
      </c>
      <c r="Z1479">
        <v>1</v>
      </c>
      <c r="AA1479">
        <v>1</v>
      </c>
      <c r="AB1479">
        <v>1</v>
      </c>
    </row>
    <row r="1480" spans="1:28" x14ac:dyDescent="0.25">
      <c r="A1480" t="str">
        <f>"1476"</f>
        <v>1476</v>
      </c>
      <c r="B1480" t="str">
        <f t="shared" si="82"/>
        <v>1</v>
      </c>
      <c r="C1480" t="str">
        <f t="shared" ref="C1480:C1487" si="84">"65"</f>
        <v>65</v>
      </c>
      <c r="D1480" t="str">
        <f>"8"</f>
        <v>8</v>
      </c>
      <c r="E1480" t="str">
        <f>"1-65-8"</f>
        <v>1-65-8</v>
      </c>
      <c r="F1480" t="s">
        <v>83</v>
      </c>
      <c r="G1480" t="s">
        <v>84</v>
      </c>
      <c r="H1480" t="s">
        <v>92</v>
      </c>
      <c r="I1480">
        <v>1</v>
      </c>
      <c r="J1480">
        <v>1</v>
      </c>
      <c r="N1480">
        <v>1</v>
      </c>
      <c r="O1480">
        <v>1</v>
      </c>
      <c r="P1480">
        <v>1</v>
      </c>
      <c r="Q1480">
        <v>1</v>
      </c>
      <c r="R1480">
        <v>1</v>
      </c>
      <c r="S1480">
        <v>1</v>
      </c>
      <c r="T1480">
        <v>1</v>
      </c>
      <c r="W1480">
        <v>1</v>
      </c>
      <c r="X1480">
        <v>1</v>
      </c>
      <c r="Y1480">
        <v>1</v>
      </c>
      <c r="Z1480">
        <v>1</v>
      </c>
      <c r="AA1480">
        <v>1</v>
      </c>
      <c r="AB1480">
        <v>1</v>
      </c>
    </row>
    <row r="1481" spans="1:28" x14ac:dyDescent="0.25">
      <c r="A1481" t="str">
        <f>"1477"</f>
        <v>1477</v>
      </c>
      <c r="B1481" t="str">
        <f t="shared" si="82"/>
        <v>1</v>
      </c>
      <c r="C1481" t="str">
        <f t="shared" si="84"/>
        <v>65</v>
      </c>
      <c r="D1481" t="str">
        <f>"2"</f>
        <v>2</v>
      </c>
      <c r="E1481" t="str">
        <f>"1-65-2"</f>
        <v>1-65-2</v>
      </c>
      <c r="F1481" t="s">
        <v>83</v>
      </c>
      <c r="G1481" t="s">
        <v>84</v>
      </c>
      <c r="H1481" t="s">
        <v>92</v>
      </c>
      <c r="I1481">
        <v>1</v>
      </c>
      <c r="J1481">
        <v>1</v>
      </c>
      <c r="N1481">
        <v>1</v>
      </c>
      <c r="O1481">
        <v>1</v>
      </c>
      <c r="P1481">
        <v>1</v>
      </c>
      <c r="Q1481">
        <v>1</v>
      </c>
      <c r="R1481">
        <v>1</v>
      </c>
      <c r="S1481">
        <v>1</v>
      </c>
      <c r="T1481">
        <v>1</v>
      </c>
      <c r="W1481">
        <v>1</v>
      </c>
      <c r="X1481">
        <v>1</v>
      </c>
      <c r="Y1481">
        <v>1</v>
      </c>
      <c r="Z1481">
        <v>1</v>
      </c>
      <c r="AA1481">
        <v>1</v>
      </c>
      <c r="AB1481">
        <v>1</v>
      </c>
    </row>
    <row r="1482" spans="1:28" x14ac:dyDescent="0.25">
      <c r="A1482" t="str">
        <f>"1478"</f>
        <v>1478</v>
      </c>
      <c r="B1482" t="str">
        <f t="shared" si="82"/>
        <v>1</v>
      </c>
      <c r="C1482" t="str">
        <f t="shared" si="84"/>
        <v>65</v>
      </c>
      <c r="D1482" t="str">
        <f>"6"</f>
        <v>6</v>
      </c>
      <c r="E1482" t="str">
        <f>"1-65-6"</f>
        <v>1-65-6</v>
      </c>
      <c r="F1482" t="s">
        <v>83</v>
      </c>
      <c r="G1482" t="s">
        <v>84</v>
      </c>
      <c r="H1482" t="s">
        <v>92</v>
      </c>
      <c r="I1482">
        <v>1</v>
      </c>
      <c r="J1482">
        <v>1</v>
      </c>
      <c r="N1482">
        <v>1</v>
      </c>
      <c r="O1482">
        <v>1</v>
      </c>
      <c r="P1482">
        <v>1</v>
      </c>
      <c r="Q1482">
        <v>1</v>
      </c>
      <c r="R1482">
        <v>1</v>
      </c>
      <c r="S1482">
        <v>1</v>
      </c>
      <c r="T1482">
        <v>1</v>
      </c>
      <c r="W1482">
        <v>1</v>
      </c>
      <c r="X1482">
        <v>1</v>
      </c>
      <c r="Y1482">
        <v>1</v>
      </c>
      <c r="Z1482">
        <v>1</v>
      </c>
      <c r="AA1482">
        <v>1</v>
      </c>
      <c r="AB1482">
        <v>1</v>
      </c>
    </row>
    <row r="1483" spans="1:28" x14ac:dyDescent="0.25">
      <c r="A1483" t="str">
        <f>"1479"</f>
        <v>1479</v>
      </c>
      <c r="B1483" t="str">
        <f t="shared" si="82"/>
        <v>1</v>
      </c>
      <c r="C1483" t="str">
        <f t="shared" si="84"/>
        <v>65</v>
      </c>
      <c r="D1483" t="str">
        <f>"5"</f>
        <v>5</v>
      </c>
      <c r="E1483" t="str">
        <f>"1-65-5"</f>
        <v>1-65-5</v>
      </c>
      <c r="F1483" t="s">
        <v>83</v>
      </c>
      <c r="G1483" t="s">
        <v>84</v>
      </c>
      <c r="H1483" t="s">
        <v>92</v>
      </c>
      <c r="I1483">
        <v>1</v>
      </c>
      <c r="J1483">
        <v>1</v>
      </c>
      <c r="N1483">
        <v>1</v>
      </c>
      <c r="O1483">
        <v>1</v>
      </c>
      <c r="P1483">
        <v>1</v>
      </c>
      <c r="Q1483">
        <v>1</v>
      </c>
      <c r="R1483">
        <v>1</v>
      </c>
      <c r="S1483">
        <v>1</v>
      </c>
      <c r="T1483">
        <v>1</v>
      </c>
      <c r="W1483">
        <v>1</v>
      </c>
      <c r="X1483">
        <v>1</v>
      </c>
      <c r="Y1483">
        <v>1</v>
      </c>
      <c r="Z1483">
        <v>1</v>
      </c>
      <c r="AA1483">
        <v>1</v>
      </c>
      <c r="AB1483">
        <v>1</v>
      </c>
    </row>
    <row r="1484" spans="1:28" x14ac:dyDescent="0.25">
      <c r="A1484" t="str">
        <f>"1480"</f>
        <v>1480</v>
      </c>
      <c r="B1484" t="str">
        <f t="shared" si="82"/>
        <v>1</v>
      </c>
      <c r="C1484" t="str">
        <f t="shared" si="84"/>
        <v>65</v>
      </c>
      <c r="D1484" t="str">
        <f>"4"</f>
        <v>4</v>
      </c>
      <c r="E1484" t="str">
        <f>"1-65-4"</f>
        <v>1-65-4</v>
      </c>
      <c r="F1484" t="s">
        <v>83</v>
      </c>
      <c r="G1484" t="s">
        <v>84</v>
      </c>
      <c r="H1484" t="s">
        <v>92</v>
      </c>
      <c r="I1484">
        <v>1</v>
      </c>
      <c r="J1484">
        <v>1</v>
      </c>
      <c r="N1484">
        <v>1</v>
      </c>
      <c r="O1484">
        <v>1</v>
      </c>
      <c r="P1484">
        <v>1</v>
      </c>
      <c r="Q1484">
        <v>1</v>
      </c>
      <c r="R1484">
        <v>1</v>
      </c>
      <c r="S1484">
        <v>1</v>
      </c>
      <c r="T1484">
        <v>1</v>
      </c>
      <c r="W1484">
        <v>1</v>
      </c>
      <c r="X1484">
        <v>1</v>
      </c>
      <c r="Y1484">
        <v>1</v>
      </c>
      <c r="Z1484">
        <v>1</v>
      </c>
      <c r="AA1484">
        <v>1</v>
      </c>
      <c r="AB1484">
        <v>1</v>
      </c>
    </row>
    <row r="1485" spans="1:28" x14ac:dyDescent="0.25">
      <c r="A1485" t="str">
        <f>"1481"</f>
        <v>1481</v>
      </c>
      <c r="B1485" t="str">
        <f t="shared" si="82"/>
        <v>1</v>
      </c>
      <c r="C1485" t="str">
        <f t="shared" si="84"/>
        <v>65</v>
      </c>
      <c r="D1485" t="str">
        <f>"3"</f>
        <v>3</v>
      </c>
      <c r="E1485" t="str">
        <f>"1-65-3"</f>
        <v>1-65-3</v>
      </c>
      <c r="F1485" t="s">
        <v>83</v>
      </c>
      <c r="G1485" t="s">
        <v>84</v>
      </c>
      <c r="H1485" t="s">
        <v>92</v>
      </c>
      <c r="I1485">
        <v>1</v>
      </c>
      <c r="J1485">
        <v>1</v>
      </c>
      <c r="N1485">
        <v>1</v>
      </c>
      <c r="O1485">
        <v>1</v>
      </c>
      <c r="P1485">
        <v>1</v>
      </c>
      <c r="Q1485">
        <v>1</v>
      </c>
      <c r="R1485">
        <v>1</v>
      </c>
      <c r="S1485">
        <v>1</v>
      </c>
      <c r="T1485">
        <v>1</v>
      </c>
      <c r="W1485">
        <v>0</v>
      </c>
      <c r="X1485">
        <v>1</v>
      </c>
      <c r="Y1485">
        <v>1</v>
      </c>
      <c r="Z1485">
        <v>1</v>
      </c>
      <c r="AA1485">
        <v>1</v>
      </c>
      <c r="AB1485">
        <v>0</v>
      </c>
    </row>
    <row r="1486" spans="1:28" x14ac:dyDescent="0.25">
      <c r="A1486" t="str">
        <f>"1482"</f>
        <v>1482</v>
      </c>
      <c r="B1486" t="str">
        <f t="shared" si="82"/>
        <v>1</v>
      </c>
      <c r="C1486" t="str">
        <f t="shared" si="84"/>
        <v>65</v>
      </c>
      <c r="D1486" t="str">
        <f>"7"</f>
        <v>7</v>
      </c>
      <c r="E1486" t="str">
        <f>"1-65-7"</f>
        <v>1-65-7</v>
      </c>
      <c r="F1486" t="s">
        <v>83</v>
      </c>
      <c r="G1486" t="s">
        <v>84</v>
      </c>
      <c r="H1486" t="s">
        <v>92</v>
      </c>
      <c r="I1486">
        <v>1</v>
      </c>
      <c r="J1486">
        <v>1</v>
      </c>
      <c r="N1486">
        <v>1</v>
      </c>
      <c r="O1486">
        <v>1</v>
      </c>
      <c r="P1486">
        <v>1</v>
      </c>
      <c r="Q1486">
        <v>1</v>
      </c>
      <c r="R1486">
        <v>1</v>
      </c>
      <c r="S1486">
        <v>1</v>
      </c>
      <c r="T1486">
        <v>1</v>
      </c>
      <c r="W1486">
        <v>1</v>
      </c>
      <c r="X1486">
        <v>1</v>
      </c>
      <c r="Y1486">
        <v>1</v>
      </c>
      <c r="Z1486">
        <v>1</v>
      </c>
      <c r="AA1486">
        <v>1</v>
      </c>
      <c r="AB1486">
        <v>1</v>
      </c>
    </row>
    <row r="1487" spans="1:28" x14ac:dyDescent="0.25">
      <c r="A1487" t="str">
        <f>"1483"</f>
        <v>1483</v>
      </c>
      <c r="B1487" t="str">
        <f t="shared" si="82"/>
        <v>1</v>
      </c>
      <c r="C1487" t="str">
        <f t="shared" si="84"/>
        <v>65</v>
      </c>
      <c r="D1487" t="str">
        <f>"1"</f>
        <v>1</v>
      </c>
      <c r="E1487" t="str">
        <f>"1-65-1"</f>
        <v>1-65-1</v>
      </c>
      <c r="F1487" t="s">
        <v>83</v>
      </c>
      <c r="G1487" t="s">
        <v>84</v>
      </c>
      <c r="H1487" t="s">
        <v>92</v>
      </c>
      <c r="I1487">
        <v>1</v>
      </c>
      <c r="J1487">
        <v>1</v>
      </c>
      <c r="N1487">
        <v>1</v>
      </c>
      <c r="O1487">
        <v>1</v>
      </c>
      <c r="P1487">
        <v>1</v>
      </c>
      <c r="Q1487">
        <v>1</v>
      </c>
      <c r="R1487">
        <v>1</v>
      </c>
      <c r="S1487">
        <v>1</v>
      </c>
      <c r="T1487">
        <v>1</v>
      </c>
      <c r="W1487">
        <v>1</v>
      </c>
      <c r="X1487">
        <v>1</v>
      </c>
      <c r="Y1487">
        <v>1</v>
      </c>
      <c r="Z1487">
        <v>1</v>
      </c>
      <c r="AA1487">
        <v>1</v>
      </c>
      <c r="AB1487">
        <v>1</v>
      </c>
    </row>
    <row r="1488" spans="1:28" x14ac:dyDescent="0.25">
      <c r="A1488" t="str">
        <f>"1484"</f>
        <v>1484</v>
      </c>
      <c r="B1488" t="str">
        <f t="shared" si="82"/>
        <v>1</v>
      </c>
      <c r="C1488" t="str">
        <f t="shared" ref="C1488:C1512" si="85">"66"</f>
        <v>66</v>
      </c>
      <c r="D1488" t="str">
        <f>"19"</f>
        <v>19</v>
      </c>
      <c r="E1488" t="str">
        <f>"1-66-19"</f>
        <v>1-66-19</v>
      </c>
      <c r="F1488" t="s">
        <v>83</v>
      </c>
      <c r="G1488" t="s">
        <v>84</v>
      </c>
      <c r="H1488" t="s">
        <v>92</v>
      </c>
      <c r="I1488">
        <v>1</v>
      </c>
      <c r="J1488">
        <v>1</v>
      </c>
      <c r="N1488">
        <v>1</v>
      </c>
      <c r="O1488">
        <v>1</v>
      </c>
      <c r="P1488">
        <v>1</v>
      </c>
      <c r="Q1488">
        <v>1</v>
      </c>
      <c r="R1488">
        <v>1</v>
      </c>
      <c r="S1488">
        <v>1</v>
      </c>
      <c r="T1488">
        <v>1</v>
      </c>
      <c r="W1488">
        <v>1</v>
      </c>
      <c r="X1488">
        <v>1</v>
      </c>
      <c r="Y1488">
        <v>1</v>
      </c>
      <c r="Z1488">
        <v>1</v>
      </c>
      <c r="AA1488">
        <v>1</v>
      </c>
      <c r="AB1488">
        <v>1</v>
      </c>
    </row>
    <row r="1489" spans="1:28" x14ac:dyDescent="0.25">
      <c r="A1489" t="str">
        <f>"1485"</f>
        <v>1485</v>
      </c>
      <c r="B1489" t="str">
        <f t="shared" si="82"/>
        <v>1</v>
      </c>
      <c r="C1489" t="str">
        <f t="shared" si="85"/>
        <v>66</v>
      </c>
      <c r="D1489" t="str">
        <f>"18"</f>
        <v>18</v>
      </c>
      <c r="E1489" t="str">
        <f>"1-66-18"</f>
        <v>1-66-18</v>
      </c>
      <c r="F1489" t="s">
        <v>83</v>
      </c>
      <c r="G1489" t="s">
        <v>84</v>
      </c>
      <c r="H1489" t="s">
        <v>92</v>
      </c>
      <c r="I1489">
        <v>1</v>
      </c>
      <c r="J1489">
        <v>1</v>
      </c>
      <c r="N1489">
        <v>1</v>
      </c>
      <c r="O1489">
        <v>1</v>
      </c>
      <c r="P1489">
        <v>1</v>
      </c>
      <c r="Q1489">
        <v>1</v>
      </c>
      <c r="R1489">
        <v>1</v>
      </c>
      <c r="S1489">
        <v>1</v>
      </c>
      <c r="T1489">
        <v>1</v>
      </c>
      <c r="W1489">
        <v>1</v>
      </c>
      <c r="X1489">
        <v>1</v>
      </c>
      <c r="Y1489">
        <v>1</v>
      </c>
      <c r="Z1489">
        <v>1</v>
      </c>
      <c r="AA1489">
        <v>1</v>
      </c>
      <c r="AB1489">
        <v>1</v>
      </c>
    </row>
    <row r="1490" spans="1:28" x14ac:dyDescent="0.25">
      <c r="A1490" t="str">
        <f>"1486"</f>
        <v>1486</v>
      </c>
      <c r="B1490" t="str">
        <f t="shared" si="82"/>
        <v>1</v>
      </c>
      <c r="C1490" t="str">
        <f t="shared" si="85"/>
        <v>66</v>
      </c>
      <c r="D1490" t="str">
        <f>"15"</f>
        <v>15</v>
      </c>
      <c r="E1490" t="str">
        <f>"1-66-15"</f>
        <v>1-66-15</v>
      </c>
      <c r="F1490" t="s">
        <v>83</v>
      </c>
      <c r="G1490" t="s">
        <v>84</v>
      </c>
      <c r="H1490" t="s">
        <v>92</v>
      </c>
      <c r="I1490">
        <v>1</v>
      </c>
      <c r="J1490">
        <v>1</v>
      </c>
      <c r="N1490">
        <v>1</v>
      </c>
      <c r="O1490">
        <v>1</v>
      </c>
      <c r="P1490">
        <v>1</v>
      </c>
      <c r="Q1490">
        <v>1</v>
      </c>
      <c r="R1490">
        <v>1</v>
      </c>
      <c r="S1490">
        <v>1</v>
      </c>
      <c r="T1490">
        <v>1</v>
      </c>
      <c r="W1490">
        <v>1</v>
      </c>
      <c r="X1490">
        <v>1</v>
      </c>
      <c r="Y1490">
        <v>1</v>
      </c>
      <c r="Z1490">
        <v>1</v>
      </c>
      <c r="AA1490">
        <v>1</v>
      </c>
      <c r="AB1490">
        <v>1</v>
      </c>
    </row>
    <row r="1491" spans="1:28" x14ac:dyDescent="0.25">
      <c r="A1491" t="str">
        <f>"1487"</f>
        <v>1487</v>
      </c>
      <c r="B1491" t="str">
        <f t="shared" si="82"/>
        <v>1</v>
      </c>
      <c r="C1491" t="str">
        <f t="shared" si="85"/>
        <v>66</v>
      </c>
      <c r="D1491" t="str">
        <f>"8"</f>
        <v>8</v>
      </c>
      <c r="E1491" t="str">
        <f>"1-66-8"</f>
        <v>1-66-8</v>
      </c>
      <c r="F1491" t="s">
        <v>83</v>
      </c>
      <c r="G1491" t="s">
        <v>84</v>
      </c>
      <c r="H1491" t="s">
        <v>92</v>
      </c>
      <c r="I1491">
        <v>1</v>
      </c>
      <c r="J1491">
        <v>1</v>
      </c>
      <c r="N1491">
        <v>1</v>
      </c>
      <c r="O1491">
        <v>1</v>
      </c>
      <c r="P1491">
        <v>1</v>
      </c>
      <c r="Q1491">
        <v>1</v>
      </c>
      <c r="R1491">
        <v>1</v>
      </c>
      <c r="S1491">
        <v>1</v>
      </c>
      <c r="T1491">
        <v>1</v>
      </c>
      <c r="W1491">
        <v>1</v>
      </c>
      <c r="X1491">
        <v>1</v>
      </c>
      <c r="Y1491">
        <v>1</v>
      </c>
      <c r="Z1491">
        <v>1</v>
      </c>
      <c r="AA1491">
        <v>1</v>
      </c>
      <c r="AB1491">
        <v>1</v>
      </c>
    </row>
    <row r="1492" spans="1:28" x14ac:dyDescent="0.25">
      <c r="A1492" t="str">
        <f>"1488"</f>
        <v>1488</v>
      </c>
      <c r="B1492" t="str">
        <f t="shared" si="82"/>
        <v>1</v>
      </c>
      <c r="C1492" t="str">
        <f t="shared" si="85"/>
        <v>66</v>
      </c>
      <c r="D1492" t="str">
        <f>"2"</f>
        <v>2</v>
      </c>
      <c r="E1492" t="str">
        <f>"1-66-2"</f>
        <v>1-66-2</v>
      </c>
      <c r="F1492" t="s">
        <v>83</v>
      </c>
      <c r="G1492" t="s">
        <v>84</v>
      </c>
      <c r="H1492" t="s">
        <v>92</v>
      </c>
      <c r="I1492">
        <v>1</v>
      </c>
      <c r="J1492">
        <v>0</v>
      </c>
      <c r="N1492">
        <v>1</v>
      </c>
      <c r="O1492">
        <v>1</v>
      </c>
      <c r="P1492">
        <v>1</v>
      </c>
      <c r="Q1492">
        <v>1</v>
      </c>
      <c r="R1492">
        <v>1</v>
      </c>
      <c r="S1492">
        <v>0</v>
      </c>
      <c r="T1492">
        <v>0</v>
      </c>
      <c r="W1492">
        <v>1</v>
      </c>
      <c r="X1492">
        <v>1</v>
      </c>
      <c r="Y1492">
        <v>1</v>
      </c>
      <c r="Z1492">
        <v>1</v>
      </c>
      <c r="AA1492">
        <v>1</v>
      </c>
      <c r="AB1492">
        <v>1</v>
      </c>
    </row>
    <row r="1493" spans="1:28" x14ac:dyDescent="0.25">
      <c r="A1493" t="str">
        <f>"1489"</f>
        <v>1489</v>
      </c>
      <c r="B1493" t="str">
        <f t="shared" si="82"/>
        <v>1</v>
      </c>
      <c r="C1493" t="str">
        <f t="shared" si="85"/>
        <v>66</v>
      </c>
      <c r="D1493" t="str">
        <f>"25"</f>
        <v>25</v>
      </c>
      <c r="E1493" t="str">
        <f>"1-66-25"</f>
        <v>1-66-25</v>
      </c>
      <c r="F1493" t="s">
        <v>83</v>
      </c>
      <c r="G1493" t="s">
        <v>84</v>
      </c>
      <c r="H1493" t="s">
        <v>92</v>
      </c>
      <c r="I1493">
        <v>0</v>
      </c>
      <c r="J1493">
        <v>0</v>
      </c>
      <c r="N1493">
        <v>1</v>
      </c>
      <c r="O1493">
        <v>1</v>
      </c>
      <c r="P1493">
        <v>1</v>
      </c>
      <c r="Q1493">
        <v>1</v>
      </c>
      <c r="R1493">
        <v>1</v>
      </c>
      <c r="S1493">
        <v>1</v>
      </c>
      <c r="T1493">
        <v>1</v>
      </c>
      <c r="W1493">
        <v>1</v>
      </c>
      <c r="X1493">
        <v>1</v>
      </c>
      <c r="Y1493">
        <v>1</v>
      </c>
      <c r="Z1493">
        <v>1</v>
      </c>
      <c r="AA1493">
        <v>1</v>
      </c>
      <c r="AB1493">
        <v>1</v>
      </c>
    </row>
    <row r="1494" spans="1:28" x14ac:dyDescent="0.25">
      <c r="A1494" t="str">
        <f>"1490"</f>
        <v>1490</v>
      </c>
      <c r="B1494" t="str">
        <f t="shared" si="82"/>
        <v>1</v>
      </c>
      <c r="C1494" t="str">
        <f t="shared" si="85"/>
        <v>66</v>
      </c>
      <c r="D1494" t="str">
        <f>"24"</f>
        <v>24</v>
      </c>
      <c r="E1494" t="str">
        <f>"1-66-24"</f>
        <v>1-66-24</v>
      </c>
      <c r="F1494" t="s">
        <v>83</v>
      </c>
      <c r="G1494" t="s">
        <v>84</v>
      </c>
      <c r="H1494" t="s">
        <v>92</v>
      </c>
      <c r="I1494">
        <v>1</v>
      </c>
      <c r="J1494">
        <v>1</v>
      </c>
      <c r="N1494">
        <v>1</v>
      </c>
      <c r="O1494">
        <v>1</v>
      </c>
      <c r="P1494">
        <v>1</v>
      </c>
      <c r="Q1494">
        <v>1</v>
      </c>
      <c r="R1494">
        <v>1</v>
      </c>
      <c r="S1494">
        <v>1</v>
      </c>
      <c r="T1494">
        <v>1</v>
      </c>
      <c r="W1494">
        <v>1</v>
      </c>
      <c r="X1494">
        <v>1</v>
      </c>
      <c r="Y1494">
        <v>1</v>
      </c>
      <c r="Z1494">
        <v>1</v>
      </c>
      <c r="AA1494">
        <v>1</v>
      </c>
      <c r="AB1494">
        <v>1</v>
      </c>
    </row>
    <row r="1495" spans="1:28" x14ac:dyDescent="0.25">
      <c r="A1495" t="str">
        <f>"1491"</f>
        <v>1491</v>
      </c>
      <c r="B1495" t="str">
        <f t="shared" si="82"/>
        <v>1</v>
      </c>
      <c r="C1495" t="str">
        <f t="shared" si="85"/>
        <v>66</v>
      </c>
      <c r="D1495" t="str">
        <f>"16"</f>
        <v>16</v>
      </c>
      <c r="E1495" t="str">
        <f>"1-66-16"</f>
        <v>1-66-16</v>
      </c>
      <c r="F1495" t="s">
        <v>83</v>
      </c>
      <c r="G1495" t="s">
        <v>84</v>
      </c>
      <c r="H1495" t="s">
        <v>92</v>
      </c>
      <c r="I1495">
        <v>1</v>
      </c>
      <c r="J1495">
        <v>1</v>
      </c>
      <c r="N1495">
        <v>1</v>
      </c>
      <c r="O1495">
        <v>1</v>
      </c>
      <c r="P1495">
        <v>1</v>
      </c>
      <c r="Q1495">
        <v>1</v>
      </c>
      <c r="R1495">
        <v>1</v>
      </c>
      <c r="S1495">
        <v>1</v>
      </c>
      <c r="T1495">
        <v>1</v>
      </c>
      <c r="W1495">
        <v>1</v>
      </c>
      <c r="X1495">
        <v>1</v>
      </c>
      <c r="Y1495">
        <v>1</v>
      </c>
      <c r="Z1495">
        <v>1</v>
      </c>
      <c r="AA1495">
        <v>1</v>
      </c>
      <c r="AB1495">
        <v>1</v>
      </c>
    </row>
    <row r="1496" spans="1:28" x14ac:dyDescent="0.25">
      <c r="A1496" t="str">
        <f>"1492"</f>
        <v>1492</v>
      </c>
      <c r="B1496" t="str">
        <f t="shared" si="82"/>
        <v>1</v>
      </c>
      <c r="C1496" t="str">
        <f t="shared" si="85"/>
        <v>66</v>
      </c>
      <c r="D1496" t="str">
        <f>"9"</f>
        <v>9</v>
      </c>
      <c r="E1496" t="str">
        <f>"1-66-9"</f>
        <v>1-66-9</v>
      </c>
      <c r="F1496" t="s">
        <v>83</v>
      </c>
      <c r="G1496" t="s">
        <v>84</v>
      </c>
      <c r="H1496" t="s">
        <v>92</v>
      </c>
      <c r="I1496">
        <v>1</v>
      </c>
      <c r="J1496">
        <v>1</v>
      </c>
      <c r="N1496">
        <v>1</v>
      </c>
      <c r="O1496">
        <v>1</v>
      </c>
      <c r="P1496">
        <v>1</v>
      </c>
      <c r="Q1496">
        <v>1</v>
      </c>
      <c r="R1496">
        <v>1</v>
      </c>
      <c r="S1496">
        <v>1</v>
      </c>
      <c r="T1496">
        <v>1</v>
      </c>
      <c r="W1496">
        <v>1</v>
      </c>
      <c r="X1496">
        <v>1</v>
      </c>
      <c r="Y1496">
        <v>1</v>
      </c>
      <c r="Z1496">
        <v>1</v>
      </c>
      <c r="AA1496">
        <v>1</v>
      </c>
      <c r="AB1496">
        <v>1</v>
      </c>
    </row>
    <row r="1497" spans="1:28" x14ac:dyDescent="0.25">
      <c r="A1497" t="str">
        <f>"1493"</f>
        <v>1493</v>
      </c>
      <c r="B1497" t="str">
        <f t="shared" si="82"/>
        <v>1</v>
      </c>
      <c r="C1497" t="str">
        <f t="shared" si="85"/>
        <v>66</v>
      </c>
      <c r="D1497" t="str">
        <f>"3"</f>
        <v>3</v>
      </c>
      <c r="E1497" t="str">
        <f>"1-66-3"</f>
        <v>1-66-3</v>
      </c>
      <c r="F1497" t="s">
        <v>83</v>
      </c>
      <c r="G1497" t="s">
        <v>84</v>
      </c>
      <c r="H1497" t="s">
        <v>92</v>
      </c>
      <c r="I1497">
        <v>1</v>
      </c>
      <c r="J1497">
        <v>1</v>
      </c>
      <c r="N1497">
        <v>1</v>
      </c>
      <c r="O1497">
        <v>1</v>
      </c>
      <c r="P1497">
        <v>1</v>
      </c>
      <c r="Q1497">
        <v>1</v>
      </c>
      <c r="R1497">
        <v>1</v>
      </c>
      <c r="S1497">
        <v>1</v>
      </c>
      <c r="T1497">
        <v>1</v>
      </c>
      <c r="W1497">
        <v>1</v>
      </c>
      <c r="X1497">
        <v>1</v>
      </c>
      <c r="Y1497">
        <v>1</v>
      </c>
      <c r="Z1497">
        <v>1</v>
      </c>
      <c r="AA1497">
        <v>1</v>
      </c>
      <c r="AB1497">
        <v>1</v>
      </c>
    </row>
    <row r="1498" spans="1:28" x14ac:dyDescent="0.25">
      <c r="A1498" t="str">
        <f>"1494"</f>
        <v>1494</v>
      </c>
      <c r="B1498" t="str">
        <f t="shared" si="82"/>
        <v>1</v>
      </c>
      <c r="C1498" t="str">
        <f t="shared" si="85"/>
        <v>66</v>
      </c>
      <c r="D1498" t="str">
        <f>"17"</f>
        <v>17</v>
      </c>
      <c r="E1498" t="str">
        <f>"1-66-17"</f>
        <v>1-66-17</v>
      </c>
      <c r="F1498" t="s">
        <v>83</v>
      </c>
      <c r="G1498" t="s">
        <v>84</v>
      </c>
      <c r="H1498" t="s">
        <v>92</v>
      </c>
      <c r="I1498">
        <v>1</v>
      </c>
      <c r="J1498">
        <v>1</v>
      </c>
      <c r="N1498">
        <v>1</v>
      </c>
      <c r="O1498">
        <v>1</v>
      </c>
      <c r="P1498">
        <v>1</v>
      </c>
      <c r="Q1498">
        <v>1</v>
      </c>
      <c r="R1498">
        <v>1</v>
      </c>
      <c r="S1498">
        <v>1</v>
      </c>
      <c r="T1498">
        <v>1</v>
      </c>
      <c r="W1498">
        <v>1</v>
      </c>
      <c r="X1498">
        <v>1</v>
      </c>
      <c r="Y1498">
        <v>1</v>
      </c>
      <c r="Z1498">
        <v>1</v>
      </c>
      <c r="AA1498">
        <v>1</v>
      </c>
      <c r="AB1498">
        <v>1</v>
      </c>
    </row>
    <row r="1499" spans="1:28" x14ac:dyDescent="0.25">
      <c r="A1499" t="str">
        <f>"1495"</f>
        <v>1495</v>
      </c>
      <c r="B1499" t="str">
        <f t="shared" si="82"/>
        <v>1</v>
      </c>
      <c r="C1499" t="str">
        <f t="shared" si="85"/>
        <v>66</v>
      </c>
      <c r="D1499" t="str">
        <f>"10"</f>
        <v>10</v>
      </c>
      <c r="E1499" t="str">
        <f>"1-66-10"</f>
        <v>1-66-10</v>
      </c>
      <c r="F1499" t="s">
        <v>83</v>
      </c>
      <c r="G1499" t="s">
        <v>84</v>
      </c>
      <c r="H1499" t="s">
        <v>92</v>
      </c>
      <c r="I1499">
        <v>1</v>
      </c>
      <c r="J1499">
        <v>1</v>
      </c>
      <c r="N1499">
        <v>1</v>
      </c>
      <c r="O1499">
        <v>1</v>
      </c>
      <c r="P1499">
        <v>1</v>
      </c>
      <c r="Q1499">
        <v>1</v>
      </c>
      <c r="R1499">
        <v>1</v>
      </c>
      <c r="S1499">
        <v>1</v>
      </c>
      <c r="T1499">
        <v>1</v>
      </c>
      <c r="W1499">
        <v>1</v>
      </c>
      <c r="X1499">
        <v>1</v>
      </c>
      <c r="Y1499">
        <v>1</v>
      </c>
      <c r="Z1499">
        <v>1</v>
      </c>
      <c r="AA1499">
        <v>1</v>
      </c>
      <c r="AB1499">
        <v>1</v>
      </c>
    </row>
    <row r="1500" spans="1:28" x14ac:dyDescent="0.25">
      <c r="A1500" t="str">
        <f>"1496"</f>
        <v>1496</v>
      </c>
      <c r="B1500" t="str">
        <f t="shared" si="82"/>
        <v>1</v>
      </c>
      <c r="C1500" t="str">
        <f t="shared" si="85"/>
        <v>66</v>
      </c>
      <c r="D1500" t="str">
        <f>"7"</f>
        <v>7</v>
      </c>
      <c r="E1500" t="str">
        <f>"1-66-7"</f>
        <v>1-66-7</v>
      </c>
      <c r="F1500" t="s">
        <v>83</v>
      </c>
      <c r="G1500" t="s">
        <v>84</v>
      </c>
      <c r="H1500" t="s">
        <v>92</v>
      </c>
      <c r="I1500">
        <v>1</v>
      </c>
      <c r="J1500">
        <v>1</v>
      </c>
      <c r="N1500">
        <v>1</v>
      </c>
      <c r="O1500">
        <v>1</v>
      </c>
      <c r="P1500">
        <v>1</v>
      </c>
      <c r="Q1500">
        <v>1</v>
      </c>
      <c r="R1500">
        <v>1</v>
      </c>
      <c r="S1500">
        <v>1</v>
      </c>
      <c r="T1500">
        <v>1</v>
      </c>
      <c r="W1500">
        <v>1</v>
      </c>
      <c r="X1500">
        <v>1</v>
      </c>
      <c r="Y1500">
        <v>1</v>
      </c>
      <c r="Z1500">
        <v>1</v>
      </c>
      <c r="AA1500">
        <v>1</v>
      </c>
      <c r="AB1500">
        <v>1</v>
      </c>
    </row>
    <row r="1501" spans="1:28" x14ac:dyDescent="0.25">
      <c r="A1501" t="str">
        <f>"1497"</f>
        <v>1497</v>
      </c>
      <c r="B1501" t="str">
        <f t="shared" si="82"/>
        <v>1</v>
      </c>
      <c r="C1501" t="str">
        <f t="shared" si="85"/>
        <v>66</v>
      </c>
      <c r="D1501" t="str">
        <f>"21"</f>
        <v>21</v>
      </c>
      <c r="E1501" t="str">
        <f>"1-66-21"</f>
        <v>1-66-21</v>
      </c>
      <c r="F1501" t="s">
        <v>83</v>
      </c>
      <c r="G1501" t="s">
        <v>84</v>
      </c>
      <c r="H1501" t="s">
        <v>92</v>
      </c>
      <c r="I1501">
        <v>1</v>
      </c>
      <c r="J1501">
        <v>1</v>
      </c>
      <c r="N1501">
        <v>1</v>
      </c>
      <c r="O1501">
        <v>1</v>
      </c>
      <c r="P1501">
        <v>0</v>
      </c>
      <c r="Q1501">
        <v>1</v>
      </c>
      <c r="R1501">
        <v>0</v>
      </c>
      <c r="S1501">
        <v>1</v>
      </c>
      <c r="T1501">
        <v>1</v>
      </c>
      <c r="W1501">
        <v>1</v>
      </c>
      <c r="X1501">
        <v>1</v>
      </c>
      <c r="Y1501">
        <v>1</v>
      </c>
      <c r="Z1501">
        <v>1</v>
      </c>
      <c r="AA1501">
        <v>1</v>
      </c>
      <c r="AB1501">
        <v>1</v>
      </c>
    </row>
    <row r="1502" spans="1:28" x14ac:dyDescent="0.25">
      <c r="A1502" t="str">
        <f>"1498"</f>
        <v>1498</v>
      </c>
      <c r="B1502" t="str">
        <f t="shared" ref="B1502:B1565" si="86">"1"</f>
        <v>1</v>
      </c>
      <c r="C1502" t="str">
        <f t="shared" si="85"/>
        <v>66</v>
      </c>
      <c r="D1502" t="str">
        <f>"11"</f>
        <v>11</v>
      </c>
      <c r="E1502" t="str">
        <f>"1-66-11"</f>
        <v>1-66-11</v>
      </c>
      <c r="F1502" t="s">
        <v>83</v>
      </c>
      <c r="G1502" t="s">
        <v>84</v>
      </c>
      <c r="H1502" t="s">
        <v>92</v>
      </c>
      <c r="I1502">
        <v>1</v>
      </c>
      <c r="J1502">
        <v>1</v>
      </c>
      <c r="N1502">
        <v>1</v>
      </c>
      <c r="O1502">
        <v>1</v>
      </c>
      <c r="P1502">
        <v>1</v>
      </c>
      <c r="Q1502">
        <v>1</v>
      </c>
      <c r="R1502">
        <v>1</v>
      </c>
      <c r="S1502">
        <v>1</v>
      </c>
      <c r="T1502">
        <v>1</v>
      </c>
      <c r="W1502">
        <v>1</v>
      </c>
      <c r="X1502">
        <v>1</v>
      </c>
      <c r="Y1502">
        <v>1</v>
      </c>
      <c r="Z1502">
        <v>1</v>
      </c>
      <c r="AA1502">
        <v>1</v>
      </c>
      <c r="AB1502">
        <v>1</v>
      </c>
    </row>
    <row r="1503" spans="1:28" x14ac:dyDescent="0.25">
      <c r="A1503" t="str">
        <f>"1499"</f>
        <v>1499</v>
      </c>
      <c r="B1503" t="str">
        <f t="shared" si="86"/>
        <v>1</v>
      </c>
      <c r="C1503" t="str">
        <f t="shared" si="85"/>
        <v>66</v>
      </c>
      <c r="D1503" t="str">
        <f>"4"</f>
        <v>4</v>
      </c>
      <c r="E1503" t="str">
        <f>"1-66-4"</f>
        <v>1-66-4</v>
      </c>
      <c r="F1503" t="s">
        <v>83</v>
      </c>
      <c r="G1503" t="s">
        <v>84</v>
      </c>
      <c r="H1503" t="s">
        <v>92</v>
      </c>
      <c r="I1503">
        <v>1</v>
      </c>
      <c r="J1503">
        <v>1</v>
      </c>
      <c r="N1503">
        <v>1</v>
      </c>
      <c r="O1503">
        <v>1</v>
      </c>
      <c r="P1503">
        <v>1</v>
      </c>
      <c r="Q1503">
        <v>1</v>
      </c>
      <c r="R1503">
        <v>1</v>
      </c>
      <c r="S1503">
        <v>1</v>
      </c>
      <c r="T1503">
        <v>1</v>
      </c>
      <c r="W1503">
        <v>1</v>
      </c>
      <c r="X1503">
        <v>1</v>
      </c>
      <c r="Y1503">
        <v>1</v>
      </c>
      <c r="Z1503">
        <v>1</v>
      </c>
      <c r="AA1503">
        <v>1</v>
      </c>
      <c r="AB1503">
        <v>1</v>
      </c>
    </row>
    <row r="1504" spans="1:28" x14ac:dyDescent="0.25">
      <c r="A1504" t="str">
        <f>"1500"</f>
        <v>1500</v>
      </c>
      <c r="B1504" t="str">
        <f t="shared" si="86"/>
        <v>1</v>
      </c>
      <c r="C1504" t="str">
        <f t="shared" si="85"/>
        <v>66</v>
      </c>
      <c r="D1504" t="str">
        <f>"20"</f>
        <v>20</v>
      </c>
      <c r="E1504" t="str">
        <f>"1-66-20"</f>
        <v>1-66-20</v>
      </c>
      <c r="F1504" t="s">
        <v>83</v>
      </c>
      <c r="G1504" t="s">
        <v>84</v>
      </c>
      <c r="H1504" t="s">
        <v>92</v>
      </c>
      <c r="I1504">
        <v>1</v>
      </c>
      <c r="J1504">
        <v>1</v>
      </c>
      <c r="N1504">
        <v>1</v>
      </c>
      <c r="O1504">
        <v>1</v>
      </c>
      <c r="P1504">
        <v>1</v>
      </c>
      <c r="Q1504">
        <v>1</v>
      </c>
      <c r="R1504">
        <v>1</v>
      </c>
      <c r="S1504">
        <v>1</v>
      </c>
      <c r="T1504">
        <v>0</v>
      </c>
      <c r="W1504">
        <v>1</v>
      </c>
      <c r="X1504">
        <v>1</v>
      </c>
      <c r="Y1504">
        <v>1</v>
      </c>
      <c r="Z1504">
        <v>1</v>
      </c>
      <c r="AA1504">
        <v>1</v>
      </c>
      <c r="AB1504">
        <v>1</v>
      </c>
    </row>
    <row r="1505" spans="1:49" x14ac:dyDescent="0.25">
      <c r="A1505" t="str">
        <f>"1501"</f>
        <v>1501</v>
      </c>
      <c r="B1505" t="str">
        <f t="shared" si="86"/>
        <v>1</v>
      </c>
      <c r="C1505" t="str">
        <f t="shared" si="85"/>
        <v>66</v>
      </c>
      <c r="D1505" t="str">
        <f>"12"</f>
        <v>12</v>
      </c>
      <c r="E1505" t="str">
        <f>"1-66-12"</f>
        <v>1-66-12</v>
      </c>
      <c r="F1505" t="s">
        <v>83</v>
      </c>
      <c r="G1505" t="s">
        <v>84</v>
      </c>
      <c r="H1505" t="s">
        <v>92</v>
      </c>
      <c r="I1505">
        <v>1</v>
      </c>
      <c r="J1505">
        <v>1</v>
      </c>
      <c r="N1505">
        <v>1</v>
      </c>
      <c r="O1505">
        <v>1</v>
      </c>
      <c r="P1505">
        <v>1</v>
      </c>
      <c r="Q1505">
        <v>1</v>
      </c>
      <c r="R1505">
        <v>1</v>
      </c>
      <c r="S1505">
        <v>1</v>
      </c>
      <c r="T1505">
        <v>1</v>
      </c>
      <c r="W1505">
        <v>1</v>
      </c>
      <c r="X1505">
        <v>1</v>
      </c>
      <c r="Y1505">
        <v>1</v>
      </c>
      <c r="Z1505">
        <v>1</v>
      </c>
      <c r="AA1505">
        <v>1</v>
      </c>
      <c r="AB1505">
        <v>1</v>
      </c>
    </row>
    <row r="1506" spans="1:49" x14ac:dyDescent="0.25">
      <c r="A1506" t="str">
        <f>"1502"</f>
        <v>1502</v>
      </c>
      <c r="B1506" t="str">
        <f t="shared" si="86"/>
        <v>1</v>
      </c>
      <c r="C1506" t="str">
        <f t="shared" si="85"/>
        <v>66</v>
      </c>
      <c r="D1506" t="str">
        <f>"5"</f>
        <v>5</v>
      </c>
      <c r="E1506" t="str">
        <f>"1-66-5"</f>
        <v>1-66-5</v>
      </c>
      <c r="F1506" t="s">
        <v>83</v>
      </c>
      <c r="G1506" t="s">
        <v>84</v>
      </c>
      <c r="H1506" t="s">
        <v>92</v>
      </c>
      <c r="I1506">
        <v>1</v>
      </c>
      <c r="J1506">
        <v>1</v>
      </c>
      <c r="N1506">
        <v>1</v>
      </c>
      <c r="O1506">
        <v>1</v>
      </c>
      <c r="P1506">
        <v>1</v>
      </c>
      <c r="Q1506">
        <v>1</v>
      </c>
      <c r="R1506">
        <v>1</v>
      </c>
      <c r="S1506">
        <v>1</v>
      </c>
      <c r="T1506">
        <v>1</v>
      </c>
      <c r="W1506">
        <v>1</v>
      </c>
      <c r="X1506">
        <v>1</v>
      </c>
      <c r="Y1506">
        <v>1</v>
      </c>
      <c r="Z1506">
        <v>1</v>
      </c>
      <c r="AA1506">
        <v>1</v>
      </c>
      <c r="AB1506">
        <v>1</v>
      </c>
    </row>
    <row r="1507" spans="1:49" x14ac:dyDescent="0.25">
      <c r="A1507" t="str">
        <f>"1503"</f>
        <v>1503</v>
      </c>
      <c r="B1507" t="str">
        <f t="shared" si="86"/>
        <v>1</v>
      </c>
      <c r="C1507" t="str">
        <f t="shared" si="85"/>
        <v>66</v>
      </c>
      <c r="D1507" t="str">
        <f>"22"</f>
        <v>22</v>
      </c>
      <c r="E1507" t="str">
        <f>"1-66-22"</f>
        <v>1-66-22</v>
      </c>
      <c r="F1507" t="s">
        <v>83</v>
      </c>
      <c r="G1507" t="s">
        <v>84</v>
      </c>
      <c r="H1507" t="s">
        <v>92</v>
      </c>
      <c r="I1507">
        <v>1</v>
      </c>
      <c r="J1507">
        <v>1</v>
      </c>
      <c r="N1507">
        <v>1</v>
      </c>
      <c r="O1507">
        <v>1</v>
      </c>
      <c r="P1507">
        <v>1</v>
      </c>
      <c r="Q1507">
        <v>1</v>
      </c>
      <c r="R1507">
        <v>1</v>
      </c>
      <c r="S1507">
        <v>1</v>
      </c>
      <c r="T1507">
        <v>1</v>
      </c>
      <c r="W1507">
        <v>1</v>
      </c>
      <c r="X1507">
        <v>1</v>
      </c>
      <c r="Y1507">
        <v>1</v>
      </c>
      <c r="Z1507">
        <v>1</v>
      </c>
      <c r="AA1507">
        <v>1</v>
      </c>
      <c r="AB1507">
        <v>1</v>
      </c>
    </row>
    <row r="1508" spans="1:49" x14ac:dyDescent="0.25">
      <c r="A1508" t="str">
        <f>"1504"</f>
        <v>1504</v>
      </c>
      <c r="B1508" t="str">
        <f t="shared" si="86"/>
        <v>1</v>
      </c>
      <c r="C1508" t="str">
        <f t="shared" si="85"/>
        <v>66</v>
      </c>
      <c r="D1508" t="str">
        <f>"13"</f>
        <v>13</v>
      </c>
      <c r="E1508" t="str">
        <f>"1-66-13"</f>
        <v>1-66-13</v>
      </c>
      <c r="F1508" t="s">
        <v>83</v>
      </c>
      <c r="G1508" t="s">
        <v>84</v>
      </c>
      <c r="H1508" t="s">
        <v>92</v>
      </c>
      <c r="I1508">
        <v>1</v>
      </c>
      <c r="J1508">
        <v>1</v>
      </c>
      <c r="N1508">
        <v>1</v>
      </c>
      <c r="O1508">
        <v>1</v>
      </c>
      <c r="P1508">
        <v>0</v>
      </c>
      <c r="Q1508">
        <v>0</v>
      </c>
      <c r="R1508">
        <v>0</v>
      </c>
      <c r="S1508">
        <v>0</v>
      </c>
      <c r="T1508">
        <v>0</v>
      </c>
      <c r="W1508">
        <v>0</v>
      </c>
      <c r="X1508">
        <v>0</v>
      </c>
      <c r="Y1508">
        <v>0</v>
      </c>
      <c r="Z1508">
        <v>0</v>
      </c>
      <c r="AA1508">
        <v>0</v>
      </c>
      <c r="AB1508">
        <v>0</v>
      </c>
    </row>
    <row r="1509" spans="1:49" x14ac:dyDescent="0.25">
      <c r="A1509" t="str">
        <f>"1505"</f>
        <v>1505</v>
      </c>
      <c r="B1509" t="str">
        <f t="shared" si="86"/>
        <v>1</v>
      </c>
      <c r="C1509" t="str">
        <f t="shared" si="85"/>
        <v>66</v>
      </c>
      <c r="D1509" t="str">
        <f>"1"</f>
        <v>1</v>
      </c>
      <c r="E1509" t="str">
        <f>"1-66-1"</f>
        <v>1-66-1</v>
      </c>
      <c r="F1509" t="s">
        <v>83</v>
      </c>
      <c r="G1509" t="s">
        <v>84</v>
      </c>
      <c r="H1509" t="s">
        <v>92</v>
      </c>
      <c r="I1509">
        <v>1</v>
      </c>
      <c r="J1509">
        <v>1</v>
      </c>
      <c r="N1509">
        <v>1</v>
      </c>
      <c r="O1509">
        <v>1</v>
      </c>
      <c r="P1509">
        <v>1</v>
      </c>
      <c r="Q1509">
        <v>1</v>
      </c>
      <c r="R1509">
        <v>1</v>
      </c>
      <c r="S1509">
        <v>1</v>
      </c>
      <c r="T1509">
        <v>1</v>
      </c>
      <c r="W1509">
        <v>1</v>
      </c>
      <c r="X1509">
        <v>1</v>
      </c>
      <c r="Y1509">
        <v>1</v>
      </c>
      <c r="Z1509">
        <v>1</v>
      </c>
      <c r="AA1509">
        <v>1</v>
      </c>
      <c r="AB1509">
        <v>1</v>
      </c>
    </row>
    <row r="1510" spans="1:49" x14ac:dyDescent="0.25">
      <c r="A1510" t="str">
        <f>"1506"</f>
        <v>1506</v>
      </c>
      <c r="B1510" t="str">
        <f t="shared" si="86"/>
        <v>1</v>
      </c>
      <c r="C1510" t="str">
        <f t="shared" si="85"/>
        <v>66</v>
      </c>
      <c r="D1510" t="str">
        <f>"23"</f>
        <v>23</v>
      </c>
      <c r="E1510" t="str">
        <f>"1-66-23"</f>
        <v>1-66-23</v>
      </c>
      <c r="F1510" t="s">
        <v>83</v>
      </c>
      <c r="G1510" t="s">
        <v>84</v>
      </c>
      <c r="H1510" t="s">
        <v>92</v>
      </c>
      <c r="I1510">
        <v>1</v>
      </c>
      <c r="J1510">
        <v>1</v>
      </c>
      <c r="N1510">
        <v>1</v>
      </c>
      <c r="O1510">
        <v>1</v>
      </c>
      <c r="P1510">
        <v>1</v>
      </c>
      <c r="Q1510">
        <v>1</v>
      </c>
      <c r="R1510">
        <v>1</v>
      </c>
      <c r="S1510">
        <v>1</v>
      </c>
      <c r="T1510">
        <v>1</v>
      </c>
      <c r="W1510">
        <v>1</v>
      </c>
      <c r="X1510">
        <v>1</v>
      </c>
      <c r="Y1510">
        <v>1</v>
      </c>
      <c r="Z1510">
        <v>1</v>
      </c>
      <c r="AA1510">
        <v>1</v>
      </c>
      <c r="AB1510">
        <v>1</v>
      </c>
    </row>
    <row r="1511" spans="1:49" x14ac:dyDescent="0.25">
      <c r="A1511" t="str">
        <f>"1507"</f>
        <v>1507</v>
      </c>
      <c r="B1511" t="str">
        <f t="shared" si="86"/>
        <v>1</v>
      </c>
      <c r="C1511" t="str">
        <f t="shared" si="85"/>
        <v>66</v>
      </c>
      <c r="D1511" t="str">
        <f>"14"</f>
        <v>14</v>
      </c>
      <c r="E1511" t="str">
        <f>"1-66-14"</f>
        <v>1-66-14</v>
      </c>
      <c r="F1511" t="s">
        <v>83</v>
      </c>
      <c r="G1511" t="s">
        <v>84</v>
      </c>
      <c r="H1511" t="s">
        <v>92</v>
      </c>
      <c r="I1511">
        <v>1</v>
      </c>
      <c r="J1511">
        <v>1</v>
      </c>
      <c r="N1511">
        <v>1</v>
      </c>
      <c r="O1511">
        <v>1</v>
      </c>
      <c r="P1511">
        <v>1</v>
      </c>
      <c r="Q1511">
        <v>1</v>
      </c>
      <c r="R1511">
        <v>1</v>
      </c>
      <c r="S1511">
        <v>1</v>
      </c>
      <c r="T1511">
        <v>1</v>
      </c>
      <c r="W1511">
        <v>1</v>
      </c>
      <c r="X1511">
        <v>1</v>
      </c>
      <c r="Y1511">
        <v>1</v>
      </c>
      <c r="Z1511">
        <v>1</v>
      </c>
      <c r="AA1511">
        <v>1</v>
      </c>
      <c r="AB1511">
        <v>1</v>
      </c>
    </row>
    <row r="1512" spans="1:49" x14ac:dyDescent="0.25">
      <c r="A1512" t="str">
        <f>"1508"</f>
        <v>1508</v>
      </c>
      <c r="B1512" t="str">
        <f t="shared" si="86"/>
        <v>1</v>
      </c>
      <c r="C1512" t="str">
        <f t="shared" si="85"/>
        <v>66</v>
      </c>
      <c r="D1512" t="str">
        <f>"6"</f>
        <v>6</v>
      </c>
      <c r="E1512" t="str">
        <f>"1-66-6"</f>
        <v>1-66-6</v>
      </c>
      <c r="F1512" t="s">
        <v>83</v>
      </c>
      <c r="G1512" t="s">
        <v>84</v>
      </c>
      <c r="H1512" t="s">
        <v>92</v>
      </c>
      <c r="I1512">
        <v>1</v>
      </c>
      <c r="J1512">
        <v>1</v>
      </c>
      <c r="N1512">
        <v>1</v>
      </c>
      <c r="O1512">
        <v>1</v>
      </c>
      <c r="P1512">
        <v>1</v>
      </c>
      <c r="Q1512">
        <v>1</v>
      </c>
      <c r="R1512">
        <v>1</v>
      </c>
      <c r="S1512">
        <v>1</v>
      </c>
      <c r="T1512">
        <v>1</v>
      </c>
      <c r="W1512">
        <v>1</v>
      </c>
      <c r="X1512">
        <v>1</v>
      </c>
      <c r="Y1512">
        <v>1</v>
      </c>
      <c r="Z1512">
        <v>1</v>
      </c>
      <c r="AA1512">
        <v>1</v>
      </c>
      <c r="AB1512">
        <v>1</v>
      </c>
    </row>
    <row r="1513" spans="1:49" x14ac:dyDescent="0.25">
      <c r="A1513" t="str">
        <f>"1509"</f>
        <v>1509</v>
      </c>
      <c r="B1513" t="str">
        <f t="shared" si="86"/>
        <v>1</v>
      </c>
      <c r="C1513" t="str">
        <f t="shared" ref="C1513:C1534" si="87">"67"</f>
        <v>67</v>
      </c>
      <c r="D1513" t="str">
        <f>"19"</f>
        <v>19</v>
      </c>
      <c r="E1513" t="str">
        <f>"1-67-19"</f>
        <v>1-67-19</v>
      </c>
      <c r="F1513" t="s">
        <v>83</v>
      </c>
      <c r="G1513" t="s">
        <v>84</v>
      </c>
      <c r="H1513" t="s">
        <v>85</v>
      </c>
      <c r="AC1513">
        <v>1</v>
      </c>
      <c r="AD1513">
        <v>0</v>
      </c>
      <c r="AE1513">
        <v>0</v>
      </c>
      <c r="AF1513">
        <v>0</v>
      </c>
      <c r="AG1513">
        <v>1</v>
      </c>
      <c r="AJ1513">
        <v>0</v>
      </c>
      <c r="AK1513">
        <v>1</v>
      </c>
      <c r="AL1513">
        <v>0</v>
      </c>
      <c r="AM1513">
        <v>0</v>
      </c>
      <c r="AN1513">
        <v>1</v>
      </c>
      <c r="AO1513">
        <v>1</v>
      </c>
      <c r="AP1513">
        <v>1</v>
      </c>
      <c r="AQ1513">
        <v>1</v>
      </c>
      <c r="AR1513">
        <v>1</v>
      </c>
      <c r="AS1513">
        <v>0</v>
      </c>
      <c r="AT1513">
        <v>1</v>
      </c>
      <c r="AV1513">
        <v>1</v>
      </c>
      <c r="AW1513">
        <v>1</v>
      </c>
    </row>
    <row r="1514" spans="1:49" x14ac:dyDescent="0.25">
      <c r="A1514" t="str">
        <f>"1510"</f>
        <v>1510</v>
      </c>
      <c r="B1514" t="str">
        <f t="shared" si="86"/>
        <v>1</v>
      </c>
      <c r="C1514" t="str">
        <f t="shared" si="87"/>
        <v>67</v>
      </c>
      <c r="D1514" t="str">
        <f>"18"</f>
        <v>18</v>
      </c>
      <c r="E1514" t="str">
        <f>"1-67-18"</f>
        <v>1-67-18</v>
      </c>
      <c r="F1514" t="s">
        <v>83</v>
      </c>
      <c r="G1514" t="s">
        <v>84</v>
      </c>
      <c r="H1514" t="s">
        <v>85</v>
      </c>
      <c r="AC1514">
        <v>0</v>
      </c>
      <c r="AD1514">
        <v>1</v>
      </c>
      <c r="AE1514">
        <v>0</v>
      </c>
      <c r="AF1514">
        <v>0</v>
      </c>
      <c r="AG1514">
        <v>1</v>
      </c>
      <c r="AJ1514">
        <v>1</v>
      </c>
      <c r="AK1514">
        <v>0</v>
      </c>
      <c r="AL1514">
        <v>0</v>
      </c>
      <c r="AM1514">
        <v>1</v>
      </c>
      <c r="AN1514">
        <v>0</v>
      </c>
      <c r="AO1514">
        <v>1</v>
      </c>
      <c r="AP1514">
        <v>1</v>
      </c>
      <c r="AQ1514">
        <v>1</v>
      </c>
      <c r="AR1514">
        <v>1</v>
      </c>
      <c r="AS1514">
        <v>0</v>
      </c>
      <c r="AT1514">
        <v>1</v>
      </c>
      <c r="AV1514">
        <v>1</v>
      </c>
      <c r="AW1514">
        <v>1</v>
      </c>
    </row>
    <row r="1515" spans="1:49" x14ac:dyDescent="0.25">
      <c r="A1515" t="str">
        <f>"1511"</f>
        <v>1511</v>
      </c>
      <c r="B1515" t="str">
        <f t="shared" si="86"/>
        <v>1</v>
      </c>
      <c r="C1515" t="str">
        <f t="shared" si="87"/>
        <v>67</v>
      </c>
      <c r="D1515" t="str">
        <f>"15"</f>
        <v>15</v>
      </c>
      <c r="E1515" t="str">
        <f>"1-67-15"</f>
        <v>1-67-15</v>
      </c>
      <c r="F1515" t="s">
        <v>83</v>
      </c>
      <c r="G1515" t="s">
        <v>86</v>
      </c>
      <c r="H1515" t="s">
        <v>87</v>
      </c>
      <c r="AC1515">
        <v>1</v>
      </c>
      <c r="AD1515">
        <v>0</v>
      </c>
      <c r="AE1515">
        <v>0</v>
      </c>
      <c r="AF1515">
        <v>0</v>
      </c>
      <c r="AH1515">
        <v>1</v>
      </c>
      <c r="AI1515">
        <v>0</v>
      </c>
      <c r="AJ1515">
        <v>0</v>
      </c>
      <c r="AK1515">
        <v>0</v>
      </c>
      <c r="AL1515">
        <v>0</v>
      </c>
      <c r="AM1515">
        <v>1</v>
      </c>
      <c r="AN1515">
        <v>0</v>
      </c>
      <c r="AO1515">
        <v>0</v>
      </c>
      <c r="AP1515">
        <v>0</v>
      </c>
      <c r="AQ1515">
        <v>0</v>
      </c>
      <c r="AU1515">
        <v>0</v>
      </c>
      <c r="AV1515">
        <v>0</v>
      </c>
      <c r="AW1515">
        <v>0</v>
      </c>
    </row>
    <row r="1516" spans="1:49" x14ac:dyDescent="0.25">
      <c r="A1516" t="str">
        <f>"1512"</f>
        <v>1512</v>
      </c>
      <c r="B1516" t="str">
        <f t="shared" si="86"/>
        <v>1</v>
      </c>
      <c r="C1516" t="str">
        <f t="shared" si="87"/>
        <v>67</v>
      </c>
      <c r="D1516" t="str">
        <f>"8"</f>
        <v>8</v>
      </c>
      <c r="E1516" t="str">
        <f>"1-67-8"</f>
        <v>1-67-8</v>
      </c>
      <c r="F1516" t="s">
        <v>83</v>
      </c>
      <c r="G1516" t="s">
        <v>84</v>
      </c>
      <c r="H1516" t="s">
        <v>85</v>
      </c>
      <c r="AC1516">
        <v>0</v>
      </c>
      <c r="AD1516">
        <v>1</v>
      </c>
      <c r="AE1516">
        <v>0</v>
      </c>
      <c r="AF1516">
        <v>0</v>
      </c>
      <c r="AG1516">
        <v>0</v>
      </c>
      <c r="AJ1516">
        <v>0</v>
      </c>
      <c r="AK1516">
        <v>0</v>
      </c>
      <c r="AL1516">
        <v>0</v>
      </c>
      <c r="AM1516">
        <v>0</v>
      </c>
      <c r="AN1516">
        <v>1</v>
      </c>
      <c r="AO1516">
        <v>0</v>
      </c>
      <c r="AP1516">
        <v>0</v>
      </c>
      <c r="AQ1516">
        <v>0</v>
      </c>
      <c r="AR1516">
        <v>0</v>
      </c>
      <c r="AS1516">
        <v>0</v>
      </c>
      <c r="AT1516">
        <v>1</v>
      </c>
      <c r="AV1516">
        <v>0</v>
      </c>
      <c r="AW1516">
        <v>0</v>
      </c>
    </row>
    <row r="1517" spans="1:49" x14ac:dyDescent="0.25">
      <c r="A1517" t="str">
        <f>"1513"</f>
        <v>1513</v>
      </c>
      <c r="B1517" t="str">
        <f t="shared" si="86"/>
        <v>1</v>
      </c>
      <c r="C1517" t="str">
        <f t="shared" si="87"/>
        <v>67</v>
      </c>
      <c r="D1517" t="str">
        <f>"7"</f>
        <v>7</v>
      </c>
      <c r="E1517" t="str">
        <f>"1-67-7"</f>
        <v>1-67-7</v>
      </c>
      <c r="F1517" t="s">
        <v>83</v>
      </c>
      <c r="G1517" t="s">
        <v>84</v>
      </c>
      <c r="H1517" t="s">
        <v>85</v>
      </c>
      <c r="AC1517">
        <v>0</v>
      </c>
      <c r="AD1517">
        <v>1</v>
      </c>
      <c r="AE1517">
        <v>0</v>
      </c>
      <c r="AF1517">
        <v>0</v>
      </c>
      <c r="AG1517">
        <v>1</v>
      </c>
      <c r="AJ1517">
        <v>0</v>
      </c>
      <c r="AK1517">
        <v>1</v>
      </c>
      <c r="AL1517">
        <v>0</v>
      </c>
      <c r="AM1517">
        <v>1</v>
      </c>
      <c r="AN1517">
        <v>0</v>
      </c>
      <c r="AO1517">
        <v>1</v>
      </c>
      <c r="AP1517">
        <v>1</v>
      </c>
      <c r="AQ1517">
        <v>1</v>
      </c>
      <c r="AR1517">
        <v>1</v>
      </c>
      <c r="AS1517">
        <v>0</v>
      </c>
      <c r="AT1517">
        <v>1</v>
      </c>
      <c r="AV1517">
        <v>1</v>
      </c>
      <c r="AW1517">
        <v>1</v>
      </c>
    </row>
    <row r="1518" spans="1:49" x14ac:dyDescent="0.25">
      <c r="A1518" t="str">
        <f>"1514"</f>
        <v>1514</v>
      </c>
      <c r="B1518" t="str">
        <f t="shared" si="86"/>
        <v>1</v>
      </c>
      <c r="C1518" t="str">
        <f t="shared" si="87"/>
        <v>67</v>
      </c>
      <c r="D1518" t="str">
        <f>"17"</f>
        <v>17</v>
      </c>
      <c r="E1518" t="str">
        <f>"1-67-17"</f>
        <v>1-67-17</v>
      </c>
      <c r="F1518" t="s">
        <v>83</v>
      </c>
      <c r="G1518" t="s">
        <v>84</v>
      </c>
      <c r="H1518" t="s">
        <v>85</v>
      </c>
      <c r="AC1518">
        <v>0</v>
      </c>
      <c r="AD1518">
        <v>1</v>
      </c>
      <c r="AE1518">
        <v>0</v>
      </c>
      <c r="AF1518">
        <v>0</v>
      </c>
      <c r="AG1518">
        <v>0</v>
      </c>
      <c r="AJ1518">
        <v>1</v>
      </c>
      <c r="AK1518">
        <v>0</v>
      </c>
      <c r="AL1518">
        <v>0</v>
      </c>
      <c r="AM1518">
        <v>1</v>
      </c>
      <c r="AN1518">
        <v>0</v>
      </c>
      <c r="AO1518">
        <v>1</v>
      </c>
      <c r="AP1518">
        <v>1</v>
      </c>
      <c r="AQ1518">
        <v>1</v>
      </c>
      <c r="AR1518">
        <v>1</v>
      </c>
      <c r="AS1518">
        <v>0</v>
      </c>
      <c r="AT1518">
        <v>1</v>
      </c>
      <c r="AV1518">
        <v>1</v>
      </c>
      <c r="AW1518">
        <v>1</v>
      </c>
    </row>
    <row r="1519" spans="1:49" x14ac:dyDescent="0.25">
      <c r="A1519" t="str">
        <f>"1515"</f>
        <v>1515</v>
      </c>
      <c r="B1519" t="str">
        <f t="shared" si="86"/>
        <v>1</v>
      </c>
      <c r="C1519" t="str">
        <f t="shared" si="87"/>
        <v>67</v>
      </c>
      <c r="D1519" t="str">
        <f>"9"</f>
        <v>9</v>
      </c>
      <c r="E1519" t="str">
        <f>"1-67-9"</f>
        <v>1-67-9</v>
      </c>
      <c r="F1519" t="s">
        <v>83</v>
      </c>
      <c r="G1519" t="s">
        <v>84</v>
      </c>
      <c r="H1519" t="s">
        <v>85</v>
      </c>
      <c r="AC1519">
        <v>0</v>
      </c>
      <c r="AD1519">
        <v>0</v>
      </c>
      <c r="AE1519">
        <v>0</v>
      </c>
      <c r="AF1519">
        <v>0</v>
      </c>
      <c r="AG1519">
        <v>0</v>
      </c>
      <c r="AJ1519">
        <v>0</v>
      </c>
      <c r="AK1519">
        <v>0</v>
      </c>
      <c r="AL1519">
        <v>0</v>
      </c>
      <c r="AM1519">
        <v>0</v>
      </c>
      <c r="AN1519">
        <v>0</v>
      </c>
      <c r="AO1519">
        <v>0</v>
      </c>
      <c r="AP1519">
        <v>0</v>
      </c>
      <c r="AQ1519">
        <v>0</v>
      </c>
      <c r="AR1519">
        <v>0</v>
      </c>
      <c r="AS1519">
        <v>0</v>
      </c>
      <c r="AT1519">
        <v>0</v>
      </c>
      <c r="AV1519">
        <v>0</v>
      </c>
      <c r="AW1519">
        <v>1</v>
      </c>
    </row>
    <row r="1520" spans="1:49" x14ac:dyDescent="0.25">
      <c r="A1520" t="str">
        <f>"1516"</f>
        <v>1516</v>
      </c>
      <c r="B1520" t="str">
        <f t="shared" si="86"/>
        <v>1</v>
      </c>
      <c r="C1520" t="str">
        <f t="shared" si="87"/>
        <v>67</v>
      </c>
      <c r="D1520" t="str">
        <f>"2"</f>
        <v>2</v>
      </c>
      <c r="E1520" t="str">
        <f>"1-67-2"</f>
        <v>1-67-2</v>
      </c>
      <c r="F1520" t="s">
        <v>83</v>
      </c>
      <c r="G1520" t="s">
        <v>86</v>
      </c>
      <c r="H1520" t="s">
        <v>87</v>
      </c>
      <c r="AC1520">
        <v>1</v>
      </c>
      <c r="AD1520">
        <v>0</v>
      </c>
      <c r="AE1520">
        <v>0</v>
      </c>
      <c r="AF1520">
        <v>0</v>
      </c>
      <c r="AH1520">
        <v>1</v>
      </c>
      <c r="AI1520">
        <v>0</v>
      </c>
      <c r="AJ1520">
        <v>0</v>
      </c>
      <c r="AK1520">
        <v>1</v>
      </c>
      <c r="AL1520">
        <v>1</v>
      </c>
      <c r="AM1520">
        <v>0</v>
      </c>
      <c r="AN1520">
        <v>0</v>
      </c>
      <c r="AO1520">
        <v>0</v>
      </c>
      <c r="AP1520">
        <v>0</v>
      </c>
      <c r="AQ1520">
        <v>0</v>
      </c>
      <c r="AU1520">
        <v>0</v>
      </c>
      <c r="AV1520">
        <v>0</v>
      </c>
      <c r="AW1520">
        <v>0</v>
      </c>
    </row>
    <row r="1521" spans="1:49" x14ac:dyDescent="0.25">
      <c r="A1521" t="str">
        <f>"1517"</f>
        <v>1517</v>
      </c>
      <c r="B1521" t="str">
        <f t="shared" si="86"/>
        <v>1</v>
      </c>
      <c r="C1521" t="str">
        <f t="shared" si="87"/>
        <v>67</v>
      </c>
      <c r="D1521" t="str">
        <f>"16"</f>
        <v>16</v>
      </c>
      <c r="E1521" t="str">
        <f>"1-67-16"</f>
        <v>1-67-16</v>
      </c>
      <c r="F1521" t="s">
        <v>83</v>
      </c>
      <c r="G1521" t="s">
        <v>84</v>
      </c>
      <c r="H1521" t="s">
        <v>85</v>
      </c>
      <c r="AC1521">
        <v>0</v>
      </c>
      <c r="AD1521">
        <v>1</v>
      </c>
      <c r="AE1521">
        <v>0</v>
      </c>
      <c r="AF1521">
        <v>0</v>
      </c>
      <c r="AG1521">
        <v>0</v>
      </c>
      <c r="AJ1521">
        <v>1</v>
      </c>
      <c r="AK1521">
        <v>0</v>
      </c>
      <c r="AL1521">
        <v>0</v>
      </c>
      <c r="AM1521">
        <v>1</v>
      </c>
      <c r="AN1521">
        <v>0</v>
      </c>
      <c r="AO1521">
        <v>1</v>
      </c>
      <c r="AP1521">
        <v>1</v>
      </c>
      <c r="AQ1521">
        <v>1</v>
      </c>
      <c r="AR1521">
        <v>0</v>
      </c>
      <c r="AS1521">
        <v>0</v>
      </c>
      <c r="AT1521">
        <v>1</v>
      </c>
      <c r="AV1521">
        <v>1</v>
      </c>
      <c r="AW1521">
        <v>1</v>
      </c>
    </row>
    <row r="1522" spans="1:49" x14ac:dyDescent="0.25">
      <c r="A1522" t="str">
        <f>"1518"</f>
        <v>1518</v>
      </c>
      <c r="B1522" t="str">
        <f t="shared" si="86"/>
        <v>1</v>
      </c>
      <c r="C1522" t="str">
        <f t="shared" si="87"/>
        <v>67</v>
      </c>
      <c r="D1522" t="str">
        <f>"10"</f>
        <v>10</v>
      </c>
      <c r="E1522" t="str">
        <f>"1-67-10"</f>
        <v>1-67-10</v>
      </c>
      <c r="F1522" t="s">
        <v>83</v>
      </c>
      <c r="G1522" t="s">
        <v>84</v>
      </c>
      <c r="H1522" t="s">
        <v>85</v>
      </c>
      <c r="AC1522">
        <v>0</v>
      </c>
      <c r="AD1522">
        <v>1</v>
      </c>
      <c r="AE1522">
        <v>0</v>
      </c>
      <c r="AF1522">
        <v>0</v>
      </c>
      <c r="AG1522">
        <v>1</v>
      </c>
      <c r="AJ1522">
        <v>0</v>
      </c>
      <c r="AK1522">
        <v>1</v>
      </c>
      <c r="AL1522">
        <v>1</v>
      </c>
      <c r="AM1522">
        <v>0</v>
      </c>
      <c r="AN1522">
        <v>0</v>
      </c>
      <c r="AO1522">
        <v>1</v>
      </c>
      <c r="AP1522">
        <v>1</v>
      </c>
      <c r="AQ1522">
        <v>1</v>
      </c>
      <c r="AR1522">
        <v>1</v>
      </c>
      <c r="AS1522">
        <v>1</v>
      </c>
      <c r="AT1522">
        <v>0</v>
      </c>
      <c r="AV1522">
        <v>1</v>
      </c>
      <c r="AW1522">
        <v>1</v>
      </c>
    </row>
    <row r="1523" spans="1:49" x14ac:dyDescent="0.25">
      <c r="A1523" t="str">
        <f>"1519"</f>
        <v>1519</v>
      </c>
      <c r="B1523" t="str">
        <f t="shared" si="86"/>
        <v>1</v>
      </c>
      <c r="C1523" t="str">
        <f t="shared" si="87"/>
        <v>67</v>
      </c>
      <c r="D1523" t="str">
        <f>"4"</f>
        <v>4</v>
      </c>
      <c r="E1523" t="str">
        <f>"1-67-4"</f>
        <v>1-67-4</v>
      </c>
      <c r="F1523" t="s">
        <v>83</v>
      </c>
      <c r="G1523" t="s">
        <v>84</v>
      </c>
      <c r="H1523" t="s">
        <v>85</v>
      </c>
      <c r="AC1523">
        <v>0</v>
      </c>
      <c r="AD1523">
        <v>1</v>
      </c>
      <c r="AE1523">
        <v>0</v>
      </c>
      <c r="AF1523">
        <v>0</v>
      </c>
      <c r="AG1523">
        <v>1</v>
      </c>
      <c r="AJ1523">
        <v>1</v>
      </c>
      <c r="AK1523">
        <v>0</v>
      </c>
      <c r="AL1523">
        <v>0</v>
      </c>
      <c r="AM1523">
        <v>0</v>
      </c>
      <c r="AN1523">
        <v>1</v>
      </c>
      <c r="AO1523">
        <v>1</v>
      </c>
      <c r="AP1523">
        <v>1</v>
      </c>
      <c r="AQ1523">
        <v>1</v>
      </c>
      <c r="AR1523">
        <v>1</v>
      </c>
      <c r="AS1523">
        <v>0</v>
      </c>
      <c r="AT1523">
        <v>1</v>
      </c>
      <c r="AV1523">
        <v>1</v>
      </c>
      <c r="AW1523">
        <v>1</v>
      </c>
    </row>
    <row r="1524" spans="1:49" x14ac:dyDescent="0.25">
      <c r="A1524" t="str">
        <f>"1520"</f>
        <v>1520</v>
      </c>
      <c r="B1524" t="str">
        <f t="shared" si="86"/>
        <v>1</v>
      </c>
      <c r="C1524" t="str">
        <f t="shared" si="87"/>
        <v>67</v>
      </c>
      <c r="D1524" t="str">
        <f>"20"</f>
        <v>20</v>
      </c>
      <c r="E1524" t="str">
        <f>"1-67-20"</f>
        <v>1-67-20</v>
      </c>
      <c r="F1524" t="s">
        <v>83</v>
      </c>
      <c r="G1524" t="s">
        <v>84</v>
      </c>
      <c r="H1524" t="s">
        <v>85</v>
      </c>
      <c r="AC1524">
        <v>1</v>
      </c>
      <c r="AD1524">
        <v>0</v>
      </c>
      <c r="AE1524">
        <v>0</v>
      </c>
      <c r="AF1524">
        <v>0</v>
      </c>
      <c r="AG1524">
        <v>1</v>
      </c>
      <c r="AJ1524">
        <v>1</v>
      </c>
      <c r="AK1524">
        <v>0</v>
      </c>
      <c r="AL1524">
        <v>1</v>
      </c>
      <c r="AM1524">
        <v>0</v>
      </c>
      <c r="AN1524">
        <v>0</v>
      </c>
      <c r="AO1524">
        <v>1</v>
      </c>
      <c r="AP1524">
        <v>1</v>
      </c>
      <c r="AQ1524">
        <v>1</v>
      </c>
      <c r="AR1524">
        <v>1</v>
      </c>
      <c r="AS1524">
        <v>0</v>
      </c>
      <c r="AT1524">
        <v>1</v>
      </c>
      <c r="AV1524">
        <v>1</v>
      </c>
      <c r="AW1524">
        <v>1</v>
      </c>
    </row>
    <row r="1525" spans="1:49" x14ac:dyDescent="0.25">
      <c r="A1525" t="str">
        <f>"1521"</f>
        <v>1521</v>
      </c>
      <c r="B1525" t="str">
        <f t="shared" si="86"/>
        <v>1</v>
      </c>
      <c r="C1525" t="str">
        <f t="shared" si="87"/>
        <v>67</v>
      </c>
      <c r="D1525" t="str">
        <f>"11"</f>
        <v>11</v>
      </c>
      <c r="E1525" t="str">
        <f>"1-67-11"</f>
        <v>1-67-11</v>
      </c>
      <c r="F1525" t="s">
        <v>83</v>
      </c>
      <c r="G1525" t="s">
        <v>84</v>
      </c>
      <c r="H1525" t="s">
        <v>85</v>
      </c>
      <c r="AC1525">
        <v>0</v>
      </c>
      <c r="AD1525">
        <v>1</v>
      </c>
      <c r="AE1525">
        <v>0</v>
      </c>
      <c r="AF1525">
        <v>0</v>
      </c>
      <c r="AG1525">
        <v>0</v>
      </c>
      <c r="AJ1525">
        <v>1</v>
      </c>
      <c r="AK1525">
        <v>0</v>
      </c>
      <c r="AL1525">
        <v>0</v>
      </c>
      <c r="AM1525">
        <v>0</v>
      </c>
      <c r="AN1525">
        <v>1</v>
      </c>
      <c r="AO1525">
        <v>0</v>
      </c>
      <c r="AP1525">
        <v>0</v>
      </c>
      <c r="AQ1525">
        <v>0</v>
      </c>
      <c r="AR1525">
        <v>0</v>
      </c>
      <c r="AS1525">
        <v>0</v>
      </c>
      <c r="AT1525">
        <v>1</v>
      </c>
      <c r="AV1525">
        <v>0</v>
      </c>
      <c r="AW1525">
        <v>1</v>
      </c>
    </row>
    <row r="1526" spans="1:49" x14ac:dyDescent="0.25">
      <c r="A1526" t="str">
        <f>"1522"</f>
        <v>1522</v>
      </c>
      <c r="B1526" t="str">
        <f t="shared" si="86"/>
        <v>1</v>
      </c>
      <c r="C1526" t="str">
        <f t="shared" si="87"/>
        <v>67</v>
      </c>
      <c r="D1526" t="str">
        <f>"3"</f>
        <v>3</v>
      </c>
      <c r="E1526" t="str">
        <f>"1-67-3"</f>
        <v>1-67-3</v>
      </c>
      <c r="F1526" t="s">
        <v>83</v>
      </c>
      <c r="G1526" t="s">
        <v>84</v>
      </c>
      <c r="H1526" t="s">
        <v>85</v>
      </c>
      <c r="AC1526">
        <v>0</v>
      </c>
      <c r="AD1526">
        <v>1</v>
      </c>
      <c r="AE1526">
        <v>0</v>
      </c>
      <c r="AF1526">
        <v>0</v>
      </c>
      <c r="AG1526">
        <v>0</v>
      </c>
      <c r="AJ1526">
        <v>0</v>
      </c>
      <c r="AK1526">
        <v>1</v>
      </c>
      <c r="AL1526">
        <v>0</v>
      </c>
      <c r="AM1526">
        <v>0</v>
      </c>
      <c r="AN1526">
        <v>1</v>
      </c>
      <c r="AO1526">
        <v>0</v>
      </c>
      <c r="AP1526">
        <v>0</v>
      </c>
      <c r="AQ1526">
        <v>0</v>
      </c>
      <c r="AR1526">
        <v>0</v>
      </c>
      <c r="AS1526">
        <v>0</v>
      </c>
      <c r="AT1526">
        <v>1</v>
      </c>
      <c r="AV1526">
        <v>0</v>
      </c>
      <c r="AW1526">
        <v>0</v>
      </c>
    </row>
    <row r="1527" spans="1:49" x14ac:dyDescent="0.25">
      <c r="A1527" t="str">
        <f>"1523"</f>
        <v>1523</v>
      </c>
      <c r="B1527" t="str">
        <f t="shared" si="86"/>
        <v>1</v>
      </c>
      <c r="C1527" t="str">
        <f t="shared" si="87"/>
        <v>67</v>
      </c>
      <c r="D1527" t="str">
        <f>"21"</f>
        <v>21</v>
      </c>
      <c r="E1527" t="str">
        <f>"1-67-21"</f>
        <v>1-67-21</v>
      </c>
      <c r="F1527" t="s">
        <v>83</v>
      </c>
      <c r="G1527" t="s">
        <v>84</v>
      </c>
      <c r="H1527" t="s">
        <v>85</v>
      </c>
      <c r="AC1527">
        <v>0</v>
      </c>
      <c r="AD1527">
        <v>1</v>
      </c>
      <c r="AE1527">
        <v>0</v>
      </c>
      <c r="AF1527">
        <v>0</v>
      </c>
      <c r="AG1527">
        <v>1</v>
      </c>
      <c r="AJ1527">
        <v>0</v>
      </c>
      <c r="AK1527">
        <v>1</v>
      </c>
      <c r="AL1527">
        <v>1</v>
      </c>
      <c r="AM1527">
        <v>0</v>
      </c>
      <c r="AN1527">
        <v>0</v>
      </c>
      <c r="AO1527">
        <v>1</v>
      </c>
      <c r="AP1527">
        <v>1</v>
      </c>
      <c r="AQ1527">
        <v>1</v>
      </c>
      <c r="AR1527">
        <v>1</v>
      </c>
      <c r="AS1527">
        <v>0</v>
      </c>
      <c r="AT1527">
        <v>1</v>
      </c>
      <c r="AV1527">
        <v>1</v>
      </c>
      <c r="AW1527">
        <v>1</v>
      </c>
    </row>
    <row r="1528" spans="1:49" x14ac:dyDescent="0.25">
      <c r="A1528" t="str">
        <f>"1524"</f>
        <v>1524</v>
      </c>
      <c r="B1528" t="str">
        <f t="shared" si="86"/>
        <v>1</v>
      </c>
      <c r="C1528" t="str">
        <f t="shared" si="87"/>
        <v>67</v>
      </c>
      <c r="D1528" t="str">
        <f>"6"</f>
        <v>6</v>
      </c>
      <c r="E1528" t="str">
        <f>"1-67-6"</f>
        <v>1-67-6</v>
      </c>
      <c r="F1528" t="s">
        <v>83</v>
      </c>
      <c r="G1528" t="s">
        <v>84</v>
      </c>
      <c r="H1528" t="s">
        <v>85</v>
      </c>
      <c r="AC1528">
        <v>1</v>
      </c>
      <c r="AD1528">
        <v>0</v>
      </c>
      <c r="AE1528">
        <v>0</v>
      </c>
      <c r="AF1528">
        <v>0</v>
      </c>
      <c r="AG1528">
        <v>1</v>
      </c>
      <c r="AJ1528">
        <v>1</v>
      </c>
      <c r="AK1528">
        <v>0</v>
      </c>
      <c r="AL1528">
        <v>1</v>
      </c>
      <c r="AM1528">
        <v>0</v>
      </c>
      <c r="AN1528">
        <v>0</v>
      </c>
      <c r="AO1528">
        <v>1</v>
      </c>
      <c r="AP1528">
        <v>1</v>
      </c>
      <c r="AQ1528">
        <v>1</v>
      </c>
      <c r="AR1528">
        <v>1</v>
      </c>
      <c r="AS1528">
        <v>1</v>
      </c>
      <c r="AT1528">
        <v>0</v>
      </c>
      <c r="AV1528">
        <v>1</v>
      </c>
      <c r="AW1528">
        <v>1</v>
      </c>
    </row>
    <row r="1529" spans="1:49" x14ac:dyDescent="0.25">
      <c r="A1529" t="str">
        <f>"1525"</f>
        <v>1525</v>
      </c>
      <c r="B1529" t="str">
        <f t="shared" si="86"/>
        <v>1</v>
      </c>
      <c r="C1529" t="str">
        <f t="shared" si="87"/>
        <v>67</v>
      </c>
      <c r="D1529" t="str">
        <f>"22"</f>
        <v>22</v>
      </c>
      <c r="E1529" t="str">
        <f>"1-67-22"</f>
        <v>1-67-22</v>
      </c>
      <c r="F1529" t="s">
        <v>83</v>
      </c>
      <c r="G1529" t="s">
        <v>86</v>
      </c>
      <c r="H1529" t="s">
        <v>87</v>
      </c>
      <c r="AC1529">
        <v>1</v>
      </c>
      <c r="AD1529">
        <v>0</v>
      </c>
      <c r="AE1529">
        <v>0</v>
      </c>
      <c r="AF1529">
        <v>0</v>
      </c>
      <c r="AH1529">
        <v>0</v>
      </c>
      <c r="AI1529">
        <v>1</v>
      </c>
      <c r="AJ1529">
        <v>1</v>
      </c>
      <c r="AK1529">
        <v>0</v>
      </c>
      <c r="AL1529">
        <v>1</v>
      </c>
      <c r="AM1529">
        <v>0</v>
      </c>
      <c r="AN1529">
        <v>0</v>
      </c>
      <c r="AO1529">
        <v>0</v>
      </c>
      <c r="AP1529">
        <v>0</v>
      </c>
      <c r="AQ1529">
        <v>0</v>
      </c>
      <c r="AU1529">
        <v>1</v>
      </c>
      <c r="AV1529">
        <v>0</v>
      </c>
      <c r="AW1529">
        <v>0</v>
      </c>
    </row>
    <row r="1530" spans="1:49" x14ac:dyDescent="0.25">
      <c r="A1530" t="str">
        <f>"1526"</f>
        <v>1526</v>
      </c>
      <c r="B1530" t="str">
        <f t="shared" si="86"/>
        <v>1</v>
      </c>
      <c r="C1530" t="str">
        <f t="shared" si="87"/>
        <v>67</v>
      </c>
      <c r="D1530" t="str">
        <f>"13"</f>
        <v>13</v>
      </c>
      <c r="E1530" t="str">
        <f>"1-67-13"</f>
        <v>1-67-13</v>
      </c>
      <c r="F1530" t="s">
        <v>83</v>
      </c>
      <c r="G1530" t="s">
        <v>84</v>
      </c>
      <c r="H1530" t="s">
        <v>85</v>
      </c>
      <c r="AC1530">
        <v>0</v>
      </c>
      <c r="AD1530">
        <v>1</v>
      </c>
      <c r="AE1530">
        <v>0</v>
      </c>
      <c r="AF1530">
        <v>0</v>
      </c>
      <c r="AG1530">
        <v>1</v>
      </c>
      <c r="AJ1530">
        <v>1</v>
      </c>
      <c r="AK1530">
        <v>0</v>
      </c>
      <c r="AL1530">
        <v>1</v>
      </c>
      <c r="AM1530">
        <v>0</v>
      </c>
      <c r="AN1530">
        <v>0</v>
      </c>
      <c r="AO1530">
        <v>0</v>
      </c>
      <c r="AP1530">
        <v>1</v>
      </c>
      <c r="AQ1530">
        <v>0</v>
      </c>
      <c r="AR1530">
        <v>0</v>
      </c>
      <c r="AS1530">
        <v>0</v>
      </c>
      <c r="AT1530">
        <v>1</v>
      </c>
      <c r="AV1530">
        <v>1</v>
      </c>
      <c r="AW1530">
        <v>1</v>
      </c>
    </row>
    <row r="1531" spans="1:49" x14ac:dyDescent="0.25">
      <c r="A1531" t="str">
        <f>"1527"</f>
        <v>1527</v>
      </c>
      <c r="B1531" t="str">
        <f t="shared" si="86"/>
        <v>1</v>
      </c>
      <c r="C1531" t="str">
        <f t="shared" si="87"/>
        <v>67</v>
      </c>
      <c r="D1531" t="str">
        <f>"1"</f>
        <v>1</v>
      </c>
      <c r="E1531" t="str">
        <f>"1-67-1"</f>
        <v>1-67-1</v>
      </c>
      <c r="F1531" t="s">
        <v>83</v>
      </c>
      <c r="G1531" t="s">
        <v>84</v>
      </c>
      <c r="H1531" t="s">
        <v>85</v>
      </c>
      <c r="AC1531">
        <v>0</v>
      </c>
      <c r="AD1531">
        <v>1</v>
      </c>
      <c r="AE1531">
        <v>0</v>
      </c>
      <c r="AF1531">
        <v>0</v>
      </c>
      <c r="AG1531">
        <v>0</v>
      </c>
      <c r="AJ1531">
        <v>0</v>
      </c>
      <c r="AK1531">
        <v>1</v>
      </c>
      <c r="AL1531">
        <v>0</v>
      </c>
      <c r="AM1531">
        <v>0</v>
      </c>
      <c r="AN1531">
        <v>1</v>
      </c>
      <c r="AO1531">
        <v>0</v>
      </c>
      <c r="AP1531">
        <v>0</v>
      </c>
      <c r="AQ1531">
        <v>0</v>
      </c>
      <c r="AR1531">
        <v>1</v>
      </c>
      <c r="AS1531">
        <v>0</v>
      </c>
      <c r="AT1531">
        <v>1</v>
      </c>
      <c r="AV1531">
        <v>0</v>
      </c>
      <c r="AW1531">
        <v>1</v>
      </c>
    </row>
    <row r="1532" spans="1:49" x14ac:dyDescent="0.25">
      <c r="A1532" t="str">
        <f>"1528"</f>
        <v>1528</v>
      </c>
      <c r="B1532" t="str">
        <f t="shared" si="86"/>
        <v>1</v>
      </c>
      <c r="C1532" t="str">
        <f t="shared" si="87"/>
        <v>67</v>
      </c>
      <c r="D1532" t="str">
        <f>"14"</f>
        <v>14</v>
      </c>
      <c r="E1532" t="str">
        <f>"1-67-14"</f>
        <v>1-67-14</v>
      </c>
      <c r="F1532" t="s">
        <v>83</v>
      </c>
      <c r="G1532" t="s">
        <v>84</v>
      </c>
      <c r="H1532" t="s">
        <v>85</v>
      </c>
      <c r="AC1532">
        <v>1</v>
      </c>
      <c r="AD1532">
        <v>0</v>
      </c>
      <c r="AE1532">
        <v>0</v>
      </c>
      <c r="AF1532">
        <v>0</v>
      </c>
      <c r="AG1532">
        <v>0</v>
      </c>
      <c r="AJ1532">
        <v>1</v>
      </c>
      <c r="AK1532">
        <v>0</v>
      </c>
      <c r="AL1532">
        <v>0</v>
      </c>
      <c r="AM1532">
        <v>0</v>
      </c>
      <c r="AN1532">
        <v>1</v>
      </c>
      <c r="AO1532">
        <v>0</v>
      </c>
      <c r="AP1532">
        <v>0</v>
      </c>
      <c r="AQ1532">
        <v>0</v>
      </c>
      <c r="AR1532">
        <v>0</v>
      </c>
      <c r="AS1532">
        <v>0</v>
      </c>
      <c r="AT1532">
        <v>0</v>
      </c>
      <c r="AV1532">
        <v>0</v>
      </c>
      <c r="AW1532">
        <v>0</v>
      </c>
    </row>
    <row r="1533" spans="1:49" x14ac:dyDescent="0.25">
      <c r="A1533" t="str">
        <f>"1529"</f>
        <v>1529</v>
      </c>
      <c r="B1533" t="str">
        <f t="shared" si="86"/>
        <v>1</v>
      </c>
      <c r="C1533" t="str">
        <f t="shared" si="87"/>
        <v>67</v>
      </c>
      <c r="D1533" t="str">
        <f>"5"</f>
        <v>5</v>
      </c>
      <c r="E1533" t="str">
        <f>"1-67-5"</f>
        <v>1-67-5</v>
      </c>
      <c r="F1533" t="s">
        <v>83</v>
      </c>
      <c r="G1533" t="s">
        <v>84</v>
      </c>
      <c r="H1533" t="s">
        <v>85</v>
      </c>
      <c r="AC1533">
        <v>0</v>
      </c>
      <c r="AD1533">
        <v>1</v>
      </c>
      <c r="AE1533">
        <v>0</v>
      </c>
      <c r="AF1533">
        <v>0</v>
      </c>
      <c r="AG1533">
        <v>0</v>
      </c>
      <c r="AJ1533">
        <v>1</v>
      </c>
      <c r="AK1533">
        <v>0</v>
      </c>
      <c r="AL1533">
        <v>0</v>
      </c>
      <c r="AM1533">
        <v>0</v>
      </c>
      <c r="AN1533">
        <v>1</v>
      </c>
      <c r="AO1533">
        <v>1</v>
      </c>
      <c r="AP1533">
        <v>1</v>
      </c>
      <c r="AQ1533">
        <v>1</v>
      </c>
      <c r="AR1533">
        <v>1</v>
      </c>
      <c r="AS1533">
        <v>0</v>
      </c>
      <c r="AT1533">
        <v>1</v>
      </c>
      <c r="AV1533">
        <v>1</v>
      </c>
      <c r="AW1533">
        <v>1</v>
      </c>
    </row>
    <row r="1534" spans="1:49" x14ac:dyDescent="0.25">
      <c r="A1534" t="str">
        <f>"1530"</f>
        <v>1530</v>
      </c>
      <c r="B1534" t="str">
        <f t="shared" si="86"/>
        <v>1</v>
      </c>
      <c r="C1534" t="str">
        <f t="shared" si="87"/>
        <v>67</v>
      </c>
      <c r="D1534" t="str">
        <f>"12"</f>
        <v>12</v>
      </c>
      <c r="E1534" t="str">
        <f>"1-67-12"</f>
        <v>1-67-12</v>
      </c>
      <c r="F1534" t="s">
        <v>83</v>
      </c>
      <c r="G1534" t="s">
        <v>84</v>
      </c>
      <c r="H1534" t="s">
        <v>85</v>
      </c>
      <c r="AC1534">
        <v>0</v>
      </c>
      <c r="AD1534">
        <v>1</v>
      </c>
      <c r="AE1534">
        <v>0</v>
      </c>
      <c r="AF1534">
        <v>0</v>
      </c>
      <c r="AG1534">
        <v>1</v>
      </c>
      <c r="AJ1534">
        <v>0</v>
      </c>
      <c r="AK1534">
        <v>1</v>
      </c>
      <c r="AL1534">
        <v>0</v>
      </c>
      <c r="AM1534">
        <v>0</v>
      </c>
      <c r="AN1534">
        <v>1</v>
      </c>
      <c r="AO1534">
        <v>1</v>
      </c>
      <c r="AP1534">
        <v>1</v>
      </c>
      <c r="AQ1534">
        <v>1</v>
      </c>
      <c r="AR1534">
        <v>1</v>
      </c>
      <c r="AS1534">
        <v>0</v>
      </c>
      <c r="AT1534">
        <v>1</v>
      </c>
      <c r="AV1534">
        <v>1</v>
      </c>
      <c r="AW1534">
        <v>1</v>
      </c>
    </row>
    <row r="1535" spans="1:49" x14ac:dyDescent="0.25">
      <c r="A1535" t="str">
        <f>"1531"</f>
        <v>1531</v>
      </c>
      <c r="B1535" t="str">
        <f t="shared" si="86"/>
        <v>1</v>
      </c>
      <c r="C1535" t="str">
        <f t="shared" ref="C1535:C1559" si="88">"68"</f>
        <v>68</v>
      </c>
      <c r="D1535" t="str">
        <f>"19"</f>
        <v>19</v>
      </c>
      <c r="E1535" t="str">
        <f>"1-68-19"</f>
        <v>1-68-19</v>
      </c>
      <c r="F1535" t="s">
        <v>83</v>
      </c>
      <c r="G1535" t="s">
        <v>84</v>
      </c>
      <c r="H1535" t="s">
        <v>85</v>
      </c>
      <c r="AC1535">
        <v>0</v>
      </c>
      <c r="AD1535">
        <v>1</v>
      </c>
      <c r="AE1535">
        <v>0</v>
      </c>
      <c r="AF1535">
        <v>0</v>
      </c>
      <c r="AG1535">
        <v>1</v>
      </c>
      <c r="AJ1535">
        <v>0</v>
      </c>
      <c r="AK1535">
        <v>1</v>
      </c>
      <c r="AL1535">
        <v>0</v>
      </c>
      <c r="AM1535">
        <v>0</v>
      </c>
      <c r="AN1535">
        <v>1</v>
      </c>
      <c r="AO1535">
        <v>1</v>
      </c>
      <c r="AP1535">
        <v>1</v>
      </c>
      <c r="AQ1535">
        <v>1</v>
      </c>
      <c r="AR1535">
        <v>1</v>
      </c>
      <c r="AS1535">
        <v>1</v>
      </c>
      <c r="AT1535">
        <v>0</v>
      </c>
      <c r="AV1535">
        <v>1</v>
      </c>
      <c r="AW1535">
        <v>1</v>
      </c>
    </row>
    <row r="1536" spans="1:49" x14ac:dyDescent="0.25">
      <c r="A1536" t="str">
        <f>"1532"</f>
        <v>1532</v>
      </c>
      <c r="B1536" t="str">
        <f t="shared" si="86"/>
        <v>1</v>
      </c>
      <c r="C1536" t="str">
        <f t="shared" si="88"/>
        <v>68</v>
      </c>
      <c r="D1536" t="str">
        <f>"18"</f>
        <v>18</v>
      </c>
      <c r="E1536" t="str">
        <f>"1-68-18"</f>
        <v>1-68-18</v>
      </c>
      <c r="F1536" t="s">
        <v>83</v>
      </c>
      <c r="G1536" t="s">
        <v>84</v>
      </c>
      <c r="H1536" t="s">
        <v>85</v>
      </c>
      <c r="AC1536">
        <v>0</v>
      </c>
      <c r="AD1536">
        <v>0</v>
      </c>
      <c r="AE1536">
        <v>0</v>
      </c>
      <c r="AF1536">
        <v>0</v>
      </c>
      <c r="AG1536">
        <v>0</v>
      </c>
      <c r="AJ1536">
        <v>1</v>
      </c>
      <c r="AK1536">
        <v>0</v>
      </c>
      <c r="AL1536">
        <v>0</v>
      </c>
      <c r="AM1536">
        <v>1</v>
      </c>
      <c r="AN1536">
        <v>0</v>
      </c>
      <c r="AO1536">
        <v>0</v>
      </c>
      <c r="AP1536">
        <v>0</v>
      </c>
      <c r="AQ1536">
        <v>0</v>
      </c>
      <c r="AR1536">
        <v>0</v>
      </c>
      <c r="AS1536">
        <v>0</v>
      </c>
      <c r="AT1536">
        <v>1</v>
      </c>
      <c r="AV1536">
        <v>0</v>
      </c>
      <c r="AW1536">
        <v>0</v>
      </c>
    </row>
    <row r="1537" spans="1:49" x14ac:dyDescent="0.25">
      <c r="A1537" t="str">
        <f>"1533"</f>
        <v>1533</v>
      </c>
      <c r="B1537" t="str">
        <f t="shared" si="86"/>
        <v>1</v>
      </c>
      <c r="C1537" t="str">
        <f t="shared" si="88"/>
        <v>68</v>
      </c>
      <c r="D1537" t="str">
        <f>"13"</f>
        <v>13</v>
      </c>
      <c r="E1537" t="str">
        <f>"1-68-13"</f>
        <v>1-68-13</v>
      </c>
      <c r="F1537" t="s">
        <v>83</v>
      </c>
      <c r="G1537" t="s">
        <v>84</v>
      </c>
      <c r="H1537" t="s">
        <v>85</v>
      </c>
      <c r="AC1537">
        <v>0</v>
      </c>
      <c r="AD1537">
        <v>1</v>
      </c>
      <c r="AE1537">
        <v>0</v>
      </c>
      <c r="AF1537">
        <v>0</v>
      </c>
      <c r="AG1537">
        <v>1</v>
      </c>
      <c r="AJ1537">
        <v>0</v>
      </c>
      <c r="AK1537">
        <v>1</v>
      </c>
      <c r="AL1537">
        <v>0</v>
      </c>
      <c r="AM1537">
        <v>0</v>
      </c>
      <c r="AN1537">
        <v>1</v>
      </c>
      <c r="AO1537">
        <v>1</v>
      </c>
      <c r="AP1537">
        <v>1</v>
      </c>
      <c r="AQ1537">
        <v>0</v>
      </c>
      <c r="AR1537">
        <v>1</v>
      </c>
      <c r="AS1537">
        <v>1</v>
      </c>
      <c r="AT1537">
        <v>0</v>
      </c>
      <c r="AV1537">
        <v>1</v>
      </c>
      <c r="AW1537">
        <v>1</v>
      </c>
    </row>
    <row r="1538" spans="1:49" x14ac:dyDescent="0.25">
      <c r="A1538" t="str">
        <f>"1534"</f>
        <v>1534</v>
      </c>
      <c r="B1538" t="str">
        <f t="shared" si="86"/>
        <v>1</v>
      </c>
      <c r="C1538" t="str">
        <f t="shared" si="88"/>
        <v>68</v>
      </c>
      <c r="D1538" t="str">
        <f>"8"</f>
        <v>8</v>
      </c>
      <c r="E1538" t="str">
        <f>"1-68-8"</f>
        <v>1-68-8</v>
      </c>
      <c r="F1538" t="s">
        <v>83</v>
      </c>
      <c r="G1538" t="s">
        <v>84</v>
      </c>
      <c r="H1538" t="s">
        <v>85</v>
      </c>
      <c r="AC1538">
        <v>1</v>
      </c>
      <c r="AD1538">
        <v>0</v>
      </c>
      <c r="AE1538">
        <v>0</v>
      </c>
      <c r="AF1538">
        <v>0</v>
      </c>
      <c r="AG1538">
        <v>0</v>
      </c>
      <c r="AJ1538">
        <v>1</v>
      </c>
      <c r="AK1538">
        <v>0</v>
      </c>
      <c r="AL1538">
        <v>0</v>
      </c>
      <c r="AM1538">
        <v>1</v>
      </c>
      <c r="AN1538">
        <v>0</v>
      </c>
      <c r="AO1538">
        <v>0</v>
      </c>
      <c r="AP1538">
        <v>0</v>
      </c>
      <c r="AQ1538">
        <v>0</v>
      </c>
      <c r="AR1538">
        <v>0</v>
      </c>
      <c r="AS1538">
        <v>0</v>
      </c>
      <c r="AT1538">
        <v>1</v>
      </c>
      <c r="AV1538">
        <v>0</v>
      </c>
      <c r="AW1538">
        <v>0</v>
      </c>
    </row>
    <row r="1539" spans="1:49" x14ac:dyDescent="0.25">
      <c r="A1539" t="str">
        <f>"1535"</f>
        <v>1535</v>
      </c>
      <c r="B1539" t="str">
        <f t="shared" si="86"/>
        <v>1</v>
      </c>
      <c r="C1539" t="str">
        <f t="shared" si="88"/>
        <v>68</v>
      </c>
      <c r="D1539" t="str">
        <f>"1"</f>
        <v>1</v>
      </c>
      <c r="E1539" t="str">
        <f>"1-68-1"</f>
        <v>1-68-1</v>
      </c>
      <c r="F1539" t="s">
        <v>83</v>
      </c>
      <c r="G1539" t="s">
        <v>84</v>
      </c>
      <c r="H1539" t="s">
        <v>85</v>
      </c>
      <c r="AC1539">
        <v>0</v>
      </c>
      <c r="AD1539">
        <v>1</v>
      </c>
      <c r="AE1539">
        <v>0</v>
      </c>
      <c r="AF1539">
        <v>0</v>
      </c>
      <c r="AG1539">
        <v>1</v>
      </c>
      <c r="AJ1539">
        <v>0</v>
      </c>
      <c r="AK1539">
        <v>1</v>
      </c>
      <c r="AL1539">
        <v>0</v>
      </c>
      <c r="AM1539">
        <v>0</v>
      </c>
      <c r="AN1539">
        <v>1</v>
      </c>
      <c r="AO1539">
        <v>1</v>
      </c>
      <c r="AP1539">
        <v>1</v>
      </c>
      <c r="AQ1539">
        <v>1</v>
      </c>
      <c r="AR1539">
        <v>1</v>
      </c>
      <c r="AS1539">
        <v>0</v>
      </c>
      <c r="AT1539">
        <v>1</v>
      </c>
      <c r="AV1539">
        <v>1</v>
      </c>
      <c r="AW1539">
        <v>1</v>
      </c>
    </row>
    <row r="1540" spans="1:49" x14ac:dyDescent="0.25">
      <c r="A1540" t="str">
        <f>"1536"</f>
        <v>1536</v>
      </c>
      <c r="B1540" t="str">
        <f t="shared" si="86"/>
        <v>1</v>
      </c>
      <c r="C1540" t="str">
        <f t="shared" si="88"/>
        <v>68</v>
      </c>
      <c r="D1540" t="str">
        <f>"25"</f>
        <v>25</v>
      </c>
      <c r="E1540" t="str">
        <f>"1-68-25"</f>
        <v>1-68-25</v>
      </c>
      <c r="F1540" t="s">
        <v>83</v>
      </c>
      <c r="G1540" t="s">
        <v>84</v>
      </c>
      <c r="H1540" t="s">
        <v>85</v>
      </c>
      <c r="AC1540">
        <v>0</v>
      </c>
      <c r="AD1540">
        <v>1</v>
      </c>
      <c r="AE1540">
        <v>0</v>
      </c>
      <c r="AF1540">
        <v>0</v>
      </c>
      <c r="AG1540">
        <v>1</v>
      </c>
      <c r="AJ1540">
        <v>0</v>
      </c>
      <c r="AK1540">
        <v>1</v>
      </c>
      <c r="AL1540">
        <v>0</v>
      </c>
      <c r="AM1540">
        <v>1</v>
      </c>
      <c r="AN1540">
        <v>0</v>
      </c>
      <c r="AO1540">
        <v>1</v>
      </c>
      <c r="AP1540">
        <v>1</v>
      </c>
      <c r="AQ1540">
        <v>1</v>
      </c>
      <c r="AR1540">
        <v>1</v>
      </c>
      <c r="AS1540">
        <v>1</v>
      </c>
      <c r="AT1540">
        <v>0</v>
      </c>
      <c r="AV1540">
        <v>1</v>
      </c>
      <c r="AW1540">
        <v>1</v>
      </c>
    </row>
    <row r="1541" spans="1:49" x14ac:dyDescent="0.25">
      <c r="A1541" t="str">
        <f>"1537"</f>
        <v>1537</v>
      </c>
      <c r="B1541" t="str">
        <f t="shared" si="86"/>
        <v>1</v>
      </c>
      <c r="C1541" t="str">
        <f t="shared" si="88"/>
        <v>68</v>
      </c>
      <c r="D1541" t="str">
        <f>"24"</f>
        <v>24</v>
      </c>
      <c r="E1541" t="str">
        <f>"1-68-24"</f>
        <v>1-68-24</v>
      </c>
      <c r="F1541" t="s">
        <v>83</v>
      </c>
      <c r="G1541" t="s">
        <v>84</v>
      </c>
      <c r="H1541" t="s">
        <v>85</v>
      </c>
      <c r="AC1541">
        <v>1</v>
      </c>
      <c r="AD1541">
        <v>0</v>
      </c>
      <c r="AE1541">
        <v>0</v>
      </c>
      <c r="AF1541">
        <v>0</v>
      </c>
      <c r="AG1541">
        <v>1</v>
      </c>
      <c r="AJ1541">
        <v>1</v>
      </c>
      <c r="AK1541">
        <v>0</v>
      </c>
      <c r="AL1541">
        <v>0</v>
      </c>
      <c r="AM1541">
        <v>1</v>
      </c>
      <c r="AN1541">
        <v>0</v>
      </c>
      <c r="AO1541">
        <v>1</v>
      </c>
      <c r="AP1541">
        <v>1</v>
      </c>
      <c r="AQ1541">
        <v>1</v>
      </c>
      <c r="AR1541">
        <v>1</v>
      </c>
      <c r="AS1541">
        <v>0</v>
      </c>
      <c r="AT1541">
        <v>1</v>
      </c>
      <c r="AV1541">
        <v>1</v>
      </c>
      <c r="AW1541">
        <v>1</v>
      </c>
    </row>
    <row r="1542" spans="1:49" x14ac:dyDescent="0.25">
      <c r="A1542" t="str">
        <f>"1538"</f>
        <v>1538</v>
      </c>
      <c r="B1542" t="str">
        <f t="shared" si="86"/>
        <v>1</v>
      </c>
      <c r="C1542" t="str">
        <f t="shared" si="88"/>
        <v>68</v>
      </c>
      <c r="D1542" t="str">
        <f>"9"</f>
        <v>9</v>
      </c>
      <c r="E1542" t="str">
        <f>"1-68-9"</f>
        <v>1-68-9</v>
      </c>
      <c r="F1542" t="s">
        <v>83</v>
      </c>
      <c r="G1542" t="s">
        <v>84</v>
      </c>
      <c r="H1542" t="s">
        <v>85</v>
      </c>
      <c r="AC1542">
        <v>1</v>
      </c>
      <c r="AD1542">
        <v>0</v>
      </c>
      <c r="AE1542">
        <v>0</v>
      </c>
      <c r="AF1542">
        <v>0</v>
      </c>
      <c r="AG1542">
        <v>0</v>
      </c>
      <c r="AJ1542">
        <v>0</v>
      </c>
      <c r="AK1542">
        <v>1</v>
      </c>
      <c r="AL1542">
        <v>1</v>
      </c>
      <c r="AM1542">
        <v>0</v>
      </c>
      <c r="AN1542">
        <v>0</v>
      </c>
      <c r="AO1542">
        <v>1</v>
      </c>
      <c r="AP1542">
        <v>1</v>
      </c>
      <c r="AQ1542">
        <v>1</v>
      </c>
      <c r="AR1542">
        <v>1</v>
      </c>
      <c r="AS1542">
        <v>0</v>
      </c>
      <c r="AT1542">
        <v>1</v>
      </c>
      <c r="AV1542">
        <v>1</v>
      </c>
      <c r="AW1542">
        <v>0</v>
      </c>
    </row>
    <row r="1543" spans="1:49" x14ac:dyDescent="0.25">
      <c r="A1543" t="str">
        <f>"1539"</f>
        <v>1539</v>
      </c>
      <c r="B1543" t="str">
        <f t="shared" si="86"/>
        <v>1</v>
      </c>
      <c r="C1543" t="str">
        <f t="shared" si="88"/>
        <v>68</v>
      </c>
      <c r="D1543" t="str">
        <f>"5"</f>
        <v>5</v>
      </c>
      <c r="E1543" t="str">
        <f>"1-68-5"</f>
        <v>1-68-5</v>
      </c>
      <c r="F1543" t="s">
        <v>83</v>
      </c>
      <c r="G1543" t="s">
        <v>86</v>
      </c>
      <c r="H1543" t="s">
        <v>87</v>
      </c>
      <c r="AC1543">
        <v>0</v>
      </c>
      <c r="AD1543">
        <v>1</v>
      </c>
      <c r="AE1543">
        <v>0</v>
      </c>
      <c r="AF1543">
        <v>0</v>
      </c>
      <c r="AH1543">
        <v>0</v>
      </c>
      <c r="AI1543">
        <v>1</v>
      </c>
      <c r="AJ1543">
        <v>1</v>
      </c>
      <c r="AK1543">
        <v>0</v>
      </c>
      <c r="AL1543">
        <v>0</v>
      </c>
      <c r="AM1543">
        <v>0</v>
      </c>
      <c r="AN1543">
        <v>0</v>
      </c>
      <c r="AO1543">
        <v>1</v>
      </c>
      <c r="AP1543">
        <v>1</v>
      </c>
      <c r="AQ1543">
        <v>1</v>
      </c>
      <c r="AU1543">
        <v>1</v>
      </c>
      <c r="AV1543">
        <v>1</v>
      </c>
      <c r="AW1543">
        <v>1</v>
      </c>
    </row>
    <row r="1544" spans="1:49" x14ac:dyDescent="0.25">
      <c r="A1544" t="str">
        <f>"1540"</f>
        <v>1540</v>
      </c>
      <c r="B1544" t="str">
        <f t="shared" si="86"/>
        <v>1</v>
      </c>
      <c r="C1544" t="str">
        <f t="shared" si="88"/>
        <v>68</v>
      </c>
      <c r="D1544" t="str">
        <f>"23"</f>
        <v>23</v>
      </c>
      <c r="E1544" t="str">
        <f>"1-68-23"</f>
        <v>1-68-23</v>
      </c>
      <c r="F1544" t="s">
        <v>83</v>
      </c>
      <c r="G1544" t="s">
        <v>84</v>
      </c>
      <c r="H1544" t="s">
        <v>85</v>
      </c>
      <c r="AC1544">
        <v>1</v>
      </c>
      <c r="AD1544">
        <v>0</v>
      </c>
      <c r="AE1544">
        <v>0</v>
      </c>
      <c r="AF1544">
        <v>0</v>
      </c>
      <c r="AG1544">
        <v>1</v>
      </c>
      <c r="AJ1544">
        <v>1</v>
      </c>
      <c r="AK1544">
        <v>0</v>
      </c>
      <c r="AL1544">
        <v>0</v>
      </c>
      <c r="AM1544">
        <v>1</v>
      </c>
      <c r="AN1544">
        <v>0</v>
      </c>
      <c r="AO1544">
        <v>1</v>
      </c>
      <c r="AP1544">
        <v>1</v>
      </c>
      <c r="AQ1544">
        <v>1</v>
      </c>
      <c r="AR1544">
        <v>1</v>
      </c>
      <c r="AS1544">
        <v>0</v>
      </c>
      <c r="AT1544">
        <v>1</v>
      </c>
      <c r="AV1544">
        <v>1</v>
      </c>
      <c r="AW1544">
        <v>1</v>
      </c>
    </row>
    <row r="1545" spans="1:49" x14ac:dyDescent="0.25">
      <c r="A1545" t="str">
        <f>"1541"</f>
        <v>1541</v>
      </c>
      <c r="B1545" t="str">
        <f t="shared" si="86"/>
        <v>1</v>
      </c>
      <c r="C1545" t="str">
        <f t="shared" si="88"/>
        <v>68</v>
      </c>
      <c r="D1545" t="str">
        <f>"22"</f>
        <v>22</v>
      </c>
      <c r="E1545" t="str">
        <f>"1-68-22"</f>
        <v>1-68-22</v>
      </c>
      <c r="F1545" t="s">
        <v>83</v>
      </c>
      <c r="G1545" t="s">
        <v>84</v>
      </c>
      <c r="H1545" t="s">
        <v>85</v>
      </c>
      <c r="AC1545">
        <v>1</v>
      </c>
      <c r="AD1545">
        <v>0</v>
      </c>
      <c r="AE1545">
        <v>0</v>
      </c>
      <c r="AF1545">
        <v>0</v>
      </c>
      <c r="AG1545">
        <v>0</v>
      </c>
      <c r="AJ1545">
        <v>1</v>
      </c>
      <c r="AK1545">
        <v>0</v>
      </c>
      <c r="AL1545">
        <v>1</v>
      </c>
      <c r="AM1545">
        <v>0</v>
      </c>
      <c r="AN1545">
        <v>0</v>
      </c>
      <c r="AO1545">
        <v>0</v>
      </c>
      <c r="AP1545">
        <v>0</v>
      </c>
      <c r="AQ1545">
        <v>0</v>
      </c>
      <c r="AR1545">
        <v>0</v>
      </c>
      <c r="AS1545">
        <v>1</v>
      </c>
      <c r="AT1545">
        <v>0</v>
      </c>
      <c r="AV1545">
        <v>0</v>
      </c>
      <c r="AW1545">
        <v>0</v>
      </c>
    </row>
    <row r="1546" spans="1:49" x14ac:dyDescent="0.25">
      <c r="A1546" t="str">
        <f>"1542"</f>
        <v>1542</v>
      </c>
      <c r="B1546" t="str">
        <f t="shared" si="86"/>
        <v>1</v>
      </c>
      <c r="C1546" t="str">
        <f t="shared" si="88"/>
        <v>68</v>
      </c>
      <c r="D1546" t="str">
        <f>"17"</f>
        <v>17</v>
      </c>
      <c r="E1546" t="str">
        <f>"1-68-17"</f>
        <v>1-68-17</v>
      </c>
      <c r="F1546" t="s">
        <v>83</v>
      </c>
      <c r="G1546" t="s">
        <v>84</v>
      </c>
      <c r="H1546" t="s">
        <v>85</v>
      </c>
      <c r="AC1546">
        <v>0</v>
      </c>
      <c r="AD1546">
        <v>1</v>
      </c>
      <c r="AE1546">
        <v>0</v>
      </c>
      <c r="AF1546">
        <v>0</v>
      </c>
      <c r="AG1546">
        <v>1</v>
      </c>
      <c r="AJ1546">
        <v>0</v>
      </c>
      <c r="AK1546">
        <v>1</v>
      </c>
      <c r="AL1546">
        <v>0</v>
      </c>
      <c r="AM1546">
        <v>0</v>
      </c>
      <c r="AN1546">
        <v>1</v>
      </c>
      <c r="AO1546">
        <v>1</v>
      </c>
      <c r="AP1546">
        <v>1</v>
      </c>
      <c r="AQ1546">
        <v>1</v>
      </c>
      <c r="AR1546">
        <v>1</v>
      </c>
      <c r="AS1546">
        <v>0</v>
      </c>
      <c r="AT1546">
        <v>1</v>
      </c>
      <c r="AV1546">
        <v>1</v>
      </c>
      <c r="AW1546">
        <v>1</v>
      </c>
    </row>
    <row r="1547" spans="1:49" x14ac:dyDescent="0.25">
      <c r="A1547" t="str">
        <f>"1543"</f>
        <v>1543</v>
      </c>
      <c r="B1547" t="str">
        <f t="shared" si="86"/>
        <v>1</v>
      </c>
      <c r="C1547" t="str">
        <f t="shared" si="88"/>
        <v>68</v>
      </c>
      <c r="D1547" t="str">
        <f>"10"</f>
        <v>10</v>
      </c>
      <c r="E1547" t="str">
        <f>"1-68-10"</f>
        <v>1-68-10</v>
      </c>
      <c r="F1547" t="s">
        <v>83</v>
      </c>
      <c r="G1547" t="s">
        <v>84</v>
      </c>
      <c r="H1547" t="s">
        <v>85</v>
      </c>
      <c r="AC1547">
        <v>0</v>
      </c>
      <c r="AD1547">
        <v>1</v>
      </c>
      <c r="AE1547">
        <v>0</v>
      </c>
      <c r="AF1547">
        <v>0</v>
      </c>
      <c r="AG1547">
        <v>1</v>
      </c>
      <c r="AJ1547">
        <v>1</v>
      </c>
      <c r="AK1547">
        <v>0</v>
      </c>
      <c r="AL1547">
        <v>0</v>
      </c>
      <c r="AM1547">
        <v>1</v>
      </c>
      <c r="AN1547">
        <v>0</v>
      </c>
      <c r="AO1547">
        <v>1</v>
      </c>
      <c r="AP1547">
        <v>1</v>
      </c>
      <c r="AQ1547">
        <v>1</v>
      </c>
      <c r="AR1547">
        <v>1</v>
      </c>
      <c r="AS1547">
        <v>1</v>
      </c>
      <c r="AT1547">
        <v>0</v>
      </c>
      <c r="AV1547">
        <v>1</v>
      </c>
      <c r="AW1547">
        <v>1</v>
      </c>
    </row>
    <row r="1548" spans="1:49" x14ac:dyDescent="0.25">
      <c r="A1548" t="str">
        <f>"1544"</f>
        <v>1544</v>
      </c>
      <c r="B1548" t="str">
        <f t="shared" si="86"/>
        <v>1</v>
      </c>
      <c r="C1548" t="str">
        <f t="shared" si="88"/>
        <v>68</v>
      </c>
      <c r="D1548" t="str">
        <f>"6"</f>
        <v>6</v>
      </c>
      <c r="E1548" t="str">
        <f>"1-68-6"</f>
        <v>1-68-6</v>
      </c>
      <c r="F1548" t="s">
        <v>83</v>
      </c>
      <c r="G1548" t="s">
        <v>84</v>
      </c>
      <c r="H1548" t="s">
        <v>85</v>
      </c>
      <c r="AC1548">
        <v>0</v>
      </c>
      <c r="AD1548">
        <v>1</v>
      </c>
      <c r="AE1548">
        <v>0</v>
      </c>
      <c r="AF1548">
        <v>0</v>
      </c>
      <c r="AG1548">
        <v>1</v>
      </c>
      <c r="AJ1548">
        <v>0</v>
      </c>
      <c r="AK1548">
        <v>1</v>
      </c>
      <c r="AL1548">
        <v>0</v>
      </c>
      <c r="AM1548">
        <v>0</v>
      </c>
      <c r="AN1548">
        <v>1</v>
      </c>
      <c r="AO1548">
        <v>1</v>
      </c>
      <c r="AP1548">
        <v>1</v>
      </c>
      <c r="AQ1548">
        <v>0</v>
      </c>
      <c r="AR1548">
        <v>1</v>
      </c>
      <c r="AS1548">
        <v>0</v>
      </c>
      <c r="AT1548">
        <v>1</v>
      </c>
      <c r="AV1548">
        <v>1</v>
      </c>
      <c r="AW1548">
        <v>1</v>
      </c>
    </row>
    <row r="1549" spans="1:49" x14ac:dyDescent="0.25">
      <c r="A1549" t="str">
        <f>"1545"</f>
        <v>1545</v>
      </c>
      <c r="B1549" t="str">
        <f t="shared" si="86"/>
        <v>1</v>
      </c>
      <c r="C1549" t="str">
        <f t="shared" si="88"/>
        <v>68</v>
      </c>
      <c r="D1549" t="str">
        <f>"21"</f>
        <v>21</v>
      </c>
      <c r="E1549" t="str">
        <f>"1-68-21"</f>
        <v>1-68-21</v>
      </c>
      <c r="F1549" t="s">
        <v>83</v>
      </c>
      <c r="G1549" t="s">
        <v>88</v>
      </c>
      <c r="H1549" t="s">
        <v>89</v>
      </c>
      <c r="AC1549">
        <v>0</v>
      </c>
      <c r="AD1549">
        <v>1</v>
      </c>
      <c r="AE1549">
        <v>0</v>
      </c>
      <c r="AF1549">
        <v>0</v>
      </c>
      <c r="AH1549">
        <v>1</v>
      </c>
      <c r="AI1549">
        <v>0</v>
      </c>
      <c r="AJ1549">
        <v>1</v>
      </c>
      <c r="AK1549">
        <v>0</v>
      </c>
      <c r="AL1549">
        <v>0</v>
      </c>
      <c r="AM1549">
        <v>1</v>
      </c>
      <c r="AN1549">
        <v>0</v>
      </c>
      <c r="AO1549">
        <v>1</v>
      </c>
      <c r="AP1549">
        <v>1</v>
      </c>
      <c r="AQ1549">
        <v>1</v>
      </c>
      <c r="AR1549">
        <v>1</v>
      </c>
      <c r="AS1549">
        <v>1</v>
      </c>
      <c r="AT1549">
        <v>0</v>
      </c>
      <c r="AV1549">
        <v>1</v>
      </c>
      <c r="AW1549">
        <v>1</v>
      </c>
    </row>
    <row r="1550" spans="1:49" x14ac:dyDescent="0.25">
      <c r="A1550" t="str">
        <f>"1546"</f>
        <v>1546</v>
      </c>
      <c r="B1550" t="str">
        <f t="shared" si="86"/>
        <v>1</v>
      </c>
      <c r="C1550" t="str">
        <f t="shared" si="88"/>
        <v>68</v>
      </c>
      <c r="D1550" t="str">
        <f>"11"</f>
        <v>11</v>
      </c>
      <c r="E1550" t="str">
        <f>"1-68-11"</f>
        <v>1-68-11</v>
      </c>
      <c r="F1550" t="s">
        <v>83</v>
      </c>
      <c r="G1550" t="s">
        <v>84</v>
      </c>
      <c r="H1550" t="s">
        <v>85</v>
      </c>
      <c r="AC1550">
        <v>1</v>
      </c>
      <c r="AD1550">
        <v>0</v>
      </c>
      <c r="AE1550">
        <v>0</v>
      </c>
      <c r="AF1550">
        <v>0</v>
      </c>
      <c r="AG1550">
        <v>1</v>
      </c>
      <c r="AJ1550">
        <v>1</v>
      </c>
      <c r="AK1550">
        <v>0</v>
      </c>
      <c r="AL1550">
        <v>0</v>
      </c>
      <c r="AM1550">
        <v>1</v>
      </c>
      <c r="AN1550">
        <v>0</v>
      </c>
      <c r="AO1550">
        <v>1</v>
      </c>
      <c r="AP1550">
        <v>1</v>
      </c>
      <c r="AQ1550">
        <v>1</v>
      </c>
      <c r="AR1550">
        <v>1</v>
      </c>
      <c r="AS1550">
        <v>0</v>
      </c>
      <c r="AT1550">
        <v>1</v>
      </c>
      <c r="AV1550">
        <v>0</v>
      </c>
      <c r="AW1550">
        <v>0</v>
      </c>
    </row>
    <row r="1551" spans="1:49" x14ac:dyDescent="0.25">
      <c r="A1551" t="str">
        <f>"1547"</f>
        <v>1547</v>
      </c>
      <c r="B1551" t="str">
        <f t="shared" si="86"/>
        <v>1</v>
      </c>
      <c r="C1551" t="str">
        <f t="shared" si="88"/>
        <v>68</v>
      </c>
      <c r="D1551" t="str">
        <f>"4"</f>
        <v>4</v>
      </c>
      <c r="E1551" t="str">
        <f>"1-68-4"</f>
        <v>1-68-4</v>
      </c>
      <c r="F1551" t="s">
        <v>83</v>
      </c>
      <c r="G1551" t="s">
        <v>84</v>
      </c>
      <c r="H1551" t="s">
        <v>85</v>
      </c>
      <c r="AC1551">
        <v>1</v>
      </c>
      <c r="AD1551">
        <v>0</v>
      </c>
      <c r="AE1551">
        <v>0</v>
      </c>
      <c r="AF1551">
        <v>0</v>
      </c>
      <c r="AG1551">
        <v>0</v>
      </c>
      <c r="AJ1551">
        <v>0</v>
      </c>
      <c r="AK1551">
        <v>1</v>
      </c>
      <c r="AL1551">
        <v>1</v>
      </c>
      <c r="AM1551">
        <v>0</v>
      </c>
      <c r="AN1551">
        <v>0</v>
      </c>
      <c r="AO1551">
        <v>0</v>
      </c>
      <c r="AP1551">
        <v>0</v>
      </c>
      <c r="AQ1551">
        <v>0</v>
      </c>
      <c r="AR1551">
        <v>0</v>
      </c>
      <c r="AS1551">
        <v>0</v>
      </c>
      <c r="AT1551">
        <v>1</v>
      </c>
      <c r="AV1551">
        <v>0</v>
      </c>
      <c r="AW1551">
        <v>0</v>
      </c>
    </row>
    <row r="1552" spans="1:49" x14ac:dyDescent="0.25">
      <c r="A1552" t="str">
        <f>"1548"</f>
        <v>1548</v>
      </c>
      <c r="B1552" t="str">
        <f t="shared" si="86"/>
        <v>1</v>
      </c>
      <c r="C1552" t="str">
        <f t="shared" si="88"/>
        <v>68</v>
      </c>
      <c r="D1552" t="str">
        <f>"12"</f>
        <v>12</v>
      </c>
      <c r="E1552" t="str">
        <f>"1-68-12"</f>
        <v>1-68-12</v>
      </c>
      <c r="F1552" t="s">
        <v>83</v>
      </c>
      <c r="G1552" t="s">
        <v>84</v>
      </c>
      <c r="H1552" t="s">
        <v>85</v>
      </c>
      <c r="AC1552">
        <v>0</v>
      </c>
      <c r="AD1552">
        <v>0</v>
      </c>
      <c r="AE1552">
        <v>0</v>
      </c>
      <c r="AF1552">
        <v>0</v>
      </c>
      <c r="AG1552">
        <v>0</v>
      </c>
      <c r="AJ1552">
        <v>0</v>
      </c>
      <c r="AK1552">
        <v>0</v>
      </c>
      <c r="AL1552">
        <v>0</v>
      </c>
      <c r="AM1552">
        <v>0</v>
      </c>
      <c r="AN1552">
        <v>0</v>
      </c>
      <c r="AO1552">
        <v>1</v>
      </c>
      <c r="AP1552">
        <v>1</v>
      </c>
      <c r="AQ1552">
        <v>1</v>
      </c>
      <c r="AR1552">
        <v>0</v>
      </c>
      <c r="AS1552">
        <v>0</v>
      </c>
      <c r="AT1552">
        <v>0</v>
      </c>
      <c r="AV1552">
        <v>1</v>
      </c>
      <c r="AW1552">
        <v>1</v>
      </c>
    </row>
    <row r="1553" spans="1:49" x14ac:dyDescent="0.25">
      <c r="A1553" t="str">
        <f>"1549"</f>
        <v>1549</v>
      </c>
      <c r="B1553" t="str">
        <f t="shared" si="86"/>
        <v>1</v>
      </c>
      <c r="C1553" t="str">
        <f t="shared" si="88"/>
        <v>68</v>
      </c>
      <c r="D1553" t="str">
        <f>"3"</f>
        <v>3</v>
      </c>
      <c r="E1553" t="str">
        <f>"1-68-3"</f>
        <v>1-68-3</v>
      </c>
      <c r="F1553" t="s">
        <v>83</v>
      </c>
      <c r="G1553" t="s">
        <v>88</v>
      </c>
      <c r="H1553" t="s">
        <v>89</v>
      </c>
      <c r="AC1553">
        <v>1</v>
      </c>
      <c r="AD1553">
        <v>0</v>
      </c>
      <c r="AE1553">
        <v>0</v>
      </c>
      <c r="AF1553">
        <v>0</v>
      </c>
      <c r="AH1553">
        <v>1</v>
      </c>
      <c r="AI1553">
        <v>0</v>
      </c>
      <c r="AJ1553">
        <v>1</v>
      </c>
      <c r="AK1553">
        <v>0</v>
      </c>
      <c r="AL1553">
        <v>1</v>
      </c>
      <c r="AM1553">
        <v>0</v>
      </c>
      <c r="AN1553">
        <v>0</v>
      </c>
      <c r="AO1553">
        <v>0</v>
      </c>
      <c r="AP1553">
        <v>0</v>
      </c>
      <c r="AQ1553">
        <v>0</v>
      </c>
      <c r="AR1553">
        <v>0</v>
      </c>
      <c r="AS1553">
        <v>0</v>
      </c>
      <c r="AT1553">
        <v>1</v>
      </c>
      <c r="AV1553">
        <v>1</v>
      </c>
      <c r="AW1553">
        <v>1</v>
      </c>
    </row>
    <row r="1554" spans="1:49" x14ac:dyDescent="0.25">
      <c r="A1554" t="str">
        <f>"1550"</f>
        <v>1550</v>
      </c>
      <c r="B1554" t="str">
        <f t="shared" si="86"/>
        <v>1</v>
      </c>
      <c r="C1554" t="str">
        <f t="shared" si="88"/>
        <v>68</v>
      </c>
      <c r="D1554" t="str">
        <f>"14"</f>
        <v>14</v>
      </c>
      <c r="E1554" t="str">
        <f>"1-68-14"</f>
        <v>1-68-14</v>
      </c>
      <c r="F1554" t="s">
        <v>83</v>
      </c>
      <c r="G1554" t="s">
        <v>84</v>
      </c>
      <c r="H1554" t="s">
        <v>85</v>
      </c>
      <c r="AC1554">
        <v>0</v>
      </c>
      <c r="AD1554">
        <v>1</v>
      </c>
      <c r="AE1554">
        <v>0</v>
      </c>
      <c r="AF1554">
        <v>0</v>
      </c>
      <c r="AG1554">
        <v>1</v>
      </c>
      <c r="AJ1554">
        <v>0</v>
      </c>
      <c r="AK1554">
        <v>1</v>
      </c>
      <c r="AL1554">
        <v>0</v>
      </c>
      <c r="AM1554">
        <v>1</v>
      </c>
      <c r="AN1554">
        <v>0</v>
      </c>
      <c r="AO1554">
        <v>1</v>
      </c>
      <c r="AP1554">
        <v>1</v>
      </c>
      <c r="AQ1554">
        <v>1</v>
      </c>
      <c r="AR1554">
        <v>1</v>
      </c>
      <c r="AS1554">
        <v>0</v>
      </c>
      <c r="AT1554">
        <v>1</v>
      </c>
      <c r="AV1554">
        <v>1</v>
      </c>
      <c r="AW1554">
        <v>1</v>
      </c>
    </row>
    <row r="1555" spans="1:49" x14ac:dyDescent="0.25">
      <c r="A1555" t="str">
        <f>"1551"</f>
        <v>1551</v>
      </c>
      <c r="B1555" t="str">
        <f t="shared" si="86"/>
        <v>1</v>
      </c>
      <c r="C1555" t="str">
        <f t="shared" si="88"/>
        <v>68</v>
      </c>
      <c r="D1555" t="str">
        <f>"7"</f>
        <v>7</v>
      </c>
      <c r="E1555" t="str">
        <f>"1-68-7"</f>
        <v>1-68-7</v>
      </c>
      <c r="F1555" t="s">
        <v>83</v>
      </c>
      <c r="G1555" t="s">
        <v>86</v>
      </c>
      <c r="H1555" t="s">
        <v>87</v>
      </c>
      <c r="AC1555">
        <v>1</v>
      </c>
      <c r="AD1555">
        <v>0</v>
      </c>
      <c r="AE1555">
        <v>0</v>
      </c>
      <c r="AF1555">
        <v>0</v>
      </c>
      <c r="AH1555">
        <v>0</v>
      </c>
      <c r="AI1555">
        <v>1</v>
      </c>
      <c r="AJ1555">
        <v>1</v>
      </c>
      <c r="AK1555">
        <v>0</v>
      </c>
      <c r="AL1555">
        <v>0</v>
      </c>
      <c r="AM1555">
        <v>1</v>
      </c>
      <c r="AN1555">
        <v>0</v>
      </c>
      <c r="AO1555">
        <v>0</v>
      </c>
      <c r="AP1555">
        <v>0</v>
      </c>
      <c r="AQ1555">
        <v>0</v>
      </c>
      <c r="AU1555">
        <v>0</v>
      </c>
      <c r="AV1555">
        <v>0</v>
      </c>
      <c r="AW1555">
        <v>0</v>
      </c>
    </row>
    <row r="1556" spans="1:49" x14ac:dyDescent="0.25">
      <c r="A1556" t="str">
        <f>"1552"</f>
        <v>1552</v>
      </c>
      <c r="B1556" t="str">
        <f t="shared" si="86"/>
        <v>1</v>
      </c>
      <c r="C1556" t="str">
        <f t="shared" si="88"/>
        <v>68</v>
      </c>
      <c r="D1556" t="str">
        <f>"15"</f>
        <v>15</v>
      </c>
      <c r="E1556" t="str">
        <f>"1-68-15"</f>
        <v>1-68-15</v>
      </c>
      <c r="F1556" t="s">
        <v>83</v>
      </c>
      <c r="G1556" t="s">
        <v>84</v>
      </c>
      <c r="H1556" t="s">
        <v>85</v>
      </c>
      <c r="AC1556">
        <v>0</v>
      </c>
      <c r="AD1556">
        <v>1</v>
      </c>
      <c r="AE1556">
        <v>0</v>
      </c>
      <c r="AF1556">
        <v>0</v>
      </c>
      <c r="AG1556">
        <v>1</v>
      </c>
      <c r="AJ1556">
        <v>0</v>
      </c>
      <c r="AK1556">
        <v>1</v>
      </c>
      <c r="AL1556">
        <v>0</v>
      </c>
      <c r="AM1556">
        <v>1</v>
      </c>
      <c r="AN1556">
        <v>0</v>
      </c>
      <c r="AO1556">
        <v>1</v>
      </c>
      <c r="AP1556">
        <v>1</v>
      </c>
      <c r="AQ1556">
        <v>1</v>
      </c>
      <c r="AR1556">
        <v>1</v>
      </c>
      <c r="AS1556">
        <v>0</v>
      </c>
      <c r="AT1556">
        <v>1</v>
      </c>
      <c r="AV1556">
        <v>1</v>
      </c>
      <c r="AW1556">
        <v>1</v>
      </c>
    </row>
    <row r="1557" spans="1:49" x14ac:dyDescent="0.25">
      <c r="A1557" t="str">
        <f>"1553"</f>
        <v>1553</v>
      </c>
      <c r="B1557" t="str">
        <f t="shared" si="86"/>
        <v>1</v>
      </c>
      <c r="C1557" t="str">
        <f t="shared" si="88"/>
        <v>68</v>
      </c>
      <c r="D1557" t="str">
        <f>"2"</f>
        <v>2</v>
      </c>
      <c r="E1557" t="str">
        <f>"1-68-2"</f>
        <v>1-68-2</v>
      </c>
      <c r="F1557" t="s">
        <v>83</v>
      </c>
      <c r="G1557" t="s">
        <v>84</v>
      </c>
      <c r="H1557" t="s">
        <v>85</v>
      </c>
      <c r="AC1557">
        <v>0</v>
      </c>
      <c r="AD1557">
        <v>1</v>
      </c>
      <c r="AE1557">
        <v>0</v>
      </c>
      <c r="AF1557">
        <v>0</v>
      </c>
      <c r="AG1557">
        <v>1</v>
      </c>
      <c r="AJ1557">
        <v>1</v>
      </c>
      <c r="AK1557">
        <v>0</v>
      </c>
      <c r="AL1557">
        <v>0</v>
      </c>
      <c r="AM1557">
        <v>0</v>
      </c>
      <c r="AN1557">
        <v>1</v>
      </c>
      <c r="AO1557">
        <v>1</v>
      </c>
      <c r="AP1557">
        <v>1</v>
      </c>
      <c r="AQ1557">
        <v>1</v>
      </c>
      <c r="AR1557">
        <v>1</v>
      </c>
      <c r="AS1557">
        <v>0</v>
      </c>
      <c r="AT1557">
        <v>1</v>
      </c>
      <c r="AV1557">
        <v>1</v>
      </c>
      <c r="AW1557">
        <v>1</v>
      </c>
    </row>
    <row r="1558" spans="1:49" x14ac:dyDescent="0.25">
      <c r="A1558" t="str">
        <f>"1554"</f>
        <v>1554</v>
      </c>
      <c r="B1558" t="str">
        <f t="shared" si="86"/>
        <v>1</v>
      </c>
      <c r="C1558" t="str">
        <f t="shared" si="88"/>
        <v>68</v>
      </c>
      <c r="D1558" t="str">
        <f>"20"</f>
        <v>20</v>
      </c>
      <c r="E1558" t="str">
        <f>"1-68-20"</f>
        <v>1-68-20</v>
      </c>
      <c r="F1558" t="s">
        <v>83</v>
      </c>
      <c r="G1558" t="s">
        <v>88</v>
      </c>
      <c r="H1558" t="s">
        <v>89</v>
      </c>
      <c r="AC1558">
        <v>0</v>
      </c>
      <c r="AD1558">
        <v>1</v>
      </c>
      <c r="AE1558">
        <v>0</v>
      </c>
      <c r="AF1558">
        <v>0</v>
      </c>
      <c r="AH1558">
        <v>1</v>
      </c>
      <c r="AI1558">
        <v>0</v>
      </c>
      <c r="AJ1558">
        <v>1</v>
      </c>
      <c r="AK1558">
        <v>0</v>
      </c>
      <c r="AL1558">
        <v>0</v>
      </c>
      <c r="AM1558">
        <v>1</v>
      </c>
      <c r="AN1558">
        <v>0</v>
      </c>
      <c r="AO1558">
        <v>1</v>
      </c>
      <c r="AP1558">
        <v>1</v>
      </c>
      <c r="AQ1558">
        <v>1</v>
      </c>
      <c r="AR1558">
        <v>1</v>
      </c>
      <c r="AS1558">
        <v>1</v>
      </c>
      <c r="AT1558">
        <v>0</v>
      </c>
      <c r="AV1558">
        <v>1</v>
      </c>
      <c r="AW1558">
        <v>1</v>
      </c>
    </row>
    <row r="1559" spans="1:49" x14ac:dyDescent="0.25">
      <c r="A1559" t="str">
        <f>"1555"</f>
        <v>1555</v>
      </c>
      <c r="B1559" t="str">
        <f t="shared" si="86"/>
        <v>1</v>
      </c>
      <c r="C1559" t="str">
        <f t="shared" si="88"/>
        <v>68</v>
      </c>
      <c r="D1559" t="str">
        <f>"16"</f>
        <v>16</v>
      </c>
      <c r="E1559" t="str">
        <f>"1-68-16"</f>
        <v>1-68-16</v>
      </c>
      <c r="F1559" t="s">
        <v>83</v>
      </c>
      <c r="G1559" t="s">
        <v>84</v>
      </c>
      <c r="H1559" t="s">
        <v>85</v>
      </c>
      <c r="AC1559">
        <v>1</v>
      </c>
      <c r="AD1559">
        <v>0</v>
      </c>
      <c r="AE1559">
        <v>0</v>
      </c>
      <c r="AF1559">
        <v>0</v>
      </c>
      <c r="AG1559">
        <v>0</v>
      </c>
      <c r="AJ1559">
        <v>0</v>
      </c>
      <c r="AK1559">
        <v>0</v>
      </c>
      <c r="AL1559">
        <v>0</v>
      </c>
      <c r="AM1559">
        <v>0</v>
      </c>
      <c r="AN1559">
        <v>0</v>
      </c>
      <c r="AO1559">
        <v>0</v>
      </c>
      <c r="AP1559">
        <v>0</v>
      </c>
      <c r="AQ1559">
        <v>0</v>
      </c>
      <c r="AR1559">
        <v>0</v>
      </c>
      <c r="AS1559">
        <v>0</v>
      </c>
      <c r="AT1559">
        <v>1</v>
      </c>
      <c r="AV1559">
        <v>0</v>
      </c>
      <c r="AW1559">
        <v>1</v>
      </c>
    </row>
    <row r="1560" spans="1:49" x14ac:dyDescent="0.25">
      <c r="A1560" t="str">
        <f>"1556"</f>
        <v>1556</v>
      </c>
      <c r="B1560" t="str">
        <f t="shared" si="86"/>
        <v>1</v>
      </c>
      <c r="C1560" t="str">
        <f t="shared" ref="C1560:C1577" si="89">"69"</f>
        <v>69</v>
      </c>
      <c r="D1560" t="str">
        <f>"18"</f>
        <v>18</v>
      </c>
      <c r="E1560" t="str">
        <f>"1-69-18"</f>
        <v>1-69-18</v>
      </c>
      <c r="F1560" t="s">
        <v>83</v>
      </c>
      <c r="G1560" t="s">
        <v>84</v>
      </c>
      <c r="H1560" t="s">
        <v>85</v>
      </c>
      <c r="AC1560">
        <v>0</v>
      </c>
      <c r="AD1560">
        <v>1</v>
      </c>
      <c r="AE1560">
        <v>0</v>
      </c>
      <c r="AF1560">
        <v>0</v>
      </c>
      <c r="AG1560">
        <v>0</v>
      </c>
      <c r="AJ1560">
        <v>0</v>
      </c>
      <c r="AK1560">
        <v>1</v>
      </c>
      <c r="AL1560">
        <v>0</v>
      </c>
      <c r="AM1560">
        <v>0</v>
      </c>
      <c r="AN1560">
        <v>1</v>
      </c>
      <c r="AO1560">
        <v>0</v>
      </c>
      <c r="AP1560">
        <v>0</v>
      </c>
      <c r="AQ1560">
        <v>0</v>
      </c>
      <c r="AR1560">
        <v>0</v>
      </c>
      <c r="AS1560">
        <v>1</v>
      </c>
      <c r="AT1560">
        <v>0</v>
      </c>
      <c r="AV1560">
        <v>1</v>
      </c>
      <c r="AW1560">
        <v>1</v>
      </c>
    </row>
    <row r="1561" spans="1:49" x14ac:dyDescent="0.25">
      <c r="A1561" t="str">
        <f>"1557"</f>
        <v>1557</v>
      </c>
      <c r="B1561" t="str">
        <f t="shared" si="86"/>
        <v>1</v>
      </c>
      <c r="C1561" t="str">
        <f t="shared" si="89"/>
        <v>69</v>
      </c>
      <c r="D1561" t="str">
        <f>"11"</f>
        <v>11</v>
      </c>
      <c r="E1561" t="str">
        <f>"1-69-11"</f>
        <v>1-69-11</v>
      </c>
      <c r="F1561" t="s">
        <v>83</v>
      </c>
      <c r="G1561" t="s">
        <v>84</v>
      </c>
      <c r="H1561" t="s">
        <v>92</v>
      </c>
      <c r="I1561">
        <v>1</v>
      </c>
      <c r="J1561">
        <v>1</v>
      </c>
      <c r="N1561">
        <v>1</v>
      </c>
      <c r="O1561">
        <v>1</v>
      </c>
      <c r="P1561">
        <v>1</v>
      </c>
      <c r="Q1561">
        <v>1</v>
      </c>
      <c r="R1561">
        <v>1</v>
      </c>
      <c r="S1561">
        <v>1</v>
      </c>
      <c r="T1561">
        <v>1</v>
      </c>
      <c r="W1561">
        <v>1</v>
      </c>
      <c r="X1561">
        <v>1</v>
      </c>
      <c r="Y1561">
        <v>1</v>
      </c>
      <c r="Z1561">
        <v>1</v>
      </c>
      <c r="AA1561">
        <v>1</v>
      </c>
      <c r="AB1561">
        <v>1</v>
      </c>
    </row>
    <row r="1562" spans="1:49" x14ac:dyDescent="0.25">
      <c r="A1562" t="str">
        <f>"1558"</f>
        <v>1558</v>
      </c>
      <c r="B1562" t="str">
        <f t="shared" si="86"/>
        <v>1</v>
      </c>
      <c r="C1562" t="str">
        <f t="shared" si="89"/>
        <v>69</v>
      </c>
      <c r="D1562" t="str">
        <f>"8"</f>
        <v>8</v>
      </c>
      <c r="E1562" t="str">
        <f>"1-69-8"</f>
        <v>1-69-8</v>
      </c>
      <c r="F1562" t="s">
        <v>83</v>
      </c>
      <c r="G1562" t="s">
        <v>86</v>
      </c>
      <c r="H1562" t="s">
        <v>87</v>
      </c>
      <c r="AC1562">
        <v>0</v>
      </c>
      <c r="AD1562">
        <v>0</v>
      </c>
      <c r="AE1562">
        <v>0</v>
      </c>
      <c r="AF1562">
        <v>0</v>
      </c>
      <c r="AH1562">
        <v>0</v>
      </c>
      <c r="AI1562">
        <v>1</v>
      </c>
      <c r="AJ1562">
        <v>0</v>
      </c>
      <c r="AK1562">
        <v>0</v>
      </c>
      <c r="AL1562">
        <v>0</v>
      </c>
      <c r="AM1562">
        <v>0</v>
      </c>
      <c r="AN1562">
        <v>0</v>
      </c>
      <c r="AO1562">
        <v>0</v>
      </c>
      <c r="AP1562">
        <v>0</v>
      </c>
      <c r="AQ1562">
        <v>0</v>
      </c>
      <c r="AU1562">
        <v>0</v>
      </c>
      <c r="AV1562">
        <v>0</v>
      </c>
      <c r="AW1562">
        <v>0</v>
      </c>
    </row>
    <row r="1563" spans="1:49" x14ac:dyDescent="0.25">
      <c r="A1563" t="str">
        <f>"1559"</f>
        <v>1559</v>
      </c>
      <c r="B1563" t="str">
        <f t="shared" si="86"/>
        <v>1</v>
      </c>
      <c r="C1563" t="str">
        <f t="shared" si="89"/>
        <v>69</v>
      </c>
      <c r="D1563" t="str">
        <f>"2"</f>
        <v>2</v>
      </c>
      <c r="E1563" t="str">
        <f>"1-69-2"</f>
        <v>1-69-2</v>
      </c>
      <c r="F1563" t="s">
        <v>83</v>
      </c>
      <c r="G1563" t="s">
        <v>90</v>
      </c>
      <c r="H1563" t="s">
        <v>94</v>
      </c>
      <c r="I1563">
        <v>1</v>
      </c>
      <c r="K1563">
        <v>1</v>
      </c>
      <c r="L1563">
        <v>0</v>
      </c>
      <c r="M1563">
        <v>0</v>
      </c>
      <c r="N1563">
        <v>1</v>
      </c>
      <c r="O1563">
        <v>1</v>
      </c>
      <c r="P1563">
        <v>1</v>
      </c>
      <c r="Q1563">
        <v>1</v>
      </c>
      <c r="R1563">
        <v>1</v>
      </c>
      <c r="S1563">
        <v>1</v>
      </c>
      <c r="U1563">
        <v>0</v>
      </c>
      <c r="V1563">
        <v>1</v>
      </c>
      <c r="W1563">
        <v>1</v>
      </c>
      <c r="X1563">
        <v>1</v>
      </c>
      <c r="Y1563">
        <v>1</v>
      </c>
      <c r="Z1563">
        <v>1</v>
      </c>
      <c r="AA1563">
        <v>1</v>
      </c>
      <c r="AB1563">
        <v>1</v>
      </c>
    </row>
    <row r="1564" spans="1:49" x14ac:dyDescent="0.25">
      <c r="A1564" t="str">
        <f>"1560"</f>
        <v>1560</v>
      </c>
      <c r="B1564" t="str">
        <f t="shared" si="86"/>
        <v>1</v>
      </c>
      <c r="C1564" t="str">
        <f t="shared" si="89"/>
        <v>69</v>
      </c>
      <c r="D1564" t="str">
        <f>"16"</f>
        <v>16</v>
      </c>
      <c r="E1564" t="str">
        <f>"1-69-16"</f>
        <v>1-69-16</v>
      </c>
      <c r="F1564" t="s">
        <v>83</v>
      </c>
      <c r="G1564" t="s">
        <v>84</v>
      </c>
      <c r="H1564" t="s">
        <v>85</v>
      </c>
      <c r="AC1564">
        <v>0</v>
      </c>
      <c r="AD1564">
        <v>1</v>
      </c>
      <c r="AE1564">
        <v>0</v>
      </c>
      <c r="AF1564">
        <v>0</v>
      </c>
      <c r="AG1564">
        <v>1</v>
      </c>
      <c r="AJ1564">
        <v>0</v>
      </c>
      <c r="AK1564">
        <v>0</v>
      </c>
      <c r="AL1564">
        <v>0</v>
      </c>
      <c r="AM1564">
        <v>0</v>
      </c>
      <c r="AN1564">
        <v>1</v>
      </c>
      <c r="AO1564">
        <v>0</v>
      </c>
      <c r="AP1564">
        <v>0</v>
      </c>
      <c r="AQ1564">
        <v>0</v>
      </c>
      <c r="AR1564">
        <v>0</v>
      </c>
      <c r="AS1564">
        <v>1</v>
      </c>
      <c r="AT1564">
        <v>0</v>
      </c>
      <c r="AV1564">
        <v>0</v>
      </c>
      <c r="AW1564">
        <v>0</v>
      </c>
    </row>
    <row r="1565" spans="1:49" x14ac:dyDescent="0.25">
      <c r="A1565" t="str">
        <f>"1561"</f>
        <v>1561</v>
      </c>
      <c r="B1565" t="str">
        <f t="shared" si="86"/>
        <v>1</v>
      </c>
      <c r="C1565" t="str">
        <f t="shared" si="89"/>
        <v>69</v>
      </c>
      <c r="D1565" t="str">
        <f>"9"</f>
        <v>9</v>
      </c>
      <c r="E1565" t="str">
        <f>"1-69-9"</f>
        <v>1-69-9</v>
      </c>
      <c r="F1565" t="s">
        <v>83</v>
      </c>
      <c r="G1565" t="s">
        <v>84</v>
      </c>
      <c r="H1565" t="s">
        <v>92</v>
      </c>
      <c r="I1565">
        <v>1</v>
      </c>
      <c r="J1565">
        <v>1</v>
      </c>
      <c r="N1565">
        <v>1</v>
      </c>
      <c r="O1565">
        <v>1</v>
      </c>
      <c r="P1565">
        <v>1</v>
      </c>
      <c r="Q1565">
        <v>1</v>
      </c>
      <c r="R1565">
        <v>1</v>
      </c>
      <c r="S1565">
        <v>0</v>
      </c>
      <c r="T1565">
        <v>1</v>
      </c>
      <c r="W1565">
        <v>1</v>
      </c>
      <c r="X1565">
        <v>1</v>
      </c>
      <c r="Y1565">
        <v>1</v>
      </c>
      <c r="Z1565">
        <v>1</v>
      </c>
      <c r="AA1565">
        <v>1</v>
      </c>
      <c r="AB1565">
        <v>1</v>
      </c>
    </row>
    <row r="1566" spans="1:49" x14ac:dyDescent="0.25">
      <c r="A1566" t="str">
        <f>"1562"</f>
        <v>1562</v>
      </c>
      <c r="B1566" t="str">
        <f t="shared" ref="B1566:B1629" si="90">"1"</f>
        <v>1</v>
      </c>
      <c r="C1566" t="str">
        <f t="shared" si="89"/>
        <v>69</v>
      </c>
      <c r="D1566" t="str">
        <f>"3"</f>
        <v>3</v>
      </c>
      <c r="E1566" t="str">
        <f>"1-69-3"</f>
        <v>1-69-3</v>
      </c>
      <c r="F1566" t="s">
        <v>83</v>
      </c>
      <c r="G1566" t="s">
        <v>84</v>
      </c>
      <c r="H1566" t="s">
        <v>92</v>
      </c>
      <c r="I1566">
        <v>1</v>
      </c>
      <c r="J1566">
        <v>1</v>
      </c>
      <c r="N1566">
        <v>1</v>
      </c>
      <c r="O1566">
        <v>1</v>
      </c>
      <c r="P1566">
        <v>1</v>
      </c>
      <c r="Q1566">
        <v>1</v>
      </c>
      <c r="R1566">
        <v>1</v>
      </c>
      <c r="S1566">
        <v>1</v>
      </c>
      <c r="T1566">
        <v>1</v>
      </c>
      <c r="W1566">
        <v>1</v>
      </c>
      <c r="X1566">
        <v>1</v>
      </c>
      <c r="Y1566">
        <v>1</v>
      </c>
      <c r="Z1566">
        <v>1</v>
      </c>
      <c r="AA1566">
        <v>1</v>
      </c>
      <c r="AB1566">
        <v>1</v>
      </c>
    </row>
    <row r="1567" spans="1:49" x14ac:dyDescent="0.25">
      <c r="A1567" t="str">
        <f>"1563"</f>
        <v>1563</v>
      </c>
      <c r="B1567" t="str">
        <f t="shared" si="90"/>
        <v>1</v>
      </c>
      <c r="C1567" t="str">
        <f t="shared" si="89"/>
        <v>69</v>
      </c>
      <c r="D1567" t="str">
        <f>"17"</f>
        <v>17</v>
      </c>
      <c r="E1567" t="str">
        <f>"1-69-17"</f>
        <v>1-69-17</v>
      </c>
      <c r="F1567" t="s">
        <v>83</v>
      </c>
      <c r="G1567" t="s">
        <v>84</v>
      </c>
      <c r="H1567" t="s">
        <v>85</v>
      </c>
      <c r="AC1567">
        <v>0</v>
      </c>
      <c r="AD1567">
        <v>1</v>
      </c>
      <c r="AE1567">
        <v>0</v>
      </c>
      <c r="AF1567">
        <v>0</v>
      </c>
      <c r="AG1567">
        <v>1</v>
      </c>
      <c r="AJ1567">
        <v>0</v>
      </c>
      <c r="AK1567">
        <v>1</v>
      </c>
      <c r="AL1567">
        <v>0</v>
      </c>
      <c r="AM1567">
        <v>0</v>
      </c>
      <c r="AN1567">
        <v>1</v>
      </c>
      <c r="AO1567">
        <v>1</v>
      </c>
      <c r="AP1567">
        <v>1</v>
      </c>
      <c r="AQ1567">
        <v>1</v>
      </c>
      <c r="AR1567">
        <v>1</v>
      </c>
      <c r="AS1567">
        <v>0</v>
      </c>
      <c r="AT1567">
        <v>1</v>
      </c>
      <c r="AV1567">
        <v>1</v>
      </c>
      <c r="AW1567">
        <v>1</v>
      </c>
    </row>
    <row r="1568" spans="1:49" x14ac:dyDescent="0.25">
      <c r="A1568" t="str">
        <f>"1564"</f>
        <v>1564</v>
      </c>
      <c r="B1568" t="str">
        <f t="shared" si="90"/>
        <v>1</v>
      </c>
      <c r="C1568" t="str">
        <f t="shared" si="89"/>
        <v>69</v>
      </c>
      <c r="D1568" t="str">
        <f>"10"</f>
        <v>10</v>
      </c>
      <c r="E1568" t="str">
        <f>"1-69-10"</f>
        <v>1-69-10</v>
      </c>
      <c r="F1568" t="s">
        <v>83</v>
      </c>
      <c r="G1568" t="s">
        <v>84</v>
      </c>
      <c r="H1568" t="s">
        <v>92</v>
      </c>
      <c r="I1568">
        <v>1</v>
      </c>
      <c r="J1568">
        <v>1</v>
      </c>
      <c r="N1568">
        <v>1</v>
      </c>
      <c r="O1568">
        <v>1</v>
      </c>
      <c r="P1568">
        <v>1</v>
      </c>
      <c r="Q1568">
        <v>1</v>
      </c>
      <c r="R1568">
        <v>1</v>
      </c>
      <c r="S1568">
        <v>1</v>
      </c>
      <c r="T1568">
        <v>1</v>
      </c>
      <c r="W1568">
        <v>1</v>
      </c>
      <c r="X1568">
        <v>1</v>
      </c>
      <c r="Y1568">
        <v>1</v>
      </c>
      <c r="Z1568">
        <v>1</v>
      </c>
      <c r="AA1568">
        <v>1</v>
      </c>
      <c r="AB1568">
        <v>1</v>
      </c>
    </row>
    <row r="1569" spans="1:49" x14ac:dyDescent="0.25">
      <c r="A1569" t="str">
        <f>"1565"</f>
        <v>1565</v>
      </c>
      <c r="B1569" t="str">
        <f t="shared" si="90"/>
        <v>1</v>
      </c>
      <c r="C1569" t="str">
        <f t="shared" si="89"/>
        <v>69</v>
      </c>
      <c r="D1569" t="str">
        <f>"4"</f>
        <v>4</v>
      </c>
      <c r="E1569" t="str">
        <f>"1-69-4"</f>
        <v>1-69-4</v>
      </c>
      <c r="F1569" t="s">
        <v>83</v>
      </c>
      <c r="G1569" t="s">
        <v>84</v>
      </c>
      <c r="H1569" t="s">
        <v>85</v>
      </c>
      <c r="AC1569">
        <v>0</v>
      </c>
      <c r="AD1569">
        <v>1</v>
      </c>
      <c r="AE1569">
        <v>0</v>
      </c>
      <c r="AF1569">
        <v>0</v>
      </c>
      <c r="AG1569">
        <v>0</v>
      </c>
      <c r="AJ1569">
        <v>0</v>
      </c>
      <c r="AK1569">
        <v>1</v>
      </c>
      <c r="AL1569">
        <v>0</v>
      </c>
      <c r="AM1569">
        <v>0</v>
      </c>
      <c r="AN1569">
        <v>1</v>
      </c>
      <c r="AO1569">
        <v>0</v>
      </c>
      <c r="AP1569">
        <v>0</v>
      </c>
      <c r="AQ1569">
        <v>0</v>
      </c>
      <c r="AR1569">
        <v>0</v>
      </c>
      <c r="AS1569">
        <v>1</v>
      </c>
      <c r="AT1569">
        <v>0</v>
      </c>
      <c r="AV1569">
        <v>0</v>
      </c>
      <c r="AW1569">
        <v>0</v>
      </c>
    </row>
    <row r="1570" spans="1:49" x14ac:dyDescent="0.25">
      <c r="A1570" t="str">
        <f>"1566"</f>
        <v>1566</v>
      </c>
      <c r="B1570" t="str">
        <f t="shared" si="90"/>
        <v>1</v>
      </c>
      <c r="C1570" t="str">
        <f t="shared" si="89"/>
        <v>69</v>
      </c>
      <c r="D1570" t="str">
        <f>"12"</f>
        <v>12</v>
      </c>
      <c r="E1570" t="str">
        <f>"1-69-12"</f>
        <v>1-69-12</v>
      </c>
      <c r="F1570" t="s">
        <v>83</v>
      </c>
      <c r="G1570" t="s">
        <v>84</v>
      </c>
      <c r="H1570" t="s">
        <v>85</v>
      </c>
      <c r="AC1570">
        <v>0</v>
      </c>
      <c r="AD1570">
        <v>1</v>
      </c>
      <c r="AE1570">
        <v>0</v>
      </c>
      <c r="AF1570">
        <v>0</v>
      </c>
      <c r="AG1570">
        <v>0</v>
      </c>
      <c r="AJ1570">
        <v>0</v>
      </c>
      <c r="AK1570">
        <v>1</v>
      </c>
      <c r="AL1570">
        <v>0</v>
      </c>
      <c r="AM1570">
        <v>0</v>
      </c>
      <c r="AN1570">
        <v>1</v>
      </c>
      <c r="AO1570">
        <v>0</v>
      </c>
      <c r="AP1570">
        <v>0</v>
      </c>
      <c r="AQ1570">
        <v>0</v>
      </c>
      <c r="AR1570">
        <v>0</v>
      </c>
      <c r="AS1570">
        <v>0</v>
      </c>
      <c r="AT1570">
        <v>1</v>
      </c>
      <c r="AV1570">
        <v>0</v>
      </c>
      <c r="AW1570">
        <v>0</v>
      </c>
    </row>
    <row r="1571" spans="1:49" x14ac:dyDescent="0.25">
      <c r="A1571" t="str">
        <f>"1567"</f>
        <v>1567</v>
      </c>
      <c r="B1571" t="str">
        <f t="shared" si="90"/>
        <v>1</v>
      </c>
      <c r="C1571" t="str">
        <f t="shared" si="89"/>
        <v>69</v>
      </c>
      <c r="D1571" t="str">
        <f>"7"</f>
        <v>7</v>
      </c>
      <c r="E1571" t="str">
        <f>"1-69-7"</f>
        <v>1-69-7</v>
      </c>
      <c r="F1571" t="s">
        <v>83</v>
      </c>
      <c r="G1571" t="s">
        <v>86</v>
      </c>
      <c r="H1571" t="s">
        <v>87</v>
      </c>
      <c r="AC1571">
        <v>0</v>
      </c>
      <c r="AD1571">
        <v>1</v>
      </c>
      <c r="AE1571">
        <v>0</v>
      </c>
      <c r="AF1571">
        <v>0</v>
      </c>
      <c r="AH1571">
        <v>1</v>
      </c>
      <c r="AI1571">
        <v>0</v>
      </c>
      <c r="AJ1571">
        <v>0</v>
      </c>
      <c r="AK1571">
        <v>1</v>
      </c>
      <c r="AL1571">
        <v>0</v>
      </c>
      <c r="AM1571">
        <v>0</v>
      </c>
      <c r="AN1571">
        <v>1</v>
      </c>
      <c r="AO1571">
        <v>1</v>
      </c>
      <c r="AP1571">
        <v>1</v>
      </c>
      <c r="AQ1571">
        <v>1</v>
      </c>
      <c r="AU1571">
        <v>1</v>
      </c>
      <c r="AV1571">
        <v>1</v>
      </c>
      <c r="AW1571">
        <v>1</v>
      </c>
    </row>
    <row r="1572" spans="1:49" x14ac:dyDescent="0.25">
      <c r="A1572" t="str">
        <f>"1568"</f>
        <v>1568</v>
      </c>
      <c r="B1572" t="str">
        <f t="shared" si="90"/>
        <v>1</v>
      </c>
      <c r="C1572" t="str">
        <f t="shared" si="89"/>
        <v>69</v>
      </c>
      <c r="D1572" t="str">
        <f>"13"</f>
        <v>13</v>
      </c>
      <c r="E1572" t="str">
        <f>"1-69-13"</f>
        <v>1-69-13</v>
      </c>
      <c r="F1572" t="s">
        <v>83</v>
      </c>
      <c r="G1572" t="s">
        <v>84</v>
      </c>
      <c r="H1572" t="s">
        <v>85</v>
      </c>
      <c r="AC1572">
        <v>0</v>
      </c>
      <c r="AD1572">
        <v>1</v>
      </c>
      <c r="AE1572">
        <v>0</v>
      </c>
      <c r="AF1572">
        <v>0</v>
      </c>
      <c r="AG1572">
        <v>0</v>
      </c>
      <c r="AJ1572">
        <v>0</v>
      </c>
      <c r="AK1572">
        <v>1</v>
      </c>
      <c r="AL1572">
        <v>0</v>
      </c>
      <c r="AM1572">
        <v>0</v>
      </c>
      <c r="AN1572">
        <v>0</v>
      </c>
      <c r="AO1572">
        <v>0</v>
      </c>
      <c r="AP1572">
        <v>0</v>
      </c>
      <c r="AQ1572">
        <v>0</v>
      </c>
      <c r="AR1572">
        <v>1</v>
      </c>
      <c r="AS1572">
        <v>0</v>
      </c>
      <c r="AT1572">
        <v>1</v>
      </c>
      <c r="AV1572">
        <v>1</v>
      </c>
      <c r="AW1572">
        <v>1</v>
      </c>
    </row>
    <row r="1573" spans="1:49" x14ac:dyDescent="0.25">
      <c r="A1573" t="str">
        <f>"1569"</f>
        <v>1569</v>
      </c>
      <c r="B1573" t="str">
        <f t="shared" si="90"/>
        <v>1</v>
      </c>
      <c r="C1573" t="str">
        <f t="shared" si="89"/>
        <v>69</v>
      </c>
      <c r="D1573" t="str">
        <f>"1"</f>
        <v>1</v>
      </c>
      <c r="E1573" t="str">
        <f>"1-69-1"</f>
        <v>1-69-1</v>
      </c>
      <c r="F1573" t="s">
        <v>83</v>
      </c>
      <c r="G1573" t="s">
        <v>84</v>
      </c>
      <c r="H1573" t="s">
        <v>92</v>
      </c>
      <c r="I1573">
        <v>1</v>
      </c>
      <c r="J1573">
        <v>1</v>
      </c>
      <c r="N1573">
        <v>1</v>
      </c>
      <c r="O1573">
        <v>1</v>
      </c>
      <c r="P1573">
        <v>1</v>
      </c>
      <c r="Q1573">
        <v>1</v>
      </c>
      <c r="R1573">
        <v>1</v>
      </c>
      <c r="S1573">
        <v>1</v>
      </c>
      <c r="T1573">
        <v>1</v>
      </c>
      <c r="W1573">
        <v>1</v>
      </c>
      <c r="X1573">
        <v>1</v>
      </c>
      <c r="Y1573">
        <v>1</v>
      </c>
      <c r="Z1573">
        <v>1</v>
      </c>
      <c r="AA1573">
        <v>1</v>
      </c>
      <c r="AB1573">
        <v>1</v>
      </c>
    </row>
    <row r="1574" spans="1:49" x14ac:dyDescent="0.25">
      <c r="A1574" t="str">
        <f>"1570"</f>
        <v>1570</v>
      </c>
      <c r="B1574" t="str">
        <f t="shared" si="90"/>
        <v>1</v>
      </c>
      <c r="C1574" t="str">
        <f t="shared" si="89"/>
        <v>69</v>
      </c>
      <c r="D1574" t="str">
        <f>"14"</f>
        <v>14</v>
      </c>
      <c r="E1574" t="str">
        <f>"1-69-14"</f>
        <v>1-69-14</v>
      </c>
      <c r="F1574" t="s">
        <v>83</v>
      </c>
      <c r="G1574" t="s">
        <v>84</v>
      </c>
      <c r="H1574" t="s">
        <v>92</v>
      </c>
      <c r="I1574">
        <v>1</v>
      </c>
      <c r="J1574">
        <v>1</v>
      </c>
      <c r="N1574">
        <v>1</v>
      </c>
      <c r="O1574">
        <v>1</v>
      </c>
      <c r="P1574">
        <v>1</v>
      </c>
      <c r="Q1574">
        <v>1</v>
      </c>
      <c r="R1574">
        <v>1</v>
      </c>
      <c r="S1574">
        <v>1</v>
      </c>
      <c r="T1574">
        <v>1</v>
      </c>
      <c r="W1574">
        <v>1</v>
      </c>
      <c r="X1574">
        <v>1</v>
      </c>
      <c r="Y1574">
        <v>1</v>
      </c>
      <c r="Z1574">
        <v>1</v>
      </c>
      <c r="AA1574">
        <v>1</v>
      </c>
      <c r="AB1574">
        <v>1</v>
      </c>
    </row>
    <row r="1575" spans="1:49" x14ac:dyDescent="0.25">
      <c r="A1575" t="str">
        <f>"1571"</f>
        <v>1571</v>
      </c>
      <c r="B1575" t="str">
        <f t="shared" si="90"/>
        <v>1</v>
      </c>
      <c r="C1575" t="str">
        <f t="shared" si="89"/>
        <v>69</v>
      </c>
      <c r="D1575" t="str">
        <f>"6"</f>
        <v>6</v>
      </c>
      <c r="E1575" t="str">
        <f>"1-69-6"</f>
        <v>1-69-6</v>
      </c>
      <c r="F1575" t="s">
        <v>83</v>
      </c>
      <c r="G1575" t="s">
        <v>88</v>
      </c>
      <c r="H1575" t="s">
        <v>89</v>
      </c>
      <c r="AC1575">
        <v>1</v>
      </c>
      <c r="AD1575">
        <v>0</v>
      </c>
      <c r="AE1575">
        <v>0</v>
      </c>
      <c r="AF1575">
        <v>0</v>
      </c>
      <c r="AH1575">
        <v>0</v>
      </c>
      <c r="AI1575">
        <v>1</v>
      </c>
      <c r="AJ1575">
        <v>0</v>
      </c>
      <c r="AK1575">
        <v>1</v>
      </c>
      <c r="AL1575">
        <v>0</v>
      </c>
      <c r="AM1575">
        <v>0</v>
      </c>
      <c r="AN1575">
        <v>1</v>
      </c>
      <c r="AO1575">
        <v>1</v>
      </c>
      <c r="AP1575">
        <v>0</v>
      </c>
      <c r="AQ1575">
        <v>1</v>
      </c>
      <c r="AR1575">
        <v>1</v>
      </c>
      <c r="AS1575">
        <v>1</v>
      </c>
      <c r="AT1575">
        <v>0</v>
      </c>
      <c r="AV1575">
        <v>1</v>
      </c>
      <c r="AW1575">
        <v>1</v>
      </c>
    </row>
    <row r="1576" spans="1:49" x14ac:dyDescent="0.25">
      <c r="A1576" t="str">
        <f>"1572"</f>
        <v>1572</v>
      </c>
      <c r="B1576" t="str">
        <f t="shared" si="90"/>
        <v>1</v>
      </c>
      <c r="C1576" t="str">
        <f t="shared" si="89"/>
        <v>69</v>
      </c>
      <c r="D1576" t="str">
        <f>"15"</f>
        <v>15</v>
      </c>
      <c r="E1576" t="str">
        <f>"1-69-15"</f>
        <v>1-69-15</v>
      </c>
      <c r="F1576" t="s">
        <v>83</v>
      </c>
      <c r="G1576" t="s">
        <v>84</v>
      </c>
      <c r="H1576" t="s">
        <v>92</v>
      </c>
      <c r="I1576">
        <v>1</v>
      </c>
      <c r="J1576">
        <v>1</v>
      </c>
      <c r="N1576">
        <v>1</v>
      </c>
      <c r="O1576">
        <v>1</v>
      </c>
      <c r="P1576">
        <v>1</v>
      </c>
      <c r="Q1576">
        <v>1</v>
      </c>
      <c r="R1576">
        <v>1</v>
      </c>
      <c r="S1576">
        <v>1</v>
      </c>
      <c r="T1576">
        <v>1</v>
      </c>
      <c r="W1576">
        <v>0</v>
      </c>
      <c r="X1576">
        <v>0</v>
      </c>
      <c r="Y1576">
        <v>1</v>
      </c>
      <c r="Z1576">
        <v>1</v>
      </c>
      <c r="AA1576">
        <v>1</v>
      </c>
      <c r="AB1576">
        <v>1</v>
      </c>
    </row>
    <row r="1577" spans="1:49" x14ac:dyDescent="0.25">
      <c r="A1577" t="str">
        <f>"1573"</f>
        <v>1573</v>
      </c>
      <c r="B1577" t="str">
        <f t="shared" si="90"/>
        <v>1</v>
      </c>
      <c r="C1577" t="str">
        <f t="shared" si="89"/>
        <v>69</v>
      </c>
      <c r="D1577" t="str">
        <f>"5"</f>
        <v>5</v>
      </c>
      <c r="E1577" t="str">
        <f>"1-69-5"</f>
        <v>1-69-5</v>
      </c>
      <c r="F1577" t="s">
        <v>83</v>
      </c>
      <c r="G1577" t="s">
        <v>90</v>
      </c>
      <c r="H1577" t="s">
        <v>94</v>
      </c>
      <c r="I1577">
        <v>1</v>
      </c>
      <c r="K1577">
        <v>1</v>
      </c>
      <c r="L1577">
        <v>0</v>
      </c>
      <c r="M1577">
        <v>0</v>
      </c>
      <c r="N1577">
        <v>1</v>
      </c>
      <c r="O1577">
        <v>1</v>
      </c>
      <c r="P1577">
        <v>1</v>
      </c>
      <c r="Q1577">
        <v>1</v>
      </c>
      <c r="R1577">
        <v>1</v>
      </c>
      <c r="S1577">
        <v>1</v>
      </c>
      <c r="U1577">
        <v>0</v>
      </c>
      <c r="V1577">
        <v>1</v>
      </c>
      <c r="W1577">
        <v>1</v>
      </c>
      <c r="X1577">
        <v>1</v>
      </c>
      <c r="Y1577">
        <v>1</v>
      </c>
      <c r="Z1577">
        <v>1</v>
      </c>
      <c r="AA1577">
        <v>1</v>
      </c>
      <c r="AB1577">
        <v>1</v>
      </c>
    </row>
    <row r="1578" spans="1:49" x14ac:dyDescent="0.25">
      <c r="A1578" t="str">
        <f>"1574"</f>
        <v>1574</v>
      </c>
      <c r="B1578" t="str">
        <f t="shared" si="90"/>
        <v>1</v>
      </c>
      <c r="C1578" t="str">
        <f t="shared" ref="C1578:C1600" si="91">"70"</f>
        <v>70</v>
      </c>
      <c r="D1578" t="str">
        <f>"16"</f>
        <v>16</v>
      </c>
      <c r="E1578" t="str">
        <f>"1-70-16"</f>
        <v>1-70-16</v>
      </c>
      <c r="F1578" t="s">
        <v>83</v>
      </c>
      <c r="G1578" t="s">
        <v>84</v>
      </c>
      <c r="H1578" t="s">
        <v>92</v>
      </c>
      <c r="I1578">
        <v>1</v>
      </c>
      <c r="J1578">
        <v>1</v>
      </c>
      <c r="N1578">
        <v>1</v>
      </c>
      <c r="O1578">
        <v>1</v>
      </c>
      <c r="P1578">
        <v>1</v>
      </c>
      <c r="Q1578">
        <v>1</v>
      </c>
      <c r="R1578">
        <v>1</v>
      </c>
      <c r="S1578">
        <v>1</v>
      </c>
      <c r="T1578">
        <v>1</v>
      </c>
      <c r="W1578">
        <v>1</v>
      </c>
      <c r="X1578">
        <v>1</v>
      </c>
      <c r="Y1578">
        <v>1</v>
      </c>
      <c r="Z1578">
        <v>1</v>
      </c>
      <c r="AA1578">
        <v>1</v>
      </c>
      <c r="AB1578">
        <v>1</v>
      </c>
    </row>
    <row r="1579" spans="1:49" x14ac:dyDescent="0.25">
      <c r="A1579" t="str">
        <f>"1575"</f>
        <v>1575</v>
      </c>
      <c r="B1579" t="str">
        <f t="shared" si="90"/>
        <v>1</v>
      </c>
      <c r="C1579" t="str">
        <f t="shared" si="91"/>
        <v>70</v>
      </c>
      <c r="D1579" t="str">
        <f>"9"</f>
        <v>9</v>
      </c>
      <c r="E1579" t="str">
        <f>"1-70-9"</f>
        <v>1-70-9</v>
      </c>
      <c r="F1579" t="s">
        <v>83</v>
      </c>
      <c r="G1579" t="s">
        <v>84</v>
      </c>
      <c r="H1579" t="s">
        <v>92</v>
      </c>
      <c r="I1579">
        <v>1</v>
      </c>
      <c r="J1579">
        <v>1</v>
      </c>
      <c r="N1579">
        <v>1</v>
      </c>
      <c r="O1579">
        <v>0</v>
      </c>
      <c r="P1579">
        <v>0</v>
      </c>
      <c r="Q1579">
        <v>0</v>
      </c>
      <c r="R1579">
        <v>0</v>
      </c>
      <c r="S1579">
        <v>0</v>
      </c>
      <c r="T1579">
        <v>0</v>
      </c>
      <c r="W1579">
        <v>0</v>
      </c>
      <c r="X1579">
        <v>0</v>
      </c>
      <c r="Y1579">
        <v>0</v>
      </c>
      <c r="Z1579">
        <v>0</v>
      </c>
      <c r="AA1579">
        <v>0</v>
      </c>
      <c r="AB1579">
        <v>0</v>
      </c>
    </row>
    <row r="1580" spans="1:49" x14ac:dyDescent="0.25">
      <c r="A1580" t="str">
        <f>"1576"</f>
        <v>1576</v>
      </c>
      <c r="B1580" t="str">
        <f t="shared" si="90"/>
        <v>1</v>
      </c>
      <c r="C1580" t="str">
        <f t="shared" si="91"/>
        <v>70</v>
      </c>
      <c r="D1580" t="str">
        <f>"2"</f>
        <v>2</v>
      </c>
      <c r="E1580" t="str">
        <f>"1-70-2"</f>
        <v>1-70-2</v>
      </c>
      <c r="F1580" t="s">
        <v>83</v>
      </c>
      <c r="G1580" t="s">
        <v>84</v>
      </c>
      <c r="H1580" t="s">
        <v>92</v>
      </c>
      <c r="I1580">
        <v>1</v>
      </c>
      <c r="J1580">
        <v>1</v>
      </c>
      <c r="N1580">
        <v>1</v>
      </c>
      <c r="O1580">
        <v>1</v>
      </c>
      <c r="P1580">
        <v>1</v>
      </c>
      <c r="Q1580">
        <v>1</v>
      </c>
      <c r="R1580">
        <v>1</v>
      </c>
      <c r="S1580">
        <v>1</v>
      </c>
      <c r="T1580">
        <v>1</v>
      </c>
      <c r="W1580">
        <v>1</v>
      </c>
      <c r="X1580">
        <v>1</v>
      </c>
      <c r="Y1580">
        <v>1</v>
      </c>
      <c r="Z1580">
        <v>1</v>
      </c>
      <c r="AA1580">
        <v>1</v>
      </c>
      <c r="AB1580">
        <v>1</v>
      </c>
    </row>
    <row r="1581" spans="1:49" x14ac:dyDescent="0.25">
      <c r="A1581" t="str">
        <f>"1577"</f>
        <v>1577</v>
      </c>
      <c r="B1581" t="str">
        <f t="shared" si="90"/>
        <v>1</v>
      </c>
      <c r="C1581" t="str">
        <f t="shared" si="91"/>
        <v>70</v>
      </c>
      <c r="D1581" t="str">
        <f>"23"</f>
        <v>23</v>
      </c>
      <c r="E1581" t="str">
        <f>"1-70-23"</f>
        <v>1-70-23</v>
      </c>
      <c r="F1581" t="s">
        <v>83</v>
      </c>
      <c r="G1581" t="s">
        <v>86</v>
      </c>
      <c r="H1581" t="s">
        <v>93</v>
      </c>
      <c r="I1581">
        <v>1</v>
      </c>
      <c r="K1581">
        <v>0</v>
      </c>
      <c r="L1581">
        <v>0</v>
      </c>
      <c r="M1581">
        <v>1</v>
      </c>
      <c r="N1581">
        <v>1</v>
      </c>
      <c r="O1581">
        <v>1</v>
      </c>
      <c r="P1581">
        <v>1</v>
      </c>
      <c r="Q1581">
        <v>1</v>
      </c>
      <c r="R1581">
        <v>1</v>
      </c>
      <c r="U1581">
        <v>1</v>
      </c>
      <c r="V1581">
        <v>0</v>
      </c>
      <c r="W1581">
        <v>1</v>
      </c>
      <c r="X1581">
        <v>1</v>
      </c>
      <c r="Y1581">
        <v>1</v>
      </c>
      <c r="Z1581">
        <v>1</v>
      </c>
      <c r="AA1581">
        <v>1</v>
      </c>
      <c r="AB1581">
        <v>1</v>
      </c>
    </row>
    <row r="1582" spans="1:49" x14ac:dyDescent="0.25">
      <c r="A1582" t="str">
        <f>"1578"</f>
        <v>1578</v>
      </c>
      <c r="B1582" t="str">
        <f t="shared" si="90"/>
        <v>1</v>
      </c>
      <c r="C1582" t="str">
        <f t="shared" si="91"/>
        <v>70</v>
      </c>
      <c r="D1582" t="str">
        <f>"22"</f>
        <v>22</v>
      </c>
      <c r="E1582" t="str">
        <f>"1-70-22"</f>
        <v>1-70-22</v>
      </c>
      <c r="F1582" t="s">
        <v>83</v>
      </c>
      <c r="G1582" t="s">
        <v>86</v>
      </c>
      <c r="H1582" t="s">
        <v>93</v>
      </c>
      <c r="I1582">
        <v>1</v>
      </c>
      <c r="K1582">
        <v>0</v>
      </c>
      <c r="L1582">
        <v>0</v>
      </c>
      <c r="M1582">
        <v>1</v>
      </c>
      <c r="N1582">
        <v>1</v>
      </c>
      <c r="O1582">
        <v>1</v>
      </c>
      <c r="P1582">
        <v>1</v>
      </c>
      <c r="Q1582">
        <v>1</v>
      </c>
      <c r="R1582">
        <v>1</v>
      </c>
      <c r="U1582">
        <v>0</v>
      </c>
      <c r="V1582">
        <v>1</v>
      </c>
      <c r="W1582">
        <v>1</v>
      </c>
      <c r="X1582">
        <v>1</v>
      </c>
      <c r="Y1582">
        <v>1</v>
      </c>
      <c r="Z1582">
        <v>1</v>
      </c>
      <c r="AA1582">
        <v>1</v>
      </c>
      <c r="AB1582">
        <v>1</v>
      </c>
    </row>
    <row r="1583" spans="1:49" x14ac:dyDescent="0.25">
      <c r="A1583" t="str">
        <f>"1579"</f>
        <v>1579</v>
      </c>
      <c r="B1583" t="str">
        <f t="shared" si="90"/>
        <v>1</v>
      </c>
      <c r="C1583" t="str">
        <f t="shared" si="91"/>
        <v>70</v>
      </c>
      <c r="D1583" t="str">
        <f>"15"</f>
        <v>15</v>
      </c>
      <c r="E1583" t="str">
        <f>"1-70-15"</f>
        <v>1-70-15</v>
      </c>
      <c r="F1583" t="s">
        <v>83</v>
      </c>
      <c r="G1583" t="s">
        <v>84</v>
      </c>
      <c r="H1583" t="s">
        <v>92</v>
      </c>
      <c r="I1583">
        <v>1</v>
      </c>
      <c r="J1583">
        <v>1</v>
      </c>
      <c r="N1583">
        <v>1</v>
      </c>
      <c r="O1583">
        <v>1</v>
      </c>
      <c r="P1583">
        <v>1</v>
      </c>
      <c r="Q1583">
        <v>1</v>
      </c>
      <c r="R1583">
        <v>1</v>
      </c>
      <c r="S1583">
        <v>1</v>
      </c>
      <c r="T1583">
        <v>1</v>
      </c>
      <c r="W1583">
        <v>1</v>
      </c>
      <c r="X1583">
        <v>1</v>
      </c>
      <c r="Y1583">
        <v>1</v>
      </c>
      <c r="Z1583">
        <v>1</v>
      </c>
      <c r="AA1583">
        <v>1</v>
      </c>
      <c r="AB1583">
        <v>1</v>
      </c>
    </row>
    <row r="1584" spans="1:49" x14ac:dyDescent="0.25">
      <c r="A1584" t="str">
        <f>"1580"</f>
        <v>1580</v>
      </c>
      <c r="B1584" t="str">
        <f t="shared" si="90"/>
        <v>1</v>
      </c>
      <c r="C1584" t="str">
        <f t="shared" si="91"/>
        <v>70</v>
      </c>
      <c r="D1584" t="str">
        <f>"8"</f>
        <v>8</v>
      </c>
      <c r="E1584" t="str">
        <f>"1-70-8"</f>
        <v>1-70-8</v>
      </c>
      <c r="F1584" t="s">
        <v>83</v>
      </c>
      <c r="G1584" t="s">
        <v>84</v>
      </c>
      <c r="H1584" t="s">
        <v>92</v>
      </c>
      <c r="I1584">
        <v>1</v>
      </c>
      <c r="J1584">
        <v>1</v>
      </c>
      <c r="N1584">
        <v>1</v>
      </c>
      <c r="O1584">
        <v>1</v>
      </c>
      <c r="P1584">
        <v>1</v>
      </c>
      <c r="Q1584">
        <v>1</v>
      </c>
      <c r="R1584">
        <v>0</v>
      </c>
      <c r="S1584">
        <v>0</v>
      </c>
      <c r="T1584">
        <v>0</v>
      </c>
      <c r="W1584">
        <v>1</v>
      </c>
      <c r="X1584">
        <v>1</v>
      </c>
      <c r="Y1584">
        <v>1</v>
      </c>
      <c r="Z1584">
        <v>1</v>
      </c>
      <c r="AA1584">
        <v>1</v>
      </c>
      <c r="AB1584">
        <v>1</v>
      </c>
    </row>
    <row r="1585" spans="1:28" x14ac:dyDescent="0.25">
      <c r="A1585" t="str">
        <f>"1581"</f>
        <v>1581</v>
      </c>
      <c r="B1585" t="str">
        <f t="shared" si="90"/>
        <v>1</v>
      </c>
      <c r="C1585" t="str">
        <f t="shared" si="91"/>
        <v>70</v>
      </c>
      <c r="D1585" t="str">
        <f>"5"</f>
        <v>5</v>
      </c>
      <c r="E1585" t="str">
        <f>"1-70-5"</f>
        <v>1-70-5</v>
      </c>
      <c r="F1585" t="s">
        <v>83</v>
      </c>
      <c r="G1585" t="s">
        <v>84</v>
      </c>
      <c r="H1585" t="s">
        <v>92</v>
      </c>
      <c r="I1585">
        <v>1</v>
      </c>
      <c r="J1585">
        <v>1</v>
      </c>
      <c r="N1585">
        <v>1</v>
      </c>
      <c r="O1585">
        <v>1</v>
      </c>
      <c r="P1585">
        <v>1</v>
      </c>
      <c r="Q1585">
        <v>1</v>
      </c>
      <c r="R1585">
        <v>1</v>
      </c>
      <c r="S1585">
        <v>1</v>
      </c>
      <c r="T1585">
        <v>1</v>
      </c>
      <c r="W1585">
        <v>1</v>
      </c>
      <c r="X1585">
        <v>1</v>
      </c>
      <c r="Y1585">
        <v>1</v>
      </c>
      <c r="Z1585">
        <v>1</v>
      </c>
      <c r="AA1585">
        <v>1</v>
      </c>
      <c r="AB1585">
        <v>1</v>
      </c>
    </row>
    <row r="1586" spans="1:28" x14ac:dyDescent="0.25">
      <c r="A1586" t="str">
        <f>"1582"</f>
        <v>1582</v>
      </c>
      <c r="B1586" t="str">
        <f t="shared" si="90"/>
        <v>1</v>
      </c>
      <c r="C1586" t="str">
        <f t="shared" si="91"/>
        <v>70</v>
      </c>
      <c r="D1586" t="str">
        <f>"19"</f>
        <v>19</v>
      </c>
      <c r="E1586" t="str">
        <f>"1-70-19"</f>
        <v>1-70-19</v>
      </c>
      <c r="F1586" t="s">
        <v>83</v>
      </c>
      <c r="G1586" t="s">
        <v>84</v>
      </c>
      <c r="H1586" t="s">
        <v>92</v>
      </c>
      <c r="I1586">
        <v>0</v>
      </c>
      <c r="J1586">
        <v>1</v>
      </c>
      <c r="N1586">
        <v>1</v>
      </c>
      <c r="O1586">
        <v>0</v>
      </c>
      <c r="P1586">
        <v>0</v>
      </c>
      <c r="Q1586">
        <v>0</v>
      </c>
      <c r="R1586">
        <v>0</v>
      </c>
      <c r="S1586">
        <v>0</v>
      </c>
      <c r="T1586">
        <v>0</v>
      </c>
      <c r="W1586">
        <v>0</v>
      </c>
      <c r="X1586">
        <v>0</v>
      </c>
      <c r="Y1586">
        <v>0</v>
      </c>
      <c r="Z1586">
        <v>0</v>
      </c>
      <c r="AA1586">
        <v>0</v>
      </c>
      <c r="AB1586">
        <v>0</v>
      </c>
    </row>
    <row r="1587" spans="1:28" x14ac:dyDescent="0.25">
      <c r="A1587" t="str">
        <f>"1583"</f>
        <v>1583</v>
      </c>
      <c r="B1587" t="str">
        <f t="shared" si="90"/>
        <v>1</v>
      </c>
      <c r="C1587" t="str">
        <f t="shared" si="91"/>
        <v>70</v>
      </c>
      <c r="D1587" t="str">
        <f>"10"</f>
        <v>10</v>
      </c>
      <c r="E1587" t="str">
        <f>"1-70-10"</f>
        <v>1-70-10</v>
      </c>
      <c r="F1587" t="s">
        <v>83</v>
      </c>
      <c r="G1587" t="s">
        <v>86</v>
      </c>
      <c r="H1587" t="s">
        <v>93</v>
      </c>
      <c r="I1587">
        <v>1</v>
      </c>
      <c r="K1587">
        <v>0</v>
      </c>
      <c r="L1587">
        <v>1</v>
      </c>
      <c r="M1587">
        <v>0</v>
      </c>
      <c r="N1587">
        <v>1</v>
      </c>
      <c r="O1587">
        <v>1</v>
      </c>
      <c r="P1587">
        <v>1</v>
      </c>
      <c r="Q1587">
        <v>1</v>
      </c>
      <c r="R1587">
        <v>1</v>
      </c>
      <c r="U1587">
        <v>0</v>
      </c>
      <c r="V1587">
        <v>1</v>
      </c>
      <c r="W1587">
        <v>1</v>
      </c>
      <c r="X1587">
        <v>1</v>
      </c>
      <c r="Y1587">
        <v>1</v>
      </c>
      <c r="Z1587">
        <v>1</v>
      </c>
      <c r="AA1587">
        <v>1</v>
      </c>
      <c r="AB1587">
        <v>1</v>
      </c>
    </row>
    <row r="1588" spans="1:28" x14ac:dyDescent="0.25">
      <c r="A1588" t="str">
        <f>"1584"</f>
        <v>1584</v>
      </c>
      <c r="B1588" t="str">
        <f t="shared" si="90"/>
        <v>1</v>
      </c>
      <c r="C1588" t="str">
        <f t="shared" si="91"/>
        <v>70</v>
      </c>
      <c r="D1588" t="str">
        <f>"6"</f>
        <v>6</v>
      </c>
      <c r="E1588" t="str">
        <f>"1-70-6"</f>
        <v>1-70-6</v>
      </c>
      <c r="F1588" t="s">
        <v>83</v>
      </c>
      <c r="G1588" t="s">
        <v>84</v>
      </c>
      <c r="H1588" t="s">
        <v>92</v>
      </c>
      <c r="I1588">
        <v>1</v>
      </c>
      <c r="J1588">
        <v>1</v>
      </c>
      <c r="N1588">
        <v>1</v>
      </c>
      <c r="O1588">
        <v>1</v>
      </c>
      <c r="P1588">
        <v>1</v>
      </c>
      <c r="Q1588">
        <v>1</v>
      </c>
      <c r="R1588">
        <v>1</v>
      </c>
      <c r="S1588">
        <v>1</v>
      </c>
      <c r="T1588">
        <v>1</v>
      </c>
      <c r="W1588">
        <v>1</v>
      </c>
      <c r="X1588">
        <v>1</v>
      </c>
      <c r="Y1588">
        <v>1</v>
      </c>
      <c r="Z1588">
        <v>1</v>
      </c>
      <c r="AA1588">
        <v>1</v>
      </c>
      <c r="AB1588">
        <v>1</v>
      </c>
    </row>
    <row r="1589" spans="1:28" x14ac:dyDescent="0.25">
      <c r="A1589" t="str">
        <f>"1585"</f>
        <v>1585</v>
      </c>
      <c r="B1589" t="str">
        <f t="shared" si="90"/>
        <v>1</v>
      </c>
      <c r="C1589" t="str">
        <f t="shared" si="91"/>
        <v>70</v>
      </c>
      <c r="D1589" t="str">
        <f>"18"</f>
        <v>18</v>
      </c>
      <c r="E1589" t="str">
        <f>"1-70-18"</f>
        <v>1-70-18</v>
      </c>
      <c r="F1589" t="s">
        <v>83</v>
      </c>
      <c r="G1589" t="s">
        <v>86</v>
      </c>
      <c r="H1589" t="s">
        <v>93</v>
      </c>
      <c r="I1589">
        <v>1</v>
      </c>
      <c r="K1589">
        <v>0</v>
      </c>
      <c r="L1589">
        <v>0</v>
      </c>
      <c r="M1589">
        <v>1</v>
      </c>
      <c r="N1589">
        <v>1</v>
      </c>
      <c r="O1589">
        <v>1</v>
      </c>
      <c r="P1589">
        <v>1</v>
      </c>
      <c r="Q1589">
        <v>1</v>
      </c>
      <c r="R1589">
        <v>1</v>
      </c>
      <c r="U1589">
        <v>0</v>
      </c>
      <c r="V1589">
        <v>1</v>
      </c>
      <c r="W1589">
        <v>1</v>
      </c>
      <c r="X1589">
        <v>1</v>
      </c>
      <c r="Y1589">
        <v>1</v>
      </c>
      <c r="Z1589">
        <v>1</v>
      </c>
      <c r="AA1589">
        <v>1</v>
      </c>
      <c r="AB1589">
        <v>1</v>
      </c>
    </row>
    <row r="1590" spans="1:28" x14ac:dyDescent="0.25">
      <c r="A1590" t="str">
        <f>"1586"</f>
        <v>1586</v>
      </c>
      <c r="B1590" t="str">
        <f t="shared" si="90"/>
        <v>1</v>
      </c>
      <c r="C1590" t="str">
        <f t="shared" si="91"/>
        <v>70</v>
      </c>
      <c r="D1590" t="str">
        <f>"11"</f>
        <v>11</v>
      </c>
      <c r="E1590" t="str">
        <f>"1-70-11"</f>
        <v>1-70-11</v>
      </c>
      <c r="F1590" t="s">
        <v>83</v>
      </c>
      <c r="G1590" t="s">
        <v>84</v>
      </c>
      <c r="H1590" t="s">
        <v>92</v>
      </c>
      <c r="I1590">
        <v>1</v>
      </c>
      <c r="J1590">
        <v>1</v>
      </c>
      <c r="N1590">
        <v>1</v>
      </c>
      <c r="O1590">
        <v>0</v>
      </c>
      <c r="P1590">
        <v>0</v>
      </c>
      <c r="Q1590">
        <v>0</v>
      </c>
      <c r="R1590">
        <v>0</v>
      </c>
      <c r="S1590">
        <v>1</v>
      </c>
      <c r="T1590">
        <v>0</v>
      </c>
      <c r="W1590">
        <v>1</v>
      </c>
      <c r="X1590">
        <v>1</v>
      </c>
      <c r="Y1590">
        <v>1</v>
      </c>
      <c r="Z1590">
        <v>0</v>
      </c>
      <c r="AA1590">
        <v>0</v>
      </c>
      <c r="AB1590">
        <v>1</v>
      </c>
    </row>
    <row r="1591" spans="1:28" x14ac:dyDescent="0.25">
      <c r="A1591" t="str">
        <f>"1587"</f>
        <v>1587</v>
      </c>
      <c r="B1591" t="str">
        <f t="shared" si="90"/>
        <v>1</v>
      </c>
      <c r="C1591" t="str">
        <f t="shared" si="91"/>
        <v>70</v>
      </c>
      <c r="D1591" t="str">
        <f>"1"</f>
        <v>1</v>
      </c>
      <c r="E1591" t="str">
        <f>"1-70-1"</f>
        <v>1-70-1</v>
      </c>
      <c r="F1591" t="s">
        <v>83</v>
      </c>
      <c r="G1591" t="s">
        <v>84</v>
      </c>
      <c r="H1591" t="s">
        <v>92</v>
      </c>
      <c r="I1591">
        <v>0</v>
      </c>
      <c r="J1591">
        <v>0</v>
      </c>
      <c r="N1591">
        <v>1</v>
      </c>
      <c r="O1591">
        <v>0</v>
      </c>
      <c r="P1591">
        <v>0</v>
      </c>
      <c r="Q1591">
        <v>0</v>
      </c>
      <c r="R1591">
        <v>0</v>
      </c>
      <c r="S1591">
        <v>0</v>
      </c>
      <c r="T1591">
        <v>0</v>
      </c>
      <c r="W1591">
        <v>0</v>
      </c>
      <c r="X1591">
        <v>0</v>
      </c>
      <c r="Y1591">
        <v>0</v>
      </c>
      <c r="Z1591">
        <v>0</v>
      </c>
      <c r="AA1591">
        <v>0</v>
      </c>
      <c r="AB1591">
        <v>0</v>
      </c>
    </row>
    <row r="1592" spans="1:28" x14ac:dyDescent="0.25">
      <c r="A1592" t="str">
        <f>"1588"</f>
        <v>1588</v>
      </c>
      <c r="B1592" t="str">
        <f t="shared" si="90"/>
        <v>1</v>
      </c>
      <c r="C1592" t="str">
        <f t="shared" si="91"/>
        <v>70</v>
      </c>
      <c r="D1592" t="str">
        <f>"17"</f>
        <v>17</v>
      </c>
      <c r="E1592" t="str">
        <f>"1-70-17"</f>
        <v>1-70-17</v>
      </c>
      <c r="F1592" t="s">
        <v>83</v>
      </c>
      <c r="G1592" t="s">
        <v>86</v>
      </c>
      <c r="H1592" t="s">
        <v>93</v>
      </c>
      <c r="I1592">
        <v>1</v>
      </c>
      <c r="K1592">
        <v>0</v>
      </c>
      <c r="L1592">
        <v>0</v>
      </c>
      <c r="M1592">
        <v>1</v>
      </c>
      <c r="N1592">
        <v>1</v>
      </c>
      <c r="O1592">
        <v>1</v>
      </c>
      <c r="P1592">
        <v>1</v>
      </c>
      <c r="Q1592">
        <v>1</v>
      </c>
      <c r="R1592">
        <v>1</v>
      </c>
      <c r="U1592">
        <v>0</v>
      </c>
      <c r="V1592">
        <v>1</v>
      </c>
      <c r="W1592">
        <v>1</v>
      </c>
      <c r="X1592">
        <v>1</v>
      </c>
      <c r="Y1592">
        <v>1</v>
      </c>
      <c r="Z1592">
        <v>1</v>
      </c>
      <c r="AA1592">
        <v>1</v>
      </c>
      <c r="AB1592">
        <v>1</v>
      </c>
    </row>
    <row r="1593" spans="1:28" x14ac:dyDescent="0.25">
      <c r="A1593" t="str">
        <f>"1589"</f>
        <v>1589</v>
      </c>
      <c r="B1593" t="str">
        <f t="shared" si="90"/>
        <v>1</v>
      </c>
      <c r="C1593" t="str">
        <f t="shared" si="91"/>
        <v>70</v>
      </c>
      <c r="D1593" t="str">
        <f>"12"</f>
        <v>12</v>
      </c>
      <c r="E1593" t="str">
        <f>"1-70-12"</f>
        <v>1-70-12</v>
      </c>
      <c r="F1593" t="s">
        <v>83</v>
      </c>
      <c r="G1593" t="s">
        <v>84</v>
      </c>
      <c r="H1593" t="s">
        <v>92</v>
      </c>
      <c r="I1593">
        <v>1</v>
      </c>
      <c r="J1593">
        <v>1</v>
      </c>
      <c r="N1593">
        <v>1</v>
      </c>
      <c r="O1593">
        <v>1</v>
      </c>
      <c r="P1593">
        <v>1</v>
      </c>
      <c r="Q1593">
        <v>1</v>
      </c>
      <c r="R1593">
        <v>1</v>
      </c>
      <c r="S1593">
        <v>1</v>
      </c>
      <c r="T1593">
        <v>1</v>
      </c>
      <c r="W1593">
        <v>1</v>
      </c>
      <c r="X1593">
        <v>1</v>
      </c>
      <c r="Y1593">
        <v>1</v>
      </c>
      <c r="Z1593">
        <v>1</v>
      </c>
      <c r="AA1593">
        <v>1</v>
      </c>
      <c r="AB1593">
        <v>1</v>
      </c>
    </row>
    <row r="1594" spans="1:28" x14ac:dyDescent="0.25">
      <c r="A1594" t="str">
        <f>"1590"</f>
        <v>1590</v>
      </c>
      <c r="B1594" t="str">
        <f t="shared" si="90"/>
        <v>1</v>
      </c>
      <c r="C1594" t="str">
        <f t="shared" si="91"/>
        <v>70</v>
      </c>
      <c r="D1594" t="str">
        <f>"7"</f>
        <v>7</v>
      </c>
      <c r="E1594" t="str">
        <f>"1-70-7"</f>
        <v>1-70-7</v>
      </c>
      <c r="F1594" t="s">
        <v>83</v>
      </c>
      <c r="G1594" t="s">
        <v>84</v>
      </c>
      <c r="H1594" t="s">
        <v>92</v>
      </c>
      <c r="I1594">
        <v>1</v>
      </c>
      <c r="J1594">
        <v>1</v>
      </c>
      <c r="N1594">
        <v>1</v>
      </c>
      <c r="O1594">
        <v>1</v>
      </c>
      <c r="P1594">
        <v>1</v>
      </c>
      <c r="Q1594">
        <v>1</v>
      </c>
      <c r="R1594">
        <v>1</v>
      </c>
      <c r="S1594">
        <v>1</v>
      </c>
      <c r="T1594">
        <v>1</v>
      </c>
      <c r="W1594">
        <v>1</v>
      </c>
      <c r="X1594">
        <v>1</v>
      </c>
      <c r="Y1594">
        <v>1</v>
      </c>
      <c r="Z1594">
        <v>1</v>
      </c>
      <c r="AA1594">
        <v>1</v>
      </c>
      <c r="AB1594">
        <v>1</v>
      </c>
    </row>
    <row r="1595" spans="1:28" x14ac:dyDescent="0.25">
      <c r="A1595" t="str">
        <f>"1591"</f>
        <v>1591</v>
      </c>
      <c r="B1595" t="str">
        <f t="shared" si="90"/>
        <v>1</v>
      </c>
      <c r="C1595" t="str">
        <f t="shared" si="91"/>
        <v>70</v>
      </c>
      <c r="D1595" t="str">
        <f>"21"</f>
        <v>21</v>
      </c>
      <c r="E1595" t="str">
        <f>"1-70-21"</f>
        <v>1-70-21</v>
      </c>
      <c r="F1595" t="s">
        <v>83</v>
      </c>
      <c r="G1595" t="s">
        <v>84</v>
      </c>
      <c r="H1595" t="s">
        <v>92</v>
      </c>
      <c r="I1595">
        <v>1</v>
      </c>
      <c r="J1595">
        <v>1</v>
      </c>
      <c r="N1595">
        <v>1</v>
      </c>
      <c r="O1595">
        <v>1</v>
      </c>
      <c r="P1595">
        <v>1</v>
      </c>
      <c r="Q1595">
        <v>1</v>
      </c>
      <c r="R1595">
        <v>1</v>
      </c>
      <c r="S1595">
        <v>1</v>
      </c>
      <c r="T1595">
        <v>0</v>
      </c>
      <c r="W1595">
        <v>1</v>
      </c>
      <c r="X1595">
        <v>1</v>
      </c>
      <c r="Y1595">
        <v>1</v>
      </c>
      <c r="Z1595">
        <v>1</v>
      </c>
      <c r="AA1595">
        <v>1</v>
      </c>
      <c r="AB1595">
        <v>1</v>
      </c>
    </row>
    <row r="1596" spans="1:28" x14ac:dyDescent="0.25">
      <c r="A1596" t="str">
        <f>"1592"</f>
        <v>1592</v>
      </c>
      <c r="B1596" t="str">
        <f t="shared" si="90"/>
        <v>1</v>
      </c>
      <c r="C1596" t="str">
        <f t="shared" si="91"/>
        <v>70</v>
      </c>
      <c r="D1596" t="str">
        <f>"13"</f>
        <v>13</v>
      </c>
      <c r="E1596" t="str">
        <f>"1-70-13"</f>
        <v>1-70-13</v>
      </c>
      <c r="F1596" t="s">
        <v>83</v>
      </c>
      <c r="G1596" t="s">
        <v>86</v>
      </c>
      <c r="H1596" t="s">
        <v>93</v>
      </c>
      <c r="I1596">
        <v>1</v>
      </c>
      <c r="K1596">
        <v>0</v>
      </c>
      <c r="L1596">
        <v>0</v>
      </c>
      <c r="M1596">
        <v>1</v>
      </c>
      <c r="N1596">
        <v>1</v>
      </c>
      <c r="O1596">
        <v>1</v>
      </c>
      <c r="P1596">
        <v>1</v>
      </c>
      <c r="Q1596">
        <v>1</v>
      </c>
      <c r="R1596">
        <v>1</v>
      </c>
      <c r="U1596">
        <v>1</v>
      </c>
      <c r="V1596">
        <v>0</v>
      </c>
      <c r="W1596">
        <v>1</v>
      </c>
      <c r="X1596">
        <v>1</v>
      </c>
      <c r="Y1596">
        <v>1</v>
      </c>
      <c r="Z1596">
        <v>1</v>
      </c>
      <c r="AA1596">
        <v>1</v>
      </c>
      <c r="AB1596">
        <v>1</v>
      </c>
    </row>
    <row r="1597" spans="1:28" x14ac:dyDescent="0.25">
      <c r="A1597" t="str">
        <f>"1593"</f>
        <v>1593</v>
      </c>
      <c r="B1597" t="str">
        <f t="shared" si="90"/>
        <v>1</v>
      </c>
      <c r="C1597" t="str">
        <f t="shared" si="91"/>
        <v>70</v>
      </c>
      <c r="D1597" t="str">
        <f>"4"</f>
        <v>4</v>
      </c>
      <c r="E1597" t="str">
        <f>"1-70-4"</f>
        <v>1-70-4</v>
      </c>
      <c r="F1597" t="s">
        <v>83</v>
      </c>
      <c r="G1597" t="s">
        <v>84</v>
      </c>
      <c r="H1597" t="s">
        <v>92</v>
      </c>
      <c r="I1597">
        <v>0</v>
      </c>
      <c r="J1597">
        <v>0</v>
      </c>
      <c r="N1597">
        <v>1</v>
      </c>
      <c r="O1597">
        <v>1</v>
      </c>
      <c r="P1597">
        <v>1</v>
      </c>
      <c r="Q1597">
        <v>1</v>
      </c>
      <c r="R1597">
        <v>1</v>
      </c>
      <c r="S1597">
        <v>1</v>
      </c>
      <c r="T1597">
        <v>1</v>
      </c>
      <c r="W1597">
        <v>1</v>
      </c>
      <c r="X1597">
        <v>1</v>
      </c>
      <c r="Y1597">
        <v>1</v>
      </c>
      <c r="Z1597">
        <v>1</v>
      </c>
      <c r="AA1597">
        <v>1</v>
      </c>
      <c r="AB1597">
        <v>1</v>
      </c>
    </row>
    <row r="1598" spans="1:28" x14ac:dyDescent="0.25">
      <c r="A1598" t="str">
        <f>"1594"</f>
        <v>1594</v>
      </c>
      <c r="B1598" t="str">
        <f t="shared" si="90"/>
        <v>1</v>
      </c>
      <c r="C1598" t="str">
        <f t="shared" si="91"/>
        <v>70</v>
      </c>
      <c r="D1598" t="str">
        <f>"20"</f>
        <v>20</v>
      </c>
      <c r="E1598" t="str">
        <f>"1-70-20"</f>
        <v>1-70-20</v>
      </c>
      <c r="F1598" t="s">
        <v>83</v>
      </c>
      <c r="G1598" t="s">
        <v>84</v>
      </c>
      <c r="H1598" t="s">
        <v>92</v>
      </c>
      <c r="I1598">
        <v>1</v>
      </c>
      <c r="J1598">
        <v>0</v>
      </c>
      <c r="N1598">
        <v>1</v>
      </c>
      <c r="O1598">
        <v>1</v>
      </c>
      <c r="P1598">
        <v>1</v>
      </c>
      <c r="Q1598">
        <v>1</v>
      </c>
      <c r="R1598">
        <v>1</v>
      </c>
      <c r="S1598">
        <v>1</v>
      </c>
      <c r="T1598">
        <v>1</v>
      </c>
      <c r="W1598">
        <v>1</v>
      </c>
      <c r="X1598">
        <v>1</v>
      </c>
      <c r="Y1598">
        <v>1</v>
      </c>
      <c r="Z1598">
        <v>1</v>
      </c>
      <c r="AA1598">
        <v>1</v>
      </c>
      <c r="AB1598">
        <v>1</v>
      </c>
    </row>
    <row r="1599" spans="1:28" x14ac:dyDescent="0.25">
      <c r="A1599" t="str">
        <f>"1595"</f>
        <v>1595</v>
      </c>
      <c r="B1599" t="str">
        <f t="shared" si="90"/>
        <v>1</v>
      </c>
      <c r="C1599" t="str">
        <f t="shared" si="91"/>
        <v>70</v>
      </c>
      <c r="D1599" t="str">
        <f>"14"</f>
        <v>14</v>
      </c>
      <c r="E1599" t="str">
        <f>"1-70-14"</f>
        <v>1-70-14</v>
      </c>
      <c r="F1599" t="s">
        <v>83</v>
      </c>
      <c r="G1599" t="s">
        <v>86</v>
      </c>
      <c r="H1599" t="s">
        <v>93</v>
      </c>
      <c r="I1599">
        <v>1</v>
      </c>
      <c r="K1599">
        <v>0</v>
      </c>
      <c r="L1599">
        <v>0</v>
      </c>
      <c r="M1599">
        <v>1</v>
      </c>
      <c r="N1599">
        <v>1</v>
      </c>
      <c r="O1599">
        <v>1</v>
      </c>
      <c r="P1599">
        <v>1</v>
      </c>
      <c r="Q1599">
        <v>1</v>
      </c>
      <c r="R1599">
        <v>1</v>
      </c>
      <c r="U1599">
        <v>0</v>
      </c>
      <c r="V1599">
        <v>1</v>
      </c>
      <c r="W1599">
        <v>1</v>
      </c>
      <c r="X1599">
        <v>1</v>
      </c>
      <c r="Y1599">
        <v>1</v>
      </c>
      <c r="Z1599">
        <v>1</v>
      </c>
      <c r="AA1599">
        <v>1</v>
      </c>
      <c r="AB1599">
        <v>1</v>
      </c>
    </row>
    <row r="1600" spans="1:28" x14ac:dyDescent="0.25">
      <c r="A1600" t="str">
        <f>"1596"</f>
        <v>1596</v>
      </c>
      <c r="B1600" t="str">
        <f t="shared" si="90"/>
        <v>1</v>
      </c>
      <c r="C1600" t="str">
        <f t="shared" si="91"/>
        <v>70</v>
      </c>
      <c r="D1600" t="str">
        <f>"3"</f>
        <v>3</v>
      </c>
      <c r="E1600" t="str">
        <f>"1-70-3"</f>
        <v>1-70-3</v>
      </c>
      <c r="F1600" t="s">
        <v>83</v>
      </c>
      <c r="G1600" t="s">
        <v>86</v>
      </c>
      <c r="H1600" t="s">
        <v>93</v>
      </c>
      <c r="I1600">
        <v>1</v>
      </c>
      <c r="K1600">
        <v>1</v>
      </c>
      <c r="L1600">
        <v>0</v>
      </c>
      <c r="M1600">
        <v>0</v>
      </c>
      <c r="N1600">
        <v>1</v>
      </c>
      <c r="O1600">
        <v>1</v>
      </c>
      <c r="P1600">
        <v>1</v>
      </c>
      <c r="Q1600">
        <v>1</v>
      </c>
      <c r="R1600">
        <v>1</v>
      </c>
      <c r="U1600">
        <v>1</v>
      </c>
      <c r="V1600">
        <v>0</v>
      </c>
      <c r="W1600">
        <v>1</v>
      </c>
      <c r="X1600">
        <v>1</v>
      </c>
      <c r="Y1600">
        <v>1</v>
      </c>
      <c r="Z1600">
        <v>1</v>
      </c>
      <c r="AA1600">
        <v>1</v>
      </c>
      <c r="AB1600">
        <v>1</v>
      </c>
    </row>
    <row r="1601" spans="1:28" x14ac:dyDescent="0.25">
      <c r="A1601" t="str">
        <f>"1597"</f>
        <v>1597</v>
      </c>
      <c r="B1601" t="str">
        <f t="shared" si="90"/>
        <v>1</v>
      </c>
      <c r="C1601" t="str">
        <f t="shared" ref="C1601:C1625" si="92">"71"</f>
        <v>71</v>
      </c>
      <c r="D1601" t="str">
        <f>"25"</f>
        <v>25</v>
      </c>
      <c r="E1601" t="str">
        <f>"1-71-25"</f>
        <v>1-71-25</v>
      </c>
      <c r="F1601" t="s">
        <v>83</v>
      </c>
      <c r="G1601" t="s">
        <v>84</v>
      </c>
      <c r="H1601" t="s">
        <v>92</v>
      </c>
      <c r="I1601">
        <v>0</v>
      </c>
      <c r="J1601">
        <v>0</v>
      </c>
      <c r="N1601">
        <v>1</v>
      </c>
      <c r="O1601">
        <v>0</v>
      </c>
      <c r="P1601">
        <v>0</v>
      </c>
      <c r="Q1601">
        <v>0</v>
      </c>
      <c r="R1601">
        <v>0</v>
      </c>
      <c r="S1601">
        <v>0</v>
      </c>
      <c r="T1601">
        <v>0</v>
      </c>
      <c r="W1601">
        <v>0</v>
      </c>
      <c r="X1601">
        <v>0</v>
      </c>
      <c r="Y1601">
        <v>0</v>
      </c>
      <c r="Z1601">
        <v>0</v>
      </c>
      <c r="AA1601">
        <v>0</v>
      </c>
      <c r="AB1601">
        <v>1</v>
      </c>
    </row>
    <row r="1602" spans="1:28" x14ac:dyDescent="0.25">
      <c r="A1602" t="str">
        <f>"1598"</f>
        <v>1598</v>
      </c>
      <c r="B1602" t="str">
        <f t="shared" si="90"/>
        <v>1</v>
      </c>
      <c r="C1602" t="str">
        <f t="shared" si="92"/>
        <v>71</v>
      </c>
      <c r="D1602" t="str">
        <f>"24"</f>
        <v>24</v>
      </c>
      <c r="E1602" t="str">
        <f>"1-71-24"</f>
        <v>1-71-24</v>
      </c>
      <c r="F1602" t="s">
        <v>83</v>
      </c>
      <c r="G1602" t="s">
        <v>84</v>
      </c>
      <c r="H1602" t="s">
        <v>92</v>
      </c>
      <c r="I1602">
        <v>0</v>
      </c>
      <c r="J1602">
        <v>0</v>
      </c>
      <c r="N1602">
        <v>1</v>
      </c>
      <c r="O1602">
        <v>0</v>
      </c>
      <c r="P1602">
        <v>0</v>
      </c>
      <c r="Q1602">
        <v>0</v>
      </c>
      <c r="R1602">
        <v>0</v>
      </c>
      <c r="S1602">
        <v>0</v>
      </c>
      <c r="T1602">
        <v>0</v>
      </c>
      <c r="W1602">
        <v>0</v>
      </c>
      <c r="X1602">
        <v>0</v>
      </c>
      <c r="Y1602">
        <v>1</v>
      </c>
      <c r="Z1602">
        <v>0</v>
      </c>
      <c r="AA1602">
        <v>1</v>
      </c>
      <c r="AB1602">
        <v>1</v>
      </c>
    </row>
    <row r="1603" spans="1:28" x14ac:dyDescent="0.25">
      <c r="A1603" t="str">
        <f>"1599"</f>
        <v>1599</v>
      </c>
      <c r="B1603" t="str">
        <f t="shared" si="90"/>
        <v>1</v>
      </c>
      <c r="C1603" t="str">
        <f t="shared" si="92"/>
        <v>71</v>
      </c>
      <c r="D1603" t="str">
        <f>"16"</f>
        <v>16</v>
      </c>
      <c r="E1603" t="str">
        <f>"1-71-16"</f>
        <v>1-71-16</v>
      </c>
      <c r="F1603" t="s">
        <v>83</v>
      </c>
      <c r="G1603" t="s">
        <v>86</v>
      </c>
      <c r="H1603" t="s">
        <v>93</v>
      </c>
      <c r="I1603">
        <v>1</v>
      </c>
      <c r="K1603">
        <v>1</v>
      </c>
      <c r="L1603">
        <v>0</v>
      </c>
      <c r="M1603">
        <v>0</v>
      </c>
      <c r="N1603">
        <v>1</v>
      </c>
      <c r="O1603">
        <v>1</v>
      </c>
      <c r="P1603">
        <v>1</v>
      </c>
      <c r="Q1603">
        <v>1</v>
      </c>
      <c r="R1603">
        <v>1</v>
      </c>
      <c r="U1603">
        <v>0</v>
      </c>
      <c r="V1603">
        <v>1</v>
      </c>
      <c r="W1603">
        <v>1</v>
      </c>
      <c r="X1603">
        <v>1</v>
      </c>
      <c r="Y1603">
        <v>1</v>
      </c>
      <c r="Z1603">
        <v>1</v>
      </c>
      <c r="AA1603">
        <v>1</v>
      </c>
      <c r="AB1603">
        <v>1</v>
      </c>
    </row>
    <row r="1604" spans="1:28" x14ac:dyDescent="0.25">
      <c r="A1604" t="str">
        <f>"1600"</f>
        <v>1600</v>
      </c>
      <c r="B1604" t="str">
        <f t="shared" si="90"/>
        <v>1</v>
      </c>
      <c r="C1604" t="str">
        <f t="shared" si="92"/>
        <v>71</v>
      </c>
      <c r="D1604" t="str">
        <f>"8"</f>
        <v>8</v>
      </c>
      <c r="E1604" t="str">
        <f>"1-71-8"</f>
        <v>1-71-8</v>
      </c>
      <c r="F1604" t="s">
        <v>83</v>
      </c>
      <c r="G1604" t="s">
        <v>84</v>
      </c>
      <c r="H1604" t="s">
        <v>92</v>
      </c>
      <c r="I1604">
        <v>1</v>
      </c>
      <c r="J1604">
        <v>1</v>
      </c>
      <c r="N1604">
        <v>1</v>
      </c>
      <c r="O1604">
        <v>1</v>
      </c>
      <c r="P1604">
        <v>1</v>
      </c>
      <c r="Q1604">
        <v>1</v>
      </c>
      <c r="R1604">
        <v>1</v>
      </c>
      <c r="S1604">
        <v>1</v>
      </c>
      <c r="T1604">
        <v>1</v>
      </c>
      <c r="W1604">
        <v>1</v>
      </c>
      <c r="X1604">
        <v>1</v>
      </c>
      <c r="Y1604">
        <v>1</v>
      </c>
      <c r="Z1604">
        <v>1</v>
      </c>
      <c r="AA1604">
        <v>1</v>
      </c>
      <c r="AB1604">
        <v>1</v>
      </c>
    </row>
    <row r="1605" spans="1:28" x14ac:dyDescent="0.25">
      <c r="A1605" t="str">
        <f>"1601"</f>
        <v>1601</v>
      </c>
      <c r="B1605" t="str">
        <f t="shared" si="90"/>
        <v>1</v>
      </c>
      <c r="C1605" t="str">
        <f t="shared" si="92"/>
        <v>71</v>
      </c>
      <c r="D1605" t="str">
        <f>"2"</f>
        <v>2</v>
      </c>
      <c r="E1605" t="str">
        <f>"1-71-2"</f>
        <v>1-71-2</v>
      </c>
      <c r="F1605" t="s">
        <v>83</v>
      </c>
      <c r="G1605" t="s">
        <v>84</v>
      </c>
      <c r="H1605" t="s">
        <v>92</v>
      </c>
      <c r="I1605">
        <v>1</v>
      </c>
      <c r="J1605">
        <v>1</v>
      </c>
      <c r="N1605">
        <v>1</v>
      </c>
      <c r="O1605">
        <v>1</v>
      </c>
      <c r="P1605">
        <v>1</v>
      </c>
      <c r="Q1605">
        <v>1</v>
      </c>
      <c r="R1605">
        <v>1</v>
      </c>
      <c r="S1605">
        <v>1</v>
      </c>
      <c r="T1605">
        <v>1</v>
      </c>
      <c r="W1605">
        <v>1</v>
      </c>
      <c r="X1605">
        <v>1</v>
      </c>
      <c r="Y1605">
        <v>1</v>
      </c>
      <c r="Z1605">
        <v>1</v>
      </c>
      <c r="AA1605">
        <v>1</v>
      </c>
      <c r="AB1605">
        <v>1</v>
      </c>
    </row>
    <row r="1606" spans="1:28" x14ac:dyDescent="0.25">
      <c r="A1606" t="str">
        <f>"1602"</f>
        <v>1602</v>
      </c>
      <c r="B1606" t="str">
        <f t="shared" si="90"/>
        <v>1</v>
      </c>
      <c r="C1606" t="str">
        <f t="shared" si="92"/>
        <v>71</v>
      </c>
      <c r="D1606" t="str">
        <f>"23"</f>
        <v>23</v>
      </c>
      <c r="E1606" t="str">
        <f>"1-71-23"</f>
        <v>1-71-23</v>
      </c>
      <c r="F1606" t="s">
        <v>83</v>
      </c>
      <c r="G1606" t="s">
        <v>84</v>
      </c>
      <c r="H1606" t="s">
        <v>92</v>
      </c>
      <c r="I1606">
        <v>1</v>
      </c>
      <c r="J1606">
        <v>1</v>
      </c>
      <c r="N1606">
        <v>1</v>
      </c>
      <c r="O1606">
        <v>1</v>
      </c>
      <c r="P1606">
        <v>1</v>
      </c>
      <c r="Q1606">
        <v>1</v>
      </c>
      <c r="R1606">
        <v>1</v>
      </c>
      <c r="S1606">
        <v>1</v>
      </c>
      <c r="T1606">
        <v>1</v>
      </c>
      <c r="W1606">
        <v>1</v>
      </c>
      <c r="X1606">
        <v>1</v>
      </c>
      <c r="Y1606">
        <v>1</v>
      </c>
      <c r="Z1606">
        <v>1</v>
      </c>
      <c r="AA1606">
        <v>1</v>
      </c>
      <c r="AB1606">
        <v>1</v>
      </c>
    </row>
    <row r="1607" spans="1:28" x14ac:dyDescent="0.25">
      <c r="A1607" t="str">
        <f>"1603"</f>
        <v>1603</v>
      </c>
      <c r="B1607" t="str">
        <f t="shared" si="90"/>
        <v>1</v>
      </c>
      <c r="C1607" t="str">
        <f t="shared" si="92"/>
        <v>71</v>
      </c>
      <c r="D1607" t="str">
        <f>"22"</f>
        <v>22</v>
      </c>
      <c r="E1607" t="str">
        <f>"1-71-22"</f>
        <v>1-71-22</v>
      </c>
      <c r="F1607" t="s">
        <v>83</v>
      </c>
      <c r="G1607" t="s">
        <v>84</v>
      </c>
      <c r="H1607" t="s">
        <v>92</v>
      </c>
      <c r="I1607">
        <v>1</v>
      </c>
      <c r="J1607">
        <v>1</v>
      </c>
      <c r="N1607">
        <v>1</v>
      </c>
      <c r="O1607">
        <v>1</v>
      </c>
      <c r="P1607">
        <v>1</v>
      </c>
      <c r="Q1607">
        <v>1</v>
      </c>
      <c r="R1607">
        <v>1</v>
      </c>
      <c r="S1607">
        <v>1</v>
      </c>
      <c r="T1607">
        <v>1</v>
      </c>
      <c r="W1607">
        <v>1</v>
      </c>
      <c r="X1607">
        <v>1</v>
      </c>
      <c r="Y1607">
        <v>1</v>
      </c>
      <c r="Z1607">
        <v>1</v>
      </c>
      <c r="AA1607">
        <v>1</v>
      </c>
      <c r="AB1607">
        <v>1</v>
      </c>
    </row>
    <row r="1608" spans="1:28" x14ac:dyDescent="0.25">
      <c r="A1608" t="str">
        <f>"1604"</f>
        <v>1604</v>
      </c>
      <c r="B1608" t="str">
        <f t="shared" si="90"/>
        <v>1</v>
      </c>
      <c r="C1608" t="str">
        <f t="shared" si="92"/>
        <v>71</v>
      </c>
      <c r="D1608" t="str">
        <f>"15"</f>
        <v>15</v>
      </c>
      <c r="E1608" t="str">
        <f>"1-71-15"</f>
        <v>1-71-15</v>
      </c>
      <c r="F1608" t="s">
        <v>83</v>
      </c>
      <c r="G1608" t="s">
        <v>84</v>
      </c>
      <c r="H1608" t="s">
        <v>92</v>
      </c>
      <c r="I1608">
        <v>1</v>
      </c>
      <c r="J1608">
        <v>1</v>
      </c>
      <c r="N1608">
        <v>1</v>
      </c>
      <c r="O1608">
        <v>1</v>
      </c>
      <c r="P1608">
        <v>1</v>
      </c>
      <c r="Q1608">
        <v>1</v>
      </c>
      <c r="R1608">
        <v>1</v>
      </c>
      <c r="S1608">
        <v>1</v>
      </c>
      <c r="T1608">
        <v>1</v>
      </c>
      <c r="W1608">
        <v>1</v>
      </c>
      <c r="X1608">
        <v>1</v>
      </c>
      <c r="Y1608">
        <v>1</v>
      </c>
      <c r="Z1608">
        <v>0</v>
      </c>
      <c r="AA1608">
        <v>0</v>
      </c>
      <c r="AB1608">
        <v>0</v>
      </c>
    </row>
    <row r="1609" spans="1:28" x14ac:dyDescent="0.25">
      <c r="A1609" t="str">
        <f>"1605"</f>
        <v>1605</v>
      </c>
      <c r="B1609" t="str">
        <f t="shared" si="90"/>
        <v>1</v>
      </c>
      <c r="C1609" t="str">
        <f t="shared" si="92"/>
        <v>71</v>
      </c>
      <c r="D1609" t="str">
        <f>"9"</f>
        <v>9</v>
      </c>
      <c r="E1609" t="str">
        <f>"1-71-9"</f>
        <v>1-71-9</v>
      </c>
      <c r="F1609" t="s">
        <v>83</v>
      </c>
      <c r="G1609" t="s">
        <v>84</v>
      </c>
      <c r="H1609" t="s">
        <v>92</v>
      </c>
      <c r="I1609">
        <v>1</v>
      </c>
      <c r="J1609">
        <v>1</v>
      </c>
      <c r="N1609">
        <v>1</v>
      </c>
      <c r="O1609">
        <v>1</v>
      </c>
      <c r="P1609">
        <v>1</v>
      </c>
      <c r="Q1609">
        <v>1</v>
      </c>
      <c r="R1609">
        <v>1</v>
      </c>
      <c r="S1609">
        <v>1</v>
      </c>
      <c r="T1609">
        <v>1</v>
      </c>
      <c r="W1609">
        <v>1</v>
      </c>
      <c r="X1609">
        <v>1</v>
      </c>
      <c r="Y1609">
        <v>1</v>
      </c>
      <c r="Z1609">
        <v>1</v>
      </c>
      <c r="AA1609">
        <v>1</v>
      </c>
      <c r="AB1609">
        <v>1</v>
      </c>
    </row>
    <row r="1610" spans="1:28" x14ac:dyDescent="0.25">
      <c r="A1610" t="str">
        <f>"1606"</f>
        <v>1606</v>
      </c>
      <c r="B1610" t="str">
        <f t="shared" si="90"/>
        <v>1</v>
      </c>
      <c r="C1610" t="str">
        <f t="shared" si="92"/>
        <v>71</v>
      </c>
      <c r="D1610" t="str">
        <f>"6"</f>
        <v>6</v>
      </c>
      <c r="E1610" t="str">
        <f>"1-71-6"</f>
        <v>1-71-6</v>
      </c>
      <c r="F1610" t="s">
        <v>83</v>
      </c>
      <c r="G1610" t="s">
        <v>84</v>
      </c>
      <c r="H1610" t="s">
        <v>92</v>
      </c>
      <c r="I1610">
        <v>1</v>
      </c>
      <c r="J1610">
        <v>1</v>
      </c>
      <c r="N1610">
        <v>1</v>
      </c>
      <c r="O1610">
        <v>1</v>
      </c>
      <c r="P1610">
        <v>1</v>
      </c>
      <c r="Q1610">
        <v>1</v>
      </c>
      <c r="R1610">
        <v>1</v>
      </c>
      <c r="S1610">
        <v>1</v>
      </c>
      <c r="T1610">
        <v>1</v>
      </c>
      <c r="W1610">
        <v>1</v>
      </c>
      <c r="X1610">
        <v>1</v>
      </c>
      <c r="Y1610">
        <v>1</v>
      </c>
      <c r="Z1610">
        <v>1</v>
      </c>
      <c r="AA1610">
        <v>1</v>
      </c>
      <c r="AB1610">
        <v>1</v>
      </c>
    </row>
    <row r="1611" spans="1:28" x14ac:dyDescent="0.25">
      <c r="A1611" t="str">
        <f>"1607"</f>
        <v>1607</v>
      </c>
      <c r="B1611" t="str">
        <f t="shared" si="90"/>
        <v>1</v>
      </c>
      <c r="C1611" t="str">
        <f t="shared" si="92"/>
        <v>71</v>
      </c>
      <c r="D1611" t="str">
        <f>"17"</f>
        <v>17</v>
      </c>
      <c r="E1611" t="str">
        <f>"1-71-17"</f>
        <v>1-71-17</v>
      </c>
      <c r="F1611" t="s">
        <v>83</v>
      </c>
      <c r="G1611" t="s">
        <v>86</v>
      </c>
      <c r="H1611" t="s">
        <v>93</v>
      </c>
      <c r="I1611">
        <v>1</v>
      </c>
      <c r="K1611">
        <v>0</v>
      </c>
      <c r="L1611">
        <v>0</v>
      </c>
      <c r="M1611">
        <v>0</v>
      </c>
      <c r="N1611">
        <v>1</v>
      </c>
      <c r="O1611">
        <v>0</v>
      </c>
      <c r="P1611">
        <v>0</v>
      </c>
      <c r="Q1611">
        <v>0</v>
      </c>
      <c r="R1611">
        <v>0</v>
      </c>
      <c r="U1611">
        <v>0</v>
      </c>
      <c r="V1611">
        <v>0</v>
      </c>
      <c r="W1611">
        <v>1</v>
      </c>
      <c r="X1611">
        <v>1</v>
      </c>
      <c r="Y1611">
        <v>1</v>
      </c>
      <c r="Z1611">
        <v>0</v>
      </c>
      <c r="AA1611">
        <v>0</v>
      </c>
      <c r="AB1611">
        <v>0</v>
      </c>
    </row>
    <row r="1612" spans="1:28" x14ac:dyDescent="0.25">
      <c r="A1612" t="str">
        <f>"1608"</f>
        <v>1608</v>
      </c>
      <c r="B1612" t="str">
        <f t="shared" si="90"/>
        <v>1</v>
      </c>
      <c r="C1612" t="str">
        <f t="shared" si="92"/>
        <v>71</v>
      </c>
      <c r="D1612" t="str">
        <f>"10"</f>
        <v>10</v>
      </c>
      <c r="E1612" t="str">
        <f>"1-71-10"</f>
        <v>1-71-10</v>
      </c>
      <c r="F1612" t="s">
        <v>83</v>
      </c>
      <c r="G1612" t="s">
        <v>84</v>
      </c>
      <c r="H1612" t="s">
        <v>92</v>
      </c>
      <c r="I1612">
        <v>1</v>
      </c>
      <c r="J1612">
        <v>1</v>
      </c>
      <c r="N1612">
        <v>1</v>
      </c>
      <c r="O1612">
        <v>1</v>
      </c>
      <c r="P1612">
        <v>1</v>
      </c>
      <c r="Q1612">
        <v>1</v>
      </c>
      <c r="R1612">
        <v>1</v>
      </c>
      <c r="S1612">
        <v>1</v>
      </c>
      <c r="T1612">
        <v>1</v>
      </c>
      <c r="W1612">
        <v>1</v>
      </c>
      <c r="X1612">
        <v>1</v>
      </c>
      <c r="Y1612">
        <v>1</v>
      </c>
      <c r="Z1612">
        <v>1</v>
      </c>
      <c r="AA1612">
        <v>1</v>
      </c>
      <c r="AB1612">
        <v>1</v>
      </c>
    </row>
    <row r="1613" spans="1:28" x14ac:dyDescent="0.25">
      <c r="A1613" t="str">
        <f>"1609"</f>
        <v>1609</v>
      </c>
      <c r="B1613" t="str">
        <f t="shared" si="90"/>
        <v>1</v>
      </c>
      <c r="C1613" t="str">
        <f t="shared" si="92"/>
        <v>71</v>
      </c>
      <c r="D1613" t="str">
        <f>"5"</f>
        <v>5</v>
      </c>
      <c r="E1613" t="str">
        <f>"1-71-5"</f>
        <v>1-71-5</v>
      </c>
      <c r="F1613" t="s">
        <v>83</v>
      </c>
      <c r="G1613" t="s">
        <v>84</v>
      </c>
      <c r="H1613" t="s">
        <v>92</v>
      </c>
      <c r="I1613">
        <v>1</v>
      </c>
      <c r="J1613">
        <v>1</v>
      </c>
      <c r="N1613">
        <v>1</v>
      </c>
      <c r="O1613">
        <v>1</v>
      </c>
      <c r="P1613">
        <v>1</v>
      </c>
      <c r="Q1613">
        <v>1</v>
      </c>
      <c r="R1613">
        <v>1</v>
      </c>
      <c r="S1613">
        <v>1</v>
      </c>
      <c r="T1613">
        <v>1</v>
      </c>
      <c r="W1613">
        <v>1</v>
      </c>
      <c r="X1613">
        <v>1</v>
      </c>
      <c r="Y1613">
        <v>1</v>
      </c>
      <c r="Z1613">
        <v>1</v>
      </c>
      <c r="AA1613">
        <v>1</v>
      </c>
      <c r="AB1613">
        <v>1</v>
      </c>
    </row>
    <row r="1614" spans="1:28" x14ac:dyDescent="0.25">
      <c r="A1614" t="str">
        <f>"1610"</f>
        <v>1610</v>
      </c>
      <c r="B1614" t="str">
        <f t="shared" si="90"/>
        <v>1</v>
      </c>
      <c r="C1614" t="str">
        <f t="shared" si="92"/>
        <v>71</v>
      </c>
      <c r="D1614" t="str">
        <f>"18"</f>
        <v>18</v>
      </c>
      <c r="E1614" t="str">
        <f>"1-71-18"</f>
        <v>1-71-18</v>
      </c>
      <c r="F1614" t="s">
        <v>83</v>
      </c>
      <c r="G1614" t="s">
        <v>84</v>
      </c>
      <c r="H1614" t="s">
        <v>92</v>
      </c>
      <c r="I1614">
        <v>1</v>
      </c>
      <c r="J1614">
        <v>1</v>
      </c>
      <c r="N1614">
        <v>1</v>
      </c>
      <c r="O1614">
        <v>1</v>
      </c>
      <c r="P1614">
        <v>1</v>
      </c>
      <c r="Q1614">
        <v>1</v>
      </c>
      <c r="R1614">
        <v>1</v>
      </c>
      <c r="S1614">
        <v>1</v>
      </c>
      <c r="T1614">
        <v>1</v>
      </c>
      <c r="W1614">
        <v>1</v>
      </c>
      <c r="X1614">
        <v>1</v>
      </c>
      <c r="Y1614">
        <v>1</v>
      </c>
      <c r="Z1614">
        <v>1</v>
      </c>
      <c r="AA1614">
        <v>1</v>
      </c>
      <c r="AB1614">
        <v>1</v>
      </c>
    </row>
    <row r="1615" spans="1:28" x14ac:dyDescent="0.25">
      <c r="A1615" t="str">
        <f>"1611"</f>
        <v>1611</v>
      </c>
      <c r="B1615" t="str">
        <f t="shared" si="90"/>
        <v>1</v>
      </c>
      <c r="C1615" t="str">
        <f t="shared" si="92"/>
        <v>71</v>
      </c>
      <c r="D1615" t="str">
        <f>"11"</f>
        <v>11</v>
      </c>
      <c r="E1615" t="str">
        <f>"1-71-11"</f>
        <v>1-71-11</v>
      </c>
      <c r="F1615" t="s">
        <v>83</v>
      </c>
      <c r="G1615" t="s">
        <v>84</v>
      </c>
      <c r="H1615" t="s">
        <v>92</v>
      </c>
      <c r="I1615">
        <v>1</v>
      </c>
      <c r="J1615">
        <v>1</v>
      </c>
      <c r="N1615">
        <v>1</v>
      </c>
      <c r="O1615">
        <v>1</v>
      </c>
      <c r="P1615">
        <v>1</v>
      </c>
      <c r="Q1615">
        <v>1</v>
      </c>
      <c r="R1615">
        <v>1</v>
      </c>
      <c r="S1615">
        <v>1</v>
      </c>
      <c r="T1615">
        <v>1</v>
      </c>
      <c r="W1615">
        <v>1</v>
      </c>
      <c r="X1615">
        <v>1</v>
      </c>
      <c r="Y1615">
        <v>1</v>
      </c>
      <c r="Z1615">
        <v>1</v>
      </c>
      <c r="AA1615">
        <v>1</v>
      </c>
      <c r="AB1615">
        <v>1</v>
      </c>
    </row>
    <row r="1616" spans="1:28" x14ac:dyDescent="0.25">
      <c r="A1616" t="str">
        <f>"1612"</f>
        <v>1612</v>
      </c>
      <c r="B1616" t="str">
        <f t="shared" si="90"/>
        <v>1</v>
      </c>
      <c r="C1616" t="str">
        <f t="shared" si="92"/>
        <v>71</v>
      </c>
      <c r="D1616" t="str">
        <f>"7"</f>
        <v>7</v>
      </c>
      <c r="E1616" t="str">
        <f>"1-71-7"</f>
        <v>1-71-7</v>
      </c>
      <c r="F1616" t="s">
        <v>83</v>
      </c>
      <c r="G1616" t="s">
        <v>84</v>
      </c>
      <c r="H1616" t="s">
        <v>92</v>
      </c>
      <c r="I1616">
        <v>1</v>
      </c>
      <c r="J1616">
        <v>1</v>
      </c>
      <c r="N1616">
        <v>1</v>
      </c>
      <c r="O1616">
        <v>1</v>
      </c>
      <c r="P1616">
        <v>1</v>
      </c>
      <c r="Q1616">
        <v>1</v>
      </c>
      <c r="R1616">
        <v>1</v>
      </c>
      <c r="S1616">
        <v>1</v>
      </c>
      <c r="T1616">
        <v>1</v>
      </c>
      <c r="W1616">
        <v>1</v>
      </c>
      <c r="X1616">
        <v>1</v>
      </c>
      <c r="Y1616">
        <v>1</v>
      </c>
      <c r="Z1616">
        <v>1</v>
      </c>
      <c r="AA1616">
        <v>1</v>
      </c>
      <c r="AB1616">
        <v>1</v>
      </c>
    </row>
    <row r="1617" spans="1:28" x14ac:dyDescent="0.25">
      <c r="A1617" t="str">
        <f>"1613"</f>
        <v>1613</v>
      </c>
      <c r="B1617" t="str">
        <f t="shared" si="90"/>
        <v>1</v>
      </c>
      <c r="C1617" t="str">
        <f t="shared" si="92"/>
        <v>71</v>
      </c>
      <c r="D1617" t="str">
        <f>"19"</f>
        <v>19</v>
      </c>
      <c r="E1617" t="str">
        <f>"1-71-19"</f>
        <v>1-71-19</v>
      </c>
      <c r="F1617" t="s">
        <v>83</v>
      </c>
      <c r="G1617" t="s">
        <v>86</v>
      </c>
      <c r="H1617" t="s">
        <v>93</v>
      </c>
      <c r="I1617">
        <v>1</v>
      </c>
      <c r="K1617">
        <v>0</v>
      </c>
      <c r="L1617">
        <v>0</v>
      </c>
      <c r="M1617">
        <v>1</v>
      </c>
      <c r="N1617">
        <v>1</v>
      </c>
      <c r="O1617">
        <v>1</v>
      </c>
      <c r="P1617">
        <v>1</v>
      </c>
      <c r="Q1617">
        <v>1</v>
      </c>
      <c r="R1617">
        <v>1</v>
      </c>
      <c r="U1617">
        <v>1</v>
      </c>
      <c r="V1617">
        <v>0</v>
      </c>
      <c r="W1617">
        <v>1</v>
      </c>
      <c r="X1617">
        <v>1</v>
      </c>
      <c r="Y1617">
        <v>1</v>
      </c>
      <c r="Z1617">
        <v>1</v>
      </c>
      <c r="AA1617">
        <v>1</v>
      </c>
      <c r="AB1617">
        <v>1</v>
      </c>
    </row>
    <row r="1618" spans="1:28" x14ac:dyDescent="0.25">
      <c r="A1618" t="str">
        <f>"1614"</f>
        <v>1614</v>
      </c>
      <c r="B1618" t="str">
        <f t="shared" si="90"/>
        <v>1</v>
      </c>
      <c r="C1618" t="str">
        <f t="shared" si="92"/>
        <v>71</v>
      </c>
      <c r="D1618" t="str">
        <f>"12"</f>
        <v>12</v>
      </c>
      <c r="E1618" t="str">
        <f>"1-71-12"</f>
        <v>1-71-12</v>
      </c>
      <c r="F1618" t="s">
        <v>83</v>
      </c>
      <c r="G1618" t="s">
        <v>84</v>
      </c>
      <c r="H1618" t="s">
        <v>92</v>
      </c>
      <c r="I1618">
        <v>1</v>
      </c>
      <c r="J1618">
        <v>1</v>
      </c>
      <c r="N1618">
        <v>1</v>
      </c>
      <c r="O1618">
        <v>1</v>
      </c>
      <c r="P1618">
        <v>1</v>
      </c>
      <c r="Q1618">
        <v>1</v>
      </c>
      <c r="R1618">
        <v>1</v>
      </c>
      <c r="S1618">
        <v>1</v>
      </c>
      <c r="T1618">
        <v>1</v>
      </c>
      <c r="W1618">
        <v>1</v>
      </c>
      <c r="X1618">
        <v>1</v>
      </c>
      <c r="Y1618">
        <v>1</v>
      </c>
      <c r="Z1618">
        <v>1</v>
      </c>
      <c r="AA1618">
        <v>1</v>
      </c>
      <c r="AB1618">
        <v>1</v>
      </c>
    </row>
    <row r="1619" spans="1:28" x14ac:dyDescent="0.25">
      <c r="A1619" t="str">
        <f>"1615"</f>
        <v>1615</v>
      </c>
      <c r="B1619" t="str">
        <f t="shared" si="90"/>
        <v>1</v>
      </c>
      <c r="C1619" t="str">
        <f t="shared" si="92"/>
        <v>71</v>
      </c>
      <c r="D1619" t="str">
        <f>"1"</f>
        <v>1</v>
      </c>
      <c r="E1619" t="str">
        <f>"1-71-1"</f>
        <v>1-71-1</v>
      </c>
      <c r="F1619" t="s">
        <v>83</v>
      </c>
      <c r="G1619" t="s">
        <v>84</v>
      </c>
      <c r="H1619" t="s">
        <v>92</v>
      </c>
      <c r="I1619">
        <v>1</v>
      </c>
      <c r="J1619">
        <v>1</v>
      </c>
      <c r="N1619">
        <v>1</v>
      </c>
      <c r="O1619">
        <v>1</v>
      </c>
      <c r="P1619">
        <v>1</v>
      </c>
      <c r="Q1619">
        <v>1</v>
      </c>
      <c r="R1619">
        <v>1</v>
      </c>
      <c r="S1619">
        <v>1</v>
      </c>
      <c r="T1619">
        <v>1</v>
      </c>
      <c r="W1619">
        <v>1</v>
      </c>
      <c r="X1619">
        <v>1</v>
      </c>
      <c r="Y1619">
        <v>1</v>
      </c>
      <c r="Z1619">
        <v>1</v>
      </c>
      <c r="AA1619">
        <v>1</v>
      </c>
      <c r="AB1619">
        <v>1</v>
      </c>
    </row>
    <row r="1620" spans="1:28" x14ac:dyDescent="0.25">
      <c r="A1620" t="str">
        <f>"1616"</f>
        <v>1616</v>
      </c>
      <c r="B1620" t="str">
        <f t="shared" si="90"/>
        <v>1</v>
      </c>
      <c r="C1620" t="str">
        <f t="shared" si="92"/>
        <v>71</v>
      </c>
      <c r="D1620" t="str">
        <f>"20"</f>
        <v>20</v>
      </c>
      <c r="E1620" t="str">
        <f>"1-71-20"</f>
        <v>1-71-20</v>
      </c>
      <c r="F1620" t="s">
        <v>83</v>
      </c>
      <c r="G1620" t="s">
        <v>84</v>
      </c>
      <c r="H1620" t="s">
        <v>92</v>
      </c>
      <c r="I1620">
        <v>1</v>
      </c>
      <c r="J1620">
        <v>1</v>
      </c>
      <c r="N1620">
        <v>1</v>
      </c>
      <c r="O1620">
        <v>1</v>
      </c>
      <c r="P1620">
        <v>1</v>
      </c>
      <c r="Q1620">
        <v>1</v>
      </c>
      <c r="R1620">
        <v>1</v>
      </c>
      <c r="S1620">
        <v>1</v>
      </c>
      <c r="T1620">
        <v>1</v>
      </c>
      <c r="W1620">
        <v>1</v>
      </c>
      <c r="X1620">
        <v>1</v>
      </c>
      <c r="Y1620">
        <v>1</v>
      </c>
      <c r="Z1620">
        <v>1</v>
      </c>
      <c r="AA1620">
        <v>1</v>
      </c>
      <c r="AB1620">
        <v>1</v>
      </c>
    </row>
    <row r="1621" spans="1:28" x14ac:dyDescent="0.25">
      <c r="A1621" t="str">
        <f>"1617"</f>
        <v>1617</v>
      </c>
      <c r="B1621" t="str">
        <f t="shared" si="90"/>
        <v>1</v>
      </c>
      <c r="C1621" t="str">
        <f t="shared" si="92"/>
        <v>71</v>
      </c>
      <c r="D1621" t="str">
        <f>"13"</f>
        <v>13</v>
      </c>
      <c r="E1621" t="str">
        <f>"1-71-13"</f>
        <v>1-71-13</v>
      </c>
      <c r="F1621" t="s">
        <v>83</v>
      </c>
      <c r="G1621" t="s">
        <v>84</v>
      </c>
      <c r="H1621" t="s">
        <v>92</v>
      </c>
      <c r="I1621">
        <v>1</v>
      </c>
      <c r="J1621">
        <v>1</v>
      </c>
      <c r="N1621">
        <v>1</v>
      </c>
      <c r="O1621">
        <v>1</v>
      </c>
      <c r="P1621">
        <v>1</v>
      </c>
      <c r="Q1621">
        <v>1</v>
      </c>
      <c r="R1621">
        <v>1</v>
      </c>
      <c r="S1621">
        <v>1</v>
      </c>
      <c r="T1621">
        <v>1</v>
      </c>
      <c r="W1621">
        <v>1</v>
      </c>
      <c r="X1621">
        <v>1</v>
      </c>
      <c r="Y1621">
        <v>1</v>
      </c>
      <c r="Z1621">
        <v>1</v>
      </c>
      <c r="AA1621">
        <v>1</v>
      </c>
      <c r="AB1621">
        <v>1</v>
      </c>
    </row>
    <row r="1622" spans="1:28" x14ac:dyDescent="0.25">
      <c r="A1622" t="str">
        <f>"1618"</f>
        <v>1618</v>
      </c>
      <c r="B1622" t="str">
        <f t="shared" si="90"/>
        <v>1</v>
      </c>
      <c r="C1622" t="str">
        <f t="shared" si="92"/>
        <v>71</v>
      </c>
      <c r="D1622" t="str">
        <f>"3"</f>
        <v>3</v>
      </c>
      <c r="E1622" t="str">
        <f>"1-71-3"</f>
        <v>1-71-3</v>
      </c>
      <c r="F1622" t="s">
        <v>83</v>
      </c>
      <c r="G1622" t="s">
        <v>84</v>
      </c>
      <c r="H1622" t="s">
        <v>92</v>
      </c>
      <c r="I1622">
        <v>1</v>
      </c>
      <c r="J1622">
        <v>1</v>
      </c>
      <c r="N1622">
        <v>1</v>
      </c>
      <c r="O1622">
        <v>1</v>
      </c>
      <c r="P1622">
        <v>1</v>
      </c>
      <c r="Q1622">
        <v>1</v>
      </c>
      <c r="R1622">
        <v>1</v>
      </c>
      <c r="S1622">
        <v>1</v>
      </c>
      <c r="T1622">
        <v>1</v>
      </c>
      <c r="W1622">
        <v>1</v>
      </c>
      <c r="X1622">
        <v>1</v>
      </c>
      <c r="Y1622">
        <v>1</v>
      </c>
      <c r="Z1622">
        <v>1</v>
      </c>
      <c r="AA1622">
        <v>1</v>
      </c>
      <c r="AB1622">
        <v>1</v>
      </c>
    </row>
    <row r="1623" spans="1:28" x14ac:dyDescent="0.25">
      <c r="A1623" t="str">
        <f>"1619"</f>
        <v>1619</v>
      </c>
      <c r="B1623" t="str">
        <f t="shared" si="90"/>
        <v>1</v>
      </c>
      <c r="C1623" t="str">
        <f t="shared" si="92"/>
        <v>71</v>
      </c>
      <c r="D1623" t="str">
        <f>"21"</f>
        <v>21</v>
      </c>
      <c r="E1623" t="str">
        <f>"1-71-21"</f>
        <v>1-71-21</v>
      </c>
      <c r="F1623" t="s">
        <v>83</v>
      </c>
      <c r="G1623" t="s">
        <v>86</v>
      </c>
      <c r="H1623" t="s">
        <v>93</v>
      </c>
      <c r="I1623">
        <v>1</v>
      </c>
      <c r="K1623">
        <v>0</v>
      </c>
      <c r="L1623">
        <v>0</v>
      </c>
      <c r="M1623">
        <v>1</v>
      </c>
      <c r="N1623">
        <v>1</v>
      </c>
      <c r="O1623">
        <v>0</v>
      </c>
      <c r="P1623">
        <v>0</v>
      </c>
      <c r="Q1623">
        <v>0</v>
      </c>
      <c r="R1623">
        <v>0</v>
      </c>
      <c r="U1623">
        <v>0</v>
      </c>
      <c r="V1623">
        <v>1</v>
      </c>
      <c r="W1623">
        <v>0</v>
      </c>
      <c r="X1623">
        <v>0</v>
      </c>
      <c r="Y1623">
        <v>0</v>
      </c>
      <c r="Z1623">
        <v>0</v>
      </c>
      <c r="AA1623">
        <v>0</v>
      </c>
      <c r="AB1623">
        <v>0</v>
      </c>
    </row>
    <row r="1624" spans="1:28" x14ac:dyDescent="0.25">
      <c r="A1624" t="str">
        <f>"1620"</f>
        <v>1620</v>
      </c>
      <c r="B1624" t="str">
        <f t="shared" si="90"/>
        <v>1</v>
      </c>
      <c r="C1624" t="str">
        <f t="shared" si="92"/>
        <v>71</v>
      </c>
      <c r="D1624" t="str">
        <f>"14"</f>
        <v>14</v>
      </c>
      <c r="E1624" t="str">
        <f>"1-71-14"</f>
        <v>1-71-14</v>
      </c>
      <c r="F1624" t="s">
        <v>83</v>
      </c>
      <c r="G1624" t="s">
        <v>84</v>
      </c>
      <c r="H1624" t="s">
        <v>92</v>
      </c>
      <c r="I1624">
        <v>1</v>
      </c>
      <c r="J1624">
        <v>1</v>
      </c>
      <c r="N1624">
        <v>1</v>
      </c>
      <c r="O1624">
        <v>1</v>
      </c>
      <c r="P1624">
        <v>1</v>
      </c>
      <c r="Q1624">
        <v>1</v>
      </c>
      <c r="R1624">
        <v>1</v>
      </c>
      <c r="S1624">
        <v>1</v>
      </c>
      <c r="T1624">
        <v>1</v>
      </c>
      <c r="W1624">
        <v>1</v>
      </c>
      <c r="X1624">
        <v>1</v>
      </c>
      <c r="Y1624">
        <v>1</v>
      </c>
      <c r="Z1624">
        <v>1</v>
      </c>
      <c r="AA1624">
        <v>1</v>
      </c>
      <c r="AB1624">
        <v>1</v>
      </c>
    </row>
    <row r="1625" spans="1:28" x14ac:dyDescent="0.25">
      <c r="A1625" t="str">
        <f>"1621"</f>
        <v>1621</v>
      </c>
      <c r="B1625" t="str">
        <f t="shared" si="90"/>
        <v>1</v>
      </c>
      <c r="C1625" t="str">
        <f t="shared" si="92"/>
        <v>71</v>
      </c>
      <c r="D1625" t="str">
        <f>"4"</f>
        <v>4</v>
      </c>
      <c r="E1625" t="str">
        <f>"1-71-4"</f>
        <v>1-71-4</v>
      </c>
      <c r="F1625" t="s">
        <v>83</v>
      </c>
      <c r="G1625" t="s">
        <v>86</v>
      </c>
      <c r="H1625" t="s">
        <v>93</v>
      </c>
      <c r="I1625">
        <v>1</v>
      </c>
      <c r="K1625">
        <v>0</v>
      </c>
      <c r="L1625">
        <v>0</v>
      </c>
      <c r="M1625">
        <v>1</v>
      </c>
      <c r="N1625">
        <v>1</v>
      </c>
      <c r="O1625">
        <v>1</v>
      </c>
      <c r="P1625">
        <v>1</v>
      </c>
      <c r="Q1625">
        <v>1</v>
      </c>
      <c r="R1625">
        <v>1</v>
      </c>
      <c r="U1625">
        <v>0</v>
      </c>
      <c r="V1625">
        <v>1</v>
      </c>
      <c r="W1625">
        <v>1</v>
      </c>
      <c r="X1625">
        <v>1</v>
      </c>
      <c r="Y1625">
        <v>1</v>
      </c>
      <c r="Z1625">
        <v>1</v>
      </c>
      <c r="AA1625">
        <v>1</v>
      </c>
      <c r="AB1625">
        <v>1</v>
      </c>
    </row>
    <row r="1626" spans="1:28" x14ac:dyDescent="0.25">
      <c r="A1626" t="str">
        <f>"1622"</f>
        <v>1622</v>
      </c>
      <c r="B1626" t="str">
        <f t="shared" si="90"/>
        <v>1</v>
      </c>
      <c r="C1626" t="str">
        <f t="shared" ref="C1626:C1650" si="93">"72"</f>
        <v>72</v>
      </c>
      <c r="D1626" t="str">
        <f>"23"</f>
        <v>23</v>
      </c>
      <c r="E1626" t="str">
        <f>"1-72-23"</f>
        <v>1-72-23</v>
      </c>
      <c r="F1626" t="s">
        <v>83</v>
      </c>
      <c r="G1626" t="s">
        <v>86</v>
      </c>
      <c r="H1626" t="s">
        <v>93</v>
      </c>
      <c r="I1626">
        <v>1</v>
      </c>
      <c r="K1626">
        <v>1</v>
      </c>
      <c r="L1626">
        <v>0</v>
      </c>
      <c r="M1626">
        <v>0</v>
      </c>
      <c r="N1626">
        <v>1</v>
      </c>
      <c r="O1626">
        <v>1</v>
      </c>
      <c r="P1626">
        <v>1</v>
      </c>
      <c r="Q1626">
        <v>1</v>
      </c>
      <c r="R1626">
        <v>1</v>
      </c>
      <c r="U1626">
        <v>0</v>
      </c>
      <c r="V1626">
        <v>1</v>
      </c>
      <c r="W1626">
        <v>1</v>
      </c>
      <c r="X1626">
        <v>1</v>
      </c>
      <c r="Y1626">
        <v>1</v>
      </c>
      <c r="Z1626">
        <v>1</v>
      </c>
      <c r="AA1626">
        <v>1</v>
      </c>
      <c r="AB1626">
        <v>1</v>
      </c>
    </row>
    <row r="1627" spans="1:28" x14ac:dyDescent="0.25">
      <c r="A1627" t="str">
        <f>"1623"</f>
        <v>1623</v>
      </c>
      <c r="B1627" t="str">
        <f t="shared" si="90"/>
        <v>1</v>
      </c>
      <c r="C1627" t="str">
        <f t="shared" si="93"/>
        <v>72</v>
      </c>
      <c r="D1627" t="str">
        <f>"22"</f>
        <v>22</v>
      </c>
      <c r="E1627" t="str">
        <f>"1-72-22"</f>
        <v>1-72-22</v>
      </c>
      <c r="F1627" t="s">
        <v>83</v>
      </c>
      <c r="G1627" t="s">
        <v>86</v>
      </c>
      <c r="H1627" t="s">
        <v>93</v>
      </c>
      <c r="I1627">
        <v>1</v>
      </c>
      <c r="K1627">
        <v>1</v>
      </c>
      <c r="L1627">
        <v>0</v>
      </c>
      <c r="M1627">
        <v>0</v>
      </c>
      <c r="N1627">
        <v>1</v>
      </c>
      <c r="O1627">
        <v>1</v>
      </c>
      <c r="P1627">
        <v>1</v>
      </c>
      <c r="Q1627">
        <v>1</v>
      </c>
      <c r="R1627">
        <v>1</v>
      </c>
      <c r="U1627">
        <v>0</v>
      </c>
      <c r="V1627">
        <v>1</v>
      </c>
      <c r="W1627">
        <v>1</v>
      </c>
      <c r="X1627">
        <v>1</v>
      </c>
      <c r="Y1627">
        <v>1</v>
      </c>
      <c r="Z1627">
        <v>1</v>
      </c>
      <c r="AA1627">
        <v>1</v>
      </c>
      <c r="AB1627">
        <v>1</v>
      </c>
    </row>
    <row r="1628" spans="1:28" x14ac:dyDescent="0.25">
      <c r="A1628" t="str">
        <f>"1624"</f>
        <v>1624</v>
      </c>
      <c r="B1628" t="str">
        <f t="shared" si="90"/>
        <v>1</v>
      </c>
      <c r="C1628" t="str">
        <f t="shared" si="93"/>
        <v>72</v>
      </c>
      <c r="D1628" t="str">
        <f>"15"</f>
        <v>15</v>
      </c>
      <c r="E1628" t="str">
        <f>"1-72-15"</f>
        <v>1-72-15</v>
      </c>
      <c r="F1628" t="s">
        <v>83</v>
      </c>
      <c r="G1628" t="s">
        <v>86</v>
      </c>
      <c r="H1628" t="s">
        <v>93</v>
      </c>
      <c r="I1628">
        <v>1</v>
      </c>
      <c r="K1628">
        <v>0</v>
      </c>
      <c r="L1628">
        <v>0</v>
      </c>
      <c r="M1628">
        <v>1</v>
      </c>
      <c r="N1628">
        <v>1</v>
      </c>
      <c r="O1628">
        <v>1</v>
      </c>
      <c r="P1628">
        <v>1</v>
      </c>
      <c r="Q1628">
        <v>1</v>
      </c>
      <c r="R1628">
        <v>1</v>
      </c>
      <c r="U1628">
        <v>0</v>
      </c>
      <c r="V1628">
        <v>1</v>
      </c>
      <c r="W1628">
        <v>1</v>
      </c>
      <c r="X1628">
        <v>1</v>
      </c>
      <c r="Y1628">
        <v>1</v>
      </c>
      <c r="Z1628">
        <v>1</v>
      </c>
      <c r="AA1628">
        <v>1</v>
      </c>
      <c r="AB1628">
        <v>1</v>
      </c>
    </row>
    <row r="1629" spans="1:28" x14ac:dyDescent="0.25">
      <c r="A1629" t="str">
        <f>"1625"</f>
        <v>1625</v>
      </c>
      <c r="B1629" t="str">
        <f t="shared" si="90"/>
        <v>1</v>
      </c>
      <c r="C1629" t="str">
        <f t="shared" si="93"/>
        <v>72</v>
      </c>
      <c r="D1629" t="str">
        <f>"8"</f>
        <v>8</v>
      </c>
      <c r="E1629" t="str">
        <f>"1-72-8"</f>
        <v>1-72-8</v>
      </c>
      <c r="F1629" t="s">
        <v>83</v>
      </c>
      <c r="G1629" t="s">
        <v>86</v>
      </c>
      <c r="H1629" t="s">
        <v>93</v>
      </c>
      <c r="I1629">
        <v>1</v>
      </c>
      <c r="K1629">
        <v>0</v>
      </c>
      <c r="L1629">
        <v>0</v>
      </c>
      <c r="M1629">
        <v>1</v>
      </c>
      <c r="N1629">
        <v>1</v>
      </c>
      <c r="O1629">
        <v>0</v>
      </c>
      <c r="P1629">
        <v>0</v>
      </c>
      <c r="Q1629">
        <v>0</v>
      </c>
      <c r="R1629">
        <v>0</v>
      </c>
      <c r="U1629">
        <v>1</v>
      </c>
      <c r="V1629">
        <v>0</v>
      </c>
      <c r="W1629">
        <v>0</v>
      </c>
      <c r="X1629">
        <v>1</v>
      </c>
      <c r="Y1629">
        <v>0</v>
      </c>
      <c r="Z1629">
        <v>0</v>
      </c>
      <c r="AA1629">
        <v>0</v>
      </c>
      <c r="AB1629">
        <v>1</v>
      </c>
    </row>
    <row r="1630" spans="1:28" x14ac:dyDescent="0.25">
      <c r="A1630" t="str">
        <f>"1626"</f>
        <v>1626</v>
      </c>
      <c r="B1630" t="str">
        <f t="shared" ref="B1630:B1693" si="94">"1"</f>
        <v>1</v>
      </c>
      <c r="C1630" t="str">
        <f t="shared" si="93"/>
        <v>72</v>
      </c>
      <c r="D1630" t="str">
        <f>"3"</f>
        <v>3</v>
      </c>
      <c r="E1630" t="str">
        <f>"1-72-3"</f>
        <v>1-72-3</v>
      </c>
      <c r="F1630" t="s">
        <v>83</v>
      </c>
      <c r="G1630" t="s">
        <v>86</v>
      </c>
      <c r="H1630" t="s">
        <v>93</v>
      </c>
      <c r="I1630">
        <v>1</v>
      </c>
      <c r="K1630">
        <v>0</v>
      </c>
      <c r="L1630">
        <v>0</v>
      </c>
      <c r="M1630">
        <v>1</v>
      </c>
      <c r="N1630">
        <v>1</v>
      </c>
      <c r="O1630">
        <v>1</v>
      </c>
      <c r="P1630">
        <v>1</v>
      </c>
      <c r="Q1630">
        <v>1</v>
      </c>
      <c r="R1630">
        <v>1</v>
      </c>
      <c r="U1630">
        <v>0</v>
      </c>
      <c r="V1630">
        <v>1</v>
      </c>
      <c r="W1630">
        <v>1</v>
      </c>
      <c r="X1630">
        <v>1</v>
      </c>
      <c r="Y1630">
        <v>1</v>
      </c>
      <c r="Z1630">
        <v>1</v>
      </c>
      <c r="AA1630">
        <v>1</v>
      </c>
      <c r="AB1630">
        <v>1</v>
      </c>
    </row>
    <row r="1631" spans="1:28" x14ac:dyDescent="0.25">
      <c r="A1631" t="str">
        <f>"1627"</f>
        <v>1627</v>
      </c>
      <c r="B1631" t="str">
        <f t="shared" si="94"/>
        <v>1</v>
      </c>
      <c r="C1631" t="str">
        <f t="shared" si="93"/>
        <v>72</v>
      </c>
      <c r="D1631" t="str">
        <f>"25"</f>
        <v>25</v>
      </c>
      <c r="E1631" t="str">
        <f>"1-72-25"</f>
        <v>1-72-25</v>
      </c>
      <c r="F1631" t="s">
        <v>83</v>
      </c>
      <c r="G1631" t="s">
        <v>86</v>
      </c>
      <c r="H1631" t="s">
        <v>93</v>
      </c>
      <c r="I1631">
        <v>1</v>
      </c>
      <c r="K1631">
        <v>1</v>
      </c>
      <c r="L1631">
        <v>0</v>
      </c>
      <c r="M1631">
        <v>0</v>
      </c>
      <c r="N1631">
        <v>1</v>
      </c>
      <c r="O1631">
        <v>1</v>
      </c>
      <c r="P1631">
        <v>1</v>
      </c>
      <c r="Q1631">
        <v>1</v>
      </c>
      <c r="R1631">
        <v>1</v>
      </c>
      <c r="U1631">
        <v>0</v>
      </c>
      <c r="V1631">
        <v>1</v>
      </c>
      <c r="W1631">
        <v>1</v>
      </c>
      <c r="X1631">
        <v>1</v>
      </c>
      <c r="Y1631">
        <v>1</v>
      </c>
      <c r="Z1631">
        <v>1</v>
      </c>
      <c r="AA1631">
        <v>1</v>
      </c>
      <c r="AB1631">
        <v>1</v>
      </c>
    </row>
    <row r="1632" spans="1:28" x14ac:dyDescent="0.25">
      <c r="A1632" t="str">
        <f>"1628"</f>
        <v>1628</v>
      </c>
      <c r="B1632" t="str">
        <f t="shared" si="94"/>
        <v>1</v>
      </c>
      <c r="C1632" t="str">
        <f t="shared" si="93"/>
        <v>72</v>
      </c>
      <c r="D1632" t="str">
        <f>"24"</f>
        <v>24</v>
      </c>
      <c r="E1632" t="str">
        <f>"1-72-24"</f>
        <v>1-72-24</v>
      </c>
      <c r="F1632" t="s">
        <v>83</v>
      </c>
      <c r="G1632" t="s">
        <v>86</v>
      </c>
      <c r="H1632" t="s">
        <v>93</v>
      </c>
      <c r="I1632">
        <v>1</v>
      </c>
      <c r="K1632">
        <v>0</v>
      </c>
      <c r="L1632">
        <v>1</v>
      </c>
      <c r="M1632">
        <v>0</v>
      </c>
      <c r="N1632">
        <v>1</v>
      </c>
      <c r="O1632">
        <v>1</v>
      </c>
      <c r="P1632">
        <v>1</v>
      </c>
      <c r="Q1632">
        <v>1</v>
      </c>
      <c r="R1632">
        <v>1</v>
      </c>
      <c r="U1632">
        <v>0</v>
      </c>
      <c r="V1632">
        <v>1</v>
      </c>
      <c r="W1632">
        <v>1</v>
      </c>
      <c r="X1632">
        <v>1</v>
      </c>
      <c r="Y1632">
        <v>1</v>
      </c>
      <c r="Z1632">
        <v>1</v>
      </c>
      <c r="AA1632">
        <v>1</v>
      </c>
      <c r="AB1632">
        <v>1</v>
      </c>
    </row>
    <row r="1633" spans="1:28" x14ac:dyDescent="0.25">
      <c r="A1633" t="str">
        <f>"1629"</f>
        <v>1629</v>
      </c>
      <c r="B1633" t="str">
        <f t="shared" si="94"/>
        <v>1</v>
      </c>
      <c r="C1633" t="str">
        <f t="shared" si="93"/>
        <v>72</v>
      </c>
      <c r="D1633" t="str">
        <f>"16"</f>
        <v>16</v>
      </c>
      <c r="E1633" t="str">
        <f>"1-72-16"</f>
        <v>1-72-16</v>
      </c>
      <c r="F1633" t="s">
        <v>83</v>
      </c>
      <c r="G1633" t="s">
        <v>86</v>
      </c>
      <c r="H1633" t="s">
        <v>93</v>
      </c>
      <c r="I1633">
        <v>1</v>
      </c>
      <c r="K1633">
        <v>0</v>
      </c>
      <c r="L1633">
        <v>1</v>
      </c>
      <c r="M1633">
        <v>0</v>
      </c>
      <c r="N1633">
        <v>1</v>
      </c>
      <c r="O1633">
        <v>1</v>
      </c>
      <c r="P1633">
        <v>1</v>
      </c>
      <c r="Q1633">
        <v>1</v>
      </c>
      <c r="R1633">
        <v>1</v>
      </c>
      <c r="U1633">
        <v>0</v>
      </c>
      <c r="V1633">
        <v>1</v>
      </c>
      <c r="W1633">
        <v>1</v>
      </c>
      <c r="X1633">
        <v>1</v>
      </c>
      <c r="Y1633">
        <v>1</v>
      </c>
      <c r="Z1633">
        <v>1</v>
      </c>
      <c r="AA1633">
        <v>1</v>
      </c>
      <c r="AB1633">
        <v>1</v>
      </c>
    </row>
    <row r="1634" spans="1:28" x14ac:dyDescent="0.25">
      <c r="A1634" t="str">
        <f>"1630"</f>
        <v>1630</v>
      </c>
      <c r="B1634" t="str">
        <f t="shared" si="94"/>
        <v>1</v>
      </c>
      <c r="C1634" t="str">
        <f t="shared" si="93"/>
        <v>72</v>
      </c>
      <c r="D1634" t="str">
        <f>"9"</f>
        <v>9</v>
      </c>
      <c r="E1634" t="str">
        <f>"1-72-9"</f>
        <v>1-72-9</v>
      </c>
      <c r="F1634" t="s">
        <v>83</v>
      </c>
      <c r="G1634" t="s">
        <v>86</v>
      </c>
      <c r="H1634" t="s">
        <v>93</v>
      </c>
      <c r="I1634">
        <v>1</v>
      </c>
      <c r="K1634">
        <v>1</v>
      </c>
      <c r="L1634">
        <v>0</v>
      </c>
      <c r="M1634">
        <v>0</v>
      </c>
      <c r="N1634">
        <v>1</v>
      </c>
      <c r="O1634">
        <v>1</v>
      </c>
      <c r="P1634">
        <v>1</v>
      </c>
      <c r="Q1634">
        <v>1</v>
      </c>
      <c r="R1634">
        <v>1</v>
      </c>
      <c r="U1634">
        <v>1</v>
      </c>
      <c r="V1634">
        <v>0</v>
      </c>
      <c r="W1634">
        <v>1</v>
      </c>
      <c r="X1634">
        <v>1</v>
      </c>
      <c r="Y1634">
        <v>1</v>
      </c>
      <c r="Z1634">
        <v>1</v>
      </c>
      <c r="AA1634">
        <v>1</v>
      </c>
      <c r="AB1634">
        <v>1</v>
      </c>
    </row>
    <row r="1635" spans="1:28" x14ac:dyDescent="0.25">
      <c r="A1635" t="str">
        <f>"1631"</f>
        <v>1631</v>
      </c>
      <c r="B1635" t="str">
        <f t="shared" si="94"/>
        <v>1</v>
      </c>
      <c r="C1635" t="str">
        <f t="shared" si="93"/>
        <v>72</v>
      </c>
      <c r="D1635" t="str">
        <f>"6"</f>
        <v>6</v>
      </c>
      <c r="E1635" t="str">
        <f>"1-72-6"</f>
        <v>1-72-6</v>
      </c>
      <c r="F1635" t="s">
        <v>83</v>
      </c>
      <c r="G1635" t="s">
        <v>86</v>
      </c>
      <c r="H1635" t="s">
        <v>93</v>
      </c>
      <c r="I1635">
        <v>1</v>
      </c>
      <c r="K1635">
        <v>0</v>
      </c>
      <c r="L1635">
        <v>0</v>
      </c>
      <c r="M1635">
        <v>1</v>
      </c>
      <c r="N1635">
        <v>1</v>
      </c>
      <c r="O1635">
        <v>1</v>
      </c>
      <c r="P1635">
        <v>1</v>
      </c>
      <c r="Q1635">
        <v>1</v>
      </c>
      <c r="R1635">
        <v>1</v>
      </c>
      <c r="U1635">
        <v>0</v>
      </c>
      <c r="V1635">
        <v>0</v>
      </c>
      <c r="W1635">
        <v>1</v>
      </c>
      <c r="X1635">
        <v>1</v>
      </c>
      <c r="Y1635">
        <v>1</v>
      </c>
      <c r="Z1635">
        <v>1</v>
      </c>
      <c r="AA1635">
        <v>1</v>
      </c>
      <c r="AB1635">
        <v>1</v>
      </c>
    </row>
    <row r="1636" spans="1:28" x14ac:dyDescent="0.25">
      <c r="A1636" t="str">
        <f>"1632"</f>
        <v>1632</v>
      </c>
      <c r="B1636" t="str">
        <f t="shared" si="94"/>
        <v>1</v>
      </c>
      <c r="C1636" t="str">
        <f t="shared" si="93"/>
        <v>72</v>
      </c>
      <c r="D1636" t="str">
        <f>"18"</f>
        <v>18</v>
      </c>
      <c r="E1636" t="str">
        <f>"1-72-18"</f>
        <v>1-72-18</v>
      </c>
      <c r="F1636" t="s">
        <v>83</v>
      </c>
      <c r="G1636" t="s">
        <v>86</v>
      </c>
      <c r="H1636" t="s">
        <v>93</v>
      </c>
      <c r="I1636">
        <v>1</v>
      </c>
      <c r="K1636">
        <v>0</v>
      </c>
      <c r="L1636">
        <v>0</v>
      </c>
      <c r="M1636">
        <v>1</v>
      </c>
      <c r="N1636">
        <v>1</v>
      </c>
      <c r="O1636">
        <v>1</v>
      </c>
      <c r="P1636">
        <v>1</v>
      </c>
      <c r="Q1636">
        <v>1</v>
      </c>
      <c r="R1636">
        <v>1</v>
      </c>
      <c r="U1636">
        <v>0</v>
      </c>
      <c r="V1636">
        <v>1</v>
      </c>
      <c r="W1636">
        <v>1</v>
      </c>
      <c r="X1636">
        <v>1</v>
      </c>
      <c r="Y1636">
        <v>1</v>
      </c>
      <c r="Z1636">
        <v>1</v>
      </c>
      <c r="AA1636">
        <v>1</v>
      </c>
      <c r="AB1636">
        <v>1</v>
      </c>
    </row>
    <row r="1637" spans="1:28" x14ac:dyDescent="0.25">
      <c r="A1637" t="str">
        <f>"1633"</f>
        <v>1633</v>
      </c>
      <c r="B1637" t="str">
        <f t="shared" si="94"/>
        <v>1</v>
      </c>
      <c r="C1637" t="str">
        <f t="shared" si="93"/>
        <v>72</v>
      </c>
      <c r="D1637" t="str">
        <f>"10"</f>
        <v>10</v>
      </c>
      <c r="E1637" t="str">
        <f>"1-72-10"</f>
        <v>1-72-10</v>
      </c>
      <c r="F1637" t="s">
        <v>83</v>
      </c>
      <c r="G1637" t="s">
        <v>86</v>
      </c>
      <c r="H1637" t="s">
        <v>93</v>
      </c>
      <c r="I1637">
        <v>1</v>
      </c>
      <c r="K1637">
        <v>0</v>
      </c>
      <c r="L1637">
        <v>0</v>
      </c>
      <c r="M1637">
        <v>1</v>
      </c>
      <c r="N1637">
        <v>1</v>
      </c>
      <c r="O1637">
        <v>1</v>
      </c>
      <c r="P1637">
        <v>1</v>
      </c>
      <c r="Q1637">
        <v>1</v>
      </c>
      <c r="R1637">
        <v>1</v>
      </c>
      <c r="U1637">
        <v>0</v>
      </c>
      <c r="V1637">
        <v>1</v>
      </c>
      <c r="W1637">
        <v>1</v>
      </c>
      <c r="X1637">
        <v>1</v>
      </c>
      <c r="Y1637">
        <v>1</v>
      </c>
      <c r="Z1637">
        <v>1</v>
      </c>
      <c r="AA1637">
        <v>1</v>
      </c>
      <c r="AB1637">
        <v>1</v>
      </c>
    </row>
    <row r="1638" spans="1:28" x14ac:dyDescent="0.25">
      <c r="A1638" t="str">
        <f>"1634"</f>
        <v>1634</v>
      </c>
      <c r="B1638" t="str">
        <f t="shared" si="94"/>
        <v>1</v>
      </c>
      <c r="C1638" t="str">
        <f t="shared" si="93"/>
        <v>72</v>
      </c>
      <c r="D1638" t="str">
        <f>"1"</f>
        <v>1</v>
      </c>
      <c r="E1638" t="str">
        <f>"1-72-1"</f>
        <v>1-72-1</v>
      </c>
      <c r="F1638" t="s">
        <v>83</v>
      </c>
      <c r="G1638" t="s">
        <v>86</v>
      </c>
      <c r="H1638" t="s">
        <v>93</v>
      </c>
      <c r="I1638">
        <v>1</v>
      </c>
      <c r="K1638">
        <v>0</v>
      </c>
      <c r="L1638">
        <v>0</v>
      </c>
      <c r="M1638">
        <v>1</v>
      </c>
      <c r="N1638">
        <v>1</v>
      </c>
      <c r="O1638">
        <v>1</v>
      </c>
      <c r="P1638">
        <v>1</v>
      </c>
      <c r="Q1638">
        <v>1</v>
      </c>
      <c r="R1638">
        <v>1</v>
      </c>
      <c r="U1638">
        <v>0</v>
      </c>
      <c r="V1638">
        <v>1</v>
      </c>
      <c r="W1638">
        <v>1</v>
      </c>
      <c r="X1638">
        <v>1</v>
      </c>
      <c r="Y1638">
        <v>1</v>
      </c>
      <c r="Z1638">
        <v>1</v>
      </c>
      <c r="AA1638">
        <v>1</v>
      </c>
      <c r="AB1638">
        <v>1</v>
      </c>
    </row>
    <row r="1639" spans="1:28" x14ac:dyDescent="0.25">
      <c r="A1639" t="str">
        <f>"1635"</f>
        <v>1635</v>
      </c>
      <c r="B1639" t="str">
        <f t="shared" si="94"/>
        <v>1</v>
      </c>
      <c r="C1639" t="str">
        <f t="shared" si="93"/>
        <v>72</v>
      </c>
      <c r="D1639" t="str">
        <f>"19"</f>
        <v>19</v>
      </c>
      <c r="E1639" t="str">
        <f>"1-72-19"</f>
        <v>1-72-19</v>
      </c>
      <c r="F1639" t="s">
        <v>83</v>
      </c>
      <c r="G1639" t="s">
        <v>86</v>
      </c>
      <c r="H1639" t="s">
        <v>93</v>
      </c>
      <c r="I1639">
        <v>1</v>
      </c>
      <c r="K1639">
        <v>1</v>
      </c>
      <c r="L1639">
        <v>0</v>
      </c>
      <c r="M1639">
        <v>0</v>
      </c>
      <c r="N1639">
        <v>1</v>
      </c>
      <c r="O1639">
        <v>1</v>
      </c>
      <c r="P1639">
        <v>1</v>
      </c>
      <c r="Q1639">
        <v>1</v>
      </c>
      <c r="R1639">
        <v>1</v>
      </c>
      <c r="U1639">
        <v>1</v>
      </c>
      <c r="V1639">
        <v>0</v>
      </c>
      <c r="W1639">
        <v>1</v>
      </c>
      <c r="X1639">
        <v>1</v>
      </c>
      <c r="Y1639">
        <v>1</v>
      </c>
      <c r="Z1639">
        <v>1</v>
      </c>
      <c r="AA1639">
        <v>1</v>
      </c>
      <c r="AB1639">
        <v>0</v>
      </c>
    </row>
    <row r="1640" spans="1:28" x14ac:dyDescent="0.25">
      <c r="A1640" t="str">
        <f>"1636"</f>
        <v>1636</v>
      </c>
      <c r="B1640" t="str">
        <f t="shared" si="94"/>
        <v>1</v>
      </c>
      <c r="C1640" t="str">
        <f t="shared" si="93"/>
        <v>72</v>
      </c>
      <c r="D1640" t="str">
        <f>"11"</f>
        <v>11</v>
      </c>
      <c r="E1640" t="str">
        <f>"1-72-11"</f>
        <v>1-72-11</v>
      </c>
      <c r="F1640" t="s">
        <v>83</v>
      </c>
      <c r="G1640" t="s">
        <v>86</v>
      </c>
      <c r="H1640" t="s">
        <v>93</v>
      </c>
      <c r="I1640">
        <v>1</v>
      </c>
      <c r="K1640">
        <v>0</v>
      </c>
      <c r="L1640">
        <v>0</v>
      </c>
      <c r="M1640">
        <v>1</v>
      </c>
      <c r="N1640">
        <v>1</v>
      </c>
      <c r="O1640">
        <v>1</v>
      </c>
      <c r="P1640">
        <v>1</v>
      </c>
      <c r="Q1640">
        <v>1</v>
      </c>
      <c r="R1640">
        <v>1</v>
      </c>
      <c r="U1640">
        <v>1</v>
      </c>
      <c r="V1640">
        <v>0</v>
      </c>
      <c r="W1640">
        <v>1</v>
      </c>
      <c r="X1640">
        <v>1</v>
      </c>
      <c r="Y1640">
        <v>1</v>
      </c>
      <c r="Z1640">
        <v>1</v>
      </c>
      <c r="AA1640">
        <v>1</v>
      </c>
      <c r="AB1640">
        <v>1</v>
      </c>
    </row>
    <row r="1641" spans="1:28" x14ac:dyDescent="0.25">
      <c r="A1641" t="str">
        <f>"1637"</f>
        <v>1637</v>
      </c>
      <c r="B1641" t="str">
        <f t="shared" si="94"/>
        <v>1</v>
      </c>
      <c r="C1641" t="str">
        <f t="shared" si="93"/>
        <v>72</v>
      </c>
      <c r="D1641" t="str">
        <f>"7"</f>
        <v>7</v>
      </c>
      <c r="E1641" t="str">
        <f>"1-72-7"</f>
        <v>1-72-7</v>
      </c>
      <c r="F1641" t="s">
        <v>83</v>
      </c>
      <c r="G1641" t="s">
        <v>86</v>
      </c>
      <c r="H1641" t="s">
        <v>93</v>
      </c>
      <c r="I1641">
        <v>1</v>
      </c>
      <c r="K1641">
        <v>0</v>
      </c>
      <c r="L1641">
        <v>0</v>
      </c>
      <c r="M1641">
        <v>1</v>
      </c>
      <c r="N1641">
        <v>1</v>
      </c>
      <c r="O1641">
        <v>1</v>
      </c>
      <c r="P1641">
        <v>1</v>
      </c>
      <c r="Q1641">
        <v>1</v>
      </c>
      <c r="R1641">
        <v>1</v>
      </c>
      <c r="U1641">
        <v>0</v>
      </c>
      <c r="V1641">
        <v>1</v>
      </c>
      <c r="W1641">
        <v>1</v>
      </c>
      <c r="X1641">
        <v>1</v>
      </c>
      <c r="Y1641">
        <v>1</v>
      </c>
      <c r="Z1641">
        <v>1</v>
      </c>
      <c r="AA1641">
        <v>1</v>
      </c>
      <c r="AB1641">
        <v>1</v>
      </c>
    </row>
    <row r="1642" spans="1:28" x14ac:dyDescent="0.25">
      <c r="A1642" t="str">
        <f>"1638"</f>
        <v>1638</v>
      </c>
      <c r="B1642" t="str">
        <f t="shared" si="94"/>
        <v>1</v>
      </c>
      <c r="C1642" t="str">
        <f t="shared" si="93"/>
        <v>72</v>
      </c>
      <c r="D1642" t="str">
        <f>"17"</f>
        <v>17</v>
      </c>
      <c r="E1642" t="str">
        <f>"1-72-17"</f>
        <v>1-72-17</v>
      </c>
      <c r="F1642" t="s">
        <v>83</v>
      </c>
      <c r="G1642" t="s">
        <v>86</v>
      </c>
      <c r="H1642" t="s">
        <v>93</v>
      </c>
      <c r="I1642">
        <v>1</v>
      </c>
      <c r="K1642">
        <v>0</v>
      </c>
      <c r="L1642">
        <v>0</v>
      </c>
      <c r="M1642">
        <v>1</v>
      </c>
      <c r="N1642">
        <v>1</v>
      </c>
      <c r="O1642">
        <v>0</v>
      </c>
      <c r="P1642">
        <v>1</v>
      </c>
      <c r="Q1642">
        <v>1</v>
      </c>
      <c r="R1642">
        <v>1</v>
      </c>
      <c r="U1642">
        <v>0</v>
      </c>
      <c r="V1642">
        <v>1</v>
      </c>
      <c r="W1642">
        <v>0</v>
      </c>
      <c r="X1642">
        <v>1</v>
      </c>
      <c r="Y1642">
        <v>1</v>
      </c>
      <c r="Z1642">
        <v>1</v>
      </c>
      <c r="AA1642">
        <v>1</v>
      </c>
      <c r="AB1642">
        <v>1</v>
      </c>
    </row>
    <row r="1643" spans="1:28" x14ac:dyDescent="0.25">
      <c r="A1643" t="str">
        <f>"1639"</f>
        <v>1639</v>
      </c>
      <c r="B1643" t="str">
        <f t="shared" si="94"/>
        <v>1</v>
      </c>
      <c r="C1643" t="str">
        <f t="shared" si="93"/>
        <v>72</v>
      </c>
      <c r="D1643" t="str">
        <f>"12"</f>
        <v>12</v>
      </c>
      <c r="E1643" t="str">
        <f>"1-72-12"</f>
        <v>1-72-12</v>
      </c>
      <c r="F1643" t="s">
        <v>83</v>
      </c>
      <c r="G1643" t="s">
        <v>86</v>
      </c>
      <c r="H1643" t="s">
        <v>93</v>
      </c>
      <c r="I1643">
        <v>1</v>
      </c>
      <c r="K1643">
        <v>0</v>
      </c>
      <c r="L1643">
        <v>0</v>
      </c>
      <c r="M1643">
        <v>1</v>
      </c>
      <c r="N1643">
        <v>1</v>
      </c>
      <c r="O1643">
        <v>1</v>
      </c>
      <c r="P1643">
        <v>1</v>
      </c>
      <c r="Q1643">
        <v>1</v>
      </c>
      <c r="R1643">
        <v>1</v>
      </c>
      <c r="U1643">
        <v>1</v>
      </c>
      <c r="V1643">
        <v>0</v>
      </c>
      <c r="W1643">
        <v>1</v>
      </c>
      <c r="X1643">
        <v>1</v>
      </c>
      <c r="Y1643">
        <v>1</v>
      </c>
      <c r="Z1643">
        <v>1</v>
      </c>
      <c r="AA1643">
        <v>1</v>
      </c>
      <c r="AB1643">
        <v>1</v>
      </c>
    </row>
    <row r="1644" spans="1:28" x14ac:dyDescent="0.25">
      <c r="A1644" t="str">
        <f>"1640"</f>
        <v>1640</v>
      </c>
      <c r="B1644" t="str">
        <f t="shared" si="94"/>
        <v>1</v>
      </c>
      <c r="C1644" t="str">
        <f t="shared" si="93"/>
        <v>72</v>
      </c>
      <c r="D1644" t="str">
        <f>"2"</f>
        <v>2</v>
      </c>
      <c r="E1644" t="str">
        <f>"1-72-2"</f>
        <v>1-72-2</v>
      </c>
      <c r="F1644" t="s">
        <v>83</v>
      </c>
      <c r="G1644" t="s">
        <v>86</v>
      </c>
      <c r="H1644" t="s">
        <v>93</v>
      </c>
      <c r="I1644">
        <v>1</v>
      </c>
      <c r="K1644">
        <v>0</v>
      </c>
      <c r="L1644">
        <v>0</v>
      </c>
      <c r="M1644">
        <v>1</v>
      </c>
      <c r="N1644">
        <v>1</v>
      </c>
      <c r="O1644">
        <v>1</v>
      </c>
      <c r="P1644">
        <v>1</v>
      </c>
      <c r="Q1644">
        <v>1</v>
      </c>
      <c r="R1644">
        <v>1</v>
      </c>
      <c r="U1644">
        <v>0</v>
      </c>
      <c r="V1644">
        <v>1</v>
      </c>
      <c r="W1644">
        <v>1</v>
      </c>
      <c r="X1644">
        <v>1</v>
      </c>
      <c r="Y1644">
        <v>1</v>
      </c>
      <c r="Z1644">
        <v>1</v>
      </c>
      <c r="AA1644">
        <v>1</v>
      </c>
      <c r="AB1644">
        <v>1</v>
      </c>
    </row>
    <row r="1645" spans="1:28" x14ac:dyDescent="0.25">
      <c r="A1645" t="str">
        <f>"1641"</f>
        <v>1641</v>
      </c>
      <c r="B1645" t="str">
        <f t="shared" si="94"/>
        <v>1</v>
      </c>
      <c r="C1645" t="str">
        <f t="shared" si="93"/>
        <v>72</v>
      </c>
      <c r="D1645" t="str">
        <f>"21"</f>
        <v>21</v>
      </c>
      <c r="E1645" t="str">
        <f>"1-72-21"</f>
        <v>1-72-21</v>
      </c>
      <c r="F1645" t="s">
        <v>83</v>
      </c>
      <c r="G1645" t="s">
        <v>86</v>
      </c>
      <c r="H1645" t="s">
        <v>93</v>
      </c>
      <c r="I1645">
        <v>1</v>
      </c>
      <c r="K1645">
        <v>0</v>
      </c>
      <c r="L1645">
        <v>0</v>
      </c>
      <c r="M1645">
        <v>1</v>
      </c>
      <c r="N1645">
        <v>1</v>
      </c>
      <c r="O1645">
        <v>1</v>
      </c>
      <c r="P1645">
        <v>1</v>
      </c>
      <c r="Q1645">
        <v>1</v>
      </c>
      <c r="R1645">
        <v>1</v>
      </c>
      <c r="U1645">
        <v>1</v>
      </c>
      <c r="V1645">
        <v>0</v>
      </c>
      <c r="W1645">
        <v>1</v>
      </c>
      <c r="X1645">
        <v>1</v>
      </c>
      <c r="Y1645">
        <v>1</v>
      </c>
      <c r="Z1645">
        <v>1</v>
      </c>
      <c r="AA1645">
        <v>1</v>
      </c>
      <c r="AB1645">
        <v>1</v>
      </c>
    </row>
    <row r="1646" spans="1:28" x14ac:dyDescent="0.25">
      <c r="A1646" t="str">
        <f>"1642"</f>
        <v>1642</v>
      </c>
      <c r="B1646" t="str">
        <f t="shared" si="94"/>
        <v>1</v>
      </c>
      <c r="C1646" t="str">
        <f t="shared" si="93"/>
        <v>72</v>
      </c>
      <c r="D1646" t="str">
        <f>"13"</f>
        <v>13</v>
      </c>
      <c r="E1646" t="str">
        <f>"1-72-13"</f>
        <v>1-72-13</v>
      </c>
      <c r="F1646" t="s">
        <v>83</v>
      </c>
      <c r="G1646" t="s">
        <v>86</v>
      </c>
      <c r="H1646" t="s">
        <v>93</v>
      </c>
      <c r="I1646">
        <v>1</v>
      </c>
      <c r="K1646">
        <v>0</v>
      </c>
      <c r="L1646">
        <v>1</v>
      </c>
      <c r="M1646">
        <v>0</v>
      </c>
      <c r="N1646">
        <v>1</v>
      </c>
      <c r="O1646">
        <v>1</v>
      </c>
      <c r="P1646">
        <v>1</v>
      </c>
      <c r="Q1646">
        <v>1</v>
      </c>
      <c r="R1646">
        <v>1</v>
      </c>
      <c r="U1646">
        <v>1</v>
      </c>
      <c r="V1646">
        <v>0</v>
      </c>
      <c r="W1646">
        <v>1</v>
      </c>
      <c r="X1646">
        <v>1</v>
      </c>
      <c r="Y1646">
        <v>1</v>
      </c>
      <c r="Z1646">
        <v>1</v>
      </c>
      <c r="AA1646">
        <v>1</v>
      </c>
      <c r="AB1646">
        <v>1</v>
      </c>
    </row>
    <row r="1647" spans="1:28" x14ac:dyDescent="0.25">
      <c r="A1647" t="str">
        <f>"1643"</f>
        <v>1643</v>
      </c>
      <c r="B1647" t="str">
        <f t="shared" si="94"/>
        <v>1</v>
      </c>
      <c r="C1647" t="str">
        <f t="shared" si="93"/>
        <v>72</v>
      </c>
      <c r="D1647" t="str">
        <f>"4"</f>
        <v>4</v>
      </c>
      <c r="E1647" t="str">
        <f>"1-72-4"</f>
        <v>1-72-4</v>
      </c>
      <c r="F1647" t="s">
        <v>83</v>
      </c>
      <c r="G1647" t="s">
        <v>86</v>
      </c>
      <c r="H1647" t="s">
        <v>93</v>
      </c>
      <c r="I1647">
        <v>1</v>
      </c>
      <c r="K1647">
        <v>0</v>
      </c>
      <c r="L1647">
        <v>1</v>
      </c>
      <c r="M1647">
        <v>0</v>
      </c>
      <c r="N1647">
        <v>1</v>
      </c>
      <c r="O1647">
        <v>1</v>
      </c>
      <c r="P1647">
        <v>1</v>
      </c>
      <c r="Q1647">
        <v>1</v>
      </c>
      <c r="R1647">
        <v>1</v>
      </c>
      <c r="U1647">
        <v>1</v>
      </c>
      <c r="V1647">
        <v>0</v>
      </c>
      <c r="W1647">
        <v>1</v>
      </c>
      <c r="X1647">
        <v>1</v>
      </c>
      <c r="Y1647">
        <v>1</v>
      </c>
      <c r="Z1647">
        <v>1</v>
      </c>
      <c r="AA1647">
        <v>1</v>
      </c>
      <c r="AB1647">
        <v>1</v>
      </c>
    </row>
    <row r="1648" spans="1:28" x14ac:dyDescent="0.25">
      <c r="A1648" t="str">
        <f>"1644"</f>
        <v>1644</v>
      </c>
      <c r="B1648" t="str">
        <f t="shared" si="94"/>
        <v>1</v>
      </c>
      <c r="C1648" t="str">
        <f t="shared" si="93"/>
        <v>72</v>
      </c>
      <c r="D1648" t="str">
        <f>"20"</f>
        <v>20</v>
      </c>
      <c r="E1648" t="str">
        <f>"1-72-20"</f>
        <v>1-72-20</v>
      </c>
      <c r="F1648" t="s">
        <v>83</v>
      </c>
      <c r="G1648" t="s">
        <v>86</v>
      </c>
      <c r="H1648" t="s">
        <v>93</v>
      </c>
      <c r="I1648">
        <v>1</v>
      </c>
      <c r="K1648">
        <v>0</v>
      </c>
      <c r="L1648">
        <v>0</v>
      </c>
      <c r="M1648">
        <v>1</v>
      </c>
      <c r="N1648">
        <v>1</v>
      </c>
      <c r="O1648">
        <v>1</v>
      </c>
      <c r="P1648">
        <v>1</v>
      </c>
      <c r="Q1648">
        <v>1</v>
      </c>
      <c r="R1648">
        <v>1</v>
      </c>
      <c r="U1648">
        <v>0</v>
      </c>
      <c r="V1648">
        <v>1</v>
      </c>
      <c r="W1648">
        <v>1</v>
      </c>
      <c r="X1648">
        <v>1</v>
      </c>
      <c r="Y1648">
        <v>1</v>
      </c>
      <c r="Z1648">
        <v>1</v>
      </c>
      <c r="AA1648">
        <v>1</v>
      </c>
      <c r="AB1648">
        <v>1</v>
      </c>
    </row>
    <row r="1649" spans="1:28" x14ac:dyDescent="0.25">
      <c r="A1649" t="str">
        <f>"1645"</f>
        <v>1645</v>
      </c>
      <c r="B1649" t="str">
        <f t="shared" si="94"/>
        <v>1</v>
      </c>
      <c r="C1649" t="str">
        <f t="shared" si="93"/>
        <v>72</v>
      </c>
      <c r="D1649" t="str">
        <f>"14"</f>
        <v>14</v>
      </c>
      <c r="E1649" t="str">
        <f>"1-72-14"</f>
        <v>1-72-14</v>
      </c>
      <c r="F1649" t="s">
        <v>83</v>
      </c>
      <c r="G1649" t="s">
        <v>86</v>
      </c>
      <c r="H1649" t="s">
        <v>93</v>
      </c>
      <c r="I1649">
        <v>1</v>
      </c>
      <c r="K1649">
        <v>0</v>
      </c>
      <c r="L1649">
        <v>0</v>
      </c>
      <c r="M1649">
        <v>1</v>
      </c>
      <c r="N1649">
        <v>1</v>
      </c>
      <c r="O1649">
        <v>1</v>
      </c>
      <c r="P1649">
        <v>0</v>
      </c>
      <c r="Q1649">
        <v>0</v>
      </c>
      <c r="R1649">
        <v>0</v>
      </c>
      <c r="U1649">
        <v>1</v>
      </c>
      <c r="V1649">
        <v>0</v>
      </c>
      <c r="W1649">
        <v>0</v>
      </c>
      <c r="X1649">
        <v>1</v>
      </c>
      <c r="Y1649">
        <v>0</v>
      </c>
      <c r="Z1649">
        <v>0</v>
      </c>
      <c r="AA1649">
        <v>0</v>
      </c>
      <c r="AB1649">
        <v>1</v>
      </c>
    </row>
    <row r="1650" spans="1:28" x14ac:dyDescent="0.25">
      <c r="A1650" t="str">
        <f>"1646"</f>
        <v>1646</v>
      </c>
      <c r="B1650" t="str">
        <f t="shared" si="94"/>
        <v>1</v>
      </c>
      <c r="C1650" t="str">
        <f t="shared" si="93"/>
        <v>72</v>
      </c>
      <c r="D1650" t="str">
        <f>"5"</f>
        <v>5</v>
      </c>
      <c r="E1650" t="str">
        <f>"1-72-5"</f>
        <v>1-72-5</v>
      </c>
      <c r="F1650" t="s">
        <v>83</v>
      </c>
      <c r="G1650" t="s">
        <v>86</v>
      </c>
      <c r="H1650" t="s">
        <v>93</v>
      </c>
      <c r="I1650">
        <v>1</v>
      </c>
      <c r="K1650">
        <v>0</v>
      </c>
      <c r="L1650">
        <v>0</v>
      </c>
      <c r="M1650">
        <v>1</v>
      </c>
      <c r="N1650">
        <v>1</v>
      </c>
      <c r="O1650">
        <v>1</v>
      </c>
      <c r="P1650">
        <v>1</v>
      </c>
      <c r="Q1650">
        <v>1</v>
      </c>
      <c r="R1650">
        <v>1</v>
      </c>
      <c r="U1650">
        <v>1</v>
      </c>
      <c r="V1650">
        <v>0</v>
      </c>
      <c r="W1650">
        <v>1</v>
      </c>
      <c r="X1650">
        <v>1</v>
      </c>
      <c r="Y1650">
        <v>1</v>
      </c>
      <c r="Z1650">
        <v>1</v>
      </c>
      <c r="AA1650">
        <v>1</v>
      </c>
      <c r="AB1650">
        <v>1</v>
      </c>
    </row>
    <row r="1651" spans="1:28" x14ac:dyDescent="0.25">
      <c r="A1651" t="str">
        <f>"1647"</f>
        <v>1647</v>
      </c>
      <c r="B1651" t="str">
        <f t="shared" si="94"/>
        <v>1</v>
      </c>
      <c r="C1651" t="str">
        <f t="shared" ref="C1651:C1675" si="95">"73"</f>
        <v>73</v>
      </c>
      <c r="D1651" t="str">
        <f>"25"</f>
        <v>25</v>
      </c>
      <c r="E1651" t="str">
        <f>"1-73-25"</f>
        <v>1-73-25</v>
      </c>
      <c r="F1651" t="s">
        <v>83</v>
      </c>
      <c r="G1651" t="s">
        <v>84</v>
      </c>
      <c r="H1651" t="s">
        <v>92</v>
      </c>
      <c r="I1651">
        <v>1</v>
      </c>
      <c r="J1651">
        <v>1</v>
      </c>
      <c r="N1651">
        <v>1</v>
      </c>
      <c r="O1651">
        <v>1</v>
      </c>
      <c r="P1651">
        <v>1</v>
      </c>
      <c r="Q1651">
        <v>1</v>
      </c>
      <c r="R1651">
        <v>1</v>
      </c>
      <c r="S1651">
        <v>1</v>
      </c>
      <c r="T1651">
        <v>1</v>
      </c>
      <c r="W1651">
        <v>1</v>
      </c>
      <c r="X1651">
        <v>1</v>
      </c>
      <c r="Y1651">
        <v>1</v>
      </c>
      <c r="Z1651">
        <v>1</v>
      </c>
      <c r="AA1651">
        <v>1</v>
      </c>
      <c r="AB1651">
        <v>1</v>
      </c>
    </row>
    <row r="1652" spans="1:28" x14ac:dyDescent="0.25">
      <c r="A1652" t="str">
        <f>"1648"</f>
        <v>1648</v>
      </c>
      <c r="B1652" t="str">
        <f t="shared" si="94"/>
        <v>1</v>
      </c>
      <c r="C1652" t="str">
        <f t="shared" si="95"/>
        <v>73</v>
      </c>
      <c r="D1652" t="str">
        <f>"24"</f>
        <v>24</v>
      </c>
      <c r="E1652" t="str">
        <f>"1-73-24"</f>
        <v>1-73-24</v>
      </c>
      <c r="F1652" t="s">
        <v>83</v>
      </c>
      <c r="G1652" t="s">
        <v>84</v>
      </c>
      <c r="H1652" t="s">
        <v>92</v>
      </c>
      <c r="I1652">
        <v>1</v>
      </c>
      <c r="J1652">
        <v>1</v>
      </c>
      <c r="N1652">
        <v>1</v>
      </c>
      <c r="O1652">
        <v>1</v>
      </c>
      <c r="P1652">
        <v>1</v>
      </c>
      <c r="Q1652">
        <v>1</v>
      </c>
      <c r="R1652">
        <v>1</v>
      </c>
      <c r="S1652">
        <v>1</v>
      </c>
      <c r="T1652">
        <v>1</v>
      </c>
      <c r="W1652">
        <v>1</v>
      </c>
      <c r="X1652">
        <v>1</v>
      </c>
      <c r="Y1652">
        <v>1</v>
      </c>
      <c r="Z1652">
        <v>1</v>
      </c>
      <c r="AA1652">
        <v>1</v>
      </c>
      <c r="AB1652">
        <v>1</v>
      </c>
    </row>
    <row r="1653" spans="1:28" x14ac:dyDescent="0.25">
      <c r="A1653" t="str">
        <f>"1649"</f>
        <v>1649</v>
      </c>
      <c r="B1653" t="str">
        <f t="shared" si="94"/>
        <v>1</v>
      </c>
      <c r="C1653" t="str">
        <f t="shared" si="95"/>
        <v>73</v>
      </c>
      <c r="D1653" t="str">
        <f>"15"</f>
        <v>15</v>
      </c>
      <c r="E1653" t="str">
        <f>"1-73-15"</f>
        <v>1-73-15</v>
      </c>
      <c r="F1653" t="s">
        <v>83</v>
      </c>
      <c r="G1653" t="s">
        <v>86</v>
      </c>
      <c r="H1653" t="s">
        <v>93</v>
      </c>
      <c r="I1653">
        <v>1</v>
      </c>
      <c r="K1653">
        <v>0</v>
      </c>
      <c r="L1653">
        <v>1</v>
      </c>
      <c r="M1653">
        <v>0</v>
      </c>
      <c r="N1653">
        <v>1</v>
      </c>
      <c r="O1653">
        <v>1</v>
      </c>
      <c r="P1653">
        <v>1</v>
      </c>
      <c r="Q1653">
        <v>1</v>
      </c>
      <c r="R1653">
        <v>1</v>
      </c>
      <c r="U1653">
        <v>1</v>
      </c>
      <c r="V1653">
        <v>0</v>
      </c>
      <c r="W1653">
        <v>1</v>
      </c>
      <c r="X1653">
        <v>1</v>
      </c>
      <c r="Y1653">
        <v>1</v>
      </c>
      <c r="Z1653">
        <v>1</v>
      </c>
      <c r="AA1653">
        <v>1</v>
      </c>
      <c r="AB1653">
        <v>1</v>
      </c>
    </row>
    <row r="1654" spans="1:28" x14ac:dyDescent="0.25">
      <c r="A1654" t="str">
        <f>"1650"</f>
        <v>1650</v>
      </c>
      <c r="B1654" t="str">
        <f t="shared" si="94"/>
        <v>1</v>
      </c>
      <c r="C1654" t="str">
        <f t="shared" si="95"/>
        <v>73</v>
      </c>
      <c r="D1654" t="str">
        <f>"8"</f>
        <v>8</v>
      </c>
      <c r="E1654" t="str">
        <f>"1-73-8"</f>
        <v>1-73-8</v>
      </c>
      <c r="F1654" t="s">
        <v>83</v>
      </c>
      <c r="G1654" t="s">
        <v>84</v>
      </c>
      <c r="H1654" t="s">
        <v>92</v>
      </c>
      <c r="I1654">
        <v>0</v>
      </c>
      <c r="J1654">
        <v>0</v>
      </c>
      <c r="N1654">
        <v>1</v>
      </c>
      <c r="O1654">
        <v>0</v>
      </c>
      <c r="P1654">
        <v>0</v>
      </c>
      <c r="Q1654">
        <v>0</v>
      </c>
      <c r="R1654">
        <v>0</v>
      </c>
      <c r="S1654">
        <v>0</v>
      </c>
      <c r="T1654">
        <v>0</v>
      </c>
      <c r="W1654">
        <v>0</v>
      </c>
      <c r="X1654">
        <v>0</v>
      </c>
      <c r="Y1654">
        <v>1</v>
      </c>
      <c r="Z1654">
        <v>1</v>
      </c>
      <c r="AA1654">
        <v>0</v>
      </c>
      <c r="AB1654">
        <v>0</v>
      </c>
    </row>
    <row r="1655" spans="1:28" x14ac:dyDescent="0.25">
      <c r="A1655" t="str">
        <f>"1651"</f>
        <v>1651</v>
      </c>
      <c r="B1655" t="str">
        <f t="shared" si="94"/>
        <v>1</v>
      </c>
      <c r="C1655" t="str">
        <f t="shared" si="95"/>
        <v>73</v>
      </c>
      <c r="D1655" t="str">
        <f>"7"</f>
        <v>7</v>
      </c>
      <c r="E1655" t="str">
        <f>"1-73-7"</f>
        <v>1-73-7</v>
      </c>
      <c r="F1655" t="s">
        <v>83</v>
      </c>
      <c r="G1655" t="s">
        <v>84</v>
      </c>
      <c r="H1655" t="s">
        <v>92</v>
      </c>
      <c r="I1655">
        <v>1</v>
      </c>
      <c r="J1655">
        <v>1</v>
      </c>
      <c r="N1655">
        <v>1</v>
      </c>
      <c r="O1655">
        <v>1</v>
      </c>
      <c r="P1655">
        <v>1</v>
      </c>
      <c r="Q1655">
        <v>1</v>
      </c>
      <c r="R1655">
        <v>1</v>
      </c>
      <c r="S1655">
        <v>1</v>
      </c>
      <c r="T1655">
        <v>1</v>
      </c>
      <c r="W1655">
        <v>1</v>
      </c>
      <c r="X1655">
        <v>1</v>
      </c>
      <c r="Y1655">
        <v>1</v>
      </c>
      <c r="Z1655">
        <v>1</v>
      </c>
      <c r="AA1655">
        <v>1</v>
      </c>
      <c r="AB1655">
        <v>1</v>
      </c>
    </row>
    <row r="1656" spans="1:28" x14ac:dyDescent="0.25">
      <c r="A1656" t="str">
        <f>"1652"</f>
        <v>1652</v>
      </c>
      <c r="B1656" t="str">
        <f t="shared" si="94"/>
        <v>1</v>
      </c>
      <c r="C1656" t="str">
        <f t="shared" si="95"/>
        <v>73</v>
      </c>
      <c r="D1656" t="str">
        <f>"23"</f>
        <v>23</v>
      </c>
      <c r="E1656" t="str">
        <f>"1-73-23"</f>
        <v>1-73-23</v>
      </c>
      <c r="F1656" t="s">
        <v>83</v>
      </c>
      <c r="G1656" t="s">
        <v>84</v>
      </c>
      <c r="H1656" t="s">
        <v>92</v>
      </c>
      <c r="I1656">
        <v>1</v>
      </c>
      <c r="J1656">
        <v>1</v>
      </c>
      <c r="N1656">
        <v>1</v>
      </c>
      <c r="O1656">
        <v>1</v>
      </c>
      <c r="P1656">
        <v>1</v>
      </c>
      <c r="Q1656">
        <v>1</v>
      </c>
      <c r="R1656">
        <v>1</v>
      </c>
      <c r="S1656">
        <v>1</v>
      </c>
      <c r="T1656">
        <v>1</v>
      </c>
      <c r="W1656">
        <v>1</v>
      </c>
      <c r="X1656">
        <v>1</v>
      </c>
      <c r="Y1656">
        <v>1</v>
      </c>
      <c r="Z1656">
        <v>1</v>
      </c>
      <c r="AA1656">
        <v>1</v>
      </c>
      <c r="AB1656">
        <v>1</v>
      </c>
    </row>
    <row r="1657" spans="1:28" x14ac:dyDescent="0.25">
      <c r="A1657" t="str">
        <f>"1653"</f>
        <v>1653</v>
      </c>
      <c r="B1657" t="str">
        <f t="shared" si="94"/>
        <v>1</v>
      </c>
      <c r="C1657" t="str">
        <f t="shared" si="95"/>
        <v>73</v>
      </c>
      <c r="D1657" t="str">
        <f>"22"</f>
        <v>22</v>
      </c>
      <c r="E1657" t="str">
        <f>"1-73-22"</f>
        <v>1-73-22</v>
      </c>
      <c r="F1657" t="s">
        <v>83</v>
      </c>
      <c r="G1657" t="s">
        <v>84</v>
      </c>
      <c r="H1657" t="s">
        <v>92</v>
      </c>
      <c r="I1657">
        <v>1</v>
      </c>
      <c r="J1657">
        <v>1</v>
      </c>
      <c r="N1657">
        <v>1</v>
      </c>
      <c r="O1657">
        <v>1</v>
      </c>
      <c r="P1657">
        <v>1</v>
      </c>
      <c r="Q1657">
        <v>1</v>
      </c>
      <c r="R1657">
        <v>1</v>
      </c>
      <c r="S1657">
        <v>1</v>
      </c>
      <c r="T1657">
        <v>1</v>
      </c>
      <c r="W1657">
        <v>1</v>
      </c>
      <c r="X1657">
        <v>1</v>
      </c>
      <c r="Y1657">
        <v>0</v>
      </c>
      <c r="Z1657">
        <v>1</v>
      </c>
      <c r="AA1657">
        <v>1</v>
      </c>
      <c r="AB1657">
        <v>1</v>
      </c>
    </row>
    <row r="1658" spans="1:28" x14ac:dyDescent="0.25">
      <c r="A1658" t="str">
        <f>"1654"</f>
        <v>1654</v>
      </c>
      <c r="B1658" t="str">
        <f t="shared" si="94"/>
        <v>1</v>
      </c>
      <c r="C1658" t="str">
        <f t="shared" si="95"/>
        <v>73</v>
      </c>
      <c r="D1658" t="str">
        <f>"16"</f>
        <v>16</v>
      </c>
      <c r="E1658" t="str">
        <f>"1-73-16"</f>
        <v>1-73-16</v>
      </c>
      <c r="F1658" t="s">
        <v>83</v>
      </c>
      <c r="G1658" t="s">
        <v>84</v>
      </c>
      <c r="H1658" t="s">
        <v>92</v>
      </c>
      <c r="I1658">
        <v>1</v>
      </c>
      <c r="J1658">
        <v>1</v>
      </c>
      <c r="N1658">
        <v>1</v>
      </c>
      <c r="O1658">
        <v>0</v>
      </c>
      <c r="P1658">
        <v>1</v>
      </c>
      <c r="Q1658">
        <v>0</v>
      </c>
      <c r="R1658">
        <v>1</v>
      </c>
      <c r="S1658">
        <v>1</v>
      </c>
      <c r="T1658">
        <v>1</v>
      </c>
      <c r="W1658">
        <v>1</v>
      </c>
      <c r="X1658">
        <v>1</v>
      </c>
      <c r="Y1658">
        <v>1</v>
      </c>
      <c r="Z1658">
        <v>1</v>
      </c>
      <c r="AA1658">
        <v>1</v>
      </c>
      <c r="AB1658">
        <v>1</v>
      </c>
    </row>
    <row r="1659" spans="1:28" x14ac:dyDescent="0.25">
      <c r="A1659" t="str">
        <f>"1655"</f>
        <v>1655</v>
      </c>
      <c r="B1659" t="str">
        <f t="shared" si="94"/>
        <v>1</v>
      </c>
      <c r="C1659" t="str">
        <f t="shared" si="95"/>
        <v>73</v>
      </c>
      <c r="D1659" t="str">
        <f>"9"</f>
        <v>9</v>
      </c>
      <c r="E1659" t="str">
        <f>"1-73-9"</f>
        <v>1-73-9</v>
      </c>
      <c r="F1659" t="s">
        <v>83</v>
      </c>
      <c r="G1659" t="s">
        <v>84</v>
      </c>
      <c r="H1659" t="s">
        <v>92</v>
      </c>
      <c r="I1659">
        <v>1</v>
      </c>
      <c r="J1659">
        <v>1</v>
      </c>
      <c r="N1659">
        <v>1</v>
      </c>
      <c r="O1659">
        <v>1</v>
      </c>
      <c r="P1659">
        <v>1</v>
      </c>
      <c r="Q1659">
        <v>1</v>
      </c>
      <c r="R1659">
        <v>1</v>
      </c>
      <c r="S1659">
        <v>1</v>
      </c>
      <c r="T1659">
        <v>1</v>
      </c>
      <c r="W1659">
        <v>1</v>
      </c>
      <c r="X1659">
        <v>1</v>
      </c>
      <c r="Y1659">
        <v>1</v>
      </c>
      <c r="Z1659">
        <v>1</v>
      </c>
      <c r="AA1659">
        <v>1</v>
      </c>
      <c r="AB1659">
        <v>1</v>
      </c>
    </row>
    <row r="1660" spans="1:28" x14ac:dyDescent="0.25">
      <c r="A1660" t="str">
        <f>"1656"</f>
        <v>1656</v>
      </c>
      <c r="B1660" t="str">
        <f t="shared" si="94"/>
        <v>1</v>
      </c>
      <c r="C1660" t="str">
        <f t="shared" si="95"/>
        <v>73</v>
      </c>
      <c r="D1660" t="str">
        <f>"3"</f>
        <v>3</v>
      </c>
      <c r="E1660" t="str">
        <f>"1-73-3"</f>
        <v>1-73-3</v>
      </c>
      <c r="F1660" t="s">
        <v>83</v>
      </c>
      <c r="G1660" t="s">
        <v>84</v>
      </c>
      <c r="H1660" t="s">
        <v>92</v>
      </c>
      <c r="I1660">
        <v>1</v>
      </c>
      <c r="J1660">
        <v>1</v>
      </c>
      <c r="N1660">
        <v>1</v>
      </c>
      <c r="O1660">
        <v>1</v>
      </c>
      <c r="P1660">
        <v>1</v>
      </c>
      <c r="Q1660">
        <v>1</v>
      </c>
      <c r="R1660">
        <v>1</v>
      </c>
      <c r="S1660">
        <v>1</v>
      </c>
      <c r="T1660">
        <v>1</v>
      </c>
      <c r="W1660">
        <v>1</v>
      </c>
      <c r="X1660">
        <v>1</v>
      </c>
      <c r="Y1660">
        <v>1</v>
      </c>
      <c r="Z1660">
        <v>1</v>
      </c>
      <c r="AA1660">
        <v>1</v>
      </c>
      <c r="AB1660">
        <v>1</v>
      </c>
    </row>
    <row r="1661" spans="1:28" x14ac:dyDescent="0.25">
      <c r="A1661" t="str">
        <f>"1657"</f>
        <v>1657</v>
      </c>
      <c r="B1661" t="str">
        <f t="shared" si="94"/>
        <v>1</v>
      </c>
      <c r="C1661" t="str">
        <f t="shared" si="95"/>
        <v>73</v>
      </c>
      <c r="D1661" t="str">
        <f>"18"</f>
        <v>18</v>
      </c>
      <c r="E1661" t="str">
        <f>"1-73-18"</f>
        <v>1-73-18</v>
      </c>
      <c r="F1661" t="s">
        <v>83</v>
      </c>
      <c r="G1661" t="s">
        <v>84</v>
      </c>
      <c r="H1661" t="s">
        <v>92</v>
      </c>
      <c r="I1661">
        <v>1</v>
      </c>
      <c r="J1661">
        <v>1</v>
      </c>
      <c r="N1661">
        <v>1</v>
      </c>
      <c r="O1661">
        <v>1</v>
      </c>
      <c r="P1661">
        <v>1</v>
      </c>
      <c r="Q1661">
        <v>1</v>
      </c>
      <c r="R1661">
        <v>1</v>
      </c>
      <c r="S1661">
        <v>1</v>
      </c>
      <c r="T1661">
        <v>1</v>
      </c>
      <c r="W1661">
        <v>1</v>
      </c>
      <c r="X1661">
        <v>1</v>
      </c>
      <c r="Y1661">
        <v>1</v>
      </c>
      <c r="Z1661">
        <v>1</v>
      </c>
      <c r="AA1661">
        <v>1</v>
      </c>
      <c r="AB1661">
        <v>1</v>
      </c>
    </row>
    <row r="1662" spans="1:28" x14ac:dyDescent="0.25">
      <c r="A1662" t="str">
        <f>"1658"</f>
        <v>1658</v>
      </c>
      <c r="B1662" t="str">
        <f t="shared" si="94"/>
        <v>1</v>
      </c>
      <c r="C1662" t="str">
        <f t="shared" si="95"/>
        <v>73</v>
      </c>
      <c r="D1662" t="str">
        <f>"10"</f>
        <v>10</v>
      </c>
      <c r="E1662" t="str">
        <f>"1-73-10"</f>
        <v>1-73-10</v>
      </c>
      <c r="F1662" t="s">
        <v>83</v>
      </c>
      <c r="G1662" t="s">
        <v>86</v>
      </c>
      <c r="H1662" t="s">
        <v>93</v>
      </c>
      <c r="I1662">
        <v>1</v>
      </c>
      <c r="K1662">
        <v>1</v>
      </c>
      <c r="L1662">
        <v>0</v>
      </c>
      <c r="M1662">
        <v>0</v>
      </c>
      <c r="N1662">
        <v>1</v>
      </c>
      <c r="O1662">
        <v>1</v>
      </c>
      <c r="P1662">
        <v>1</v>
      </c>
      <c r="Q1662">
        <v>1</v>
      </c>
      <c r="R1662">
        <v>1</v>
      </c>
      <c r="U1662">
        <v>0</v>
      </c>
      <c r="V1662">
        <v>1</v>
      </c>
      <c r="W1662">
        <v>1</v>
      </c>
      <c r="X1662">
        <v>1</v>
      </c>
      <c r="Y1662">
        <v>1</v>
      </c>
      <c r="Z1662">
        <v>1</v>
      </c>
      <c r="AA1662">
        <v>1</v>
      </c>
      <c r="AB1662">
        <v>1</v>
      </c>
    </row>
    <row r="1663" spans="1:28" x14ac:dyDescent="0.25">
      <c r="A1663" t="str">
        <f>"1659"</f>
        <v>1659</v>
      </c>
      <c r="B1663" t="str">
        <f t="shared" si="94"/>
        <v>1</v>
      </c>
      <c r="C1663" t="str">
        <f t="shared" si="95"/>
        <v>73</v>
      </c>
      <c r="D1663" t="str">
        <f>"1"</f>
        <v>1</v>
      </c>
      <c r="E1663" t="str">
        <f>"1-73-1"</f>
        <v>1-73-1</v>
      </c>
      <c r="F1663" t="s">
        <v>83</v>
      </c>
      <c r="G1663" t="s">
        <v>84</v>
      </c>
      <c r="H1663" t="s">
        <v>92</v>
      </c>
      <c r="I1663">
        <v>1</v>
      </c>
      <c r="J1663">
        <v>1</v>
      </c>
      <c r="N1663">
        <v>1</v>
      </c>
      <c r="O1663">
        <v>1</v>
      </c>
      <c r="P1663">
        <v>1</v>
      </c>
      <c r="Q1663">
        <v>1</v>
      </c>
      <c r="R1663">
        <v>1</v>
      </c>
      <c r="S1663">
        <v>1</v>
      </c>
      <c r="T1663">
        <v>1</v>
      </c>
      <c r="W1663">
        <v>1</v>
      </c>
      <c r="X1663">
        <v>1</v>
      </c>
      <c r="Y1663">
        <v>1</v>
      </c>
      <c r="Z1663">
        <v>1</v>
      </c>
      <c r="AA1663">
        <v>1</v>
      </c>
      <c r="AB1663">
        <v>1</v>
      </c>
    </row>
    <row r="1664" spans="1:28" x14ac:dyDescent="0.25">
      <c r="A1664" t="str">
        <f>"1660"</f>
        <v>1660</v>
      </c>
      <c r="B1664" t="str">
        <f t="shared" si="94"/>
        <v>1</v>
      </c>
      <c r="C1664" t="str">
        <f t="shared" si="95"/>
        <v>73</v>
      </c>
      <c r="D1664" t="str">
        <f>"17"</f>
        <v>17</v>
      </c>
      <c r="E1664" t="str">
        <f>"1-73-17"</f>
        <v>1-73-17</v>
      </c>
      <c r="F1664" t="s">
        <v>83</v>
      </c>
      <c r="G1664" t="s">
        <v>84</v>
      </c>
      <c r="H1664" t="s">
        <v>92</v>
      </c>
      <c r="I1664">
        <v>1</v>
      </c>
      <c r="J1664">
        <v>1</v>
      </c>
      <c r="N1664">
        <v>1</v>
      </c>
      <c r="O1664">
        <v>1</v>
      </c>
      <c r="P1664">
        <v>1</v>
      </c>
      <c r="Q1664">
        <v>1</v>
      </c>
      <c r="R1664">
        <v>1</v>
      </c>
      <c r="S1664">
        <v>1</v>
      </c>
      <c r="T1664">
        <v>1</v>
      </c>
      <c r="W1664">
        <v>1</v>
      </c>
      <c r="X1664">
        <v>1</v>
      </c>
      <c r="Y1664">
        <v>1</v>
      </c>
      <c r="Z1664">
        <v>1</v>
      </c>
      <c r="AA1664">
        <v>1</v>
      </c>
      <c r="AB1664">
        <v>1</v>
      </c>
    </row>
    <row r="1665" spans="1:49" x14ac:dyDescent="0.25">
      <c r="A1665" t="str">
        <f>"1661"</f>
        <v>1661</v>
      </c>
      <c r="B1665" t="str">
        <f t="shared" si="94"/>
        <v>1</v>
      </c>
      <c r="C1665" t="str">
        <f t="shared" si="95"/>
        <v>73</v>
      </c>
      <c r="D1665" t="str">
        <f>"11"</f>
        <v>11</v>
      </c>
      <c r="E1665" t="str">
        <f>"1-73-11"</f>
        <v>1-73-11</v>
      </c>
      <c r="F1665" t="s">
        <v>83</v>
      </c>
      <c r="G1665" t="s">
        <v>86</v>
      </c>
      <c r="H1665" t="s">
        <v>93</v>
      </c>
      <c r="I1665">
        <v>1</v>
      </c>
      <c r="K1665">
        <v>0</v>
      </c>
      <c r="L1665">
        <v>1</v>
      </c>
      <c r="M1665">
        <v>0</v>
      </c>
      <c r="N1665">
        <v>1</v>
      </c>
      <c r="O1665">
        <v>1</v>
      </c>
      <c r="P1665">
        <v>1</v>
      </c>
      <c r="Q1665">
        <v>1</v>
      </c>
      <c r="R1665">
        <v>1</v>
      </c>
      <c r="U1665">
        <v>1</v>
      </c>
      <c r="V1665">
        <v>0</v>
      </c>
      <c r="W1665">
        <v>1</v>
      </c>
      <c r="X1665">
        <v>1</v>
      </c>
      <c r="Y1665">
        <v>1</v>
      </c>
      <c r="Z1665">
        <v>1</v>
      </c>
      <c r="AA1665">
        <v>1</v>
      </c>
      <c r="AB1665">
        <v>1</v>
      </c>
    </row>
    <row r="1666" spans="1:49" x14ac:dyDescent="0.25">
      <c r="A1666" t="str">
        <f>"1662"</f>
        <v>1662</v>
      </c>
      <c r="B1666" t="str">
        <f t="shared" si="94"/>
        <v>1</v>
      </c>
      <c r="C1666" t="str">
        <f t="shared" si="95"/>
        <v>73</v>
      </c>
      <c r="D1666" t="str">
        <f>"6"</f>
        <v>6</v>
      </c>
      <c r="E1666" t="str">
        <f>"1-73-6"</f>
        <v>1-73-6</v>
      </c>
      <c r="F1666" t="s">
        <v>83</v>
      </c>
      <c r="G1666" t="s">
        <v>86</v>
      </c>
      <c r="H1666" t="s">
        <v>93</v>
      </c>
      <c r="I1666">
        <v>1</v>
      </c>
      <c r="K1666">
        <v>0</v>
      </c>
      <c r="L1666">
        <v>0</v>
      </c>
      <c r="M1666">
        <v>1</v>
      </c>
      <c r="N1666">
        <v>1</v>
      </c>
      <c r="O1666">
        <v>1</v>
      </c>
      <c r="P1666">
        <v>1</v>
      </c>
      <c r="Q1666">
        <v>1</v>
      </c>
      <c r="R1666">
        <v>1</v>
      </c>
      <c r="U1666">
        <v>0</v>
      </c>
      <c r="V1666">
        <v>1</v>
      </c>
      <c r="W1666">
        <v>1</v>
      </c>
      <c r="X1666">
        <v>1</v>
      </c>
      <c r="Y1666">
        <v>1</v>
      </c>
      <c r="Z1666">
        <v>0</v>
      </c>
      <c r="AA1666">
        <v>0</v>
      </c>
      <c r="AB1666">
        <v>1</v>
      </c>
    </row>
    <row r="1667" spans="1:49" x14ac:dyDescent="0.25">
      <c r="A1667" t="str">
        <f>"1663"</f>
        <v>1663</v>
      </c>
      <c r="B1667" t="str">
        <f t="shared" si="94"/>
        <v>1</v>
      </c>
      <c r="C1667" t="str">
        <f t="shared" si="95"/>
        <v>73</v>
      </c>
      <c r="D1667" t="str">
        <f>"20"</f>
        <v>20</v>
      </c>
      <c r="E1667" t="str">
        <f>"1-73-20"</f>
        <v>1-73-20</v>
      </c>
      <c r="F1667" t="s">
        <v>83</v>
      </c>
      <c r="G1667" t="s">
        <v>84</v>
      </c>
      <c r="H1667" t="s">
        <v>92</v>
      </c>
      <c r="I1667">
        <v>0</v>
      </c>
      <c r="J1667">
        <v>0</v>
      </c>
      <c r="N1667">
        <v>1</v>
      </c>
      <c r="O1667">
        <v>1</v>
      </c>
      <c r="P1667">
        <v>0</v>
      </c>
      <c r="Q1667">
        <v>1</v>
      </c>
      <c r="R1667">
        <v>0</v>
      </c>
      <c r="S1667">
        <v>0</v>
      </c>
      <c r="T1667">
        <v>0</v>
      </c>
      <c r="W1667">
        <v>1</v>
      </c>
      <c r="X1667">
        <v>0</v>
      </c>
      <c r="Y1667">
        <v>1</v>
      </c>
      <c r="Z1667">
        <v>0</v>
      </c>
      <c r="AA1667">
        <v>0</v>
      </c>
      <c r="AB1667">
        <v>0</v>
      </c>
    </row>
    <row r="1668" spans="1:49" x14ac:dyDescent="0.25">
      <c r="A1668" t="str">
        <f>"1664"</f>
        <v>1664</v>
      </c>
      <c r="B1668" t="str">
        <f t="shared" si="94"/>
        <v>1</v>
      </c>
      <c r="C1668" t="str">
        <f t="shared" si="95"/>
        <v>73</v>
      </c>
      <c r="D1668" t="str">
        <f>"12"</f>
        <v>12</v>
      </c>
      <c r="E1668" t="str">
        <f>"1-73-12"</f>
        <v>1-73-12</v>
      </c>
      <c r="F1668" t="s">
        <v>83</v>
      </c>
      <c r="G1668" t="s">
        <v>84</v>
      </c>
      <c r="H1668" t="s">
        <v>92</v>
      </c>
      <c r="I1668">
        <v>1</v>
      </c>
      <c r="J1668">
        <v>1</v>
      </c>
      <c r="N1668">
        <v>1</v>
      </c>
      <c r="O1668">
        <v>1</v>
      </c>
      <c r="P1668">
        <v>1</v>
      </c>
      <c r="Q1668">
        <v>1</v>
      </c>
      <c r="R1668">
        <v>1</v>
      </c>
      <c r="S1668">
        <v>1</v>
      </c>
      <c r="T1668">
        <v>0</v>
      </c>
      <c r="W1668">
        <v>1</v>
      </c>
      <c r="X1668">
        <v>1</v>
      </c>
      <c r="Y1668">
        <v>1</v>
      </c>
      <c r="Z1668">
        <v>1</v>
      </c>
      <c r="AA1668">
        <v>1</v>
      </c>
      <c r="AB1668">
        <v>1</v>
      </c>
    </row>
    <row r="1669" spans="1:49" x14ac:dyDescent="0.25">
      <c r="A1669" t="str">
        <f>"1665"</f>
        <v>1665</v>
      </c>
      <c r="B1669" t="str">
        <f t="shared" si="94"/>
        <v>1</v>
      </c>
      <c r="C1669" t="str">
        <f t="shared" si="95"/>
        <v>73</v>
      </c>
      <c r="D1669" t="str">
        <f>"5"</f>
        <v>5</v>
      </c>
      <c r="E1669" t="str">
        <f>"1-73-5"</f>
        <v>1-73-5</v>
      </c>
      <c r="F1669" t="s">
        <v>83</v>
      </c>
      <c r="G1669" t="s">
        <v>84</v>
      </c>
      <c r="H1669" t="s">
        <v>92</v>
      </c>
      <c r="I1669">
        <v>1</v>
      </c>
      <c r="J1669">
        <v>1</v>
      </c>
      <c r="N1669">
        <v>1</v>
      </c>
      <c r="O1669">
        <v>1</v>
      </c>
      <c r="P1669">
        <v>1</v>
      </c>
      <c r="Q1669">
        <v>1</v>
      </c>
      <c r="R1669">
        <v>1</v>
      </c>
      <c r="S1669">
        <v>1</v>
      </c>
      <c r="T1669">
        <v>1</v>
      </c>
      <c r="W1669">
        <v>1</v>
      </c>
      <c r="X1669">
        <v>1</v>
      </c>
      <c r="Y1669">
        <v>1</v>
      </c>
      <c r="Z1669">
        <v>1</v>
      </c>
      <c r="AA1669">
        <v>1</v>
      </c>
      <c r="AB1669">
        <v>1</v>
      </c>
    </row>
    <row r="1670" spans="1:49" x14ac:dyDescent="0.25">
      <c r="A1670" t="str">
        <f>"1666"</f>
        <v>1666</v>
      </c>
      <c r="B1670" t="str">
        <f t="shared" si="94"/>
        <v>1</v>
      </c>
      <c r="C1670" t="str">
        <f t="shared" si="95"/>
        <v>73</v>
      </c>
      <c r="D1670" t="str">
        <f>"21"</f>
        <v>21</v>
      </c>
      <c r="E1670" t="str">
        <f>"1-73-21"</f>
        <v>1-73-21</v>
      </c>
      <c r="F1670" t="s">
        <v>83</v>
      </c>
      <c r="G1670" t="s">
        <v>84</v>
      </c>
      <c r="H1670" t="s">
        <v>92</v>
      </c>
      <c r="I1670">
        <v>1</v>
      </c>
      <c r="J1670">
        <v>1</v>
      </c>
      <c r="N1670">
        <v>1</v>
      </c>
      <c r="O1670">
        <v>1</v>
      </c>
      <c r="P1670">
        <v>1</v>
      </c>
      <c r="Q1670">
        <v>1</v>
      </c>
      <c r="R1670">
        <v>1</v>
      </c>
      <c r="S1670">
        <v>1</v>
      </c>
      <c r="T1670">
        <v>1</v>
      </c>
      <c r="W1670">
        <v>1</v>
      </c>
      <c r="X1670">
        <v>1</v>
      </c>
      <c r="Y1670">
        <v>1</v>
      </c>
      <c r="Z1670">
        <v>1</v>
      </c>
      <c r="AA1670">
        <v>1</v>
      </c>
      <c r="AB1670">
        <v>1</v>
      </c>
    </row>
    <row r="1671" spans="1:49" x14ac:dyDescent="0.25">
      <c r="A1671" t="str">
        <f>"1667"</f>
        <v>1667</v>
      </c>
      <c r="B1671" t="str">
        <f t="shared" si="94"/>
        <v>1</v>
      </c>
      <c r="C1671" t="str">
        <f t="shared" si="95"/>
        <v>73</v>
      </c>
      <c r="D1671" t="str">
        <f>"13"</f>
        <v>13</v>
      </c>
      <c r="E1671" t="str">
        <f>"1-73-13"</f>
        <v>1-73-13</v>
      </c>
      <c r="F1671" t="s">
        <v>83</v>
      </c>
      <c r="G1671" t="s">
        <v>84</v>
      </c>
      <c r="H1671" t="s">
        <v>92</v>
      </c>
      <c r="I1671">
        <v>1</v>
      </c>
      <c r="J1671">
        <v>1</v>
      </c>
      <c r="N1671">
        <v>1</v>
      </c>
      <c r="O1671">
        <v>1</v>
      </c>
      <c r="P1671">
        <v>1</v>
      </c>
      <c r="Q1671">
        <v>1</v>
      </c>
      <c r="R1671">
        <v>1</v>
      </c>
      <c r="S1671">
        <v>1</v>
      </c>
      <c r="T1671">
        <v>1</v>
      </c>
      <c r="W1671">
        <v>1</v>
      </c>
      <c r="X1671">
        <v>1</v>
      </c>
      <c r="Y1671">
        <v>1</v>
      </c>
      <c r="Z1671">
        <v>1</v>
      </c>
      <c r="AA1671">
        <v>1</v>
      </c>
      <c r="AB1671">
        <v>1</v>
      </c>
    </row>
    <row r="1672" spans="1:49" x14ac:dyDescent="0.25">
      <c r="A1672" t="str">
        <f>"1668"</f>
        <v>1668</v>
      </c>
      <c r="B1672" t="str">
        <f t="shared" si="94"/>
        <v>1</v>
      </c>
      <c r="C1672" t="str">
        <f t="shared" si="95"/>
        <v>73</v>
      </c>
      <c r="D1672" t="str">
        <f>"4"</f>
        <v>4</v>
      </c>
      <c r="E1672" t="str">
        <f>"1-73-4"</f>
        <v>1-73-4</v>
      </c>
      <c r="F1672" t="s">
        <v>83</v>
      </c>
      <c r="G1672" t="s">
        <v>84</v>
      </c>
      <c r="H1672" t="s">
        <v>92</v>
      </c>
      <c r="I1672">
        <v>1</v>
      </c>
      <c r="J1672">
        <v>1</v>
      </c>
      <c r="N1672">
        <v>1</v>
      </c>
      <c r="O1672">
        <v>1</v>
      </c>
      <c r="P1672">
        <v>1</v>
      </c>
      <c r="Q1672">
        <v>1</v>
      </c>
      <c r="R1672">
        <v>1</v>
      </c>
      <c r="S1672">
        <v>1</v>
      </c>
      <c r="T1672">
        <v>1</v>
      </c>
      <c r="W1672">
        <v>1</v>
      </c>
      <c r="X1672">
        <v>1</v>
      </c>
      <c r="Y1672">
        <v>1</v>
      </c>
      <c r="Z1672">
        <v>1</v>
      </c>
      <c r="AA1672">
        <v>1</v>
      </c>
      <c r="AB1672">
        <v>1</v>
      </c>
    </row>
    <row r="1673" spans="1:49" x14ac:dyDescent="0.25">
      <c r="A1673" t="str">
        <f>"1669"</f>
        <v>1669</v>
      </c>
      <c r="B1673" t="str">
        <f t="shared" si="94"/>
        <v>1</v>
      </c>
      <c r="C1673" t="str">
        <f t="shared" si="95"/>
        <v>73</v>
      </c>
      <c r="D1673" t="str">
        <f>"19"</f>
        <v>19</v>
      </c>
      <c r="E1673" t="str">
        <f>"1-73-19"</f>
        <v>1-73-19</v>
      </c>
      <c r="F1673" t="s">
        <v>83</v>
      </c>
      <c r="G1673" t="s">
        <v>86</v>
      </c>
      <c r="H1673" t="s">
        <v>93</v>
      </c>
      <c r="I1673">
        <v>1</v>
      </c>
      <c r="K1673">
        <v>0</v>
      </c>
      <c r="L1673">
        <v>0</v>
      </c>
      <c r="M1673">
        <v>1</v>
      </c>
      <c r="N1673">
        <v>1</v>
      </c>
      <c r="O1673">
        <v>1</v>
      </c>
      <c r="P1673">
        <v>1</v>
      </c>
      <c r="Q1673">
        <v>1</v>
      </c>
      <c r="R1673">
        <v>1</v>
      </c>
      <c r="U1673">
        <v>0</v>
      </c>
      <c r="V1673">
        <v>1</v>
      </c>
      <c r="W1673">
        <v>1</v>
      </c>
      <c r="X1673">
        <v>1</v>
      </c>
      <c r="Y1673">
        <v>1</v>
      </c>
      <c r="Z1673">
        <v>1</v>
      </c>
      <c r="AA1673">
        <v>1</v>
      </c>
      <c r="AB1673">
        <v>1</v>
      </c>
    </row>
    <row r="1674" spans="1:49" x14ac:dyDescent="0.25">
      <c r="A1674" t="str">
        <f>"1670"</f>
        <v>1670</v>
      </c>
      <c r="B1674" t="str">
        <f t="shared" si="94"/>
        <v>1</v>
      </c>
      <c r="C1674" t="str">
        <f t="shared" si="95"/>
        <v>73</v>
      </c>
      <c r="D1674" t="str">
        <f>"14"</f>
        <v>14</v>
      </c>
      <c r="E1674" t="str">
        <f>"1-73-14"</f>
        <v>1-73-14</v>
      </c>
      <c r="F1674" t="s">
        <v>83</v>
      </c>
      <c r="G1674" t="s">
        <v>84</v>
      </c>
      <c r="H1674" t="s">
        <v>92</v>
      </c>
      <c r="I1674">
        <v>1</v>
      </c>
      <c r="J1674">
        <v>1</v>
      </c>
      <c r="N1674">
        <v>1</v>
      </c>
      <c r="O1674">
        <v>1</v>
      </c>
      <c r="P1674">
        <v>1</v>
      </c>
      <c r="Q1674">
        <v>1</v>
      </c>
      <c r="R1674">
        <v>1</v>
      </c>
      <c r="S1674">
        <v>1</v>
      </c>
      <c r="T1674">
        <v>1</v>
      </c>
      <c r="W1674">
        <v>1</v>
      </c>
      <c r="X1674">
        <v>1</v>
      </c>
      <c r="Y1674">
        <v>1</v>
      </c>
      <c r="Z1674">
        <v>1</v>
      </c>
      <c r="AA1674">
        <v>1</v>
      </c>
      <c r="AB1674">
        <v>1</v>
      </c>
    </row>
    <row r="1675" spans="1:49" x14ac:dyDescent="0.25">
      <c r="A1675" t="str">
        <f>"1671"</f>
        <v>1671</v>
      </c>
      <c r="B1675" t="str">
        <f t="shared" si="94"/>
        <v>1</v>
      </c>
      <c r="C1675" t="str">
        <f t="shared" si="95"/>
        <v>73</v>
      </c>
      <c r="D1675" t="str">
        <f>"2"</f>
        <v>2</v>
      </c>
      <c r="E1675" t="str">
        <f>"1-73-2"</f>
        <v>1-73-2</v>
      </c>
      <c r="F1675" t="s">
        <v>83</v>
      </c>
      <c r="G1675" t="s">
        <v>84</v>
      </c>
      <c r="H1675" t="s">
        <v>92</v>
      </c>
      <c r="I1675">
        <v>1</v>
      </c>
      <c r="J1675">
        <v>1</v>
      </c>
      <c r="N1675">
        <v>1</v>
      </c>
      <c r="O1675">
        <v>1</v>
      </c>
      <c r="P1675">
        <v>1</v>
      </c>
      <c r="Q1675">
        <v>1</v>
      </c>
      <c r="R1675">
        <v>1</v>
      </c>
      <c r="S1675">
        <v>1</v>
      </c>
      <c r="T1675">
        <v>1</v>
      </c>
      <c r="W1675">
        <v>1</v>
      </c>
      <c r="X1675">
        <v>1</v>
      </c>
      <c r="Y1675">
        <v>1</v>
      </c>
      <c r="Z1675">
        <v>1</v>
      </c>
      <c r="AA1675">
        <v>1</v>
      </c>
      <c r="AB1675">
        <v>1</v>
      </c>
    </row>
    <row r="1676" spans="1:49" x14ac:dyDescent="0.25">
      <c r="A1676" t="str">
        <f>"1672"</f>
        <v>1672</v>
      </c>
      <c r="B1676" t="str">
        <f t="shared" si="94"/>
        <v>1</v>
      </c>
      <c r="C1676" t="str">
        <f>"74"</f>
        <v>74</v>
      </c>
      <c r="D1676" t="str">
        <f>"3"</f>
        <v>3</v>
      </c>
      <c r="E1676" t="str">
        <f>"1-74-3"</f>
        <v>1-74-3</v>
      </c>
      <c r="F1676" t="s">
        <v>83</v>
      </c>
      <c r="G1676" t="s">
        <v>84</v>
      </c>
      <c r="H1676" t="s">
        <v>85</v>
      </c>
      <c r="AC1676">
        <v>0</v>
      </c>
      <c r="AD1676">
        <v>1</v>
      </c>
      <c r="AE1676">
        <v>0</v>
      </c>
      <c r="AF1676">
        <v>0</v>
      </c>
      <c r="AG1676">
        <v>1</v>
      </c>
      <c r="AJ1676">
        <v>1</v>
      </c>
      <c r="AK1676">
        <v>0</v>
      </c>
      <c r="AL1676">
        <v>1</v>
      </c>
      <c r="AM1676">
        <v>0</v>
      </c>
      <c r="AN1676">
        <v>0</v>
      </c>
      <c r="AO1676">
        <v>1</v>
      </c>
      <c r="AP1676">
        <v>1</v>
      </c>
      <c r="AQ1676">
        <v>1</v>
      </c>
      <c r="AR1676">
        <v>1</v>
      </c>
      <c r="AS1676">
        <v>0</v>
      </c>
      <c r="AT1676">
        <v>1</v>
      </c>
      <c r="AV1676">
        <v>1</v>
      </c>
      <c r="AW1676">
        <v>1</v>
      </c>
    </row>
    <row r="1677" spans="1:49" x14ac:dyDescent="0.25">
      <c r="A1677" t="str">
        <f>"1673"</f>
        <v>1673</v>
      </c>
      <c r="B1677" t="str">
        <f t="shared" si="94"/>
        <v>1</v>
      </c>
      <c r="C1677" t="str">
        <f>"74"</f>
        <v>74</v>
      </c>
      <c r="D1677" t="str">
        <f>"1"</f>
        <v>1</v>
      </c>
      <c r="E1677" t="str">
        <f>"1-74-1"</f>
        <v>1-74-1</v>
      </c>
      <c r="F1677" t="s">
        <v>83</v>
      </c>
      <c r="G1677" t="s">
        <v>84</v>
      </c>
      <c r="H1677" t="s">
        <v>85</v>
      </c>
      <c r="AC1677">
        <v>1</v>
      </c>
      <c r="AD1677">
        <v>0</v>
      </c>
      <c r="AE1677">
        <v>0</v>
      </c>
      <c r="AF1677">
        <v>0</v>
      </c>
      <c r="AG1677">
        <v>1</v>
      </c>
      <c r="AJ1677">
        <v>0</v>
      </c>
      <c r="AK1677">
        <v>1</v>
      </c>
      <c r="AL1677">
        <v>0</v>
      </c>
      <c r="AM1677">
        <v>0</v>
      </c>
      <c r="AN1677">
        <v>1</v>
      </c>
      <c r="AO1677">
        <v>1</v>
      </c>
      <c r="AP1677">
        <v>1</v>
      </c>
      <c r="AQ1677">
        <v>1</v>
      </c>
      <c r="AR1677">
        <v>1</v>
      </c>
      <c r="AS1677">
        <v>1</v>
      </c>
      <c r="AT1677">
        <v>0</v>
      </c>
      <c r="AV1677">
        <v>1</v>
      </c>
      <c r="AW1677">
        <v>1</v>
      </c>
    </row>
    <row r="1678" spans="1:49" x14ac:dyDescent="0.25">
      <c r="A1678" t="str">
        <f>"1674"</f>
        <v>1674</v>
      </c>
      <c r="B1678" t="str">
        <f t="shared" si="94"/>
        <v>1</v>
      </c>
      <c r="C1678" t="str">
        <f>"74"</f>
        <v>74</v>
      </c>
      <c r="D1678" t="str">
        <f>"2"</f>
        <v>2</v>
      </c>
      <c r="E1678" t="str">
        <f>"1-74-2"</f>
        <v>1-74-2</v>
      </c>
      <c r="F1678" t="s">
        <v>83</v>
      </c>
      <c r="G1678" t="s">
        <v>84</v>
      </c>
      <c r="H1678" t="s">
        <v>85</v>
      </c>
      <c r="AC1678">
        <v>1</v>
      </c>
      <c r="AD1678">
        <v>0</v>
      </c>
      <c r="AE1678">
        <v>0</v>
      </c>
      <c r="AF1678">
        <v>0</v>
      </c>
      <c r="AG1678">
        <v>1</v>
      </c>
      <c r="AJ1678">
        <v>1</v>
      </c>
      <c r="AK1678">
        <v>0</v>
      </c>
      <c r="AL1678">
        <v>1</v>
      </c>
      <c r="AM1678">
        <v>0</v>
      </c>
      <c r="AN1678">
        <v>0</v>
      </c>
      <c r="AO1678">
        <v>1</v>
      </c>
      <c r="AP1678">
        <v>1</v>
      </c>
      <c r="AQ1678">
        <v>1</v>
      </c>
      <c r="AR1678">
        <v>1</v>
      </c>
      <c r="AS1678">
        <v>0</v>
      </c>
      <c r="AT1678">
        <v>1</v>
      </c>
      <c r="AV1678">
        <v>1</v>
      </c>
      <c r="AW1678">
        <v>1</v>
      </c>
    </row>
    <row r="1679" spans="1:49" x14ac:dyDescent="0.25">
      <c r="A1679" t="str">
        <f>"1675"</f>
        <v>1675</v>
      </c>
      <c r="B1679" t="str">
        <f t="shared" si="94"/>
        <v>1</v>
      </c>
      <c r="C1679" t="str">
        <f>"74"</f>
        <v>74</v>
      </c>
      <c r="D1679" t="str">
        <f>"5"</f>
        <v>5</v>
      </c>
      <c r="E1679" t="str">
        <f>"1-74-5"</f>
        <v>1-74-5</v>
      </c>
      <c r="F1679" t="s">
        <v>83</v>
      </c>
      <c r="G1679" t="s">
        <v>84</v>
      </c>
      <c r="H1679" t="s">
        <v>85</v>
      </c>
      <c r="AC1679">
        <v>0</v>
      </c>
      <c r="AD1679">
        <v>1</v>
      </c>
      <c r="AE1679">
        <v>0</v>
      </c>
      <c r="AF1679">
        <v>0</v>
      </c>
      <c r="AG1679">
        <v>1</v>
      </c>
      <c r="AJ1679">
        <v>1</v>
      </c>
      <c r="AK1679">
        <v>0</v>
      </c>
      <c r="AL1679">
        <v>1</v>
      </c>
      <c r="AM1679">
        <v>0</v>
      </c>
      <c r="AN1679">
        <v>0</v>
      </c>
      <c r="AO1679">
        <v>1</v>
      </c>
      <c r="AP1679">
        <v>1</v>
      </c>
      <c r="AQ1679">
        <v>1</v>
      </c>
      <c r="AR1679">
        <v>1</v>
      </c>
      <c r="AS1679">
        <v>0</v>
      </c>
      <c r="AT1679">
        <v>1</v>
      </c>
      <c r="AV1679">
        <v>1</v>
      </c>
      <c r="AW1679">
        <v>1</v>
      </c>
    </row>
    <row r="1680" spans="1:49" x14ac:dyDescent="0.25">
      <c r="A1680" t="str">
        <f>"1676"</f>
        <v>1676</v>
      </c>
      <c r="B1680" t="str">
        <f t="shared" si="94"/>
        <v>1</v>
      </c>
      <c r="C1680" t="str">
        <f>"74"</f>
        <v>74</v>
      </c>
      <c r="D1680" t="str">
        <f>"4"</f>
        <v>4</v>
      </c>
      <c r="E1680" t="str">
        <f>"1-74-4"</f>
        <v>1-74-4</v>
      </c>
      <c r="F1680" t="s">
        <v>83</v>
      </c>
      <c r="G1680" t="s">
        <v>84</v>
      </c>
      <c r="H1680" t="s">
        <v>85</v>
      </c>
      <c r="AC1680">
        <v>0</v>
      </c>
      <c r="AD1680">
        <v>1</v>
      </c>
      <c r="AE1680">
        <v>0</v>
      </c>
      <c r="AF1680">
        <v>0</v>
      </c>
      <c r="AG1680">
        <v>0</v>
      </c>
      <c r="AJ1680">
        <v>1</v>
      </c>
      <c r="AK1680">
        <v>0</v>
      </c>
      <c r="AL1680">
        <v>0</v>
      </c>
      <c r="AM1680">
        <v>0</v>
      </c>
      <c r="AN1680">
        <v>1</v>
      </c>
      <c r="AO1680">
        <v>0</v>
      </c>
      <c r="AP1680">
        <v>0</v>
      </c>
      <c r="AQ1680">
        <v>0</v>
      </c>
      <c r="AR1680">
        <v>0</v>
      </c>
      <c r="AS1680">
        <v>0</v>
      </c>
      <c r="AT1680">
        <v>1</v>
      </c>
      <c r="AV1680">
        <v>0</v>
      </c>
      <c r="AW1680">
        <v>0</v>
      </c>
    </row>
    <row r="1681" spans="1:49" x14ac:dyDescent="0.25">
      <c r="A1681" t="str">
        <f>"1677"</f>
        <v>1677</v>
      </c>
      <c r="B1681" t="str">
        <f t="shared" si="94"/>
        <v>1</v>
      </c>
      <c r="C1681" t="str">
        <f t="shared" ref="C1681:C1705" si="96">"75"</f>
        <v>75</v>
      </c>
      <c r="D1681" t="str">
        <f>"21"</f>
        <v>21</v>
      </c>
      <c r="E1681" t="str">
        <f>"1-75-21"</f>
        <v>1-75-21</v>
      </c>
      <c r="F1681" t="s">
        <v>83</v>
      </c>
      <c r="G1681" t="s">
        <v>84</v>
      </c>
      <c r="H1681" t="s">
        <v>85</v>
      </c>
      <c r="AC1681">
        <v>0</v>
      </c>
      <c r="AD1681">
        <v>1</v>
      </c>
      <c r="AE1681">
        <v>0</v>
      </c>
      <c r="AF1681">
        <v>0</v>
      </c>
      <c r="AG1681">
        <v>1</v>
      </c>
      <c r="AJ1681">
        <v>0</v>
      </c>
      <c r="AK1681">
        <v>1</v>
      </c>
      <c r="AL1681">
        <v>0</v>
      </c>
      <c r="AM1681">
        <v>0</v>
      </c>
      <c r="AN1681">
        <v>1</v>
      </c>
      <c r="AO1681">
        <v>1</v>
      </c>
      <c r="AP1681">
        <v>1</v>
      </c>
      <c r="AQ1681">
        <v>1</v>
      </c>
      <c r="AR1681">
        <v>1</v>
      </c>
      <c r="AS1681">
        <v>0</v>
      </c>
      <c r="AT1681">
        <v>1</v>
      </c>
      <c r="AV1681">
        <v>1</v>
      </c>
      <c r="AW1681">
        <v>1</v>
      </c>
    </row>
    <row r="1682" spans="1:49" x14ac:dyDescent="0.25">
      <c r="A1682" t="str">
        <f>"1678"</f>
        <v>1678</v>
      </c>
      <c r="B1682" t="str">
        <f t="shared" si="94"/>
        <v>1</v>
      </c>
      <c r="C1682" t="str">
        <f t="shared" si="96"/>
        <v>75</v>
      </c>
      <c r="D1682" t="str">
        <f>"20"</f>
        <v>20</v>
      </c>
      <c r="E1682" t="str">
        <f>"1-75-20"</f>
        <v>1-75-20</v>
      </c>
      <c r="F1682" t="s">
        <v>83</v>
      </c>
      <c r="G1682" t="s">
        <v>84</v>
      </c>
      <c r="H1682" t="s">
        <v>85</v>
      </c>
      <c r="AC1682">
        <v>0</v>
      </c>
      <c r="AD1682">
        <v>1</v>
      </c>
      <c r="AE1682">
        <v>0</v>
      </c>
      <c r="AF1682">
        <v>0</v>
      </c>
      <c r="AG1682">
        <v>1</v>
      </c>
      <c r="AJ1682">
        <v>0</v>
      </c>
      <c r="AK1682">
        <v>1</v>
      </c>
      <c r="AL1682">
        <v>0</v>
      </c>
      <c r="AM1682">
        <v>0</v>
      </c>
      <c r="AN1682">
        <v>0</v>
      </c>
      <c r="AO1682">
        <v>1</v>
      </c>
      <c r="AP1682">
        <v>1</v>
      </c>
      <c r="AQ1682">
        <v>0</v>
      </c>
      <c r="AR1682">
        <v>1</v>
      </c>
      <c r="AS1682">
        <v>0</v>
      </c>
      <c r="AT1682">
        <v>0</v>
      </c>
      <c r="AV1682">
        <v>1</v>
      </c>
      <c r="AW1682">
        <v>1</v>
      </c>
    </row>
    <row r="1683" spans="1:49" x14ac:dyDescent="0.25">
      <c r="A1683" t="str">
        <f>"1679"</f>
        <v>1679</v>
      </c>
      <c r="B1683" t="str">
        <f t="shared" si="94"/>
        <v>1</v>
      </c>
      <c r="C1683" t="str">
        <f t="shared" si="96"/>
        <v>75</v>
      </c>
      <c r="D1683" t="str">
        <f>"15"</f>
        <v>15</v>
      </c>
      <c r="E1683" t="str">
        <f>"1-75-15"</f>
        <v>1-75-15</v>
      </c>
      <c r="F1683" t="s">
        <v>83</v>
      </c>
      <c r="G1683" t="s">
        <v>84</v>
      </c>
      <c r="H1683" t="s">
        <v>85</v>
      </c>
      <c r="AC1683">
        <v>0</v>
      </c>
      <c r="AD1683">
        <v>1</v>
      </c>
      <c r="AE1683">
        <v>0</v>
      </c>
      <c r="AF1683">
        <v>0</v>
      </c>
      <c r="AG1683">
        <v>1</v>
      </c>
      <c r="AJ1683">
        <v>0</v>
      </c>
      <c r="AK1683">
        <v>1</v>
      </c>
      <c r="AL1683">
        <v>0</v>
      </c>
      <c r="AM1683">
        <v>0</v>
      </c>
      <c r="AN1683">
        <v>1</v>
      </c>
      <c r="AO1683">
        <v>1</v>
      </c>
      <c r="AP1683">
        <v>1</v>
      </c>
      <c r="AQ1683">
        <v>1</v>
      </c>
      <c r="AR1683">
        <v>1</v>
      </c>
      <c r="AS1683">
        <v>0</v>
      </c>
      <c r="AT1683">
        <v>1</v>
      </c>
      <c r="AV1683">
        <v>1</v>
      </c>
      <c r="AW1683">
        <v>0</v>
      </c>
    </row>
    <row r="1684" spans="1:49" x14ac:dyDescent="0.25">
      <c r="A1684" t="str">
        <f>"1680"</f>
        <v>1680</v>
      </c>
      <c r="B1684" t="str">
        <f t="shared" si="94"/>
        <v>1</v>
      </c>
      <c r="C1684" t="str">
        <f t="shared" si="96"/>
        <v>75</v>
      </c>
      <c r="D1684" t="str">
        <f>"14"</f>
        <v>14</v>
      </c>
      <c r="E1684" t="str">
        <f>"1-75-14"</f>
        <v>1-75-14</v>
      </c>
      <c r="F1684" t="s">
        <v>83</v>
      </c>
      <c r="G1684" t="s">
        <v>84</v>
      </c>
      <c r="H1684" t="s">
        <v>85</v>
      </c>
      <c r="AC1684">
        <v>1</v>
      </c>
      <c r="AD1684">
        <v>0</v>
      </c>
      <c r="AE1684">
        <v>0</v>
      </c>
      <c r="AF1684">
        <v>0</v>
      </c>
      <c r="AG1684">
        <v>1</v>
      </c>
      <c r="AJ1684">
        <v>1</v>
      </c>
      <c r="AK1684">
        <v>0</v>
      </c>
      <c r="AL1684">
        <v>0</v>
      </c>
      <c r="AM1684">
        <v>1</v>
      </c>
      <c r="AN1684">
        <v>0</v>
      </c>
      <c r="AO1684">
        <v>1</v>
      </c>
      <c r="AP1684">
        <v>1</v>
      </c>
      <c r="AQ1684">
        <v>1</v>
      </c>
      <c r="AR1684">
        <v>1</v>
      </c>
      <c r="AS1684">
        <v>0</v>
      </c>
      <c r="AT1684">
        <v>1</v>
      </c>
      <c r="AV1684">
        <v>1</v>
      </c>
      <c r="AW1684">
        <v>1</v>
      </c>
    </row>
    <row r="1685" spans="1:49" x14ac:dyDescent="0.25">
      <c r="A1685" t="str">
        <f>"1681"</f>
        <v>1681</v>
      </c>
      <c r="B1685" t="str">
        <f t="shared" si="94"/>
        <v>1</v>
      </c>
      <c r="C1685" t="str">
        <f t="shared" si="96"/>
        <v>75</v>
      </c>
      <c r="D1685" t="str">
        <f>"9"</f>
        <v>9</v>
      </c>
      <c r="E1685" t="str">
        <f>"1-75-9"</f>
        <v>1-75-9</v>
      </c>
      <c r="F1685" t="s">
        <v>83</v>
      </c>
      <c r="G1685" t="s">
        <v>84</v>
      </c>
      <c r="H1685" t="s">
        <v>85</v>
      </c>
      <c r="AC1685">
        <v>1</v>
      </c>
      <c r="AD1685">
        <v>0</v>
      </c>
      <c r="AE1685">
        <v>0</v>
      </c>
      <c r="AF1685">
        <v>0</v>
      </c>
      <c r="AG1685">
        <v>0</v>
      </c>
      <c r="AJ1685">
        <v>1</v>
      </c>
      <c r="AK1685">
        <v>0</v>
      </c>
      <c r="AL1685">
        <v>1</v>
      </c>
      <c r="AM1685">
        <v>0</v>
      </c>
      <c r="AN1685">
        <v>0</v>
      </c>
      <c r="AO1685">
        <v>0</v>
      </c>
      <c r="AP1685">
        <v>0</v>
      </c>
      <c r="AQ1685">
        <v>0</v>
      </c>
      <c r="AR1685">
        <v>0</v>
      </c>
      <c r="AS1685">
        <v>1</v>
      </c>
      <c r="AT1685">
        <v>0</v>
      </c>
      <c r="AV1685">
        <v>0</v>
      </c>
      <c r="AW1685">
        <v>0</v>
      </c>
    </row>
    <row r="1686" spans="1:49" x14ac:dyDescent="0.25">
      <c r="A1686" t="str">
        <f>"1682"</f>
        <v>1682</v>
      </c>
      <c r="B1686" t="str">
        <f t="shared" si="94"/>
        <v>1</v>
      </c>
      <c r="C1686" t="str">
        <f t="shared" si="96"/>
        <v>75</v>
      </c>
      <c r="D1686" t="str">
        <f>"8"</f>
        <v>8</v>
      </c>
      <c r="E1686" t="str">
        <f>"1-75-8"</f>
        <v>1-75-8</v>
      </c>
      <c r="F1686" t="s">
        <v>83</v>
      </c>
      <c r="G1686" t="s">
        <v>84</v>
      </c>
      <c r="H1686" t="s">
        <v>85</v>
      </c>
      <c r="AC1686">
        <v>0</v>
      </c>
      <c r="AD1686">
        <v>1</v>
      </c>
      <c r="AE1686">
        <v>0</v>
      </c>
      <c r="AF1686">
        <v>0</v>
      </c>
      <c r="AG1686">
        <v>0</v>
      </c>
      <c r="AJ1686">
        <v>1</v>
      </c>
      <c r="AK1686">
        <v>0</v>
      </c>
      <c r="AL1686">
        <v>0</v>
      </c>
      <c r="AM1686">
        <v>1</v>
      </c>
      <c r="AN1686">
        <v>0</v>
      </c>
      <c r="AO1686">
        <v>1</v>
      </c>
      <c r="AP1686">
        <v>1</v>
      </c>
      <c r="AQ1686">
        <v>1</v>
      </c>
      <c r="AR1686">
        <v>1</v>
      </c>
      <c r="AS1686">
        <v>1</v>
      </c>
      <c r="AT1686">
        <v>0</v>
      </c>
      <c r="AV1686">
        <v>1</v>
      </c>
      <c r="AW1686">
        <v>1</v>
      </c>
    </row>
    <row r="1687" spans="1:49" x14ac:dyDescent="0.25">
      <c r="A1687" t="str">
        <f>"1683"</f>
        <v>1683</v>
      </c>
      <c r="B1687" t="str">
        <f t="shared" si="94"/>
        <v>1</v>
      </c>
      <c r="C1687" t="str">
        <f t="shared" si="96"/>
        <v>75</v>
      </c>
      <c r="D1687" t="str">
        <f>"3"</f>
        <v>3</v>
      </c>
      <c r="E1687" t="str">
        <f>"1-75-3"</f>
        <v>1-75-3</v>
      </c>
      <c r="F1687" t="s">
        <v>83</v>
      </c>
      <c r="G1687" t="s">
        <v>84</v>
      </c>
      <c r="H1687" t="s">
        <v>85</v>
      </c>
      <c r="AC1687">
        <v>0</v>
      </c>
      <c r="AD1687">
        <v>0</v>
      </c>
      <c r="AE1687">
        <v>0</v>
      </c>
      <c r="AF1687">
        <v>0</v>
      </c>
      <c r="AG1687">
        <v>0</v>
      </c>
      <c r="AJ1687">
        <v>1</v>
      </c>
      <c r="AK1687">
        <v>0</v>
      </c>
      <c r="AL1687">
        <v>0</v>
      </c>
      <c r="AM1687">
        <v>1</v>
      </c>
      <c r="AN1687">
        <v>0</v>
      </c>
      <c r="AO1687">
        <v>0</v>
      </c>
      <c r="AP1687">
        <v>0</v>
      </c>
      <c r="AQ1687">
        <v>1</v>
      </c>
      <c r="AR1687">
        <v>0</v>
      </c>
      <c r="AS1687">
        <v>0</v>
      </c>
      <c r="AT1687">
        <v>0</v>
      </c>
      <c r="AV1687">
        <v>1</v>
      </c>
      <c r="AW1687">
        <v>0</v>
      </c>
    </row>
    <row r="1688" spans="1:49" x14ac:dyDescent="0.25">
      <c r="A1688" t="str">
        <f>"1684"</f>
        <v>1684</v>
      </c>
      <c r="B1688" t="str">
        <f t="shared" si="94"/>
        <v>1</v>
      </c>
      <c r="C1688" t="str">
        <f t="shared" si="96"/>
        <v>75</v>
      </c>
      <c r="D1688" t="str">
        <f>"25"</f>
        <v>25</v>
      </c>
      <c r="E1688" t="str">
        <f>"1-75-25"</f>
        <v>1-75-25</v>
      </c>
      <c r="F1688" t="s">
        <v>83</v>
      </c>
      <c r="G1688" t="s">
        <v>84</v>
      </c>
      <c r="H1688" t="s">
        <v>85</v>
      </c>
      <c r="AC1688">
        <v>0</v>
      </c>
      <c r="AD1688">
        <v>1</v>
      </c>
      <c r="AE1688">
        <v>0</v>
      </c>
      <c r="AF1688">
        <v>0</v>
      </c>
      <c r="AG1688">
        <v>0</v>
      </c>
      <c r="AJ1688">
        <v>0</v>
      </c>
      <c r="AK1688">
        <v>1</v>
      </c>
      <c r="AL1688">
        <v>0</v>
      </c>
      <c r="AM1688">
        <v>0</v>
      </c>
      <c r="AN1688">
        <v>0</v>
      </c>
      <c r="AO1688">
        <v>1</v>
      </c>
      <c r="AP1688">
        <v>1</v>
      </c>
      <c r="AQ1688">
        <v>0</v>
      </c>
      <c r="AR1688">
        <v>0</v>
      </c>
      <c r="AS1688">
        <v>1</v>
      </c>
      <c r="AT1688">
        <v>0</v>
      </c>
      <c r="AV1688">
        <v>0</v>
      </c>
      <c r="AW1688">
        <v>1</v>
      </c>
    </row>
    <row r="1689" spans="1:49" x14ac:dyDescent="0.25">
      <c r="A1689" t="str">
        <f>"1685"</f>
        <v>1685</v>
      </c>
      <c r="B1689" t="str">
        <f t="shared" si="94"/>
        <v>1</v>
      </c>
      <c r="C1689" t="str">
        <f t="shared" si="96"/>
        <v>75</v>
      </c>
      <c r="D1689" t="str">
        <f>"24"</f>
        <v>24</v>
      </c>
      <c r="E1689" t="str">
        <f>"1-75-24"</f>
        <v>1-75-24</v>
      </c>
      <c r="F1689" t="s">
        <v>83</v>
      </c>
      <c r="G1689" t="s">
        <v>84</v>
      </c>
      <c r="H1689" t="s">
        <v>85</v>
      </c>
      <c r="AC1689">
        <v>1</v>
      </c>
      <c r="AD1689">
        <v>0</v>
      </c>
      <c r="AE1689">
        <v>0</v>
      </c>
      <c r="AF1689">
        <v>0</v>
      </c>
      <c r="AG1689">
        <v>1</v>
      </c>
      <c r="AJ1689">
        <v>0</v>
      </c>
      <c r="AK1689">
        <v>1</v>
      </c>
      <c r="AL1689">
        <v>0</v>
      </c>
      <c r="AM1689">
        <v>1</v>
      </c>
      <c r="AN1689">
        <v>0</v>
      </c>
      <c r="AO1689">
        <v>1</v>
      </c>
      <c r="AP1689">
        <v>1</v>
      </c>
      <c r="AQ1689">
        <v>1</v>
      </c>
      <c r="AR1689">
        <v>1</v>
      </c>
      <c r="AS1689">
        <v>0</v>
      </c>
      <c r="AT1689">
        <v>1</v>
      </c>
      <c r="AV1689">
        <v>1</v>
      </c>
      <c r="AW1689">
        <v>1</v>
      </c>
    </row>
    <row r="1690" spans="1:49" x14ac:dyDescent="0.25">
      <c r="A1690" t="str">
        <f>"1686"</f>
        <v>1686</v>
      </c>
      <c r="B1690" t="str">
        <f t="shared" si="94"/>
        <v>1</v>
      </c>
      <c r="C1690" t="str">
        <f t="shared" si="96"/>
        <v>75</v>
      </c>
      <c r="D1690" t="str">
        <f>"19"</f>
        <v>19</v>
      </c>
      <c r="E1690" t="str">
        <f>"1-75-19"</f>
        <v>1-75-19</v>
      </c>
      <c r="F1690" t="s">
        <v>83</v>
      </c>
      <c r="G1690" t="s">
        <v>84</v>
      </c>
      <c r="H1690" t="s">
        <v>85</v>
      </c>
      <c r="AC1690">
        <v>0</v>
      </c>
      <c r="AD1690">
        <v>1</v>
      </c>
      <c r="AE1690">
        <v>0</v>
      </c>
      <c r="AF1690">
        <v>0</v>
      </c>
      <c r="AG1690">
        <v>1</v>
      </c>
      <c r="AJ1690">
        <v>0</v>
      </c>
      <c r="AK1690">
        <v>1</v>
      </c>
      <c r="AL1690">
        <v>0</v>
      </c>
      <c r="AM1690">
        <v>0</v>
      </c>
      <c r="AN1690">
        <v>1</v>
      </c>
      <c r="AO1690">
        <v>1</v>
      </c>
      <c r="AP1690">
        <v>1</v>
      </c>
      <c r="AQ1690">
        <v>1</v>
      </c>
      <c r="AR1690">
        <v>1</v>
      </c>
      <c r="AS1690">
        <v>0</v>
      </c>
      <c r="AT1690">
        <v>0</v>
      </c>
      <c r="AV1690">
        <v>1</v>
      </c>
      <c r="AW1690">
        <v>1</v>
      </c>
    </row>
    <row r="1691" spans="1:49" x14ac:dyDescent="0.25">
      <c r="A1691" t="str">
        <f>"1687"</f>
        <v>1687</v>
      </c>
      <c r="B1691" t="str">
        <f t="shared" si="94"/>
        <v>1</v>
      </c>
      <c r="C1691" t="str">
        <f t="shared" si="96"/>
        <v>75</v>
      </c>
      <c r="D1691" t="str">
        <f>"10"</f>
        <v>10</v>
      </c>
      <c r="E1691" t="str">
        <f>"1-75-10"</f>
        <v>1-75-10</v>
      </c>
      <c r="F1691" t="s">
        <v>83</v>
      </c>
      <c r="G1691" t="s">
        <v>84</v>
      </c>
      <c r="H1691" t="s">
        <v>85</v>
      </c>
      <c r="AC1691">
        <v>1</v>
      </c>
      <c r="AD1691">
        <v>0</v>
      </c>
      <c r="AE1691">
        <v>0</v>
      </c>
      <c r="AF1691">
        <v>0</v>
      </c>
      <c r="AG1691">
        <v>1</v>
      </c>
      <c r="AJ1691">
        <v>0</v>
      </c>
      <c r="AK1691">
        <v>1</v>
      </c>
      <c r="AL1691">
        <v>0</v>
      </c>
      <c r="AM1691">
        <v>1</v>
      </c>
      <c r="AN1691">
        <v>0</v>
      </c>
      <c r="AO1691">
        <v>1</v>
      </c>
      <c r="AP1691">
        <v>1</v>
      </c>
      <c r="AQ1691">
        <v>1</v>
      </c>
      <c r="AR1691">
        <v>1</v>
      </c>
      <c r="AS1691">
        <v>0</v>
      </c>
      <c r="AT1691">
        <v>1</v>
      </c>
      <c r="AV1691">
        <v>1</v>
      </c>
      <c r="AW1691">
        <v>1</v>
      </c>
    </row>
    <row r="1692" spans="1:49" x14ac:dyDescent="0.25">
      <c r="A1692" t="str">
        <f>"1688"</f>
        <v>1688</v>
      </c>
      <c r="B1692" t="str">
        <f t="shared" si="94"/>
        <v>1</v>
      </c>
      <c r="C1692" t="str">
        <f t="shared" si="96"/>
        <v>75</v>
      </c>
      <c r="D1692" t="str">
        <f>"4"</f>
        <v>4</v>
      </c>
      <c r="E1692" t="str">
        <f>"1-75-4"</f>
        <v>1-75-4</v>
      </c>
      <c r="F1692" t="s">
        <v>83</v>
      </c>
      <c r="G1692" t="s">
        <v>84</v>
      </c>
      <c r="H1692" t="s">
        <v>85</v>
      </c>
      <c r="AC1692">
        <v>0</v>
      </c>
      <c r="AD1692">
        <v>1</v>
      </c>
      <c r="AE1692">
        <v>0</v>
      </c>
      <c r="AF1692">
        <v>0</v>
      </c>
      <c r="AG1692">
        <v>1</v>
      </c>
      <c r="AJ1692">
        <v>0</v>
      </c>
      <c r="AK1692">
        <v>1</v>
      </c>
      <c r="AL1692">
        <v>0</v>
      </c>
      <c r="AM1692">
        <v>0</v>
      </c>
      <c r="AN1692">
        <v>1</v>
      </c>
      <c r="AO1692">
        <v>1</v>
      </c>
      <c r="AP1692">
        <v>1</v>
      </c>
      <c r="AQ1692">
        <v>1</v>
      </c>
      <c r="AR1692">
        <v>1</v>
      </c>
      <c r="AS1692">
        <v>1</v>
      </c>
      <c r="AT1692">
        <v>0</v>
      </c>
      <c r="AV1692">
        <v>1</v>
      </c>
      <c r="AW1692">
        <v>1</v>
      </c>
    </row>
    <row r="1693" spans="1:49" x14ac:dyDescent="0.25">
      <c r="A1693" t="str">
        <f>"1689"</f>
        <v>1689</v>
      </c>
      <c r="B1693" t="str">
        <f t="shared" si="94"/>
        <v>1</v>
      </c>
      <c r="C1693" t="str">
        <f t="shared" si="96"/>
        <v>75</v>
      </c>
      <c r="D1693" t="str">
        <f>"18"</f>
        <v>18</v>
      </c>
      <c r="E1693" t="str">
        <f>"1-75-18"</f>
        <v>1-75-18</v>
      </c>
      <c r="F1693" t="s">
        <v>83</v>
      </c>
      <c r="G1693" t="s">
        <v>84</v>
      </c>
      <c r="H1693" t="s">
        <v>85</v>
      </c>
      <c r="AC1693">
        <v>0</v>
      </c>
      <c r="AD1693">
        <v>1</v>
      </c>
      <c r="AE1693">
        <v>0</v>
      </c>
      <c r="AF1693">
        <v>0</v>
      </c>
      <c r="AG1693">
        <v>1</v>
      </c>
      <c r="AJ1693">
        <v>1</v>
      </c>
      <c r="AK1693">
        <v>0</v>
      </c>
      <c r="AL1693">
        <v>0</v>
      </c>
      <c r="AM1693">
        <v>0</v>
      </c>
      <c r="AN1693">
        <v>1</v>
      </c>
      <c r="AO1693">
        <v>1</v>
      </c>
      <c r="AP1693">
        <v>1</v>
      </c>
      <c r="AQ1693">
        <v>1</v>
      </c>
      <c r="AR1693">
        <v>1</v>
      </c>
      <c r="AS1693">
        <v>1</v>
      </c>
      <c r="AT1693">
        <v>0</v>
      </c>
      <c r="AV1693">
        <v>1</v>
      </c>
      <c r="AW1693">
        <v>1</v>
      </c>
    </row>
    <row r="1694" spans="1:49" x14ac:dyDescent="0.25">
      <c r="A1694" t="str">
        <f>"1690"</f>
        <v>1690</v>
      </c>
      <c r="B1694" t="str">
        <f t="shared" ref="B1694:B1757" si="97">"1"</f>
        <v>1</v>
      </c>
      <c r="C1694" t="str">
        <f t="shared" si="96"/>
        <v>75</v>
      </c>
      <c r="D1694" t="str">
        <f>"11"</f>
        <v>11</v>
      </c>
      <c r="E1694" t="str">
        <f>"1-75-11"</f>
        <v>1-75-11</v>
      </c>
      <c r="F1694" t="s">
        <v>83</v>
      </c>
      <c r="G1694" t="s">
        <v>84</v>
      </c>
      <c r="H1694" t="s">
        <v>85</v>
      </c>
      <c r="AC1694">
        <v>0</v>
      </c>
      <c r="AD1694">
        <v>1</v>
      </c>
      <c r="AE1694">
        <v>0</v>
      </c>
      <c r="AF1694">
        <v>0</v>
      </c>
      <c r="AG1694">
        <v>1</v>
      </c>
      <c r="AJ1694">
        <v>1</v>
      </c>
      <c r="AK1694">
        <v>0</v>
      </c>
      <c r="AL1694">
        <v>0</v>
      </c>
      <c r="AM1694">
        <v>1</v>
      </c>
      <c r="AN1694">
        <v>0</v>
      </c>
      <c r="AO1694">
        <v>1</v>
      </c>
      <c r="AP1694">
        <v>1</v>
      </c>
      <c r="AQ1694">
        <v>1</v>
      </c>
      <c r="AR1694">
        <v>1</v>
      </c>
      <c r="AS1694">
        <v>1</v>
      </c>
      <c r="AT1694">
        <v>0</v>
      </c>
      <c r="AV1694">
        <v>1</v>
      </c>
      <c r="AW1694">
        <v>1</v>
      </c>
    </row>
    <row r="1695" spans="1:49" x14ac:dyDescent="0.25">
      <c r="A1695" t="str">
        <f>"1691"</f>
        <v>1691</v>
      </c>
      <c r="B1695" t="str">
        <f t="shared" si="97"/>
        <v>1</v>
      </c>
      <c r="C1695" t="str">
        <f t="shared" si="96"/>
        <v>75</v>
      </c>
      <c r="D1695" t="str">
        <f>"1"</f>
        <v>1</v>
      </c>
      <c r="E1695" t="str">
        <f>"1-75-1"</f>
        <v>1-75-1</v>
      </c>
      <c r="F1695" t="s">
        <v>83</v>
      </c>
      <c r="G1695" t="s">
        <v>84</v>
      </c>
      <c r="H1695" t="s">
        <v>85</v>
      </c>
      <c r="AC1695">
        <v>0</v>
      </c>
      <c r="AD1695">
        <v>1</v>
      </c>
      <c r="AE1695">
        <v>0</v>
      </c>
      <c r="AF1695">
        <v>0</v>
      </c>
      <c r="AG1695">
        <v>1</v>
      </c>
      <c r="AJ1695">
        <v>1</v>
      </c>
      <c r="AK1695">
        <v>0</v>
      </c>
      <c r="AL1695">
        <v>1</v>
      </c>
      <c r="AM1695">
        <v>0</v>
      </c>
      <c r="AN1695">
        <v>0</v>
      </c>
      <c r="AO1695">
        <v>1</v>
      </c>
      <c r="AP1695">
        <v>1</v>
      </c>
      <c r="AQ1695">
        <v>1</v>
      </c>
      <c r="AR1695">
        <v>1</v>
      </c>
      <c r="AS1695">
        <v>0</v>
      </c>
      <c r="AT1695">
        <v>1</v>
      </c>
      <c r="AV1695">
        <v>1</v>
      </c>
      <c r="AW1695">
        <v>0</v>
      </c>
    </row>
    <row r="1696" spans="1:49" x14ac:dyDescent="0.25">
      <c r="A1696" t="str">
        <f>"1692"</f>
        <v>1692</v>
      </c>
      <c r="B1696" t="str">
        <f t="shared" si="97"/>
        <v>1</v>
      </c>
      <c r="C1696" t="str">
        <f t="shared" si="96"/>
        <v>75</v>
      </c>
      <c r="D1696" t="str">
        <f>"22"</f>
        <v>22</v>
      </c>
      <c r="E1696" t="str">
        <f>"1-75-22"</f>
        <v>1-75-22</v>
      </c>
      <c r="F1696" t="s">
        <v>83</v>
      </c>
      <c r="G1696" t="s">
        <v>84</v>
      </c>
      <c r="H1696" t="s">
        <v>85</v>
      </c>
      <c r="AC1696">
        <v>1</v>
      </c>
      <c r="AD1696">
        <v>0</v>
      </c>
      <c r="AE1696">
        <v>0</v>
      </c>
      <c r="AF1696">
        <v>0</v>
      </c>
      <c r="AG1696">
        <v>1</v>
      </c>
      <c r="AJ1696">
        <v>1</v>
      </c>
      <c r="AK1696">
        <v>0</v>
      </c>
      <c r="AL1696">
        <v>0</v>
      </c>
      <c r="AM1696">
        <v>1</v>
      </c>
      <c r="AN1696">
        <v>0</v>
      </c>
      <c r="AO1696">
        <v>1</v>
      </c>
      <c r="AP1696">
        <v>1</v>
      </c>
      <c r="AQ1696">
        <v>1</v>
      </c>
      <c r="AR1696">
        <v>1</v>
      </c>
      <c r="AS1696">
        <v>0</v>
      </c>
      <c r="AT1696">
        <v>1</v>
      </c>
      <c r="AV1696">
        <v>1</v>
      </c>
      <c r="AW1696">
        <v>1</v>
      </c>
    </row>
    <row r="1697" spans="1:49" x14ac:dyDescent="0.25">
      <c r="A1697" t="str">
        <f>"1693"</f>
        <v>1693</v>
      </c>
      <c r="B1697" t="str">
        <f t="shared" si="97"/>
        <v>1</v>
      </c>
      <c r="C1697" t="str">
        <f t="shared" si="96"/>
        <v>75</v>
      </c>
      <c r="D1697" t="str">
        <f>"12"</f>
        <v>12</v>
      </c>
      <c r="E1697" t="str">
        <f>"1-75-12"</f>
        <v>1-75-12</v>
      </c>
      <c r="F1697" t="s">
        <v>83</v>
      </c>
      <c r="G1697" t="s">
        <v>84</v>
      </c>
      <c r="H1697" t="s">
        <v>85</v>
      </c>
      <c r="AC1697">
        <v>0</v>
      </c>
      <c r="AD1697">
        <v>1</v>
      </c>
      <c r="AE1697">
        <v>0</v>
      </c>
      <c r="AF1697">
        <v>0</v>
      </c>
      <c r="AG1697">
        <v>0</v>
      </c>
      <c r="AJ1697">
        <v>0</v>
      </c>
      <c r="AK1697">
        <v>1</v>
      </c>
      <c r="AL1697">
        <v>0</v>
      </c>
      <c r="AM1697">
        <v>0</v>
      </c>
      <c r="AN1697">
        <v>0</v>
      </c>
      <c r="AO1697">
        <v>0</v>
      </c>
      <c r="AP1697">
        <v>0</v>
      </c>
      <c r="AQ1697">
        <v>0</v>
      </c>
      <c r="AR1697">
        <v>1</v>
      </c>
      <c r="AS1697">
        <v>0</v>
      </c>
      <c r="AT1697">
        <v>0</v>
      </c>
      <c r="AV1697">
        <v>1</v>
      </c>
      <c r="AW1697">
        <v>1</v>
      </c>
    </row>
    <row r="1698" spans="1:49" x14ac:dyDescent="0.25">
      <c r="A1698" t="str">
        <f>"1694"</f>
        <v>1694</v>
      </c>
      <c r="B1698" t="str">
        <f t="shared" si="97"/>
        <v>1</v>
      </c>
      <c r="C1698" t="str">
        <f t="shared" si="96"/>
        <v>75</v>
      </c>
      <c r="D1698" t="str">
        <f>"2"</f>
        <v>2</v>
      </c>
      <c r="E1698" t="str">
        <f>"1-75-2"</f>
        <v>1-75-2</v>
      </c>
      <c r="F1698" t="s">
        <v>83</v>
      </c>
      <c r="G1698" t="s">
        <v>90</v>
      </c>
      <c r="H1698" t="s">
        <v>91</v>
      </c>
      <c r="AC1698">
        <v>0</v>
      </c>
      <c r="AD1698">
        <v>1</v>
      </c>
      <c r="AE1698">
        <v>0</v>
      </c>
      <c r="AF1698">
        <v>0</v>
      </c>
      <c r="AH1698">
        <v>0</v>
      </c>
      <c r="AI1698">
        <v>1</v>
      </c>
      <c r="AJ1698">
        <v>0</v>
      </c>
      <c r="AK1698">
        <v>0</v>
      </c>
      <c r="AL1698">
        <v>0</v>
      </c>
      <c r="AM1698">
        <v>0</v>
      </c>
      <c r="AN1698">
        <v>0</v>
      </c>
      <c r="AO1698">
        <v>1</v>
      </c>
      <c r="AP1698">
        <v>1</v>
      </c>
      <c r="AQ1698">
        <v>1</v>
      </c>
      <c r="AR1698">
        <v>0</v>
      </c>
      <c r="AU1698">
        <v>1</v>
      </c>
      <c r="AV1698">
        <v>1</v>
      </c>
      <c r="AW1698">
        <v>0</v>
      </c>
    </row>
    <row r="1699" spans="1:49" x14ac:dyDescent="0.25">
      <c r="A1699" t="str">
        <f>"1695"</f>
        <v>1695</v>
      </c>
      <c r="B1699" t="str">
        <f t="shared" si="97"/>
        <v>1</v>
      </c>
      <c r="C1699" t="str">
        <f t="shared" si="96"/>
        <v>75</v>
      </c>
      <c r="D1699" t="str">
        <f>"23"</f>
        <v>23</v>
      </c>
      <c r="E1699" t="str">
        <f>"1-75-23"</f>
        <v>1-75-23</v>
      </c>
      <c r="F1699" t="s">
        <v>83</v>
      </c>
      <c r="G1699" t="s">
        <v>84</v>
      </c>
      <c r="H1699" t="s">
        <v>85</v>
      </c>
      <c r="AC1699">
        <v>1</v>
      </c>
      <c r="AD1699">
        <v>0</v>
      </c>
      <c r="AE1699">
        <v>0</v>
      </c>
      <c r="AF1699">
        <v>0</v>
      </c>
      <c r="AG1699">
        <v>1</v>
      </c>
      <c r="AJ1699">
        <v>1</v>
      </c>
      <c r="AK1699">
        <v>0</v>
      </c>
      <c r="AL1699">
        <v>1</v>
      </c>
      <c r="AM1699">
        <v>0</v>
      </c>
      <c r="AN1699">
        <v>0</v>
      </c>
      <c r="AO1699">
        <v>1</v>
      </c>
      <c r="AP1699">
        <v>1</v>
      </c>
      <c r="AQ1699">
        <v>1</v>
      </c>
      <c r="AR1699">
        <v>1</v>
      </c>
      <c r="AS1699">
        <v>1</v>
      </c>
      <c r="AT1699">
        <v>0</v>
      </c>
      <c r="AV1699">
        <v>1</v>
      </c>
      <c r="AW1699">
        <v>1</v>
      </c>
    </row>
    <row r="1700" spans="1:49" x14ac:dyDescent="0.25">
      <c r="A1700" t="str">
        <f>"1696"</f>
        <v>1696</v>
      </c>
      <c r="B1700" t="str">
        <f t="shared" si="97"/>
        <v>1</v>
      </c>
      <c r="C1700" t="str">
        <f t="shared" si="96"/>
        <v>75</v>
      </c>
      <c r="D1700" t="str">
        <f>"13"</f>
        <v>13</v>
      </c>
      <c r="E1700" t="str">
        <f>"1-75-13"</f>
        <v>1-75-13</v>
      </c>
      <c r="F1700" t="s">
        <v>83</v>
      </c>
      <c r="G1700" t="s">
        <v>84</v>
      </c>
      <c r="H1700" t="s">
        <v>85</v>
      </c>
      <c r="AC1700">
        <v>1</v>
      </c>
      <c r="AD1700">
        <v>0</v>
      </c>
      <c r="AE1700">
        <v>0</v>
      </c>
      <c r="AF1700">
        <v>0</v>
      </c>
      <c r="AG1700">
        <v>0</v>
      </c>
      <c r="AJ1700">
        <v>0</v>
      </c>
      <c r="AK1700">
        <v>1</v>
      </c>
      <c r="AL1700">
        <v>0</v>
      </c>
      <c r="AM1700">
        <v>1</v>
      </c>
      <c r="AN1700">
        <v>0</v>
      </c>
      <c r="AO1700">
        <v>0</v>
      </c>
      <c r="AP1700">
        <v>0</v>
      </c>
      <c r="AQ1700">
        <v>0</v>
      </c>
      <c r="AR1700">
        <v>0</v>
      </c>
      <c r="AS1700">
        <v>0</v>
      </c>
      <c r="AT1700">
        <v>1</v>
      </c>
      <c r="AV1700">
        <v>0</v>
      </c>
      <c r="AW1700">
        <v>0</v>
      </c>
    </row>
    <row r="1701" spans="1:49" x14ac:dyDescent="0.25">
      <c r="A1701" t="str">
        <f>"1697"</f>
        <v>1697</v>
      </c>
      <c r="B1701" t="str">
        <f t="shared" si="97"/>
        <v>1</v>
      </c>
      <c r="C1701" t="str">
        <f t="shared" si="96"/>
        <v>75</v>
      </c>
      <c r="D1701" t="str">
        <f>"6"</f>
        <v>6</v>
      </c>
      <c r="E1701" t="str">
        <f>"1-75-6"</f>
        <v>1-75-6</v>
      </c>
      <c r="F1701" t="s">
        <v>83</v>
      </c>
      <c r="G1701" t="s">
        <v>84</v>
      </c>
      <c r="H1701" t="s">
        <v>85</v>
      </c>
      <c r="AC1701">
        <v>1</v>
      </c>
      <c r="AD1701">
        <v>0</v>
      </c>
      <c r="AE1701">
        <v>0</v>
      </c>
      <c r="AF1701">
        <v>0</v>
      </c>
      <c r="AG1701">
        <v>1</v>
      </c>
      <c r="AJ1701">
        <v>0</v>
      </c>
      <c r="AK1701">
        <v>1</v>
      </c>
      <c r="AL1701">
        <v>0</v>
      </c>
      <c r="AM1701">
        <v>1</v>
      </c>
      <c r="AN1701">
        <v>0</v>
      </c>
      <c r="AO1701">
        <v>1</v>
      </c>
      <c r="AP1701">
        <v>1</v>
      </c>
      <c r="AQ1701">
        <v>1</v>
      </c>
      <c r="AR1701">
        <v>1</v>
      </c>
      <c r="AS1701">
        <v>1</v>
      </c>
      <c r="AT1701">
        <v>0</v>
      </c>
      <c r="AV1701">
        <v>1</v>
      </c>
      <c r="AW1701">
        <v>1</v>
      </c>
    </row>
    <row r="1702" spans="1:49" x14ac:dyDescent="0.25">
      <c r="A1702" t="str">
        <f>"1698"</f>
        <v>1698</v>
      </c>
      <c r="B1702" t="str">
        <f t="shared" si="97"/>
        <v>1</v>
      </c>
      <c r="C1702" t="str">
        <f t="shared" si="96"/>
        <v>75</v>
      </c>
      <c r="D1702" t="str">
        <f>"16"</f>
        <v>16</v>
      </c>
      <c r="E1702" t="str">
        <f>"1-75-16"</f>
        <v>1-75-16</v>
      </c>
      <c r="F1702" t="s">
        <v>83</v>
      </c>
      <c r="G1702" t="s">
        <v>84</v>
      </c>
      <c r="H1702" t="s">
        <v>85</v>
      </c>
      <c r="AC1702">
        <v>0</v>
      </c>
      <c r="AD1702">
        <v>1</v>
      </c>
      <c r="AE1702">
        <v>0</v>
      </c>
      <c r="AF1702">
        <v>0</v>
      </c>
      <c r="AG1702">
        <v>1</v>
      </c>
      <c r="AJ1702">
        <v>0</v>
      </c>
      <c r="AK1702">
        <v>1</v>
      </c>
      <c r="AL1702">
        <v>0</v>
      </c>
      <c r="AM1702">
        <v>0</v>
      </c>
      <c r="AN1702">
        <v>1</v>
      </c>
      <c r="AO1702">
        <v>1</v>
      </c>
      <c r="AP1702">
        <v>1</v>
      </c>
      <c r="AQ1702">
        <v>1</v>
      </c>
      <c r="AR1702">
        <v>1</v>
      </c>
      <c r="AS1702">
        <v>0</v>
      </c>
      <c r="AT1702">
        <v>1</v>
      </c>
      <c r="AV1702">
        <v>1</v>
      </c>
      <c r="AW1702">
        <v>1</v>
      </c>
    </row>
    <row r="1703" spans="1:49" x14ac:dyDescent="0.25">
      <c r="A1703" t="str">
        <f>"1699"</f>
        <v>1699</v>
      </c>
      <c r="B1703" t="str">
        <f t="shared" si="97"/>
        <v>1</v>
      </c>
      <c r="C1703" t="str">
        <f t="shared" si="96"/>
        <v>75</v>
      </c>
      <c r="D1703" t="str">
        <f>"5"</f>
        <v>5</v>
      </c>
      <c r="E1703" t="str">
        <f>"1-75-5"</f>
        <v>1-75-5</v>
      </c>
      <c r="F1703" t="s">
        <v>83</v>
      </c>
      <c r="G1703" t="s">
        <v>84</v>
      </c>
      <c r="H1703" t="s">
        <v>85</v>
      </c>
      <c r="AC1703">
        <v>1</v>
      </c>
      <c r="AD1703">
        <v>0</v>
      </c>
      <c r="AE1703">
        <v>0</v>
      </c>
      <c r="AF1703">
        <v>0</v>
      </c>
      <c r="AG1703">
        <v>0</v>
      </c>
      <c r="AJ1703">
        <v>0</v>
      </c>
      <c r="AK1703">
        <v>1</v>
      </c>
      <c r="AL1703">
        <v>1</v>
      </c>
      <c r="AM1703">
        <v>0</v>
      </c>
      <c r="AN1703">
        <v>0</v>
      </c>
      <c r="AO1703">
        <v>1</v>
      </c>
      <c r="AP1703">
        <v>0</v>
      </c>
      <c r="AQ1703">
        <v>0</v>
      </c>
      <c r="AR1703">
        <v>0</v>
      </c>
      <c r="AS1703">
        <v>1</v>
      </c>
      <c r="AT1703">
        <v>0</v>
      </c>
      <c r="AV1703">
        <v>1</v>
      </c>
      <c r="AW1703">
        <v>0</v>
      </c>
    </row>
    <row r="1704" spans="1:49" x14ac:dyDescent="0.25">
      <c r="A1704" t="str">
        <f>"1700"</f>
        <v>1700</v>
      </c>
      <c r="B1704" t="str">
        <f t="shared" si="97"/>
        <v>1</v>
      </c>
      <c r="C1704" t="str">
        <f t="shared" si="96"/>
        <v>75</v>
      </c>
      <c r="D1704" t="str">
        <f>"17"</f>
        <v>17</v>
      </c>
      <c r="E1704" t="str">
        <f>"1-75-17"</f>
        <v>1-75-17</v>
      </c>
      <c r="F1704" t="s">
        <v>83</v>
      </c>
      <c r="G1704" t="s">
        <v>84</v>
      </c>
      <c r="H1704" t="s">
        <v>85</v>
      </c>
      <c r="AC1704">
        <v>0</v>
      </c>
      <c r="AD1704">
        <v>1</v>
      </c>
      <c r="AE1704">
        <v>0</v>
      </c>
      <c r="AF1704">
        <v>0</v>
      </c>
      <c r="AG1704">
        <v>0</v>
      </c>
      <c r="AJ1704">
        <v>1</v>
      </c>
      <c r="AK1704">
        <v>0</v>
      </c>
      <c r="AL1704">
        <v>0</v>
      </c>
      <c r="AM1704">
        <v>0</v>
      </c>
      <c r="AN1704">
        <v>1</v>
      </c>
      <c r="AO1704">
        <v>0</v>
      </c>
      <c r="AP1704">
        <v>0</v>
      </c>
      <c r="AQ1704">
        <v>0</v>
      </c>
      <c r="AR1704">
        <v>0</v>
      </c>
      <c r="AS1704">
        <v>0</v>
      </c>
      <c r="AT1704">
        <v>1</v>
      </c>
      <c r="AV1704">
        <v>0</v>
      </c>
      <c r="AW1704">
        <v>0</v>
      </c>
    </row>
    <row r="1705" spans="1:49" x14ac:dyDescent="0.25">
      <c r="A1705" t="str">
        <f>"1701"</f>
        <v>1701</v>
      </c>
      <c r="B1705" t="str">
        <f t="shared" si="97"/>
        <v>1</v>
      </c>
      <c r="C1705" t="str">
        <f t="shared" si="96"/>
        <v>75</v>
      </c>
      <c r="D1705" t="str">
        <f>"7"</f>
        <v>7</v>
      </c>
      <c r="E1705" t="str">
        <f>"1-75-7"</f>
        <v>1-75-7</v>
      </c>
      <c r="F1705" t="s">
        <v>83</v>
      </c>
      <c r="G1705" t="s">
        <v>84</v>
      </c>
      <c r="H1705" t="s">
        <v>85</v>
      </c>
      <c r="AC1705">
        <v>1</v>
      </c>
      <c r="AD1705">
        <v>0</v>
      </c>
      <c r="AE1705">
        <v>0</v>
      </c>
      <c r="AF1705">
        <v>0</v>
      </c>
      <c r="AG1705">
        <v>1</v>
      </c>
      <c r="AJ1705">
        <v>0</v>
      </c>
      <c r="AK1705">
        <v>1</v>
      </c>
      <c r="AL1705">
        <v>0</v>
      </c>
      <c r="AM1705">
        <v>1</v>
      </c>
      <c r="AN1705">
        <v>0</v>
      </c>
      <c r="AO1705">
        <v>1</v>
      </c>
      <c r="AP1705">
        <v>1</v>
      </c>
      <c r="AQ1705">
        <v>1</v>
      </c>
      <c r="AR1705">
        <v>1</v>
      </c>
      <c r="AS1705">
        <v>0</v>
      </c>
      <c r="AT1705">
        <v>1</v>
      </c>
      <c r="AV1705">
        <v>1</v>
      </c>
      <c r="AW1705">
        <v>1</v>
      </c>
    </row>
    <row r="1706" spans="1:49" x14ac:dyDescent="0.25">
      <c r="A1706" t="str">
        <f>"1702"</f>
        <v>1702</v>
      </c>
      <c r="B1706" t="str">
        <f t="shared" si="97"/>
        <v>1</v>
      </c>
      <c r="C1706" t="str">
        <f t="shared" ref="C1706:C1718" si="98">"76"</f>
        <v>76</v>
      </c>
      <c r="D1706" t="str">
        <f>"8"</f>
        <v>8</v>
      </c>
      <c r="E1706" t="str">
        <f>"1-76-8"</f>
        <v>1-76-8</v>
      </c>
      <c r="F1706" t="s">
        <v>83</v>
      </c>
      <c r="G1706" t="s">
        <v>84</v>
      </c>
      <c r="H1706" t="s">
        <v>92</v>
      </c>
      <c r="I1706">
        <v>1</v>
      </c>
      <c r="J1706">
        <v>1</v>
      </c>
      <c r="N1706">
        <v>1</v>
      </c>
      <c r="O1706">
        <v>1</v>
      </c>
      <c r="P1706">
        <v>1</v>
      </c>
      <c r="Q1706">
        <v>1</v>
      </c>
      <c r="R1706">
        <v>1</v>
      </c>
      <c r="S1706">
        <v>1</v>
      </c>
      <c r="T1706">
        <v>1</v>
      </c>
      <c r="W1706">
        <v>1</v>
      </c>
      <c r="X1706">
        <v>1</v>
      </c>
      <c r="Y1706">
        <v>1</v>
      </c>
      <c r="Z1706">
        <v>1</v>
      </c>
      <c r="AA1706">
        <v>1</v>
      </c>
      <c r="AB1706">
        <v>1</v>
      </c>
    </row>
    <row r="1707" spans="1:49" x14ac:dyDescent="0.25">
      <c r="A1707" t="str">
        <f>"1703"</f>
        <v>1703</v>
      </c>
      <c r="B1707" t="str">
        <f t="shared" si="97"/>
        <v>1</v>
      </c>
      <c r="C1707" t="str">
        <f t="shared" si="98"/>
        <v>76</v>
      </c>
      <c r="D1707" t="str">
        <f>"6"</f>
        <v>6</v>
      </c>
      <c r="E1707" t="str">
        <f>"1-76-6"</f>
        <v>1-76-6</v>
      </c>
      <c r="F1707" t="s">
        <v>83</v>
      </c>
      <c r="G1707" t="s">
        <v>84</v>
      </c>
      <c r="H1707" t="s">
        <v>85</v>
      </c>
      <c r="AC1707">
        <v>0</v>
      </c>
      <c r="AD1707">
        <v>1</v>
      </c>
      <c r="AE1707">
        <v>0</v>
      </c>
      <c r="AF1707">
        <v>0</v>
      </c>
      <c r="AG1707">
        <v>0</v>
      </c>
      <c r="AJ1707">
        <v>0</v>
      </c>
      <c r="AK1707">
        <v>1</v>
      </c>
      <c r="AL1707">
        <v>1</v>
      </c>
      <c r="AM1707">
        <v>0</v>
      </c>
      <c r="AN1707">
        <v>0</v>
      </c>
      <c r="AO1707">
        <v>0</v>
      </c>
      <c r="AP1707">
        <v>0</v>
      </c>
      <c r="AQ1707">
        <v>0</v>
      </c>
      <c r="AR1707">
        <v>0</v>
      </c>
      <c r="AS1707">
        <v>1</v>
      </c>
      <c r="AT1707">
        <v>0</v>
      </c>
      <c r="AV1707">
        <v>0</v>
      </c>
      <c r="AW1707">
        <v>0</v>
      </c>
    </row>
    <row r="1708" spans="1:49" x14ac:dyDescent="0.25">
      <c r="A1708" t="str">
        <f>"1704"</f>
        <v>1704</v>
      </c>
      <c r="B1708" t="str">
        <f t="shared" si="97"/>
        <v>1</v>
      </c>
      <c r="C1708" t="str">
        <f t="shared" si="98"/>
        <v>76</v>
      </c>
      <c r="D1708" t="str">
        <f>"9"</f>
        <v>9</v>
      </c>
      <c r="E1708" t="str">
        <f>"1-76-9"</f>
        <v>1-76-9</v>
      </c>
      <c r="F1708" t="s">
        <v>83</v>
      </c>
      <c r="G1708" t="s">
        <v>84</v>
      </c>
      <c r="H1708" t="s">
        <v>92</v>
      </c>
      <c r="I1708">
        <v>1</v>
      </c>
      <c r="J1708">
        <v>1</v>
      </c>
      <c r="N1708">
        <v>1</v>
      </c>
      <c r="O1708">
        <v>1</v>
      </c>
      <c r="P1708">
        <v>1</v>
      </c>
      <c r="Q1708">
        <v>1</v>
      </c>
      <c r="R1708">
        <v>1</v>
      </c>
      <c r="S1708">
        <v>1</v>
      </c>
      <c r="T1708">
        <v>1</v>
      </c>
      <c r="W1708">
        <v>1</v>
      </c>
      <c r="X1708">
        <v>1</v>
      </c>
      <c r="Y1708">
        <v>1</v>
      </c>
      <c r="Z1708">
        <v>1</v>
      </c>
      <c r="AA1708">
        <v>1</v>
      </c>
      <c r="AB1708">
        <v>1</v>
      </c>
    </row>
    <row r="1709" spans="1:49" x14ac:dyDescent="0.25">
      <c r="A1709" t="str">
        <f>"1705"</f>
        <v>1705</v>
      </c>
      <c r="B1709" t="str">
        <f t="shared" si="97"/>
        <v>1</v>
      </c>
      <c r="C1709" t="str">
        <f t="shared" si="98"/>
        <v>76</v>
      </c>
      <c r="D1709" t="str">
        <f>"2"</f>
        <v>2</v>
      </c>
      <c r="E1709" t="str">
        <f>"1-76-2"</f>
        <v>1-76-2</v>
      </c>
      <c r="F1709" t="s">
        <v>83</v>
      </c>
      <c r="G1709" t="s">
        <v>84</v>
      </c>
      <c r="H1709" t="s">
        <v>85</v>
      </c>
      <c r="AC1709">
        <v>0</v>
      </c>
      <c r="AD1709">
        <v>1</v>
      </c>
      <c r="AE1709">
        <v>0</v>
      </c>
      <c r="AF1709">
        <v>0</v>
      </c>
      <c r="AG1709">
        <v>1</v>
      </c>
      <c r="AJ1709">
        <v>1</v>
      </c>
      <c r="AK1709">
        <v>0</v>
      </c>
      <c r="AL1709">
        <v>1</v>
      </c>
      <c r="AM1709">
        <v>0</v>
      </c>
      <c r="AN1709">
        <v>0</v>
      </c>
      <c r="AO1709">
        <v>1</v>
      </c>
      <c r="AP1709">
        <v>1</v>
      </c>
      <c r="AQ1709">
        <v>1</v>
      </c>
      <c r="AR1709">
        <v>1</v>
      </c>
      <c r="AS1709">
        <v>1</v>
      </c>
      <c r="AT1709">
        <v>0</v>
      </c>
      <c r="AV1709">
        <v>1</v>
      </c>
      <c r="AW1709">
        <v>1</v>
      </c>
    </row>
    <row r="1710" spans="1:49" x14ac:dyDescent="0.25">
      <c r="A1710" t="str">
        <f>"1706"</f>
        <v>1706</v>
      </c>
      <c r="B1710" t="str">
        <f t="shared" si="97"/>
        <v>1</v>
      </c>
      <c r="C1710" t="str">
        <f t="shared" si="98"/>
        <v>76</v>
      </c>
      <c r="D1710" t="str">
        <f>"10"</f>
        <v>10</v>
      </c>
      <c r="E1710" t="str">
        <f>"1-76-10"</f>
        <v>1-76-10</v>
      </c>
      <c r="F1710" t="s">
        <v>83</v>
      </c>
      <c r="G1710" t="s">
        <v>84</v>
      </c>
      <c r="H1710" t="s">
        <v>85</v>
      </c>
      <c r="AC1710">
        <v>0</v>
      </c>
      <c r="AD1710">
        <v>1</v>
      </c>
      <c r="AE1710">
        <v>0</v>
      </c>
      <c r="AF1710">
        <v>0</v>
      </c>
      <c r="AG1710">
        <v>0</v>
      </c>
      <c r="AJ1710">
        <v>1</v>
      </c>
      <c r="AK1710">
        <v>0</v>
      </c>
      <c r="AL1710">
        <v>0</v>
      </c>
      <c r="AM1710">
        <v>1</v>
      </c>
      <c r="AN1710">
        <v>0</v>
      </c>
      <c r="AO1710">
        <v>1</v>
      </c>
      <c r="AP1710">
        <v>1</v>
      </c>
      <c r="AQ1710">
        <v>0</v>
      </c>
      <c r="AR1710">
        <v>1</v>
      </c>
      <c r="AS1710">
        <v>1</v>
      </c>
      <c r="AT1710">
        <v>0</v>
      </c>
      <c r="AV1710">
        <v>1</v>
      </c>
      <c r="AW1710">
        <v>1</v>
      </c>
    </row>
    <row r="1711" spans="1:49" x14ac:dyDescent="0.25">
      <c r="A1711" t="str">
        <f>"1707"</f>
        <v>1707</v>
      </c>
      <c r="B1711" t="str">
        <f t="shared" si="97"/>
        <v>1</v>
      </c>
      <c r="C1711" t="str">
        <f t="shared" si="98"/>
        <v>76</v>
      </c>
      <c r="D1711" t="str">
        <f>"5"</f>
        <v>5</v>
      </c>
      <c r="E1711" t="str">
        <f>"1-76-5"</f>
        <v>1-76-5</v>
      </c>
      <c r="F1711" t="s">
        <v>83</v>
      </c>
      <c r="G1711" t="s">
        <v>84</v>
      </c>
      <c r="H1711" t="s">
        <v>92</v>
      </c>
      <c r="I1711">
        <v>1</v>
      </c>
      <c r="J1711">
        <v>1</v>
      </c>
      <c r="N1711">
        <v>1</v>
      </c>
      <c r="O1711">
        <v>1</v>
      </c>
      <c r="P1711">
        <v>1</v>
      </c>
      <c r="Q1711">
        <v>1</v>
      </c>
      <c r="R1711">
        <v>1</v>
      </c>
      <c r="S1711">
        <v>1</v>
      </c>
      <c r="T1711">
        <v>1</v>
      </c>
      <c r="W1711">
        <v>1</v>
      </c>
      <c r="X1711">
        <v>1</v>
      </c>
      <c r="Y1711">
        <v>1</v>
      </c>
      <c r="Z1711">
        <v>1</v>
      </c>
      <c r="AA1711">
        <v>1</v>
      </c>
      <c r="AB1711">
        <v>1</v>
      </c>
    </row>
    <row r="1712" spans="1:49" x14ac:dyDescent="0.25">
      <c r="A1712" t="str">
        <f>"1708"</f>
        <v>1708</v>
      </c>
      <c r="B1712" t="str">
        <f t="shared" si="97"/>
        <v>1</v>
      </c>
      <c r="C1712" t="str">
        <f t="shared" si="98"/>
        <v>76</v>
      </c>
      <c r="D1712" t="str">
        <f>"11"</f>
        <v>11</v>
      </c>
      <c r="E1712" t="str">
        <f>"1-76-11"</f>
        <v>1-76-11</v>
      </c>
      <c r="F1712" t="s">
        <v>83</v>
      </c>
      <c r="G1712" t="s">
        <v>84</v>
      </c>
      <c r="H1712" t="s">
        <v>85</v>
      </c>
      <c r="AC1712">
        <v>0</v>
      </c>
      <c r="AD1712">
        <v>1</v>
      </c>
      <c r="AE1712">
        <v>0</v>
      </c>
      <c r="AF1712">
        <v>0</v>
      </c>
      <c r="AG1712">
        <v>1</v>
      </c>
      <c r="AJ1712">
        <v>0</v>
      </c>
      <c r="AK1712">
        <v>1</v>
      </c>
      <c r="AL1712">
        <v>0</v>
      </c>
      <c r="AM1712">
        <v>0</v>
      </c>
      <c r="AN1712">
        <v>1</v>
      </c>
      <c r="AO1712">
        <v>1</v>
      </c>
      <c r="AP1712">
        <v>1</v>
      </c>
      <c r="AQ1712">
        <v>1</v>
      </c>
      <c r="AR1712">
        <v>1</v>
      </c>
      <c r="AS1712">
        <v>0</v>
      </c>
      <c r="AT1712">
        <v>0</v>
      </c>
      <c r="AV1712">
        <v>1</v>
      </c>
      <c r="AW1712">
        <v>1</v>
      </c>
    </row>
    <row r="1713" spans="1:49" x14ac:dyDescent="0.25">
      <c r="A1713" t="str">
        <f>"1709"</f>
        <v>1709</v>
      </c>
      <c r="B1713" t="str">
        <f t="shared" si="97"/>
        <v>1</v>
      </c>
      <c r="C1713" t="str">
        <f t="shared" si="98"/>
        <v>76</v>
      </c>
      <c r="D1713" t="str">
        <f>"7"</f>
        <v>7</v>
      </c>
      <c r="E1713" t="str">
        <f>"1-76-7"</f>
        <v>1-76-7</v>
      </c>
      <c r="F1713" t="s">
        <v>83</v>
      </c>
      <c r="G1713" t="s">
        <v>84</v>
      </c>
      <c r="H1713" t="s">
        <v>85</v>
      </c>
      <c r="AC1713">
        <v>1</v>
      </c>
      <c r="AD1713">
        <v>0</v>
      </c>
      <c r="AE1713">
        <v>0</v>
      </c>
      <c r="AF1713">
        <v>0</v>
      </c>
      <c r="AG1713">
        <v>1</v>
      </c>
      <c r="AJ1713">
        <v>1</v>
      </c>
      <c r="AK1713">
        <v>0</v>
      </c>
      <c r="AL1713">
        <v>0</v>
      </c>
      <c r="AM1713">
        <v>1</v>
      </c>
      <c r="AN1713">
        <v>0</v>
      </c>
      <c r="AO1713">
        <v>1</v>
      </c>
      <c r="AP1713">
        <v>1</v>
      </c>
      <c r="AQ1713">
        <v>1</v>
      </c>
      <c r="AR1713">
        <v>1</v>
      </c>
      <c r="AS1713">
        <v>0</v>
      </c>
      <c r="AT1713">
        <v>1</v>
      </c>
      <c r="AV1713">
        <v>1</v>
      </c>
      <c r="AW1713">
        <v>1</v>
      </c>
    </row>
    <row r="1714" spans="1:49" x14ac:dyDescent="0.25">
      <c r="A1714" t="str">
        <f>"1710"</f>
        <v>1710</v>
      </c>
      <c r="B1714" t="str">
        <f t="shared" si="97"/>
        <v>1</v>
      </c>
      <c r="C1714" t="str">
        <f t="shared" si="98"/>
        <v>76</v>
      </c>
      <c r="D1714" t="str">
        <f>"12"</f>
        <v>12</v>
      </c>
      <c r="E1714" t="str">
        <f>"1-76-12"</f>
        <v>1-76-12</v>
      </c>
      <c r="F1714" t="s">
        <v>83</v>
      </c>
      <c r="G1714" t="s">
        <v>84</v>
      </c>
      <c r="H1714" t="s">
        <v>85</v>
      </c>
      <c r="AC1714">
        <v>1</v>
      </c>
      <c r="AD1714">
        <v>0</v>
      </c>
      <c r="AE1714">
        <v>0</v>
      </c>
      <c r="AF1714">
        <v>0</v>
      </c>
      <c r="AG1714">
        <v>1</v>
      </c>
      <c r="AJ1714">
        <v>1</v>
      </c>
      <c r="AK1714">
        <v>0</v>
      </c>
      <c r="AL1714">
        <v>0</v>
      </c>
      <c r="AM1714">
        <v>0</v>
      </c>
      <c r="AN1714">
        <v>1</v>
      </c>
      <c r="AO1714">
        <v>1</v>
      </c>
      <c r="AP1714">
        <v>1</v>
      </c>
      <c r="AQ1714">
        <v>1</v>
      </c>
      <c r="AR1714">
        <v>1</v>
      </c>
      <c r="AS1714">
        <v>0</v>
      </c>
      <c r="AT1714">
        <v>1</v>
      </c>
      <c r="AV1714">
        <v>1</v>
      </c>
      <c r="AW1714">
        <v>1</v>
      </c>
    </row>
    <row r="1715" spans="1:49" x14ac:dyDescent="0.25">
      <c r="A1715" t="str">
        <f>"1711"</f>
        <v>1711</v>
      </c>
      <c r="B1715" t="str">
        <f t="shared" si="97"/>
        <v>1</v>
      </c>
      <c r="C1715" t="str">
        <f t="shared" si="98"/>
        <v>76</v>
      </c>
      <c r="D1715" t="str">
        <f>"1"</f>
        <v>1</v>
      </c>
      <c r="E1715" t="str">
        <f>"1-76-1"</f>
        <v>1-76-1</v>
      </c>
      <c r="F1715" t="s">
        <v>83</v>
      </c>
      <c r="G1715" t="s">
        <v>84</v>
      </c>
      <c r="H1715" t="s">
        <v>92</v>
      </c>
      <c r="I1715">
        <v>1</v>
      </c>
      <c r="J1715">
        <v>1</v>
      </c>
      <c r="N1715">
        <v>1</v>
      </c>
      <c r="O1715">
        <v>1</v>
      </c>
      <c r="P1715">
        <v>1</v>
      </c>
      <c r="Q1715">
        <v>1</v>
      </c>
      <c r="R1715">
        <v>1</v>
      </c>
      <c r="S1715">
        <v>1</v>
      </c>
      <c r="T1715">
        <v>1</v>
      </c>
      <c r="W1715">
        <v>1</v>
      </c>
      <c r="X1715">
        <v>1</v>
      </c>
      <c r="Y1715">
        <v>1</v>
      </c>
      <c r="Z1715">
        <v>1</v>
      </c>
      <c r="AA1715">
        <v>1</v>
      </c>
      <c r="AB1715">
        <v>1</v>
      </c>
    </row>
    <row r="1716" spans="1:49" x14ac:dyDescent="0.25">
      <c r="A1716" t="str">
        <f>"1712"</f>
        <v>1712</v>
      </c>
      <c r="B1716" t="str">
        <f t="shared" si="97"/>
        <v>1</v>
      </c>
      <c r="C1716" t="str">
        <f t="shared" si="98"/>
        <v>76</v>
      </c>
      <c r="D1716" t="str">
        <f>"13"</f>
        <v>13</v>
      </c>
      <c r="E1716" t="str">
        <f>"1-76-13"</f>
        <v>1-76-13</v>
      </c>
      <c r="F1716" t="s">
        <v>83</v>
      </c>
      <c r="G1716" t="s">
        <v>90</v>
      </c>
      <c r="H1716" t="s">
        <v>94</v>
      </c>
      <c r="I1716">
        <v>1</v>
      </c>
      <c r="K1716">
        <v>0</v>
      </c>
      <c r="L1716">
        <v>0</v>
      </c>
      <c r="M1716">
        <v>1</v>
      </c>
      <c r="N1716">
        <v>1</v>
      </c>
      <c r="O1716">
        <v>1</v>
      </c>
      <c r="P1716">
        <v>1</v>
      </c>
      <c r="Q1716">
        <v>1</v>
      </c>
      <c r="R1716">
        <v>1</v>
      </c>
      <c r="S1716">
        <v>1</v>
      </c>
      <c r="U1716">
        <v>0</v>
      </c>
      <c r="V1716">
        <v>1</v>
      </c>
      <c r="W1716">
        <v>1</v>
      </c>
      <c r="X1716">
        <v>1</v>
      </c>
      <c r="Y1716">
        <v>1</v>
      </c>
      <c r="Z1716">
        <v>1</v>
      </c>
      <c r="AA1716">
        <v>1</v>
      </c>
      <c r="AB1716">
        <v>1</v>
      </c>
    </row>
    <row r="1717" spans="1:49" x14ac:dyDescent="0.25">
      <c r="A1717" t="str">
        <f>"1713"</f>
        <v>1713</v>
      </c>
      <c r="B1717" t="str">
        <f t="shared" si="97"/>
        <v>1</v>
      </c>
      <c r="C1717" t="str">
        <f t="shared" si="98"/>
        <v>76</v>
      </c>
      <c r="D1717" t="str">
        <f>"3"</f>
        <v>3</v>
      </c>
      <c r="E1717" t="str">
        <f>"1-76-3"</f>
        <v>1-76-3</v>
      </c>
      <c r="F1717" t="s">
        <v>83</v>
      </c>
      <c r="G1717" t="s">
        <v>84</v>
      </c>
      <c r="H1717" t="s">
        <v>92</v>
      </c>
      <c r="I1717">
        <v>1</v>
      </c>
      <c r="J1717">
        <v>1</v>
      </c>
      <c r="N1717">
        <v>1</v>
      </c>
      <c r="O1717">
        <v>1</v>
      </c>
      <c r="P1717">
        <v>1</v>
      </c>
      <c r="Q1717">
        <v>1</v>
      </c>
      <c r="R1717">
        <v>1</v>
      </c>
      <c r="S1717">
        <v>1</v>
      </c>
      <c r="T1717">
        <v>1</v>
      </c>
      <c r="W1717">
        <v>1</v>
      </c>
      <c r="X1717">
        <v>1</v>
      </c>
      <c r="Y1717">
        <v>1</v>
      </c>
      <c r="Z1717">
        <v>1</v>
      </c>
      <c r="AA1717">
        <v>1</v>
      </c>
      <c r="AB1717">
        <v>1</v>
      </c>
    </row>
    <row r="1718" spans="1:49" x14ac:dyDescent="0.25">
      <c r="A1718" t="str">
        <f>"1714"</f>
        <v>1714</v>
      </c>
      <c r="B1718" t="str">
        <f t="shared" si="97"/>
        <v>1</v>
      </c>
      <c r="C1718" t="str">
        <f t="shared" si="98"/>
        <v>76</v>
      </c>
      <c r="D1718" t="str">
        <f>"4"</f>
        <v>4</v>
      </c>
      <c r="E1718" t="str">
        <f>"1-76-4"</f>
        <v>1-76-4</v>
      </c>
      <c r="F1718" t="s">
        <v>83</v>
      </c>
      <c r="G1718" t="s">
        <v>84</v>
      </c>
      <c r="H1718" t="s">
        <v>85</v>
      </c>
      <c r="AC1718">
        <v>0</v>
      </c>
      <c r="AD1718">
        <v>1</v>
      </c>
      <c r="AE1718">
        <v>0</v>
      </c>
      <c r="AF1718">
        <v>0</v>
      </c>
      <c r="AG1718">
        <v>1</v>
      </c>
      <c r="AJ1718">
        <v>0</v>
      </c>
      <c r="AK1718">
        <v>1</v>
      </c>
      <c r="AL1718">
        <v>1</v>
      </c>
      <c r="AM1718">
        <v>0</v>
      </c>
      <c r="AN1718">
        <v>0</v>
      </c>
      <c r="AO1718">
        <v>1</v>
      </c>
      <c r="AP1718">
        <v>1</v>
      </c>
      <c r="AQ1718">
        <v>1</v>
      </c>
      <c r="AR1718">
        <v>1</v>
      </c>
      <c r="AS1718">
        <v>1</v>
      </c>
      <c r="AT1718">
        <v>0</v>
      </c>
      <c r="AV1718">
        <v>1</v>
      </c>
      <c r="AW1718">
        <v>1</v>
      </c>
    </row>
    <row r="1719" spans="1:49" x14ac:dyDescent="0.25">
      <c r="A1719" t="str">
        <f>"1715"</f>
        <v>1715</v>
      </c>
      <c r="B1719" t="str">
        <f t="shared" si="97"/>
        <v>1</v>
      </c>
      <c r="C1719" t="str">
        <f t="shared" ref="C1719:C1743" si="99">"77"</f>
        <v>77</v>
      </c>
      <c r="D1719" t="str">
        <f>"15"</f>
        <v>15</v>
      </c>
      <c r="E1719" t="str">
        <f>"1-77-15"</f>
        <v>1-77-15</v>
      </c>
      <c r="F1719" t="s">
        <v>83</v>
      </c>
      <c r="G1719" t="s">
        <v>84</v>
      </c>
      <c r="H1719" t="s">
        <v>85</v>
      </c>
      <c r="AC1719">
        <v>0</v>
      </c>
      <c r="AD1719">
        <v>1</v>
      </c>
      <c r="AE1719">
        <v>0</v>
      </c>
      <c r="AF1719">
        <v>0</v>
      </c>
      <c r="AG1719">
        <v>1</v>
      </c>
      <c r="AJ1719">
        <v>0</v>
      </c>
      <c r="AK1719">
        <v>1</v>
      </c>
      <c r="AL1719">
        <v>0</v>
      </c>
      <c r="AM1719">
        <v>0</v>
      </c>
      <c r="AN1719">
        <v>1</v>
      </c>
      <c r="AO1719">
        <v>1</v>
      </c>
      <c r="AP1719">
        <v>1</v>
      </c>
      <c r="AQ1719">
        <v>1</v>
      </c>
      <c r="AR1719">
        <v>1</v>
      </c>
      <c r="AS1719">
        <v>0</v>
      </c>
      <c r="AT1719">
        <v>1</v>
      </c>
      <c r="AV1719">
        <v>1</v>
      </c>
      <c r="AW1719">
        <v>0</v>
      </c>
    </row>
    <row r="1720" spans="1:49" x14ac:dyDescent="0.25">
      <c r="A1720" t="str">
        <f>"1716"</f>
        <v>1716</v>
      </c>
      <c r="B1720" t="str">
        <f t="shared" si="97"/>
        <v>1</v>
      </c>
      <c r="C1720" t="str">
        <f t="shared" si="99"/>
        <v>77</v>
      </c>
      <c r="D1720" t="str">
        <f>"14"</f>
        <v>14</v>
      </c>
      <c r="E1720" t="str">
        <f>"1-77-14"</f>
        <v>1-77-14</v>
      </c>
      <c r="F1720" t="s">
        <v>83</v>
      </c>
      <c r="G1720" t="s">
        <v>84</v>
      </c>
      <c r="H1720" t="s">
        <v>85</v>
      </c>
      <c r="AC1720">
        <v>0</v>
      </c>
      <c r="AD1720">
        <v>1</v>
      </c>
      <c r="AE1720">
        <v>0</v>
      </c>
      <c r="AF1720">
        <v>0</v>
      </c>
      <c r="AG1720">
        <v>0</v>
      </c>
      <c r="AJ1720">
        <v>1</v>
      </c>
      <c r="AK1720">
        <v>0</v>
      </c>
      <c r="AL1720">
        <v>0</v>
      </c>
      <c r="AM1720">
        <v>1</v>
      </c>
      <c r="AN1720">
        <v>0</v>
      </c>
      <c r="AO1720">
        <v>1</v>
      </c>
      <c r="AP1720">
        <v>1</v>
      </c>
      <c r="AQ1720">
        <v>1</v>
      </c>
      <c r="AR1720">
        <v>1</v>
      </c>
      <c r="AS1720">
        <v>1</v>
      </c>
      <c r="AT1720">
        <v>0</v>
      </c>
      <c r="AV1720">
        <v>1</v>
      </c>
      <c r="AW1720">
        <v>1</v>
      </c>
    </row>
    <row r="1721" spans="1:49" x14ac:dyDescent="0.25">
      <c r="A1721" t="str">
        <f>"1717"</f>
        <v>1717</v>
      </c>
      <c r="B1721" t="str">
        <f t="shared" si="97"/>
        <v>1</v>
      </c>
      <c r="C1721" t="str">
        <f t="shared" si="99"/>
        <v>77</v>
      </c>
      <c r="D1721" t="str">
        <f>"11"</f>
        <v>11</v>
      </c>
      <c r="E1721" t="str">
        <f>"1-77-11"</f>
        <v>1-77-11</v>
      </c>
      <c r="F1721" t="s">
        <v>83</v>
      </c>
      <c r="G1721" t="s">
        <v>84</v>
      </c>
      <c r="H1721" t="s">
        <v>92</v>
      </c>
      <c r="I1721">
        <v>1</v>
      </c>
      <c r="J1721">
        <v>1</v>
      </c>
      <c r="N1721">
        <v>1</v>
      </c>
      <c r="O1721">
        <v>1</v>
      </c>
      <c r="P1721">
        <v>1</v>
      </c>
      <c r="Q1721">
        <v>1</v>
      </c>
      <c r="R1721">
        <v>1</v>
      </c>
      <c r="S1721">
        <v>1</v>
      </c>
      <c r="T1721">
        <v>1</v>
      </c>
      <c r="W1721">
        <v>1</v>
      </c>
      <c r="X1721">
        <v>1</v>
      </c>
      <c r="Y1721">
        <v>1</v>
      </c>
      <c r="Z1721">
        <v>1</v>
      </c>
      <c r="AA1721">
        <v>1</v>
      </c>
      <c r="AB1721">
        <v>1</v>
      </c>
    </row>
    <row r="1722" spans="1:49" x14ac:dyDescent="0.25">
      <c r="A1722" t="str">
        <f>"1718"</f>
        <v>1718</v>
      </c>
      <c r="B1722" t="str">
        <f t="shared" si="97"/>
        <v>1</v>
      </c>
      <c r="C1722" t="str">
        <f t="shared" si="99"/>
        <v>77</v>
      </c>
      <c r="D1722" t="str">
        <f>"8"</f>
        <v>8</v>
      </c>
      <c r="E1722" t="str">
        <f>"1-77-8"</f>
        <v>1-77-8</v>
      </c>
      <c r="F1722" t="s">
        <v>83</v>
      </c>
      <c r="G1722" t="s">
        <v>84</v>
      </c>
      <c r="H1722" t="s">
        <v>92</v>
      </c>
      <c r="I1722">
        <v>1</v>
      </c>
      <c r="J1722">
        <v>1</v>
      </c>
      <c r="N1722">
        <v>1</v>
      </c>
      <c r="O1722">
        <v>1</v>
      </c>
      <c r="P1722">
        <v>1</v>
      </c>
      <c r="Q1722">
        <v>1</v>
      </c>
      <c r="R1722">
        <v>1</v>
      </c>
      <c r="S1722">
        <v>1</v>
      </c>
      <c r="T1722">
        <v>1</v>
      </c>
      <c r="W1722">
        <v>1</v>
      </c>
      <c r="X1722">
        <v>1</v>
      </c>
      <c r="Y1722">
        <v>1</v>
      </c>
      <c r="Z1722">
        <v>1</v>
      </c>
      <c r="AA1722">
        <v>1</v>
      </c>
      <c r="AB1722">
        <v>1</v>
      </c>
    </row>
    <row r="1723" spans="1:49" x14ac:dyDescent="0.25">
      <c r="A1723" t="str">
        <f>"1719"</f>
        <v>1719</v>
      </c>
      <c r="B1723" t="str">
        <f t="shared" si="97"/>
        <v>1</v>
      </c>
      <c r="C1723" t="str">
        <f t="shared" si="99"/>
        <v>77</v>
      </c>
      <c r="D1723" t="str">
        <f>"3"</f>
        <v>3</v>
      </c>
      <c r="E1723" t="str">
        <f>"1-77-3"</f>
        <v>1-77-3</v>
      </c>
      <c r="F1723" t="s">
        <v>83</v>
      </c>
      <c r="G1723" t="s">
        <v>84</v>
      </c>
      <c r="H1723" t="s">
        <v>85</v>
      </c>
      <c r="AC1723">
        <v>0</v>
      </c>
      <c r="AD1723">
        <v>1</v>
      </c>
      <c r="AE1723">
        <v>0</v>
      </c>
      <c r="AF1723">
        <v>0</v>
      </c>
      <c r="AG1723">
        <v>1</v>
      </c>
      <c r="AJ1723">
        <v>1</v>
      </c>
      <c r="AK1723">
        <v>0</v>
      </c>
      <c r="AL1723">
        <v>1</v>
      </c>
      <c r="AM1723">
        <v>0</v>
      </c>
      <c r="AN1723">
        <v>0</v>
      </c>
      <c r="AO1723">
        <v>1</v>
      </c>
      <c r="AP1723">
        <v>1</v>
      </c>
      <c r="AQ1723">
        <v>1</v>
      </c>
      <c r="AR1723">
        <v>1</v>
      </c>
      <c r="AS1723">
        <v>0</v>
      </c>
      <c r="AT1723">
        <v>1</v>
      </c>
      <c r="AV1723">
        <v>1</v>
      </c>
      <c r="AW1723">
        <v>0</v>
      </c>
    </row>
    <row r="1724" spans="1:49" x14ac:dyDescent="0.25">
      <c r="A1724" t="str">
        <f>"1720"</f>
        <v>1720</v>
      </c>
      <c r="B1724" t="str">
        <f t="shared" si="97"/>
        <v>1</v>
      </c>
      <c r="C1724" t="str">
        <f t="shared" si="99"/>
        <v>77</v>
      </c>
      <c r="D1724" t="str">
        <f>"25"</f>
        <v>25</v>
      </c>
      <c r="E1724" t="str">
        <f>"1-77-25"</f>
        <v>1-77-25</v>
      </c>
      <c r="F1724" t="s">
        <v>83</v>
      </c>
      <c r="G1724" t="s">
        <v>84</v>
      </c>
      <c r="H1724" t="s">
        <v>92</v>
      </c>
      <c r="I1724">
        <v>1</v>
      </c>
      <c r="J1724">
        <v>1</v>
      </c>
      <c r="N1724">
        <v>1</v>
      </c>
      <c r="O1724">
        <v>1</v>
      </c>
      <c r="P1724">
        <v>1</v>
      </c>
      <c r="Q1724">
        <v>1</v>
      </c>
      <c r="R1724">
        <v>1</v>
      </c>
      <c r="S1724">
        <v>1</v>
      </c>
      <c r="T1724">
        <v>1</v>
      </c>
      <c r="W1724">
        <v>1</v>
      </c>
      <c r="X1724">
        <v>1</v>
      </c>
      <c r="Y1724">
        <v>1</v>
      </c>
      <c r="Z1724">
        <v>1</v>
      </c>
      <c r="AA1724">
        <v>1</v>
      </c>
      <c r="AB1724">
        <v>1</v>
      </c>
    </row>
    <row r="1725" spans="1:49" x14ac:dyDescent="0.25">
      <c r="A1725" t="str">
        <f>"1721"</f>
        <v>1721</v>
      </c>
      <c r="B1725" t="str">
        <f t="shared" si="97"/>
        <v>1</v>
      </c>
      <c r="C1725" t="str">
        <f t="shared" si="99"/>
        <v>77</v>
      </c>
      <c r="D1725" t="str">
        <f>"24"</f>
        <v>24</v>
      </c>
      <c r="E1725" t="str">
        <f>"1-77-24"</f>
        <v>1-77-24</v>
      </c>
      <c r="F1725" t="s">
        <v>83</v>
      </c>
      <c r="G1725" t="s">
        <v>84</v>
      </c>
      <c r="H1725" t="s">
        <v>85</v>
      </c>
      <c r="AC1725">
        <v>0</v>
      </c>
      <c r="AD1725">
        <v>1</v>
      </c>
      <c r="AE1725">
        <v>0</v>
      </c>
      <c r="AF1725">
        <v>0</v>
      </c>
      <c r="AG1725">
        <v>0</v>
      </c>
      <c r="AJ1725">
        <v>0</v>
      </c>
      <c r="AK1725">
        <v>1</v>
      </c>
      <c r="AL1725">
        <v>0</v>
      </c>
      <c r="AM1725">
        <v>0</v>
      </c>
      <c r="AN1725">
        <v>1</v>
      </c>
      <c r="AO1725">
        <v>0</v>
      </c>
      <c r="AP1725">
        <v>0</v>
      </c>
      <c r="AQ1725">
        <v>0</v>
      </c>
      <c r="AR1725">
        <v>0</v>
      </c>
      <c r="AS1725">
        <v>0</v>
      </c>
      <c r="AT1725">
        <v>0</v>
      </c>
      <c r="AV1725">
        <v>0</v>
      </c>
      <c r="AW1725">
        <v>0</v>
      </c>
    </row>
    <row r="1726" spans="1:49" x14ac:dyDescent="0.25">
      <c r="A1726" t="str">
        <f>"1722"</f>
        <v>1722</v>
      </c>
      <c r="B1726" t="str">
        <f t="shared" si="97"/>
        <v>1</v>
      </c>
      <c r="C1726" t="str">
        <f t="shared" si="99"/>
        <v>77</v>
      </c>
      <c r="D1726" t="str">
        <f>"19"</f>
        <v>19</v>
      </c>
      <c r="E1726" t="str">
        <f>"1-77-19"</f>
        <v>1-77-19</v>
      </c>
      <c r="F1726" t="s">
        <v>83</v>
      </c>
      <c r="G1726" t="s">
        <v>88</v>
      </c>
      <c r="H1726" t="s">
        <v>89</v>
      </c>
      <c r="AC1726">
        <v>1</v>
      </c>
      <c r="AD1726">
        <v>0</v>
      </c>
      <c r="AE1726">
        <v>0</v>
      </c>
      <c r="AF1726">
        <v>0</v>
      </c>
      <c r="AH1726">
        <v>0</v>
      </c>
      <c r="AI1726">
        <v>1</v>
      </c>
      <c r="AJ1726">
        <v>0</v>
      </c>
      <c r="AK1726">
        <v>1</v>
      </c>
      <c r="AL1726">
        <v>1</v>
      </c>
      <c r="AM1726">
        <v>0</v>
      </c>
      <c r="AN1726">
        <v>0</v>
      </c>
      <c r="AO1726">
        <v>1</v>
      </c>
      <c r="AP1726">
        <v>1</v>
      </c>
      <c r="AQ1726">
        <v>1</v>
      </c>
      <c r="AR1726">
        <v>1</v>
      </c>
      <c r="AS1726">
        <v>1</v>
      </c>
      <c r="AT1726">
        <v>0</v>
      </c>
      <c r="AV1726">
        <v>1</v>
      </c>
      <c r="AW1726">
        <v>1</v>
      </c>
    </row>
    <row r="1727" spans="1:49" x14ac:dyDescent="0.25">
      <c r="A1727" t="str">
        <f>"1723"</f>
        <v>1723</v>
      </c>
      <c r="B1727" t="str">
        <f t="shared" si="97"/>
        <v>1</v>
      </c>
      <c r="C1727" t="str">
        <f t="shared" si="99"/>
        <v>77</v>
      </c>
      <c r="D1727" t="str">
        <f>"9"</f>
        <v>9</v>
      </c>
      <c r="E1727" t="str">
        <f>"1-77-9"</f>
        <v>1-77-9</v>
      </c>
      <c r="F1727" t="s">
        <v>83</v>
      </c>
      <c r="G1727" t="s">
        <v>84</v>
      </c>
      <c r="H1727" t="s">
        <v>92</v>
      </c>
      <c r="I1727">
        <v>1</v>
      </c>
      <c r="J1727">
        <v>1</v>
      </c>
      <c r="N1727">
        <v>1</v>
      </c>
      <c r="O1727">
        <v>1</v>
      </c>
      <c r="P1727">
        <v>1</v>
      </c>
      <c r="Q1727">
        <v>1</v>
      </c>
      <c r="R1727">
        <v>1</v>
      </c>
      <c r="S1727">
        <v>1</v>
      </c>
      <c r="T1727">
        <v>1</v>
      </c>
      <c r="W1727">
        <v>1</v>
      </c>
      <c r="X1727">
        <v>1</v>
      </c>
      <c r="Y1727">
        <v>1</v>
      </c>
      <c r="Z1727">
        <v>1</v>
      </c>
      <c r="AA1727">
        <v>1</v>
      </c>
      <c r="AB1727">
        <v>1</v>
      </c>
    </row>
    <row r="1728" spans="1:49" x14ac:dyDescent="0.25">
      <c r="A1728" t="str">
        <f>"1724"</f>
        <v>1724</v>
      </c>
      <c r="B1728" t="str">
        <f t="shared" si="97"/>
        <v>1</v>
      </c>
      <c r="C1728" t="str">
        <f t="shared" si="99"/>
        <v>77</v>
      </c>
      <c r="D1728" t="str">
        <f>"2"</f>
        <v>2</v>
      </c>
      <c r="E1728" t="str">
        <f>"1-77-2"</f>
        <v>1-77-2</v>
      </c>
      <c r="F1728" t="s">
        <v>83</v>
      </c>
      <c r="G1728" t="s">
        <v>84</v>
      </c>
      <c r="H1728" t="s">
        <v>85</v>
      </c>
      <c r="AC1728">
        <v>1</v>
      </c>
      <c r="AD1728">
        <v>0</v>
      </c>
      <c r="AE1728">
        <v>0</v>
      </c>
      <c r="AF1728">
        <v>0</v>
      </c>
      <c r="AG1728">
        <v>1</v>
      </c>
      <c r="AJ1728">
        <v>1</v>
      </c>
      <c r="AK1728">
        <v>0</v>
      </c>
      <c r="AL1728">
        <v>0</v>
      </c>
      <c r="AM1728">
        <v>0</v>
      </c>
      <c r="AN1728">
        <v>1</v>
      </c>
      <c r="AO1728">
        <v>1</v>
      </c>
      <c r="AP1728">
        <v>1</v>
      </c>
      <c r="AQ1728">
        <v>1</v>
      </c>
      <c r="AR1728">
        <v>1</v>
      </c>
      <c r="AS1728">
        <v>0</v>
      </c>
      <c r="AT1728">
        <v>1</v>
      </c>
      <c r="AV1728">
        <v>1</v>
      </c>
      <c r="AW1728">
        <v>1</v>
      </c>
    </row>
    <row r="1729" spans="1:49" x14ac:dyDescent="0.25">
      <c r="A1729" t="str">
        <f>"1725"</f>
        <v>1725</v>
      </c>
      <c r="B1729" t="str">
        <f t="shared" si="97"/>
        <v>1</v>
      </c>
      <c r="C1729" t="str">
        <f t="shared" si="99"/>
        <v>77</v>
      </c>
      <c r="D1729" t="str">
        <f>"23"</f>
        <v>23</v>
      </c>
      <c r="E1729" t="str">
        <f>"1-77-23"</f>
        <v>1-77-23</v>
      </c>
      <c r="F1729" t="s">
        <v>83</v>
      </c>
      <c r="G1729" t="s">
        <v>84</v>
      </c>
      <c r="H1729" t="s">
        <v>92</v>
      </c>
      <c r="I1729">
        <v>1</v>
      </c>
      <c r="J1729">
        <v>1</v>
      </c>
      <c r="N1729">
        <v>1</v>
      </c>
      <c r="O1729">
        <v>1</v>
      </c>
      <c r="P1729">
        <v>1</v>
      </c>
      <c r="Q1729">
        <v>1</v>
      </c>
      <c r="R1729">
        <v>1</v>
      </c>
      <c r="S1729">
        <v>1</v>
      </c>
      <c r="T1729">
        <v>1</v>
      </c>
      <c r="W1729">
        <v>1</v>
      </c>
      <c r="X1729">
        <v>1</v>
      </c>
      <c r="Y1729">
        <v>1</v>
      </c>
      <c r="Z1729">
        <v>1</v>
      </c>
      <c r="AA1729">
        <v>1</v>
      </c>
      <c r="AB1729">
        <v>1</v>
      </c>
    </row>
    <row r="1730" spans="1:49" x14ac:dyDescent="0.25">
      <c r="A1730" t="str">
        <f>"1726"</f>
        <v>1726</v>
      </c>
      <c r="B1730" t="str">
        <f t="shared" si="97"/>
        <v>1</v>
      </c>
      <c r="C1730" t="str">
        <f t="shared" si="99"/>
        <v>77</v>
      </c>
      <c r="D1730" t="str">
        <f>"22"</f>
        <v>22</v>
      </c>
      <c r="E1730" t="str">
        <f>"1-77-22"</f>
        <v>1-77-22</v>
      </c>
      <c r="F1730" t="s">
        <v>83</v>
      </c>
      <c r="G1730" t="s">
        <v>84</v>
      </c>
      <c r="H1730" t="s">
        <v>85</v>
      </c>
      <c r="AC1730">
        <v>1</v>
      </c>
      <c r="AD1730">
        <v>0</v>
      </c>
      <c r="AE1730">
        <v>0</v>
      </c>
      <c r="AF1730">
        <v>0</v>
      </c>
      <c r="AG1730">
        <v>1</v>
      </c>
      <c r="AJ1730">
        <v>0</v>
      </c>
      <c r="AK1730">
        <v>1</v>
      </c>
      <c r="AL1730">
        <v>1</v>
      </c>
      <c r="AM1730">
        <v>0</v>
      </c>
      <c r="AN1730">
        <v>0</v>
      </c>
      <c r="AO1730">
        <v>1</v>
      </c>
      <c r="AP1730">
        <v>1</v>
      </c>
      <c r="AQ1730">
        <v>1</v>
      </c>
      <c r="AR1730">
        <v>1</v>
      </c>
      <c r="AS1730">
        <v>0</v>
      </c>
      <c r="AT1730">
        <v>1</v>
      </c>
      <c r="AV1730">
        <v>1</v>
      </c>
      <c r="AW1730">
        <v>1</v>
      </c>
    </row>
    <row r="1731" spans="1:49" x14ac:dyDescent="0.25">
      <c r="A1731" t="str">
        <f>"1727"</f>
        <v>1727</v>
      </c>
      <c r="B1731" t="str">
        <f t="shared" si="97"/>
        <v>1</v>
      </c>
      <c r="C1731" t="str">
        <f t="shared" si="99"/>
        <v>77</v>
      </c>
      <c r="D1731" t="str">
        <f>"18"</f>
        <v>18</v>
      </c>
      <c r="E1731" t="str">
        <f>"1-77-18"</f>
        <v>1-77-18</v>
      </c>
      <c r="F1731" t="s">
        <v>83</v>
      </c>
      <c r="G1731" t="s">
        <v>84</v>
      </c>
      <c r="H1731" t="s">
        <v>92</v>
      </c>
      <c r="I1731">
        <v>1</v>
      </c>
      <c r="J1731">
        <v>1</v>
      </c>
      <c r="N1731">
        <v>1</v>
      </c>
      <c r="O1731">
        <v>1</v>
      </c>
      <c r="P1731">
        <v>1</v>
      </c>
      <c r="Q1731">
        <v>1</v>
      </c>
      <c r="R1731">
        <v>1</v>
      </c>
      <c r="S1731">
        <v>1</v>
      </c>
      <c r="T1731">
        <v>1</v>
      </c>
      <c r="W1731">
        <v>1</v>
      </c>
      <c r="X1731">
        <v>1</v>
      </c>
      <c r="Y1731">
        <v>1</v>
      </c>
      <c r="Z1731">
        <v>1</v>
      </c>
      <c r="AA1731">
        <v>1</v>
      </c>
      <c r="AB1731">
        <v>1</v>
      </c>
    </row>
    <row r="1732" spans="1:49" x14ac:dyDescent="0.25">
      <c r="A1732" t="str">
        <f>"1728"</f>
        <v>1728</v>
      </c>
      <c r="B1732" t="str">
        <f t="shared" si="97"/>
        <v>1</v>
      </c>
      <c r="C1732" t="str">
        <f t="shared" si="99"/>
        <v>77</v>
      </c>
      <c r="D1732" t="str">
        <f>"10"</f>
        <v>10</v>
      </c>
      <c r="E1732" t="str">
        <f>"1-77-10"</f>
        <v>1-77-10</v>
      </c>
      <c r="F1732" t="s">
        <v>83</v>
      </c>
      <c r="G1732" t="s">
        <v>84</v>
      </c>
      <c r="H1732" t="s">
        <v>92</v>
      </c>
      <c r="I1732">
        <v>1</v>
      </c>
      <c r="J1732">
        <v>0</v>
      </c>
      <c r="N1732">
        <v>1</v>
      </c>
      <c r="O1732">
        <v>1</v>
      </c>
      <c r="P1732">
        <v>1</v>
      </c>
      <c r="Q1732">
        <v>1</v>
      </c>
      <c r="R1732">
        <v>1</v>
      </c>
      <c r="S1732">
        <v>1</v>
      </c>
      <c r="T1732">
        <v>1</v>
      </c>
      <c r="W1732">
        <v>1</v>
      </c>
      <c r="X1732">
        <v>1</v>
      </c>
      <c r="Y1732">
        <v>1</v>
      </c>
      <c r="Z1732">
        <v>1</v>
      </c>
      <c r="AA1732">
        <v>1</v>
      </c>
      <c r="AB1732">
        <v>1</v>
      </c>
    </row>
    <row r="1733" spans="1:49" x14ac:dyDescent="0.25">
      <c r="A1733" t="str">
        <f>"1729"</f>
        <v>1729</v>
      </c>
      <c r="B1733" t="str">
        <f t="shared" si="97"/>
        <v>1</v>
      </c>
      <c r="C1733" t="str">
        <f t="shared" si="99"/>
        <v>77</v>
      </c>
      <c r="D1733" t="str">
        <f>"4"</f>
        <v>4</v>
      </c>
      <c r="E1733" t="str">
        <f>"1-77-4"</f>
        <v>1-77-4</v>
      </c>
      <c r="F1733" t="s">
        <v>83</v>
      </c>
      <c r="G1733" t="s">
        <v>84</v>
      </c>
      <c r="H1733" t="s">
        <v>85</v>
      </c>
      <c r="AC1733">
        <v>1</v>
      </c>
      <c r="AD1733">
        <v>0</v>
      </c>
      <c r="AE1733">
        <v>0</v>
      </c>
      <c r="AF1733">
        <v>0</v>
      </c>
      <c r="AG1733">
        <v>1</v>
      </c>
      <c r="AJ1733">
        <v>0</v>
      </c>
      <c r="AK1733">
        <v>1</v>
      </c>
      <c r="AL1733">
        <v>0</v>
      </c>
      <c r="AM1733">
        <v>1</v>
      </c>
      <c r="AN1733">
        <v>0</v>
      </c>
      <c r="AO1733">
        <v>1</v>
      </c>
      <c r="AP1733">
        <v>1</v>
      </c>
      <c r="AQ1733">
        <v>1</v>
      </c>
      <c r="AR1733">
        <v>1</v>
      </c>
      <c r="AS1733">
        <v>1</v>
      </c>
      <c r="AT1733">
        <v>0</v>
      </c>
      <c r="AV1733">
        <v>1</v>
      </c>
      <c r="AW1733">
        <v>1</v>
      </c>
    </row>
    <row r="1734" spans="1:49" x14ac:dyDescent="0.25">
      <c r="A1734" t="str">
        <f>"1730"</f>
        <v>1730</v>
      </c>
      <c r="B1734" t="str">
        <f t="shared" si="97"/>
        <v>1</v>
      </c>
      <c r="C1734" t="str">
        <f t="shared" si="99"/>
        <v>77</v>
      </c>
      <c r="D1734" t="str">
        <f>"20"</f>
        <v>20</v>
      </c>
      <c r="E1734" t="str">
        <f>"1-77-20"</f>
        <v>1-77-20</v>
      </c>
      <c r="F1734" t="s">
        <v>83</v>
      </c>
      <c r="G1734" t="s">
        <v>88</v>
      </c>
      <c r="H1734" t="s">
        <v>89</v>
      </c>
      <c r="AC1734">
        <v>0</v>
      </c>
      <c r="AD1734">
        <v>1</v>
      </c>
      <c r="AE1734">
        <v>0</v>
      </c>
      <c r="AF1734">
        <v>0</v>
      </c>
      <c r="AH1734">
        <v>0</v>
      </c>
      <c r="AI1734">
        <v>1</v>
      </c>
      <c r="AJ1734">
        <v>0</v>
      </c>
      <c r="AK1734">
        <v>1</v>
      </c>
      <c r="AL1734">
        <v>0</v>
      </c>
      <c r="AM1734">
        <v>0</v>
      </c>
      <c r="AN1734">
        <v>1</v>
      </c>
      <c r="AO1734">
        <v>0</v>
      </c>
      <c r="AP1734">
        <v>0</v>
      </c>
      <c r="AQ1734">
        <v>0</v>
      </c>
      <c r="AR1734">
        <v>0</v>
      </c>
      <c r="AS1734">
        <v>1</v>
      </c>
      <c r="AT1734">
        <v>0</v>
      </c>
      <c r="AV1734">
        <v>0</v>
      </c>
      <c r="AW1734">
        <v>0</v>
      </c>
    </row>
    <row r="1735" spans="1:49" x14ac:dyDescent="0.25">
      <c r="A1735" t="str">
        <f>"1731"</f>
        <v>1731</v>
      </c>
      <c r="B1735" t="str">
        <f t="shared" si="97"/>
        <v>1</v>
      </c>
      <c r="C1735" t="str">
        <f t="shared" si="99"/>
        <v>77</v>
      </c>
      <c r="D1735" t="str">
        <f>"12"</f>
        <v>12</v>
      </c>
      <c r="E1735" t="str">
        <f>"1-77-12"</f>
        <v>1-77-12</v>
      </c>
      <c r="F1735" t="s">
        <v>83</v>
      </c>
      <c r="G1735" t="s">
        <v>84</v>
      </c>
      <c r="H1735" t="s">
        <v>85</v>
      </c>
      <c r="AC1735">
        <v>1</v>
      </c>
      <c r="AD1735">
        <v>0</v>
      </c>
      <c r="AE1735">
        <v>0</v>
      </c>
      <c r="AF1735">
        <v>0</v>
      </c>
      <c r="AG1735">
        <v>1</v>
      </c>
      <c r="AJ1735">
        <v>1</v>
      </c>
      <c r="AK1735">
        <v>0</v>
      </c>
      <c r="AL1735">
        <v>0</v>
      </c>
      <c r="AM1735">
        <v>0</v>
      </c>
      <c r="AN1735">
        <v>1</v>
      </c>
      <c r="AO1735">
        <v>1</v>
      </c>
      <c r="AP1735">
        <v>1</v>
      </c>
      <c r="AQ1735">
        <v>1</v>
      </c>
      <c r="AR1735">
        <v>1</v>
      </c>
      <c r="AS1735">
        <v>0</v>
      </c>
      <c r="AT1735">
        <v>1</v>
      </c>
      <c r="AV1735">
        <v>1</v>
      </c>
      <c r="AW1735">
        <v>1</v>
      </c>
    </row>
    <row r="1736" spans="1:49" x14ac:dyDescent="0.25">
      <c r="A1736" t="str">
        <f>"1732"</f>
        <v>1732</v>
      </c>
      <c r="B1736" t="str">
        <f t="shared" si="97"/>
        <v>1</v>
      </c>
      <c r="C1736" t="str">
        <f t="shared" si="99"/>
        <v>77</v>
      </c>
      <c r="D1736" t="str">
        <f>"1"</f>
        <v>1</v>
      </c>
      <c r="E1736" t="str">
        <f>"1-77-1"</f>
        <v>1-77-1</v>
      </c>
      <c r="F1736" t="s">
        <v>83</v>
      </c>
      <c r="G1736" t="s">
        <v>84</v>
      </c>
      <c r="H1736" t="s">
        <v>92</v>
      </c>
      <c r="I1736">
        <v>1</v>
      </c>
      <c r="J1736">
        <v>1</v>
      </c>
      <c r="N1736">
        <v>1</v>
      </c>
      <c r="O1736">
        <v>1</v>
      </c>
      <c r="P1736">
        <v>1</v>
      </c>
      <c r="Q1736">
        <v>1</v>
      </c>
      <c r="R1736">
        <v>1</v>
      </c>
      <c r="S1736">
        <v>1</v>
      </c>
      <c r="T1736">
        <v>1</v>
      </c>
      <c r="W1736">
        <v>1</v>
      </c>
      <c r="X1736">
        <v>1</v>
      </c>
      <c r="Y1736">
        <v>1</v>
      </c>
      <c r="Z1736">
        <v>1</v>
      </c>
      <c r="AA1736">
        <v>1</v>
      </c>
      <c r="AB1736">
        <v>1</v>
      </c>
    </row>
    <row r="1737" spans="1:49" x14ac:dyDescent="0.25">
      <c r="A1737" t="str">
        <f>"1733"</f>
        <v>1733</v>
      </c>
      <c r="B1737" t="str">
        <f t="shared" si="97"/>
        <v>1</v>
      </c>
      <c r="C1737" t="str">
        <f t="shared" si="99"/>
        <v>77</v>
      </c>
      <c r="D1737" t="str">
        <f>"21"</f>
        <v>21</v>
      </c>
      <c r="E1737" t="str">
        <f>"1-77-21"</f>
        <v>1-77-21</v>
      </c>
      <c r="F1737" t="s">
        <v>83</v>
      </c>
      <c r="G1737" t="s">
        <v>84</v>
      </c>
      <c r="H1737" t="s">
        <v>85</v>
      </c>
      <c r="AC1737">
        <v>0</v>
      </c>
      <c r="AD1737">
        <v>1</v>
      </c>
      <c r="AE1737">
        <v>0</v>
      </c>
      <c r="AF1737">
        <v>0</v>
      </c>
      <c r="AG1737">
        <v>0</v>
      </c>
      <c r="AJ1737">
        <v>0</v>
      </c>
      <c r="AK1737">
        <v>1</v>
      </c>
      <c r="AL1737">
        <v>1</v>
      </c>
      <c r="AM1737">
        <v>0</v>
      </c>
      <c r="AN1737">
        <v>0</v>
      </c>
      <c r="AO1737">
        <v>0</v>
      </c>
      <c r="AP1737">
        <v>0</v>
      </c>
      <c r="AQ1737">
        <v>0</v>
      </c>
      <c r="AR1737">
        <v>1</v>
      </c>
      <c r="AS1737">
        <v>0</v>
      </c>
      <c r="AT1737">
        <v>1</v>
      </c>
      <c r="AV1737">
        <v>1</v>
      </c>
      <c r="AW1737">
        <v>1</v>
      </c>
    </row>
    <row r="1738" spans="1:49" x14ac:dyDescent="0.25">
      <c r="A1738" t="str">
        <f>"1734"</f>
        <v>1734</v>
      </c>
      <c r="B1738" t="str">
        <f t="shared" si="97"/>
        <v>1</v>
      </c>
      <c r="C1738" t="str">
        <f t="shared" si="99"/>
        <v>77</v>
      </c>
      <c r="D1738" t="str">
        <f>"13"</f>
        <v>13</v>
      </c>
      <c r="E1738" t="str">
        <f>"1-77-13"</f>
        <v>1-77-13</v>
      </c>
      <c r="F1738" t="s">
        <v>83</v>
      </c>
      <c r="G1738" t="s">
        <v>84</v>
      </c>
      <c r="H1738" t="s">
        <v>85</v>
      </c>
      <c r="AC1738">
        <v>0</v>
      </c>
      <c r="AD1738">
        <v>1</v>
      </c>
      <c r="AE1738">
        <v>0</v>
      </c>
      <c r="AF1738">
        <v>0</v>
      </c>
      <c r="AG1738">
        <v>1</v>
      </c>
      <c r="AJ1738">
        <v>0</v>
      </c>
      <c r="AK1738">
        <v>1</v>
      </c>
      <c r="AL1738">
        <v>0</v>
      </c>
      <c r="AM1738">
        <v>0</v>
      </c>
      <c r="AN1738">
        <v>1</v>
      </c>
      <c r="AO1738">
        <v>1</v>
      </c>
      <c r="AP1738">
        <v>1</v>
      </c>
      <c r="AQ1738">
        <v>1</v>
      </c>
      <c r="AR1738">
        <v>1</v>
      </c>
      <c r="AS1738">
        <v>0</v>
      </c>
      <c r="AT1738">
        <v>1</v>
      </c>
      <c r="AV1738">
        <v>1</v>
      </c>
      <c r="AW1738">
        <v>0</v>
      </c>
    </row>
    <row r="1739" spans="1:49" x14ac:dyDescent="0.25">
      <c r="A1739" t="str">
        <f>"1735"</f>
        <v>1735</v>
      </c>
      <c r="B1739" t="str">
        <f t="shared" si="97"/>
        <v>1</v>
      </c>
      <c r="C1739" t="str">
        <f t="shared" si="99"/>
        <v>77</v>
      </c>
      <c r="D1739" t="str">
        <f>"5"</f>
        <v>5</v>
      </c>
      <c r="E1739" t="str">
        <f>"1-77-5"</f>
        <v>1-77-5</v>
      </c>
      <c r="F1739" t="s">
        <v>83</v>
      </c>
      <c r="G1739" t="s">
        <v>84</v>
      </c>
      <c r="H1739" t="s">
        <v>85</v>
      </c>
      <c r="AC1739">
        <v>1</v>
      </c>
      <c r="AD1739">
        <v>0</v>
      </c>
      <c r="AE1739">
        <v>0</v>
      </c>
      <c r="AF1739">
        <v>0</v>
      </c>
      <c r="AG1739">
        <v>0</v>
      </c>
      <c r="AJ1739">
        <v>0</v>
      </c>
      <c r="AK1739">
        <v>1</v>
      </c>
      <c r="AL1739">
        <v>0</v>
      </c>
      <c r="AM1739">
        <v>1</v>
      </c>
      <c r="AN1739">
        <v>0</v>
      </c>
      <c r="AO1739">
        <v>0</v>
      </c>
      <c r="AP1739">
        <v>0</v>
      </c>
      <c r="AQ1739">
        <v>0</v>
      </c>
      <c r="AR1739">
        <v>1</v>
      </c>
      <c r="AS1739">
        <v>0</v>
      </c>
      <c r="AT1739">
        <v>1</v>
      </c>
      <c r="AV1739">
        <v>0</v>
      </c>
      <c r="AW1739">
        <v>0</v>
      </c>
    </row>
    <row r="1740" spans="1:49" x14ac:dyDescent="0.25">
      <c r="A1740" t="str">
        <f>"1736"</f>
        <v>1736</v>
      </c>
      <c r="B1740" t="str">
        <f t="shared" si="97"/>
        <v>1</v>
      </c>
      <c r="C1740" t="str">
        <f t="shared" si="99"/>
        <v>77</v>
      </c>
      <c r="D1740" t="str">
        <f>"16"</f>
        <v>16</v>
      </c>
      <c r="E1740" t="str">
        <f>"1-77-16"</f>
        <v>1-77-16</v>
      </c>
      <c r="F1740" t="s">
        <v>83</v>
      </c>
      <c r="G1740" t="s">
        <v>84</v>
      </c>
      <c r="H1740" t="s">
        <v>85</v>
      </c>
      <c r="AC1740">
        <v>0</v>
      </c>
      <c r="AD1740">
        <v>1</v>
      </c>
      <c r="AE1740">
        <v>0</v>
      </c>
      <c r="AF1740">
        <v>0</v>
      </c>
      <c r="AG1740">
        <v>0</v>
      </c>
      <c r="AJ1740">
        <v>0</v>
      </c>
      <c r="AK1740">
        <v>1</v>
      </c>
      <c r="AL1740">
        <v>1</v>
      </c>
      <c r="AM1740">
        <v>0</v>
      </c>
      <c r="AN1740">
        <v>0</v>
      </c>
      <c r="AO1740">
        <v>0</v>
      </c>
      <c r="AP1740">
        <v>0</v>
      </c>
      <c r="AQ1740">
        <v>0</v>
      </c>
      <c r="AR1740">
        <v>1</v>
      </c>
      <c r="AS1740">
        <v>0</v>
      </c>
      <c r="AT1740">
        <v>1</v>
      </c>
      <c r="AV1740">
        <v>0</v>
      </c>
      <c r="AW1740">
        <v>1</v>
      </c>
    </row>
    <row r="1741" spans="1:49" x14ac:dyDescent="0.25">
      <c r="A1741" t="str">
        <f>"1737"</f>
        <v>1737</v>
      </c>
      <c r="B1741" t="str">
        <f t="shared" si="97"/>
        <v>1</v>
      </c>
      <c r="C1741" t="str">
        <f t="shared" si="99"/>
        <v>77</v>
      </c>
      <c r="D1741" t="str">
        <f>"7"</f>
        <v>7</v>
      </c>
      <c r="E1741" t="str">
        <f>"1-77-7"</f>
        <v>1-77-7</v>
      </c>
      <c r="F1741" t="s">
        <v>83</v>
      </c>
      <c r="G1741" t="s">
        <v>84</v>
      </c>
      <c r="H1741" t="s">
        <v>92</v>
      </c>
      <c r="I1741">
        <v>1</v>
      </c>
      <c r="J1741">
        <v>1</v>
      </c>
      <c r="N1741">
        <v>1</v>
      </c>
      <c r="O1741">
        <v>1</v>
      </c>
      <c r="P1741">
        <v>1</v>
      </c>
      <c r="Q1741">
        <v>1</v>
      </c>
      <c r="R1741">
        <v>1</v>
      </c>
      <c r="S1741">
        <v>1</v>
      </c>
      <c r="T1741">
        <v>1</v>
      </c>
      <c r="W1741">
        <v>1</v>
      </c>
      <c r="X1741">
        <v>1</v>
      </c>
      <c r="Y1741">
        <v>1</v>
      </c>
      <c r="Z1741">
        <v>1</v>
      </c>
      <c r="AA1741">
        <v>1</v>
      </c>
      <c r="AB1741">
        <v>1</v>
      </c>
    </row>
    <row r="1742" spans="1:49" x14ac:dyDescent="0.25">
      <c r="A1742" t="str">
        <f>"1738"</f>
        <v>1738</v>
      </c>
      <c r="B1742" t="str">
        <f t="shared" si="97"/>
        <v>1</v>
      </c>
      <c r="C1742" t="str">
        <f t="shared" si="99"/>
        <v>77</v>
      </c>
      <c r="D1742" t="str">
        <f>"17"</f>
        <v>17</v>
      </c>
      <c r="E1742" t="str">
        <f>"1-77-17"</f>
        <v>1-77-17</v>
      </c>
      <c r="F1742" t="s">
        <v>83</v>
      </c>
      <c r="G1742" t="s">
        <v>84</v>
      </c>
      <c r="H1742" t="s">
        <v>92</v>
      </c>
      <c r="I1742">
        <v>1</v>
      </c>
      <c r="J1742">
        <v>1</v>
      </c>
      <c r="N1742">
        <v>1</v>
      </c>
      <c r="O1742">
        <v>1</v>
      </c>
      <c r="P1742">
        <v>1</v>
      </c>
      <c r="Q1742">
        <v>1</v>
      </c>
      <c r="R1742">
        <v>1</v>
      </c>
      <c r="S1742">
        <v>1</v>
      </c>
      <c r="T1742">
        <v>1</v>
      </c>
      <c r="W1742">
        <v>1</v>
      </c>
      <c r="X1742">
        <v>1</v>
      </c>
      <c r="Y1742">
        <v>1</v>
      </c>
      <c r="Z1742">
        <v>1</v>
      </c>
      <c r="AA1742">
        <v>1</v>
      </c>
      <c r="AB1742">
        <v>1</v>
      </c>
    </row>
    <row r="1743" spans="1:49" x14ac:dyDescent="0.25">
      <c r="A1743" t="str">
        <f>"1739"</f>
        <v>1739</v>
      </c>
      <c r="B1743" t="str">
        <f t="shared" si="97"/>
        <v>1</v>
      </c>
      <c r="C1743" t="str">
        <f t="shared" si="99"/>
        <v>77</v>
      </c>
      <c r="D1743" t="str">
        <f>"6"</f>
        <v>6</v>
      </c>
      <c r="E1743" t="str">
        <f>"1-77-6"</f>
        <v>1-77-6</v>
      </c>
      <c r="F1743" t="s">
        <v>83</v>
      </c>
      <c r="G1743" t="s">
        <v>84</v>
      </c>
      <c r="H1743" t="s">
        <v>85</v>
      </c>
      <c r="AC1743">
        <v>0</v>
      </c>
      <c r="AD1743">
        <v>1</v>
      </c>
      <c r="AE1743">
        <v>0</v>
      </c>
      <c r="AF1743">
        <v>0</v>
      </c>
      <c r="AG1743">
        <v>0</v>
      </c>
      <c r="AJ1743">
        <v>0</v>
      </c>
      <c r="AK1743">
        <v>1</v>
      </c>
      <c r="AL1743">
        <v>0</v>
      </c>
      <c r="AM1743">
        <v>0</v>
      </c>
      <c r="AN1743">
        <v>1</v>
      </c>
      <c r="AO1743">
        <v>0</v>
      </c>
      <c r="AP1743">
        <v>0</v>
      </c>
      <c r="AQ1743">
        <v>0</v>
      </c>
      <c r="AR1743">
        <v>0</v>
      </c>
      <c r="AS1743">
        <v>0</v>
      </c>
      <c r="AT1743">
        <v>1</v>
      </c>
      <c r="AV1743">
        <v>0</v>
      </c>
      <c r="AW1743">
        <v>0</v>
      </c>
    </row>
    <row r="1744" spans="1:49" x14ac:dyDescent="0.25">
      <c r="A1744" t="str">
        <f>"1740"</f>
        <v>1740</v>
      </c>
      <c r="B1744" t="str">
        <f t="shared" si="97"/>
        <v>1</v>
      </c>
      <c r="C1744" t="str">
        <f t="shared" ref="C1744:C1768" si="100">"78"</f>
        <v>78</v>
      </c>
      <c r="D1744" t="str">
        <f>"23"</f>
        <v>23</v>
      </c>
      <c r="E1744" t="str">
        <f>"1-78-23"</f>
        <v>1-78-23</v>
      </c>
      <c r="F1744" t="s">
        <v>83</v>
      </c>
      <c r="G1744" t="s">
        <v>84</v>
      </c>
      <c r="H1744" t="s">
        <v>92</v>
      </c>
      <c r="I1744">
        <v>1</v>
      </c>
      <c r="J1744">
        <v>1</v>
      </c>
      <c r="N1744">
        <v>1</v>
      </c>
      <c r="O1744">
        <v>1</v>
      </c>
      <c r="P1744">
        <v>1</v>
      </c>
      <c r="Q1744">
        <v>1</v>
      </c>
      <c r="R1744">
        <v>1</v>
      </c>
      <c r="S1744">
        <v>1</v>
      </c>
      <c r="T1744">
        <v>1</v>
      </c>
      <c r="W1744">
        <v>1</v>
      </c>
      <c r="X1744">
        <v>1</v>
      </c>
      <c r="Y1744">
        <v>1</v>
      </c>
      <c r="Z1744">
        <v>1</v>
      </c>
      <c r="AA1744">
        <v>1</v>
      </c>
      <c r="AB1744">
        <v>1</v>
      </c>
    </row>
    <row r="1745" spans="1:28" x14ac:dyDescent="0.25">
      <c r="A1745" t="str">
        <f>"1741"</f>
        <v>1741</v>
      </c>
      <c r="B1745" t="str">
        <f t="shared" si="97"/>
        <v>1</v>
      </c>
      <c r="C1745" t="str">
        <f t="shared" si="100"/>
        <v>78</v>
      </c>
      <c r="D1745" t="str">
        <f>"22"</f>
        <v>22</v>
      </c>
      <c r="E1745" t="str">
        <f>"1-78-22"</f>
        <v>1-78-22</v>
      </c>
      <c r="F1745" t="s">
        <v>83</v>
      </c>
      <c r="G1745" t="s">
        <v>84</v>
      </c>
      <c r="H1745" t="s">
        <v>92</v>
      </c>
      <c r="I1745">
        <v>1</v>
      </c>
      <c r="J1745">
        <v>1</v>
      </c>
      <c r="N1745">
        <v>1</v>
      </c>
      <c r="O1745">
        <v>1</v>
      </c>
      <c r="P1745">
        <v>1</v>
      </c>
      <c r="Q1745">
        <v>1</v>
      </c>
      <c r="R1745">
        <v>1</v>
      </c>
      <c r="S1745">
        <v>1</v>
      </c>
      <c r="T1745">
        <v>1</v>
      </c>
      <c r="W1745">
        <v>1</v>
      </c>
      <c r="X1745">
        <v>1</v>
      </c>
      <c r="Y1745">
        <v>1</v>
      </c>
      <c r="Z1745">
        <v>1</v>
      </c>
      <c r="AA1745">
        <v>1</v>
      </c>
      <c r="AB1745">
        <v>1</v>
      </c>
    </row>
    <row r="1746" spans="1:28" x14ac:dyDescent="0.25">
      <c r="A1746" t="str">
        <f>"1742"</f>
        <v>1742</v>
      </c>
      <c r="B1746" t="str">
        <f t="shared" si="97"/>
        <v>1</v>
      </c>
      <c r="C1746" t="str">
        <f t="shared" si="100"/>
        <v>78</v>
      </c>
      <c r="D1746" t="str">
        <f>"16"</f>
        <v>16</v>
      </c>
      <c r="E1746" t="str">
        <f>"1-78-16"</f>
        <v>1-78-16</v>
      </c>
      <c r="F1746" t="s">
        <v>83</v>
      </c>
      <c r="G1746" t="s">
        <v>84</v>
      </c>
      <c r="H1746" t="s">
        <v>92</v>
      </c>
      <c r="I1746">
        <v>1</v>
      </c>
      <c r="J1746">
        <v>1</v>
      </c>
      <c r="N1746">
        <v>1</v>
      </c>
      <c r="O1746">
        <v>1</v>
      </c>
      <c r="P1746">
        <v>1</v>
      </c>
      <c r="Q1746">
        <v>1</v>
      </c>
      <c r="R1746">
        <v>1</v>
      </c>
      <c r="S1746">
        <v>1</v>
      </c>
      <c r="T1746">
        <v>1</v>
      </c>
      <c r="W1746">
        <v>1</v>
      </c>
      <c r="X1746">
        <v>1</v>
      </c>
      <c r="Y1746">
        <v>1</v>
      </c>
      <c r="Z1746">
        <v>1</v>
      </c>
      <c r="AA1746">
        <v>1</v>
      </c>
      <c r="AB1746">
        <v>1</v>
      </c>
    </row>
    <row r="1747" spans="1:28" x14ac:dyDescent="0.25">
      <c r="A1747" t="str">
        <f>"1743"</f>
        <v>1743</v>
      </c>
      <c r="B1747" t="str">
        <f t="shared" si="97"/>
        <v>1</v>
      </c>
      <c r="C1747" t="str">
        <f t="shared" si="100"/>
        <v>78</v>
      </c>
      <c r="D1747" t="str">
        <f>"8"</f>
        <v>8</v>
      </c>
      <c r="E1747" t="str">
        <f>"1-78-8"</f>
        <v>1-78-8</v>
      </c>
      <c r="F1747" t="s">
        <v>83</v>
      </c>
      <c r="G1747" t="s">
        <v>84</v>
      </c>
      <c r="H1747" t="s">
        <v>92</v>
      </c>
      <c r="I1747">
        <v>1</v>
      </c>
      <c r="J1747">
        <v>1</v>
      </c>
      <c r="N1747">
        <v>1</v>
      </c>
      <c r="O1747">
        <v>1</v>
      </c>
      <c r="P1747">
        <v>1</v>
      </c>
      <c r="Q1747">
        <v>1</v>
      </c>
      <c r="R1747">
        <v>1</v>
      </c>
      <c r="S1747">
        <v>1</v>
      </c>
      <c r="T1747">
        <v>1</v>
      </c>
      <c r="W1747">
        <v>1</v>
      </c>
      <c r="X1747">
        <v>1</v>
      </c>
      <c r="Y1747">
        <v>1</v>
      </c>
      <c r="Z1747">
        <v>1</v>
      </c>
      <c r="AA1747">
        <v>1</v>
      </c>
      <c r="AB1747">
        <v>1</v>
      </c>
    </row>
    <row r="1748" spans="1:28" x14ac:dyDescent="0.25">
      <c r="A1748" t="str">
        <f>"1744"</f>
        <v>1744</v>
      </c>
      <c r="B1748" t="str">
        <f t="shared" si="97"/>
        <v>1</v>
      </c>
      <c r="C1748" t="str">
        <f t="shared" si="100"/>
        <v>78</v>
      </c>
      <c r="D1748" t="str">
        <f>"5"</f>
        <v>5</v>
      </c>
      <c r="E1748" t="str">
        <f>"1-78-5"</f>
        <v>1-78-5</v>
      </c>
      <c r="F1748" t="s">
        <v>83</v>
      </c>
      <c r="G1748" t="s">
        <v>84</v>
      </c>
      <c r="H1748" t="s">
        <v>92</v>
      </c>
      <c r="I1748">
        <v>1</v>
      </c>
      <c r="J1748">
        <v>1</v>
      </c>
      <c r="N1748">
        <v>1</v>
      </c>
      <c r="O1748">
        <v>1</v>
      </c>
      <c r="P1748">
        <v>1</v>
      </c>
      <c r="Q1748">
        <v>1</v>
      </c>
      <c r="R1748">
        <v>1</v>
      </c>
      <c r="S1748">
        <v>1</v>
      </c>
      <c r="T1748">
        <v>1</v>
      </c>
      <c r="W1748">
        <v>1</v>
      </c>
      <c r="X1748">
        <v>1</v>
      </c>
      <c r="Y1748">
        <v>1</v>
      </c>
      <c r="Z1748">
        <v>1</v>
      </c>
      <c r="AA1748">
        <v>1</v>
      </c>
      <c r="AB1748">
        <v>1</v>
      </c>
    </row>
    <row r="1749" spans="1:28" x14ac:dyDescent="0.25">
      <c r="A1749" t="str">
        <f>"1745"</f>
        <v>1745</v>
      </c>
      <c r="B1749" t="str">
        <f t="shared" si="97"/>
        <v>1</v>
      </c>
      <c r="C1749" t="str">
        <f t="shared" si="100"/>
        <v>78</v>
      </c>
      <c r="D1749" t="str">
        <f>"25"</f>
        <v>25</v>
      </c>
      <c r="E1749" t="str">
        <f>"1-78-25"</f>
        <v>1-78-25</v>
      </c>
      <c r="F1749" t="s">
        <v>83</v>
      </c>
      <c r="G1749" t="s">
        <v>84</v>
      </c>
      <c r="H1749" t="s">
        <v>92</v>
      </c>
      <c r="I1749">
        <v>1</v>
      </c>
      <c r="J1749">
        <v>1</v>
      </c>
      <c r="N1749">
        <v>1</v>
      </c>
      <c r="O1749">
        <v>1</v>
      </c>
      <c r="P1749">
        <v>1</v>
      </c>
      <c r="Q1749">
        <v>1</v>
      </c>
      <c r="R1749">
        <v>1</v>
      </c>
      <c r="S1749">
        <v>1</v>
      </c>
      <c r="T1749">
        <v>1</v>
      </c>
      <c r="W1749">
        <v>1</v>
      </c>
      <c r="X1749">
        <v>1</v>
      </c>
      <c r="Y1749">
        <v>1</v>
      </c>
      <c r="Z1749">
        <v>1</v>
      </c>
      <c r="AA1749">
        <v>1</v>
      </c>
      <c r="AB1749">
        <v>1</v>
      </c>
    </row>
    <row r="1750" spans="1:28" x14ac:dyDescent="0.25">
      <c r="A1750" t="str">
        <f>"1746"</f>
        <v>1746</v>
      </c>
      <c r="B1750" t="str">
        <f t="shared" si="97"/>
        <v>1</v>
      </c>
      <c r="C1750" t="str">
        <f t="shared" si="100"/>
        <v>78</v>
      </c>
      <c r="D1750" t="str">
        <f>"24"</f>
        <v>24</v>
      </c>
      <c r="E1750" t="str">
        <f>"1-78-24"</f>
        <v>1-78-24</v>
      </c>
      <c r="F1750" t="s">
        <v>83</v>
      </c>
      <c r="G1750" t="s">
        <v>84</v>
      </c>
      <c r="H1750" t="s">
        <v>92</v>
      </c>
      <c r="I1750">
        <v>1</v>
      </c>
      <c r="J1750">
        <v>1</v>
      </c>
      <c r="N1750">
        <v>1</v>
      </c>
      <c r="O1750">
        <v>1</v>
      </c>
      <c r="P1750">
        <v>1</v>
      </c>
      <c r="Q1750">
        <v>1</v>
      </c>
      <c r="R1750">
        <v>1</v>
      </c>
      <c r="S1750">
        <v>1</v>
      </c>
      <c r="T1750">
        <v>1</v>
      </c>
      <c r="W1750">
        <v>1</v>
      </c>
      <c r="X1750">
        <v>1</v>
      </c>
      <c r="Y1750">
        <v>1</v>
      </c>
      <c r="Z1750">
        <v>1</v>
      </c>
      <c r="AA1750">
        <v>1</v>
      </c>
      <c r="AB1750">
        <v>1</v>
      </c>
    </row>
    <row r="1751" spans="1:28" x14ac:dyDescent="0.25">
      <c r="A1751" t="str">
        <f>"1747"</f>
        <v>1747</v>
      </c>
      <c r="B1751" t="str">
        <f t="shared" si="97"/>
        <v>1</v>
      </c>
      <c r="C1751" t="str">
        <f t="shared" si="100"/>
        <v>78</v>
      </c>
      <c r="D1751" t="str">
        <f>"15"</f>
        <v>15</v>
      </c>
      <c r="E1751" t="str">
        <f>"1-78-15"</f>
        <v>1-78-15</v>
      </c>
      <c r="F1751" t="s">
        <v>83</v>
      </c>
      <c r="G1751" t="s">
        <v>84</v>
      </c>
      <c r="H1751" t="s">
        <v>92</v>
      </c>
      <c r="I1751">
        <v>1</v>
      </c>
      <c r="J1751">
        <v>1</v>
      </c>
      <c r="N1751">
        <v>1</v>
      </c>
      <c r="O1751">
        <v>1</v>
      </c>
      <c r="P1751">
        <v>1</v>
      </c>
      <c r="Q1751">
        <v>1</v>
      </c>
      <c r="R1751">
        <v>1</v>
      </c>
      <c r="S1751">
        <v>1</v>
      </c>
      <c r="T1751">
        <v>1</v>
      </c>
      <c r="W1751">
        <v>1</v>
      </c>
      <c r="X1751">
        <v>1</v>
      </c>
      <c r="Y1751">
        <v>1</v>
      </c>
      <c r="Z1751">
        <v>1</v>
      </c>
      <c r="AA1751">
        <v>1</v>
      </c>
      <c r="AB1751">
        <v>1</v>
      </c>
    </row>
    <row r="1752" spans="1:28" x14ac:dyDescent="0.25">
      <c r="A1752" t="str">
        <f>"1748"</f>
        <v>1748</v>
      </c>
      <c r="B1752" t="str">
        <f t="shared" si="97"/>
        <v>1</v>
      </c>
      <c r="C1752" t="str">
        <f t="shared" si="100"/>
        <v>78</v>
      </c>
      <c r="D1752" t="str">
        <f>"9"</f>
        <v>9</v>
      </c>
      <c r="E1752" t="str">
        <f>"1-78-9"</f>
        <v>1-78-9</v>
      </c>
      <c r="F1752" t="s">
        <v>83</v>
      </c>
      <c r="G1752" t="s">
        <v>84</v>
      </c>
      <c r="H1752" t="s">
        <v>92</v>
      </c>
      <c r="I1752">
        <v>1</v>
      </c>
      <c r="J1752">
        <v>1</v>
      </c>
      <c r="N1752">
        <v>1</v>
      </c>
      <c r="O1752">
        <v>1</v>
      </c>
      <c r="P1752">
        <v>1</v>
      </c>
      <c r="Q1752">
        <v>1</v>
      </c>
      <c r="R1752">
        <v>1</v>
      </c>
      <c r="S1752">
        <v>1</v>
      </c>
      <c r="T1752">
        <v>1</v>
      </c>
      <c r="W1752">
        <v>1</v>
      </c>
      <c r="X1752">
        <v>1</v>
      </c>
      <c r="Y1752">
        <v>1</v>
      </c>
      <c r="Z1752">
        <v>1</v>
      </c>
      <c r="AA1752">
        <v>1</v>
      </c>
      <c r="AB1752">
        <v>1</v>
      </c>
    </row>
    <row r="1753" spans="1:28" x14ac:dyDescent="0.25">
      <c r="A1753" t="str">
        <f>"1749"</f>
        <v>1749</v>
      </c>
      <c r="B1753" t="str">
        <f t="shared" si="97"/>
        <v>1</v>
      </c>
      <c r="C1753" t="str">
        <f t="shared" si="100"/>
        <v>78</v>
      </c>
      <c r="D1753" t="str">
        <f>"4"</f>
        <v>4</v>
      </c>
      <c r="E1753" t="str">
        <f>"1-78-4"</f>
        <v>1-78-4</v>
      </c>
      <c r="F1753" t="s">
        <v>83</v>
      </c>
      <c r="G1753" t="s">
        <v>84</v>
      </c>
      <c r="H1753" t="s">
        <v>92</v>
      </c>
      <c r="I1753">
        <v>1</v>
      </c>
      <c r="J1753">
        <v>1</v>
      </c>
      <c r="N1753">
        <v>1</v>
      </c>
      <c r="O1753">
        <v>1</v>
      </c>
      <c r="P1753">
        <v>1</v>
      </c>
      <c r="Q1753">
        <v>1</v>
      </c>
      <c r="R1753">
        <v>1</v>
      </c>
      <c r="S1753">
        <v>1</v>
      </c>
      <c r="T1753">
        <v>1</v>
      </c>
      <c r="W1753">
        <v>1</v>
      </c>
      <c r="X1753">
        <v>1</v>
      </c>
      <c r="Y1753">
        <v>1</v>
      </c>
      <c r="Z1753">
        <v>1</v>
      </c>
      <c r="AA1753">
        <v>1</v>
      </c>
      <c r="AB1753">
        <v>1</v>
      </c>
    </row>
    <row r="1754" spans="1:28" x14ac:dyDescent="0.25">
      <c r="A1754" t="str">
        <f>"1750"</f>
        <v>1750</v>
      </c>
      <c r="B1754" t="str">
        <f t="shared" si="97"/>
        <v>1</v>
      </c>
      <c r="C1754" t="str">
        <f t="shared" si="100"/>
        <v>78</v>
      </c>
      <c r="D1754" t="str">
        <f>"19"</f>
        <v>19</v>
      </c>
      <c r="E1754" t="str">
        <f>"1-78-19"</f>
        <v>1-78-19</v>
      </c>
      <c r="F1754" t="s">
        <v>83</v>
      </c>
      <c r="G1754" t="s">
        <v>84</v>
      </c>
      <c r="H1754" t="s">
        <v>92</v>
      </c>
      <c r="I1754">
        <v>1</v>
      </c>
      <c r="J1754">
        <v>1</v>
      </c>
      <c r="N1754">
        <v>1</v>
      </c>
      <c r="O1754">
        <v>1</v>
      </c>
      <c r="P1754">
        <v>1</v>
      </c>
      <c r="Q1754">
        <v>1</v>
      </c>
      <c r="R1754">
        <v>1</v>
      </c>
      <c r="S1754">
        <v>1</v>
      </c>
      <c r="T1754">
        <v>1</v>
      </c>
      <c r="W1754">
        <v>1</v>
      </c>
      <c r="X1754">
        <v>1</v>
      </c>
      <c r="Y1754">
        <v>1</v>
      </c>
      <c r="Z1754">
        <v>1</v>
      </c>
      <c r="AA1754">
        <v>1</v>
      </c>
      <c r="AB1754">
        <v>1</v>
      </c>
    </row>
    <row r="1755" spans="1:28" x14ac:dyDescent="0.25">
      <c r="A1755" t="str">
        <f>"1751"</f>
        <v>1751</v>
      </c>
      <c r="B1755" t="str">
        <f t="shared" si="97"/>
        <v>1</v>
      </c>
      <c r="C1755" t="str">
        <f t="shared" si="100"/>
        <v>78</v>
      </c>
      <c r="D1755" t="str">
        <f>"10"</f>
        <v>10</v>
      </c>
      <c r="E1755" t="str">
        <f>"1-78-10"</f>
        <v>1-78-10</v>
      </c>
      <c r="F1755" t="s">
        <v>83</v>
      </c>
      <c r="G1755" t="s">
        <v>84</v>
      </c>
      <c r="H1755" t="s">
        <v>92</v>
      </c>
      <c r="I1755">
        <v>1</v>
      </c>
      <c r="J1755">
        <v>1</v>
      </c>
      <c r="N1755">
        <v>1</v>
      </c>
      <c r="O1755">
        <v>1</v>
      </c>
      <c r="P1755">
        <v>1</v>
      </c>
      <c r="Q1755">
        <v>1</v>
      </c>
      <c r="R1755">
        <v>1</v>
      </c>
      <c r="S1755">
        <v>1</v>
      </c>
      <c r="T1755">
        <v>1</v>
      </c>
      <c r="W1755">
        <v>1</v>
      </c>
      <c r="X1755">
        <v>1</v>
      </c>
      <c r="Y1755">
        <v>1</v>
      </c>
      <c r="Z1755">
        <v>1</v>
      </c>
      <c r="AA1755">
        <v>1</v>
      </c>
      <c r="AB1755">
        <v>1</v>
      </c>
    </row>
    <row r="1756" spans="1:28" x14ac:dyDescent="0.25">
      <c r="A1756" t="str">
        <f>"1752"</f>
        <v>1752</v>
      </c>
      <c r="B1756" t="str">
        <f t="shared" si="97"/>
        <v>1</v>
      </c>
      <c r="C1756" t="str">
        <f t="shared" si="100"/>
        <v>78</v>
      </c>
      <c r="D1756" t="str">
        <f>"18"</f>
        <v>18</v>
      </c>
      <c r="E1756" t="str">
        <f>"1-78-18"</f>
        <v>1-78-18</v>
      </c>
      <c r="F1756" t="s">
        <v>83</v>
      </c>
      <c r="G1756" t="s">
        <v>84</v>
      </c>
      <c r="H1756" t="s">
        <v>92</v>
      </c>
      <c r="I1756">
        <v>1</v>
      </c>
      <c r="J1756">
        <v>1</v>
      </c>
      <c r="N1756">
        <v>1</v>
      </c>
      <c r="O1756">
        <v>1</v>
      </c>
      <c r="P1756">
        <v>1</v>
      </c>
      <c r="Q1756">
        <v>1</v>
      </c>
      <c r="R1756">
        <v>1</v>
      </c>
      <c r="S1756">
        <v>1</v>
      </c>
      <c r="T1756">
        <v>1</v>
      </c>
      <c r="W1756">
        <v>1</v>
      </c>
      <c r="X1756">
        <v>1</v>
      </c>
      <c r="Y1756">
        <v>1</v>
      </c>
      <c r="Z1756">
        <v>1</v>
      </c>
      <c r="AA1756">
        <v>1</v>
      </c>
      <c r="AB1756">
        <v>1</v>
      </c>
    </row>
    <row r="1757" spans="1:28" x14ac:dyDescent="0.25">
      <c r="A1757" t="str">
        <f>"1753"</f>
        <v>1753</v>
      </c>
      <c r="B1757" t="str">
        <f t="shared" si="97"/>
        <v>1</v>
      </c>
      <c r="C1757" t="str">
        <f t="shared" si="100"/>
        <v>78</v>
      </c>
      <c r="D1757" t="str">
        <f>"11"</f>
        <v>11</v>
      </c>
      <c r="E1757" t="str">
        <f>"1-78-11"</f>
        <v>1-78-11</v>
      </c>
      <c r="F1757" t="s">
        <v>83</v>
      </c>
      <c r="G1757" t="s">
        <v>84</v>
      </c>
      <c r="H1757" t="s">
        <v>92</v>
      </c>
      <c r="I1757">
        <v>1</v>
      </c>
      <c r="J1757">
        <v>1</v>
      </c>
      <c r="N1757">
        <v>1</v>
      </c>
      <c r="O1757">
        <v>1</v>
      </c>
      <c r="P1757">
        <v>1</v>
      </c>
      <c r="Q1757">
        <v>1</v>
      </c>
      <c r="R1757">
        <v>1</v>
      </c>
      <c r="S1757">
        <v>1</v>
      </c>
      <c r="T1757">
        <v>1</v>
      </c>
      <c r="W1757">
        <v>1</v>
      </c>
      <c r="X1757">
        <v>1</v>
      </c>
      <c r="Y1757">
        <v>1</v>
      </c>
      <c r="Z1757">
        <v>1</v>
      </c>
      <c r="AA1757">
        <v>1</v>
      </c>
      <c r="AB1757">
        <v>1</v>
      </c>
    </row>
    <row r="1758" spans="1:28" x14ac:dyDescent="0.25">
      <c r="A1758" t="str">
        <f>"1754"</f>
        <v>1754</v>
      </c>
      <c r="B1758" t="str">
        <f t="shared" ref="B1758:B1821" si="101">"1"</f>
        <v>1</v>
      </c>
      <c r="C1758" t="str">
        <f t="shared" si="100"/>
        <v>78</v>
      </c>
      <c r="D1758" t="str">
        <f>"7"</f>
        <v>7</v>
      </c>
      <c r="E1758" t="str">
        <f>"1-78-7"</f>
        <v>1-78-7</v>
      </c>
      <c r="F1758" t="s">
        <v>83</v>
      </c>
      <c r="G1758" t="s">
        <v>84</v>
      </c>
      <c r="H1758" t="s">
        <v>92</v>
      </c>
      <c r="I1758">
        <v>1</v>
      </c>
      <c r="J1758">
        <v>1</v>
      </c>
      <c r="N1758">
        <v>1</v>
      </c>
      <c r="O1758">
        <v>1</v>
      </c>
      <c r="P1758">
        <v>1</v>
      </c>
      <c r="Q1758">
        <v>1</v>
      </c>
      <c r="R1758">
        <v>1</v>
      </c>
      <c r="S1758">
        <v>1</v>
      </c>
      <c r="T1758">
        <v>1</v>
      </c>
      <c r="W1758">
        <v>1</v>
      </c>
      <c r="X1758">
        <v>1</v>
      </c>
      <c r="Y1758">
        <v>1</v>
      </c>
      <c r="Z1758">
        <v>1</v>
      </c>
      <c r="AA1758">
        <v>1</v>
      </c>
      <c r="AB1758">
        <v>1</v>
      </c>
    </row>
    <row r="1759" spans="1:28" x14ac:dyDescent="0.25">
      <c r="A1759" t="str">
        <f>"1755"</f>
        <v>1755</v>
      </c>
      <c r="B1759" t="str">
        <f t="shared" si="101"/>
        <v>1</v>
      </c>
      <c r="C1759" t="str">
        <f t="shared" si="100"/>
        <v>78</v>
      </c>
      <c r="D1759" t="str">
        <f>"17"</f>
        <v>17</v>
      </c>
      <c r="E1759" t="str">
        <f>"1-78-17"</f>
        <v>1-78-17</v>
      </c>
      <c r="F1759" t="s">
        <v>83</v>
      </c>
      <c r="G1759" t="s">
        <v>84</v>
      </c>
      <c r="H1759" t="s">
        <v>92</v>
      </c>
      <c r="I1759">
        <v>1</v>
      </c>
      <c r="J1759">
        <v>1</v>
      </c>
      <c r="N1759">
        <v>1</v>
      </c>
      <c r="O1759">
        <v>1</v>
      </c>
      <c r="P1759">
        <v>1</v>
      </c>
      <c r="Q1759">
        <v>1</v>
      </c>
      <c r="R1759">
        <v>1</v>
      </c>
      <c r="S1759">
        <v>1</v>
      </c>
      <c r="T1759">
        <v>1</v>
      </c>
      <c r="W1759">
        <v>1</v>
      </c>
      <c r="X1759">
        <v>1</v>
      </c>
      <c r="Y1759">
        <v>1</v>
      </c>
      <c r="Z1759">
        <v>1</v>
      </c>
      <c r="AA1759">
        <v>1</v>
      </c>
      <c r="AB1759">
        <v>1</v>
      </c>
    </row>
    <row r="1760" spans="1:28" x14ac:dyDescent="0.25">
      <c r="A1760" t="str">
        <f>"1756"</f>
        <v>1756</v>
      </c>
      <c r="B1760" t="str">
        <f t="shared" si="101"/>
        <v>1</v>
      </c>
      <c r="C1760" t="str">
        <f t="shared" si="100"/>
        <v>78</v>
      </c>
      <c r="D1760" t="str">
        <f>"12"</f>
        <v>12</v>
      </c>
      <c r="E1760" t="str">
        <f>"1-78-12"</f>
        <v>1-78-12</v>
      </c>
      <c r="F1760" t="s">
        <v>83</v>
      </c>
      <c r="G1760" t="s">
        <v>84</v>
      </c>
      <c r="H1760" t="s">
        <v>92</v>
      </c>
      <c r="I1760">
        <v>1</v>
      </c>
      <c r="J1760">
        <v>1</v>
      </c>
      <c r="N1760">
        <v>1</v>
      </c>
      <c r="O1760">
        <v>1</v>
      </c>
      <c r="P1760">
        <v>1</v>
      </c>
      <c r="Q1760">
        <v>1</v>
      </c>
      <c r="R1760">
        <v>1</v>
      </c>
      <c r="S1760">
        <v>1</v>
      </c>
      <c r="T1760">
        <v>1</v>
      </c>
      <c r="W1760">
        <v>1</v>
      </c>
      <c r="X1760">
        <v>1</v>
      </c>
      <c r="Y1760">
        <v>1</v>
      </c>
      <c r="Z1760">
        <v>1</v>
      </c>
      <c r="AA1760">
        <v>1</v>
      </c>
      <c r="AB1760">
        <v>1</v>
      </c>
    </row>
    <row r="1761" spans="1:28" x14ac:dyDescent="0.25">
      <c r="A1761" t="str">
        <f>"1757"</f>
        <v>1757</v>
      </c>
      <c r="B1761" t="str">
        <f t="shared" si="101"/>
        <v>1</v>
      </c>
      <c r="C1761" t="str">
        <f t="shared" si="100"/>
        <v>78</v>
      </c>
      <c r="D1761" t="str">
        <f>"2"</f>
        <v>2</v>
      </c>
      <c r="E1761" t="str">
        <f>"1-78-2"</f>
        <v>1-78-2</v>
      </c>
      <c r="F1761" t="s">
        <v>83</v>
      </c>
      <c r="G1761" t="s">
        <v>84</v>
      </c>
      <c r="H1761" t="s">
        <v>92</v>
      </c>
      <c r="I1761">
        <v>1</v>
      </c>
      <c r="J1761">
        <v>1</v>
      </c>
      <c r="N1761">
        <v>1</v>
      </c>
      <c r="O1761">
        <v>1</v>
      </c>
      <c r="P1761">
        <v>1</v>
      </c>
      <c r="Q1761">
        <v>1</v>
      </c>
      <c r="R1761">
        <v>1</v>
      </c>
      <c r="S1761">
        <v>1</v>
      </c>
      <c r="T1761">
        <v>1</v>
      </c>
      <c r="W1761">
        <v>1</v>
      </c>
      <c r="X1761">
        <v>1</v>
      </c>
      <c r="Y1761">
        <v>1</v>
      </c>
      <c r="Z1761">
        <v>1</v>
      </c>
      <c r="AA1761">
        <v>1</v>
      </c>
      <c r="AB1761">
        <v>1</v>
      </c>
    </row>
    <row r="1762" spans="1:28" x14ac:dyDescent="0.25">
      <c r="A1762" t="str">
        <f>"1758"</f>
        <v>1758</v>
      </c>
      <c r="B1762" t="str">
        <f t="shared" si="101"/>
        <v>1</v>
      </c>
      <c r="C1762" t="str">
        <f t="shared" si="100"/>
        <v>78</v>
      </c>
      <c r="D1762" t="str">
        <f>"21"</f>
        <v>21</v>
      </c>
      <c r="E1762" t="str">
        <f>"1-78-21"</f>
        <v>1-78-21</v>
      </c>
      <c r="F1762" t="s">
        <v>83</v>
      </c>
      <c r="G1762" t="s">
        <v>84</v>
      </c>
      <c r="H1762" t="s">
        <v>92</v>
      </c>
      <c r="I1762">
        <v>1</v>
      </c>
      <c r="J1762">
        <v>1</v>
      </c>
      <c r="N1762">
        <v>1</v>
      </c>
      <c r="O1762">
        <v>1</v>
      </c>
      <c r="P1762">
        <v>1</v>
      </c>
      <c r="Q1762">
        <v>1</v>
      </c>
      <c r="R1762">
        <v>1</v>
      </c>
      <c r="S1762">
        <v>1</v>
      </c>
      <c r="T1762">
        <v>1</v>
      </c>
      <c r="W1762">
        <v>1</v>
      </c>
      <c r="X1762">
        <v>1</v>
      </c>
      <c r="Y1762">
        <v>1</v>
      </c>
      <c r="Z1762">
        <v>1</v>
      </c>
      <c r="AA1762">
        <v>0</v>
      </c>
      <c r="AB1762">
        <v>0</v>
      </c>
    </row>
    <row r="1763" spans="1:28" x14ac:dyDescent="0.25">
      <c r="A1763" t="str">
        <f>"1759"</f>
        <v>1759</v>
      </c>
      <c r="B1763" t="str">
        <f t="shared" si="101"/>
        <v>1</v>
      </c>
      <c r="C1763" t="str">
        <f t="shared" si="100"/>
        <v>78</v>
      </c>
      <c r="D1763" t="str">
        <f>"13"</f>
        <v>13</v>
      </c>
      <c r="E1763" t="str">
        <f>"1-78-13"</f>
        <v>1-78-13</v>
      </c>
      <c r="F1763" t="s">
        <v>83</v>
      </c>
      <c r="G1763" t="s">
        <v>84</v>
      </c>
      <c r="H1763" t="s">
        <v>92</v>
      </c>
      <c r="I1763">
        <v>1</v>
      </c>
      <c r="J1763">
        <v>1</v>
      </c>
      <c r="N1763">
        <v>1</v>
      </c>
      <c r="O1763">
        <v>1</v>
      </c>
      <c r="P1763">
        <v>1</v>
      </c>
      <c r="Q1763">
        <v>1</v>
      </c>
      <c r="R1763">
        <v>1</v>
      </c>
      <c r="S1763">
        <v>1</v>
      </c>
      <c r="T1763">
        <v>1</v>
      </c>
      <c r="W1763">
        <v>1</v>
      </c>
      <c r="X1763">
        <v>1</v>
      </c>
      <c r="Y1763">
        <v>1</v>
      </c>
      <c r="Z1763">
        <v>1</v>
      </c>
      <c r="AA1763">
        <v>1</v>
      </c>
      <c r="AB1763">
        <v>1</v>
      </c>
    </row>
    <row r="1764" spans="1:28" x14ac:dyDescent="0.25">
      <c r="A1764" t="str">
        <f>"1760"</f>
        <v>1760</v>
      </c>
      <c r="B1764" t="str">
        <f t="shared" si="101"/>
        <v>1</v>
      </c>
      <c r="C1764" t="str">
        <f t="shared" si="100"/>
        <v>78</v>
      </c>
      <c r="D1764" t="str">
        <f>"3"</f>
        <v>3</v>
      </c>
      <c r="E1764" t="str">
        <f>"1-78-3"</f>
        <v>1-78-3</v>
      </c>
      <c r="F1764" t="s">
        <v>83</v>
      </c>
      <c r="G1764" t="s">
        <v>84</v>
      </c>
      <c r="H1764" t="s">
        <v>92</v>
      </c>
      <c r="I1764">
        <v>1</v>
      </c>
      <c r="J1764">
        <v>1</v>
      </c>
      <c r="N1764">
        <v>1</v>
      </c>
      <c r="O1764">
        <v>1</v>
      </c>
      <c r="P1764">
        <v>1</v>
      </c>
      <c r="Q1764">
        <v>1</v>
      </c>
      <c r="R1764">
        <v>1</v>
      </c>
      <c r="S1764">
        <v>1</v>
      </c>
      <c r="T1764">
        <v>1</v>
      </c>
      <c r="W1764">
        <v>1</v>
      </c>
      <c r="X1764">
        <v>1</v>
      </c>
      <c r="Y1764">
        <v>1</v>
      </c>
      <c r="Z1764">
        <v>1</v>
      </c>
      <c r="AA1764">
        <v>1</v>
      </c>
      <c r="AB1764">
        <v>1</v>
      </c>
    </row>
    <row r="1765" spans="1:28" x14ac:dyDescent="0.25">
      <c r="A1765" t="str">
        <f>"1761"</f>
        <v>1761</v>
      </c>
      <c r="B1765" t="str">
        <f t="shared" si="101"/>
        <v>1</v>
      </c>
      <c r="C1765" t="str">
        <f t="shared" si="100"/>
        <v>78</v>
      </c>
      <c r="D1765" t="str">
        <f>"20"</f>
        <v>20</v>
      </c>
      <c r="E1765" t="str">
        <f>"1-78-20"</f>
        <v>1-78-20</v>
      </c>
      <c r="F1765" t="s">
        <v>83</v>
      </c>
      <c r="G1765" t="s">
        <v>84</v>
      </c>
      <c r="H1765" t="s">
        <v>92</v>
      </c>
      <c r="I1765">
        <v>1</v>
      </c>
      <c r="J1765">
        <v>1</v>
      </c>
      <c r="N1765">
        <v>1</v>
      </c>
      <c r="O1765">
        <v>1</v>
      </c>
      <c r="P1765">
        <v>1</v>
      </c>
      <c r="Q1765">
        <v>1</v>
      </c>
      <c r="R1765">
        <v>1</v>
      </c>
      <c r="S1765">
        <v>1</v>
      </c>
      <c r="T1765">
        <v>1</v>
      </c>
      <c r="W1765">
        <v>1</v>
      </c>
      <c r="X1765">
        <v>1</v>
      </c>
      <c r="Y1765">
        <v>1</v>
      </c>
      <c r="Z1765">
        <v>1</v>
      </c>
      <c r="AA1765">
        <v>1</v>
      </c>
      <c r="AB1765">
        <v>1</v>
      </c>
    </row>
    <row r="1766" spans="1:28" x14ac:dyDescent="0.25">
      <c r="A1766" t="str">
        <f>"1762"</f>
        <v>1762</v>
      </c>
      <c r="B1766" t="str">
        <f t="shared" si="101"/>
        <v>1</v>
      </c>
      <c r="C1766" t="str">
        <f t="shared" si="100"/>
        <v>78</v>
      </c>
      <c r="D1766" t="str">
        <f>"14"</f>
        <v>14</v>
      </c>
      <c r="E1766" t="str">
        <f>"1-78-14"</f>
        <v>1-78-14</v>
      </c>
      <c r="F1766" t="s">
        <v>83</v>
      </c>
      <c r="G1766" t="s">
        <v>84</v>
      </c>
      <c r="H1766" t="s">
        <v>92</v>
      </c>
      <c r="I1766">
        <v>1</v>
      </c>
      <c r="J1766">
        <v>1</v>
      </c>
      <c r="N1766">
        <v>1</v>
      </c>
      <c r="O1766">
        <v>1</v>
      </c>
      <c r="P1766">
        <v>1</v>
      </c>
      <c r="Q1766">
        <v>1</v>
      </c>
      <c r="R1766">
        <v>1</v>
      </c>
      <c r="S1766">
        <v>1</v>
      </c>
      <c r="T1766">
        <v>1</v>
      </c>
      <c r="W1766">
        <v>1</v>
      </c>
      <c r="X1766">
        <v>1</v>
      </c>
      <c r="Y1766">
        <v>1</v>
      </c>
      <c r="Z1766">
        <v>1</v>
      </c>
      <c r="AA1766">
        <v>1</v>
      </c>
      <c r="AB1766">
        <v>1</v>
      </c>
    </row>
    <row r="1767" spans="1:28" x14ac:dyDescent="0.25">
      <c r="A1767" t="str">
        <f>"1763"</f>
        <v>1763</v>
      </c>
      <c r="B1767" t="str">
        <f t="shared" si="101"/>
        <v>1</v>
      </c>
      <c r="C1767" t="str">
        <f t="shared" si="100"/>
        <v>78</v>
      </c>
      <c r="D1767" t="str">
        <f>"6"</f>
        <v>6</v>
      </c>
      <c r="E1767" t="str">
        <f>"1-78-6"</f>
        <v>1-78-6</v>
      </c>
      <c r="F1767" t="s">
        <v>83</v>
      </c>
      <c r="G1767" t="s">
        <v>84</v>
      </c>
      <c r="H1767" t="s">
        <v>92</v>
      </c>
      <c r="I1767">
        <v>1</v>
      </c>
      <c r="J1767">
        <v>1</v>
      </c>
      <c r="N1767">
        <v>1</v>
      </c>
      <c r="O1767">
        <v>1</v>
      </c>
      <c r="P1767">
        <v>1</v>
      </c>
      <c r="Q1767">
        <v>1</v>
      </c>
      <c r="R1767">
        <v>1</v>
      </c>
      <c r="S1767">
        <v>1</v>
      </c>
      <c r="T1767">
        <v>1</v>
      </c>
      <c r="W1767">
        <v>1</v>
      </c>
      <c r="X1767">
        <v>1</v>
      </c>
      <c r="Y1767">
        <v>1</v>
      </c>
      <c r="Z1767">
        <v>1</v>
      </c>
      <c r="AA1767">
        <v>1</v>
      </c>
      <c r="AB1767">
        <v>1</v>
      </c>
    </row>
    <row r="1768" spans="1:28" x14ac:dyDescent="0.25">
      <c r="A1768" t="str">
        <f>"1764"</f>
        <v>1764</v>
      </c>
      <c r="B1768" t="str">
        <f t="shared" si="101"/>
        <v>1</v>
      </c>
      <c r="C1768" t="str">
        <f t="shared" si="100"/>
        <v>78</v>
      </c>
      <c r="D1768" t="str">
        <f>"1"</f>
        <v>1</v>
      </c>
      <c r="E1768" t="str">
        <f>"1-78-1"</f>
        <v>1-78-1</v>
      </c>
      <c r="F1768" t="s">
        <v>83</v>
      </c>
      <c r="G1768" t="s">
        <v>84</v>
      </c>
      <c r="H1768" t="s">
        <v>92</v>
      </c>
      <c r="I1768">
        <v>1</v>
      </c>
      <c r="J1768">
        <v>1</v>
      </c>
      <c r="N1768">
        <v>1</v>
      </c>
      <c r="O1768">
        <v>1</v>
      </c>
      <c r="P1768">
        <v>1</v>
      </c>
      <c r="Q1768">
        <v>1</v>
      </c>
      <c r="R1768">
        <v>1</v>
      </c>
      <c r="S1768">
        <v>1</v>
      </c>
      <c r="T1768">
        <v>1</v>
      </c>
      <c r="W1768">
        <v>1</v>
      </c>
      <c r="X1768">
        <v>1</v>
      </c>
      <c r="Y1768">
        <v>1</v>
      </c>
      <c r="Z1768">
        <v>1</v>
      </c>
      <c r="AA1768">
        <v>1</v>
      </c>
      <c r="AB1768">
        <v>1</v>
      </c>
    </row>
    <row r="1769" spans="1:28" x14ac:dyDescent="0.25">
      <c r="A1769" t="str">
        <f>"1765"</f>
        <v>1765</v>
      </c>
      <c r="B1769" t="str">
        <f t="shared" si="101"/>
        <v>1</v>
      </c>
      <c r="C1769" t="str">
        <f t="shared" ref="C1769:C1793" si="102">"79"</f>
        <v>79</v>
      </c>
      <c r="D1769" t="str">
        <f>"22"</f>
        <v>22</v>
      </c>
      <c r="E1769" t="str">
        <f>"1-79-22"</f>
        <v>1-79-22</v>
      </c>
      <c r="F1769" t="s">
        <v>83</v>
      </c>
      <c r="G1769" t="s">
        <v>84</v>
      </c>
      <c r="H1769" t="s">
        <v>92</v>
      </c>
      <c r="I1769">
        <v>1</v>
      </c>
      <c r="J1769">
        <v>1</v>
      </c>
      <c r="N1769">
        <v>1</v>
      </c>
      <c r="O1769">
        <v>1</v>
      </c>
      <c r="P1769">
        <v>1</v>
      </c>
      <c r="Q1769">
        <v>1</v>
      </c>
      <c r="R1769">
        <v>1</v>
      </c>
      <c r="S1769">
        <v>1</v>
      </c>
      <c r="T1769">
        <v>1</v>
      </c>
      <c r="W1769">
        <v>1</v>
      </c>
      <c r="X1769">
        <v>1</v>
      </c>
      <c r="Y1769">
        <v>1</v>
      </c>
      <c r="Z1769">
        <v>1</v>
      </c>
      <c r="AA1769">
        <v>1</v>
      </c>
      <c r="AB1769">
        <v>1</v>
      </c>
    </row>
    <row r="1770" spans="1:28" x14ac:dyDescent="0.25">
      <c r="A1770" t="str">
        <f>"1766"</f>
        <v>1766</v>
      </c>
      <c r="B1770" t="str">
        <f t="shared" si="101"/>
        <v>1</v>
      </c>
      <c r="C1770" t="str">
        <f t="shared" si="102"/>
        <v>79</v>
      </c>
      <c r="D1770" t="str">
        <f>"21"</f>
        <v>21</v>
      </c>
      <c r="E1770" t="str">
        <f>"1-79-21"</f>
        <v>1-79-21</v>
      </c>
      <c r="F1770" t="s">
        <v>83</v>
      </c>
      <c r="G1770" t="s">
        <v>84</v>
      </c>
      <c r="H1770" t="s">
        <v>92</v>
      </c>
      <c r="I1770">
        <v>1</v>
      </c>
      <c r="J1770">
        <v>1</v>
      </c>
      <c r="N1770">
        <v>1</v>
      </c>
      <c r="O1770">
        <v>1</v>
      </c>
      <c r="P1770">
        <v>1</v>
      </c>
      <c r="Q1770">
        <v>1</v>
      </c>
      <c r="R1770">
        <v>1</v>
      </c>
      <c r="S1770">
        <v>1</v>
      </c>
      <c r="T1770">
        <v>1</v>
      </c>
      <c r="W1770">
        <v>1</v>
      </c>
      <c r="X1770">
        <v>1</v>
      </c>
      <c r="Y1770">
        <v>1</v>
      </c>
      <c r="Z1770">
        <v>1</v>
      </c>
      <c r="AA1770">
        <v>1</v>
      </c>
      <c r="AB1770">
        <v>1</v>
      </c>
    </row>
    <row r="1771" spans="1:28" x14ac:dyDescent="0.25">
      <c r="A1771" t="str">
        <f>"1767"</f>
        <v>1767</v>
      </c>
      <c r="B1771" t="str">
        <f t="shared" si="101"/>
        <v>1</v>
      </c>
      <c r="C1771" t="str">
        <f t="shared" si="102"/>
        <v>79</v>
      </c>
      <c r="D1771" t="str">
        <f>"16"</f>
        <v>16</v>
      </c>
      <c r="E1771" t="str">
        <f>"1-79-16"</f>
        <v>1-79-16</v>
      </c>
      <c r="F1771" t="s">
        <v>83</v>
      </c>
      <c r="G1771" t="s">
        <v>84</v>
      </c>
      <c r="H1771" t="s">
        <v>92</v>
      </c>
      <c r="I1771">
        <v>1</v>
      </c>
      <c r="J1771">
        <v>1</v>
      </c>
      <c r="N1771">
        <v>1</v>
      </c>
      <c r="O1771">
        <v>1</v>
      </c>
      <c r="P1771">
        <v>0</v>
      </c>
      <c r="Q1771">
        <v>1</v>
      </c>
      <c r="R1771">
        <v>1</v>
      </c>
      <c r="S1771">
        <v>1</v>
      </c>
      <c r="T1771">
        <v>0</v>
      </c>
      <c r="W1771">
        <v>1</v>
      </c>
      <c r="X1771">
        <v>1</v>
      </c>
      <c r="Y1771">
        <v>1</v>
      </c>
      <c r="Z1771">
        <v>0</v>
      </c>
      <c r="AA1771">
        <v>0</v>
      </c>
      <c r="AB1771">
        <v>0</v>
      </c>
    </row>
    <row r="1772" spans="1:28" x14ac:dyDescent="0.25">
      <c r="A1772" t="str">
        <f>"1768"</f>
        <v>1768</v>
      </c>
      <c r="B1772" t="str">
        <f t="shared" si="101"/>
        <v>1</v>
      </c>
      <c r="C1772" t="str">
        <f t="shared" si="102"/>
        <v>79</v>
      </c>
      <c r="D1772" t="str">
        <f>"8"</f>
        <v>8</v>
      </c>
      <c r="E1772" t="str">
        <f>"1-79-8"</f>
        <v>1-79-8</v>
      </c>
      <c r="F1772" t="s">
        <v>83</v>
      </c>
      <c r="G1772" t="s">
        <v>84</v>
      </c>
      <c r="H1772" t="s">
        <v>92</v>
      </c>
      <c r="I1772">
        <v>1</v>
      </c>
      <c r="J1772">
        <v>1</v>
      </c>
      <c r="N1772">
        <v>1</v>
      </c>
      <c r="O1772">
        <v>1</v>
      </c>
      <c r="P1772">
        <v>1</v>
      </c>
      <c r="Q1772">
        <v>1</v>
      </c>
      <c r="R1772">
        <v>0</v>
      </c>
      <c r="S1772">
        <v>1</v>
      </c>
      <c r="T1772">
        <v>1</v>
      </c>
      <c r="W1772">
        <v>1</v>
      </c>
      <c r="X1772">
        <v>1</v>
      </c>
      <c r="Y1772">
        <v>1</v>
      </c>
      <c r="Z1772">
        <v>1</v>
      </c>
      <c r="AA1772">
        <v>1</v>
      </c>
      <c r="AB1772">
        <v>1</v>
      </c>
    </row>
    <row r="1773" spans="1:28" x14ac:dyDescent="0.25">
      <c r="A1773" t="str">
        <f>"1769"</f>
        <v>1769</v>
      </c>
      <c r="B1773" t="str">
        <f t="shared" si="101"/>
        <v>1</v>
      </c>
      <c r="C1773" t="str">
        <f t="shared" si="102"/>
        <v>79</v>
      </c>
      <c r="D1773" t="str">
        <f>"7"</f>
        <v>7</v>
      </c>
      <c r="E1773" t="str">
        <f>"1-79-7"</f>
        <v>1-79-7</v>
      </c>
      <c r="F1773" t="s">
        <v>83</v>
      </c>
      <c r="G1773" t="s">
        <v>84</v>
      </c>
      <c r="H1773" t="s">
        <v>92</v>
      </c>
      <c r="I1773">
        <v>1</v>
      </c>
      <c r="J1773">
        <v>1</v>
      </c>
      <c r="N1773">
        <v>1</v>
      </c>
      <c r="O1773">
        <v>1</v>
      </c>
      <c r="P1773">
        <v>1</v>
      </c>
      <c r="Q1773">
        <v>1</v>
      </c>
      <c r="R1773">
        <v>1</v>
      </c>
      <c r="S1773">
        <v>1</v>
      </c>
      <c r="T1773">
        <v>1</v>
      </c>
      <c r="W1773">
        <v>1</v>
      </c>
      <c r="X1773">
        <v>1</v>
      </c>
      <c r="Y1773">
        <v>1</v>
      </c>
      <c r="Z1773">
        <v>1</v>
      </c>
      <c r="AA1773">
        <v>1</v>
      </c>
      <c r="AB1773">
        <v>1</v>
      </c>
    </row>
    <row r="1774" spans="1:28" x14ac:dyDescent="0.25">
      <c r="A1774" t="str">
        <f>"1770"</f>
        <v>1770</v>
      </c>
      <c r="B1774" t="str">
        <f t="shared" si="101"/>
        <v>1</v>
      </c>
      <c r="C1774" t="str">
        <f t="shared" si="102"/>
        <v>79</v>
      </c>
      <c r="D1774" t="str">
        <f>"24"</f>
        <v>24</v>
      </c>
      <c r="E1774" t="str">
        <f>"1-79-24"</f>
        <v>1-79-24</v>
      </c>
      <c r="F1774" t="s">
        <v>83</v>
      </c>
      <c r="G1774" t="s">
        <v>84</v>
      </c>
      <c r="H1774" t="s">
        <v>92</v>
      </c>
      <c r="I1774">
        <v>1</v>
      </c>
      <c r="J1774">
        <v>1</v>
      </c>
      <c r="N1774">
        <v>1</v>
      </c>
      <c r="O1774">
        <v>1</v>
      </c>
      <c r="P1774">
        <v>1</v>
      </c>
      <c r="Q1774">
        <v>1</v>
      </c>
      <c r="R1774">
        <v>1</v>
      </c>
      <c r="S1774">
        <v>1</v>
      </c>
      <c r="T1774">
        <v>1</v>
      </c>
      <c r="W1774">
        <v>1</v>
      </c>
      <c r="X1774">
        <v>1</v>
      </c>
      <c r="Y1774">
        <v>1</v>
      </c>
      <c r="Z1774">
        <v>1</v>
      </c>
      <c r="AA1774">
        <v>0</v>
      </c>
      <c r="AB1774">
        <v>1</v>
      </c>
    </row>
    <row r="1775" spans="1:28" x14ac:dyDescent="0.25">
      <c r="A1775" t="str">
        <f>"1771"</f>
        <v>1771</v>
      </c>
      <c r="B1775" t="str">
        <f t="shared" si="101"/>
        <v>1</v>
      </c>
      <c r="C1775" t="str">
        <f t="shared" si="102"/>
        <v>79</v>
      </c>
      <c r="D1775" t="str">
        <f>"23"</f>
        <v>23</v>
      </c>
      <c r="E1775" t="str">
        <f>"1-79-23"</f>
        <v>1-79-23</v>
      </c>
      <c r="F1775" t="s">
        <v>83</v>
      </c>
      <c r="G1775" t="s">
        <v>84</v>
      </c>
      <c r="H1775" t="s">
        <v>92</v>
      </c>
      <c r="I1775">
        <v>1</v>
      </c>
      <c r="J1775">
        <v>1</v>
      </c>
      <c r="N1775">
        <v>1</v>
      </c>
      <c r="O1775">
        <v>1</v>
      </c>
      <c r="P1775">
        <v>1</v>
      </c>
      <c r="Q1775">
        <v>1</v>
      </c>
      <c r="R1775">
        <v>1</v>
      </c>
      <c r="S1775">
        <v>1</v>
      </c>
      <c r="T1775">
        <v>1</v>
      </c>
      <c r="W1775">
        <v>1</v>
      </c>
      <c r="X1775">
        <v>1</v>
      </c>
      <c r="Y1775">
        <v>1</v>
      </c>
      <c r="Z1775">
        <v>1</v>
      </c>
      <c r="AA1775">
        <v>1</v>
      </c>
      <c r="AB1775">
        <v>1</v>
      </c>
    </row>
    <row r="1776" spans="1:28" x14ac:dyDescent="0.25">
      <c r="A1776" t="str">
        <f>"1772"</f>
        <v>1772</v>
      </c>
      <c r="B1776" t="str">
        <f t="shared" si="101"/>
        <v>1</v>
      </c>
      <c r="C1776" t="str">
        <f t="shared" si="102"/>
        <v>79</v>
      </c>
      <c r="D1776" t="str">
        <f>"15"</f>
        <v>15</v>
      </c>
      <c r="E1776" t="str">
        <f>"1-79-15"</f>
        <v>1-79-15</v>
      </c>
      <c r="F1776" t="s">
        <v>83</v>
      </c>
      <c r="G1776" t="s">
        <v>84</v>
      </c>
      <c r="H1776" t="s">
        <v>92</v>
      </c>
      <c r="I1776">
        <v>1</v>
      </c>
      <c r="J1776">
        <v>1</v>
      </c>
      <c r="N1776">
        <v>1</v>
      </c>
      <c r="O1776">
        <v>1</v>
      </c>
      <c r="P1776">
        <v>1</v>
      </c>
      <c r="Q1776">
        <v>1</v>
      </c>
      <c r="R1776">
        <v>1</v>
      </c>
      <c r="S1776">
        <v>1</v>
      </c>
      <c r="T1776">
        <v>1</v>
      </c>
      <c r="W1776">
        <v>1</v>
      </c>
      <c r="X1776">
        <v>1</v>
      </c>
      <c r="Y1776">
        <v>1</v>
      </c>
      <c r="Z1776">
        <v>1</v>
      </c>
      <c r="AA1776">
        <v>1</v>
      </c>
      <c r="AB1776">
        <v>1</v>
      </c>
    </row>
    <row r="1777" spans="1:28" x14ac:dyDescent="0.25">
      <c r="A1777" t="str">
        <f>"1773"</f>
        <v>1773</v>
      </c>
      <c r="B1777" t="str">
        <f t="shared" si="101"/>
        <v>1</v>
      </c>
      <c r="C1777" t="str">
        <f t="shared" si="102"/>
        <v>79</v>
      </c>
      <c r="D1777" t="str">
        <f>"9"</f>
        <v>9</v>
      </c>
      <c r="E1777" t="str">
        <f>"1-79-9"</f>
        <v>1-79-9</v>
      </c>
      <c r="F1777" t="s">
        <v>83</v>
      </c>
      <c r="G1777" t="s">
        <v>84</v>
      </c>
      <c r="H1777" t="s">
        <v>92</v>
      </c>
      <c r="I1777">
        <v>1</v>
      </c>
      <c r="J1777">
        <v>1</v>
      </c>
      <c r="N1777">
        <v>1</v>
      </c>
      <c r="O1777">
        <v>1</v>
      </c>
      <c r="P1777">
        <v>1</v>
      </c>
      <c r="Q1777">
        <v>1</v>
      </c>
      <c r="R1777">
        <v>1</v>
      </c>
      <c r="S1777">
        <v>1</v>
      </c>
      <c r="T1777">
        <v>1</v>
      </c>
      <c r="W1777">
        <v>1</v>
      </c>
      <c r="X1777">
        <v>1</v>
      </c>
      <c r="Y1777">
        <v>1</v>
      </c>
      <c r="Z1777">
        <v>1</v>
      </c>
      <c r="AA1777">
        <v>1</v>
      </c>
      <c r="AB1777">
        <v>1</v>
      </c>
    </row>
    <row r="1778" spans="1:28" x14ac:dyDescent="0.25">
      <c r="A1778" t="str">
        <f>"1774"</f>
        <v>1774</v>
      </c>
      <c r="B1778" t="str">
        <f t="shared" si="101"/>
        <v>1</v>
      </c>
      <c r="C1778" t="str">
        <f t="shared" si="102"/>
        <v>79</v>
      </c>
      <c r="D1778" t="str">
        <f>"5"</f>
        <v>5</v>
      </c>
      <c r="E1778" t="str">
        <f>"1-79-5"</f>
        <v>1-79-5</v>
      </c>
      <c r="F1778" t="s">
        <v>83</v>
      </c>
      <c r="G1778" t="s">
        <v>84</v>
      </c>
      <c r="H1778" t="s">
        <v>92</v>
      </c>
      <c r="I1778">
        <v>1</v>
      </c>
      <c r="J1778">
        <v>1</v>
      </c>
      <c r="N1778">
        <v>1</v>
      </c>
      <c r="O1778">
        <v>1</v>
      </c>
      <c r="P1778">
        <v>1</v>
      </c>
      <c r="Q1778">
        <v>1</v>
      </c>
      <c r="R1778">
        <v>1</v>
      </c>
      <c r="S1778">
        <v>1</v>
      </c>
      <c r="T1778">
        <v>1</v>
      </c>
      <c r="W1778">
        <v>1</v>
      </c>
      <c r="X1778">
        <v>1</v>
      </c>
      <c r="Y1778">
        <v>1</v>
      </c>
      <c r="Z1778">
        <v>1</v>
      </c>
      <c r="AA1778">
        <v>1</v>
      </c>
      <c r="AB1778">
        <v>1</v>
      </c>
    </row>
    <row r="1779" spans="1:28" x14ac:dyDescent="0.25">
      <c r="A1779" t="str">
        <f>"1775"</f>
        <v>1775</v>
      </c>
      <c r="B1779" t="str">
        <f t="shared" si="101"/>
        <v>1</v>
      </c>
      <c r="C1779" t="str">
        <f t="shared" si="102"/>
        <v>79</v>
      </c>
      <c r="D1779" t="str">
        <f>"18"</f>
        <v>18</v>
      </c>
      <c r="E1779" t="str">
        <f>"1-79-18"</f>
        <v>1-79-18</v>
      </c>
      <c r="F1779" t="s">
        <v>83</v>
      </c>
      <c r="G1779" t="s">
        <v>84</v>
      </c>
      <c r="H1779" t="s">
        <v>92</v>
      </c>
      <c r="I1779">
        <v>1</v>
      </c>
      <c r="J1779">
        <v>1</v>
      </c>
      <c r="N1779">
        <v>1</v>
      </c>
      <c r="O1779">
        <v>1</v>
      </c>
      <c r="P1779">
        <v>1</v>
      </c>
      <c r="Q1779">
        <v>1</v>
      </c>
      <c r="R1779">
        <v>1</v>
      </c>
      <c r="S1779">
        <v>1</v>
      </c>
      <c r="T1779">
        <v>1</v>
      </c>
      <c r="W1779">
        <v>1</v>
      </c>
      <c r="X1779">
        <v>1</v>
      </c>
      <c r="Y1779">
        <v>1</v>
      </c>
      <c r="Z1779">
        <v>1</v>
      </c>
      <c r="AA1779">
        <v>1</v>
      </c>
      <c r="AB1779">
        <v>1</v>
      </c>
    </row>
    <row r="1780" spans="1:28" x14ac:dyDescent="0.25">
      <c r="A1780" t="str">
        <f>"1776"</f>
        <v>1776</v>
      </c>
      <c r="B1780" t="str">
        <f t="shared" si="101"/>
        <v>1</v>
      </c>
      <c r="C1780" t="str">
        <f t="shared" si="102"/>
        <v>79</v>
      </c>
      <c r="D1780" t="str">
        <f>"10"</f>
        <v>10</v>
      </c>
      <c r="E1780" t="str">
        <f>"1-79-10"</f>
        <v>1-79-10</v>
      </c>
      <c r="F1780" t="s">
        <v>83</v>
      </c>
      <c r="G1780" t="s">
        <v>84</v>
      </c>
      <c r="H1780" t="s">
        <v>92</v>
      </c>
      <c r="I1780">
        <v>1</v>
      </c>
      <c r="J1780">
        <v>1</v>
      </c>
      <c r="N1780">
        <v>1</v>
      </c>
      <c r="O1780">
        <v>1</v>
      </c>
      <c r="P1780">
        <v>1</v>
      </c>
      <c r="Q1780">
        <v>1</v>
      </c>
      <c r="R1780">
        <v>1</v>
      </c>
      <c r="S1780">
        <v>1</v>
      </c>
      <c r="T1780">
        <v>1</v>
      </c>
      <c r="W1780">
        <v>1</v>
      </c>
      <c r="X1780">
        <v>1</v>
      </c>
      <c r="Y1780">
        <v>0</v>
      </c>
      <c r="Z1780">
        <v>0</v>
      </c>
      <c r="AA1780">
        <v>1</v>
      </c>
      <c r="AB1780">
        <v>0</v>
      </c>
    </row>
    <row r="1781" spans="1:28" x14ac:dyDescent="0.25">
      <c r="A1781" t="str">
        <f>"1777"</f>
        <v>1777</v>
      </c>
      <c r="B1781" t="str">
        <f t="shared" si="101"/>
        <v>1</v>
      </c>
      <c r="C1781" t="str">
        <f t="shared" si="102"/>
        <v>79</v>
      </c>
      <c r="D1781" t="str">
        <f>"1"</f>
        <v>1</v>
      </c>
      <c r="E1781" t="str">
        <f>"1-79-1"</f>
        <v>1-79-1</v>
      </c>
      <c r="F1781" t="s">
        <v>83</v>
      </c>
      <c r="G1781" t="s">
        <v>84</v>
      </c>
      <c r="H1781" t="s">
        <v>92</v>
      </c>
      <c r="I1781">
        <v>1</v>
      </c>
      <c r="J1781">
        <v>1</v>
      </c>
      <c r="N1781">
        <v>1</v>
      </c>
      <c r="O1781">
        <v>1</v>
      </c>
      <c r="P1781">
        <v>1</v>
      </c>
      <c r="Q1781">
        <v>1</v>
      </c>
      <c r="R1781">
        <v>1</v>
      </c>
      <c r="S1781">
        <v>1</v>
      </c>
      <c r="T1781">
        <v>1</v>
      </c>
      <c r="W1781">
        <v>1</v>
      </c>
      <c r="X1781">
        <v>1</v>
      </c>
      <c r="Y1781">
        <v>1</v>
      </c>
      <c r="Z1781">
        <v>1</v>
      </c>
      <c r="AA1781">
        <v>1</v>
      </c>
      <c r="AB1781">
        <v>1</v>
      </c>
    </row>
    <row r="1782" spans="1:28" x14ac:dyDescent="0.25">
      <c r="A1782" t="str">
        <f>"1778"</f>
        <v>1778</v>
      </c>
      <c r="B1782" t="str">
        <f t="shared" si="101"/>
        <v>1</v>
      </c>
      <c r="C1782" t="str">
        <f t="shared" si="102"/>
        <v>79</v>
      </c>
      <c r="D1782" t="str">
        <f>"17"</f>
        <v>17</v>
      </c>
      <c r="E1782" t="str">
        <f>"1-79-17"</f>
        <v>1-79-17</v>
      </c>
      <c r="F1782" t="s">
        <v>83</v>
      </c>
      <c r="G1782" t="s">
        <v>84</v>
      </c>
      <c r="H1782" t="s">
        <v>92</v>
      </c>
      <c r="I1782">
        <v>1</v>
      </c>
      <c r="J1782">
        <v>1</v>
      </c>
      <c r="N1782">
        <v>1</v>
      </c>
      <c r="O1782">
        <v>1</v>
      </c>
      <c r="P1782">
        <v>1</v>
      </c>
      <c r="Q1782">
        <v>1</v>
      </c>
      <c r="R1782">
        <v>1</v>
      </c>
      <c r="S1782">
        <v>1</v>
      </c>
      <c r="T1782">
        <v>1</v>
      </c>
      <c r="W1782">
        <v>1</v>
      </c>
      <c r="X1782">
        <v>1</v>
      </c>
      <c r="Y1782">
        <v>1</v>
      </c>
      <c r="Z1782">
        <v>1</v>
      </c>
      <c r="AA1782">
        <v>1</v>
      </c>
      <c r="AB1782">
        <v>1</v>
      </c>
    </row>
    <row r="1783" spans="1:28" x14ac:dyDescent="0.25">
      <c r="A1783" t="str">
        <f>"1779"</f>
        <v>1779</v>
      </c>
      <c r="B1783" t="str">
        <f t="shared" si="101"/>
        <v>1</v>
      </c>
      <c r="C1783" t="str">
        <f t="shared" si="102"/>
        <v>79</v>
      </c>
      <c r="D1783" t="str">
        <f>"11"</f>
        <v>11</v>
      </c>
      <c r="E1783" t="str">
        <f>"1-79-11"</f>
        <v>1-79-11</v>
      </c>
      <c r="F1783" t="s">
        <v>83</v>
      </c>
      <c r="G1783" t="s">
        <v>84</v>
      </c>
      <c r="H1783" t="s">
        <v>92</v>
      </c>
      <c r="I1783">
        <v>1</v>
      </c>
      <c r="J1783">
        <v>1</v>
      </c>
      <c r="N1783">
        <v>0</v>
      </c>
      <c r="O1783">
        <v>1</v>
      </c>
      <c r="P1783">
        <v>1</v>
      </c>
      <c r="Q1783">
        <v>1</v>
      </c>
      <c r="R1783">
        <v>1</v>
      </c>
      <c r="S1783">
        <v>1</v>
      </c>
      <c r="T1783">
        <v>1</v>
      </c>
      <c r="W1783">
        <v>0</v>
      </c>
      <c r="X1783">
        <v>1</v>
      </c>
      <c r="Y1783">
        <v>1</v>
      </c>
      <c r="Z1783">
        <v>1</v>
      </c>
      <c r="AA1783">
        <v>1</v>
      </c>
      <c r="AB1783">
        <v>1</v>
      </c>
    </row>
    <row r="1784" spans="1:28" x14ac:dyDescent="0.25">
      <c r="A1784" t="str">
        <f>"1780"</f>
        <v>1780</v>
      </c>
      <c r="B1784" t="str">
        <f t="shared" si="101"/>
        <v>1</v>
      </c>
      <c r="C1784" t="str">
        <f t="shared" si="102"/>
        <v>79</v>
      </c>
      <c r="D1784" t="str">
        <f>"6"</f>
        <v>6</v>
      </c>
      <c r="E1784" t="str">
        <f>"1-79-6"</f>
        <v>1-79-6</v>
      </c>
      <c r="F1784" t="s">
        <v>83</v>
      </c>
      <c r="G1784" t="s">
        <v>84</v>
      </c>
      <c r="H1784" t="s">
        <v>92</v>
      </c>
      <c r="I1784">
        <v>1</v>
      </c>
      <c r="J1784">
        <v>1</v>
      </c>
      <c r="N1784">
        <v>1</v>
      </c>
      <c r="O1784">
        <v>1</v>
      </c>
      <c r="P1784">
        <v>1</v>
      </c>
      <c r="Q1784">
        <v>1</v>
      </c>
      <c r="R1784">
        <v>1</v>
      </c>
      <c r="S1784">
        <v>1</v>
      </c>
      <c r="T1784">
        <v>1</v>
      </c>
      <c r="W1784">
        <v>1</v>
      </c>
      <c r="X1784">
        <v>1</v>
      </c>
      <c r="Y1784">
        <v>1</v>
      </c>
      <c r="Z1784">
        <v>1</v>
      </c>
      <c r="AA1784">
        <v>1</v>
      </c>
      <c r="AB1784">
        <v>1</v>
      </c>
    </row>
    <row r="1785" spans="1:28" x14ac:dyDescent="0.25">
      <c r="A1785" t="str">
        <f>"1781"</f>
        <v>1781</v>
      </c>
      <c r="B1785" t="str">
        <f t="shared" si="101"/>
        <v>1</v>
      </c>
      <c r="C1785" t="str">
        <f t="shared" si="102"/>
        <v>79</v>
      </c>
      <c r="D1785" t="str">
        <f>"20"</f>
        <v>20</v>
      </c>
      <c r="E1785" t="str">
        <f>"1-79-20"</f>
        <v>1-79-20</v>
      </c>
      <c r="F1785" t="s">
        <v>83</v>
      </c>
      <c r="G1785" t="s">
        <v>84</v>
      </c>
      <c r="H1785" t="s">
        <v>92</v>
      </c>
      <c r="I1785">
        <v>1</v>
      </c>
      <c r="J1785">
        <v>1</v>
      </c>
      <c r="N1785">
        <v>1</v>
      </c>
      <c r="O1785">
        <v>1</v>
      </c>
      <c r="P1785">
        <v>1</v>
      </c>
      <c r="Q1785">
        <v>1</v>
      </c>
      <c r="R1785">
        <v>1</v>
      </c>
      <c r="S1785">
        <v>1</v>
      </c>
      <c r="T1785">
        <v>1</v>
      </c>
      <c r="W1785">
        <v>1</v>
      </c>
      <c r="X1785">
        <v>1</v>
      </c>
      <c r="Y1785">
        <v>1</v>
      </c>
      <c r="Z1785">
        <v>1</v>
      </c>
      <c r="AA1785">
        <v>1</v>
      </c>
      <c r="AB1785">
        <v>1</v>
      </c>
    </row>
    <row r="1786" spans="1:28" x14ac:dyDescent="0.25">
      <c r="A1786" t="str">
        <f>"1782"</f>
        <v>1782</v>
      </c>
      <c r="B1786" t="str">
        <f t="shared" si="101"/>
        <v>1</v>
      </c>
      <c r="C1786" t="str">
        <f t="shared" si="102"/>
        <v>79</v>
      </c>
      <c r="D1786" t="str">
        <f>"12"</f>
        <v>12</v>
      </c>
      <c r="E1786" t="str">
        <f>"1-79-12"</f>
        <v>1-79-12</v>
      </c>
      <c r="F1786" t="s">
        <v>83</v>
      </c>
      <c r="G1786" t="s">
        <v>84</v>
      </c>
      <c r="H1786" t="s">
        <v>92</v>
      </c>
      <c r="I1786">
        <v>1</v>
      </c>
      <c r="J1786">
        <v>1</v>
      </c>
      <c r="N1786">
        <v>1</v>
      </c>
      <c r="O1786">
        <v>1</v>
      </c>
      <c r="P1786">
        <v>1</v>
      </c>
      <c r="Q1786">
        <v>1</v>
      </c>
      <c r="R1786">
        <v>1</v>
      </c>
      <c r="S1786">
        <v>1</v>
      </c>
      <c r="T1786">
        <v>1</v>
      </c>
      <c r="W1786">
        <v>1</v>
      </c>
      <c r="X1786">
        <v>1</v>
      </c>
      <c r="Y1786">
        <v>1</v>
      </c>
      <c r="Z1786">
        <v>1</v>
      </c>
      <c r="AA1786">
        <v>1</v>
      </c>
      <c r="AB1786">
        <v>1</v>
      </c>
    </row>
    <row r="1787" spans="1:28" x14ac:dyDescent="0.25">
      <c r="A1787" t="str">
        <f>"1783"</f>
        <v>1783</v>
      </c>
      <c r="B1787" t="str">
        <f t="shared" si="101"/>
        <v>1</v>
      </c>
      <c r="C1787" t="str">
        <f t="shared" si="102"/>
        <v>79</v>
      </c>
      <c r="D1787" t="str">
        <f>"2"</f>
        <v>2</v>
      </c>
      <c r="E1787" t="str">
        <f>"1-79-2"</f>
        <v>1-79-2</v>
      </c>
      <c r="F1787" t="s">
        <v>83</v>
      </c>
      <c r="G1787" t="s">
        <v>84</v>
      </c>
      <c r="H1787" t="s">
        <v>92</v>
      </c>
      <c r="I1787">
        <v>1</v>
      </c>
      <c r="J1787">
        <v>0</v>
      </c>
      <c r="N1787">
        <v>0</v>
      </c>
      <c r="O1787">
        <v>0</v>
      </c>
      <c r="P1787">
        <v>0</v>
      </c>
      <c r="Q1787">
        <v>0</v>
      </c>
      <c r="R1787">
        <v>0</v>
      </c>
      <c r="S1787">
        <v>0</v>
      </c>
      <c r="T1787">
        <v>0</v>
      </c>
      <c r="W1787">
        <v>0</v>
      </c>
      <c r="X1787">
        <v>0</v>
      </c>
      <c r="Y1787">
        <v>0</v>
      </c>
      <c r="Z1787">
        <v>0</v>
      </c>
      <c r="AA1787">
        <v>0</v>
      </c>
      <c r="AB1787">
        <v>0</v>
      </c>
    </row>
    <row r="1788" spans="1:28" x14ac:dyDescent="0.25">
      <c r="A1788" t="str">
        <f>"1784"</f>
        <v>1784</v>
      </c>
      <c r="B1788" t="str">
        <f t="shared" si="101"/>
        <v>1</v>
      </c>
      <c r="C1788" t="str">
        <f t="shared" si="102"/>
        <v>79</v>
      </c>
      <c r="D1788" t="str">
        <f>"13"</f>
        <v>13</v>
      </c>
      <c r="E1788" t="str">
        <f>"1-79-13"</f>
        <v>1-79-13</v>
      </c>
      <c r="F1788" t="s">
        <v>83</v>
      </c>
      <c r="G1788" t="s">
        <v>84</v>
      </c>
      <c r="H1788" t="s">
        <v>92</v>
      </c>
      <c r="I1788">
        <v>1</v>
      </c>
      <c r="J1788">
        <v>1</v>
      </c>
      <c r="N1788">
        <v>1</v>
      </c>
      <c r="O1788">
        <v>1</v>
      </c>
      <c r="P1788">
        <v>1</v>
      </c>
      <c r="Q1788">
        <v>1</v>
      </c>
      <c r="R1788">
        <v>1</v>
      </c>
      <c r="S1788">
        <v>1</v>
      </c>
      <c r="T1788">
        <v>1</v>
      </c>
      <c r="W1788">
        <v>1</v>
      </c>
      <c r="X1788">
        <v>1</v>
      </c>
      <c r="Y1788">
        <v>1</v>
      </c>
      <c r="Z1788">
        <v>1</v>
      </c>
      <c r="AA1788">
        <v>1</v>
      </c>
      <c r="AB1788">
        <v>1</v>
      </c>
    </row>
    <row r="1789" spans="1:28" x14ac:dyDescent="0.25">
      <c r="A1789" t="str">
        <f>"1785"</f>
        <v>1785</v>
      </c>
      <c r="B1789" t="str">
        <f t="shared" si="101"/>
        <v>1</v>
      </c>
      <c r="C1789" t="str">
        <f t="shared" si="102"/>
        <v>79</v>
      </c>
      <c r="D1789" t="str">
        <f>"3"</f>
        <v>3</v>
      </c>
      <c r="E1789" t="str">
        <f>"1-79-3"</f>
        <v>1-79-3</v>
      </c>
      <c r="F1789" t="s">
        <v>83</v>
      </c>
      <c r="G1789" t="s">
        <v>84</v>
      </c>
      <c r="H1789" t="s">
        <v>92</v>
      </c>
      <c r="I1789">
        <v>1</v>
      </c>
      <c r="J1789">
        <v>1</v>
      </c>
      <c r="N1789">
        <v>1</v>
      </c>
      <c r="O1789">
        <v>1</v>
      </c>
      <c r="P1789">
        <v>1</v>
      </c>
      <c r="Q1789">
        <v>1</v>
      </c>
      <c r="R1789">
        <v>1</v>
      </c>
      <c r="S1789">
        <v>1</v>
      </c>
      <c r="T1789">
        <v>1</v>
      </c>
      <c r="W1789">
        <v>1</v>
      </c>
      <c r="X1789">
        <v>1</v>
      </c>
      <c r="Y1789">
        <v>1</v>
      </c>
      <c r="Z1789">
        <v>1</v>
      </c>
      <c r="AA1789">
        <v>1</v>
      </c>
      <c r="AB1789">
        <v>1</v>
      </c>
    </row>
    <row r="1790" spans="1:28" x14ac:dyDescent="0.25">
      <c r="A1790" t="str">
        <f>"1786"</f>
        <v>1786</v>
      </c>
      <c r="B1790" t="str">
        <f t="shared" si="101"/>
        <v>1</v>
      </c>
      <c r="C1790" t="str">
        <f t="shared" si="102"/>
        <v>79</v>
      </c>
      <c r="D1790" t="str">
        <f>"25"</f>
        <v>25</v>
      </c>
      <c r="E1790" t="str">
        <f>"1-79-25"</f>
        <v>1-79-25</v>
      </c>
      <c r="F1790" t="s">
        <v>83</v>
      </c>
      <c r="G1790" t="s">
        <v>84</v>
      </c>
      <c r="H1790" t="s">
        <v>92</v>
      </c>
      <c r="I1790">
        <v>1</v>
      </c>
      <c r="J1790">
        <v>1</v>
      </c>
      <c r="N1790">
        <v>1</v>
      </c>
      <c r="O1790">
        <v>1</v>
      </c>
      <c r="P1790">
        <v>1</v>
      </c>
      <c r="Q1790">
        <v>1</v>
      </c>
      <c r="R1790">
        <v>1</v>
      </c>
      <c r="S1790">
        <v>1</v>
      </c>
      <c r="T1790">
        <v>1</v>
      </c>
      <c r="W1790">
        <v>1</v>
      </c>
      <c r="X1790">
        <v>1</v>
      </c>
      <c r="Y1790">
        <v>1</v>
      </c>
      <c r="Z1790">
        <v>1</v>
      </c>
      <c r="AA1790">
        <v>1</v>
      </c>
      <c r="AB1790">
        <v>1</v>
      </c>
    </row>
    <row r="1791" spans="1:28" x14ac:dyDescent="0.25">
      <c r="A1791" t="str">
        <f>"1787"</f>
        <v>1787</v>
      </c>
      <c r="B1791" t="str">
        <f t="shared" si="101"/>
        <v>1</v>
      </c>
      <c r="C1791" t="str">
        <f t="shared" si="102"/>
        <v>79</v>
      </c>
      <c r="D1791" t="str">
        <f>"19"</f>
        <v>19</v>
      </c>
      <c r="E1791" t="str">
        <f>"1-79-19"</f>
        <v>1-79-19</v>
      </c>
      <c r="F1791" t="s">
        <v>83</v>
      </c>
      <c r="G1791" t="s">
        <v>84</v>
      </c>
      <c r="H1791" t="s">
        <v>92</v>
      </c>
      <c r="I1791">
        <v>1</v>
      </c>
      <c r="J1791">
        <v>1</v>
      </c>
      <c r="N1791">
        <v>1</v>
      </c>
      <c r="O1791">
        <v>1</v>
      </c>
      <c r="P1791">
        <v>1</v>
      </c>
      <c r="Q1791">
        <v>1</v>
      </c>
      <c r="R1791">
        <v>1</v>
      </c>
      <c r="S1791">
        <v>1</v>
      </c>
      <c r="T1791">
        <v>1</v>
      </c>
      <c r="W1791">
        <v>1</v>
      </c>
      <c r="X1791">
        <v>1</v>
      </c>
      <c r="Y1791">
        <v>1</v>
      </c>
      <c r="Z1791">
        <v>1</v>
      </c>
      <c r="AA1791">
        <v>1</v>
      </c>
      <c r="AB1791">
        <v>1</v>
      </c>
    </row>
    <row r="1792" spans="1:28" x14ac:dyDescent="0.25">
      <c r="A1792" t="str">
        <f>"1788"</f>
        <v>1788</v>
      </c>
      <c r="B1792" t="str">
        <f t="shared" si="101"/>
        <v>1</v>
      </c>
      <c r="C1792" t="str">
        <f t="shared" si="102"/>
        <v>79</v>
      </c>
      <c r="D1792" t="str">
        <f>"14"</f>
        <v>14</v>
      </c>
      <c r="E1792" t="str">
        <f>"1-79-14"</f>
        <v>1-79-14</v>
      </c>
      <c r="F1792" t="s">
        <v>83</v>
      </c>
      <c r="G1792" t="s">
        <v>84</v>
      </c>
      <c r="H1792" t="s">
        <v>92</v>
      </c>
      <c r="I1792">
        <v>0</v>
      </c>
      <c r="J1792">
        <v>0</v>
      </c>
      <c r="N1792">
        <v>0</v>
      </c>
      <c r="O1792">
        <v>0</v>
      </c>
      <c r="P1792">
        <v>0</v>
      </c>
      <c r="Q1792">
        <v>0</v>
      </c>
      <c r="R1792">
        <v>0</v>
      </c>
      <c r="S1792">
        <v>0</v>
      </c>
      <c r="T1792">
        <v>0</v>
      </c>
      <c r="W1792">
        <v>0</v>
      </c>
      <c r="X1792">
        <v>1</v>
      </c>
      <c r="Y1792">
        <v>1</v>
      </c>
      <c r="Z1792">
        <v>0</v>
      </c>
      <c r="AA1792">
        <v>0</v>
      </c>
      <c r="AB1792">
        <v>0</v>
      </c>
    </row>
    <row r="1793" spans="1:28" x14ac:dyDescent="0.25">
      <c r="A1793" t="str">
        <f>"1789"</f>
        <v>1789</v>
      </c>
      <c r="B1793" t="str">
        <f t="shared" si="101"/>
        <v>1</v>
      </c>
      <c r="C1793" t="str">
        <f t="shared" si="102"/>
        <v>79</v>
      </c>
      <c r="D1793" t="str">
        <f>"4"</f>
        <v>4</v>
      </c>
      <c r="E1793" t="str">
        <f>"1-79-4"</f>
        <v>1-79-4</v>
      </c>
      <c r="F1793" t="s">
        <v>83</v>
      </c>
      <c r="G1793" t="s">
        <v>84</v>
      </c>
      <c r="H1793" t="s">
        <v>92</v>
      </c>
      <c r="I1793">
        <v>1</v>
      </c>
      <c r="J1793">
        <v>1</v>
      </c>
      <c r="N1793">
        <v>1</v>
      </c>
      <c r="O1793">
        <v>1</v>
      </c>
      <c r="P1793">
        <v>1</v>
      </c>
      <c r="Q1793">
        <v>1</v>
      </c>
      <c r="R1793">
        <v>1</v>
      </c>
      <c r="S1793">
        <v>1</v>
      </c>
      <c r="T1793">
        <v>1</v>
      </c>
      <c r="W1793">
        <v>1</v>
      </c>
      <c r="X1793">
        <v>1</v>
      </c>
      <c r="Y1793">
        <v>1</v>
      </c>
      <c r="Z1793">
        <v>1</v>
      </c>
      <c r="AA1793">
        <v>1</v>
      </c>
      <c r="AB1793">
        <v>1</v>
      </c>
    </row>
    <row r="1794" spans="1:28" x14ac:dyDescent="0.25">
      <c r="A1794" t="str">
        <f>"1790"</f>
        <v>1790</v>
      </c>
      <c r="B1794" t="str">
        <f t="shared" si="101"/>
        <v>1</v>
      </c>
      <c r="C1794" t="str">
        <f t="shared" ref="C1794:C1818" si="103">"80"</f>
        <v>80</v>
      </c>
      <c r="D1794" t="str">
        <f>"23"</f>
        <v>23</v>
      </c>
      <c r="E1794" t="str">
        <f>"1-80-23"</f>
        <v>1-80-23</v>
      </c>
      <c r="F1794" t="s">
        <v>83</v>
      </c>
      <c r="G1794" t="s">
        <v>86</v>
      </c>
      <c r="H1794" t="s">
        <v>93</v>
      </c>
      <c r="I1794">
        <v>1</v>
      </c>
      <c r="K1794">
        <v>0</v>
      </c>
      <c r="L1794">
        <v>0</v>
      </c>
      <c r="M1794">
        <v>1</v>
      </c>
      <c r="N1794">
        <v>1</v>
      </c>
      <c r="O1794">
        <v>1</v>
      </c>
      <c r="P1794">
        <v>1</v>
      </c>
      <c r="Q1794">
        <v>1</v>
      </c>
      <c r="R1794">
        <v>0</v>
      </c>
      <c r="U1794">
        <v>0</v>
      </c>
      <c r="V1794">
        <v>1</v>
      </c>
      <c r="W1794">
        <v>1</v>
      </c>
      <c r="X1794">
        <v>1</v>
      </c>
      <c r="Y1794">
        <v>1</v>
      </c>
      <c r="Z1794">
        <v>1</v>
      </c>
      <c r="AA1794">
        <v>1</v>
      </c>
      <c r="AB1794">
        <v>1</v>
      </c>
    </row>
    <row r="1795" spans="1:28" x14ac:dyDescent="0.25">
      <c r="A1795" t="str">
        <f>"1791"</f>
        <v>1791</v>
      </c>
      <c r="B1795" t="str">
        <f t="shared" si="101"/>
        <v>1</v>
      </c>
      <c r="C1795" t="str">
        <f t="shared" si="103"/>
        <v>80</v>
      </c>
      <c r="D1795" t="str">
        <f>"22"</f>
        <v>22</v>
      </c>
      <c r="E1795" t="str">
        <f>"1-80-22"</f>
        <v>1-80-22</v>
      </c>
      <c r="F1795" t="s">
        <v>83</v>
      </c>
      <c r="G1795" t="s">
        <v>84</v>
      </c>
      <c r="H1795" t="s">
        <v>92</v>
      </c>
      <c r="I1795">
        <v>1</v>
      </c>
      <c r="J1795">
        <v>1</v>
      </c>
      <c r="N1795">
        <v>1</v>
      </c>
      <c r="O1795">
        <v>1</v>
      </c>
      <c r="P1795">
        <v>1</v>
      </c>
      <c r="Q1795">
        <v>1</v>
      </c>
      <c r="R1795">
        <v>1</v>
      </c>
      <c r="S1795">
        <v>1</v>
      </c>
      <c r="T1795">
        <v>1</v>
      </c>
      <c r="W1795">
        <v>1</v>
      </c>
      <c r="X1795">
        <v>1</v>
      </c>
      <c r="Y1795">
        <v>1</v>
      </c>
      <c r="Z1795">
        <v>1</v>
      </c>
      <c r="AA1795">
        <v>1</v>
      </c>
      <c r="AB1795">
        <v>1</v>
      </c>
    </row>
    <row r="1796" spans="1:28" x14ac:dyDescent="0.25">
      <c r="A1796" t="str">
        <f>"1792"</f>
        <v>1792</v>
      </c>
      <c r="B1796" t="str">
        <f t="shared" si="101"/>
        <v>1</v>
      </c>
      <c r="C1796" t="str">
        <f t="shared" si="103"/>
        <v>80</v>
      </c>
      <c r="D1796" t="str">
        <f>"15"</f>
        <v>15</v>
      </c>
      <c r="E1796" t="str">
        <f>"1-80-15"</f>
        <v>1-80-15</v>
      </c>
      <c r="F1796" t="s">
        <v>83</v>
      </c>
      <c r="G1796" t="s">
        <v>84</v>
      </c>
      <c r="H1796" t="s">
        <v>92</v>
      </c>
      <c r="I1796">
        <v>0</v>
      </c>
      <c r="J1796">
        <v>1</v>
      </c>
      <c r="N1796">
        <v>1</v>
      </c>
      <c r="O1796">
        <v>1</v>
      </c>
      <c r="P1796">
        <v>1</v>
      </c>
      <c r="Q1796">
        <v>1</v>
      </c>
      <c r="R1796">
        <v>1</v>
      </c>
      <c r="S1796">
        <v>1</v>
      </c>
      <c r="T1796">
        <v>1</v>
      </c>
      <c r="W1796">
        <v>1</v>
      </c>
      <c r="X1796">
        <v>1</v>
      </c>
      <c r="Y1796">
        <v>1</v>
      </c>
      <c r="Z1796">
        <v>1</v>
      </c>
      <c r="AA1796">
        <v>1</v>
      </c>
      <c r="AB1796">
        <v>1</v>
      </c>
    </row>
    <row r="1797" spans="1:28" x14ac:dyDescent="0.25">
      <c r="A1797" t="str">
        <f>"1793"</f>
        <v>1793</v>
      </c>
      <c r="B1797" t="str">
        <f t="shared" si="101"/>
        <v>1</v>
      </c>
      <c r="C1797" t="str">
        <f t="shared" si="103"/>
        <v>80</v>
      </c>
      <c r="D1797" t="str">
        <f>"8"</f>
        <v>8</v>
      </c>
      <c r="E1797" t="str">
        <f>"1-80-8"</f>
        <v>1-80-8</v>
      </c>
      <c r="F1797" t="s">
        <v>83</v>
      </c>
      <c r="G1797" t="s">
        <v>84</v>
      </c>
      <c r="H1797" t="s">
        <v>92</v>
      </c>
      <c r="I1797">
        <v>1</v>
      </c>
      <c r="J1797">
        <v>1</v>
      </c>
      <c r="N1797">
        <v>1</v>
      </c>
      <c r="O1797">
        <v>1</v>
      </c>
      <c r="P1797">
        <v>1</v>
      </c>
      <c r="Q1797">
        <v>1</v>
      </c>
      <c r="R1797">
        <v>1</v>
      </c>
      <c r="S1797">
        <v>1</v>
      </c>
      <c r="T1797">
        <v>1</v>
      </c>
      <c r="W1797">
        <v>1</v>
      </c>
      <c r="X1797">
        <v>1</v>
      </c>
      <c r="Y1797">
        <v>1</v>
      </c>
      <c r="Z1797">
        <v>1</v>
      </c>
      <c r="AA1797">
        <v>1</v>
      </c>
      <c r="AB1797">
        <v>1</v>
      </c>
    </row>
    <row r="1798" spans="1:28" x14ac:dyDescent="0.25">
      <c r="A1798" t="str">
        <f>"1794"</f>
        <v>1794</v>
      </c>
      <c r="B1798" t="str">
        <f t="shared" si="101"/>
        <v>1</v>
      </c>
      <c r="C1798" t="str">
        <f t="shared" si="103"/>
        <v>80</v>
      </c>
      <c r="D1798" t="str">
        <f>"5"</f>
        <v>5</v>
      </c>
      <c r="E1798" t="str">
        <f>"1-80-5"</f>
        <v>1-80-5</v>
      </c>
      <c r="F1798" t="s">
        <v>83</v>
      </c>
      <c r="G1798" t="s">
        <v>84</v>
      </c>
      <c r="H1798" t="s">
        <v>92</v>
      </c>
      <c r="I1798">
        <v>1</v>
      </c>
      <c r="J1798">
        <v>1</v>
      </c>
      <c r="N1798">
        <v>1</v>
      </c>
      <c r="O1798">
        <v>1</v>
      </c>
      <c r="P1798">
        <v>1</v>
      </c>
      <c r="Q1798">
        <v>1</v>
      </c>
      <c r="R1798">
        <v>1</v>
      </c>
      <c r="S1798">
        <v>1</v>
      </c>
      <c r="T1798">
        <v>1</v>
      </c>
      <c r="W1798">
        <v>1</v>
      </c>
      <c r="X1798">
        <v>1</v>
      </c>
      <c r="Y1798">
        <v>1</v>
      </c>
      <c r="Z1798">
        <v>1</v>
      </c>
      <c r="AA1798">
        <v>1</v>
      </c>
      <c r="AB1798">
        <v>1</v>
      </c>
    </row>
    <row r="1799" spans="1:28" x14ac:dyDescent="0.25">
      <c r="A1799" t="str">
        <f>"1795"</f>
        <v>1795</v>
      </c>
      <c r="B1799" t="str">
        <f t="shared" si="101"/>
        <v>1</v>
      </c>
      <c r="C1799" t="str">
        <f t="shared" si="103"/>
        <v>80</v>
      </c>
      <c r="D1799" t="str">
        <f>"25"</f>
        <v>25</v>
      </c>
      <c r="E1799" t="str">
        <f>"1-80-25"</f>
        <v>1-80-25</v>
      </c>
      <c r="F1799" t="s">
        <v>83</v>
      </c>
      <c r="G1799" t="s">
        <v>86</v>
      </c>
      <c r="H1799" t="s">
        <v>93</v>
      </c>
      <c r="I1799">
        <v>1</v>
      </c>
      <c r="K1799">
        <v>0</v>
      </c>
      <c r="L1799">
        <v>0</v>
      </c>
      <c r="M1799">
        <v>1</v>
      </c>
      <c r="N1799">
        <v>1</v>
      </c>
      <c r="O1799">
        <v>1</v>
      </c>
      <c r="P1799">
        <v>1</v>
      </c>
      <c r="Q1799">
        <v>1</v>
      </c>
      <c r="R1799">
        <v>1</v>
      </c>
      <c r="U1799">
        <v>0</v>
      </c>
      <c r="V1799">
        <v>1</v>
      </c>
      <c r="W1799">
        <v>1</v>
      </c>
      <c r="X1799">
        <v>1</v>
      </c>
      <c r="Y1799">
        <v>1</v>
      </c>
      <c r="Z1799">
        <v>1</v>
      </c>
      <c r="AA1799">
        <v>1</v>
      </c>
      <c r="AB1799">
        <v>1</v>
      </c>
    </row>
    <row r="1800" spans="1:28" x14ac:dyDescent="0.25">
      <c r="A1800" t="str">
        <f>"1796"</f>
        <v>1796</v>
      </c>
      <c r="B1800" t="str">
        <f t="shared" si="101"/>
        <v>1</v>
      </c>
      <c r="C1800" t="str">
        <f t="shared" si="103"/>
        <v>80</v>
      </c>
      <c r="D1800" t="str">
        <f>"24"</f>
        <v>24</v>
      </c>
      <c r="E1800" t="str">
        <f>"1-80-24"</f>
        <v>1-80-24</v>
      </c>
      <c r="F1800" t="s">
        <v>83</v>
      </c>
      <c r="G1800" t="s">
        <v>86</v>
      </c>
      <c r="H1800" t="s">
        <v>93</v>
      </c>
      <c r="I1800">
        <v>1</v>
      </c>
      <c r="K1800">
        <v>0</v>
      </c>
      <c r="L1800">
        <v>0</v>
      </c>
      <c r="M1800">
        <v>1</v>
      </c>
      <c r="N1800">
        <v>1</v>
      </c>
      <c r="O1800">
        <v>1</v>
      </c>
      <c r="P1800">
        <v>1</v>
      </c>
      <c r="Q1800">
        <v>1</v>
      </c>
      <c r="R1800">
        <v>1</v>
      </c>
      <c r="U1800">
        <v>0</v>
      </c>
      <c r="V1800">
        <v>1</v>
      </c>
      <c r="W1800">
        <v>1</v>
      </c>
      <c r="X1800">
        <v>1</v>
      </c>
      <c r="Y1800">
        <v>1</v>
      </c>
      <c r="Z1800">
        <v>1</v>
      </c>
      <c r="AA1800">
        <v>1</v>
      </c>
      <c r="AB1800">
        <v>1</v>
      </c>
    </row>
    <row r="1801" spans="1:28" x14ac:dyDescent="0.25">
      <c r="A1801" t="str">
        <f>"1797"</f>
        <v>1797</v>
      </c>
      <c r="B1801" t="str">
        <f t="shared" si="101"/>
        <v>1</v>
      </c>
      <c r="C1801" t="str">
        <f t="shared" si="103"/>
        <v>80</v>
      </c>
      <c r="D1801" t="str">
        <f>"16"</f>
        <v>16</v>
      </c>
      <c r="E1801" t="str">
        <f>"1-80-16"</f>
        <v>1-80-16</v>
      </c>
      <c r="F1801" t="s">
        <v>83</v>
      </c>
      <c r="G1801" t="s">
        <v>84</v>
      </c>
      <c r="H1801" t="s">
        <v>92</v>
      </c>
      <c r="I1801">
        <v>1</v>
      </c>
      <c r="J1801">
        <v>1</v>
      </c>
      <c r="N1801">
        <v>1</v>
      </c>
      <c r="O1801">
        <v>1</v>
      </c>
      <c r="P1801">
        <v>1</v>
      </c>
      <c r="Q1801">
        <v>1</v>
      </c>
      <c r="R1801">
        <v>1</v>
      </c>
      <c r="S1801">
        <v>1</v>
      </c>
      <c r="T1801">
        <v>1</v>
      </c>
      <c r="W1801">
        <v>1</v>
      </c>
      <c r="X1801">
        <v>1</v>
      </c>
      <c r="Y1801">
        <v>1</v>
      </c>
      <c r="Z1801">
        <v>1</v>
      </c>
      <c r="AA1801">
        <v>1</v>
      </c>
      <c r="AB1801">
        <v>1</v>
      </c>
    </row>
    <row r="1802" spans="1:28" x14ac:dyDescent="0.25">
      <c r="A1802" t="str">
        <f>"1798"</f>
        <v>1798</v>
      </c>
      <c r="B1802" t="str">
        <f t="shared" si="101"/>
        <v>1</v>
      </c>
      <c r="C1802" t="str">
        <f t="shared" si="103"/>
        <v>80</v>
      </c>
      <c r="D1802" t="str">
        <f>"9"</f>
        <v>9</v>
      </c>
      <c r="E1802" t="str">
        <f>"1-80-9"</f>
        <v>1-80-9</v>
      </c>
      <c r="F1802" t="s">
        <v>83</v>
      </c>
      <c r="G1802" t="s">
        <v>84</v>
      </c>
      <c r="H1802" t="s">
        <v>92</v>
      </c>
      <c r="I1802">
        <v>1</v>
      </c>
      <c r="J1802">
        <v>1</v>
      </c>
      <c r="N1802">
        <v>1</v>
      </c>
      <c r="O1802">
        <v>1</v>
      </c>
      <c r="P1802">
        <v>1</v>
      </c>
      <c r="Q1802">
        <v>1</v>
      </c>
      <c r="R1802">
        <v>1</v>
      </c>
      <c r="S1802">
        <v>1</v>
      </c>
      <c r="T1802">
        <v>1</v>
      </c>
      <c r="W1802">
        <v>1</v>
      </c>
      <c r="X1802">
        <v>1</v>
      </c>
      <c r="Y1802">
        <v>1</v>
      </c>
      <c r="Z1802">
        <v>1</v>
      </c>
      <c r="AA1802">
        <v>1</v>
      </c>
      <c r="AB1802">
        <v>1</v>
      </c>
    </row>
    <row r="1803" spans="1:28" x14ac:dyDescent="0.25">
      <c r="A1803" t="str">
        <f>"1799"</f>
        <v>1799</v>
      </c>
      <c r="B1803" t="str">
        <f t="shared" si="101"/>
        <v>1</v>
      </c>
      <c r="C1803" t="str">
        <f t="shared" si="103"/>
        <v>80</v>
      </c>
      <c r="D1803" t="str">
        <f>"3"</f>
        <v>3</v>
      </c>
      <c r="E1803" t="str">
        <f>"1-80-3"</f>
        <v>1-80-3</v>
      </c>
      <c r="F1803" t="s">
        <v>83</v>
      </c>
      <c r="G1803" t="s">
        <v>84</v>
      </c>
      <c r="H1803" t="s">
        <v>92</v>
      </c>
      <c r="I1803">
        <v>1</v>
      </c>
      <c r="J1803">
        <v>0</v>
      </c>
      <c r="N1803">
        <v>1</v>
      </c>
      <c r="O1803">
        <v>1</v>
      </c>
      <c r="P1803">
        <v>1</v>
      </c>
      <c r="Q1803">
        <v>1</v>
      </c>
      <c r="R1803">
        <v>1</v>
      </c>
      <c r="S1803">
        <v>1</v>
      </c>
      <c r="T1803">
        <v>1</v>
      </c>
      <c r="W1803">
        <v>1</v>
      </c>
      <c r="X1803">
        <v>0</v>
      </c>
      <c r="Y1803">
        <v>1</v>
      </c>
      <c r="Z1803">
        <v>1</v>
      </c>
      <c r="AA1803">
        <v>1</v>
      </c>
      <c r="AB1803">
        <v>1</v>
      </c>
    </row>
    <row r="1804" spans="1:28" x14ac:dyDescent="0.25">
      <c r="A1804" t="str">
        <f>"1800"</f>
        <v>1800</v>
      </c>
      <c r="B1804" t="str">
        <f t="shared" si="101"/>
        <v>1</v>
      </c>
      <c r="C1804" t="str">
        <f t="shared" si="103"/>
        <v>80</v>
      </c>
      <c r="D1804" t="str">
        <f>"17"</f>
        <v>17</v>
      </c>
      <c r="E1804" t="str">
        <f>"1-80-17"</f>
        <v>1-80-17</v>
      </c>
      <c r="F1804" t="s">
        <v>83</v>
      </c>
      <c r="G1804" t="s">
        <v>84</v>
      </c>
      <c r="H1804" t="s">
        <v>92</v>
      </c>
      <c r="I1804">
        <v>1</v>
      </c>
      <c r="J1804">
        <v>1</v>
      </c>
      <c r="N1804">
        <v>1</v>
      </c>
      <c r="O1804">
        <v>1</v>
      </c>
      <c r="P1804">
        <v>1</v>
      </c>
      <c r="Q1804">
        <v>1</v>
      </c>
      <c r="R1804">
        <v>1</v>
      </c>
      <c r="S1804">
        <v>1</v>
      </c>
      <c r="T1804">
        <v>1</v>
      </c>
      <c r="W1804">
        <v>1</v>
      </c>
      <c r="X1804">
        <v>1</v>
      </c>
      <c r="Y1804">
        <v>1</v>
      </c>
      <c r="Z1804">
        <v>1</v>
      </c>
      <c r="AA1804">
        <v>1</v>
      </c>
      <c r="AB1804">
        <v>1</v>
      </c>
    </row>
    <row r="1805" spans="1:28" x14ac:dyDescent="0.25">
      <c r="A1805" t="str">
        <f>"1801"</f>
        <v>1801</v>
      </c>
      <c r="B1805" t="str">
        <f t="shared" si="101"/>
        <v>1</v>
      </c>
      <c r="C1805" t="str">
        <f t="shared" si="103"/>
        <v>80</v>
      </c>
      <c r="D1805" t="str">
        <f>"10"</f>
        <v>10</v>
      </c>
      <c r="E1805" t="str">
        <f>"1-80-10"</f>
        <v>1-80-10</v>
      </c>
      <c r="F1805" t="s">
        <v>83</v>
      </c>
      <c r="G1805" t="s">
        <v>84</v>
      </c>
      <c r="H1805" t="s">
        <v>92</v>
      </c>
      <c r="I1805">
        <v>1</v>
      </c>
      <c r="J1805">
        <v>1</v>
      </c>
      <c r="N1805">
        <v>1</v>
      </c>
      <c r="O1805">
        <v>1</v>
      </c>
      <c r="P1805">
        <v>1</v>
      </c>
      <c r="Q1805">
        <v>1</v>
      </c>
      <c r="R1805">
        <v>1</v>
      </c>
      <c r="S1805">
        <v>1</v>
      </c>
      <c r="T1805">
        <v>1</v>
      </c>
      <c r="W1805">
        <v>1</v>
      </c>
      <c r="X1805">
        <v>1</v>
      </c>
      <c r="Y1805">
        <v>1</v>
      </c>
      <c r="Z1805">
        <v>1</v>
      </c>
      <c r="AA1805">
        <v>1</v>
      </c>
      <c r="AB1805">
        <v>1</v>
      </c>
    </row>
    <row r="1806" spans="1:28" x14ac:dyDescent="0.25">
      <c r="A1806" t="str">
        <f>"1802"</f>
        <v>1802</v>
      </c>
      <c r="B1806" t="str">
        <f t="shared" si="101"/>
        <v>1</v>
      </c>
      <c r="C1806" t="str">
        <f t="shared" si="103"/>
        <v>80</v>
      </c>
      <c r="D1806" t="str">
        <f>"18"</f>
        <v>18</v>
      </c>
      <c r="E1806" t="str">
        <f>"1-80-18"</f>
        <v>1-80-18</v>
      </c>
      <c r="F1806" t="s">
        <v>83</v>
      </c>
      <c r="G1806" t="s">
        <v>84</v>
      </c>
      <c r="H1806" t="s">
        <v>92</v>
      </c>
      <c r="I1806">
        <v>1</v>
      </c>
      <c r="J1806">
        <v>1</v>
      </c>
      <c r="N1806">
        <v>1</v>
      </c>
      <c r="O1806">
        <v>1</v>
      </c>
      <c r="P1806">
        <v>1</v>
      </c>
      <c r="Q1806">
        <v>1</v>
      </c>
      <c r="R1806">
        <v>1</v>
      </c>
      <c r="S1806">
        <v>1</v>
      </c>
      <c r="T1806">
        <v>1</v>
      </c>
      <c r="W1806">
        <v>1</v>
      </c>
      <c r="X1806">
        <v>1</v>
      </c>
      <c r="Y1806">
        <v>1</v>
      </c>
      <c r="Z1806">
        <v>1</v>
      </c>
      <c r="AA1806">
        <v>1</v>
      </c>
      <c r="AB1806">
        <v>1</v>
      </c>
    </row>
    <row r="1807" spans="1:28" x14ac:dyDescent="0.25">
      <c r="A1807" t="str">
        <f>"1803"</f>
        <v>1803</v>
      </c>
      <c r="B1807" t="str">
        <f t="shared" si="101"/>
        <v>1</v>
      </c>
      <c r="C1807" t="str">
        <f t="shared" si="103"/>
        <v>80</v>
      </c>
      <c r="D1807" t="str">
        <f>"11"</f>
        <v>11</v>
      </c>
      <c r="E1807" t="str">
        <f>"1-80-11"</f>
        <v>1-80-11</v>
      </c>
      <c r="F1807" t="s">
        <v>83</v>
      </c>
      <c r="G1807" t="s">
        <v>84</v>
      </c>
      <c r="H1807" t="s">
        <v>92</v>
      </c>
      <c r="I1807">
        <v>1</v>
      </c>
      <c r="J1807">
        <v>1</v>
      </c>
      <c r="N1807">
        <v>1</v>
      </c>
      <c r="O1807">
        <v>1</v>
      </c>
      <c r="P1807">
        <v>1</v>
      </c>
      <c r="Q1807">
        <v>1</v>
      </c>
      <c r="R1807">
        <v>1</v>
      </c>
      <c r="S1807">
        <v>1</v>
      </c>
      <c r="T1807">
        <v>1</v>
      </c>
      <c r="W1807">
        <v>1</v>
      </c>
      <c r="X1807">
        <v>1</v>
      </c>
      <c r="Y1807">
        <v>1</v>
      </c>
      <c r="Z1807">
        <v>1</v>
      </c>
      <c r="AA1807">
        <v>1</v>
      </c>
      <c r="AB1807">
        <v>1</v>
      </c>
    </row>
    <row r="1808" spans="1:28" x14ac:dyDescent="0.25">
      <c r="A1808" t="str">
        <f>"1804"</f>
        <v>1804</v>
      </c>
      <c r="B1808" t="str">
        <f t="shared" si="101"/>
        <v>1</v>
      </c>
      <c r="C1808" t="str">
        <f t="shared" si="103"/>
        <v>80</v>
      </c>
      <c r="D1808" t="str">
        <f>"7"</f>
        <v>7</v>
      </c>
      <c r="E1808" t="str">
        <f>"1-80-7"</f>
        <v>1-80-7</v>
      </c>
      <c r="F1808" t="s">
        <v>83</v>
      </c>
      <c r="G1808" t="s">
        <v>84</v>
      </c>
      <c r="H1808" t="s">
        <v>92</v>
      </c>
      <c r="I1808">
        <v>1</v>
      </c>
      <c r="J1808">
        <v>1</v>
      </c>
      <c r="N1808">
        <v>1</v>
      </c>
      <c r="O1808">
        <v>1</v>
      </c>
      <c r="P1808">
        <v>1</v>
      </c>
      <c r="Q1808">
        <v>1</v>
      </c>
      <c r="R1808">
        <v>1</v>
      </c>
      <c r="S1808">
        <v>1</v>
      </c>
      <c r="T1808">
        <v>1</v>
      </c>
      <c r="W1808">
        <v>1</v>
      </c>
      <c r="X1808">
        <v>1</v>
      </c>
      <c r="Y1808">
        <v>1</v>
      </c>
      <c r="Z1808">
        <v>1</v>
      </c>
      <c r="AA1808">
        <v>1</v>
      </c>
      <c r="AB1808">
        <v>1</v>
      </c>
    </row>
    <row r="1809" spans="1:28" x14ac:dyDescent="0.25">
      <c r="A1809" t="str">
        <f>"1805"</f>
        <v>1805</v>
      </c>
      <c r="B1809" t="str">
        <f t="shared" si="101"/>
        <v>1</v>
      </c>
      <c r="C1809" t="str">
        <f t="shared" si="103"/>
        <v>80</v>
      </c>
      <c r="D1809" t="str">
        <f>"19"</f>
        <v>19</v>
      </c>
      <c r="E1809" t="str">
        <f>"1-80-19"</f>
        <v>1-80-19</v>
      </c>
      <c r="F1809" t="s">
        <v>83</v>
      </c>
      <c r="G1809" t="s">
        <v>84</v>
      </c>
      <c r="H1809" t="s">
        <v>92</v>
      </c>
      <c r="I1809">
        <v>1</v>
      </c>
      <c r="J1809">
        <v>1</v>
      </c>
      <c r="N1809">
        <v>1</v>
      </c>
      <c r="O1809">
        <v>1</v>
      </c>
      <c r="P1809">
        <v>1</v>
      </c>
      <c r="Q1809">
        <v>1</v>
      </c>
      <c r="R1809">
        <v>1</v>
      </c>
      <c r="S1809">
        <v>1</v>
      </c>
      <c r="T1809">
        <v>0</v>
      </c>
      <c r="W1809">
        <v>1</v>
      </c>
      <c r="X1809">
        <v>1</v>
      </c>
      <c r="Y1809">
        <v>1</v>
      </c>
      <c r="Z1809">
        <v>1</v>
      </c>
      <c r="AA1809">
        <v>1</v>
      </c>
      <c r="AB1809">
        <v>1</v>
      </c>
    </row>
    <row r="1810" spans="1:28" x14ac:dyDescent="0.25">
      <c r="A1810" t="str">
        <f>"1806"</f>
        <v>1806</v>
      </c>
      <c r="B1810" t="str">
        <f t="shared" si="101"/>
        <v>1</v>
      </c>
      <c r="C1810" t="str">
        <f t="shared" si="103"/>
        <v>80</v>
      </c>
      <c r="D1810" t="str">
        <f>"12"</f>
        <v>12</v>
      </c>
      <c r="E1810" t="str">
        <f>"1-80-12"</f>
        <v>1-80-12</v>
      </c>
      <c r="F1810" t="s">
        <v>83</v>
      </c>
      <c r="G1810" t="s">
        <v>84</v>
      </c>
      <c r="H1810" t="s">
        <v>92</v>
      </c>
      <c r="I1810">
        <v>1</v>
      </c>
      <c r="J1810">
        <v>1</v>
      </c>
      <c r="N1810">
        <v>1</v>
      </c>
      <c r="O1810">
        <v>1</v>
      </c>
      <c r="P1810">
        <v>1</v>
      </c>
      <c r="Q1810">
        <v>1</v>
      </c>
      <c r="R1810">
        <v>1</v>
      </c>
      <c r="S1810">
        <v>1</v>
      </c>
      <c r="T1810">
        <v>1</v>
      </c>
      <c r="W1810">
        <v>1</v>
      </c>
      <c r="X1810">
        <v>1</v>
      </c>
      <c r="Y1810">
        <v>1</v>
      </c>
      <c r="Z1810">
        <v>1</v>
      </c>
      <c r="AA1810">
        <v>1</v>
      </c>
      <c r="AB1810">
        <v>1</v>
      </c>
    </row>
    <row r="1811" spans="1:28" x14ac:dyDescent="0.25">
      <c r="A1811" t="str">
        <f>"1807"</f>
        <v>1807</v>
      </c>
      <c r="B1811" t="str">
        <f t="shared" si="101"/>
        <v>1</v>
      </c>
      <c r="C1811" t="str">
        <f t="shared" si="103"/>
        <v>80</v>
      </c>
      <c r="D1811" t="str">
        <f>"2"</f>
        <v>2</v>
      </c>
      <c r="E1811" t="str">
        <f>"1-80-2"</f>
        <v>1-80-2</v>
      </c>
      <c r="F1811" t="s">
        <v>83</v>
      </c>
      <c r="G1811" t="s">
        <v>84</v>
      </c>
      <c r="H1811" t="s">
        <v>92</v>
      </c>
      <c r="I1811">
        <v>1</v>
      </c>
      <c r="J1811">
        <v>1</v>
      </c>
      <c r="N1811">
        <v>1</v>
      </c>
      <c r="O1811">
        <v>1</v>
      </c>
      <c r="P1811">
        <v>1</v>
      </c>
      <c r="Q1811">
        <v>1</v>
      </c>
      <c r="R1811">
        <v>1</v>
      </c>
      <c r="S1811">
        <v>1</v>
      </c>
      <c r="T1811">
        <v>1</v>
      </c>
      <c r="W1811">
        <v>1</v>
      </c>
      <c r="X1811">
        <v>1</v>
      </c>
      <c r="Y1811">
        <v>1</v>
      </c>
      <c r="Z1811">
        <v>1</v>
      </c>
      <c r="AA1811">
        <v>1</v>
      </c>
      <c r="AB1811">
        <v>0</v>
      </c>
    </row>
    <row r="1812" spans="1:28" x14ac:dyDescent="0.25">
      <c r="A1812" t="str">
        <f>"1808"</f>
        <v>1808</v>
      </c>
      <c r="B1812" t="str">
        <f t="shared" si="101"/>
        <v>1</v>
      </c>
      <c r="C1812" t="str">
        <f t="shared" si="103"/>
        <v>80</v>
      </c>
      <c r="D1812" t="str">
        <f>"20"</f>
        <v>20</v>
      </c>
      <c r="E1812" t="str">
        <f>"1-80-20"</f>
        <v>1-80-20</v>
      </c>
      <c r="F1812" t="s">
        <v>83</v>
      </c>
      <c r="G1812" t="s">
        <v>84</v>
      </c>
      <c r="H1812" t="s">
        <v>92</v>
      </c>
      <c r="I1812">
        <v>1</v>
      </c>
      <c r="J1812">
        <v>0</v>
      </c>
      <c r="N1812">
        <v>0</v>
      </c>
      <c r="O1812">
        <v>0</v>
      </c>
      <c r="P1812">
        <v>0</v>
      </c>
      <c r="Q1812">
        <v>0</v>
      </c>
      <c r="R1812">
        <v>1</v>
      </c>
      <c r="S1812">
        <v>0</v>
      </c>
      <c r="T1812">
        <v>0</v>
      </c>
      <c r="W1812">
        <v>0</v>
      </c>
      <c r="X1812">
        <v>1</v>
      </c>
      <c r="Y1812">
        <v>0</v>
      </c>
      <c r="Z1812">
        <v>1</v>
      </c>
      <c r="AA1812">
        <v>0</v>
      </c>
      <c r="AB1812">
        <v>0</v>
      </c>
    </row>
    <row r="1813" spans="1:28" x14ac:dyDescent="0.25">
      <c r="A1813" t="str">
        <f>"1809"</f>
        <v>1809</v>
      </c>
      <c r="B1813" t="str">
        <f t="shared" si="101"/>
        <v>1</v>
      </c>
      <c r="C1813" t="str">
        <f t="shared" si="103"/>
        <v>80</v>
      </c>
      <c r="D1813" t="str">
        <f>"13"</f>
        <v>13</v>
      </c>
      <c r="E1813" t="str">
        <f>"1-80-13"</f>
        <v>1-80-13</v>
      </c>
      <c r="F1813" t="s">
        <v>83</v>
      </c>
      <c r="G1813" t="s">
        <v>84</v>
      </c>
      <c r="H1813" t="s">
        <v>92</v>
      </c>
      <c r="I1813">
        <v>1</v>
      </c>
      <c r="J1813">
        <v>1</v>
      </c>
      <c r="N1813">
        <v>1</v>
      </c>
      <c r="O1813">
        <v>1</v>
      </c>
      <c r="P1813">
        <v>1</v>
      </c>
      <c r="Q1813">
        <v>1</v>
      </c>
      <c r="R1813">
        <v>1</v>
      </c>
      <c r="S1813">
        <v>1</v>
      </c>
      <c r="T1813">
        <v>1</v>
      </c>
      <c r="W1813">
        <v>1</v>
      </c>
      <c r="X1813">
        <v>1</v>
      </c>
      <c r="Y1813">
        <v>1</v>
      </c>
      <c r="Z1813">
        <v>1</v>
      </c>
      <c r="AA1813">
        <v>1</v>
      </c>
      <c r="AB1813">
        <v>1</v>
      </c>
    </row>
    <row r="1814" spans="1:28" x14ac:dyDescent="0.25">
      <c r="A1814" t="str">
        <f>"1810"</f>
        <v>1810</v>
      </c>
      <c r="B1814" t="str">
        <f t="shared" si="101"/>
        <v>1</v>
      </c>
      <c r="C1814" t="str">
        <f t="shared" si="103"/>
        <v>80</v>
      </c>
      <c r="D1814" t="str">
        <f>"4"</f>
        <v>4</v>
      </c>
      <c r="E1814" t="str">
        <f>"1-80-4"</f>
        <v>1-80-4</v>
      </c>
      <c r="F1814" t="s">
        <v>83</v>
      </c>
      <c r="G1814" t="s">
        <v>84</v>
      </c>
      <c r="H1814" t="s">
        <v>92</v>
      </c>
      <c r="I1814">
        <v>1</v>
      </c>
      <c r="J1814">
        <v>1</v>
      </c>
      <c r="N1814">
        <v>1</v>
      </c>
      <c r="O1814">
        <v>1</v>
      </c>
      <c r="P1814">
        <v>1</v>
      </c>
      <c r="Q1814">
        <v>1</v>
      </c>
      <c r="R1814">
        <v>1</v>
      </c>
      <c r="S1814">
        <v>1</v>
      </c>
      <c r="T1814">
        <v>1</v>
      </c>
      <c r="W1814">
        <v>1</v>
      </c>
      <c r="X1814">
        <v>1</v>
      </c>
      <c r="Y1814">
        <v>1</v>
      </c>
      <c r="Z1814">
        <v>1</v>
      </c>
      <c r="AA1814">
        <v>1</v>
      </c>
      <c r="AB1814">
        <v>1</v>
      </c>
    </row>
    <row r="1815" spans="1:28" x14ac:dyDescent="0.25">
      <c r="A1815" t="str">
        <f>"1811"</f>
        <v>1811</v>
      </c>
      <c r="B1815" t="str">
        <f t="shared" si="101"/>
        <v>1</v>
      </c>
      <c r="C1815" t="str">
        <f t="shared" si="103"/>
        <v>80</v>
      </c>
      <c r="D1815" t="str">
        <f>"21"</f>
        <v>21</v>
      </c>
      <c r="E1815" t="str">
        <f>"1-80-21"</f>
        <v>1-80-21</v>
      </c>
      <c r="F1815" t="s">
        <v>83</v>
      </c>
      <c r="G1815" t="s">
        <v>84</v>
      </c>
      <c r="H1815" t="s">
        <v>92</v>
      </c>
      <c r="I1815">
        <v>1</v>
      </c>
      <c r="J1815">
        <v>1</v>
      </c>
      <c r="N1815">
        <v>1</v>
      </c>
      <c r="O1815">
        <v>1</v>
      </c>
      <c r="P1815">
        <v>1</v>
      </c>
      <c r="Q1815">
        <v>1</v>
      </c>
      <c r="R1815">
        <v>1</v>
      </c>
      <c r="S1815">
        <v>1</v>
      </c>
      <c r="T1815">
        <v>1</v>
      </c>
      <c r="W1815">
        <v>1</v>
      </c>
      <c r="X1815">
        <v>1</v>
      </c>
      <c r="Y1815">
        <v>1</v>
      </c>
      <c r="Z1815">
        <v>1</v>
      </c>
      <c r="AA1815">
        <v>1</v>
      </c>
      <c r="AB1815">
        <v>1</v>
      </c>
    </row>
    <row r="1816" spans="1:28" x14ac:dyDescent="0.25">
      <c r="A1816" t="str">
        <f>"1812"</f>
        <v>1812</v>
      </c>
      <c r="B1816" t="str">
        <f t="shared" si="101"/>
        <v>1</v>
      </c>
      <c r="C1816" t="str">
        <f t="shared" si="103"/>
        <v>80</v>
      </c>
      <c r="D1816" t="str">
        <f>"14"</f>
        <v>14</v>
      </c>
      <c r="E1816" t="str">
        <f>"1-80-14"</f>
        <v>1-80-14</v>
      </c>
      <c r="F1816" t="s">
        <v>83</v>
      </c>
      <c r="G1816" t="s">
        <v>84</v>
      </c>
      <c r="H1816" t="s">
        <v>92</v>
      </c>
      <c r="I1816">
        <v>1</v>
      </c>
      <c r="J1816">
        <v>1</v>
      </c>
      <c r="N1816">
        <v>1</v>
      </c>
      <c r="O1816">
        <v>1</v>
      </c>
      <c r="P1816">
        <v>1</v>
      </c>
      <c r="Q1816">
        <v>1</v>
      </c>
      <c r="R1816">
        <v>1</v>
      </c>
      <c r="S1816">
        <v>1</v>
      </c>
      <c r="T1816">
        <v>1</v>
      </c>
      <c r="W1816">
        <v>1</v>
      </c>
      <c r="X1816">
        <v>1</v>
      </c>
      <c r="Y1816">
        <v>1</v>
      </c>
      <c r="Z1816">
        <v>1</v>
      </c>
      <c r="AA1816">
        <v>1</v>
      </c>
      <c r="AB1816">
        <v>1</v>
      </c>
    </row>
    <row r="1817" spans="1:28" x14ac:dyDescent="0.25">
      <c r="A1817" t="str">
        <f>"1813"</f>
        <v>1813</v>
      </c>
      <c r="B1817" t="str">
        <f t="shared" si="101"/>
        <v>1</v>
      </c>
      <c r="C1817" t="str">
        <f t="shared" si="103"/>
        <v>80</v>
      </c>
      <c r="D1817" t="str">
        <f>"6"</f>
        <v>6</v>
      </c>
      <c r="E1817" t="str">
        <f>"1-80-6"</f>
        <v>1-80-6</v>
      </c>
      <c r="F1817" t="s">
        <v>83</v>
      </c>
      <c r="G1817" t="s">
        <v>84</v>
      </c>
      <c r="H1817" t="s">
        <v>92</v>
      </c>
      <c r="I1817">
        <v>1</v>
      </c>
      <c r="J1817">
        <v>1</v>
      </c>
      <c r="N1817">
        <v>1</v>
      </c>
      <c r="O1817">
        <v>1</v>
      </c>
      <c r="P1817">
        <v>1</v>
      </c>
      <c r="Q1817">
        <v>1</v>
      </c>
      <c r="R1817">
        <v>1</v>
      </c>
      <c r="S1817">
        <v>1</v>
      </c>
      <c r="T1817">
        <v>1</v>
      </c>
      <c r="W1817">
        <v>1</v>
      </c>
      <c r="X1817">
        <v>1</v>
      </c>
      <c r="Y1817">
        <v>1</v>
      </c>
      <c r="Z1817">
        <v>1</v>
      </c>
      <c r="AA1817">
        <v>1</v>
      </c>
      <c r="AB1817">
        <v>1</v>
      </c>
    </row>
    <row r="1818" spans="1:28" x14ac:dyDescent="0.25">
      <c r="A1818" t="str">
        <f>"1814"</f>
        <v>1814</v>
      </c>
      <c r="B1818" t="str">
        <f t="shared" si="101"/>
        <v>1</v>
      </c>
      <c r="C1818" t="str">
        <f t="shared" si="103"/>
        <v>80</v>
      </c>
      <c r="D1818" t="str">
        <f>"1"</f>
        <v>1</v>
      </c>
      <c r="E1818" t="str">
        <f>"1-80-1"</f>
        <v>1-80-1</v>
      </c>
      <c r="F1818" t="s">
        <v>83</v>
      </c>
      <c r="G1818" t="s">
        <v>84</v>
      </c>
      <c r="H1818" t="s">
        <v>92</v>
      </c>
      <c r="I1818">
        <v>1</v>
      </c>
      <c r="J1818">
        <v>1</v>
      </c>
      <c r="N1818">
        <v>1</v>
      </c>
      <c r="O1818">
        <v>1</v>
      </c>
      <c r="P1818">
        <v>1</v>
      </c>
      <c r="Q1818">
        <v>1</v>
      </c>
      <c r="R1818">
        <v>1</v>
      </c>
      <c r="S1818">
        <v>1</v>
      </c>
      <c r="T1818">
        <v>1</v>
      </c>
      <c r="W1818">
        <v>1</v>
      </c>
      <c r="X1818">
        <v>1</v>
      </c>
      <c r="Y1818">
        <v>1</v>
      </c>
      <c r="Z1818">
        <v>1</v>
      </c>
      <c r="AA1818">
        <v>1</v>
      </c>
      <c r="AB1818">
        <v>1</v>
      </c>
    </row>
    <row r="1819" spans="1:28" x14ac:dyDescent="0.25">
      <c r="A1819" t="str">
        <f>"1815"</f>
        <v>1815</v>
      </c>
      <c r="B1819" t="str">
        <f t="shared" si="101"/>
        <v>1</v>
      </c>
      <c r="C1819" t="str">
        <f t="shared" ref="C1819:C1843" si="104">"81"</f>
        <v>81</v>
      </c>
      <c r="D1819" t="str">
        <f>"23"</f>
        <v>23</v>
      </c>
      <c r="E1819" t="str">
        <f>"1-81-23"</f>
        <v>1-81-23</v>
      </c>
      <c r="F1819" t="s">
        <v>83</v>
      </c>
      <c r="G1819" t="s">
        <v>84</v>
      </c>
      <c r="H1819" t="s">
        <v>92</v>
      </c>
      <c r="I1819">
        <v>1</v>
      </c>
      <c r="J1819">
        <v>1</v>
      </c>
      <c r="N1819">
        <v>1</v>
      </c>
      <c r="O1819">
        <v>1</v>
      </c>
      <c r="P1819">
        <v>1</v>
      </c>
      <c r="Q1819">
        <v>1</v>
      </c>
      <c r="R1819">
        <v>1</v>
      </c>
      <c r="S1819">
        <v>1</v>
      </c>
      <c r="T1819">
        <v>1</v>
      </c>
      <c r="W1819">
        <v>1</v>
      </c>
      <c r="X1819">
        <v>1</v>
      </c>
      <c r="Y1819">
        <v>1</v>
      </c>
      <c r="Z1819">
        <v>1</v>
      </c>
      <c r="AA1819">
        <v>1</v>
      </c>
      <c r="AB1819">
        <v>1</v>
      </c>
    </row>
    <row r="1820" spans="1:28" x14ac:dyDescent="0.25">
      <c r="A1820" t="str">
        <f>"1816"</f>
        <v>1816</v>
      </c>
      <c r="B1820" t="str">
        <f t="shared" si="101"/>
        <v>1</v>
      </c>
      <c r="C1820" t="str">
        <f t="shared" si="104"/>
        <v>81</v>
      </c>
      <c r="D1820" t="str">
        <f>"22"</f>
        <v>22</v>
      </c>
      <c r="E1820" t="str">
        <f>"1-81-22"</f>
        <v>1-81-22</v>
      </c>
      <c r="F1820" t="s">
        <v>83</v>
      </c>
      <c r="G1820" t="s">
        <v>84</v>
      </c>
      <c r="H1820" t="s">
        <v>92</v>
      </c>
      <c r="I1820">
        <v>1</v>
      </c>
      <c r="J1820">
        <v>1</v>
      </c>
      <c r="N1820">
        <v>1</v>
      </c>
      <c r="O1820">
        <v>1</v>
      </c>
      <c r="P1820">
        <v>1</v>
      </c>
      <c r="Q1820">
        <v>1</v>
      </c>
      <c r="R1820">
        <v>1</v>
      </c>
      <c r="S1820">
        <v>1</v>
      </c>
      <c r="T1820">
        <v>1</v>
      </c>
      <c r="W1820">
        <v>1</v>
      </c>
      <c r="X1820">
        <v>1</v>
      </c>
      <c r="Y1820">
        <v>1</v>
      </c>
      <c r="Z1820">
        <v>1</v>
      </c>
      <c r="AA1820">
        <v>1</v>
      </c>
      <c r="AB1820">
        <v>1</v>
      </c>
    </row>
    <row r="1821" spans="1:28" x14ac:dyDescent="0.25">
      <c r="A1821" t="str">
        <f>"1817"</f>
        <v>1817</v>
      </c>
      <c r="B1821" t="str">
        <f t="shared" si="101"/>
        <v>1</v>
      </c>
      <c r="C1821" t="str">
        <f t="shared" si="104"/>
        <v>81</v>
      </c>
      <c r="D1821" t="str">
        <f>"16"</f>
        <v>16</v>
      </c>
      <c r="E1821" t="str">
        <f>"1-81-16"</f>
        <v>1-81-16</v>
      </c>
      <c r="F1821" t="s">
        <v>83</v>
      </c>
      <c r="G1821" t="s">
        <v>84</v>
      </c>
      <c r="H1821" t="s">
        <v>92</v>
      </c>
      <c r="I1821">
        <v>1</v>
      </c>
      <c r="J1821">
        <v>1</v>
      </c>
      <c r="N1821">
        <v>1</v>
      </c>
      <c r="O1821">
        <v>1</v>
      </c>
      <c r="P1821">
        <v>1</v>
      </c>
      <c r="Q1821">
        <v>1</v>
      </c>
      <c r="R1821">
        <v>1</v>
      </c>
      <c r="S1821">
        <v>1</v>
      </c>
      <c r="T1821">
        <v>1</v>
      </c>
      <c r="W1821">
        <v>1</v>
      </c>
      <c r="X1821">
        <v>1</v>
      </c>
      <c r="Y1821">
        <v>1</v>
      </c>
      <c r="Z1821">
        <v>1</v>
      </c>
      <c r="AA1821">
        <v>1</v>
      </c>
      <c r="AB1821">
        <v>1</v>
      </c>
    </row>
    <row r="1822" spans="1:28" x14ac:dyDescent="0.25">
      <c r="A1822" t="str">
        <f>"1818"</f>
        <v>1818</v>
      </c>
      <c r="B1822" t="str">
        <f t="shared" ref="B1822:B1885" si="105">"1"</f>
        <v>1</v>
      </c>
      <c r="C1822" t="str">
        <f t="shared" si="104"/>
        <v>81</v>
      </c>
      <c r="D1822" t="str">
        <f>"8"</f>
        <v>8</v>
      </c>
      <c r="E1822" t="str">
        <f>"1-81-8"</f>
        <v>1-81-8</v>
      </c>
      <c r="F1822" t="s">
        <v>83</v>
      </c>
      <c r="G1822" t="s">
        <v>84</v>
      </c>
      <c r="H1822" t="s">
        <v>92</v>
      </c>
      <c r="I1822">
        <v>1</v>
      </c>
      <c r="J1822">
        <v>1</v>
      </c>
      <c r="N1822">
        <v>1</v>
      </c>
      <c r="O1822">
        <v>1</v>
      </c>
      <c r="P1822">
        <v>1</v>
      </c>
      <c r="Q1822">
        <v>1</v>
      </c>
      <c r="R1822">
        <v>1</v>
      </c>
      <c r="S1822">
        <v>1</v>
      </c>
      <c r="T1822">
        <v>1</v>
      </c>
      <c r="W1822">
        <v>1</v>
      </c>
      <c r="X1822">
        <v>1</v>
      </c>
      <c r="Y1822">
        <v>1</v>
      </c>
      <c r="Z1822">
        <v>1</v>
      </c>
      <c r="AA1822">
        <v>1</v>
      </c>
      <c r="AB1822">
        <v>1</v>
      </c>
    </row>
    <row r="1823" spans="1:28" x14ac:dyDescent="0.25">
      <c r="A1823" t="str">
        <f>"1819"</f>
        <v>1819</v>
      </c>
      <c r="B1823" t="str">
        <f t="shared" si="105"/>
        <v>1</v>
      </c>
      <c r="C1823" t="str">
        <f t="shared" si="104"/>
        <v>81</v>
      </c>
      <c r="D1823" t="str">
        <f>"5"</f>
        <v>5</v>
      </c>
      <c r="E1823" t="str">
        <f>"1-81-5"</f>
        <v>1-81-5</v>
      </c>
      <c r="F1823" t="s">
        <v>83</v>
      </c>
      <c r="G1823" t="s">
        <v>84</v>
      </c>
      <c r="H1823" t="s">
        <v>92</v>
      </c>
      <c r="I1823">
        <v>1</v>
      </c>
      <c r="J1823">
        <v>1</v>
      </c>
      <c r="N1823">
        <v>1</v>
      </c>
      <c r="O1823">
        <v>1</v>
      </c>
      <c r="P1823">
        <v>1</v>
      </c>
      <c r="Q1823">
        <v>1</v>
      </c>
      <c r="R1823">
        <v>1</v>
      </c>
      <c r="S1823">
        <v>1</v>
      </c>
      <c r="T1823">
        <v>1</v>
      </c>
      <c r="W1823">
        <v>1</v>
      </c>
      <c r="X1823">
        <v>1</v>
      </c>
      <c r="Y1823">
        <v>1</v>
      </c>
      <c r="Z1823">
        <v>1</v>
      </c>
      <c r="AA1823">
        <v>1</v>
      </c>
      <c r="AB1823">
        <v>1</v>
      </c>
    </row>
    <row r="1824" spans="1:28" x14ac:dyDescent="0.25">
      <c r="A1824" t="str">
        <f>"1820"</f>
        <v>1820</v>
      </c>
      <c r="B1824" t="str">
        <f t="shared" si="105"/>
        <v>1</v>
      </c>
      <c r="C1824" t="str">
        <f t="shared" si="104"/>
        <v>81</v>
      </c>
      <c r="D1824" t="str">
        <f>"25"</f>
        <v>25</v>
      </c>
      <c r="E1824" t="str">
        <f>"1-81-25"</f>
        <v>1-81-25</v>
      </c>
      <c r="F1824" t="s">
        <v>83</v>
      </c>
      <c r="G1824" t="s">
        <v>84</v>
      </c>
      <c r="H1824" t="s">
        <v>92</v>
      </c>
      <c r="I1824">
        <v>1</v>
      </c>
      <c r="J1824">
        <v>1</v>
      </c>
      <c r="N1824">
        <v>1</v>
      </c>
      <c r="O1824">
        <v>1</v>
      </c>
      <c r="P1824">
        <v>1</v>
      </c>
      <c r="Q1824">
        <v>1</v>
      </c>
      <c r="R1824">
        <v>1</v>
      </c>
      <c r="S1824">
        <v>1</v>
      </c>
      <c r="T1824">
        <v>1</v>
      </c>
      <c r="W1824">
        <v>1</v>
      </c>
      <c r="X1824">
        <v>1</v>
      </c>
      <c r="Y1824">
        <v>1</v>
      </c>
      <c r="Z1824">
        <v>1</v>
      </c>
      <c r="AA1824">
        <v>1</v>
      </c>
      <c r="AB1824">
        <v>1</v>
      </c>
    </row>
    <row r="1825" spans="1:28" x14ac:dyDescent="0.25">
      <c r="A1825" t="str">
        <f>"1821"</f>
        <v>1821</v>
      </c>
      <c r="B1825" t="str">
        <f t="shared" si="105"/>
        <v>1</v>
      </c>
      <c r="C1825" t="str">
        <f t="shared" si="104"/>
        <v>81</v>
      </c>
      <c r="D1825" t="str">
        <f>"24"</f>
        <v>24</v>
      </c>
      <c r="E1825" t="str">
        <f>"1-81-24"</f>
        <v>1-81-24</v>
      </c>
      <c r="F1825" t="s">
        <v>83</v>
      </c>
      <c r="G1825" t="s">
        <v>84</v>
      </c>
      <c r="H1825" t="s">
        <v>92</v>
      </c>
      <c r="I1825">
        <v>1</v>
      </c>
      <c r="J1825">
        <v>1</v>
      </c>
      <c r="N1825">
        <v>1</v>
      </c>
      <c r="O1825">
        <v>1</v>
      </c>
      <c r="P1825">
        <v>0</v>
      </c>
      <c r="Q1825">
        <v>0</v>
      </c>
      <c r="R1825">
        <v>0</v>
      </c>
      <c r="S1825">
        <v>1</v>
      </c>
      <c r="T1825">
        <v>0</v>
      </c>
      <c r="W1825">
        <v>1</v>
      </c>
      <c r="X1825">
        <v>1</v>
      </c>
      <c r="Y1825">
        <v>1</v>
      </c>
      <c r="Z1825">
        <v>0</v>
      </c>
      <c r="AA1825">
        <v>0</v>
      </c>
      <c r="AB1825">
        <v>0</v>
      </c>
    </row>
    <row r="1826" spans="1:28" x14ac:dyDescent="0.25">
      <c r="A1826" t="str">
        <f>"1822"</f>
        <v>1822</v>
      </c>
      <c r="B1826" t="str">
        <f t="shared" si="105"/>
        <v>1</v>
      </c>
      <c r="C1826" t="str">
        <f t="shared" si="104"/>
        <v>81</v>
      </c>
      <c r="D1826" t="str">
        <f>"15"</f>
        <v>15</v>
      </c>
      <c r="E1826" t="str">
        <f>"1-81-15"</f>
        <v>1-81-15</v>
      </c>
      <c r="F1826" t="s">
        <v>83</v>
      </c>
      <c r="G1826" t="s">
        <v>84</v>
      </c>
      <c r="H1826" t="s">
        <v>92</v>
      </c>
      <c r="I1826">
        <v>1</v>
      </c>
      <c r="J1826">
        <v>1</v>
      </c>
      <c r="N1826">
        <v>1</v>
      </c>
      <c r="O1826">
        <v>1</v>
      </c>
      <c r="P1826">
        <v>1</v>
      </c>
      <c r="Q1826">
        <v>1</v>
      </c>
      <c r="R1826">
        <v>1</v>
      </c>
      <c r="S1826">
        <v>1</v>
      </c>
      <c r="T1826">
        <v>1</v>
      </c>
      <c r="W1826">
        <v>1</v>
      </c>
      <c r="X1826">
        <v>1</v>
      </c>
      <c r="Y1826">
        <v>1</v>
      </c>
      <c r="Z1826">
        <v>1</v>
      </c>
      <c r="AA1826">
        <v>1</v>
      </c>
      <c r="AB1826">
        <v>1</v>
      </c>
    </row>
    <row r="1827" spans="1:28" x14ac:dyDescent="0.25">
      <c r="A1827" t="str">
        <f>"1823"</f>
        <v>1823</v>
      </c>
      <c r="B1827" t="str">
        <f t="shared" si="105"/>
        <v>1</v>
      </c>
      <c r="C1827" t="str">
        <f t="shared" si="104"/>
        <v>81</v>
      </c>
      <c r="D1827" t="str">
        <f>"9"</f>
        <v>9</v>
      </c>
      <c r="E1827" t="str">
        <f>"1-81-9"</f>
        <v>1-81-9</v>
      </c>
      <c r="F1827" t="s">
        <v>83</v>
      </c>
      <c r="G1827" t="s">
        <v>84</v>
      </c>
      <c r="H1827" t="s">
        <v>92</v>
      </c>
      <c r="I1827">
        <v>1</v>
      </c>
      <c r="J1827">
        <v>1</v>
      </c>
      <c r="N1827">
        <v>1</v>
      </c>
      <c r="O1827">
        <v>1</v>
      </c>
      <c r="P1827">
        <v>1</v>
      </c>
      <c r="Q1827">
        <v>1</v>
      </c>
      <c r="R1827">
        <v>1</v>
      </c>
      <c r="S1827">
        <v>1</v>
      </c>
      <c r="T1827">
        <v>1</v>
      </c>
      <c r="W1827">
        <v>1</v>
      </c>
      <c r="X1827">
        <v>1</v>
      </c>
      <c r="Y1827">
        <v>1</v>
      </c>
      <c r="Z1827">
        <v>1</v>
      </c>
      <c r="AA1827">
        <v>1</v>
      </c>
      <c r="AB1827">
        <v>1</v>
      </c>
    </row>
    <row r="1828" spans="1:28" x14ac:dyDescent="0.25">
      <c r="A1828" t="str">
        <f>"1824"</f>
        <v>1824</v>
      </c>
      <c r="B1828" t="str">
        <f t="shared" si="105"/>
        <v>1</v>
      </c>
      <c r="C1828" t="str">
        <f t="shared" si="104"/>
        <v>81</v>
      </c>
      <c r="D1828" t="str">
        <f>"2"</f>
        <v>2</v>
      </c>
      <c r="E1828" t="str">
        <f>"1-81-2"</f>
        <v>1-81-2</v>
      </c>
      <c r="F1828" t="s">
        <v>83</v>
      </c>
      <c r="G1828" t="s">
        <v>84</v>
      </c>
      <c r="H1828" t="s">
        <v>92</v>
      </c>
      <c r="I1828">
        <v>1</v>
      </c>
      <c r="J1828">
        <v>1</v>
      </c>
      <c r="N1828">
        <v>1</v>
      </c>
      <c r="O1828">
        <v>1</v>
      </c>
      <c r="P1828">
        <v>1</v>
      </c>
      <c r="Q1828">
        <v>1</v>
      </c>
      <c r="R1828">
        <v>1</v>
      </c>
      <c r="S1828">
        <v>1</v>
      </c>
      <c r="T1828">
        <v>1</v>
      </c>
      <c r="W1828">
        <v>1</v>
      </c>
      <c r="X1828">
        <v>1</v>
      </c>
      <c r="Y1828">
        <v>1</v>
      </c>
      <c r="Z1828">
        <v>1</v>
      </c>
      <c r="AA1828">
        <v>1</v>
      </c>
      <c r="AB1828">
        <v>1</v>
      </c>
    </row>
    <row r="1829" spans="1:28" x14ac:dyDescent="0.25">
      <c r="A1829" t="str">
        <f>"1825"</f>
        <v>1825</v>
      </c>
      <c r="B1829" t="str">
        <f t="shared" si="105"/>
        <v>1</v>
      </c>
      <c r="C1829" t="str">
        <f t="shared" si="104"/>
        <v>81</v>
      </c>
      <c r="D1829" t="str">
        <f>"17"</f>
        <v>17</v>
      </c>
      <c r="E1829" t="str">
        <f>"1-81-17"</f>
        <v>1-81-17</v>
      </c>
      <c r="F1829" t="s">
        <v>83</v>
      </c>
      <c r="G1829" t="s">
        <v>84</v>
      </c>
      <c r="H1829" t="s">
        <v>92</v>
      </c>
      <c r="I1829">
        <v>1</v>
      </c>
      <c r="J1829">
        <v>1</v>
      </c>
      <c r="N1829">
        <v>1</v>
      </c>
      <c r="O1829">
        <v>1</v>
      </c>
      <c r="P1829">
        <v>1</v>
      </c>
      <c r="Q1829">
        <v>1</v>
      </c>
      <c r="R1829">
        <v>1</v>
      </c>
      <c r="S1829">
        <v>1</v>
      </c>
      <c r="T1829">
        <v>1</v>
      </c>
      <c r="W1829">
        <v>1</v>
      </c>
      <c r="X1829">
        <v>1</v>
      </c>
      <c r="Y1829">
        <v>1</v>
      </c>
      <c r="Z1829">
        <v>1</v>
      </c>
      <c r="AA1829">
        <v>1</v>
      </c>
      <c r="AB1829">
        <v>1</v>
      </c>
    </row>
    <row r="1830" spans="1:28" x14ac:dyDescent="0.25">
      <c r="A1830" t="str">
        <f>"1826"</f>
        <v>1826</v>
      </c>
      <c r="B1830" t="str">
        <f t="shared" si="105"/>
        <v>1</v>
      </c>
      <c r="C1830" t="str">
        <f t="shared" si="104"/>
        <v>81</v>
      </c>
      <c r="D1830" t="str">
        <f>"10"</f>
        <v>10</v>
      </c>
      <c r="E1830" t="str">
        <f>"1-81-10"</f>
        <v>1-81-10</v>
      </c>
      <c r="F1830" t="s">
        <v>83</v>
      </c>
      <c r="G1830" t="s">
        <v>84</v>
      </c>
      <c r="H1830" t="s">
        <v>92</v>
      </c>
      <c r="I1830">
        <v>1</v>
      </c>
      <c r="J1830">
        <v>1</v>
      </c>
      <c r="N1830">
        <v>1</v>
      </c>
      <c r="O1830">
        <v>1</v>
      </c>
      <c r="P1830">
        <v>1</v>
      </c>
      <c r="Q1830">
        <v>1</v>
      </c>
      <c r="R1830">
        <v>1</v>
      </c>
      <c r="S1830">
        <v>1</v>
      </c>
      <c r="T1830">
        <v>1</v>
      </c>
      <c r="W1830">
        <v>1</v>
      </c>
      <c r="X1830">
        <v>1</v>
      </c>
      <c r="Y1830">
        <v>1</v>
      </c>
      <c r="Z1830">
        <v>1</v>
      </c>
      <c r="AA1830">
        <v>1</v>
      </c>
      <c r="AB1830">
        <v>1</v>
      </c>
    </row>
    <row r="1831" spans="1:28" x14ac:dyDescent="0.25">
      <c r="A1831" t="str">
        <f>"1827"</f>
        <v>1827</v>
      </c>
      <c r="B1831" t="str">
        <f t="shared" si="105"/>
        <v>1</v>
      </c>
      <c r="C1831" t="str">
        <f t="shared" si="104"/>
        <v>81</v>
      </c>
      <c r="D1831" t="str">
        <f>"1"</f>
        <v>1</v>
      </c>
      <c r="E1831" t="str">
        <f>"1-81-1"</f>
        <v>1-81-1</v>
      </c>
      <c r="F1831" t="s">
        <v>83</v>
      </c>
      <c r="G1831" t="s">
        <v>84</v>
      </c>
      <c r="H1831" t="s">
        <v>92</v>
      </c>
      <c r="I1831">
        <v>1</v>
      </c>
      <c r="J1831">
        <v>1</v>
      </c>
      <c r="N1831">
        <v>1</v>
      </c>
      <c r="O1831">
        <v>1</v>
      </c>
      <c r="P1831">
        <v>1</v>
      </c>
      <c r="Q1831">
        <v>1</v>
      </c>
      <c r="R1831">
        <v>1</v>
      </c>
      <c r="S1831">
        <v>1</v>
      </c>
      <c r="T1831">
        <v>1</v>
      </c>
      <c r="W1831">
        <v>1</v>
      </c>
      <c r="X1831">
        <v>1</v>
      </c>
      <c r="Y1831">
        <v>1</v>
      </c>
      <c r="Z1831">
        <v>1</v>
      </c>
      <c r="AA1831">
        <v>1</v>
      </c>
      <c r="AB1831">
        <v>1</v>
      </c>
    </row>
    <row r="1832" spans="1:28" x14ac:dyDescent="0.25">
      <c r="A1832" t="str">
        <f>"1828"</f>
        <v>1828</v>
      </c>
      <c r="B1832" t="str">
        <f t="shared" si="105"/>
        <v>1</v>
      </c>
      <c r="C1832" t="str">
        <f t="shared" si="104"/>
        <v>81</v>
      </c>
      <c r="D1832" t="str">
        <f>"18"</f>
        <v>18</v>
      </c>
      <c r="E1832" t="str">
        <f>"1-81-18"</f>
        <v>1-81-18</v>
      </c>
      <c r="F1832" t="s">
        <v>83</v>
      </c>
      <c r="G1832" t="s">
        <v>84</v>
      </c>
      <c r="H1832" t="s">
        <v>92</v>
      </c>
      <c r="I1832">
        <v>1</v>
      </c>
      <c r="J1832">
        <v>1</v>
      </c>
      <c r="N1832">
        <v>1</v>
      </c>
      <c r="O1832">
        <v>1</v>
      </c>
      <c r="P1832">
        <v>1</v>
      </c>
      <c r="Q1832">
        <v>1</v>
      </c>
      <c r="R1832">
        <v>1</v>
      </c>
      <c r="S1832">
        <v>1</v>
      </c>
      <c r="T1832">
        <v>1</v>
      </c>
      <c r="W1832">
        <v>1</v>
      </c>
      <c r="X1832">
        <v>1</v>
      </c>
      <c r="Y1832">
        <v>1</v>
      </c>
      <c r="Z1832">
        <v>1</v>
      </c>
      <c r="AA1832">
        <v>1</v>
      </c>
      <c r="AB1832">
        <v>1</v>
      </c>
    </row>
    <row r="1833" spans="1:28" x14ac:dyDescent="0.25">
      <c r="A1833" t="str">
        <f>"1829"</f>
        <v>1829</v>
      </c>
      <c r="B1833" t="str">
        <f t="shared" si="105"/>
        <v>1</v>
      </c>
      <c r="C1833" t="str">
        <f t="shared" si="104"/>
        <v>81</v>
      </c>
      <c r="D1833" t="str">
        <f>"11"</f>
        <v>11</v>
      </c>
      <c r="E1833" t="str">
        <f>"1-81-11"</f>
        <v>1-81-11</v>
      </c>
      <c r="F1833" t="s">
        <v>83</v>
      </c>
      <c r="G1833" t="s">
        <v>84</v>
      </c>
      <c r="H1833" t="s">
        <v>92</v>
      </c>
      <c r="I1833">
        <v>1</v>
      </c>
      <c r="J1833">
        <v>1</v>
      </c>
      <c r="N1833">
        <v>1</v>
      </c>
      <c r="O1833">
        <v>1</v>
      </c>
      <c r="P1833">
        <v>1</v>
      </c>
      <c r="Q1833">
        <v>1</v>
      </c>
      <c r="R1833">
        <v>1</v>
      </c>
      <c r="S1833">
        <v>1</v>
      </c>
      <c r="T1833">
        <v>1</v>
      </c>
      <c r="W1833">
        <v>1</v>
      </c>
      <c r="X1833">
        <v>1</v>
      </c>
      <c r="Y1833">
        <v>1</v>
      </c>
      <c r="Z1833">
        <v>1</v>
      </c>
      <c r="AA1833">
        <v>1</v>
      </c>
      <c r="AB1833">
        <v>1</v>
      </c>
    </row>
    <row r="1834" spans="1:28" x14ac:dyDescent="0.25">
      <c r="A1834" t="str">
        <f>"1830"</f>
        <v>1830</v>
      </c>
      <c r="B1834" t="str">
        <f t="shared" si="105"/>
        <v>1</v>
      </c>
      <c r="C1834" t="str">
        <f t="shared" si="104"/>
        <v>81</v>
      </c>
      <c r="D1834" t="str">
        <f>"6"</f>
        <v>6</v>
      </c>
      <c r="E1834" t="str">
        <f>"1-81-6"</f>
        <v>1-81-6</v>
      </c>
      <c r="F1834" t="s">
        <v>83</v>
      </c>
      <c r="G1834" t="s">
        <v>84</v>
      </c>
      <c r="H1834" t="s">
        <v>92</v>
      </c>
      <c r="I1834">
        <v>1</v>
      </c>
      <c r="J1834">
        <v>1</v>
      </c>
      <c r="N1834">
        <v>1</v>
      </c>
      <c r="O1834">
        <v>1</v>
      </c>
      <c r="P1834">
        <v>1</v>
      </c>
      <c r="Q1834">
        <v>1</v>
      </c>
      <c r="R1834">
        <v>1</v>
      </c>
      <c r="S1834">
        <v>1</v>
      </c>
      <c r="T1834">
        <v>1</v>
      </c>
      <c r="W1834">
        <v>1</v>
      </c>
      <c r="X1834">
        <v>1</v>
      </c>
      <c r="Y1834">
        <v>1</v>
      </c>
      <c r="Z1834">
        <v>1</v>
      </c>
      <c r="AA1834">
        <v>1</v>
      </c>
      <c r="AB1834">
        <v>1</v>
      </c>
    </row>
    <row r="1835" spans="1:28" x14ac:dyDescent="0.25">
      <c r="A1835" t="str">
        <f>"1831"</f>
        <v>1831</v>
      </c>
      <c r="B1835" t="str">
        <f t="shared" si="105"/>
        <v>1</v>
      </c>
      <c r="C1835" t="str">
        <f t="shared" si="104"/>
        <v>81</v>
      </c>
      <c r="D1835" t="str">
        <f>"19"</f>
        <v>19</v>
      </c>
      <c r="E1835" t="str">
        <f>"1-81-19"</f>
        <v>1-81-19</v>
      </c>
      <c r="F1835" t="s">
        <v>83</v>
      </c>
      <c r="G1835" t="s">
        <v>84</v>
      </c>
      <c r="H1835" t="s">
        <v>92</v>
      </c>
      <c r="I1835">
        <v>1</v>
      </c>
      <c r="J1835">
        <v>1</v>
      </c>
      <c r="N1835">
        <v>1</v>
      </c>
      <c r="O1835">
        <v>1</v>
      </c>
      <c r="P1835">
        <v>1</v>
      </c>
      <c r="Q1835">
        <v>1</v>
      </c>
      <c r="R1835">
        <v>1</v>
      </c>
      <c r="S1835">
        <v>1</v>
      </c>
      <c r="T1835">
        <v>1</v>
      </c>
      <c r="W1835">
        <v>1</v>
      </c>
      <c r="X1835">
        <v>1</v>
      </c>
      <c r="Y1835">
        <v>1</v>
      </c>
      <c r="Z1835">
        <v>1</v>
      </c>
      <c r="AA1835">
        <v>1</v>
      </c>
      <c r="AB1835">
        <v>1</v>
      </c>
    </row>
    <row r="1836" spans="1:28" x14ac:dyDescent="0.25">
      <c r="A1836" t="str">
        <f>"1832"</f>
        <v>1832</v>
      </c>
      <c r="B1836" t="str">
        <f t="shared" si="105"/>
        <v>1</v>
      </c>
      <c r="C1836" t="str">
        <f t="shared" si="104"/>
        <v>81</v>
      </c>
      <c r="D1836" t="str">
        <f>"12"</f>
        <v>12</v>
      </c>
      <c r="E1836" t="str">
        <f>"1-81-12"</f>
        <v>1-81-12</v>
      </c>
      <c r="F1836" t="s">
        <v>83</v>
      </c>
      <c r="G1836" t="s">
        <v>84</v>
      </c>
      <c r="H1836" t="s">
        <v>92</v>
      </c>
      <c r="I1836">
        <v>1</v>
      </c>
      <c r="J1836">
        <v>1</v>
      </c>
      <c r="N1836">
        <v>1</v>
      </c>
      <c r="O1836">
        <v>1</v>
      </c>
      <c r="P1836">
        <v>1</v>
      </c>
      <c r="Q1836">
        <v>1</v>
      </c>
      <c r="R1836">
        <v>1</v>
      </c>
      <c r="S1836">
        <v>1</v>
      </c>
      <c r="T1836">
        <v>1</v>
      </c>
      <c r="W1836">
        <v>1</v>
      </c>
      <c r="X1836">
        <v>1</v>
      </c>
      <c r="Y1836">
        <v>1</v>
      </c>
      <c r="Z1836">
        <v>1</v>
      </c>
      <c r="AA1836">
        <v>1</v>
      </c>
      <c r="AB1836">
        <v>1</v>
      </c>
    </row>
    <row r="1837" spans="1:28" x14ac:dyDescent="0.25">
      <c r="A1837" t="str">
        <f>"1833"</f>
        <v>1833</v>
      </c>
      <c r="B1837" t="str">
        <f t="shared" si="105"/>
        <v>1</v>
      </c>
      <c r="C1837" t="str">
        <f t="shared" si="104"/>
        <v>81</v>
      </c>
      <c r="D1837" t="str">
        <f>"7"</f>
        <v>7</v>
      </c>
      <c r="E1837" t="str">
        <f>"1-81-7"</f>
        <v>1-81-7</v>
      </c>
      <c r="F1837" t="s">
        <v>83</v>
      </c>
      <c r="G1837" t="s">
        <v>84</v>
      </c>
      <c r="H1837" t="s">
        <v>92</v>
      </c>
      <c r="I1837">
        <v>1</v>
      </c>
      <c r="J1837">
        <v>1</v>
      </c>
      <c r="N1837">
        <v>1</v>
      </c>
      <c r="O1837">
        <v>1</v>
      </c>
      <c r="P1837">
        <v>1</v>
      </c>
      <c r="Q1837">
        <v>1</v>
      </c>
      <c r="R1837">
        <v>1</v>
      </c>
      <c r="S1837">
        <v>1</v>
      </c>
      <c r="T1837">
        <v>1</v>
      </c>
      <c r="W1837">
        <v>1</v>
      </c>
      <c r="X1837">
        <v>1</v>
      </c>
      <c r="Y1837">
        <v>1</v>
      </c>
      <c r="Z1837">
        <v>1</v>
      </c>
      <c r="AA1837">
        <v>1</v>
      </c>
      <c r="AB1837">
        <v>1</v>
      </c>
    </row>
    <row r="1838" spans="1:28" x14ac:dyDescent="0.25">
      <c r="A1838" t="str">
        <f>"1834"</f>
        <v>1834</v>
      </c>
      <c r="B1838" t="str">
        <f t="shared" si="105"/>
        <v>1</v>
      </c>
      <c r="C1838" t="str">
        <f t="shared" si="104"/>
        <v>81</v>
      </c>
      <c r="D1838" t="str">
        <f>"20"</f>
        <v>20</v>
      </c>
      <c r="E1838" t="str">
        <f>"1-81-20"</f>
        <v>1-81-20</v>
      </c>
      <c r="F1838" t="s">
        <v>83</v>
      </c>
      <c r="G1838" t="s">
        <v>84</v>
      </c>
      <c r="H1838" t="s">
        <v>92</v>
      </c>
      <c r="I1838">
        <v>1</v>
      </c>
      <c r="J1838">
        <v>1</v>
      </c>
      <c r="N1838">
        <v>1</v>
      </c>
      <c r="O1838">
        <v>1</v>
      </c>
      <c r="P1838">
        <v>1</v>
      </c>
      <c r="Q1838">
        <v>1</v>
      </c>
      <c r="R1838">
        <v>1</v>
      </c>
      <c r="S1838">
        <v>1</v>
      </c>
      <c r="T1838">
        <v>1</v>
      </c>
      <c r="W1838">
        <v>1</v>
      </c>
      <c r="X1838">
        <v>1</v>
      </c>
      <c r="Y1838">
        <v>1</v>
      </c>
      <c r="Z1838">
        <v>1</v>
      </c>
      <c r="AA1838">
        <v>1</v>
      </c>
      <c r="AB1838">
        <v>1</v>
      </c>
    </row>
    <row r="1839" spans="1:28" x14ac:dyDescent="0.25">
      <c r="A1839" t="str">
        <f>"1835"</f>
        <v>1835</v>
      </c>
      <c r="B1839" t="str">
        <f t="shared" si="105"/>
        <v>1</v>
      </c>
      <c r="C1839" t="str">
        <f t="shared" si="104"/>
        <v>81</v>
      </c>
      <c r="D1839" t="str">
        <f>"13"</f>
        <v>13</v>
      </c>
      <c r="E1839" t="str">
        <f>"1-81-13"</f>
        <v>1-81-13</v>
      </c>
      <c r="F1839" t="s">
        <v>83</v>
      </c>
      <c r="G1839" t="s">
        <v>84</v>
      </c>
      <c r="H1839" t="s">
        <v>92</v>
      </c>
      <c r="I1839">
        <v>1</v>
      </c>
      <c r="J1839">
        <v>1</v>
      </c>
      <c r="N1839">
        <v>1</v>
      </c>
      <c r="O1839">
        <v>1</v>
      </c>
      <c r="P1839">
        <v>1</v>
      </c>
      <c r="Q1839">
        <v>1</v>
      </c>
      <c r="R1839">
        <v>1</v>
      </c>
      <c r="S1839">
        <v>1</v>
      </c>
      <c r="T1839">
        <v>1</v>
      </c>
      <c r="W1839">
        <v>1</v>
      </c>
      <c r="X1839">
        <v>1</v>
      </c>
      <c r="Y1839">
        <v>1</v>
      </c>
      <c r="Z1839">
        <v>1</v>
      </c>
      <c r="AA1839">
        <v>1</v>
      </c>
      <c r="AB1839">
        <v>1</v>
      </c>
    </row>
    <row r="1840" spans="1:28" x14ac:dyDescent="0.25">
      <c r="A1840" t="str">
        <f>"1836"</f>
        <v>1836</v>
      </c>
      <c r="B1840" t="str">
        <f t="shared" si="105"/>
        <v>1</v>
      </c>
      <c r="C1840" t="str">
        <f t="shared" si="104"/>
        <v>81</v>
      </c>
      <c r="D1840" t="str">
        <f>"3"</f>
        <v>3</v>
      </c>
      <c r="E1840" t="str">
        <f>"1-81-3"</f>
        <v>1-81-3</v>
      </c>
      <c r="F1840" t="s">
        <v>83</v>
      </c>
      <c r="G1840" t="s">
        <v>84</v>
      </c>
      <c r="H1840" t="s">
        <v>92</v>
      </c>
      <c r="I1840">
        <v>1</v>
      </c>
      <c r="J1840">
        <v>1</v>
      </c>
      <c r="N1840">
        <v>1</v>
      </c>
      <c r="O1840">
        <v>1</v>
      </c>
      <c r="P1840">
        <v>1</v>
      </c>
      <c r="Q1840">
        <v>1</v>
      </c>
      <c r="R1840">
        <v>1</v>
      </c>
      <c r="S1840">
        <v>1</v>
      </c>
      <c r="T1840">
        <v>1</v>
      </c>
      <c r="W1840">
        <v>1</v>
      </c>
      <c r="X1840">
        <v>1</v>
      </c>
      <c r="Y1840">
        <v>1</v>
      </c>
      <c r="Z1840">
        <v>1</v>
      </c>
      <c r="AA1840">
        <v>1</v>
      </c>
      <c r="AB1840">
        <v>1</v>
      </c>
    </row>
    <row r="1841" spans="1:28" x14ac:dyDescent="0.25">
      <c r="A1841" t="str">
        <f>"1837"</f>
        <v>1837</v>
      </c>
      <c r="B1841" t="str">
        <f t="shared" si="105"/>
        <v>1</v>
      </c>
      <c r="C1841" t="str">
        <f t="shared" si="104"/>
        <v>81</v>
      </c>
      <c r="D1841" t="str">
        <f>"21"</f>
        <v>21</v>
      </c>
      <c r="E1841" t="str">
        <f>"1-81-21"</f>
        <v>1-81-21</v>
      </c>
      <c r="F1841" t="s">
        <v>83</v>
      </c>
      <c r="G1841" t="s">
        <v>84</v>
      </c>
      <c r="H1841" t="s">
        <v>92</v>
      </c>
      <c r="I1841">
        <v>1</v>
      </c>
      <c r="J1841">
        <v>1</v>
      </c>
      <c r="N1841">
        <v>1</v>
      </c>
      <c r="O1841">
        <v>1</v>
      </c>
      <c r="P1841">
        <v>1</v>
      </c>
      <c r="Q1841">
        <v>1</v>
      </c>
      <c r="R1841">
        <v>1</v>
      </c>
      <c r="S1841">
        <v>1</v>
      </c>
      <c r="T1841">
        <v>1</v>
      </c>
      <c r="W1841">
        <v>1</v>
      </c>
      <c r="X1841">
        <v>1</v>
      </c>
      <c r="Y1841">
        <v>1</v>
      </c>
      <c r="Z1841">
        <v>1</v>
      </c>
      <c r="AA1841">
        <v>1</v>
      </c>
      <c r="AB1841">
        <v>1</v>
      </c>
    </row>
    <row r="1842" spans="1:28" x14ac:dyDescent="0.25">
      <c r="A1842" t="str">
        <f>"1838"</f>
        <v>1838</v>
      </c>
      <c r="B1842" t="str">
        <f t="shared" si="105"/>
        <v>1</v>
      </c>
      <c r="C1842" t="str">
        <f t="shared" si="104"/>
        <v>81</v>
      </c>
      <c r="D1842" t="str">
        <f>"14"</f>
        <v>14</v>
      </c>
      <c r="E1842" t="str">
        <f>"1-81-14"</f>
        <v>1-81-14</v>
      </c>
      <c r="F1842" t="s">
        <v>83</v>
      </c>
      <c r="G1842" t="s">
        <v>84</v>
      </c>
      <c r="H1842" t="s">
        <v>92</v>
      </c>
      <c r="I1842">
        <v>1</v>
      </c>
      <c r="J1842">
        <v>1</v>
      </c>
      <c r="N1842">
        <v>1</v>
      </c>
      <c r="O1842">
        <v>1</v>
      </c>
      <c r="P1842">
        <v>1</v>
      </c>
      <c r="Q1842">
        <v>1</v>
      </c>
      <c r="R1842">
        <v>1</v>
      </c>
      <c r="S1842">
        <v>1</v>
      </c>
      <c r="T1842">
        <v>1</v>
      </c>
      <c r="W1842">
        <v>1</v>
      </c>
      <c r="X1842">
        <v>1</v>
      </c>
      <c r="Y1842">
        <v>1</v>
      </c>
      <c r="Z1842">
        <v>1</v>
      </c>
      <c r="AA1842">
        <v>1</v>
      </c>
      <c r="AB1842">
        <v>1</v>
      </c>
    </row>
    <row r="1843" spans="1:28" x14ac:dyDescent="0.25">
      <c r="A1843" t="str">
        <f>"1839"</f>
        <v>1839</v>
      </c>
      <c r="B1843" t="str">
        <f t="shared" si="105"/>
        <v>1</v>
      </c>
      <c r="C1843" t="str">
        <f t="shared" si="104"/>
        <v>81</v>
      </c>
      <c r="D1843" t="str">
        <f>"4"</f>
        <v>4</v>
      </c>
      <c r="E1843" t="str">
        <f>"1-81-4"</f>
        <v>1-81-4</v>
      </c>
      <c r="F1843" t="s">
        <v>83</v>
      </c>
      <c r="G1843" t="s">
        <v>84</v>
      </c>
      <c r="H1843" t="s">
        <v>92</v>
      </c>
      <c r="I1843">
        <v>1</v>
      </c>
      <c r="J1843">
        <v>1</v>
      </c>
      <c r="N1843">
        <v>1</v>
      </c>
      <c r="O1843">
        <v>1</v>
      </c>
      <c r="P1843">
        <v>1</v>
      </c>
      <c r="Q1843">
        <v>1</v>
      </c>
      <c r="R1843">
        <v>1</v>
      </c>
      <c r="S1843">
        <v>1</v>
      </c>
      <c r="T1843">
        <v>1</v>
      </c>
      <c r="W1843">
        <v>1</v>
      </c>
      <c r="X1843">
        <v>1</v>
      </c>
      <c r="Y1843">
        <v>1</v>
      </c>
      <c r="Z1843">
        <v>1</v>
      </c>
      <c r="AA1843">
        <v>1</v>
      </c>
      <c r="AB1843">
        <v>1</v>
      </c>
    </row>
    <row r="1844" spans="1:28" x14ac:dyDescent="0.25">
      <c r="A1844" t="str">
        <f>"1840"</f>
        <v>1840</v>
      </c>
      <c r="B1844" t="str">
        <f t="shared" si="105"/>
        <v>1</v>
      </c>
      <c r="C1844" t="str">
        <f t="shared" ref="C1844:C1868" si="106">"82"</f>
        <v>82</v>
      </c>
      <c r="D1844" t="str">
        <f>"23"</f>
        <v>23</v>
      </c>
      <c r="E1844" t="str">
        <f>"1-82-23"</f>
        <v>1-82-23</v>
      </c>
      <c r="F1844" t="s">
        <v>83</v>
      </c>
      <c r="G1844" t="s">
        <v>84</v>
      </c>
      <c r="H1844" t="s">
        <v>92</v>
      </c>
      <c r="I1844">
        <v>1</v>
      </c>
      <c r="J1844">
        <v>1</v>
      </c>
      <c r="N1844">
        <v>1</v>
      </c>
      <c r="O1844">
        <v>1</v>
      </c>
      <c r="P1844">
        <v>1</v>
      </c>
      <c r="Q1844">
        <v>1</v>
      </c>
      <c r="R1844">
        <v>1</v>
      </c>
      <c r="S1844">
        <v>1</v>
      </c>
      <c r="T1844">
        <v>1</v>
      </c>
      <c r="W1844">
        <v>1</v>
      </c>
      <c r="X1844">
        <v>1</v>
      </c>
      <c r="Y1844">
        <v>1</v>
      </c>
      <c r="Z1844">
        <v>1</v>
      </c>
      <c r="AA1844">
        <v>1</v>
      </c>
      <c r="AB1844">
        <v>1</v>
      </c>
    </row>
    <row r="1845" spans="1:28" x14ac:dyDescent="0.25">
      <c r="A1845" t="str">
        <f>"1841"</f>
        <v>1841</v>
      </c>
      <c r="B1845" t="str">
        <f t="shared" si="105"/>
        <v>1</v>
      </c>
      <c r="C1845" t="str">
        <f t="shared" si="106"/>
        <v>82</v>
      </c>
      <c r="D1845" t="str">
        <f>"22"</f>
        <v>22</v>
      </c>
      <c r="E1845" t="str">
        <f>"1-82-22"</f>
        <v>1-82-22</v>
      </c>
      <c r="F1845" t="s">
        <v>83</v>
      </c>
      <c r="G1845" t="s">
        <v>84</v>
      </c>
      <c r="H1845" t="s">
        <v>92</v>
      </c>
      <c r="I1845">
        <v>1</v>
      </c>
      <c r="J1845">
        <v>1</v>
      </c>
      <c r="N1845">
        <v>1</v>
      </c>
      <c r="O1845">
        <v>1</v>
      </c>
      <c r="P1845">
        <v>1</v>
      </c>
      <c r="Q1845">
        <v>1</v>
      </c>
      <c r="R1845">
        <v>1</v>
      </c>
      <c r="S1845">
        <v>1</v>
      </c>
      <c r="T1845">
        <v>1</v>
      </c>
      <c r="W1845">
        <v>1</v>
      </c>
      <c r="X1845">
        <v>1</v>
      </c>
      <c r="Y1845">
        <v>1</v>
      </c>
      <c r="Z1845">
        <v>1</v>
      </c>
      <c r="AA1845">
        <v>1</v>
      </c>
      <c r="AB1845">
        <v>1</v>
      </c>
    </row>
    <row r="1846" spans="1:28" x14ac:dyDescent="0.25">
      <c r="A1846" t="str">
        <f>"1842"</f>
        <v>1842</v>
      </c>
      <c r="B1846" t="str">
        <f t="shared" si="105"/>
        <v>1</v>
      </c>
      <c r="C1846" t="str">
        <f t="shared" si="106"/>
        <v>82</v>
      </c>
      <c r="D1846" t="str">
        <f>"15"</f>
        <v>15</v>
      </c>
      <c r="E1846" t="str">
        <f>"1-82-15"</f>
        <v>1-82-15</v>
      </c>
      <c r="F1846" t="s">
        <v>83</v>
      </c>
      <c r="G1846" t="s">
        <v>84</v>
      </c>
      <c r="H1846" t="s">
        <v>92</v>
      </c>
      <c r="I1846">
        <v>1</v>
      </c>
      <c r="J1846">
        <v>1</v>
      </c>
      <c r="N1846">
        <v>1</v>
      </c>
      <c r="O1846">
        <v>1</v>
      </c>
      <c r="P1846">
        <v>1</v>
      </c>
      <c r="Q1846">
        <v>1</v>
      </c>
      <c r="R1846">
        <v>1</v>
      </c>
      <c r="S1846">
        <v>1</v>
      </c>
      <c r="T1846">
        <v>1</v>
      </c>
      <c r="W1846">
        <v>1</v>
      </c>
      <c r="X1846">
        <v>1</v>
      </c>
      <c r="Y1846">
        <v>1</v>
      </c>
      <c r="Z1846">
        <v>1</v>
      </c>
      <c r="AA1846">
        <v>1</v>
      </c>
      <c r="AB1846">
        <v>1</v>
      </c>
    </row>
    <row r="1847" spans="1:28" x14ac:dyDescent="0.25">
      <c r="A1847" t="str">
        <f>"1843"</f>
        <v>1843</v>
      </c>
      <c r="B1847" t="str">
        <f t="shared" si="105"/>
        <v>1</v>
      </c>
      <c r="C1847" t="str">
        <f t="shared" si="106"/>
        <v>82</v>
      </c>
      <c r="D1847" t="str">
        <f>"14"</f>
        <v>14</v>
      </c>
      <c r="E1847" t="str">
        <f>"1-82-14"</f>
        <v>1-82-14</v>
      </c>
      <c r="F1847" t="s">
        <v>83</v>
      </c>
      <c r="G1847" t="s">
        <v>84</v>
      </c>
      <c r="H1847" t="s">
        <v>92</v>
      </c>
      <c r="I1847">
        <v>1</v>
      </c>
      <c r="J1847">
        <v>1</v>
      </c>
      <c r="N1847">
        <v>1</v>
      </c>
      <c r="O1847">
        <v>1</v>
      </c>
      <c r="P1847">
        <v>1</v>
      </c>
      <c r="Q1847">
        <v>1</v>
      </c>
      <c r="R1847">
        <v>1</v>
      </c>
      <c r="S1847">
        <v>1</v>
      </c>
      <c r="T1847">
        <v>1</v>
      </c>
      <c r="W1847">
        <v>1</v>
      </c>
      <c r="X1847">
        <v>1</v>
      </c>
      <c r="Y1847">
        <v>1</v>
      </c>
      <c r="Z1847">
        <v>1</v>
      </c>
      <c r="AA1847">
        <v>1</v>
      </c>
      <c r="AB1847">
        <v>1</v>
      </c>
    </row>
    <row r="1848" spans="1:28" x14ac:dyDescent="0.25">
      <c r="A1848" t="str">
        <f>"1844"</f>
        <v>1844</v>
      </c>
      <c r="B1848" t="str">
        <f t="shared" si="105"/>
        <v>1</v>
      </c>
      <c r="C1848" t="str">
        <f t="shared" si="106"/>
        <v>82</v>
      </c>
      <c r="D1848" t="str">
        <f>"11"</f>
        <v>11</v>
      </c>
      <c r="E1848" t="str">
        <f>"1-82-11"</f>
        <v>1-82-11</v>
      </c>
      <c r="F1848" t="s">
        <v>83</v>
      </c>
      <c r="G1848" t="s">
        <v>84</v>
      </c>
      <c r="H1848" t="s">
        <v>92</v>
      </c>
      <c r="I1848">
        <v>1</v>
      </c>
      <c r="J1848">
        <v>1</v>
      </c>
      <c r="N1848">
        <v>1</v>
      </c>
      <c r="O1848">
        <v>1</v>
      </c>
      <c r="P1848">
        <v>1</v>
      </c>
      <c r="Q1848">
        <v>1</v>
      </c>
      <c r="R1848">
        <v>1</v>
      </c>
      <c r="S1848">
        <v>1</v>
      </c>
      <c r="T1848">
        <v>1</v>
      </c>
      <c r="W1848">
        <v>1</v>
      </c>
      <c r="X1848">
        <v>1</v>
      </c>
      <c r="Y1848">
        <v>1</v>
      </c>
      <c r="Z1848">
        <v>1</v>
      </c>
      <c r="AA1848">
        <v>1</v>
      </c>
      <c r="AB1848">
        <v>1</v>
      </c>
    </row>
    <row r="1849" spans="1:28" x14ac:dyDescent="0.25">
      <c r="A1849" t="str">
        <f>"1845"</f>
        <v>1845</v>
      </c>
      <c r="B1849" t="str">
        <f t="shared" si="105"/>
        <v>1</v>
      </c>
      <c r="C1849" t="str">
        <f t="shared" si="106"/>
        <v>82</v>
      </c>
      <c r="D1849" t="str">
        <f>"8"</f>
        <v>8</v>
      </c>
      <c r="E1849" t="str">
        <f>"1-82-8"</f>
        <v>1-82-8</v>
      </c>
      <c r="F1849" t="s">
        <v>83</v>
      </c>
      <c r="G1849" t="s">
        <v>84</v>
      </c>
      <c r="H1849" t="s">
        <v>92</v>
      </c>
      <c r="I1849">
        <v>1</v>
      </c>
      <c r="J1849">
        <v>1</v>
      </c>
      <c r="N1849">
        <v>1</v>
      </c>
      <c r="O1849">
        <v>1</v>
      </c>
      <c r="P1849">
        <v>1</v>
      </c>
      <c r="Q1849">
        <v>1</v>
      </c>
      <c r="R1849">
        <v>0</v>
      </c>
      <c r="S1849">
        <v>1</v>
      </c>
      <c r="T1849">
        <v>1</v>
      </c>
      <c r="W1849">
        <v>1</v>
      </c>
      <c r="X1849">
        <v>1</v>
      </c>
      <c r="Y1849">
        <v>1</v>
      </c>
      <c r="Z1849">
        <v>1</v>
      </c>
      <c r="AA1849">
        <v>1</v>
      </c>
      <c r="AB1849">
        <v>1</v>
      </c>
    </row>
    <row r="1850" spans="1:28" x14ac:dyDescent="0.25">
      <c r="A1850" t="str">
        <f>"1846"</f>
        <v>1846</v>
      </c>
      <c r="B1850" t="str">
        <f t="shared" si="105"/>
        <v>1</v>
      </c>
      <c r="C1850" t="str">
        <f t="shared" si="106"/>
        <v>82</v>
      </c>
      <c r="D1850" t="str">
        <f>"1"</f>
        <v>1</v>
      </c>
      <c r="E1850" t="str">
        <f>"1-82-1"</f>
        <v>1-82-1</v>
      </c>
      <c r="F1850" t="s">
        <v>83</v>
      </c>
      <c r="G1850" t="s">
        <v>84</v>
      </c>
      <c r="H1850" t="s">
        <v>92</v>
      </c>
      <c r="I1850">
        <v>1</v>
      </c>
      <c r="J1850">
        <v>1</v>
      </c>
      <c r="N1850">
        <v>1</v>
      </c>
      <c r="O1850">
        <v>1</v>
      </c>
      <c r="P1850">
        <v>1</v>
      </c>
      <c r="Q1850">
        <v>1</v>
      </c>
      <c r="R1850">
        <v>1</v>
      </c>
      <c r="S1850">
        <v>1</v>
      </c>
      <c r="T1850">
        <v>1</v>
      </c>
      <c r="W1850">
        <v>1</v>
      </c>
      <c r="X1850">
        <v>1</v>
      </c>
      <c r="Y1850">
        <v>1</v>
      </c>
      <c r="Z1850">
        <v>1</v>
      </c>
      <c r="AA1850">
        <v>1</v>
      </c>
      <c r="AB1850">
        <v>1</v>
      </c>
    </row>
    <row r="1851" spans="1:28" x14ac:dyDescent="0.25">
      <c r="A1851" t="str">
        <f>"1847"</f>
        <v>1847</v>
      </c>
      <c r="B1851" t="str">
        <f t="shared" si="105"/>
        <v>1</v>
      </c>
      <c r="C1851" t="str">
        <f t="shared" si="106"/>
        <v>82</v>
      </c>
      <c r="D1851" t="str">
        <f>"25"</f>
        <v>25</v>
      </c>
      <c r="E1851" t="str">
        <f>"1-82-25"</f>
        <v>1-82-25</v>
      </c>
      <c r="F1851" t="s">
        <v>83</v>
      </c>
      <c r="G1851" t="s">
        <v>84</v>
      </c>
      <c r="H1851" t="s">
        <v>92</v>
      </c>
      <c r="I1851">
        <v>1</v>
      </c>
      <c r="J1851">
        <v>1</v>
      </c>
      <c r="N1851">
        <v>1</v>
      </c>
      <c r="O1851">
        <v>1</v>
      </c>
      <c r="P1851">
        <v>1</v>
      </c>
      <c r="Q1851">
        <v>1</v>
      </c>
      <c r="R1851">
        <v>1</v>
      </c>
      <c r="S1851">
        <v>1</v>
      </c>
      <c r="T1851">
        <v>1</v>
      </c>
      <c r="W1851">
        <v>1</v>
      </c>
      <c r="X1851">
        <v>1</v>
      </c>
      <c r="Y1851">
        <v>1</v>
      </c>
      <c r="Z1851">
        <v>1</v>
      </c>
      <c r="AA1851">
        <v>1</v>
      </c>
      <c r="AB1851">
        <v>1</v>
      </c>
    </row>
    <row r="1852" spans="1:28" x14ac:dyDescent="0.25">
      <c r="A1852" t="str">
        <f>"1848"</f>
        <v>1848</v>
      </c>
      <c r="B1852" t="str">
        <f t="shared" si="105"/>
        <v>1</v>
      </c>
      <c r="C1852" t="str">
        <f t="shared" si="106"/>
        <v>82</v>
      </c>
      <c r="D1852" t="str">
        <f>"24"</f>
        <v>24</v>
      </c>
      <c r="E1852" t="str">
        <f>"1-82-24"</f>
        <v>1-82-24</v>
      </c>
      <c r="F1852" t="s">
        <v>83</v>
      </c>
      <c r="G1852" t="s">
        <v>84</v>
      </c>
      <c r="H1852" t="s">
        <v>92</v>
      </c>
      <c r="I1852">
        <v>1</v>
      </c>
      <c r="J1852">
        <v>1</v>
      </c>
      <c r="N1852">
        <v>1</v>
      </c>
      <c r="O1852">
        <v>1</v>
      </c>
      <c r="P1852">
        <v>1</v>
      </c>
      <c r="Q1852">
        <v>1</v>
      </c>
      <c r="R1852">
        <v>1</v>
      </c>
      <c r="S1852">
        <v>1</v>
      </c>
      <c r="T1852">
        <v>1</v>
      </c>
      <c r="W1852">
        <v>1</v>
      </c>
      <c r="X1852">
        <v>1</v>
      </c>
      <c r="Y1852">
        <v>1</v>
      </c>
      <c r="Z1852">
        <v>1</v>
      </c>
      <c r="AA1852">
        <v>1</v>
      </c>
      <c r="AB1852">
        <v>1</v>
      </c>
    </row>
    <row r="1853" spans="1:28" x14ac:dyDescent="0.25">
      <c r="A1853" t="str">
        <f>"1849"</f>
        <v>1849</v>
      </c>
      <c r="B1853" t="str">
        <f t="shared" si="105"/>
        <v>1</v>
      </c>
      <c r="C1853" t="str">
        <f t="shared" si="106"/>
        <v>82</v>
      </c>
      <c r="D1853" t="str">
        <f>"19"</f>
        <v>19</v>
      </c>
      <c r="E1853" t="str">
        <f>"1-82-19"</f>
        <v>1-82-19</v>
      </c>
      <c r="F1853" t="s">
        <v>83</v>
      </c>
      <c r="G1853" t="s">
        <v>84</v>
      </c>
      <c r="H1853" t="s">
        <v>92</v>
      </c>
      <c r="I1853">
        <v>1</v>
      </c>
      <c r="J1853">
        <v>1</v>
      </c>
      <c r="N1853">
        <v>1</v>
      </c>
      <c r="O1853">
        <v>1</v>
      </c>
      <c r="P1853">
        <v>1</v>
      </c>
      <c r="Q1853">
        <v>1</v>
      </c>
      <c r="R1853">
        <v>1</v>
      </c>
      <c r="S1853">
        <v>1</v>
      </c>
      <c r="T1853">
        <v>1</v>
      </c>
      <c r="W1853">
        <v>1</v>
      </c>
      <c r="X1853">
        <v>1</v>
      </c>
      <c r="Y1853">
        <v>1</v>
      </c>
      <c r="Z1853">
        <v>1</v>
      </c>
      <c r="AA1853">
        <v>1</v>
      </c>
      <c r="AB1853">
        <v>1</v>
      </c>
    </row>
    <row r="1854" spans="1:28" x14ac:dyDescent="0.25">
      <c r="A1854" t="str">
        <f>"1850"</f>
        <v>1850</v>
      </c>
      <c r="B1854" t="str">
        <f t="shared" si="105"/>
        <v>1</v>
      </c>
      <c r="C1854" t="str">
        <f t="shared" si="106"/>
        <v>82</v>
      </c>
      <c r="D1854" t="str">
        <f>"9"</f>
        <v>9</v>
      </c>
      <c r="E1854" t="str">
        <f>"1-82-9"</f>
        <v>1-82-9</v>
      </c>
      <c r="F1854" t="s">
        <v>83</v>
      </c>
      <c r="G1854" t="s">
        <v>84</v>
      </c>
      <c r="H1854" t="s">
        <v>92</v>
      </c>
      <c r="I1854">
        <v>1</v>
      </c>
      <c r="J1854">
        <v>1</v>
      </c>
      <c r="N1854">
        <v>1</v>
      </c>
      <c r="O1854">
        <v>1</v>
      </c>
      <c r="P1854">
        <v>1</v>
      </c>
      <c r="Q1854">
        <v>1</v>
      </c>
      <c r="R1854">
        <v>1</v>
      </c>
      <c r="S1854">
        <v>1</v>
      </c>
      <c r="T1854">
        <v>1</v>
      </c>
      <c r="W1854">
        <v>1</v>
      </c>
      <c r="X1854">
        <v>1</v>
      </c>
      <c r="Y1854">
        <v>1</v>
      </c>
      <c r="Z1854">
        <v>1</v>
      </c>
      <c r="AA1854">
        <v>1</v>
      </c>
      <c r="AB1854">
        <v>1</v>
      </c>
    </row>
    <row r="1855" spans="1:28" x14ac:dyDescent="0.25">
      <c r="A1855" t="str">
        <f>"1851"</f>
        <v>1851</v>
      </c>
      <c r="B1855" t="str">
        <f t="shared" si="105"/>
        <v>1</v>
      </c>
      <c r="C1855" t="str">
        <f t="shared" si="106"/>
        <v>82</v>
      </c>
      <c r="D1855" t="str">
        <f>"3"</f>
        <v>3</v>
      </c>
      <c r="E1855" t="str">
        <f>"1-82-3"</f>
        <v>1-82-3</v>
      </c>
      <c r="F1855" t="s">
        <v>83</v>
      </c>
      <c r="G1855" t="s">
        <v>84</v>
      </c>
      <c r="H1855" t="s">
        <v>92</v>
      </c>
      <c r="I1855">
        <v>1</v>
      </c>
      <c r="J1855">
        <v>1</v>
      </c>
      <c r="N1855">
        <v>1</v>
      </c>
      <c r="O1855">
        <v>1</v>
      </c>
      <c r="P1855">
        <v>1</v>
      </c>
      <c r="Q1855">
        <v>1</v>
      </c>
      <c r="R1855">
        <v>1</v>
      </c>
      <c r="S1855">
        <v>1</v>
      </c>
      <c r="T1855">
        <v>1</v>
      </c>
      <c r="W1855">
        <v>1</v>
      </c>
      <c r="X1855">
        <v>1</v>
      </c>
      <c r="Y1855">
        <v>1</v>
      </c>
      <c r="Z1855">
        <v>1</v>
      </c>
      <c r="AA1855">
        <v>1</v>
      </c>
      <c r="AB1855">
        <v>1</v>
      </c>
    </row>
    <row r="1856" spans="1:28" x14ac:dyDescent="0.25">
      <c r="A1856" t="str">
        <f>"1852"</f>
        <v>1852</v>
      </c>
      <c r="B1856" t="str">
        <f t="shared" si="105"/>
        <v>1</v>
      </c>
      <c r="C1856" t="str">
        <f t="shared" si="106"/>
        <v>82</v>
      </c>
      <c r="D1856" t="str">
        <f>"16"</f>
        <v>16</v>
      </c>
      <c r="E1856" t="str">
        <f>"1-82-16"</f>
        <v>1-82-16</v>
      </c>
      <c r="F1856" t="s">
        <v>83</v>
      </c>
      <c r="G1856" t="s">
        <v>84</v>
      </c>
      <c r="H1856" t="s">
        <v>92</v>
      </c>
      <c r="I1856">
        <v>1</v>
      </c>
      <c r="J1856">
        <v>1</v>
      </c>
      <c r="N1856">
        <v>1</v>
      </c>
      <c r="O1856">
        <v>1</v>
      </c>
      <c r="P1856">
        <v>1</v>
      </c>
      <c r="Q1856">
        <v>1</v>
      </c>
      <c r="R1856">
        <v>1</v>
      </c>
      <c r="S1856">
        <v>1</v>
      </c>
      <c r="T1856">
        <v>1</v>
      </c>
      <c r="W1856">
        <v>1</v>
      </c>
      <c r="X1856">
        <v>1</v>
      </c>
      <c r="Y1856">
        <v>1</v>
      </c>
      <c r="Z1856">
        <v>1</v>
      </c>
      <c r="AA1856">
        <v>1</v>
      </c>
      <c r="AB1856">
        <v>1</v>
      </c>
    </row>
    <row r="1857" spans="1:28" x14ac:dyDescent="0.25">
      <c r="A1857" t="str">
        <f>"1853"</f>
        <v>1853</v>
      </c>
      <c r="B1857" t="str">
        <f t="shared" si="105"/>
        <v>1</v>
      </c>
      <c r="C1857" t="str">
        <f t="shared" si="106"/>
        <v>82</v>
      </c>
      <c r="D1857" t="str">
        <f>"10"</f>
        <v>10</v>
      </c>
      <c r="E1857" t="str">
        <f>"1-82-10"</f>
        <v>1-82-10</v>
      </c>
      <c r="F1857" t="s">
        <v>83</v>
      </c>
      <c r="G1857" t="s">
        <v>84</v>
      </c>
      <c r="H1857" t="s">
        <v>92</v>
      </c>
      <c r="I1857">
        <v>1</v>
      </c>
      <c r="J1857">
        <v>1</v>
      </c>
      <c r="N1857">
        <v>1</v>
      </c>
      <c r="O1857">
        <v>1</v>
      </c>
      <c r="P1857">
        <v>1</v>
      </c>
      <c r="Q1857">
        <v>1</v>
      </c>
      <c r="R1857">
        <v>1</v>
      </c>
      <c r="S1857">
        <v>1</v>
      </c>
      <c r="T1857">
        <v>1</v>
      </c>
      <c r="W1857">
        <v>1</v>
      </c>
      <c r="X1857">
        <v>1</v>
      </c>
      <c r="Y1857">
        <v>1</v>
      </c>
      <c r="Z1857">
        <v>1</v>
      </c>
      <c r="AA1857">
        <v>1</v>
      </c>
      <c r="AB1857">
        <v>1</v>
      </c>
    </row>
    <row r="1858" spans="1:28" x14ac:dyDescent="0.25">
      <c r="A1858" t="str">
        <f>"1854"</f>
        <v>1854</v>
      </c>
      <c r="B1858" t="str">
        <f t="shared" si="105"/>
        <v>1</v>
      </c>
      <c r="C1858" t="str">
        <f t="shared" si="106"/>
        <v>82</v>
      </c>
      <c r="D1858" t="str">
        <f>"6"</f>
        <v>6</v>
      </c>
      <c r="E1858" t="str">
        <f>"1-82-6"</f>
        <v>1-82-6</v>
      </c>
      <c r="F1858" t="s">
        <v>83</v>
      </c>
      <c r="G1858" t="s">
        <v>84</v>
      </c>
      <c r="H1858" t="s">
        <v>92</v>
      </c>
      <c r="I1858">
        <v>1</v>
      </c>
      <c r="J1858">
        <v>1</v>
      </c>
      <c r="N1858">
        <v>1</v>
      </c>
      <c r="O1858">
        <v>1</v>
      </c>
      <c r="P1858">
        <v>1</v>
      </c>
      <c r="Q1858">
        <v>1</v>
      </c>
      <c r="R1858">
        <v>1</v>
      </c>
      <c r="S1858">
        <v>1</v>
      </c>
      <c r="T1858">
        <v>1</v>
      </c>
      <c r="W1858">
        <v>1</v>
      </c>
      <c r="X1858">
        <v>1</v>
      </c>
      <c r="Y1858">
        <v>1</v>
      </c>
      <c r="Z1858">
        <v>1</v>
      </c>
      <c r="AA1858">
        <v>1</v>
      </c>
      <c r="AB1858">
        <v>1</v>
      </c>
    </row>
    <row r="1859" spans="1:28" x14ac:dyDescent="0.25">
      <c r="A1859" t="str">
        <f>"1855"</f>
        <v>1855</v>
      </c>
      <c r="B1859" t="str">
        <f t="shared" si="105"/>
        <v>1</v>
      </c>
      <c r="C1859" t="str">
        <f t="shared" si="106"/>
        <v>82</v>
      </c>
      <c r="D1859" t="str">
        <f>"20"</f>
        <v>20</v>
      </c>
      <c r="E1859" t="str">
        <f>"1-82-20"</f>
        <v>1-82-20</v>
      </c>
      <c r="F1859" t="s">
        <v>83</v>
      </c>
      <c r="G1859" t="s">
        <v>84</v>
      </c>
      <c r="H1859" t="s">
        <v>92</v>
      </c>
      <c r="I1859">
        <v>1</v>
      </c>
      <c r="J1859">
        <v>1</v>
      </c>
      <c r="N1859">
        <v>1</v>
      </c>
      <c r="O1859">
        <v>1</v>
      </c>
      <c r="P1859">
        <v>1</v>
      </c>
      <c r="Q1859">
        <v>1</v>
      </c>
      <c r="R1859">
        <v>1</v>
      </c>
      <c r="S1859">
        <v>1</v>
      </c>
      <c r="T1859">
        <v>1</v>
      </c>
      <c r="W1859">
        <v>1</v>
      </c>
      <c r="X1859">
        <v>1</v>
      </c>
      <c r="Y1859">
        <v>1</v>
      </c>
      <c r="Z1859">
        <v>1</v>
      </c>
      <c r="AA1859">
        <v>1</v>
      </c>
      <c r="AB1859">
        <v>1</v>
      </c>
    </row>
    <row r="1860" spans="1:28" x14ac:dyDescent="0.25">
      <c r="A1860" t="str">
        <f>"1856"</f>
        <v>1856</v>
      </c>
      <c r="B1860" t="str">
        <f t="shared" si="105"/>
        <v>1</v>
      </c>
      <c r="C1860" t="str">
        <f t="shared" si="106"/>
        <v>82</v>
      </c>
      <c r="D1860" t="str">
        <f>"12"</f>
        <v>12</v>
      </c>
      <c r="E1860" t="str">
        <f>"1-82-12"</f>
        <v>1-82-12</v>
      </c>
      <c r="F1860" t="s">
        <v>83</v>
      </c>
      <c r="G1860" t="s">
        <v>84</v>
      </c>
      <c r="H1860" t="s">
        <v>92</v>
      </c>
      <c r="I1860">
        <v>1</v>
      </c>
      <c r="J1860">
        <v>1</v>
      </c>
      <c r="N1860">
        <v>1</v>
      </c>
      <c r="O1860">
        <v>1</v>
      </c>
      <c r="P1860">
        <v>1</v>
      </c>
      <c r="Q1860">
        <v>1</v>
      </c>
      <c r="R1860">
        <v>1</v>
      </c>
      <c r="S1860">
        <v>1</v>
      </c>
      <c r="T1860">
        <v>1</v>
      </c>
      <c r="W1860">
        <v>1</v>
      </c>
      <c r="X1860">
        <v>1</v>
      </c>
      <c r="Y1860">
        <v>1</v>
      </c>
      <c r="Z1860">
        <v>1</v>
      </c>
      <c r="AA1860">
        <v>1</v>
      </c>
      <c r="AB1860">
        <v>1</v>
      </c>
    </row>
    <row r="1861" spans="1:28" x14ac:dyDescent="0.25">
      <c r="A1861" t="str">
        <f>"1857"</f>
        <v>1857</v>
      </c>
      <c r="B1861" t="str">
        <f t="shared" si="105"/>
        <v>1</v>
      </c>
      <c r="C1861" t="str">
        <f t="shared" si="106"/>
        <v>82</v>
      </c>
      <c r="D1861" t="str">
        <f>"5"</f>
        <v>5</v>
      </c>
      <c r="E1861" t="str">
        <f>"1-82-5"</f>
        <v>1-82-5</v>
      </c>
      <c r="F1861" t="s">
        <v>83</v>
      </c>
      <c r="G1861" t="s">
        <v>84</v>
      </c>
      <c r="H1861" t="s">
        <v>92</v>
      </c>
      <c r="I1861">
        <v>1</v>
      </c>
      <c r="J1861">
        <v>1</v>
      </c>
      <c r="N1861">
        <v>1</v>
      </c>
      <c r="O1861">
        <v>1</v>
      </c>
      <c r="P1861">
        <v>1</v>
      </c>
      <c r="Q1861">
        <v>1</v>
      </c>
      <c r="R1861">
        <v>0</v>
      </c>
      <c r="S1861">
        <v>1</v>
      </c>
      <c r="T1861">
        <v>0</v>
      </c>
      <c r="W1861">
        <v>1</v>
      </c>
      <c r="X1861">
        <v>1</v>
      </c>
      <c r="Y1861">
        <v>1</v>
      </c>
      <c r="Z1861">
        <v>1</v>
      </c>
      <c r="AA1861">
        <v>1</v>
      </c>
      <c r="AB1861">
        <v>1</v>
      </c>
    </row>
    <row r="1862" spans="1:28" x14ac:dyDescent="0.25">
      <c r="A1862" t="str">
        <f>"1858"</f>
        <v>1858</v>
      </c>
      <c r="B1862" t="str">
        <f t="shared" si="105"/>
        <v>1</v>
      </c>
      <c r="C1862" t="str">
        <f t="shared" si="106"/>
        <v>82</v>
      </c>
      <c r="D1862" t="str">
        <f>"21"</f>
        <v>21</v>
      </c>
      <c r="E1862" t="str">
        <f>"1-82-21"</f>
        <v>1-82-21</v>
      </c>
      <c r="F1862" t="s">
        <v>83</v>
      </c>
      <c r="G1862" t="s">
        <v>84</v>
      </c>
      <c r="H1862" t="s">
        <v>92</v>
      </c>
      <c r="I1862">
        <v>1</v>
      </c>
      <c r="J1862">
        <v>1</v>
      </c>
      <c r="N1862">
        <v>1</v>
      </c>
      <c r="O1862">
        <v>1</v>
      </c>
      <c r="P1862">
        <v>1</v>
      </c>
      <c r="Q1862">
        <v>1</v>
      </c>
      <c r="R1862">
        <v>1</v>
      </c>
      <c r="S1862">
        <v>1</v>
      </c>
      <c r="T1862">
        <v>1</v>
      </c>
      <c r="W1862">
        <v>1</v>
      </c>
      <c r="X1862">
        <v>1</v>
      </c>
      <c r="Y1862">
        <v>1</v>
      </c>
      <c r="Z1862">
        <v>1</v>
      </c>
      <c r="AA1862">
        <v>1</v>
      </c>
      <c r="AB1862">
        <v>1</v>
      </c>
    </row>
    <row r="1863" spans="1:28" x14ac:dyDescent="0.25">
      <c r="A1863" t="str">
        <f>"1859"</f>
        <v>1859</v>
      </c>
      <c r="B1863" t="str">
        <f t="shared" si="105"/>
        <v>1</v>
      </c>
      <c r="C1863" t="str">
        <f t="shared" si="106"/>
        <v>82</v>
      </c>
      <c r="D1863" t="str">
        <f>"13"</f>
        <v>13</v>
      </c>
      <c r="E1863" t="str">
        <f>"1-82-13"</f>
        <v>1-82-13</v>
      </c>
      <c r="F1863" t="s">
        <v>83</v>
      </c>
      <c r="G1863" t="s">
        <v>84</v>
      </c>
      <c r="H1863" t="s">
        <v>92</v>
      </c>
      <c r="I1863">
        <v>1</v>
      </c>
      <c r="J1863">
        <v>1</v>
      </c>
      <c r="N1863">
        <v>1</v>
      </c>
      <c r="O1863">
        <v>1</v>
      </c>
      <c r="P1863">
        <v>1</v>
      </c>
      <c r="Q1863">
        <v>1</v>
      </c>
      <c r="R1863">
        <v>1</v>
      </c>
      <c r="S1863">
        <v>1</v>
      </c>
      <c r="T1863">
        <v>1</v>
      </c>
      <c r="W1863">
        <v>1</v>
      </c>
      <c r="X1863">
        <v>1</v>
      </c>
      <c r="Y1863">
        <v>1</v>
      </c>
      <c r="Z1863">
        <v>1</v>
      </c>
      <c r="AA1863">
        <v>1</v>
      </c>
      <c r="AB1863">
        <v>1</v>
      </c>
    </row>
    <row r="1864" spans="1:28" x14ac:dyDescent="0.25">
      <c r="A1864" t="str">
        <f>"1860"</f>
        <v>1860</v>
      </c>
      <c r="B1864" t="str">
        <f t="shared" si="105"/>
        <v>1</v>
      </c>
      <c r="C1864" t="str">
        <f t="shared" si="106"/>
        <v>82</v>
      </c>
      <c r="D1864" t="str">
        <f>"4"</f>
        <v>4</v>
      </c>
      <c r="E1864" t="str">
        <f>"1-82-4"</f>
        <v>1-82-4</v>
      </c>
      <c r="F1864" t="s">
        <v>83</v>
      </c>
      <c r="G1864" t="s">
        <v>84</v>
      </c>
      <c r="H1864" t="s">
        <v>92</v>
      </c>
      <c r="I1864">
        <v>1</v>
      </c>
      <c r="J1864">
        <v>1</v>
      </c>
      <c r="N1864">
        <v>1</v>
      </c>
      <c r="O1864">
        <v>1</v>
      </c>
      <c r="P1864">
        <v>1</v>
      </c>
      <c r="Q1864">
        <v>1</v>
      </c>
      <c r="R1864">
        <v>1</v>
      </c>
      <c r="S1864">
        <v>1</v>
      </c>
      <c r="T1864">
        <v>1</v>
      </c>
      <c r="W1864">
        <v>1</v>
      </c>
      <c r="X1864">
        <v>1</v>
      </c>
      <c r="Y1864">
        <v>1</v>
      </c>
      <c r="Z1864">
        <v>1</v>
      </c>
      <c r="AA1864">
        <v>1</v>
      </c>
      <c r="AB1864">
        <v>1</v>
      </c>
    </row>
    <row r="1865" spans="1:28" x14ac:dyDescent="0.25">
      <c r="A1865" t="str">
        <f>"1861"</f>
        <v>1861</v>
      </c>
      <c r="B1865" t="str">
        <f t="shared" si="105"/>
        <v>1</v>
      </c>
      <c r="C1865" t="str">
        <f t="shared" si="106"/>
        <v>82</v>
      </c>
      <c r="D1865" t="str">
        <f>"17"</f>
        <v>17</v>
      </c>
      <c r="E1865" t="str">
        <f>"1-82-17"</f>
        <v>1-82-17</v>
      </c>
      <c r="F1865" t="s">
        <v>83</v>
      </c>
      <c r="G1865" t="s">
        <v>84</v>
      </c>
      <c r="H1865" t="s">
        <v>92</v>
      </c>
      <c r="I1865">
        <v>1</v>
      </c>
      <c r="J1865">
        <v>1</v>
      </c>
      <c r="N1865">
        <v>1</v>
      </c>
      <c r="O1865">
        <v>1</v>
      </c>
      <c r="P1865">
        <v>1</v>
      </c>
      <c r="Q1865">
        <v>1</v>
      </c>
      <c r="R1865">
        <v>1</v>
      </c>
      <c r="S1865">
        <v>1</v>
      </c>
      <c r="T1865">
        <v>1</v>
      </c>
      <c r="W1865">
        <v>1</v>
      </c>
      <c r="X1865">
        <v>1</v>
      </c>
      <c r="Y1865">
        <v>1</v>
      </c>
      <c r="Z1865">
        <v>1</v>
      </c>
      <c r="AA1865">
        <v>1</v>
      </c>
      <c r="AB1865">
        <v>1</v>
      </c>
    </row>
    <row r="1866" spans="1:28" x14ac:dyDescent="0.25">
      <c r="A1866" t="str">
        <f>"1862"</f>
        <v>1862</v>
      </c>
      <c r="B1866" t="str">
        <f t="shared" si="105"/>
        <v>1</v>
      </c>
      <c r="C1866" t="str">
        <f t="shared" si="106"/>
        <v>82</v>
      </c>
      <c r="D1866" t="str">
        <f>"2"</f>
        <v>2</v>
      </c>
      <c r="E1866" t="str">
        <f>"1-82-2"</f>
        <v>1-82-2</v>
      </c>
      <c r="F1866" t="s">
        <v>83</v>
      </c>
      <c r="G1866" t="s">
        <v>84</v>
      </c>
      <c r="H1866" t="s">
        <v>92</v>
      </c>
      <c r="I1866">
        <v>1</v>
      </c>
      <c r="J1866">
        <v>1</v>
      </c>
      <c r="N1866">
        <v>1</v>
      </c>
      <c r="O1866">
        <v>1</v>
      </c>
      <c r="P1866">
        <v>1</v>
      </c>
      <c r="Q1866">
        <v>1</v>
      </c>
      <c r="R1866">
        <v>1</v>
      </c>
      <c r="S1866">
        <v>1</v>
      </c>
      <c r="T1866">
        <v>1</v>
      </c>
      <c r="W1866">
        <v>1</v>
      </c>
      <c r="X1866">
        <v>1</v>
      </c>
      <c r="Y1866">
        <v>1</v>
      </c>
      <c r="Z1866">
        <v>1</v>
      </c>
      <c r="AA1866">
        <v>1</v>
      </c>
      <c r="AB1866">
        <v>1</v>
      </c>
    </row>
    <row r="1867" spans="1:28" x14ac:dyDescent="0.25">
      <c r="A1867" t="str">
        <f>"1863"</f>
        <v>1863</v>
      </c>
      <c r="B1867" t="str">
        <f t="shared" si="105"/>
        <v>1</v>
      </c>
      <c r="C1867" t="str">
        <f t="shared" si="106"/>
        <v>82</v>
      </c>
      <c r="D1867" t="str">
        <f>"18"</f>
        <v>18</v>
      </c>
      <c r="E1867" t="str">
        <f>"1-82-18"</f>
        <v>1-82-18</v>
      </c>
      <c r="F1867" t="s">
        <v>83</v>
      </c>
      <c r="G1867" t="s">
        <v>84</v>
      </c>
      <c r="H1867" t="s">
        <v>92</v>
      </c>
      <c r="I1867">
        <v>1</v>
      </c>
      <c r="J1867">
        <v>1</v>
      </c>
      <c r="N1867">
        <v>1</v>
      </c>
      <c r="O1867">
        <v>1</v>
      </c>
      <c r="P1867">
        <v>1</v>
      </c>
      <c r="Q1867">
        <v>1</v>
      </c>
      <c r="R1867">
        <v>1</v>
      </c>
      <c r="S1867">
        <v>1</v>
      </c>
      <c r="T1867">
        <v>1</v>
      </c>
      <c r="W1867">
        <v>1</v>
      </c>
      <c r="X1867">
        <v>1</v>
      </c>
      <c r="Y1867">
        <v>1</v>
      </c>
      <c r="Z1867">
        <v>1</v>
      </c>
      <c r="AA1867">
        <v>1</v>
      </c>
      <c r="AB1867">
        <v>1</v>
      </c>
    </row>
    <row r="1868" spans="1:28" x14ac:dyDescent="0.25">
      <c r="A1868" t="str">
        <f>"1864"</f>
        <v>1864</v>
      </c>
      <c r="B1868" t="str">
        <f t="shared" si="105"/>
        <v>1</v>
      </c>
      <c r="C1868" t="str">
        <f t="shared" si="106"/>
        <v>82</v>
      </c>
      <c r="D1868" t="str">
        <f>"7"</f>
        <v>7</v>
      </c>
      <c r="E1868" t="str">
        <f>"1-82-7"</f>
        <v>1-82-7</v>
      </c>
      <c r="F1868" t="s">
        <v>83</v>
      </c>
      <c r="G1868" t="s">
        <v>84</v>
      </c>
      <c r="H1868" t="s">
        <v>92</v>
      </c>
      <c r="I1868">
        <v>1</v>
      </c>
      <c r="J1868">
        <v>1</v>
      </c>
      <c r="N1868">
        <v>1</v>
      </c>
      <c r="O1868">
        <v>1</v>
      </c>
      <c r="P1868">
        <v>1</v>
      </c>
      <c r="Q1868">
        <v>1</v>
      </c>
      <c r="R1868">
        <v>1</v>
      </c>
      <c r="S1868">
        <v>1</v>
      </c>
      <c r="T1868">
        <v>1</v>
      </c>
      <c r="W1868">
        <v>1</v>
      </c>
      <c r="X1868">
        <v>1</v>
      </c>
      <c r="Y1868">
        <v>1</v>
      </c>
      <c r="Z1868">
        <v>1</v>
      </c>
      <c r="AA1868">
        <v>1</v>
      </c>
      <c r="AB1868">
        <v>1</v>
      </c>
    </row>
    <row r="1869" spans="1:28" x14ac:dyDescent="0.25">
      <c r="A1869" t="str">
        <f>"1865"</f>
        <v>1865</v>
      </c>
      <c r="B1869" t="str">
        <f t="shared" si="105"/>
        <v>1</v>
      </c>
      <c r="C1869" t="str">
        <f t="shared" ref="C1869:C1893" si="107">"83"</f>
        <v>83</v>
      </c>
      <c r="D1869" t="str">
        <f>"25"</f>
        <v>25</v>
      </c>
      <c r="E1869" t="str">
        <f>"1-83-25"</f>
        <v>1-83-25</v>
      </c>
      <c r="F1869" t="s">
        <v>83</v>
      </c>
      <c r="G1869" t="s">
        <v>86</v>
      </c>
      <c r="H1869" t="s">
        <v>93</v>
      </c>
      <c r="I1869">
        <v>1</v>
      </c>
      <c r="K1869">
        <v>0</v>
      </c>
      <c r="L1869">
        <v>0</v>
      </c>
      <c r="M1869">
        <v>1</v>
      </c>
      <c r="N1869">
        <v>1</v>
      </c>
      <c r="O1869">
        <v>1</v>
      </c>
      <c r="P1869">
        <v>1</v>
      </c>
      <c r="Q1869">
        <v>0</v>
      </c>
      <c r="R1869">
        <v>0</v>
      </c>
      <c r="U1869">
        <v>1</v>
      </c>
      <c r="V1869">
        <v>0</v>
      </c>
      <c r="W1869">
        <v>0</v>
      </c>
      <c r="X1869">
        <v>1</v>
      </c>
      <c r="Y1869">
        <v>1</v>
      </c>
      <c r="Z1869">
        <v>1</v>
      </c>
      <c r="AA1869">
        <v>1</v>
      </c>
      <c r="AB1869">
        <v>1</v>
      </c>
    </row>
    <row r="1870" spans="1:28" x14ac:dyDescent="0.25">
      <c r="A1870" t="str">
        <f>"1866"</f>
        <v>1866</v>
      </c>
      <c r="B1870" t="str">
        <f t="shared" si="105"/>
        <v>1</v>
      </c>
      <c r="C1870" t="str">
        <f t="shared" si="107"/>
        <v>83</v>
      </c>
      <c r="D1870" t="str">
        <f>"16"</f>
        <v>16</v>
      </c>
      <c r="E1870" t="str">
        <f>"1-83-16"</f>
        <v>1-83-16</v>
      </c>
      <c r="F1870" t="s">
        <v>83</v>
      </c>
      <c r="G1870" t="s">
        <v>86</v>
      </c>
      <c r="H1870" t="s">
        <v>93</v>
      </c>
      <c r="I1870">
        <v>1</v>
      </c>
      <c r="K1870">
        <v>0</v>
      </c>
      <c r="L1870">
        <v>0</v>
      </c>
      <c r="M1870">
        <v>1</v>
      </c>
      <c r="N1870">
        <v>1</v>
      </c>
      <c r="O1870">
        <v>1</v>
      </c>
      <c r="P1870">
        <v>1</v>
      </c>
      <c r="Q1870">
        <v>1</v>
      </c>
      <c r="R1870">
        <v>1</v>
      </c>
      <c r="U1870">
        <v>1</v>
      </c>
      <c r="V1870">
        <v>0</v>
      </c>
      <c r="W1870">
        <v>1</v>
      </c>
      <c r="X1870">
        <v>1</v>
      </c>
      <c r="Y1870">
        <v>1</v>
      </c>
      <c r="Z1870">
        <v>1</v>
      </c>
      <c r="AA1870">
        <v>1</v>
      </c>
      <c r="AB1870">
        <v>1</v>
      </c>
    </row>
    <row r="1871" spans="1:28" x14ac:dyDescent="0.25">
      <c r="A1871" t="str">
        <f>"1867"</f>
        <v>1867</v>
      </c>
      <c r="B1871" t="str">
        <f t="shared" si="105"/>
        <v>1</v>
      </c>
      <c r="C1871" t="str">
        <f t="shared" si="107"/>
        <v>83</v>
      </c>
      <c r="D1871" t="str">
        <f>"8"</f>
        <v>8</v>
      </c>
      <c r="E1871" t="str">
        <f>"1-83-8"</f>
        <v>1-83-8</v>
      </c>
      <c r="F1871" t="s">
        <v>83</v>
      </c>
      <c r="G1871" t="s">
        <v>86</v>
      </c>
      <c r="H1871" t="s">
        <v>93</v>
      </c>
      <c r="I1871">
        <v>1</v>
      </c>
      <c r="K1871">
        <v>0</v>
      </c>
      <c r="L1871">
        <v>0</v>
      </c>
      <c r="M1871">
        <v>0</v>
      </c>
      <c r="N1871">
        <v>1</v>
      </c>
      <c r="O1871">
        <v>0</v>
      </c>
      <c r="P1871">
        <v>0</v>
      </c>
      <c r="Q1871">
        <v>0</v>
      </c>
      <c r="R1871">
        <v>0</v>
      </c>
      <c r="U1871">
        <v>0</v>
      </c>
      <c r="V1871">
        <v>0</v>
      </c>
      <c r="W1871">
        <v>0</v>
      </c>
      <c r="X1871">
        <v>0</v>
      </c>
      <c r="Y1871">
        <v>0</v>
      </c>
      <c r="Z1871">
        <v>0</v>
      </c>
      <c r="AA1871">
        <v>0</v>
      </c>
      <c r="AB1871">
        <v>0</v>
      </c>
    </row>
    <row r="1872" spans="1:28" x14ac:dyDescent="0.25">
      <c r="A1872" t="str">
        <f>"1868"</f>
        <v>1868</v>
      </c>
      <c r="B1872" t="str">
        <f t="shared" si="105"/>
        <v>1</v>
      </c>
      <c r="C1872" t="str">
        <f t="shared" si="107"/>
        <v>83</v>
      </c>
      <c r="D1872" t="str">
        <f>"4"</f>
        <v>4</v>
      </c>
      <c r="E1872" t="str">
        <f>"1-83-4"</f>
        <v>1-83-4</v>
      </c>
      <c r="F1872" t="s">
        <v>83</v>
      </c>
      <c r="G1872" t="s">
        <v>84</v>
      </c>
      <c r="H1872" t="s">
        <v>92</v>
      </c>
      <c r="I1872">
        <v>1</v>
      </c>
      <c r="J1872">
        <v>1</v>
      </c>
      <c r="N1872">
        <v>1</v>
      </c>
      <c r="O1872">
        <v>1</v>
      </c>
      <c r="P1872">
        <v>1</v>
      </c>
      <c r="Q1872">
        <v>1</v>
      </c>
      <c r="R1872">
        <v>1</v>
      </c>
      <c r="S1872">
        <v>1</v>
      </c>
      <c r="T1872">
        <v>1</v>
      </c>
      <c r="W1872">
        <v>1</v>
      </c>
      <c r="X1872">
        <v>1</v>
      </c>
      <c r="Y1872">
        <v>1</v>
      </c>
      <c r="Z1872">
        <v>1</v>
      </c>
      <c r="AA1872">
        <v>1</v>
      </c>
      <c r="AB1872">
        <v>0</v>
      </c>
    </row>
    <row r="1873" spans="1:28" x14ac:dyDescent="0.25">
      <c r="A1873" t="str">
        <f>"1869"</f>
        <v>1869</v>
      </c>
      <c r="B1873" t="str">
        <f t="shared" si="105"/>
        <v>1</v>
      </c>
      <c r="C1873" t="str">
        <f t="shared" si="107"/>
        <v>83</v>
      </c>
      <c r="D1873" t="str">
        <f>"23"</f>
        <v>23</v>
      </c>
      <c r="E1873" t="str">
        <f>"1-83-23"</f>
        <v>1-83-23</v>
      </c>
      <c r="F1873" t="s">
        <v>83</v>
      </c>
      <c r="G1873" t="s">
        <v>86</v>
      </c>
      <c r="H1873" t="s">
        <v>93</v>
      </c>
      <c r="I1873">
        <v>1</v>
      </c>
      <c r="K1873">
        <v>0</v>
      </c>
      <c r="L1873">
        <v>0</v>
      </c>
      <c r="M1873">
        <v>1</v>
      </c>
      <c r="N1873">
        <v>1</v>
      </c>
      <c r="O1873">
        <v>1</v>
      </c>
      <c r="P1873">
        <v>1</v>
      </c>
      <c r="Q1873">
        <v>1</v>
      </c>
      <c r="R1873">
        <v>1</v>
      </c>
      <c r="U1873">
        <v>1</v>
      </c>
      <c r="V1873">
        <v>0</v>
      </c>
      <c r="W1873">
        <v>1</v>
      </c>
      <c r="X1873">
        <v>1</v>
      </c>
      <c r="Y1873">
        <v>1</v>
      </c>
      <c r="Z1873">
        <v>1</v>
      </c>
      <c r="AA1873">
        <v>1</v>
      </c>
      <c r="AB1873">
        <v>1</v>
      </c>
    </row>
    <row r="1874" spans="1:28" x14ac:dyDescent="0.25">
      <c r="A1874" t="str">
        <f>"1870"</f>
        <v>1870</v>
      </c>
      <c r="B1874" t="str">
        <f t="shared" si="105"/>
        <v>1</v>
      </c>
      <c r="C1874" t="str">
        <f t="shared" si="107"/>
        <v>83</v>
      </c>
      <c r="D1874" t="str">
        <f>"22"</f>
        <v>22</v>
      </c>
      <c r="E1874" t="str">
        <f>"1-83-22"</f>
        <v>1-83-22</v>
      </c>
      <c r="F1874" t="s">
        <v>83</v>
      </c>
      <c r="G1874" t="s">
        <v>84</v>
      </c>
      <c r="H1874" t="s">
        <v>92</v>
      </c>
      <c r="I1874">
        <v>1</v>
      </c>
      <c r="J1874">
        <v>1</v>
      </c>
      <c r="N1874">
        <v>1</v>
      </c>
      <c r="O1874">
        <v>1</v>
      </c>
      <c r="P1874">
        <v>1</v>
      </c>
      <c r="Q1874">
        <v>1</v>
      </c>
      <c r="R1874">
        <v>1</v>
      </c>
      <c r="S1874">
        <v>1</v>
      </c>
      <c r="T1874">
        <v>1</v>
      </c>
      <c r="W1874">
        <v>1</v>
      </c>
      <c r="X1874">
        <v>1</v>
      </c>
      <c r="Y1874">
        <v>1</v>
      </c>
      <c r="Z1874">
        <v>1</v>
      </c>
      <c r="AA1874">
        <v>1</v>
      </c>
      <c r="AB1874">
        <v>1</v>
      </c>
    </row>
    <row r="1875" spans="1:28" x14ac:dyDescent="0.25">
      <c r="A1875" t="str">
        <f>"1871"</f>
        <v>1871</v>
      </c>
      <c r="B1875" t="str">
        <f t="shared" si="105"/>
        <v>1</v>
      </c>
      <c r="C1875" t="str">
        <f t="shared" si="107"/>
        <v>83</v>
      </c>
      <c r="D1875" t="str">
        <f>"15"</f>
        <v>15</v>
      </c>
      <c r="E1875" t="str">
        <f>"1-83-15"</f>
        <v>1-83-15</v>
      </c>
      <c r="F1875" t="s">
        <v>83</v>
      </c>
      <c r="G1875" t="s">
        <v>86</v>
      </c>
      <c r="H1875" t="s">
        <v>93</v>
      </c>
      <c r="I1875">
        <v>1</v>
      </c>
      <c r="K1875">
        <v>0</v>
      </c>
      <c r="L1875">
        <v>0</v>
      </c>
      <c r="M1875">
        <v>1</v>
      </c>
      <c r="N1875">
        <v>1</v>
      </c>
      <c r="O1875">
        <v>1</v>
      </c>
      <c r="P1875">
        <v>1</v>
      </c>
      <c r="Q1875">
        <v>1</v>
      </c>
      <c r="R1875">
        <v>1</v>
      </c>
      <c r="U1875">
        <v>1</v>
      </c>
      <c r="V1875">
        <v>0</v>
      </c>
      <c r="W1875">
        <v>1</v>
      </c>
      <c r="X1875">
        <v>1</v>
      </c>
      <c r="Y1875">
        <v>1</v>
      </c>
      <c r="Z1875">
        <v>1</v>
      </c>
      <c r="AA1875">
        <v>1</v>
      </c>
      <c r="AB1875">
        <v>1</v>
      </c>
    </row>
    <row r="1876" spans="1:28" x14ac:dyDescent="0.25">
      <c r="A1876" t="str">
        <f>"1872"</f>
        <v>1872</v>
      </c>
      <c r="B1876" t="str">
        <f t="shared" si="105"/>
        <v>1</v>
      </c>
      <c r="C1876" t="str">
        <f t="shared" si="107"/>
        <v>83</v>
      </c>
      <c r="D1876" t="str">
        <f>"2"</f>
        <v>2</v>
      </c>
      <c r="E1876" t="str">
        <f>"1-83-2"</f>
        <v>1-83-2</v>
      </c>
      <c r="F1876" t="s">
        <v>83</v>
      </c>
      <c r="G1876" t="s">
        <v>84</v>
      </c>
      <c r="H1876" t="s">
        <v>92</v>
      </c>
      <c r="I1876">
        <v>0</v>
      </c>
      <c r="J1876">
        <v>1</v>
      </c>
      <c r="N1876">
        <v>1</v>
      </c>
      <c r="O1876">
        <v>1</v>
      </c>
      <c r="P1876">
        <v>1</v>
      </c>
      <c r="Q1876">
        <v>1</v>
      </c>
      <c r="R1876">
        <v>1</v>
      </c>
      <c r="S1876">
        <v>1</v>
      </c>
      <c r="T1876">
        <v>1</v>
      </c>
      <c r="W1876">
        <v>1</v>
      </c>
      <c r="X1876">
        <v>1</v>
      </c>
      <c r="Y1876">
        <v>0</v>
      </c>
      <c r="Z1876">
        <v>1</v>
      </c>
      <c r="AA1876">
        <v>1</v>
      </c>
      <c r="AB1876">
        <v>1</v>
      </c>
    </row>
    <row r="1877" spans="1:28" x14ac:dyDescent="0.25">
      <c r="A1877" t="str">
        <f>"1873"</f>
        <v>1873</v>
      </c>
      <c r="B1877" t="str">
        <f t="shared" si="105"/>
        <v>1</v>
      </c>
      <c r="C1877" t="str">
        <f t="shared" si="107"/>
        <v>83</v>
      </c>
      <c r="D1877" t="str">
        <f>"18"</f>
        <v>18</v>
      </c>
      <c r="E1877" t="str">
        <f>"1-83-18"</f>
        <v>1-83-18</v>
      </c>
      <c r="F1877" t="s">
        <v>83</v>
      </c>
      <c r="G1877" t="s">
        <v>86</v>
      </c>
      <c r="H1877" t="s">
        <v>93</v>
      </c>
      <c r="I1877">
        <v>1</v>
      </c>
      <c r="K1877">
        <v>0</v>
      </c>
      <c r="L1877">
        <v>0</v>
      </c>
      <c r="M1877">
        <v>1</v>
      </c>
      <c r="N1877">
        <v>1</v>
      </c>
      <c r="O1877">
        <v>1</v>
      </c>
      <c r="P1877">
        <v>1</v>
      </c>
      <c r="Q1877">
        <v>1</v>
      </c>
      <c r="R1877">
        <v>1</v>
      </c>
      <c r="U1877">
        <v>0</v>
      </c>
      <c r="V1877">
        <v>1</v>
      </c>
      <c r="W1877">
        <v>1</v>
      </c>
      <c r="X1877">
        <v>1</v>
      </c>
      <c r="Y1877">
        <v>1</v>
      </c>
      <c r="Z1877">
        <v>1</v>
      </c>
      <c r="AA1877">
        <v>1</v>
      </c>
      <c r="AB1877">
        <v>1</v>
      </c>
    </row>
    <row r="1878" spans="1:28" x14ac:dyDescent="0.25">
      <c r="A1878" t="str">
        <f>"1874"</f>
        <v>1874</v>
      </c>
      <c r="B1878" t="str">
        <f t="shared" si="105"/>
        <v>1</v>
      </c>
      <c r="C1878" t="str">
        <f t="shared" si="107"/>
        <v>83</v>
      </c>
      <c r="D1878" t="str">
        <f>"10"</f>
        <v>10</v>
      </c>
      <c r="E1878" t="str">
        <f>"1-83-10"</f>
        <v>1-83-10</v>
      </c>
      <c r="F1878" t="s">
        <v>83</v>
      </c>
      <c r="G1878" t="s">
        <v>86</v>
      </c>
      <c r="H1878" t="s">
        <v>93</v>
      </c>
      <c r="I1878">
        <v>1</v>
      </c>
      <c r="K1878">
        <v>0</v>
      </c>
      <c r="L1878">
        <v>1</v>
      </c>
      <c r="M1878">
        <v>0</v>
      </c>
      <c r="N1878">
        <v>1</v>
      </c>
      <c r="O1878">
        <v>1</v>
      </c>
      <c r="P1878">
        <v>1</v>
      </c>
      <c r="Q1878">
        <v>1</v>
      </c>
      <c r="R1878">
        <v>1</v>
      </c>
      <c r="U1878">
        <v>0</v>
      </c>
      <c r="V1878">
        <v>1</v>
      </c>
      <c r="W1878">
        <v>1</v>
      </c>
      <c r="X1878">
        <v>1</v>
      </c>
      <c r="Y1878">
        <v>1</v>
      </c>
      <c r="Z1878">
        <v>1</v>
      </c>
      <c r="AA1878">
        <v>1</v>
      </c>
      <c r="AB1878">
        <v>1</v>
      </c>
    </row>
    <row r="1879" spans="1:28" x14ac:dyDescent="0.25">
      <c r="A1879" t="str">
        <f>"1875"</f>
        <v>1875</v>
      </c>
      <c r="B1879" t="str">
        <f t="shared" si="105"/>
        <v>1</v>
      </c>
      <c r="C1879" t="str">
        <f t="shared" si="107"/>
        <v>83</v>
      </c>
      <c r="D1879" t="str">
        <f>"1"</f>
        <v>1</v>
      </c>
      <c r="E1879" t="str">
        <f>"1-83-1"</f>
        <v>1-83-1</v>
      </c>
      <c r="F1879" t="s">
        <v>83</v>
      </c>
      <c r="G1879" t="s">
        <v>84</v>
      </c>
      <c r="H1879" t="s">
        <v>92</v>
      </c>
      <c r="I1879">
        <v>1</v>
      </c>
      <c r="J1879">
        <v>0</v>
      </c>
      <c r="N1879">
        <v>1</v>
      </c>
      <c r="O1879">
        <v>1</v>
      </c>
      <c r="P1879">
        <v>1</v>
      </c>
      <c r="Q1879">
        <v>1</v>
      </c>
      <c r="R1879">
        <v>1</v>
      </c>
      <c r="S1879">
        <v>1</v>
      </c>
      <c r="T1879">
        <v>1</v>
      </c>
      <c r="W1879">
        <v>1</v>
      </c>
      <c r="X1879">
        <v>1</v>
      </c>
      <c r="Y1879">
        <v>1</v>
      </c>
      <c r="Z1879">
        <v>1</v>
      </c>
      <c r="AA1879">
        <v>1</v>
      </c>
      <c r="AB1879">
        <v>1</v>
      </c>
    </row>
    <row r="1880" spans="1:28" x14ac:dyDescent="0.25">
      <c r="A1880" t="str">
        <f>"1876"</f>
        <v>1876</v>
      </c>
      <c r="B1880" t="str">
        <f t="shared" si="105"/>
        <v>1</v>
      </c>
      <c r="C1880" t="str">
        <f t="shared" si="107"/>
        <v>83</v>
      </c>
      <c r="D1880" t="str">
        <f>"17"</f>
        <v>17</v>
      </c>
      <c r="E1880" t="str">
        <f>"1-83-17"</f>
        <v>1-83-17</v>
      </c>
      <c r="F1880" t="s">
        <v>83</v>
      </c>
      <c r="G1880" t="s">
        <v>86</v>
      </c>
      <c r="H1880" t="s">
        <v>93</v>
      </c>
      <c r="I1880">
        <v>1</v>
      </c>
      <c r="K1880">
        <v>1</v>
      </c>
      <c r="L1880">
        <v>0</v>
      </c>
      <c r="M1880">
        <v>0</v>
      </c>
      <c r="N1880">
        <v>1</v>
      </c>
      <c r="O1880">
        <v>1</v>
      </c>
      <c r="P1880">
        <v>1</v>
      </c>
      <c r="Q1880">
        <v>1</v>
      </c>
      <c r="R1880">
        <v>1</v>
      </c>
      <c r="U1880">
        <v>1</v>
      </c>
      <c r="V1880">
        <v>0</v>
      </c>
      <c r="W1880">
        <v>1</v>
      </c>
      <c r="X1880">
        <v>1</v>
      </c>
      <c r="Y1880">
        <v>1</v>
      </c>
      <c r="Z1880">
        <v>1</v>
      </c>
      <c r="AA1880">
        <v>1</v>
      </c>
      <c r="AB1880">
        <v>1</v>
      </c>
    </row>
    <row r="1881" spans="1:28" x14ac:dyDescent="0.25">
      <c r="A1881" t="str">
        <f>"1877"</f>
        <v>1877</v>
      </c>
      <c r="B1881" t="str">
        <f t="shared" si="105"/>
        <v>1</v>
      </c>
      <c r="C1881" t="str">
        <f t="shared" si="107"/>
        <v>83</v>
      </c>
      <c r="D1881" t="str">
        <f>"11"</f>
        <v>11</v>
      </c>
      <c r="E1881" t="str">
        <f>"1-83-11"</f>
        <v>1-83-11</v>
      </c>
      <c r="F1881" t="s">
        <v>83</v>
      </c>
      <c r="G1881" t="s">
        <v>86</v>
      </c>
      <c r="H1881" t="s">
        <v>93</v>
      </c>
      <c r="I1881">
        <v>1</v>
      </c>
      <c r="K1881">
        <v>0</v>
      </c>
      <c r="L1881">
        <v>0</v>
      </c>
      <c r="M1881">
        <v>1</v>
      </c>
      <c r="N1881">
        <v>0</v>
      </c>
      <c r="O1881">
        <v>0</v>
      </c>
      <c r="P1881">
        <v>0</v>
      </c>
      <c r="Q1881">
        <v>0</v>
      </c>
      <c r="R1881">
        <v>0</v>
      </c>
      <c r="U1881">
        <v>1</v>
      </c>
      <c r="V1881">
        <v>0</v>
      </c>
      <c r="W1881">
        <v>0</v>
      </c>
      <c r="X1881">
        <v>0</v>
      </c>
      <c r="Y1881">
        <v>0</v>
      </c>
      <c r="Z1881">
        <v>0</v>
      </c>
      <c r="AA1881">
        <v>0</v>
      </c>
      <c r="AB1881">
        <v>0</v>
      </c>
    </row>
    <row r="1882" spans="1:28" x14ac:dyDescent="0.25">
      <c r="A1882" t="str">
        <f>"1878"</f>
        <v>1878</v>
      </c>
      <c r="B1882" t="str">
        <f t="shared" si="105"/>
        <v>1</v>
      </c>
      <c r="C1882" t="str">
        <f t="shared" si="107"/>
        <v>83</v>
      </c>
      <c r="D1882" t="str">
        <f>"7"</f>
        <v>7</v>
      </c>
      <c r="E1882" t="str">
        <f>"1-83-7"</f>
        <v>1-83-7</v>
      </c>
      <c r="F1882" t="s">
        <v>83</v>
      </c>
      <c r="G1882" t="s">
        <v>86</v>
      </c>
      <c r="H1882" t="s">
        <v>93</v>
      </c>
      <c r="I1882">
        <v>0</v>
      </c>
      <c r="K1882">
        <v>0</v>
      </c>
      <c r="L1882">
        <v>0</v>
      </c>
      <c r="M1882">
        <v>1</v>
      </c>
      <c r="N1882">
        <v>1</v>
      </c>
      <c r="O1882">
        <v>0</v>
      </c>
      <c r="P1882">
        <v>0</v>
      </c>
      <c r="Q1882">
        <v>0</v>
      </c>
      <c r="R1882">
        <v>0</v>
      </c>
      <c r="U1882">
        <v>1</v>
      </c>
      <c r="V1882">
        <v>0</v>
      </c>
      <c r="W1882">
        <v>0</v>
      </c>
      <c r="X1882">
        <v>0</v>
      </c>
      <c r="Y1882">
        <v>0</v>
      </c>
      <c r="Z1882">
        <v>0</v>
      </c>
      <c r="AA1882">
        <v>0</v>
      </c>
      <c r="AB1882">
        <v>0</v>
      </c>
    </row>
    <row r="1883" spans="1:28" x14ac:dyDescent="0.25">
      <c r="A1883" t="str">
        <f>"1879"</f>
        <v>1879</v>
      </c>
      <c r="B1883" t="str">
        <f t="shared" si="105"/>
        <v>1</v>
      </c>
      <c r="C1883" t="str">
        <f t="shared" si="107"/>
        <v>83</v>
      </c>
      <c r="D1883" t="str">
        <f>"19"</f>
        <v>19</v>
      </c>
      <c r="E1883" t="str">
        <f>"1-83-19"</f>
        <v>1-83-19</v>
      </c>
      <c r="F1883" t="s">
        <v>83</v>
      </c>
      <c r="G1883" t="s">
        <v>86</v>
      </c>
      <c r="H1883" t="s">
        <v>93</v>
      </c>
      <c r="I1883">
        <v>1</v>
      </c>
      <c r="K1883">
        <v>0</v>
      </c>
      <c r="L1883">
        <v>0</v>
      </c>
      <c r="M1883">
        <v>1</v>
      </c>
      <c r="N1883">
        <v>1</v>
      </c>
      <c r="O1883">
        <v>1</v>
      </c>
      <c r="P1883">
        <v>1</v>
      </c>
      <c r="Q1883">
        <v>1</v>
      </c>
      <c r="R1883">
        <v>1</v>
      </c>
      <c r="U1883">
        <v>0</v>
      </c>
      <c r="V1883">
        <v>1</v>
      </c>
      <c r="W1883">
        <v>1</v>
      </c>
      <c r="X1883">
        <v>1</v>
      </c>
      <c r="Y1883">
        <v>1</v>
      </c>
      <c r="Z1883">
        <v>1</v>
      </c>
      <c r="AA1883">
        <v>1</v>
      </c>
      <c r="AB1883">
        <v>1</v>
      </c>
    </row>
    <row r="1884" spans="1:28" x14ac:dyDescent="0.25">
      <c r="A1884" t="str">
        <f>"1880"</f>
        <v>1880</v>
      </c>
      <c r="B1884" t="str">
        <f t="shared" si="105"/>
        <v>1</v>
      </c>
      <c r="C1884" t="str">
        <f t="shared" si="107"/>
        <v>83</v>
      </c>
      <c r="D1884" t="str">
        <f>"12"</f>
        <v>12</v>
      </c>
      <c r="E1884" t="str">
        <f>"1-83-12"</f>
        <v>1-83-12</v>
      </c>
      <c r="F1884" t="s">
        <v>83</v>
      </c>
      <c r="G1884" t="s">
        <v>86</v>
      </c>
      <c r="H1884" t="s">
        <v>93</v>
      </c>
      <c r="I1884">
        <v>1</v>
      </c>
      <c r="K1884">
        <v>1</v>
      </c>
      <c r="L1884">
        <v>0</v>
      </c>
      <c r="M1884">
        <v>0</v>
      </c>
      <c r="N1884">
        <v>0</v>
      </c>
      <c r="O1884">
        <v>1</v>
      </c>
      <c r="P1884">
        <v>1</v>
      </c>
      <c r="Q1884">
        <v>1</v>
      </c>
      <c r="R1884">
        <v>0</v>
      </c>
      <c r="U1884">
        <v>0</v>
      </c>
      <c r="V1884">
        <v>1</v>
      </c>
      <c r="W1884">
        <v>1</v>
      </c>
      <c r="X1884">
        <v>1</v>
      </c>
      <c r="Y1884">
        <v>1</v>
      </c>
      <c r="Z1884">
        <v>1</v>
      </c>
      <c r="AA1884">
        <v>1</v>
      </c>
      <c r="AB1884">
        <v>1</v>
      </c>
    </row>
    <row r="1885" spans="1:28" x14ac:dyDescent="0.25">
      <c r="A1885" t="str">
        <f>"1881"</f>
        <v>1881</v>
      </c>
      <c r="B1885" t="str">
        <f t="shared" si="105"/>
        <v>1</v>
      </c>
      <c r="C1885" t="str">
        <f t="shared" si="107"/>
        <v>83</v>
      </c>
      <c r="D1885" t="str">
        <f>"6"</f>
        <v>6</v>
      </c>
      <c r="E1885" t="str">
        <f>"1-83-6"</f>
        <v>1-83-6</v>
      </c>
      <c r="F1885" t="s">
        <v>83</v>
      </c>
      <c r="G1885" t="s">
        <v>86</v>
      </c>
      <c r="H1885" t="s">
        <v>93</v>
      </c>
      <c r="I1885">
        <v>1</v>
      </c>
      <c r="K1885">
        <v>0</v>
      </c>
      <c r="L1885">
        <v>0</v>
      </c>
      <c r="M1885">
        <v>1</v>
      </c>
      <c r="N1885">
        <v>1</v>
      </c>
      <c r="O1885">
        <v>1</v>
      </c>
      <c r="P1885">
        <v>1</v>
      </c>
      <c r="Q1885">
        <v>1</v>
      </c>
      <c r="R1885">
        <v>1</v>
      </c>
      <c r="U1885">
        <v>0</v>
      </c>
      <c r="V1885">
        <v>1</v>
      </c>
      <c r="W1885">
        <v>1</v>
      </c>
      <c r="X1885">
        <v>1</v>
      </c>
      <c r="Y1885">
        <v>1</v>
      </c>
      <c r="Z1885">
        <v>1</v>
      </c>
      <c r="AA1885">
        <v>1</v>
      </c>
      <c r="AB1885">
        <v>1</v>
      </c>
    </row>
    <row r="1886" spans="1:28" x14ac:dyDescent="0.25">
      <c r="A1886" t="str">
        <f>"1882"</f>
        <v>1882</v>
      </c>
      <c r="B1886" t="str">
        <f t="shared" ref="B1886:B1949" si="108">"1"</f>
        <v>1</v>
      </c>
      <c r="C1886" t="str">
        <f t="shared" si="107"/>
        <v>83</v>
      </c>
      <c r="D1886" t="str">
        <f>"20"</f>
        <v>20</v>
      </c>
      <c r="E1886" t="str">
        <f>"1-83-20"</f>
        <v>1-83-20</v>
      </c>
      <c r="F1886" t="s">
        <v>83</v>
      </c>
      <c r="G1886" t="s">
        <v>86</v>
      </c>
      <c r="H1886" t="s">
        <v>93</v>
      </c>
      <c r="I1886">
        <v>1</v>
      </c>
      <c r="K1886">
        <v>0</v>
      </c>
      <c r="L1886">
        <v>0</v>
      </c>
      <c r="M1886">
        <v>1</v>
      </c>
      <c r="N1886">
        <v>1</v>
      </c>
      <c r="O1886">
        <v>1</v>
      </c>
      <c r="P1886">
        <v>1</v>
      </c>
      <c r="Q1886">
        <v>1</v>
      </c>
      <c r="R1886">
        <v>1</v>
      </c>
      <c r="U1886">
        <v>0</v>
      </c>
      <c r="V1886">
        <v>1</v>
      </c>
      <c r="W1886">
        <v>1</v>
      </c>
      <c r="X1886">
        <v>1</v>
      </c>
      <c r="Y1886">
        <v>1</v>
      </c>
      <c r="Z1886">
        <v>1</v>
      </c>
      <c r="AA1886">
        <v>1</v>
      </c>
      <c r="AB1886">
        <v>1</v>
      </c>
    </row>
    <row r="1887" spans="1:28" x14ac:dyDescent="0.25">
      <c r="A1887" t="str">
        <f>"1883"</f>
        <v>1883</v>
      </c>
      <c r="B1887" t="str">
        <f t="shared" si="108"/>
        <v>1</v>
      </c>
      <c r="C1887" t="str">
        <f t="shared" si="107"/>
        <v>83</v>
      </c>
      <c r="D1887" t="str">
        <f>"13"</f>
        <v>13</v>
      </c>
      <c r="E1887" t="str">
        <f>"1-83-13"</f>
        <v>1-83-13</v>
      </c>
      <c r="F1887" t="s">
        <v>83</v>
      </c>
      <c r="G1887" t="s">
        <v>86</v>
      </c>
      <c r="H1887" t="s">
        <v>93</v>
      </c>
      <c r="I1887">
        <v>1</v>
      </c>
      <c r="K1887">
        <v>1</v>
      </c>
      <c r="L1887">
        <v>0</v>
      </c>
      <c r="M1887">
        <v>0</v>
      </c>
      <c r="N1887">
        <v>1</v>
      </c>
      <c r="O1887">
        <v>1</v>
      </c>
      <c r="P1887">
        <v>1</v>
      </c>
      <c r="Q1887">
        <v>1</v>
      </c>
      <c r="R1887">
        <v>1</v>
      </c>
      <c r="U1887">
        <v>0</v>
      </c>
      <c r="V1887">
        <v>0</v>
      </c>
      <c r="W1887">
        <v>1</v>
      </c>
      <c r="X1887">
        <v>1</v>
      </c>
      <c r="Y1887">
        <v>1</v>
      </c>
      <c r="Z1887">
        <v>1</v>
      </c>
      <c r="AA1887">
        <v>1</v>
      </c>
      <c r="AB1887">
        <v>1</v>
      </c>
    </row>
    <row r="1888" spans="1:28" x14ac:dyDescent="0.25">
      <c r="A1888" t="str">
        <f>"1884"</f>
        <v>1884</v>
      </c>
      <c r="B1888" t="str">
        <f t="shared" si="108"/>
        <v>1</v>
      </c>
      <c r="C1888" t="str">
        <f t="shared" si="107"/>
        <v>83</v>
      </c>
      <c r="D1888" t="str">
        <f>"3"</f>
        <v>3</v>
      </c>
      <c r="E1888" t="str">
        <f>"1-83-3"</f>
        <v>1-83-3</v>
      </c>
      <c r="F1888" t="s">
        <v>83</v>
      </c>
      <c r="G1888" t="s">
        <v>84</v>
      </c>
      <c r="H1888" t="s">
        <v>92</v>
      </c>
      <c r="I1888">
        <v>1</v>
      </c>
      <c r="J1888">
        <v>1</v>
      </c>
      <c r="N1888">
        <v>1</v>
      </c>
      <c r="O1888">
        <v>1</v>
      </c>
      <c r="P1888">
        <v>1</v>
      </c>
      <c r="Q1888">
        <v>1</v>
      </c>
      <c r="R1888">
        <v>1</v>
      </c>
      <c r="S1888">
        <v>1</v>
      </c>
      <c r="T1888">
        <v>1</v>
      </c>
      <c r="W1888">
        <v>1</v>
      </c>
      <c r="X1888">
        <v>1</v>
      </c>
      <c r="Y1888">
        <v>1</v>
      </c>
      <c r="Z1888">
        <v>0</v>
      </c>
      <c r="AA1888">
        <v>0</v>
      </c>
      <c r="AB1888">
        <v>0</v>
      </c>
    </row>
    <row r="1889" spans="1:49" x14ac:dyDescent="0.25">
      <c r="A1889" t="str">
        <f>"1885"</f>
        <v>1885</v>
      </c>
      <c r="B1889" t="str">
        <f t="shared" si="108"/>
        <v>1</v>
      </c>
      <c r="C1889" t="str">
        <f t="shared" si="107"/>
        <v>83</v>
      </c>
      <c r="D1889" t="str">
        <f>"21"</f>
        <v>21</v>
      </c>
      <c r="E1889" t="str">
        <f>"1-83-21"</f>
        <v>1-83-21</v>
      </c>
      <c r="F1889" t="s">
        <v>83</v>
      </c>
      <c r="G1889" t="s">
        <v>86</v>
      </c>
      <c r="H1889" t="s">
        <v>93</v>
      </c>
      <c r="I1889">
        <v>1</v>
      </c>
      <c r="K1889">
        <v>0</v>
      </c>
      <c r="L1889">
        <v>0</v>
      </c>
      <c r="M1889">
        <v>1</v>
      </c>
      <c r="N1889">
        <v>1</v>
      </c>
      <c r="O1889">
        <v>1</v>
      </c>
      <c r="P1889">
        <v>1</v>
      </c>
      <c r="Q1889">
        <v>1</v>
      </c>
      <c r="R1889">
        <v>1</v>
      </c>
      <c r="U1889">
        <v>0</v>
      </c>
      <c r="V1889">
        <v>1</v>
      </c>
      <c r="W1889">
        <v>1</v>
      </c>
      <c r="X1889">
        <v>1</v>
      </c>
      <c r="Y1889">
        <v>1</v>
      </c>
      <c r="Z1889">
        <v>1</v>
      </c>
      <c r="AA1889">
        <v>1</v>
      </c>
      <c r="AB1889">
        <v>1</v>
      </c>
    </row>
    <row r="1890" spans="1:49" x14ac:dyDescent="0.25">
      <c r="A1890" t="str">
        <f>"1886"</f>
        <v>1886</v>
      </c>
      <c r="B1890" t="str">
        <f t="shared" si="108"/>
        <v>1</v>
      </c>
      <c r="C1890" t="str">
        <f t="shared" si="107"/>
        <v>83</v>
      </c>
      <c r="D1890" t="str">
        <f>"14"</f>
        <v>14</v>
      </c>
      <c r="E1890" t="str">
        <f>"1-83-14"</f>
        <v>1-83-14</v>
      </c>
      <c r="F1890" t="s">
        <v>83</v>
      </c>
      <c r="G1890" t="s">
        <v>86</v>
      </c>
      <c r="H1890" t="s">
        <v>93</v>
      </c>
      <c r="I1890">
        <v>1</v>
      </c>
      <c r="K1890">
        <v>0</v>
      </c>
      <c r="L1890">
        <v>0</v>
      </c>
      <c r="M1890">
        <v>1</v>
      </c>
      <c r="N1890">
        <v>1</v>
      </c>
      <c r="O1890">
        <v>1</v>
      </c>
      <c r="P1890">
        <v>1</v>
      </c>
      <c r="Q1890">
        <v>1</v>
      </c>
      <c r="R1890">
        <v>1</v>
      </c>
      <c r="U1890">
        <v>1</v>
      </c>
      <c r="V1890">
        <v>0</v>
      </c>
      <c r="W1890">
        <v>1</v>
      </c>
      <c r="X1890">
        <v>1</v>
      </c>
      <c r="Y1890">
        <v>1</v>
      </c>
      <c r="Z1890">
        <v>1</v>
      </c>
      <c r="AA1890">
        <v>1</v>
      </c>
      <c r="AB1890">
        <v>1</v>
      </c>
    </row>
    <row r="1891" spans="1:49" x14ac:dyDescent="0.25">
      <c r="A1891" t="str">
        <f>"1887"</f>
        <v>1887</v>
      </c>
      <c r="B1891" t="str">
        <f t="shared" si="108"/>
        <v>1</v>
      </c>
      <c r="C1891" t="str">
        <f t="shared" si="107"/>
        <v>83</v>
      </c>
      <c r="D1891" t="str">
        <f>"5"</f>
        <v>5</v>
      </c>
      <c r="E1891" t="str">
        <f>"1-83-5"</f>
        <v>1-83-5</v>
      </c>
      <c r="F1891" t="s">
        <v>83</v>
      </c>
      <c r="G1891" t="s">
        <v>86</v>
      </c>
      <c r="H1891" t="s">
        <v>93</v>
      </c>
      <c r="I1891">
        <v>1</v>
      </c>
      <c r="K1891">
        <v>0</v>
      </c>
      <c r="L1891">
        <v>1</v>
      </c>
      <c r="M1891">
        <v>0</v>
      </c>
      <c r="N1891">
        <v>1</v>
      </c>
      <c r="O1891">
        <v>1</v>
      </c>
      <c r="P1891">
        <v>1</v>
      </c>
      <c r="Q1891">
        <v>1</v>
      </c>
      <c r="R1891">
        <v>1</v>
      </c>
      <c r="U1891">
        <v>0</v>
      </c>
      <c r="V1891">
        <v>1</v>
      </c>
      <c r="W1891">
        <v>1</v>
      </c>
      <c r="X1891">
        <v>1</v>
      </c>
      <c r="Y1891">
        <v>1</v>
      </c>
      <c r="Z1891">
        <v>1</v>
      </c>
      <c r="AA1891">
        <v>1</v>
      </c>
      <c r="AB1891">
        <v>1</v>
      </c>
    </row>
    <row r="1892" spans="1:49" x14ac:dyDescent="0.25">
      <c r="A1892" t="str">
        <f>"1888"</f>
        <v>1888</v>
      </c>
      <c r="B1892" t="str">
        <f t="shared" si="108"/>
        <v>1</v>
      </c>
      <c r="C1892" t="str">
        <f t="shared" si="107"/>
        <v>83</v>
      </c>
      <c r="D1892" t="str">
        <f>"9"</f>
        <v>9</v>
      </c>
      <c r="E1892" t="str">
        <f>"1-83-9"</f>
        <v>1-83-9</v>
      </c>
      <c r="F1892" t="s">
        <v>83</v>
      </c>
      <c r="G1892" t="s">
        <v>86</v>
      </c>
      <c r="H1892" t="s">
        <v>93</v>
      </c>
      <c r="I1892">
        <v>1</v>
      </c>
      <c r="K1892">
        <v>1</v>
      </c>
      <c r="L1892">
        <v>0</v>
      </c>
      <c r="M1892">
        <v>0</v>
      </c>
      <c r="N1892">
        <v>1</v>
      </c>
      <c r="O1892">
        <v>1</v>
      </c>
      <c r="P1892">
        <v>1</v>
      </c>
      <c r="Q1892">
        <v>1</v>
      </c>
      <c r="R1892">
        <v>1</v>
      </c>
      <c r="U1892">
        <v>0</v>
      </c>
      <c r="V1892">
        <v>0</v>
      </c>
      <c r="W1892">
        <v>1</v>
      </c>
      <c r="X1892">
        <v>1</v>
      </c>
      <c r="Y1892">
        <v>1</v>
      </c>
      <c r="Z1892">
        <v>1</v>
      </c>
      <c r="AA1892">
        <v>1</v>
      </c>
      <c r="AB1892">
        <v>0</v>
      </c>
    </row>
    <row r="1893" spans="1:49" x14ac:dyDescent="0.25">
      <c r="A1893" t="str">
        <f>"1889"</f>
        <v>1889</v>
      </c>
      <c r="B1893" t="str">
        <f t="shared" si="108"/>
        <v>1</v>
      </c>
      <c r="C1893" t="str">
        <f t="shared" si="107"/>
        <v>83</v>
      </c>
      <c r="D1893" t="str">
        <f>"24"</f>
        <v>24</v>
      </c>
      <c r="E1893" t="str">
        <f>"1-83-24"</f>
        <v>1-83-24</v>
      </c>
      <c r="F1893" t="s">
        <v>83</v>
      </c>
      <c r="G1893" t="s">
        <v>86</v>
      </c>
      <c r="H1893" t="s">
        <v>93</v>
      </c>
      <c r="I1893">
        <v>1</v>
      </c>
      <c r="K1893">
        <v>0</v>
      </c>
      <c r="L1893">
        <v>0</v>
      </c>
      <c r="M1893">
        <v>1</v>
      </c>
      <c r="N1893">
        <v>1</v>
      </c>
      <c r="O1893">
        <v>1</v>
      </c>
      <c r="P1893">
        <v>1</v>
      </c>
      <c r="Q1893">
        <v>1</v>
      </c>
      <c r="R1893">
        <v>1</v>
      </c>
      <c r="U1893">
        <v>0</v>
      </c>
      <c r="V1893">
        <v>1</v>
      </c>
      <c r="W1893">
        <v>1</v>
      </c>
      <c r="X1893">
        <v>1</v>
      </c>
      <c r="Y1893">
        <v>1</v>
      </c>
      <c r="Z1893">
        <v>1</v>
      </c>
      <c r="AA1893">
        <v>1</v>
      </c>
      <c r="AB1893">
        <v>1</v>
      </c>
    </row>
    <row r="1894" spans="1:49" x14ac:dyDescent="0.25">
      <c r="A1894" t="str">
        <f>"1890"</f>
        <v>1890</v>
      </c>
      <c r="B1894" t="str">
        <f t="shared" si="108"/>
        <v>1</v>
      </c>
      <c r="C1894" t="str">
        <f t="shared" ref="C1894:C1916" si="109">"84"</f>
        <v>84</v>
      </c>
      <c r="D1894" t="str">
        <f>"18"</f>
        <v>18</v>
      </c>
      <c r="E1894" t="str">
        <f>"1-84-18"</f>
        <v>1-84-18</v>
      </c>
      <c r="F1894" t="s">
        <v>83</v>
      </c>
      <c r="G1894" t="s">
        <v>84</v>
      </c>
      <c r="H1894" t="s">
        <v>92</v>
      </c>
      <c r="I1894">
        <v>1</v>
      </c>
      <c r="J1894">
        <v>1</v>
      </c>
      <c r="N1894">
        <v>1</v>
      </c>
      <c r="O1894">
        <v>1</v>
      </c>
      <c r="P1894">
        <v>1</v>
      </c>
      <c r="Q1894">
        <v>1</v>
      </c>
      <c r="R1894">
        <v>1</v>
      </c>
      <c r="S1894">
        <v>1</v>
      </c>
      <c r="T1894">
        <v>1</v>
      </c>
      <c r="W1894">
        <v>1</v>
      </c>
      <c r="X1894">
        <v>1</v>
      </c>
      <c r="Y1894">
        <v>1</v>
      </c>
      <c r="Z1894">
        <v>1</v>
      </c>
      <c r="AA1894">
        <v>1</v>
      </c>
      <c r="AB1894">
        <v>1</v>
      </c>
    </row>
    <row r="1895" spans="1:49" x14ac:dyDescent="0.25">
      <c r="A1895" t="str">
        <f>"1891"</f>
        <v>1891</v>
      </c>
      <c r="B1895" t="str">
        <f t="shared" si="108"/>
        <v>1</v>
      </c>
      <c r="C1895" t="str">
        <f t="shared" si="109"/>
        <v>84</v>
      </c>
      <c r="D1895" t="str">
        <f>"17"</f>
        <v>17</v>
      </c>
      <c r="E1895" t="str">
        <f>"1-84-17"</f>
        <v>1-84-17</v>
      </c>
      <c r="F1895" t="s">
        <v>83</v>
      </c>
      <c r="G1895" t="s">
        <v>84</v>
      </c>
      <c r="H1895" t="s">
        <v>85</v>
      </c>
      <c r="AC1895">
        <v>0</v>
      </c>
      <c r="AD1895">
        <v>1</v>
      </c>
      <c r="AE1895">
        <v>0</v>
      </c>
      <c r="AF1895">
        <v>0</v>
      </c>
      <c r="AG1895">
        <v>0</v>
      </c>
      <c r="AJ1895">
        <v>0</v>
      </c>
      <c r="AK1895">
        <v>0</v>
      </c>
      <c r="AL1895">
        <v>0</v>
      </c>
      <c r="AM1895">
        <v>0</v>
      </c>
      <c r="AN1895">
        <v>1</v>
      </c>
      <c r="AO1895">
        <v>0</v>
      </c>
      <c r="AP1895">
        <v>0</v>
      </c>
      <c r="AQ1895">
        <v>0</v>
      </c>
      <c r="AR1895">
        <v>0</v>
      </c>
      <c r="AS1895">
        <v>0</v>
      </c>
      <c r="AT1895">
        <v>1</v>
      </c>
      <c r="AV1895">
        <v>0</v>
      </c>
      <c r="AW1895">
        <v>1</v>
      </c>
    </row>
    <row r="1896" spans="1:49" x14ac:dyDescent="0.25">
      <c r="A1896" t="str">
        <f>"1892"</f>
        <v>1892</v>
      </c>
      <c r="B1896" t="str">
        <f t="shared" si="108"/>
        <v>1</v>
      </c>
      <c r="C1896" t="str">
        <f t="shared" si="109"/>
        <v>84</v>
      </c>
      <c r="D1896" t="str">
        <f>"13"</f>
        <v>13</v>
      </c>
      <c r="E1896" t="str">
        <f>"1-84-13"</f>
        <v>1-84-13</v>
      </c>
      <c r="F1896" t="s">
        <v>83</v>
      </c>
      <c r="G1896" t="s">
        <v>84</v>
      </c>
      <c r="H1896" t="s">
        <v>85</v>
      </c>
      <c r="AC1896">
        <v>0</v>
      </c>
      <c r="AD1896">
        <v>1</v>
      </c>
      <c r="AE1896">
        <v>0</v>
      </c>
      <c r="AF1896">
        <v>0</v>
      </c>
      <c r="AG1896">
        <v>0</v>
      </c>
      <c r="AJ1896">
        <v>0</v>
      </c>
      <c r="AK1896">
        <v>1</v>
      </c>
      <c r="AL1896">
        <v>0</v>
      </c>
      <c r="AM1896">
        <v>0</v>
      </c>
      <c r="AN1896">
        <v>1</v>
      </c>
      <c r="AO1896">
        <v>0</v>
      </c>
      <c r="AP1896">
        <v>0</v>
      </c>
      <c r="AQ1896">
        <v>0</v>
      </c>
      <c r="AR1896">
        <v>0</v>
      </c>
      <c r="AS1896">
        <v>1</v>
      </c>
      <c r="AT1896">
        <v>0</v>
      </c>
      <c r="AV1896">
        <v>0</v>
      </c>
      <c r="AW1896">
        <v>0</v>
      </c>
    </row>
    <row r="1897" spans="1:49" x14ac:dyDescent="0.25">
      <c r="A1897" t="str">
        <f>"1893"</f>
        <v>1893</v>
      </c>
      <c r="B1897" t="str">
        <f t="shared" si="108"/>
        <v>1</v>
      </c>
      <c r="C1897" t="str">
        <f t="shared" si="109"/>
        <v>84</v>
      </c>
      <c r="D1897" t="str">
        <f>"8"</f>
        <v>8</v>
      </c>
      <c r="E1897" t="str">
        <f>"1-84-8"</f>
        <v>1-84-8</v>
      </c>
      <c r="F1897" t="s">
        <v>83</v>
      </c>
      <c r="G1897" t="s">
        <v>84</v>
      </c>
      <c r="H1897" t="s">
        <v>85</v>
      </c>
      <c r="AC1897">
        <v>0</v>
      </c>
      <c r="AD1897">
        <v>1</v>
      </c>
      <c r="AE1897">
        <v>0</v>
      </c>
      <c r="AF1897">
        <v>0</v>
      </c>
      <c r="AG1897">
        <v>0</v>
      </c>
      <c r="AJ1897">
        <v>1</v>
      </c>
      <c r="AK1897">
        <v>0</v>
      </c>
      <c r="AL1897">
        <v>0</v>
      </c>
      <c r="AM1897">
        <v>0</v>
      </c>
      <c r="AN1897">
        <v>1</v>
      </c>
      <c r="AO1897">
        <v>0</v>
      </c>
      <c r="AP1897">
        <v>0</v>
      </c>
      <c r="AQ1897">
        <v>0</v>
      </c>
      <c r="AR1897">
        <v>0</v>
      </c>
      <c r="AS1897">
        <v>1</v>
      </c>
      <c r="AT1897">
        <v>0</v>
      </c>
      <c r="AV1897">
        <v>0</v>
      </c>
      <c r="AW1897">
        <v>0</v>
      </c>
    </row>
    <row r="1898" spans="1:49" x14ac:dyDescent="0.25">
      <c r="A1898" t="str">
        <f>"1894"</f>
        <v>1894</v>
      </c>
      <c r="B1898" t="str">
        <f t="shared" si="108"/>
        <v>1</v>
      </c>
      <c r="C1898" t="str">
        <f t="shared" si="109"/>
        <v>84</v>
      </c>
      <c r="D1898" t="str">
        <f>"1"</f>
        <v>1</v>
      </c>
      <c r="E1898" t="str">
        <f>"1-84-1"</f>
        <v>1-84-1</v>
      </c>
      <c r="F1898" t="s">
        <v>83</v>
      </c>
      <c r="G1898" t="s">
        <v>84</v>
      </c>
      <c r="H1898" t="s">
        <v>85</v>
      </c>
      <c r="AC1898">
        <v>0</v>
      </c>
      <c r="AD1898">
        <v>1</v>
      </c>
      <c r="AE1898">
        <v>0</v>
      </c>
      <c r="AF1898">
        <v>0</v>
      </c>
      <c r="AG1898">
        <v>1</v>
      </c>
      <c r="AJ1898">
        <v>1</v>
      </c>
      <c r="AK1898">
        <v>0</v>
      </c>
      <c r="AL1898">
        <v>0</v>
      </c>
      <c r="AM1898">
        <v>1</v>
      </c>
      <c r="AN1898">
        <v>0</v>
      </c>
      <c r="AO1898">
        <v>1</v>
      </c>
      <c r="AP1898">
        <v>1</v>
      </c>
      <c r="AQ1898">
        <v>1</v>
      </c>
      <c r="AR1898">
        <v>1</v>
      </c>
      <c r="AS1898">
        <v>0</v>
      </c>
      <c r="AT1898">
        <v>1</v>
      </c>
      <c r="AV1898">
        <v>1</v>
      </c>
      <c r="AW1898">
        <v>1</v>
      </c>
    </row>
    <row r="1899" spans="1:49" x14ac:dyDescent="0.25">
      <c r="A1899" t="str">
        <f>"1895"</f>
        <v>1895</v>
      </c>
      <c r="B1899" t="str">
        <f t="shared" si="108"/>
        <v>1</v>
      </c>
      <c r="C1899" t="str">
        <f t="shared" si="109"/>
        <v>84</v>
      </c>
      <c r="D1899" t="str">
        <f>"15"</f>
        <v>15</v>
      </c>
      <c r="E1899" t="str">
        <f>"1-84-15"</f>
        <v>1-84-15</v>
      </c>
      <c r="F1899" t="s">
        <v>83</v>
      </c>
      <c r="G1899" t="s">
        <v>84</v>
      </c>
      <c r="H1899" t="s">
        <v>92</v>
      </c>
      <c r="I1899">
        <v>1</v>
      </c>
      <c r="J1899">
        <v>1</v>
      </c>
      <c r="N1899">
        <v>1</v>
      </c>
      <c r="O1899">
        <v>1</v>
      </c>
      <c r="P1899">
        <v>1</v>
      </c>
      <c r="Q1899">
        <v>1</v>
      </c>
      <c r="R1899">
        <v>1</v>
      </c>
      <c r="S1899">
        <v>1</v>
      </c>
      <c r="T1899">
        <v>1</v>
      </c>
      <c r="W1899">
        <v>1</v>
      </c>
      <c r="X1899">
        <v>1</v>
      </c>
      <c r="Y1899">
        <v>1</v>
      </c>
      <c r="Z1899">
        <v>1</v>
      </c>
      <c r="AA1899">
        <v>1</v>
      </c>
      <c r="AB1899">
        <v>1</v>
      </c>
    </row>
    <row r="1900" spans="1:49" x14ac:dyDescent="0.25">
      <c r="A1900" t="str">
        <f>"1896"</f>
        <v>1896</v>
      </c>
      <c r="B1900" t="str">
        <f t="shared" si="108"/>
        <v>1</v>
      </c>
      <c r="C1900" t="str">
        <f t="shared" si="109"/>
        <v>84</v>
      </c>
      <c r="D1900" t="str">
        <f>"9"</f>
        <v>9</v>
      </c>
      <c r="E1900" t="str">
        <f>"1-84-9"</f>
        <v>1-84-9</v>
      </c>
      <c r="F1900" t="s">
        <v>83</v>
      </c>
      <c r="G1900" t="s">
        <v>84</v>
      </c>
      <c r="H1900" t="s">
        <v>85</v>
      </c>
      <c r="AC1900">
        <v>0</v>
      </c>
      <c r="AD1900">
        <v>1</v>
      </c>
      <c r="AE1900">
        <v>0</v>
      </c>
      <c r="AF1900">
        <v>0</v>
      </c>
      <c r="AG1900">
        <v>0</v>
      </c>
      <c r="AJ1900">
        <v>1</v>
      </c>
      <c r="AK1900">
        <v>0</v>
      </c>
      <c r="AL1900">
        <v>0</v>
      </c>
      <c r="AM1900">
        <v>0</v>
      </c>
      <c r="AN1900">
        <v>1</v>
      </c>
      <c r="AO1900">
        <v>0</v>
      </c>
      <c r="AP1900">
        <v>0</v>
      </c>
      <c r="AQ1900">
        <v>0</v>
      </c>
      <c r="AR1900">
        <v>0</v>
      </c>
      <c r="AS1900">
        <v>0</v>
      </c>
      <c r="AT1900">
        <v>0</v>
      </c>
      <c r="AV1900">
        <v>0</v>
      </c>
      <c r="AW1900">
        <v>1</v>
      </c>
    </row>
    <row r="1901" spans="1:49" x14ac:dyDescent="0.25">
      <c r="A1901" t="str">
        <f>"1897"</f>
        <v>1897</v>
      </c>
      <c r="B1901" t="str">
        <f t="shared" si="108"/>
        <v>1</v>
      </c>
      <c r="C1901" t="str">
        <f t="shared" si="109"/>
        <v>84</v>
      </c>
      <c r="D1901" t="str">
        <f>"4"</f>
        <v>4</v>
      </c>
      <c r="E1901" t="str">
        <f>"1-84-4"</f>
        <v>1-84-4</v>
      </c>
      <c r="F1901" t="s">
        <v>83</v>
      </c>
      <c r="G1901" t="s">
        <v>84</v>
      </c>
      <c r="H1901" t="s">
        <v>92</v>
      </c>
      <c r="I1901">
        <v>1</v>
      </c>
      <c r="J1901">
        <v>1</v>
      </c>
      <c r="N1901">
        <v>1</v>
      </c>
      <c r="O1901">
        <v>1</v>
      </c>
      <c r="P1901">
        <v>1</v>
      </c>
      <c r="Q1901">
        <v>1</v>
      </c>
      <c r="R1901">
        <v>1</v>
      </c>
      <c r="S1901">
        <v>1</v>
      </c>
      <c r="T1901">
        <v>1</v>
      </c>
      <c r="W1901">
        <v>1</v>
      </c>
      <c r="X1901">
        <v>1</v>
      </c>
      <c r="Y1901">
        <v>1</v>
      </c>
      <c r="Z1901">
        <v>1</v>
      </c>
      <c r="AA1901">
        <v>1</v>
      </c>
      <c r="AB1901">
        <v>1</v>
      </c>
    </row>
    <row r="1902" spans="1:49" x14ac:dyDescent="0.25">
      <c r="A1902" t="str">
        <f>"1898"</f>
        <v>1898</v>
      </c>
      <c r="B1902" t="str">
        <f t="shared" si="108"/>
        <v>1</v>
      </c>
      <c r="C1902" t="str">
        <f t="shared" si="109"/>
        <v>84</v>
      </c>
      <c r="D1902" t="str">
        <f>"22"</f>
        <v>22</v>
      </c>
      <c r="E1902" t="str">
        <f>"1-84-22"</f>
        <v>1-84-22</v>
      </c>
      <c r="F1902" t="s">
        <v>83</v>
      </c>
      <c r="G1902" t="s">
        <v>84</v>
      </c>
      <c r="H1902" t="s">
        <v>85</v>
      </c>
      <c r="AC1902">
        <v>0</v>
      </c>
      <c r="AD1902">
        <v>1</v>
      </c>
      <c r="AE1902">
        <v>0</v>
      </c>
      <c r="AF1902">
        <v>0</v>
      </c>
      <c r="AG1902">
        <v>1</v>
      </c>
      <c r="AJ1902">
        <v>0</v>
      </c>
      <c r="AK1902">
        <v>1</v>
      </c>
      <c r="AL1902">
        <v>0</v>
      </c>
      <c r="AM1902">
        <v>1</v>
      </c>
      <c r="AN1902">
        <v>0</v>
      </c>
      <c r="AO1902">
        <v>1</v>
      </c>
      <c r="AP1902">
        <v>1</v>
      </c>
      <c r="AQ1902">
        <v>1</v>
      </c>
      <c r="AR1902">
        <v>1</v>
      </c>
      <c r="AS1902">
        <v>0</v>
      </c>
      <c r="AT1902">
        <v>1</v>
      </c>
      <c r="AV1902">
        <v>1</v>
      </c>
      <c r="AW1902">
        <v>1</v>
      </c>
    </row>
    <row r="1903" spans="1:49" x14ac:dyDescent="0.25">
      <c r="A1903" t="str">
        <f>"1899"</f>
        <v>1899</v>
      </c>
      <c r="B1903" t="str">
        <f t="shared" si="108"/>
        <v>1</v>
      </c>
      <c r="C1903" t="str">
        <f t="shared" si="109"/>
        <v>84</v>
      </c>
      <c r="D1903" t="str">
        <f>"21"</f>
        <v>21</v>
      </c>
      <c r="E1903" t="str">
        <f>"1-84-21"</f>
        <v>1-84-21</v>
      </c>
      <c r="F1903" t="s">
        <v>83</v>
      </c>
      <c r="G1903" t="s">
        <v>84</v>
      </c>
      <c r="H1903" t="s">
        <v>92</v>
      </c>
      <c r="I1903">
        <v>1</v>
      </c>
      <c r="J1903">
        <v>1</v>
      </c>
      <c r="N1903">
        <v>1</v>
      </c>
      <c r="O1903">
        <v>1</v>
      </c>
      <c r="P1903">
        <v>1</v>
      </c>
      <c r="Q1903">
        <v>1</v>
      </c>
      <c r="R1903">
        <v>1</v>
      </c>
      <c r="S1903">
        <v>1</v>
      </c>
      <c r="T1903">
        <v>1</v>
      </c>
      <c r="W1903">
        <v>1</v>
      </c>
      <c r="X1903">
        <v>1</v>
      </c>
      <c r="Y1903">
        <v>1</v>
      </c>
      <c r="Z1903">
        <v>1</v>
      </c>
      <c r="AA1903">
        <v>1</v>
      </c>
      <c r="AB1903">
        <v>1</v>
      </c>
    </row>
    <row r="1904" spans="1:49" x14ac:dyDescent="0.25">
      <c r="A1904" t="str">
        <f>"1900"</f>
        <v>1900</v>
      </c>
      <c r="B1904" t="str">
        <f t="shared" si="108"/>
        <v>1</v>
      </c>
      <c r="C1904" t="str">
        <f t="shared" si="109"/>
        <v>84</v>
      </c>
      <c r="D1904" t="str">
        <f>"14"</f>
        <v>14</v>
      </c>
      <c r="E1904" t="str">
        <f>"1-84-14"</f>
        <v>1-84-14</v>
      </c>
      <c r="F1904" t="s">
        <v>83</v>
      </c>
      <c r="G1904" t="s">
        <v>84</v>
      </c>
      <c r="H1904" t="s">
        <v>85</v>
      </c>
      <c r="AC1904">
        <v>0</v>
      </c>
      <c r="AD1904">
        <v>1</v>
      </c>
      <c r="AE1904">
        <v>0</v>
      </c>
      <c r="AF1904">
        <v>0</v>
      </c>
      <c r="AG1904">
        <v>1</v>
      </c>
      <c r="AJ1904">
        <v>1</v>
      </c>
      <c r="AK1904">
        <v>0</v>
      </c>
      <c r="AL1904">
        <v>1</v>
      </c>
      <c r="AM1904">
        <v>0</v>
      </c>
      <c r="AN1904">
        <v>0</v>
      </c>
      <c r="AO1904">
        <v>0</v>
      </c>
      <c r="AP1904">
        <v>0</v>
      </c>
      <c r="AQ1904">
        <v>0</v>
      </c>
      <c r="AR1904">
        <v>0</v>
      </c>
      <c r="AS1904">
        <v>0</v>
      </c>
      <c r="AT1904">
        <v>1</v>
      </c>
      <c r="AV1904">
        <v>0</v>
      </c>
      <c r="AW1904">
        <v>0</v>
      </c>
    </row>
    <row r="1905" spans="1:49" x14ac:dyDescent="0.25">
      <c r="A1905" t="str">
        <f>"1901"</f>
        <v>1901</v>
      </c>
      <c r="B1905" t="str">
        <f t="shared" si="108"/>
        <v>1</v>
      </c>
      <c r="C1905" t="str">
        <f t="shared" si="109"/>
        <v>84</v>
      </c>
      <c r="D1905" t="str">
        <f>"10"</f>
        <v>10</v>
      </c>
      <c r="E1905" t="str">
        <f>"1-84-10"</f>
        <v>1-84-10</v>
      </c>
      <c r="F1905" t="s">
        <v>83</v>
      </c>
      <c r="G1905" t="s">
        <v>84</v>
      </c>
      <c r="H1905" t="s">
        <v>92</v>
      </c>
      <c r="I1905">
        <v>1</v>
      </c>
      <c r="J1905">
        <v>1</v>
      </c>
      <c r="N1905">
        <v>1</v>
      </c>
      <c r="O1905">
        <v>1</v>
      </c>
      <c r="P1905">
        <v>1</v>
      </c>
      <c r="Q1905">
        <v>1</v>
      </c>
      <c r="R1905">
        <v>1</v>
      </c>
      <c r="S1905">
        <v>1</v>
      </c>
      <c r="T1905">
        <v>1</v>
      </c>
      <c r="W1905">
        <v>1</v>
      </c>
      <c r="X1905">
        <v>1</v>
      </c>
      <c r="Y1905">
        <v>1</v>
      </c>
      <c r="Z1905">
        <v>1</v>
      </c>
      <c r="AA1905">
        <v>1</v>
      </c>
      <c r="AB1905">
        <v>1</v>
      </c>
    </row>
    <row r="1906" spans="1:49" x14ac:dyDescent="0.25">
      <c r="A1906" t="str">
        <f>"1902"</f>
        <v>1902</v>
      </c>
      <c r="B1906" t="str">
        <f t="shared" si="108"/>
        <v>1</v>
      </c>
      <c r="C1906" t="str">
        <f t="shared" si="109"/>
        <v>84</v>
      </c>
      <c r="D1906" t="str">
        <f>"3"</f>
        <v>3</v>
      </c>
      <c r="E1906" t="str">
        <f>"1-84-3"</f>
        <v>1-84-3</v>
      </c>
      <c r="F1906" t="s">
        <v>83</v>
      </c>
      <c r="G1906" t="s">
        <v>84</v>
      </c>
      <c r="H1906" t="s">
        <v>85</v>
      </c>
      <c r="AC1906">
        <v>0</v>
      </c>
      <c r="AD1906">
        <v>1</v>
      </c>
      <c r="AE1906">
        <v>0</v>
      </c>
      <c r="AF1906">
        <v>0</v>
      </c>
      <c r="AG1906">
        <v>1</v>
      </c>
      <c r="AJ1906">
        <v>0</v>
      </c>
      <c r="AK1906">
        <v>1</v>
      </c>
      <c r="AL1906">
        <v>0</v>
      </c>
      <c r="AM1906">
        <v>0</v>
      </c>
      <c r="AN1906">
        <v>1</v>
      </c>
      <c r="AO1906">
        <v>1</v>
      </c>
      <c r="AP1906">
        <v>1</v>
      </c>
      <c r="AQ1906">
        <v>1</v>
      </c>
      <c r="AR1906">
        <v>1</v>
      </c>
      <c r="AS1906">
        <v>1</v>
      </c>
      <c r="AT1906">
        <v>0</v>
      </c>
      <c r="AV1906">
        <v>1</v>
      </c>
      <c r="AW1906">
        <v>1</v>
      </c>
    </row>
    <row r="1907" spans="1:49" x14ac:dyDescent="0.25">
      <c r="A1907" t="str">
        <f>"1903"</f>
        <v>1903</v>
      </c>
      <c r="B1907" t="str">
        <f t="shared" si="108"/>
        <v>1</v>
      </c>
      <c r="C1907" t="str">
        <f t="shared" si="109"/>
        <v>84</v>
      </c>
      <c r="D1907" t="str">
        <f>"23"</f>
        <v>23</v>
      </c>
      <c r="E1907" t="str">
        <f>"1-84-23"</f>
        <v>1-84-23</v>
      </c>
      <c r="F1907" t="s">
        <v>83</v>
      </c>
      <c r="G1907" t="s">
        <v>84</v>
      </c>
      <c r="H1907" t="s">
        <v>85</v>
      </c>
      <c r="AC1907">
        <v>0</v>
      </c>
      <c r="AD1907">
        <v>1</v>
      </c>
      <c r="AE1907">
        <v>0</v>
      </c>
      <c r="AF1907">
        <v>0</v>
      </c>
      <c r="AG1907">
        <v>0</v>
      </c>
      <c r="AJ1907">
        <v>0</v>
      </c>
      <c r="AK1907">
        <v>1</v>
      </c>
      <c r="AL1907">
        <v>0</v>
      </c>
      <c r="AM1907">
        <v>0</v>
      </c>
      <c r="AN1907">
        <v>1</v>
      </c>
      <c r="AO1907">
        <v>0</v>
      </c>
      <c r="AP1907">
        <v>0</v>
      </c>
      <c r="AQ1907">
        <v>0</v>
      </c>
      <c r="AR1907">
        <v>0</v>
      </c>
      <c r="AS1907">
        <v>0</v>
      </c>
      <c r="AT1907">
        <v>0</v>
      </c>
      <c r="AV1907">
        <v>0</v>
      </c>
      <c r="AW1907">
        <v>0</v>
      </c>
    </row>
    <row r="1908" spans="1:49" x14ac:dyDescent="0.25">
      <c r="A1908" t="str">
        <f>"1904"</f>
        <v>1904</v>
      </c>
      <c r="B1908" t="str">
        <f t="shared" si="108"/>
        <v>1</v>
      </c>
      <c r="C1908" t="str">
        <f t="shared" si="109"/>
        <v>84</v>
      </c>
      <c r="D1908" t="str">
        <f>"11"</f>
        <v>11</v>
      </c>
      <c r="E1908" t="str">
        <f>"1-84-11"</f>
        <v>1-84-11</v>
      </c>
      <c r="F1908" t="s">
        <v>83</v>
      </c>
      <c r="G1908" t="s">
        <v>84</v>
      </c>
      <c r="H1908" t="s">
        <v>92</v>
      </c>
      <c r="I1908">
        <v>1</v>
      </c>
      <c r="J1908">
        <v>1</v>
      </c>
      <c r="N1908">
        <v>1</v>
      </c>
      <c r="O1908">
        <v>1</v>
      </c>
      <c r="P1908">
        <v>1</v>
      </c>
      <c r="Q1908">
        <v>1</v>
      </c>
      <c r="R1908">
        <v>1</v>
      </c>
      <c r="S1908">
        <v>1</v>
      </c>
      <c r="T1908">
        <v>1</v>
      </c>
      <c r="W1908">
        <v>1</v>
      </c>
      <c r="X1908">
        <v>1</v>
      </c>
      <c r="Y1908">
        <v>1</v>
      </c>
      <c r="Z1908">
        <v>1</v>
      </c>
      <c r="AA1908">
        <v>1</v>
      </c>
      <c r="AB1908">
        <v>1</v>
      </c>
    </row>
    <row r="1909" spans="1:49" x14ac:dyDescent="0.25">
      <c r="A1909" t="str">
        <f>"1905"</f>
        <v>1905</v>
      </c>
      <c r="B1909" t="str">
        <f t="shared" si="108"/>
        <v>1</v>
      </c>
      <c r="C1909" t="str">
        <f t="shared" si="109"/>
        <v>84</v>
      </c>
      <c r="D1909" t="str">
        <f>"5"</f>
        <v>5</v>
      </c>
      <c r="E1909" t="str">
        <f>"1-84-5"</f>
        <v>1-84-5</v>
      </c>
      <c r="F1909" t="s">
        <v>83</v>
      </c>
      <c r="G1909" t="s">
        <v>84</v>
      </c>
      <c r="H1909" t="s">
        <v>92</v>
      </c>
      <c r="I1909">
        <v>1</v>
      </c>
      <c r="J1909">
        <v>1</v>
      </c>
      <c r="N1909">
        <v>1</v>
      </c>
      <c r="O1909">
        <v>1</v>
      </c>
      <c r="P1909">
        <v>1</v>
      </c>
      <c r="Q1909">
        <v>1</v>
      </c>
      <c r="R1909">
        <v>1</v>
      </c>
      <c r="S1909">
        <v>1</v>
      </c>
      <c r="T1909">
        <v>0</v>
      </c>
      <c r="W1909">
        <v>1</v>
      </c>
      <c r="X1909">
        <v>1</v>
      </c>
      <c r="Y1909">
        <v>1</v>
      </c>
      <c r="Z1909">
        <v>1</v>
      </c>
      <c r="AA1909">
        <v>1</v>
      </c>
      <c r="AB1909">
        <v>1</v>
      </c>
    </row>
    <row r="1910" spans="1:49" x14ac:dyDescent="0.25">
      <c r="A1910" t="str">
        <f>"1906"</f>
        <v>1906</v>
      </c>
      <c r="B1910" t="str">
        <f t="shared" si="108"/>
        <v>1</v>
      </c>
      <c r="C1910" t="str">
        <f t="shared" si="109"/>
        <v>84</v>
      </c>
      <c r="D1910" t="str">
        <f>"20"</f>
        <v>20</v>
      </c>
      <c r="E1910" t="str">
        <f>"1-84-20"</f>
        <v>1-84-20</v>
      </c>
      <c r="F1910" t="s">
        <v>83</v>
      </c>
      <c r="G1910" t="s">
        <v>84</v>
      </c>
      <c r="H1910" t="s">
        <v>92</v>
      </c>
      <c r="I1910">
        <v>1</v>
      </c>
      <c r="J1910">
        <v>1</v>
      </c>
      <c r="N1910">
        <v>1</v>
      </c>
      <c r="O1910">
        <v>1</v>
      </c>
      <c r="P1910">
        <v>1</v>
      </c>
      <c r="Q1910">
        <v>1</v>
      </c>
      <c r="R1910">
        <v>1</v>
      </c>
      <c r="S1910">
        <v>1</v>
      </c>
      <c r="T1910">
        <v>1</v>
      </c>
      <c r="W1910">
        <v>1</v>
      </c>
      <c r="X1910">
        <v>1</v>
      </c>
      <c r="Y1910">
        <v>1</v>
      </c>
      <c r="Z1910">
        <v>1</v>
      </c>
      <c r="AA1910">
        <v>1</v>
      </c>
      <c r="AB1910">
        <v>1</v>
      </c>
    </row>
    <row r="1911" spans="1:49" x14ac:dyDescent="0.25">
      <c r="A1911" t="str">
        <f>"1907"</f>
        <v>1907</v>
      </c>
      <c r="B1911" t="str">
        <f t="shared" si="108"/>
        <v>1</v>
      </c>
      <c r="C1911" t="str">
        <f t="shared" si="109"/>
        <v>84</v>
      </c>
      <c r="D1911" t="str">
        <f>"12"</f>
        <v>12</v>
      </c>
      <c r="E1911" t="str">
        <f>"1-84-12"</f>
        <v>1-84-12</v>
      </c>
      <c r="F1911" t="s">
        <v>83</v>
      </c>
      <c r="G1911" t="s">
        <v>84</v>
      </c>
      <c r="H1911" t="s">
        <v>92</v>
      </c>
      <c r="I1911">
        <v>1</v>
      </c>
      <c r="J1911">
        <v>1</v>
      </c>
      <c r="N1911">
        <v>1</v>
      </c>
      <c r="O1911">
        <v>1</v>
      </c>
      <c r="P1911">
        <v>1</v>
      </c>
      <c r="Q1911">
        <v>1</v>
      </c>
      <c r="R1911">
        <v>1</v>
      </c>
      <c r="S1911">
        <v>1</v>
      </c>
      <c r="T1911">
        <v>1</v>
      </c>
      <c r="W1911">
        <v>1</v>
      </c>
      <c r="X1911">
        <v>1</v>
      </c>
      <c r="Y1911">
        <v>1</v>
      </c>
      <c r="Z1911">
        <v>1</v>
      </c>
      <c r="AA1911">
        <v>1</v>
      </c>
      <c r="AB1911">
        <v>1</v>
      </c>
    </row>
    <row r="1912" spans="1:49" s="2" customFormat="1" x14ac:dyDescent="0.25">
      <c r="A1912" s="1" t="str">
        <f>"1908"</f>
        <v>1908</v>
      </c>
      <c r="B1912" s="1" t="str">
        <f t="shared" si="108"/>
        <v>1</v>
      </c>
      <c r="C1912" s="1" t="str">
        <f t="shared" si="109"/>
        <v>84</v>
      </c>
      <c r="D1912" s="1" t="str">
        <f>"2"</f>
        <v>2</v>
      </c>
      <c r="E1912" s="1" t="str">
        <f>"1-84-2"</f>
        <v>1-84-2</v>
      </c>
      <c r="F1912" s="1" t="s">
        <v>83</v>
      </c>
      <c r="G1912" s="4" t="s">
        <v>96</v>
      </c>
      <c r="I1912" s="4"/>
    </row>
    <row r="1913" spans="1:49" s="2" customFormat="1" x14ac:dyDescent="0.25">
      <c r="A1913" s="1" t="str">
        <f>"1909"</f>
        <v>1909</v>
      </c>
      <c r="B1913" s="1" t="str">
        <f t="shared" si="108"/>
        <v>1</v>
      </c>
      <c r="C1913" s="1" t="str">
        <f t="shared" si="109"/>
        <v>84</v>
      </c>
      <c r="D1913" s="1" t="str">
        <f>"16"</f>
        <v>16</v>
      </c>
      <c r="E1913" s="1" t="str">
        <f>"1-84-16"</f>
        <v>1-84-16</v>
      </c>
      <c r="F1913" s="1" t="s">
        <v>83</v>
      </c>
      <c r="G1913" s="4" t="s">
        <v>96</v>
      </c>
      <c r="I1913" s="4"/>
    </row>
    <row r="1914" spans="1:49" x14ac:dyDescent="0.25">
      <c r="A1914" t="str">
        <f>"1910"</f>
        <v>1910</v>
      </c>
      <c r="B1914" t="str">
        <f t="shared" si="108"/>
        <v>1</v>
      </c>
      <c r="C1914" t="str">
        <f t="shared" si="109"/>
        <v>84</v>
      </c>
      <c r="D1914" t="str">
        <f>"7"</f>
        <v>7</v>
      </c>
      <c r="E1914" t="str">
        <f>"1-84-7"</f>
        <v>1-84-7</v>
      </c>
      <c r="F1914" t="s">
        <v>83</v>
      </c>
      <c r="G1914" t="s">
        <v>84</v>
      </c>
      <c r="H1914" t="s">
        <v>92</v>
      </c>
      <c r="I1914">
        <v>1</v>
      </c>
      <c r="J1914">
        <v>1</v>
      </c>
      <c r="N1914">
        <v>1</v>
      </c>
      <c r="O1914">
        <v>1</v>
      </c>
      <c r="P1914">
        <v>1</v>
      </c>
      <c r="Q1914">
        <v>1</v>
      </c>
      <c r="R1914">
        <v>1</v>
      </c>
      <c r="S1914">
        <v>1</v>
      </c>
      <c r="T1914">
        <v>0</v>
      </c>
      <c r="W1914">
        <v>1</v>
      </c>
      <c r="X1914">
        <v>1</v>
      </c>
      <c r="Y1914">
        <v>1</v>
      </c>
      <c r="Z1914">
        <v>1</v>
      </c>
      <c r="AA1914">
        <v>1</v>
      </c>
      <c r="AB1914">
        <v>1</v>
      </c>
    </row>
    <row r="1915" spans="1:49" x14ac:dyDescent="0.25">
      <c r="A1915" t="str">
        <f>"1911"</f>
        <v>1911</v>
      </c>
      <c r="B1915" t="str">
        <f t="shared" si="108"/>
        <v>1</v>
      </c>
      <c r="C1915" t="str">
        <f t="shared" si="109"/>
        <v>84</v>
      </c>
      <c r="D1915" t="str">
        <f>"19"</f>
        <v>19</v>
      </c>
      <c r="E1915" t="str">
        <f>"1-84-19"</f>
        <v>1-84-19</v>
      </c>
      <c r="F1915" t="s">
        <v>83</v>
      </c>
      <c r="G1915" t="s">
        <v>84</v>
      </c>
      <c r="H1915" t="s">
        <v>92</v>
      </c>
      <c r="I1915">
        <v>1</v>
      </c>
      <c r="J1915">
        <v>1</v>
      </c>
      <c r="N1915">
        <v>1</v>
      </c>
      <c r="O1915">
        <v>1</v>
      </c>
      <c r="P1915">
        <v>1</v>
      </c>
      <c r="Q1915">
        <v>1</v>
      </c>
      <c r="R1915">
        <v>1</v>
      </c>
      <c r="S1915">
        <v>1</v>
      </c>
      <c r="T1915">
        <v>1</v>
      </c>
      <c r="W1915">
        <v>1</v>
      </c>
      <c r="X1915">
        <v>1</v>
      </c>
      <c r="Y1915">
        <v>1</v>
      </c>
      <c r="Z1915">
        <v>1</v>
      </c>
      <c r="AA1915">
        <v>1</v>
      </c>
      <c r="AB1915">
        <v>1</v>
      </c>
    </row>
    <row r="1916" spans="1:49" x14ac:dyDescent="0.25">
      <c r="A1916" t="str">
        <f>"1912"</f>
        <v>1912</v>
      </c>
      <c r="B1916" t="str">
        <f t="shared" si="108"/>
        <v>1</v>
      </c>
      <c r="C1916" t="str">
        <f t="shared" si="109"/>
        <v>84</v>
      </c>
      <c r="D1916" t="str">
        <f>"6"</f>
        <v>6</v>
      </c>
      <c r="E1916" t="str">
        <f>"1-84-6"</f>
        <v>1-84-6</v>
      </c>
      <c r="F1916" t="s">
        <v>83</v>
      </c>
      <c r="G1916" t="s">
        <v>84</v>
      </c>
      <c r="H1916" t="s">
        <v>92</v>
      </c>
      <c r="I1916">
        <v>1</v>
      </c>
      <c r="J1916">
        <v>1</v>
      </c>
      <c r="N1916">
        <v>1</v>
      </c>
      <c r="O1916">
        <v>1</v>
      </c>
      <c r="P1916">
        <v>1</v>
      </c>
      <c r="Q1916">
        <v>1</v>
      </c>
      <c r="R1916">
        <v>1</v>
      </c>
      <c r="S1916">
        <v>1</v>
      </c>
      <c r="T1916">
        <v>1</v>
      </c>
      <c r="W1916">
        <v>1</v>
      </c>
      <c r="X1916">
        <v>1</v>
      </c>
      <c r="Y1916">
        <v>1</v>
      </c>
      <c r="Z1916">
        <v>1</v>
      </c>
      <c r="AA1916">
        <v>1</v>
      </c>
      <c r="AB1916">
        <v>1</v>
      </c>
    </row>
    <row r="1917" spans="1:49" x14ac:dyDescent="0.25">
      <c r="A1917" t="str">
        <f>"1913"</f>
        <v>1913</v>
      </c>
      <c r="B1917" t="str">
        <f t="shared" si="108"/>
        <v>1</v>
      </c>
      <c r="C1917" t="str">
        <f t="shared" ref="C1917:C1940" si="110">"85"</f>
        <v>85</v>
      </c>
      <c r="D1917" t="str">
        <f>"23"</f>
        <v>23</v>
      </c>
      <c r="E1917" t="str">
        <f>"1-85-23"</f>
        <v>1-85-23</v>
      </c>
      <c r="F1917" t="s">
        <v>83</v>
      </c>
      <c r="G1917" t="s">
        <v>86</v>
      </c>
      <c r="H1917" t="s">
        <v>87</v>
      </c>
      <c r="AC1917">
        <v>0</v>
      </c>
      <c r="AD1917">
        <v>0</v>
      </c>
      <c r="AE1917">
        <v>0</v>
      </c>
      <c r="AF1917">
        <v>0</v>
      </c>
      <c r="AH1917">
        <v>0</v>
      </c>
      <c r="AI1917">
        <v>1</v>
      </c>
      <c r="AJ1917">
        <v>0</v>
      </c>
      <c r="AK1917">
        <v>0</v>
      </c>
      <c r="AL1917">
        <v>0</v>
      </c>
      <c r="AM1917">
        <v>0</v>
      </c>
      <c r="AN1917">
        <v>0</v>
      </c>
      <c r="AO1917">
        <v>1</v>
      </c>
      <c r="AP1917">
        <v>1</v>
      </c>
      <c r="AQ1917">
        <v>1</v>
      </c>
      <c r="AU1917">
        <v>1</v>
      </c>
      <c r="AV1917">
        <v>1</v>
      </c>
      <c r="AW1917">
        <v>1</v>
      </c>
    </row>
    <row r="1918" spans="1:49" x14ac:dyDescent="0.25">
      <c r="A1918" t="str">
        <f>"1914"</f>
        <v>1914</v>
      </c>
      <c r="B1918" t="str">
        <f t="shared" si="108"/>
        <v>1</v>
      </c>
      <c r="C1918" t="str">
        <f t="shared" si="110"/>
        <v>85</v>
      </c>
      <c r="D1918" t="str">
        <f>"22"</f>
        <v>22</v>
      </c>
      <c r="E1918" t="str">
        <f>"1-85-22"</f>
        <v>1-85-22</v>
      </c>
      <c r="F1918" t="s">
        <v>83</v>
      </c>
      <c r="G1918" t="s">
        <v>84</v>
      </c>
      <c r="H1918" t="s">
        <v>92</v>
      </c>
      <c r="I1918">
        <v>1</v>
      </c>
      <c r="J1918">
        <v>1</v>
      </c>
      <c r="N1918">
        <v>1</v>
      </c>
      <c r="O1918">
        <v>1</v>
      </c>
      <c r="P1918">
        <v>1</v>
      </c>
      <c r="Q1918">
        <v>1</v>
      </c>
      <c r="R1918">
        <v>1</v>
      </c>
      <c r="S1918">
        <v>1</v>
      </c>
      <c r="T1918">
        <v>1</v>
      </c>
      <c r="W1918">
        <v>1</v>
      </c>
      <c r="X1918">
        <v>1</v>
      </c>
      <c r="Y1918">
        <v>1</v>
      </c>
      <c r="Z1918">
        <v>1</v>
      </c>
      <c r="AA1918">
        <v>1</v>
      </c>
      <c r="AB1918">
        <v>1</v>
      </c>
    </row>
    <row r="1919" spans="1:49" x14ac:dyDescent="0.25">
      <c r="A1919" t="str">
        <f>"1915"</f>
        <v>1915</v>
      </c>
      <c r="B1919" t="str">
        <f t="shared" si="108"/>
        <v>1</v>
      </c>
      <c r="C1919" t="str">
        <f t="shared" si="110"/>
        <v>85</v>
      </c>
      <c r="D1919" t="str">
        <f>"15"</f>
        <v>15</v>
      </c>
      <c r="E1919" t="str">
        <f>"1-85-15"</f>
        <v>1-85-15</v>
      </c>
      <c r="F1919" t="s">
        <v>83</v>
      </c>
      <c r="G1919" t="s">
        <v>84</v>
      </c>
      <c r="H1919" t="s">
        <v>85</v>
      </c>
      <c r="AC1919">
        <v>0</v>
      </c>
      <c r="AD1919">
        <v>1</v>
      </c>
      <c r="AE1919">
        <v>0</v>
      </c>
      <c r="AF1919">
        <v>0</v>
      </c>
      <c r="AG1919">
        <v>1</v>
      </c>
      <c r="AJ1919">
        <v>1</v>
      </c>
      <c r="AK1919">
        <v>0</v>
      </c>
      <c r="AL1919">
        <v>1</v>
      </c>
      <c r="AM1919">
        <v>0</v>
      </c>
      <c r="AN1919">
        <v>0</v>
      </c>
      <c r="AO1919">
        <v>1</v>
      </c>
      <c r="AP1919">
        <v>1</v>
      </c>
      <c r="AQ1919">
        <v>1</v>
      </c>
      <c r="AR1919">
        <v>1</v>
      </c>
      <c r="AS1919">
        <v>1</v>
      </c>
      <c r="AT1919">
        <v>0</v>
      </c>
      <c r="AV1919">
        <v>1</v>
      </c>
      <c r="AW1919">
        <v>1</v>
      </c>
    </row>
    <row r="1920" spans="1:49" x14ac:dyDescent="0.25">
      <c r="A1920" t="str">
        <f>"1916"</f>
        <v>1916</v>
      </c>
      <c r="B1920" t="str">
        <f t="shared" si="108"/>
        <v>1</v>
      </c>
      <c r="C1920" t="str">
        <f t="shared" si="110"/>
        <v>85</v>
      </c>
      <c r="D1920" t="str">
        <f>"14"</f>
        <v>14</v>
      </c>
      <c r="E1920" t="str">
        <f>"1-85-14"</f>
        <v>1-85-14</v>
      </c>
      <c r="F1920" t="s">
        <v>83</v>
      </c>
      <c r="G1920" t="s">
        <v>84</v>
      </c>
      <c r="H1920" t="s">
        <v>92</v>
      </c>
      <c r="I1920">
        <v>1</v>
      </c>
      <c r="J1920">
        <v>0</v>
      </c>
      <c r="N1920">
        <v>1</v>
      </c>
      <c r="O1920">
        <v>0</v>
      </c>
      <c r="P1920">
        <v>0</v>
      </c>
      <c r="Q1920">
        <v>1</v>
      </c>
      <c r="R1920">
        <v>0</v>
      </c>
      <c r="S1920">
        <v>0</v>
      </c>
      <c r="T1920">
        <v>0</v>
      </c>
      <c r="W1920">
        <v>0</v>
      </c>
      <c r="X1920">
        <v>0</v>
      </c>
      <c r="Y1920">
        <v>0</v>
      </c>
      <c r="Z1920">
        <v>0</v>
      </c>
      <c r="AA1920">
        <v>0</v>
      </c>
      <c r="AB1920">
        <v>0</v>
      </c>
    </row>
    <row r="1921" spans="1:49" x14ac:dyDescent="0.25">
      <c r="A1921" t="str">
        <f>"1917"</f>
        <v>1917</v>
      </c>
      <c r="B1921" t="str">
        <f t="shared" si="108"/>
        <v>1</v>
      </c>
      <c r="C1921" t="str">
        <f t="shared" si="110"/>
        <v>85</v>
      </c>
      <c r="D1921" t="str">
        <f>"11"</f>
        <v>11</v>
      </c>
      <c r="E1921" t="str">
        <f>"1-85-11"</f>
        <v>1-85-11</v>
      </c>
      <c r="F1921" t="s">
        <v>83</v>
      </c>
      <c r="G1921" t="s">
        <v>84</v>
      </c>
      <c r="H1921" t="s">
        <v>92</v>
      </c>
      <c r="I1921">
        <v>1</v>
      </c>
      <c r="J1921">
        <v>1</v>
      </c>
      <c r="N1921">
        <v>1</v>
      </c>
      <c r="O1921">
        <v>1</v>
      </c>
      <c r="P1921">
        <v>1</v>
      </c>
      <c r="Q1921">
        <v>1</v>
      </c>
      <c r="R1921">
        <v>1</v>
      </c>
      <c r="S1921">
        <v>1</v>
      </c>
      <c r="T1921">
        <v>1</v>
      </c>
      <c r="W1921">
        <v>1</v>
      </c>
      <c r="X1921">
        <v>1</v>
      </c>
      <c r="Y1921">
        <v>1</v>
      </c>
      <c r="Z1921">
        <v>1</v>
      </c>
      <c r="AA1921">
        <v>1</v>
      </c>
      <c r="AB1921">
        <v>1</v>
      </c>
    </row>
    <row r="1922" spans="1:49" x14ac:dyDescent="0.25">
      <c r="A1922" t="str">
        <f>"1918"</f>
        <v>1918</v>
      </c>
      <c r="B1922" t="str">
        <f t="shared" si="108"/>
        <v>1</v>
      </c>
      <c r="C1922" t="str">
        <f t="shared" si="110"/>
        <v>85</v>
      </c>
      <c r="D1922" t="str">
        <f>"8"</f>
        <v>8</v>
      </c>
      <c r="E1922" t="str">
        <f>"1-85-8"</f>
        <v>1-85-8</v>
      </c>
      <c r="F1922" t="s">
        <v>83</v>
      </c>
      <c r="G1922" t="s">
        <v>84</v>
      </c>
      <c r="H1922" t="s">
        <v>85</v>
      </c>
      <c r="AC1922">
        <v>0</v>
      </c>
      <c r="AD1922">
        <v>1</v>
      </c>
      <c r="AE1922">
        <v>0</v>
      </c>
      <c r="AF1922">
        <v>0</v>
      </c>
      <c r="AG1922">
        <v>1</v>
      </c>
      <c r="AJ1922">
        <v>1</v>
      </c>
      <c r="AK1922">
        <v>0</v>
      </c>
      <c r="AL1922">
        <v>0</v>
      </c>
      <c r="AM1922">
        <v>1</v>
      </c>
      <c r="AN1922">
        <v>0</v>
      </c>
      <c r="AO1922">
        <v>1</v>
      </c>
      <c r="AP1922">
        <v>1</v>
      </c>
      <c r="AQ1922">
        <v>1</v>
      </c>
      <c r="AR1922">
        <v>1</v>
      </c>
      <c r="AS1922">
        <v>0</v>
      </c>
      <c r="AT1922">
        <v>1</v>
      </c>
      <c r="AV1922">
        <v>1</v>
      </c>
      <c r="AW1922">
        <v>1</v>
      </c>
    </row>
    <row r="1923" spans="1:49" x14ac:dyDescent="0.25">
      <c r="A1923" t="str">
        <f>"1919"</f>
        <v>1919</v>
      </c>
      <c r="B1923" t="str">
        <f t="shared" si="108"/>
        <v>1</v>
      </c>
      <c r="C1923" t="str">
        <f t="shared" si="110"/>
        <v>85</v>
      </c>
      <c r="D1923" t="str">
        <f>"1"</f>
        <v>1</v>
      </c>
      <c r="E1923" t="str">
        <f>"1-85-1"</f>
        <v>1-85-1</v>
      </c>
      <c r="F1923" t="s">
        <v>83</v>
      </c>
      <c r="G1923" t="s">
        <v>86</v>
      </c>
      <c r="H1923" t="s">
        <v>93</v>
      </c>
      <c r="I1923">
        <v>1</v>
      </c>
      <c r="K1923">
        <v>0</v>
      </c>
      <c r="L1923">
        <v>0</v>
      </c>
      <c r="M1923">
        <v>1</v>
      </c>
      <c r="N1923">
        <v>1</v>
      </c>
      <c r="O1923">
        <v>1</v>
      </c>
      <c r="P1923">
        <v>1</v>
      </c>
      <c r="Q1923">
        <v>1</v>
      </c>
      <c r="R1923">
        <v>1</v>
      </c>
      <c r="U1923">
        <v>0</v>
      </c>
      <c r="V1923">
        <v>1</v>
      </c>
      <c r="W1923">
        <v>1</v>
      </c>
      <c r="X1923">
        <v>1</v>
      </c>
      <c r="Y1923">
        <v>1</v>
      </c>
      <c r="Z1923">
        <v>1</v>
      </c>
      <c r="AA1923">
        <v>1</v>
      </c>
      <c r="AB1923">
        <v>1</v>
      </c>
    </row>
    <row r="1924" spans="1:49" x14ac:dyDescent="0.25">
      <c r="A1924" t="str">
        <f>"1920"</f>
        <v>1920</v>
      </c>
      <c r="B1924" t="str">
        <f t="shared" si="108"/>
        <v>1</v>
      </c>
      <c r="C1924" t="str">
        <f t="shared" si="110"/>
        <v>85</v>
      </c>
      <c r="D1924" t="str">
        <f>"24"</f>
        <v>24</v>
      </c>
      <c r="E1924" t="str">
        <f>"1-85-24"</f>
        <v>1-85-24</v>
      </c>
      <c r="F1924" t="s">
        <v>83</v>
      </c>
      <c r="G1924" t="s">
        <v>86</v>
      </c>
      <c r="H1924" t="s">
        <v>87</v>
      </c>
      <c r="AC1924">
        <v>0</v>
      </c>
      <c r="AD1924">
        <v>1</v>
      </c>
      <c r="AE1924">
        <v>0</v>
      </c>
      <c r="AF1924">
        <v>0</v>
      </c>
      <c r="AH1924">
        <v>0</v>
      </c>
      <c r="AI1924">
        <v>1</v>
      </c>
      <c r="AJ1924">
        <v>0</v>
      </c>
      <c r="AK1924">
        <v>1</v>
      </c>
      <c r="AL1924">
        <v>0</v>
      </c>
      <c r="AM1924">
        <v>1</v>
      </c>
      <c r="AN1924">
        <v>0</v>
      </c>
      <c r="AO1924">
        <v>1</v>
      </c>
      <c r="AP1924">
        <v>1</v>
      </c>
      <c r="AQ1924">
        <v>1</v>
      </c>
      <c r="AU1924">
        <v>0</v>
      </c>
      <c r="AV1924">
        <v>1</v>
      </c>
      <c r="AW1924">
        <v>1</v>
      </c>
    </row>
    <row r="1925" spans="1:49" x14ac:dyDescent="0.25">
      <c r="A1925" t="str">
        <f>"1921"</f>
        <v>1921</v>
      </c>
      <c r="B1925" t="str">
        <f t="shared" si="108"/>
        <v>1</v>
      </c>
      <c r="C1925" t="str">
        <f t="shared" si="110"/>
        <v>85</v>
      </c>
      <c r="D1925" t="str">
        <f>"18"</f>
        <v>18</v>
      </c>
      <c r="E1925" t="str">
        <f>"1-85-18"</f>
        <v>1-85-18</v>
      </c>
      <c r="F1925" t="s">
        <v>83</v>
      </c>
      <c r="G1925" t="s">
        <v>84</v>
      </c>
      <c r="H1925" t="s">
        <v>85</v>
      </c>
      <c r="AC1925">
        <v>0</v>
      </c>
      <c r="AD1925">
        <v>1</v>
      </c>
      <c r="AE1925">
        <v>0</v>
      </c>
      <c r="AF1925">
        <v>0</v>
      </c>
      <c r="AG1925">
        <v>0</v>
      </c>
      <c r="AJ1925">
        <v>0</v>
      </c>
      <c r="AK1925">
        <v>1</v>
      </c>
      <c r="AL1925">
        <v>0</v>
      </c>
      <c r="AM1925">
        <v>0</v>
      </c>
      <c r="AN1925">
        <v>1</v>
      </c>
      <c r="AO1925">
        <v>1</v>
      </c>
      <c r="AP1925">
        <v>1</v>
      </c>
      <c r="AQ1925">
        <v>1</v>
      </c>
      <c r="AR1925">
        <v>1</v>
      </c>
      <c r="AS1925">
        <v>0</v>
      </c>
      <c r="AT1925">
        <v>1</v>
      </c>
      <c r="AV1925">
        <v>1</v>
      </c>
      <c r="AW1925">
        <v>1</v>
      </c>
    </row>
    <row r="1926" spans="1:49" x14ac:dyDescent="0.25">
      <c r="A1926" t="str">
        <f>"1922"</f>
        <v>1922</v>
      </c>
      <c r="B1926" t="str">
        <f t="shared" si="108"/>
        <v>1</v>
      </c>
      <c r="C1926" t="str">
        <f t="shared" si="110"/>
        <v>85</v>
      </c>
      <c r="D1926" t="str">
        <f>"9"</f>
        <v>9</v>
      </c>
      <c r="E1926" t="str">
        <f>"1-85-9"</f>
        <v>1-85-9</v>
      </c>
      <c r="F1926" t="s">
        <v>83</v>
      </c>
      <c r="G1926" t="s">
        <v>84</v>
      </c>
      <c r="H1926" t="s">
        <v>92</v>
      </c>
      <c r="I1926">
        <v>1</v>
      </c>
      <c r="J1926">
        <v>1</v>
      </c>
      <c r="N1926">
        <v>1</v>
      </c>
      <c r="O1926">
        <v>1</v>
      </c>
      <c r="P1926">
        <v>1</v>
      </c>
      <c r="Q1926">
        <v>1</v>
      </c>
      <c r="R1926">
        <v>1</v>
      </c>
      <c r="S1926">
        <v>1</v>
      </c>
      <c r="T1926">
        <v>1</v>
      </c>
      <c r="W1926">
        <v>1</v>
      </c>
      <c r="X1926">
        <v>1</v>
      </c>
      <c r="Y1926">
        <v>1</v>
      </c>
      <c r="Z1926">
        <v>1</v>
      </c>
      <c r="AA1926">
        <v>1</v>
      </c>
      <c r="AB1926">
        <v>1</v>
      </c>
    </row>
    <row r="1927" spans="1:49" x14ac:dyDescent="0.25">
      <c r="A1927" t="str">
        <f>"1923"</f>
        <v>1923</v>
      </c>
      <c r="B1927" t="str">
        <f t="shared" si="108"/>
        <v>1</v>
      </c>
      <c r="C1927" t="str">
        <f t="shared" si="110"/>
        <v>85</v>
      </c>
      <c r="D1927" t="str">
        <f>"5"</f>
        <v>5</v>
      </c>
      <c r="E1927" t="str">
        <f>"1-85-5"</f>
        <v>1-85-5</v>
      </c>
      <c r="F1927" t="s">
        <v>83</v>
      </c>
      <c r="G1927" t="s">
        <v>84</v>
      </c>
      <c r="H1927" t="s">
        <v>85</v>
      </c>
      <c r="AC1927">
        <v>0</v>
      </c>
      <c r="AD1927">
        <v>1</v>
      </c>
      <c r="AE1927">
        <v>0</v>
      </c>
      <c r="AF1927">
        <v>0</v>
      </c>
      <c r="AG1927">
        <v>1</v>
      </c>
      <c r="AJ1927">
        <v>0</v>
      </c>
      <c r="AK1927">
        <v>1</v>
      </c>
      <c r="AL1927">
        <v>1</v>
      </c>
      <c r="AM1927">
        <v>0</v>
      </c>
      <c r="AN1927">
        <v>0</v>
      </c>
      <c r="AO1927">
        <v>1</v>
      </c>
      <c r="AP1927">
        <v>1</v>
      </c>
      <c r="AQ1927">
        <v>1</v>
      </c>
      <c r="AR1927">
        <v>1</v>
      </c>
      <c r="AS1927">
        <v>0</v>
      </c>
      <c r="AT1927">
        <v>1</v>
      </c>
      <c r="AV1927">
        <v>1</v>
      </c>
      <c r="AW1927">
        <v>1</v>
      </c>
    </row>
    <row r="1928" spans="1:49" x14ac:dyDescent="0.25">
      <c r="A1928" t="str">
        <f>"1924"</f>
        <v>1924</v>
      </c>
      <c r="B1928" t="str">
        <f t="shared" si="108"/>
        <v>1</v>
      </c>
      <c r="C1928" t="str">
        <f t="shared" si="110"/>
        <v>85</v>
      </c>
      <c r="D1928" t="str">
        <f>"17"</f>
        <v>17</v>
      </c>
      <c r="E1928" t="str">
        <f>"1-85-17"</f>
        <v>1-85-17</v>
      </c>
      <c r="F1928" t="s">
        <v>83</v>
      </c>
      <c r="G1928" t="s">
        <v>84</v>
      </c>
      <c r="H1928" t="s">
        <v>85</v>
      </c>
      <c r="AC1928">
        <v>0</v>
      </c>
      <c r="AD1928">
        <v>1</v>
      </c>
      <c r="AE1928">
        <v>0</v>
      </c>
      <c r="AF1928">
        <v>0</v>
      </c>
      <c r="AG1928">
        <v>1</v>
      </c>
      <c r="AJ1928">
        <v>0</v>
      </c>
      <c r="AK1928">
        <v>1</v>
      </c>
      <c r="AL1928">
        <v>0</v>
      </c>
      <c r="AM1928">
        <v>0</v>
      </c>
      <c r="AN1928">
        <v>1</v>
      </c>
      <c r="AO1928">
        <v>1</v>
      </c>
      <c r="AP1928">
        <v>1</v>
      </c>
      <c r="AQ1928">
        <v>1</v>
      </c>
      <c r="AR1928">
        <v>1</v>
      </c>
      <c r="AS1928">
        <v>0</v>
      </c>
      <c r="AT1928">
        <v>1</v>
      </c>
      <c r="AV1928">
        <v>1</v>
      </c>
      <c r="AW1928">
        <v>1</v>
      </c>
    </row>
    <row r="1929" spans="1:49" x14ac:dyDescent="0.25">
      <c r="A1929" t="str">
        <f>"1925"</f>
        <v>1925</v>
      </c>
      <c r="B1929" t="str">
        <f t="shared" si="108"/>
        <v>1</v>
      </c>
      <c r="C1929" t="str">
        <f t="shared" si="110"/>
        <v>85</v>
      </c>
      <c r="D1929" t="str">
        <f>"10"</f>
        <v>10</v>
      </c>
      <c r="E1929" t="str">
        <f>"1-85-10"</f>
        <v>1-85-10</v>
      </c>
      <c r="F1929" t="s">
        <v>83</v>
      </c>
      <c r="G1929" t="s">
        <v>84</v>
      </c>
      <c r="H1929" t="s">
        <v>85</v>
      </c>
      <c r="AC1929">
        <v>0</v>
      </c>
      <c r="AD1929">
        <v>1</v>
      </c>
      <c r="AE1929">
        <v>0</v>
      </c>
      <c r="AF1929">
        <v>0</v>
      </c>
      <c r="AG1929">
        <v>1</v>
      </c>
      <c r="AJ1929">
        <v>0</v>
      </c>
      <c r="AK1929">
        <v>1</v>
      </c>
      <c r="AL1929">
        <v>0</v>
      </c>
      <c r="AM1929">
        <v>0</v>
      </c>
      <c r="AN1929">
        <v>1</v>
      </c>
      <c r="AO1929">
        <v>1</v>
      </c>
      <c r="AP1929">
        <v>1</v>
      </c>
      <c r="AQ1929">
        <v>1</v>
      </c>
      <c r="AR1929">
        <v>1</v>
      </c>
      <c r="AS1929">
        <v>0</v>
      </c>
      <c r="AT1929">
        <v>1</v>
      </c>
      <c r="AV1929">
        <v>1</v>
      </c>
      <c r="AW1929">
        <v>1</v>
      </c>
    </row>
    <row r="1930" spans="1:49" x14ac:dyDescent="0.25">
      <c r="A1930" t="str">
        <f>"1926"</f>
        <v>1926</v>
      </c>
      <c r="B1930" t="str">
        <f t="shared" si="108"/>
        <v>1</v>
      </c>
      <c r="C1930" t="str">
        <f t="shared" si="110"/>
        <v>85</v>
      </c>
      <c r="D1930" t="str">
        <f>"4"</f>
        <v>4</v>
      </c>
      <c r="E1930" t="str">
        <f>"1-85-4"</f>
        <v>1-85-4</v>
      </c>
      <c r="F1930" t="s">
        <v>83</v>
      </c>
      <c r="G1930" t="s">
        <v>84</v>
      </c>
      <c r="H1930" t="s">
        <v>85</v>
      </c>
      <c r="AC1930">
        <v>0</v>
      </c>
      <c r="AD1930">
        <v>1</v>
      </c>
      <c r="AE1930">
        <v>0</v>
      </c>
      <c r="AF1930">
        <v>0</v>
      </c>
      <c r="AG1930">
        <v>0</v>
      </c>
      <c r="AJ1930">
        <v>0</v>
      </c>
      <c r="AK1930">
        <v>1</v>
      </c>
      <c r="AL1930">
        <v>1</v>
      </c>
      <c r="AM1930">
        <v>0</v>
      </c>
      <c r="AN1930">
        <v>0</v>
      </c>
      <c r="AO1930">
        <v>0</v>
      </c>
      <c r="AP1930">
        <v>0</v>
      </c>
      <c r="AQ1930">
        <v>0</v>
      </c>
      <c r="AR1930">
        <v>0</v>
      </c>
      <c r="AS1930">
        <v>1</v>
      </c>
      <c r="AT1930">
        <v>0</v>
      </c>
      <c r="AV1930">
        <v>0</v>
      </c>
      <c r="AW1930">
        <v>0</v>
      </c>
    </row>
    <row r="1931" spans="1:49" x14ac:dyDescent="0.25">
      <c r="A1931" t="str">
        <f>"1927"</f>
        <v>1927</v>
      </c>
      <c r="B1931" t="str">
        <f t="shared" si="108"/>
        <v>1</v>
      </c>
      <c r="C1931" t="str">
        <f t="shared" si="110"/>
        <v>85</v>
      </c>
      <c r="D1931" t="str">
        <f>"20"</f>
        <v>20</v>
      </c>
      <c r="E1931" t="str">
        <f>"1-85-20"</f>
        <v>1-85-20</v>
      </c>
      <c r="F1931" t="s">
        <v>83</v>
      </c>
      <c r="G1931" t="s">
        <v>84</v>
      </c>
      <c r="H1931" t="s">
        <v>92</v>
      </c>
      <c r="I1931">
        <v>1</v>
      </c>
      <c r="J1931">
        <v>1</v>
      </c>
      <c r="N1931">
        <v>1</v>
      </c>
      <c r="O1931">
        <v>1</v>
      </c>
      <c r="P1931">
        <v>1</v>
      </c>
      <c r="Q1931">
        <v>1</v>
      </c>
      <c r="R1931">
        <v>1</v>
      </c>
      <c r="S1931">
        <v>1</v>
      </c>
      <c r="T1931">
        <v>1</v>
      </c>
      <c r="W1931">
        <v>1</v>
      </c>
      <c r="X1931">
        <v>1</v>
      </c>
      <c r="Y1931">
        <v>1</v>
      </c>
      <c r="Z1931">
        <v>1</v>
      </c>
      <c r="AA1931">
        <v>1</v>
      </c>
      <c r="AB1931">
        <v>1</v>
      </c>
    </row>
    <row r="1932" spans="1:49" x14ac:dyDescent="0.25">
      <c r="A1932" t="str">
        <f>"1928"</f>
        <v>1928</v>
      </c>
      <c r="B1932" t="str">
        <f t="shared" si="108"/>
        <v>1</v>
      </c>
      <c r="C1932" t="str">
        <f t="shared" si="110"/>
        <v>85</v>
      </c>
      <c r="D1932" t="str">
        <f>"12"</f>
        <v>12</v>
      </c>
      <c r="E1932" t="str">
        <f>"1-85-12"</f>
        <v>1-85-12</v>
      </c>
      <c r="F1932" t="s">
        <v>83</v>
      </c>
      <c r="G1932" t="s">
        <v>84</v>
      </c>
      <c r="H1932" t="s">
        <v>92</v>
      </c>
      <c r="I1932">
        <v>1</v>
      </c>
      <c r="J1932">
        <v>1</v>
      </c>
      <c r="N1932">
        <v>1</v>
      </c>
      <c r="O1932">
        <v>1</v>
      </c>
      <c r="P1932">
        <v>1</v>
      </c>
      <c r="Q1932">
        <v>1</v>
      </c>
      <c r="R1932">
        <v>1</v>
      </c>
      <c r="S1932">
        <v>1</v>
      </c>
      <c r="T1932">
        <v>1</v>
      </c>
      <c r="W1932">
        <v>1</v>
      </c>
      <c r="X1932">
        <v>1</v>
      </c>
      <c r="Y1932">
        <v>1</v>
      </c>
      <c r="Z1932">
        <v>1</v>
      </c>
      <c r="AA1932">
        <v>1</v>
      </c>
      <c r="AB1932">
        <v>1</v>
      </c>
    </row>
    <row r="1933" spans="1:49" x14ac:dyDescent="0.25">
      <c r="A1933" t="str">
        <f>"1929"</f>
        <v>1929</v>
      </c>
      <c r="B1933" t="str">
        <f t="shared" si="108"/>
        <v>1</v>
      </c>
      <c r="C1933" t="str">
        <f t="shared" si="110"/>
        <v>85</v>
      </c>
      <c r="D1933" t="str">
        <f>"3"</f>
        <v>3</v>
      </c>
      <c r="E1933" t="str">
        <f>"1-85-3"</f>
        <v>1-85-3</v>
      </c>
      <c r="F1933" t="s">
        <v>83</v>
      </c>
      <c r="G1933" t="s">
        <v>86</v>
      </c>
      <c r="H1933" t="s">
        <v>87</v>
      </c>
      <c r="AC1933">
        <v>0</v>
      </c>
      <c r="AD1933">
        <v>1</v>
      </c>
      <c r="AE1933">
        <v>0</v>
      </c>
      <c r="AF1933">
        <v>0</v>
      </c>
      <c r="AH1933">
        <v>0</v>
      </c>
      <c r="AI1933">
        <v>1</v>
      </c>
      <c r="AJ1933">
        <v>0</v>
      </c>
      <c r="AK1933">
        <v>1</v>
      </c>
      <c r="AL1933">
        <v>0</v>
      </c>
      <c r="AM1933">
        <v>0</v>
      </c>
      <c r="AN1933">
        <v>1</v>
      </c>
      <c r="AO1933">
        <v>1</v>
      </c>
      <c r="AP1933">
        <v>1</v>
      </c>
      <c r="AQ1933">
        <v>1</v>
      </c>
      <c r="AU1933">
        <v>1</v>
      </c>
      <c r="AV1933">
        <v>1</v>
      </c>
      <c r="AW1933">
        <v>1</v>
      </c>
    </row>
    <row r="1934" spans="1:49" x14ac:dyDescent="0.25">
      <c r="A1934" t="str">
        <f>"1930"</f>
        <v>1930</v>
      </c>
      <c r="B1934" t="str">
        <f t="shared" si="108"/>
        <v>1</v>
      </c>
      <c r="C1934" t="str">
        <f t="shared" si="110"/>
        <v>85</v>
      </c>
      <c r="D1934" t="str">
        <f>"21"</f>
        <v>21</v>
      </c>
      <c r="E1934" t="str">
        <f>"1-85-21"</f>
        <v>1-85-21</v>
      </c>
      <c r="F1934" t="s">
        <v>83</v>
      </c>
      <c r="G1934" t="s">
        <v>84</v>
      </c>
      <c r="H1934" t="s">
        <v>85</v>
      </c>
      <c r="AC1934">
        <v>0</v>
      </c>
      <c r="AD1934">
        <v>1</v>
      </c>
      <c r="AE1934">
        <v>0</v>
      </c>
      <c r="AF1934">
        <v>0</v>
      </c>
      <c r="AG1934">
        <v>0</v>
      </c>
      <c r="AJ1934">
        <v>0</v>
      </c>
      <c r="AK1934">
        <v>1</v>
      </c>
      <c r="AL1934">
        <v>0</v>
      </c>
      <c r="AM1934">
        <v>1</v>
      </c>
      <c r="AN1934">
        <v>0</v>
      </c>
      <c r="AO1934">
        <v>0</v>
      </c>
      <c r="AP1934">
        <v>0</v>
      </c>
      <c r="AQ1934">
        <v>0</v>
      </c>
      <c r="AR1934">
        <v>0</v>
      </c>
      <c r="AS1934">
        <v>0</v>
      </c>
      <c r="AT1934">
        <v>1</v>
      </c>
      <c r="AV1934">
        <v>0</v>
      </c>
      <c r="AW1934">
        <v>0</v>
      </c>
    </row>
    <row r="1935" spans="1:49" x14ac:dyDescent="0.25">
      <c r="A1935" t="str">
        <f>"1931"</f>
        <v>1931</v>
      </c>
      <c r="B1935" t="str">
        <f t="shared" si="108"/>
        <v>1</v>
      </c>
      <c r="C1935" t="str">
        <f t="shared" si="110"/>
        <v>85</v>
      </c>
      <c r="D1935" t="str">
        <f>"13"</f>
        <v>13</v>
      </c>
      <c r="E1935" t="str">
        <f>"1-85-13"</f>
        <v>1-85-13</v>
      </c>
      <c r="F1935" t="s">
        <v>83</v>
      </c>
      <c r="G1935" t="s">
        <v>84</v>
      </c>
      <c r="H1935" t="s">
        <v>85</v>
      </c>
      <c r="AC1935">
        <v>1</v>
      </c>
      <c r="AD1935">
        <v>0</v>
      </c>
      <c r="AE1935">
        <v>0</v>
      </c>
      <c r="AF1935">
        <v>0</v>
      </c>
      <c r="AG1935">
        <v>1</v>
      </c>
      <c r="AJ1935">
        <v>0</v>
      </c>
      <c r="AK1935">
        <v>1</v>
      </c>
      <c r="AL1935">
        <v>0</v>
      </c>
      <c r="AM1935">
        <v>0</v>
      </c>
      <c r="AN1935">
        <v>0</v>
      </c>
      <c r="AO1935">
        <v>1</v>
      </c>
      <c r="AP1935">
        <v>1</v>
      </c>
      <c r="AQ1935">
        <v>1</v>
      </c>
      <c r="AR1935">
        <v>1</v>
      </c>
      <c r="AS1935">
        <v>0</v>
      </c>
      <c r="AT1935">
        <v>0</v>
      </c>
      <c r="AV1935">
        <v>1</v>
      </c>
      <c r="AW1935">
        <v>1</v>
      </c>
    </row>
    <row r="1936" spans="1:49" x14ac:dyDescent="0.25">
      <c r="A1936" t="str">
        <f>"1932"</f>
        <v>1932</v>
      </c>
      <c r="B1936" t="str">
        <f t="shared" si="108"/>
        <v>1</v>
      </c>
      <c r="C1936" t="str">
        <f t="shared" si="110"/>
        <v>85</v>
      </c>
      <c r="D1936" t="str">
        <f>"6"</f>
        <v>6</v>
      </c>
      <c r="E1936" t="str">
        <f>"1-85-6"</f>
        <v>1-85-6</v>
      </c>
      <c r="F1936" t="s">
        <v>83</v>
      </c>
      <c r="G1936" t="s">
        <v>84</v>
      </c>
      <c r="H1936" t="s">
        <v>85</v>
      </c>
      <c r="AC1936">
        <v>1</v>
      </c>
      <c r="AD1936">
        <v>0</v>
      </c>
      <c r="AE1936">
        <v>0</v>
      </c>
      <c r="AF1936">
        <v>0</v>
      </c>
      <c r="AG1936">
        <v>1</v>
      </c>
      <c r="AJ1936">
        <v>1</v>
      </c>
      <c r="AK1936">
        <v>0</v>
      </c>
      <c r="AL1936">
        <v>0</v>
      </c>
      <c r="AM1936">
        <v>1</v>
      </c>
      <c r="AN1936">
        <v>0</v>
      </c>
      <c r="AO1936">
        <v>1</v>
      </c>
      <c r="AP1936">
        <v>1</v>
      </c>
      <c r="AQ1936">
        <v>1</v>
      </c>
      <c r="AR1936">
        <v>1</v>
      </c>
      <c r="AS1936">
        <v>0</v>
      </c>
      <c r="AT1936">
        <v>1</v>
      </c>
      <c r="AV1936">
        <v>0</v>
      </c>
      <c r="AW1936">
        <v>1</v>
      </c>
    </row>
    <row r="1937" spans="1:49" x14ac:dyDescent="0.25">
      <c r="A1937" t="str">
        <f>"1933"</f>
        <v>1933</v>
      </c>
      <c r="B1937" t="str">
        <f t="shared" si="108"/>
        <v>1</v>
      </c>
      <c r="C1937" t="str">
        <f t="shared" si="110"/>
        <v>85</v>
      </c>
      <c r="D1937" t="str">
        <f>"16"</f>
        <v>16</v>
      </c>
      <c r="E1937" t="str">
        <f>"1-85-16"</f>
        <v>1-85-16</v>
      </c>
      <c r="F1937" t="s">
        <v>83</v>
      </c>
      <c r="G1937" t="s">
        <v>84</v>
      </c>
      <c r="H1937" t="s">
        <v>85</v>
      </c>
      <c r="AC1937">
        <v>0</v>
      </c>
      <c r="AD1937">
        <v>1</v>
      </c>
      <c r="AE1937">
        <v>0</v>
      </c>
      <c r="AF1937">
        <v>0</v>
      </c>
      <c r="AG1937">
        <v>0</v>
      </c>
      <c r="AJ1937">
        <v>1</v>
      </c>
      <c r="AK1937">
        <v>0</v>
      </c>
      <c r="AL1937">
        <v>0</v>
      </c>
      <c r="AM1937">
        <v>1</v>
      </c>
      <c r="AN1937">
        <v>0</v>
      </c>
      <c r="AO1937">
        <v>1</v>
      </c>
      <c r="AP1937">
        <v>1</v>
      </c>
      <c r="AQ1937">
        <v>1</v>
      </c>
      <c r="AR1937">
        <v>1</v>
      </c>
      <c r="AS1937">
        <v>1</v>
      </c>
      <c r="AT1937">
        <v>0</v>
      </c>
      <c r="AV1937">
        <v>1</v>
      </c>
      <c r="AW1937">
        <v>1</v>
      </c>
    </row>
    <row r="1938" spans="1:49" x14ac:dyDescent="0.25">
      <c r="A1938" t="str">
        <f>"1934"</f>
        <v>1934</v>
      </c>
      <c r="B1938" t="str">
        <f t="shared" si="108"/>
        <v>1</v>
      </c>
      <c r="C1938" t="str">
        <f t="shared" si="110"/>
        <v>85</v>
      </c>
      <c r="D1938" t="str">
        <f>"2"</f>
        <v>2</v>
      </c>
      <c r="E1938" t="str">
        <f>"1-85-2"</f>
        <v>1-85-2</v>
      </c>
      <c r="F1938" t="s">
        <v>83</v>
      </c>
      <c r="G1938" t="s">
        <v>86</v>
      </c>
      <c r="H1938" t="s">
        <v>87</v>
      </c>
      <c r="AC1938">
        <v>0</v>
      </c>
      <c r="AD1938">
        <v>1</v>
      </c>
      <c r="AE1938">
        <v>0</v>
      </c>
      <c r="AF1938">
        <v>0</v>
      </c>
      <c r="AH1938">
        <v>0</v>
      </c>
      <c r="AI1938">
        <v>1</v>
      </c>
      <c r="AJ1938">
        <v>0</v>
      </c>
      <c r="AK1938">
        <v>1</v>
      </c>
      <c r="AL1938">
        <v>0</v>
      </c>
      <c r="AM1938">
        <v>0</v>
      </c>
      <c r="AN1938">
        <v>1</v>
      </c>
      <c r="AO1938">
        <v>1</v>
      </c>
      <c r="AP1938">
        <v>1</v>
      </c>
      <c r="AQ1938">
        <v>1</v>
      </c>
      <c r="AU1938">
        <v>1</v>
      </c>
      <c r="AV1938">
        <v>1</v>
      </c>
      <c r="AW1938">
        <v>1</v>
      </c>
    </row>
    <row r="1939" spans="1:49" x14ac:dyDescent="0.25">
      <c r="A1939" t="str">
        <f>"1935"</f>
        <v>1935</v>
      </c>
      <c r="B1939" t="str">
        <f t="shared" si="108"/>
        <v>1</v>
      </c>
      <c r="C1939" t="str">
        <f t="shared" si="110"/>
        <v>85</v>
      </c>
      <c r="D1939" t="str">
        <f>"19"</f>
        <v>19</v>
      </c>
      <c r="E1939" t="str">
        <f>"1-85-19"</f>
        <v>1-85-19</v>
      </c>
      <c r="F1939" t="s">
        <v>83</v>
      </c>
      <c r="G1939" t="s">
        <v>84</v>
      </c>
      <c r="H1939" t="s">
        <v>85</v>
      </c>
      <c r="AC1939">
        <v>0</v>
      </c>
      <c r="AD1939">
        <v>1</v>
      </c>
      <c r="AE1939">
        <v>0</v>
      </c>
      <c r="AF1939">
        <v>0</v>
      </c>
      <c r="AG1939">
        <v>0</v>
      </c>
      <c r="AJ1939">
        <v>1</v>
      </c>
      <c r="AK1939">
        <v>0</v>
      </c>
      <c r="AL1939">
        <v>1</v>
      </c>
      <c r="AM1939">
        <v>0</v>
      </c>
      <c r="AN1939">
        <v>0</v>
      </c>
      <c r="AO1939">
        <v>0</v>
      </c>
      <c r="AP1939">
        <v>0</v>
      </c>
      <c r="AQ1939">
        <v>0</v>
      </c>
      <c r="AR1939">
        <v>0</v>
      </c>
      <c r="AS1939">
        <v>0</v>
      </c>
      <c r="AT1939">
        <v>1</v>
      </c>
      <c r="AV1939">
        <v>0</v>
      </c>
      <c r="AW1939">
        <v>0</v>
      </c>
    </row>
    <row r="1940" spans="1:49" x14ac:dyDescent="0.25">
      <c r="A1940" t="str">
        <f>"1936"</f>
        <v>1936</v>
      </c>
      <c r="B1940" t="str">
        <f t="shared" si="108"/>
        <v>1</v>
      </c>
      <c r="C1940" t="str">
        <f t="shared" si="110"/>
        <v>85</v>
      </c>
      <c r="D1940" t="str">
        <f>"7"</f>
        <v>7</v>
      </c>
      <c r="E1940" t="str">
        <f>"1-85-7"</f>
        <v>1-85-7</v>
      </c>
      <c r="F1940" t="s">
        <v>83</v>
      </c>
      <c r="G1940" t="s">
        <v>84</v>
      </c>
      <c r="H1940" t="s">
        <v>85</v>
      </c>
      <c r="AC1940">
        <v>0</v>
      </c>
      <c r="AD1940">
        <v>1</v>
      </c>
      <c r="AE1940">
        <v>0</v>
      </c>
      <c r="AF1940">
        <v>0</v>
      </c>
      <c r="AG1940">
        <v>1</v>
      </c>
      <c r="AJ1940">
        <v>0</v>
      </c>
      <c r="AK1940">
        <v>1</v>
      </c>
      <c r="AL1940">
        <v>0</v>
      </c>
      <c r="AM1940">
        <v>0</v>
      </c>
      <c r="AN1940">
        <v>1</v>
      </c>
      <c r="AO1940">
        <v>1</v>
      </c>
      <c r="AP1940">
        <v>1</v>
      </c>
      <c r="AQ1940">
        <v>1</v>
      </c>
      <c r="AR1940">
        <v>1</v>
      </c>
      <c r="AS1940">
        <v>1</v>
      </c>
      <c r="AT1940">
        <v>0</v>
      </c>
      <c r="AV1940">
        <v>1</v>
      </c>
      <c r="AW1940">
        <v>1</v>
      </c>
    </row>
    <row r="1941" spans="1:49" x14ac:dyDescent="0.25">
      <c r="A1941" t="str">
        <f>"1937"</f>
        <v>1937</v>
      </c>
      <c r="B1941" t="str">
        <f t="shared" si="108"/>
        <v>1</v>
      </c>
      <c r="C1941" t="str">
        <f t="shared" ref="C1941:C1963" si="111">"86"</f>
        <v>86</v>
      </c>
      <c r="D1941" t="str">
        <f>"23"</f>
        <v>23</v>
      </c>
      <c r="E1941" t="str">
        <f>"1-86-23"</f>
        <v>1-86-23</v>
      </c>
      <c r="F1941" t="s">
        <v>83</v>
      </c>
      <c r="G1941" t="s">
        <v>84</v>
      </c>
      <c r="H1941" t="s">
        <v>92</v>
      </c>
      <c r="I1941">
        <v>1</v>
      </c>
      <c r="J1941">
        <v>1</v>
      </c>
      <c r="N1941">
        <v>1</v>
      </c>
      <c r="O1941">
        <v>1</v>
      </c>
      <c r="P1941">
        <v>1</v>
      </c>
      <c r="Q1941">
        <v>1</v>
      </c>
      <c r="R1941">
        <v>1</v>
      </c>
      <c r="S1941">
        <v>1</v>
      </c>
      <c r="T1941">
        <v>1</v>
      </c>
      <c r="W1941">
        <v>1</v>
      </c>
      <c r="X1941">
        <v>1</v>
      </c>
      <c r="Y1941">
        <v>1</v>
      </c>
      <c r="Z1941">
        <v>1</v>
      </c>
      <c r="AA1941">
        <v>1</v>
      </c>
      <c r="AB1941">
        <v>1</v>
      </c>
    </row>
    <row r="1942" spans="1:49" x14ac:dyDescent="0.25">
      <c r="A1942" t="str">
        <f>"1938"</f>
        <v>1938</v>
      </c>
      <c r="B1942" t="str">
        <f t="shared" si="108"/>
        <v>1</v>
      </c>
      <c r="C1942" t="str">
        <f t="shared" si="111"/>
        <v>86</v>
      </c>
      <c r="D1942" t="str">
        <f>"22"</f>
        <v>22</v>
      </c>
      <c r="E1942" t="str">
        <f>"1-86-22"</f>
        <v>1-86-22</v>
      </c>
      <c r="F1942" t="s">
        <v>83</v>
      </c>
      <c r="G1942" t="s">
        <v>84</v>
      </c>
      <c r="H1942" t="s">
        <v>92</v>
      </c>
      <c r="I1942">
        <v>1</v>
      </c>
      <c r="J1942">
        <v>1</v>
      </c>
      <c r="N1942">
        <v>1</v>
      </c>
      <c r="O1942">
        <v>1</v>
      </c>
      <c r="P1942">
        <v>1</v>
      </c>
      <c r="Q1942">
        <v>1</v>
      </c>
      <c r="R1942">
        <v>1</v>
      </c>
      <c r="S1942">
        <v>1</v>
      </c>
      <c r="T1942">
        <v>1</v>
      </c>
      <c r="W1942">
        <v>1</v>
      </c>
      <c r="X1942">
        <v>1</v>
      </c>
      <c r="Y1942">
        <v>1</v>
      </c>
      <c r="Z1942">
        <v>1</v>
      </c>
      <c r="AA1942">
        <v>1</v>
      </c>
      <c r="AB1942">
        <v>1</v>
      </c>
    </row>
    <row r="1943" spans="1:49" x14ac:dyDescent="0.25">
      <c r="A1943" t="str">
        <f>"1939"</f>
        <v>1939</v>
      </c>
      <c r="B1943" t="str">
        <f t="shared" si="108"/>
        <v>1</v>
      </c>
      <c r="C1943" t="str">
        <f t="shared" si="111"/>
        <v>86</v>
      </c>
      <c r="D1943" t="str">
        <f>"15"</f>
        <v>15</v>
      </c>
      <c r="E1943" t="str">
        <f>"1-86-15"</f>
        <v>1-86-15</v>
      </c>
      <c r="F1943" t="s">
        <v>83</v>
      </c>
      <c r="G1943" t="s">
        <v>84</v>
      </c>
      <c r="H1943" t="s">
        <v>92</v>
      </c>
      <c r="I1943">
        <v>1</v>
      </c>
      <c r="J1943">
        <v>1</v>
      </c>
      <c r="N1943">
        <v>1</v>
      </c>
      <c r="O1943">
        <v>1</v>
      </c>
      <c r="P1943">
        <v>1</v>
      </c>
      <c r="Q1943">
        <v>1</v>
      </c>
      <c r="R1943">
        <v>1</v>
      </c>
      <c r="S1943">
        <v>1</v>
      </c>
      <c r="T1943">
        <v>1</v>
      </c>
      <c r="W1943">
        <v>1</v>
      </c>
      <c r="X1943">
        <v>1</v>
      </c>
      <c r="Y1943">
        <v>1</v>
      </c>
      <c r="Z1943">
        <v>1</v>
      </c>
      <c r="AA1943">
        <v>1</v>
      </c>
      <c r="AB1943">
        <v>1</v>
      </c>
    </row>
    <row r="1944" spans="1:49" x14ac:dyDescent="0.25">
      <c r="A1944" t="str">
        <f>"1940"</f>
        <v>1940</v>
      </c>
      <c r="B1944" t="str">
        <f t="shared" si="108"/>
        <v>1</v>
      </c>
      <c r="C1944" t="str">
        <f t="shared" si="111"/>
        <v>86</v>
      </c>
      <c r="D1944" t="str">
        <f>"8"</f>
        <v>8</v>
      </c>
      <c r="E1944" t="str">
        <f>"1-86-8"</f>
        <v>1-86-8</v>
      </c>
      <c r="F1944" t="s">
        <v>83</v>
      </c>
      <c r="G1944" t="s">
        <v>84</v>
      </c>
      <c r="H1944" t="s">
        <v>92</v>
      </c>
      <c r="I1944">
        <v>1</v>
      </c>
      <c r="J1944">
        <v>1</v>
      </c>
      <c r="N1944">
        <v>1</v>
      </c>
      <c r="O1944">
        <v>1</v>
      </c>
      <c r="P1944">
        <v>1</v>
      </c>
      <c r="Q1944">
        <v>1</v>
      </c>
      <c r="R1944">
        <v>1</v>
      </c>
      <c r="S1944">
        <v>1</v>
      </c>
      <c r="T1944">
        <v>1</v>
      </c>
      <c r="W1944">
        <v>1</v>
      </c>
      <c r="X1944">
        <v>1</v>
      </c>
      <c r="Y1944">
        <v>1</v>
      </c>
      <c r="Z1944">
        <v>1</v>
      </c>
      <c r="AA1944">
        <v>1</v>
      </c>
      <c r="AB1944">
        <v>1</v>
      </c>
    </row>
    <row r="1945" spans="1:49" x14ac:dyDescent="0.25">
      <c r="A1945" t="str">
        <f>"1941"</f>
        <v>1941</v>
      </c>
      <c r="B1945" t="str">
        <f t="shared" si="108"/>
        <v>1</v>
      </c>
      <c r="C1945" t="str">
        <f t="shared" si="111"/>
        <v>86</v>
      </c>
      <c r="D1945" t="str">
        <f>"2"</f>
        <v>2</v>
      </c>
      <c r="E1945" t="str">
        <f>"1-86-2"</f>
        <v>1-86-2</v>
      </c>
      <c r="F1945" t="s">
        <v>83</v>
      </c>
      <c r="G1945" t="s">
        <v>86</v>
      </c>
      <c r="H1945" t="s">
        <v>93</v>
      </c>
      <c r="I1945">
        <v>0</v>
      </c>
      <c r="K1945">
        <v>1</v>
      </c>
      <c r="L1945">
        <v>0</v>
      </c>
      <c r="M1945">
        <v>0</v>
      </c>
      <c r="N1945">
        <v>0</v>
      </c>
      <c r="O1945">
        <v>0</v>
      </c>
      <c r="P1945">
        <v>0</v>
      </c>
      <c r="Q1945">
        <v>0</v>
      </c>
      <c r="R1945">
        <v>0</v>
      </c>
      <c r="U1945">
        <v>0</v>
      </c>
      <c r="V1945">
        <v>0</v>
      </c>
      <c r="W1945">
        <v>0</v>
      </c>
      <c r="X1945">
        <v>0</v>
      </c>
      <c r="Y1945">
        <v>0</v>
      </c>
      <c r="Z1945">
        <v>0</v>
      </c>
      <c r="AA1945">
        <v>0</v>
      </c>
      <c r="AB1945">
        <v>0</v>
      </c>
    </row>
    <row r="1946" spans="1:49" x14ac:dyDescent="0.25">
      <c r="A1946" t="str">
        <f>"1942"</f>
        <v>1942</v>
      </c>
      <c r="B1946" t="str">
        <f t="shared" si="108"/>
        <v>1</v>
      </c>
      <c r="C1946" t="str">
        <f t="shared" si="111"/>
        <v>86</v>
      </c>
      <c r="D1946" t="str">
        <f>"16"</f>
        <v>16</v>
      </c>
      <c r="E1946" t="str">
        <f>"1-86-16"</f>
        <v>1-86-16</v>
      </c>
      <c r="F1946" t="s">
        <v>83</v>
      </c>
      <c r="G1946" t="s">
        <v>84</v>
      </c>
      <c r="H1946" t="s">
        <v>92</v>
      </c>
      <c r="I1946">
        <v>1</v>
      </c>
      <c r="J1946">
        <v>1</v>
      </c>
      <c r="N1946">
        <v>1</v>
      </c>
      <c r="O1946">
        <v>1</v>
      </c>
      <c r="P1946">
        <v>1</v>
      </c>
      <c r="Q1946">
        <v>1</v>
      </c>
      <c r="R1946">
        <v>1</v>
      </c>
      <c r="S1946">
        <v>1</v>
      </c>
      <c r="T1946">
        <v>1</v>
      </c>
      <c r="W1946">
        <v>1</v>
      </c>
      <c r="X1946">
        <v>1</v>
      </c>
      <c r="Y1946">
        <v>1</v>
      </c>
      <c r="Z1946">
        <v>1</v>
      </c>
      <c r="AA1946">
        <v>1</v>
      </c>
      <c r="AB1946">
        <v>1</v>
      </c>
    </row>
    <row r="1947" spans="1:49" x14ac:dyDescent="0.25">
      <c r="A1947" t="str">
        <f>"1943"</f>
        <v>1943</v>
      </c>
      <c r="B1947" t="str">
        <f t="shared" si="108"/>
        <v>1</v>
      </c>
      <c r="C1947" t="str">
        <f t="shared" si="111"/>
        <v>86</v>
      </c>
      <c r="D1947" t="str">
        <f>"9"</f>
        <v>9</v>
      </c>
      <c r="E1947" t="str">
        <f>"1-86-9"</f>
        <v>1-86-9</v>
      </c>
      <c r="F1947" t="s">
        <v>83</v>
      </c>
      <c r="G1947" t="s">
        <v>84</v>
      </c>
      <c r="H1947" t="s">
        <v>92</v>
      </c>
      <c r="I1947">
        <v>1</v>
      </c>
      <c r="J1947">
        <v>1</v>
      </c>
      <c r="N1947">
        <v>1</v>
      </c>
      <c r="O1947">
        <v>1</v>
      </c>
      <c r="P1947">
        <v>1</v>
      </c>
      <c r="Q1947">
        <v>1</v>
      </c>
      <c r="R1947">
        <v>1</v>
      </c>
      <c r="S1947">
        <v>1</v>
      </c>
      <c r="T1947">
        <v>1</v>
      </c>
      <c r="W1947">
        <v>1</v>
      </c>
      <c r="X1947">
        <v>1</v>
      </c>
      <c r="Y1947">
        <v>1</v>
      </c>
      <c r="Z1947">
        <v>1</v>
      </c>
      <c r="AA1947">
        <v>1</v>
      </c>
      <c r="AB1947">
        <v>1</v>
      </c>
    </row>
    <row r="1948" spans="1:49" x14ac:dyDescent="0.25">
      <c r="A1948" t="str">
        <f>"1944"</f>
        <v>1944</v>
      </c>
      <c r="B1948" t="str">
        <f t="shared" si="108"/>
        <v>1</v>
      </c>
      <c r="C1948" t="str">
        <f t="shared" si="111"/>
        <v>86</v>
      </c>
      <c r="D1948" t="str">
        <f>"4"</f>
        <v>4</v>
      </c>
      <c r="E1948" t="str">
        <f>"1-86-4"</f>
        <v>1-86-4</v>
      </c>
      <c r="F1948" t="s">
        <v>83</v>
      </c>
      <c r="G1948" t="s">
        <v>84</v>
      </c>
      <c r="H1948" t="s">
        <v>92</v>
      </c>
      <c r="I1948">
        <v>1</v>
      </c>
      <c r="J1948">
        <v>1</v>
      </c>
      <c r="N1948">
        <v>1</v>
      </c>
      <c r="O1948">
        <v>1</v>
      </c>
      <c r="P1948">
        <v>1</v>
      </c>
      <c r="Q1948">
        <v>1</v>
      </c>
      <c r="R1948">
        <v>1</v>
      </c>
      <c r="S1948">
        <v>1</v>
      </c>
      <c r="T1948">
        <v>1</v>
      </c>
      <c r="W1948">
        <v>1</v>
      </c>
      <c r="X1948">
        <v>1</v>
      </c>
      <c r="Y1948">
        <v>1</v>
      </c>
      <c r="Z1948">
        <v>1</v>
      </c>
      <c r="AA1948">
        <v>1</v>
      </c>
      <c r="AB1948">
        <v>1</v>
      </c>
    </row>
    <row r="1949" spans="1:49" x14ac:dyDescent="0.25">
      <c r="A1949" t="str">
        <f>"1945"</f>
        <v>1945</v>
      </c>
      <c r="B1949" t="str">
        <f t="shared" si="108"/>
        <v>1</v>
      </c>
      <c r="C1949" t="str">
        <f t="shared" si="111"/>
        <v>86</v>
      </c>
      <c r="D1949" t="str">
        <f>"18"</f>
        <v>18</v>
      </c>
      <c r="E1949" t="str">
        <f>"1-86-18"</f>
        <v>1-86-18</v>
      </c>
      <c r="F1949" t="s">
        <v>83</v>
      </c>
      <c r="G1949" t="s">
        <v>84</v>
      </c>
      <c r="H1949" t="s">
        <v>92</v>
      </c>
      <c r="I1949">
        <v>1</v>
      </c>
      <c r="J1949">
        <v>1</v>
      </c>
      <c r="N1949">
        <v>1</v>
      </c>
      <c r="O1949">
        <v>1</v>
      </c>
      <c r="P1949">
        <v>1</v>
      </c>
      <c r="Q1949">
        <v>1</v>
      </c>
      <c r="R1949">
        <v>1</v>
      </c>
      <c r="S1949">
        <v>1</v>
      </c>
      <c r="T1949">
        <v>1</v>
      </c>
      <c r="W1949">
        <v>1</v>
      </c>
      <c r="X1949">
        <v>1</v>
      </c>
      <c r="Y1949">
        <v>1</v>
      </c>
      <c r="Z1949">
        <v>1</v>
      </c>
      <c r="AA1949">
        <v>1</v>
      </c>
      <c r="AB1949">
        <v>1</v>
      </c>
    </row>
    <row r="1950" spans="1:49" x14ac:dyDescent="0.25">
      <c r="A1950" t="str">
        <f>"1946"</f>
        <v>1946</v>
      </c>
      <c r="B1950" t="str">
        <f t="shared" ref="B1950:B2013" si="112">"1"</f>
        <v>1</v>
      </c>
      <c r="C1950" t="str">
        <f t="shared" si="111"/>
        <v>86</v>
      </c>
      <c r="D1950" t="str">
        <f>"10"</f>
        <v>10</v>
      </c>
      <c r="E1950" t="str">
        <f>"1-86-10"</f>
        <v>1-86-10</v>
      </c>
      <c r="F1950" t="s">
        <v>83</v>
      </c>
      <c r="G1950" t="s">
        <v>84</v>
      </c>
      <c r="H1950" t="s">
        <v>92</v>
      </c>
      <c r="I1950">
        <v>1</v>
      </c>
      <c r="J1950">
        <v>1</v>
      </c>
      <c r="N1950">
        <v>1</v>
      </c>
      <c r="O1950">
        <v>1</v>
      </c>
      <c r="P1950">
        <v>1</v>
      </c>
      <c r="Q1950">
        <v>1</v>
      </c>
      <c r="R1950">
        <v>1</v>
      </c>
      <c r="S1950">
        <v>1</v>
      </c>
      <c r="T1950">
        <v>1</v>
      </c>
      <c r="W1950">
        <v>1</v>
      </c>
      <c r="X1950">
        <v>1</v>
      </c>
      <c r="Y1950">
        <v>1</v>
      </c>
      <c r="Z1950">
        <v>1</v>
      </c>
      <c r="AA1950">
        <v>1</v>
      </c>
      <c r="AB1950">
        <v>1</v>
      </c>
    </row>
    <row r="1951" spans="1:49" x14ac:dyDescent="0.25">
      <c r="A1951" t="str">
        <f>"1947"</f>
        <v>1947</v>
      </c>
      <c r="B1951" t="str">
        <f t="shared" si="112"/>
        <v>1</v>
      </c>
      <c r="C1951" t="str">
        <f t="shared" si="111"/>
        <v>86</v>
      </c>
      <c r="D1951" t="str">
        <f>"1"</f>
        <v>1</v>
      </c>
      <c r="E1951" t="str">
        <f>"1-86-1"</f>
        <v>1-86-1</v>
      </c>
      <c r="F1951" t="s">
        <v>83</v>
      </c>
      <c r="G1951" t="s">
        <v>84</v>
      </c>
      <c r="H1951" t="s">
        <v>92</v>
      </c>
      <c r="I1951">
        <v>1</v>
      </c>
      <c r="J1951">
        <v>1</v>
      </c>
      <c r="N1951">
        <v>1</v>
      </c>
      <c r="O1951">
        <v>0</v>
      </c>
      <c r="P1951">
        <v>1</v>
      </c>
      <c r="Q1951">
        <v>1</v>
      </c>
      <c r="R1951">
        <v>0</v>
      </c>
      <c r="S1951">
        <v>1</v>
      </c>
      <c r="T1951">
        <v>0</v>
      </c>
      <c r="W1951">
        <v>1</v>
      </c>
      <c r="X1951">
        <v>1</v>
      </c>
      <c r="Y1951">
        <v>0</v>
      </c>
      <c r="Z1951">
        <v>1</v>
      </c>
      <c r="AA1951">
        <v>1</v>
      </c>
      <c r="AB1951">
        <v>1</v>
      </c>
    </row>
    <row r="1952" spans="1:49" x14ac:dyDescent="0.25">
      <c r="A1952" t="str">
        <f>"1948"</f>
        <v>1948</v>
      </c>
      <c r="B1952" t="str">
        <f t="shared" si="112"/>
        <v>1</v>
      </c>
      <c r="C1952" t="str">
        <f t="shared" si="111"/>
        <v>86</v>
      </c>
      <c r="D1952" t="str">
        <f>"19"</f>
        <v>19</v>
      </c>
      <c r="E1952" t="str">
        <f>"1-86-19"</f>
        <v>1-86-19</v>
      </c>
      <c r="F1952" t="s">
        <v>83</v>
      </c>
      <c r="G1952" t="s">
        <v>84</v>
      </c>
      <c r="H1952" t="s">
        <v>92</v>
      </c>
      <c r="I1952">
        <v>1</v>
      </c>
      <c r="J1952">
        <v>1</v>
      </c>
      <c r="N1952">
        <v>1</v>
      </c>
      <c r="O1952">
        <v>1</v>
      </c>
      <c r="P1952">
        <v>1</v>
      </c>
      <c r="Q1952">
        <v>1</v>
      </c>
      <c r="R1952">
        <v>0</v>
      </c>
      <c r="S1952">
        <v>1</v>
      </c>
      <c r="T1952">
        <v>1</v>
      </c>
      <c r="W1952">
        <v>1</v>
      </c>
      <c r="X1952">
        <v>1</v>
      </c>
      <c r="Y1952">
        <v>1</v>
      </c>
      <c r="Z1952">
        <v>1</v>
      </c>
      <c r="AA1952">
        <v>1</v>
      </c>
      <c r="AB1952">
        <v>1</v>
      </c>
    </row>
    <row r="1953" spans="1:28" x14ac:dyDescent="0.25">
      <c r="A1953" t="str">
        <f>"1949"</f>
        <v>1949</v>
      </c>
      <c r="B1953" t="str">
        <f t="shared" si="112"/>
        <v>1</v>
      </c>
      <c r="C1953" t="str">
        <f t="shared" si="111"/>
        <v>86</v>
      </c>
      <c r="D1953" t="str">
        <f>"11"</f>
        <v>11</v>
      </c>
      <c r="E1953" t="str">
        <f>"1-86-11"</f>
        <v>1-86-11</v>
      </c>
      <c r="F1953" t="s">
        <v>83</v>
      </c>
      <c r="G1953" t="s">
        <v>84</v>
      </c>
      <c r="H1953" t="s">
        <v>92</v>
      </c>
      <c r="I1953">
        <v>1</v>
      </c>
      <c r="J1953">
        <v>1</v>
      </c>
      <c r="N1953">
        <v>1</v>
      </c>
      <c r="O1953">
        <v>1</v>
      </c>
      <c r="P1953">
        <v>1</v>
      </c>
      <c r="Q1953">
        <v>1</v>
      </c>
      <c r="R1953">
        <v>1</v>
      </c>
      <c r="S1953">
        <v>1</v>
      </c>
      <c r="T1953">
        <v>1</v>
      </c>
      <c r="W1953">
        <v>1</v>
      </c>
      <c r="X1953">
        <v>1</v>
      </c>
      <c r="Y1953">
        <v>1</v>
      </c>
      <c r="Z1953">
        <v>1</v>
      </c>
      <c r="AA1953">
        <v>1</v>
      </c>
      <c r="AB1953">
        <v>1</v>
      </c>
    </row>
    <row r="1954" spans="1:28" x14ac:dyDescent="0.25">
      <c r="A1954" t="str">
        <f>"1950"</f>
        <v>1950</v>
      </c>
      <c r="B1954" t="str">
        <f t="shared" si="112"/>
        <v>1</v>
      </c>
      <c r="C1954" t="str">
        <f t="shared" si="111"/>
        <v>86</v>
      </c>
      <c r="D1954" t="str">
        <f>"6"</f>
        <v>6</v>
      </c>
      <c r="E1954" t="str">
        <f>"1-86-6"</f>
        <v>1-86-6</v>
      </c>
      <c r="F1954" t="s">
        <v>83</v>
      </c>
      <c r="G1954" t="s">
        <v>84</v>
      </c>
      <c r="H1954" t="s">
        <v>92</v>
      </c>
      <c r="I1954">
        <v>1</v>
      </c>
      <c r="J1954">
        <v>1</v>
      </c>
      <c r="N1954">
        <v>1</v>
      </c>
      <c r="O1954">
        <v>1</v>
      </c>
      <c r="P1954">
        <v>1</v>
      </c>
      <c r="Q1954">
        <v>1</v>
      </c>
      <c r="R1954">
        <v>1</v>
      </c>
      <c r="S1954">
        <v>1</v>
      </c>
      <c r="T1954">
        <v>1</v>
      </c>
      <c r="W1954">
        <v>1</v>
      </c>
      <c r="X1954">
        <v>1</v>
      </c>
      <c r="Y1954">
        <v>1</v>
      </c>
      <c r="Z1954">
        <v>1</v>
      </c>
      <c r="AA1954">
        <v>1</v>
      </c>
      <c r="AB1954">
        <v>1</v>
      </c>
    </row>
    <row r="1955" spans="1:28" x14ac:dyDescent="0.25">
      <c r="A1955" t="str">
        <f>"1951"</f>
        <v>1951</v>
      </c>
      <c r="B1955" t="str">
        <f t="shared" si="112"/>
        <v>1</v>
      </c>
      <c r="C1955" t="str">
        <f t="shared" si="111"/>
        <v>86</v>
      </c>
      <c r="D1955" t="str">
        <f>"17"</f>
        <v>17</v>
      </c>
      <c r="E1955" t="str">
        <f>"1-86-17"</f>
        <v>1-86-17</v>
      </c>
      <c r="F1955" t="s">
        <v>83</v>
      </c>
      <c r="G1955" t="s">
        <v>84</v>
      </c>
      <c r="H1955" t="s">
        <v>92</v>
      </c>
      <c r="I1955">
        <v>1</v>
      </c>
      <c r="J1955">
        <v>1</v>
      </c>
      <c r="N1955">
        <v>1</v>
      </c>
      <c r="O1955">
        <v>1</v>
      </c>
      <c r="P1955">
        <v>1</v>
      </c>
      <c r="Q1955">
        <v>1</v>
      </c>
      <c r="R1955">
        <v>1</v>
      </c>
      <c r="S1955">
        <v>1</v>
      </c>
      <c r="T1955">
        <v>1</v>
      </c>
      <c r="W1955">
        <v>1</v>
      </c>
      <c r="X1955">
        <v>1</v>
      </c>
      <c r="Y1955">
        <v>1</v>
      </c>
      <c r="Z1955">
        <v>1</v>
      </c>
      <c r="AA1955">
        <v>1</v>
      </c>
      <c r="AB1955">
        <v>1</v>
      </c>
    </row>
    <row r="1956" spans="1:28" x14ac:dyDescent="0.25">
      <c r="A1956" t="str">
        <f>"1952"</f>
        <v>1952</v>
      </c>
      <c r="B1956" t="str">
        <f t="shared" si="112"/>
        <v>1</v>
      </c>
      <c r="C1956" t="str">
        <f t="shared" si="111"/>
        <v>86</v>
      </c>
      <c r="D1956" t="str">
        <f>"12"</f>
        <v>12</v>
      </c>
      <c r="E1956" t="str">
        <f>"1-86-12"</f>
        <v>1-86-12</v>
      </c>
      <c r="F1956" t="s">
        <v>83</v>
      </c>
      <c r="G1956" t="s">
        <v>84</v>
      </c>
      <c r="H1956" t="s">
        <v>92</v>
      </c>
      <c r="I1956">
        <v>1</v>
      </c>
      <c r="J1956">
        <v>1</v>
      </c>
      <c r="N1956">
        <v>1</v>
      </c>
      <c r="O1956">
        <v>1</v>
      </c>
      <c r="P1956">
        <v>1</v>
      </c>
      <c r="Q1956">
        <v>1</v>
      </c>
      <c r="R1956">
        <v>1</v>
      </c>
      <c r="S1956">
        <v>1</v>
      </c>
      <c r="T1956">
        <v>1</v>
      </c>
      <c r="W1956">
        <v>1</v>
      </c>
      <c r="X1956">
        <v>1</v>
      </c>
      <c r="Y1956">
        <v>1</v>
      </c>
      <c r="Z1956">
        <v>1</v>
      </c>
      <c r="AA1956">
        <v>1</v>
      </c>
      <c r="AB1956">
        <v>1</v>
      </c>
    </row>
    <row r="1957" spans="1:28" x14ac:dyDescent="0.25">
      <c r="A1957" t="str">
        <f>"1953"</f>
        <v>1953</v>
      </c>
      <c r="B1957" t="str">
        <f t="shared" si="112"/>
        <v>1</v>
      </c>
      <c r="C1957" t="str">
        <f t="shared" si="111"/>
        <v>86</v>
      </c>
      <c r="D1957" t="str">
        <f>"7"</f>
        <v>7</v>
      </c>
      <c r="E1957" t="str">
        <f>"1-86-7"</f>
        <v>1-86-7</v>
      </c>
      <c r="F1957" t="s">
        <v>83</v>
      </c>
      <c r="G1957" t="s">
        <v>84</v>
      </c>
      <c r="H1957" t="s">
        <v>92</v>
      </c>
      <c r="I1957">
        <v>1</v>
      </c>
      <c r="J1957">
        <v>1</v>
      </c>
      <c r="N1957">
        <v>1</v>
      </c>
      <c r="O1957">
        <v>1</v>
      </c>
      <c r="P1957">
        <v>1</v>
      </c>
      <c r="Q1957">
        <v>1</v>
      </c>
      <c r="R1957">
        <v>1</v>
      </c>
      <c r="S1957">
        <v>1</v>
      </c>
      <c r="T1957">
        <v>1</v>
      </c>
      <c r="W1957">
        <v>1</v>
      </c>
      <c r="X1957">
        <v>1</v>
      </c>
      <c r="Y1957">
        <v>1</v>
      </c>
      <c r="Z1957">
        <v>1</v>
      </c>
      <c r="AA1957">
        <v>1</v>
      </c>
      <c r="AB1957">
        <v>1</v>
      </c>
    </row>
    <row r="1958" spans="1:28" x14ac:dyDescent="0.25">
      <c r="A1958" t="str">
        <f>"1954"</f>
        <v>1954</v>
      </c>
      <c r="B1958" t="str">
        <f t="shared" si="112"/>
        <v>1</v>
      </c>
      <c r="C1958" t="str">
        <f t="shared" si="111"/>
        <v>86</v>
      </c>
      <c r="D1958" t="str">
        <f>"21"</f>
        <v>21</v>
      </c>
      <c r="E1958" t="str">
        <f>"1-86-21"</f>
        <v>1-86-21</v>
      </c>
      <c r="F1958" t="s">
        <v>83</v>
      </c>
      <c r="G1958" t="s">
        <v>84</v>
      </c>
      <c r="H1958" t="s">
        <v>92</v>
      </c>
      <c r="I1958">
        <v>0</v>
      </c>
      <c r="J1958">
        <v>1</v>
      </c>
      <c r="N1958">
        <v>1</v>
      </c>
      <c r="O1958">
        <v>1</v>
      </c>
      <c r="P1958">
        <v>1</v>
      </c>
      <c r="Q1958">
        <v>1</v>
      </c>
      <c r="R1958">
        <v>0</v>
      </c>
      <c r="S1958">
        <v>1</v>
      </c>
      <c r="T1958">
        <v>1</v>
      </c>
      <c r="W1958">
        <v>1</v>
      </c>
      <c r="X1958">
        <v>1</v>
      </c>
      <c r="Y1958">
        <v>1</v>
      </c>
      <c r="Z1958">
        <v>0</v>
      </c>
      <c r="AA1958">
        <v>1</v>
      </c>
      <c r="AB1958">
        <v>1</v>
      </c>
    </row>
    <row r="1959" spans="1:28" x14ac:dyDescent="0.25">
      <c r="A1959" t="str">
        <f>"1955"</f>
        <v>1955</v>
      </c>
      <c r="B1959" t="str">
        <f t="shared" si="112"/>
        <v>1</v>
      </c>
      <c r="C1959" t="str">
        <f t="shared" si="111"/>
        <v>86</v>
      </c>
      <c r="D1959" t="str">
        <f>"13"</f>
        <v>13</v>
      </c>
      <c r="E1959" t="str">
        <f>"1-86-13"</f>
        <v>1-86-13</v>
      </c>
      <c r="F1959" t="s">
        <v>83</v>
      </c>
      <c r="G1959" t="s">
        <v>84</v>
      </c>
      <c r="H1959" t="s">
        <v>92</v>
      </c>
      <c r="I1959">
        <v>1</v>
      </c>
      <c r="J1959">
        <v>1</v>
      </c>
      <c r="N1959">
        <v>1</v>
      </c>
      <c r="O1959">
        <v>1</v>
      </c>
      <c r="P1959">
        <v>1</v>
      </c>
      <c r="Q1959">
        <v>1</v>
      </c>
      <c r="R1959">
        <v>1</v>
      </c>
      <c r="S1959">
        <v>1</v>
      </c>
      <c r="T1959">
        <v>1</v>
      </c>
      <c r="W1959">
        <v>1</v>
      </c>
      <c r="X1959">
        <v>1</v>
      </c>
      <c r="Y1959">
        <v>1</v>
      </c>
      <c r="Z1959">
        <v>1</v>
      </c>
      <c r="AA1959">
        <v>1</v>
      </c>
      <c r="AB1959">
        <v>1</v>
      </c>
    </row>
    <row r="1960" spans="1:28" x14ac:dyDescent="0.25">
      <c r="A1960" t="str">
        <f>"1956"</f>
        <v>1956</v>
      </c>
      <c r="B1960" t="str">
        <f t="shared" si="112"/>
        <v>1</v>
      </c>
      <c r="C1960" t="str">
        <f t="shared" si="111"/>
        <v>86</v>
      </c>
      <c r="D1960" t="str">
        <f>"3"</f>
        <v>3</v>
      </c>
      <c r="E1960" t="str">
        <f>"1-86-3"</f>
        <v>1-86-3</v>
      </c>
      <c r="F1960" t="s">
        <v>83</v>
      </c>
      <c r="G1960" t="s">
        <v>84</v>
      </c>
      <c r="H1960" t="s">
        <v>92</v>
      </c>
      <c r="I1960">
        <v>1</v>
      </c>
      <c r="J1960">
        <v>1</v>
      </c>
      <c r="N1960">
        <v>1</v>
      </c>
      <c r="O1960">
        <v>1</v>
      </c>
      <c r="P1960">
        <v>1</v>
      </c>
      <c r="Q1960">
        <v>1</v>
      </c>
      <c r="R1960">
        <v>1</v>
      </c>
      <c r="S1960">
        <v>1</v>
      </c>
      <c r="T1960">
        <v>1</v>
      </c>
      <c r="W1960">
        <v>1</v>
      </c>
      <c r="X1960">
        <v>1</v>
      </c>
      <c r="Y1960">
        <v>1</v>
      </c>
      <c r="Z1960">
        <v>1</v>
      </c>
      <c r="AA1960">
        <v>1</v>
      </c>
      <c r="AB1960">
        <v>1</v>
      </c>
    </row>
    <row r="1961" spans="1:28" x14ac:dyDescent="0.25">
      <c r="A1961" t="str">
        <f>"1957"</f>
        <v>1957</v>
      </c>
      <c r="B1961" t="str">
        <f t="shared" si="112"/>
        <v>1</v>
      </c>
      <c r="C1961" t="str">
        <f t="shared" si="111"/>
        <v>86</v>
      </c>
      <c r="D1961" t="str">
        <f>"20"</f>
        <v>20</v>
      </c>
      <c r="E1961" t="str">
        <f>"1-86-20"</f>
        <v>1-86-20</v>
      </c>
      <c r="F1961" t="s">
        <v>83</v>
      </c>
      <c r="G1961" t="s">
        <v>84</v>
      </c>
      <c r="H1961" t="s">
        <v>92</v>
      </c>
      <c r="I1961">
        <v>1</v>
      </c>
      <c r="J1961">
        <v>0</v>
      </c>
      <c r="N1961">
        <v>1</v>
      </c>
      <c r="O1961">
        <v>1</v>
      </c>
      <c r="P1961">
        <v>0</v>
      </c>
      <c r="Q1961">
        <v>1</v>
      </c>
      <c r="R1961">
        <v>0</v>
      </c>
      <c r="S1961">
        <v>1</v>
      </c>
      <c r="T1961">
        <v>0</v>
      </c>
      <c r="W1961">
        <v>1</v>
      </c>
      <c r="X1961">
        <v>0</v>
      </c>
      <c r="Y1961">
        <v>1</v>
      </c>
      <c r="Z1961">
        <v>0</v>
      </c>
      <c r="AA1961">
        <v>0</v>
      </c>
      <c r="AB1961">
        <v>1</v>
      </c>
    </row>
    <row r="1962" spans="1:28" x14ac:dyDescent="0.25">
      <c r="A1962" t="str">
        <f>"1958"</f>
        <v>1958</v>
      </c>
      <c r="B1962" t="str">
        <f t="shared" si="112"/>
        <v>1</v>
      </c>
      <c r="C1962" t="str">
        <f t="shared" si="111"/>
        <v>86</v>
      </c>
      <c r="D1962" t="str">
        <f>"14"</f>
        <v>14</v>
      </c>
      <c r="E1962" t="str">
        <f>"1-86-14"</f>
        <v>1-86-14</v>
      </c>
      <c r="F1962" t="s">
        <v>83</v>
      </c>
      <c r="G1962" t="s">
        <v>84</v>
      </c>
      <c r="H1962" t="s">
        <v>92</v>
      </c>
      <c r="I1962">
        <v>1</v>
      </c>
      <c r="J1962">
        <v>1</v>
      </c>
      <c r="N1962">
        <v>1</v>
      </c>
      <c r="O1962">
        <v>1</v>
      </c>
      <c r="P1962">
        <v>1</v>
      </c>
      <c r="Q1962">
        <v>1</v>
      </c>
      <c r="R1962">
        <v>1</v>
      </c>
      <c r="S1962">
        <v>1</v>
      </c>
      <c r="T1962">
        <v>1</v>
      </c>
      <c r="W1962">
        <v>1</v>
      </c>
      <c r="X1962">
        <v>1</v>
      </c>
      <c r="Y1962">
        <v>1</v>
      </c>
      <c r="Z1962">
        <v>1</v>
      </c>
      <c r="AA1962">
        <v>1</v>
      </c>
      <c r="AB1962">
        <v>1</v>
      </c>
    </row>
    <row r="1963" spans="1:28" x14ac:dyDescent="0.25">
      <c r="A1963" t="str">
        <f>"1959"</f>
        <v>1959</v>
      </c>
      <c r="B1963" t="str">
        <f t="shared" si="112"/>
        <v>1</v>
      </c>
      <c r="C1963" t="str">
        <f t="shared" si="111"/>
        <v>86</v>
      </c>
      <c r="D1963" t="str">
        <f>"5"</f>
        <v>5</v>
      </c>
      <c r="E1963" t="str">
        <f>"1-86-5"</f>
        <v>1-86-5</v>
      </c>
      <c r="F1963" t="s">
        <v>83</v>
      </c>
      <c r="G1963" t="s">
        <v>84</v>
      </c>
      <c r="H1963" t="s">
        <v>92</v>
      </c>
      <c r="I1963">
        <v>1</v>
      </c>
      <c r="J1963">
        <v>1</v>
      </c>
      <c r="N1963">
        <v>1</v>
      </c>
      <c r="O1963">
        <v>1</v>
      </c>
      <c r="P1963">
        <v>1</v>
      </c>
      <c r="Q1963">
        <v>1</v>
      </c>
      <c r="R1963">
        <v>1</v>
      </c>
      <c r="S1963">
        <v>1</v>
      </c>
      <c r="T1963">
        <v>1</v>
      </c>
      <c r="W1963">
        <v>1</v>
      </c>
      <c r="X1963">
        <v>1</v>
      </c>
      <c r="Y1963">
        <v>1</v>
      </c>
      <c r="Z1963">
        <v>1</v>
      </c>
      <c r="AA1963">
        <v>1</v>
      </c>
      <c r="AB1963">
        <v>1</v>
      </c>
    </row>
    <row r="1964" spans="1:28" x14ac:dyDescent="0.25">
      <c r="A1964" t="str">
        <f>"1960"</f>
        <v>1960</v>
      </c>
      <c r="B1964" t="str">
        <f t="shared" si="112"/>
        <v>1</v>
      </c>
      <c r="C1964" t="str">
        <f t="shared" ref="C1964:C1988" si="113">"87"</f>
        <v>87</v>
      </c>
      <c r="D1964" t="str">
        <f>"19"</f>
        <v>19</v>
      </c>
      <c r="E1964" t="str">
        <f>"1-87-19"</f>
        <v>1-87-19</v>
      </c>
      <c r="F1964" t="s">
        <v>83</v>
      </c>
      <c r="G1964" t="s">
        <v>84</v>
      </c>
      <c r="H1964" t="s">
        <v>92</v>
      </c>
      <c r="I1964">
        <v>1</v>
      </c>
      <c r="J1964">
        <v>1</v>
      </c>
      <c r="N1964">
        <v>1</v>
      </c>
      <c r="O1964">
        <v>1</v>
      </c>
      <c r="P1964">
        <v>1</v>
      </c>
      <c r="Q1964">
        <v>1</v>
      </c>
      <c r="R1964">
        <v>1</v>
      </c>
      <c r="S1964">
        <v>1</v>
      </c>
      <c r="T1964">
        <v>1</v>
      </c>
      <c r="W1964">
        <v>1</v>
      </c>
      <c r="X1964">
        <v>1</v>
      </c>
      <c r="Y1964">
        <v>1</v>
      </c>
      <c r="Z1964">
        <v>1</v>
      </c>
      <c r="AA1964">
        <v>1</v>
      </c>
      <c r="AB1964">
        <v>1</v>
      </c>
    </row>
    <row r="1965" spans="1:28" x14ac:dyDescent="0.25">
      <c r="A1965" t="str">
        <f>"1961"</f>
        <v>1961</v>
      </c>
      <c r="B1965" t="str">
        <f t="shared" si="112"/>
        <v>1</v>
      </c>
      <c r="C1965" t="str">
        <f t="shared" si="113"/>
        <v>87</v>
      </c>
      <c r="D1965" t="str">
        <f>"18"</f>
        <v>18</v>
      </c>
      <c r="E1965" t="str">
        <f>"1-87-18"</f>
        <v>1-87-18</v>
      </c>
      <c r="F1965" t="s">
        <v>83</v>
      </c>
      <c r="G1965" t="s">
        <v>84</v>
      </c>
      <c r="H1965" t="s">
        <v>92</v>
      </c>
      <c r="I1965">
        <v>1</v>
      </c>
      <c r="J1965">
        <v>1</v>
      </c>
      <c r="N1965">
        <v>1</v>
      </c>
      <c r="O1965">
        <v>1</v>
      </c>
      <c r="P1965">
        <v>1</v>
      </c>
      <c r="Q1965">
        <v>1</v>
      </c>
      <c r="R1965">
        <v>1</v>
      </c>
      <c r="S1965">
        <v>1</v>
      </c>
      <c r="T1965">
        <v>1</v>
      </c>
      <c r="W1965">
        <v>1</v>
      </c>
      <c r="X1965">
        <v>1</v>
      </c>
      <c r="Y1965">
        <v>1</v>
      </c>
      <c r="Z1965">
        <v>1</v>
      </c>
      <c r="AA1965">
        <v>1</v>
      </c>
      <c r="AB1965">
        <v>1</v>
      </c>
    </row>
    <row r="1966" spans="1:28" x14ac:dyDescent="0.25">
      <c r="A1966" t="str">
        <f>"1962"</f>
        <v>1962</v>
      </c>
      <c r="B1966" t="str">
        <f t="shared" si="112"/>
        <v>1</v>
      </c>
      <c r="C1966" t="str">
        <f t="shared" si="113"/>
        <v>87</v>
      </c>
      <c r="D1966" t="str">
        <f>"13"</f>
        <v>13</v>
      </c>
      <c r="E1966" t="str">
        <f>"1-87-13"</f>
        <v>1-87-13</v>
      </c>
      <c r="F1966" t="s">
        <v>83</v>
      </c>
      <c r="G1966" t="s">
        <v>84</v>
      </c>
      <c r="H1966" t="s">
        <v>92</v>
      </c>
      <c r="I1966">
        <v>1</v>
      </c>
      <c r="J1966">
        <v>1</v>
      </c>
      <c r="N1966">
        <v>1</v>
      </c>
      <c r="O1966">
        <v>1</v>
      </c>
      <c r="P1966">
        <v>1</v>
      </c>
      <c r="Q1966">
        <v>1</v>
      </c>
      <c r="R1966">
        <v>1</v>
      </c>
      <c r="S1966">
        <v>1</v>
      </c>
      <c r="T1966">
        <v>1</v>
      </c>
      <c r="W1966">
        <v>1</v>
      </c>
      <c r="X1966">
        <v>1</v>
      </c>
      <c r="Y1966">
        <v>1</v>
      </c>
      <c r="Z1966">
        <v>1</v>
      </c>
      <c r="AA1966">
        <v>1</v>
      </c>
      <c r="AB1966">
        <v>1</v>
      </c>
    </row>
    <row r="1967" spans="1:28" x14ac:dyDescent="0.25">
      <c r="A1967" t="str">
        <f>"1963"</f>
        <v>1963</v>
      </c>
      <c r="B1967" t="str">
        <f t="shared" si="112"/>
        <v>1</v>
      </c>
      <c r="C1967" t="str">
        <f t="shared" si="113"/>
        <v>87</v>
      </c>
      <c r="D1967" t="str">
        <f>"8"</f>
        <v>8</v>
      </c>
      <c r="E1967" t="str">
        <f>"1-87-8"</f>
        <v>1-87-8</v>
      </c>
      <c r="F1967" t="s">
        <v>83</v>
      </c>
      <c r="G1967" t="s">
        <v>84</v>
      </c>
      <c r="H1967" t="s">
        <v>92</v>
      </c>
      <c r="I1967">
        <v>1</v>
      </c>
      <c r="J1967">
        <v>1</v>
      </c>
      <c r="N1967">
        <v>1</v>
      </c>
      <c r="O1967">
        <v>1</v>
      </c>
      <c r="P1967">
        <v>1</v>
      </c>
      <c r="Q1967">
        <v>1</v>
      </c>
      <c r="R1967">
        <v>1</v>
      </c>
      <c r="S1967">
        <v>1</v>
      </c>
      <c r="T1967">
        <v>1</v>
      </c>
      <c r="W1967">
        <v>1</v>
      </c>
      <c r="X1967">
        <v>0</v>
      </c>
      <c r="Y1967">
        <v>0</v>
      </c>
      <c r="Z1967">
        <v>1</v>
      </c>
      <c r="AA1967">
        <v>1</v>
      </c>
      <c r="AB1967">
        <v>1</v>
      </c>
    </row>
    <row r="1968" spans="1:28" x14ac:dyDescent="0.25">
      <c r="A1968" t="str">
        <f>"1964"</f>
        <v>1964</v>
      </c>
      <c r="B1968" t="str">
        <f t="shared" si="112"/>
        <v>1</v>
      </c>
      <c r="C1968" t="str">
        <f t="shared" si="113"/>
        <v>87</v>
      </c>
      <c r="D1968" t="str">
        <f>"2"</f>
        <v>2</v>
      </c>
      <c r="E1968" t="str">
        <f>"1-87-2"</f>
        <v>1-87-2</v>
      </c>
      <c r="F1968" t="s">
        <v>83</v>
      </c>
      <c r="G1968" t="s">
        <v>84</v>
      </c>
      <c r="H1968" t="s">
        <v>92</v>
      </c>
      <c r="I1968">
        <v>1</v>
      </c>
      <c r="J1968">
        <v>1</v>
      </c>
      <c r="N1968">
        <v>1</v>
      </c>
      <c r="O1968">
        <v>1</v>
      </c>
      <c r="P1968">
        <v>1</v>
      </c>
      <c r="Q1968">
        <v>1</v>
      </c>
      <c r="R1968">
        <v>1</v>
      </c>
      <c r="S1968">
        <v>1</v>
      </c>
      <c r="T1968">
        <v>1</v>
      </c>
      <c r="W1968">
        <v>1</v>
      </c>
      <c r="X1968">
        <v>1</v>
      </c>
      <c r="Y1968">
        <v>1</v>
      </c>
      <c r="Z1968">
        <v>1</v>
      </c>
      <c r="AA1968">
        <v>1</v>
      </c>
      <c r="AB1968">
        <v>1</v>
      </c>
    </row>
    <row r="1969" spans="1:28" x14ac:dyDescent="0.25">
      <c r="A1969" t="str">
        <f>"1965"</f>
        <v>1965</v>
      </c>
      <c r="B1969" t="str">
        <f t="shared" si="112"/>
        <v>1</v>
      </c>
      <c r="C1969" t="str">
        <f t="shared" si="113"/>
        <v>87</v>
      </c>
      <c r="D1969" t="str">
        <f>"25"</f>
        <v>25</v>
      </c>
      <c r="E1969" t="str">
        <f>"1-87-25"</f>
        <v>1-87-25</v>
      </c>
      <c r="F1969" t="s">
        <v>83</v>
      </c>
      <c r="G1969" t="s">
        <v>84</v>
      </c>
      <c r="H1969" t="s">
        <v>92</v>
      </c>
      <c r="I1969">
        <v>1</v>
      </c>
      <c r="J1969">
        <v>1</v>
      </c>
      <c r="N1969">
        <v>1</v>
      </c>
      <c r="O1969">
        <v>1</v>
      </c>
      <c r="P1969">
        <v>1</v>
      </c>
      <c r="Q1969">
        <v>1</v>
      </c>
      <c r="R1969">
        <v>1</v>
      </c>
      <c r="S1969">
        <v>1</v>
      </c>
      <c r="T1969">
        <v>1</v>
      </c>
      <c r="W1969">
        <v>1</v>
      </c>
      <c r="X1969">
        <v>1</v>
      </c>
      <c r="Y1969">
        <v>1</v>
      </c>
      <c r="Z1969">
        <v>1</v>
      </c>
      <c r="AA1969">
        <v>1</v>
      </c>
      <c r="AB1969">
        <v>1</v>
      </c>
    </row>
    <row r="1970" spans="1:28" x14ac:dyDescent="0.25">
      <c r="A1970" t="str">
        <f>"1966"</f>
        <v>1966</v>
      </c>
      <c r="B1970" t="str">
        <f t="shared" si="112"/>
        <v>1</v>
      </c>
      <c r="C1970" t="str">
        <f t="shared" si="113"/>
        <v>87</v>
      </c>
      <c r="D1970" t="str">
        <f>"24"</f>
        <v>24</v>
      </c>
      <c r="E1970" t="str">
        <f>"1-87-24"</f>
        <v>1-87-24</v>
      </c>
      <c r="F1970" t="s">
        <v>83</v>
      </c>
      <c r="G1970" t="s">
        <v>84</v>
      </c>
      <c r="H1970" t="s">
        <v>92</v>
      </c>
      <c r="I1970">
        <v>1</v>
      </c>
      <c r="J1970">
        <v>1</v>
      </c>
      <c r="N1970">
        <v>1</v>
      </c>
      <c r="O1970">
        <v>1</v>
      </c>
      <c r="P1970">
        <v>1</v>
      </c>
      <c r="Q1970">
        <v>1</v>
      </c>
      <c r="R1970">
        <v>1</v>
      </c>
      <c r="S1970">
        <v>1</v>
      </c>
      <c r="T1970">
        <v>1</v>
      </c>
      <c r="W1970">
        <v>1</v>
      </c>
      <c r="X1970">
        <v>1</v>
      </c>
      <c r="Y1970">
        <v>1</v>
      </c>
      <c r="Z1970">
        <v>1</v>
      </c>
      <c r="AA1970">
        <v>1</v>
      </c>
      <c r="AB1970">
        <v>1</v>
      </c>
    </row>
    <row r="1971" spans="1:28" x14ac:dyDescent="0.25">
      <c r="A1971" t="str">
        <f>"1967"</f>
        <v>1967</v>
      </c>
      <c r="B1971" t="str">
        <f t="shared" si="112"/>
        <v>1</v>
      </c>
      <c r="C1971" t="str">
        <f t="shared" si="113"/>
        <v>87</v>
      </c>
      <c r="D1971" t="str">
        <f>"17"</f>
        <v>17</v>
      </c>
      <c r="E1971" t="str">
        <f>"1-87-17"</f>
        <v>1-87-17</v>
      </c>
      <c r="F1971" t="s">
        <v>83</v>
      </c>
      <c r="G1971" t="s">
        <v>84</v>
      </c>
      <c r="H1971" t="s">
        <v>92</v>
      </c>
      <c r="I1971">
        <v>1</v>
      </c>
      <c r="J1971">
        <v>1</v>
      </c>
      <c r="N1971">
        <v>1</v>
      </c>
      <c r="O1971">
        <v>1</v>
      </c>
      <c r="P1971">
        <v>1</v>
      </c>
      <c r="Q1971">
        <v>1</v>
      </c>
      <c r="R1971">
        <v>1</v>
      </c>
      <c r="S1971">
        <v>1</v>
      </c>
      <c r="T1971">
        <v>1</v>
      </c>
      <c r="W1971">
        <v>1</v>
      </c>
      <c r="X1971">
        <v>1</v>
      </c>
      <c r="Y1971">
        <v>1</v>
      </c>
      <c r="Z1971">
        <v>1</v>
      </c>
      <c r="AA1971">
        <v>1</v>
      </c>
      <c r="AB1971">
        <v>1</v>
      </c>
    </row>
    <row r="1972" spans="1:28" x14ac:dyDescent="0.25">
      <c r="A1972" t="str">
        <f>"1968"</f>
        <v>1968</v>
      </c>
      <c r="B1972" t="str">
        <f t="shared" si="112"/>
        <v>1</v>
      </c>
      <c r="C1972" t="str">
        <f t="shared" si="113"/>
        <v>87</v>
      </c>
      <c r="D1972" t="str">
        <f>"9"</f>
        <v>9</v>
      </c>
      <c r="E1972" t="str">
        <f>"1-87-9"</f>
        <v>1-87-9</v>
      </c>
      <c r="F1972" t="s">
        <v>83</v>
      </c>
      <c r="G1972" t="s">
        <v>84</v>
      </c>
      <c r="H1972" t="s">
        <v>92</v>
      </c>
      <c r="I1972">
        <v>1</v>
      </c>
      <c r="J1972">
        <v>1</v>
      </c>
      <c r="N1972">
        <v>1</v>
      </c>
      <c r="O1972">
        <v>1</v>
      </c>
      <c r="P1972">
        <v>1</v>
      </c>
      <c r="Q1972">
        <v>1</v>
      </c>
      <c r="R1972">
        <v>1</v>
      </c>
      <c r="S1972">
        <v>1</v>
      </c>
      <c r="T1972">
        <v>1</v>
      </c>
      <c r="W1972">
        <v>1</v>
      </c>
      <c r="X1972">
        <v>1</v>
      </c>
      <c r="Y1972">
        <v>1</v>
      </c>
      <c r="Z1972">
        <v>1</v>
      </c>
      <c r="AA1972">
        <v>1</v>
      </c>
      <c r="AB1972">
        <v>1</v>
      </c>
    </row>
    <row r="1973" spans="1:28" x14ac:dyDescent="0.25">
      <c r="A1973" t="str">
        <f>"1969"</f>
        <v>1969</v>
      </c>
      <c r="B1973" t="str">
        <f t="shared" si="112"/>
        <v>1</v>
      </c>
      <c r="C1973" t="str">
        <f t="shared" si="113"/>
        <v>87</v>
      </c>
      <c r="D1973" t="str">
        <f>"5"</f>
        <v>5</v>
      </c>
      <c r="E1973" t="str">
        <f>"1-87-5"</f>
        <v>1-87-5</v>
      </c>
      <c r="F1973" t="s">
        <v>83</v>
      </c>
      <c r="G1973" t="s">
        <v>84</v>
      </c>
      <c r="H1973" t="s">
        <v>92</v>
      </c>
      <c r="I1973">
        <v>1</v>
      </c>
      <c r="J1973">
        <v>1</v>
      </c>
      <c r="N1973">
        <v>1</v>
      </c>
      <c r="O1973">
        <v>1</v>
      </c>
      <c r="P1973">
        <v>1</v>
      </c>
      <c r="Q1973">
        <v>1</v>
      </c>
      <c r="R1973">
        <v>1</v>
      </c>
      <c r="S1973">
        <v>1</v>
      </c>
      <c r="T1973">
        <v>1</v>
      </c>
      <c r="W1973">
        <v>1</v>
      </c>
      <c r="X1973">
        <v>1</v>
      </c>
      <c r="Y1973">
        <v>1</v>
      </c>
      <c r="Z1973">
        <v>1</v>
      </c>
      <c r="AA1973">
        <v>1</v>
      </c>
      <c r="AB1973">
        <v>1</v>
      </c>
    </row>
    <row r="1974" spans="1:28" x14ac:dyDescent="0.25">
      <c r="A1974" t="str">
        <f>"1970"</f>
        <v>1970</v>
      </c>
      <c r="B1974" t="str">
        <f t="shared" si="112"/>
        <v>1</v>
      </c>
      <c r="C1974" t="str">
        <f t="shared" si="113"/>
        <v>87</v>
      </c>
      <c r="D1974" t="str">
        <f>"23"</f>
        <v>23</v>
      </c>
      <c r="E1974" t="str">
        <f>"1-87-23"</f>
        <v>1-87-23</v>
      </c>
      <c r="F1974" t="s">
        <v>83</v>
      </c>
      <c r="G1974" t="s">
        <v>86</v>
      </c>
      <c r="H1974" t="s">
        <v>93</v>
      </c>
      <c r="I1974">
        <v>1</v>
      </c>
      <c r="K1974">
        <v>1</v>
      </c>
      <c r="L1974">
        <v>0</v>
      </c>
      <c r="M1974">
        <v>0</v>
      </c>
      <c r="N1974">
        <v>1</v>
      </c>
      <c r="O1974">
        <v>1</v>
      </c>
      <c r="P1974">
        <v>1</v>
      </c>
      <c r="Q1974">
        <v>1</v>
      </c>
      <c r="R1974">
        <v>1</v>
      </c>
      <c r="U1974">
        <v>0</v>
      </c>
      <c r="V1974">
        <v>1</v>
      </c>
      <c r="W1974">
        <v>1</v>
      </c>
      <c r="X1974">
        <v>1</v>
      </c>
      <c r="Y1974">
        <v>1</v>
      </c>
      <c r="Z1974">
        <v>1</v>
      </c>
      <c r="AA1974">
        <v>1</v>
      </c>
      <c r="AB1974">
        <v>1</v>
      </c>
    </row>
    <row r="1975" spans="1:28" x14ac:dyDescent="0.25">
      <c r="A1975" t="str">
        <f>"1971"</f>
        <v>1971</v>
      </c>
      <c r="B1975" t="str">
        <f t="shared" si="112"/>
        <v>1</v>
      </c>
      <c r="C1975" t="str">
        <f t="shared" si="113"/>
        <v>87</v>
      </c>
      <c r="D1975" t="str">
        <f>"22"</f>
        <v>22</v>
      </c>
      <c r="E1975" t="str">
        <f>"1-87-22"</f>
        <v>1-87-22</v>
      </c>
      <c r="F1975" t="s">
        <v>83</v>
      </c>
      <c r="G1975" t="s">
        <v>86</v>
      </c>
      <c r="H1975" t="s">
        <v>93</v>
      </c>
      <c r="I1975">
        <v>1</v>
      </c>
      <c r="K1975">
        <v>1</v>
      </c>
      <c r="L1975">
        <v>0</v>
      </c>
      <c r="M1975">
        <v>0</v>
      </c>
      <c r="N1975">
        <v>1</v>
      </c>
      <c r="O1975">
        <v>1</v>
      </c>
      <c r="P1975">
        <v>1</v>
      </c>
      <c r="Q1975">
        <v>1</v>
      </c>
      <c r="R1975">
        <v>1</v>
      </c>
      <c r="U1975">
        <v>0</v>
      </c>
      <c r="V1975">
        <v>1</v>
      </c>
      <c r="W1975">
        <v>1</v>
      </c>
      <c r="X1975">
        <v>1</v>
      </c>
      <c r="Y1975">
        <v>1</v>
      </c>
      <c r="Z1975">
        <v>1</v>
      </c>
      <c r="AA1975">
        <v>1</v>
      </c>
      <c r="AB1975">
        <v>1</v>
      </c>
    </row>
    <row r="1976" spans="1:28" x14ac:dyDescent="0.25">
      <c r="A1976" t="str">
        <f>"1972"</f>
        <v>1972</v>
      </c>
      <c r="B1976" t="str">
        <f t="shared" si="112"/>
        <v>1</v>
      </c>
      <c r="C1976" t="str">
        <f t="shared" si="113"/>
        <v>87</v>
      </c>
      <c r="D1976" t="str">
        <f>"14"</f>
        <v>14</v>
      </c>
      <c r="E1976" t="str">
        <f>"1-87-14"</f>
        <v>1-87-14</v>
      </c>
      <c r="F1976" t="s">
        <v>83</v>
      </c>
      <c r="G1976" t="s">
        <v>84</v>
      </c>
      <c r="H1976" t="s">
        <v>92</v>
      </c>
      <c r="I1976">
        <v>1</v>
      </c>
      <c r="J1976">
        <v>1</v>
      </c>
      <c r="N1976">
        <v>1</v>
      </c>
      <c r="O1976">
        <v>1</v>
      </c>
      <c r="P1976">
        <v>1</v>
      </c>
      <c r="Q1976">
        <v>1</v>
      </c>
      <c r="R1976">
        <v>1</v>
      </c>
      <c r="S1976">
        <v>1</v>
      </c>
      <c r="T1976">
        <v>1</v>
      </c>
      <c r="W1976">
        <v>1</v>
      </c>
      <c r="X1976">
        <v>1</v>
      </c>
      <c r="Y1976">
        <v>1</v>
      </c>
      <c r="Z1976">
        <v>1</v>
      </c>
      <c r="AA1976">
        <v>1</v>
      </c>
      <c r="AB1976">
        <v>1</v>
      </c>
    </row>
    <row r="1977" spans="1:28" x14ac:dyDescent="0.25">
      <c r="A1977" t="str">
        <f>"1973"</f>
        <v>1973</v>
      </c>
      <c r="B1977" t="str">
        <f t="shared" si="112"/>
        <v>1</v>
      </c>
      <c r="C1977" t="str">
        <f t="shared" si="113"/>
        <v>87</v>
      </c>
      <c r="D1977" t="str">
        <f>"10"</f>
        <v>10</v>
      </c>
      <c r="E1977" t="str">
        <f>"1-87-10"</f>
        <v>1-87-10</v>
      </c>
      <c r="F1977" t="s">
        <v>83</v>
      </c>
      <c r="G1977" t="s">
        <v>84</v>
      </c>
      <c r="H1977" t="s">
        <v>92</v>
      </c>
      <c r="I1977">
        <v>1</v>
      </c>
      <c r="J1977">
        <v>1</v>
      </c>
      <c r="N1977">
        <v>1</v>
      </c>
      <c r="O1977">
        <v>1</v>
      </c>
      <c r="P1977">
        <v>1</v>
      </c>
      <c r="Q1977">
        <v>1</v>
      </c>
      <c r="R1977">
        <v>1</v>
      </c>
      <c r="S1977">
        <v>1</v>
      </c>
      <c r="T1977">
        <v>1</v>
      </c>
      <c r="W1977">
        <v>1</v>
      </c>
      <c r="X1977">
        <v>1</v>
      </c>
      <c r="Y1977">
        <v>1</v>
      </c>
      <c r="Z1977">
        <v>1</v>
      </c>
      <c r="AA1977">
        <v>1</v>
      </c>
      <c r="AB1977">
        <v>1</v>
      </c>
    </row>
    <row r="1978" spans="1:28" x14ac:dyDescent="0.25">
      <c r="A1978" t="str">
        <f>"1974"</f>
        <v>1974</v>
      </c>
      <c r="B1978" t="str">
        <f t="shared" si="112"/>
        <v>1</v>
      </c>
      <c r="C1978" t="str">
        <f t="shared" si="113"/>
        <v>87</v>
      </c>
      <c r="D1978" t="str">
        <f>"3"</f>
        <v>3</v>
      </c>
      <c r="E1978" t="str">
        <f>"1-87-3"</f>
        <v>1-87-3</v>
      </c>
      <c r="F1978" t="s">
        <v>83</v>
      </c>
      <c r="G1978" t="s">
        <v>84</v>
      </c>
      <c r="H1978" t="s">
        <v>92</v>
      </c>
      <c r="I1978">
        <v>1</v>
      </c>
      <c r="J1978">
        <v>1</v>
      </c>
      <c r="N1978">
        <v>1</v>
      </c>
      <c r="O1978">
        <v>1</v>
      </c>
      <c r="P1978">
        <v>1</v>
      </c>
      <c r="Q1978">
        <v>1</v>
      </c>
      <c r="R1978">
        <v>1</v>
      </c>
      <c r="S1978">
        <v>1</v>
      </c>
      <c r="T1978">
        <v>1</v>
      </c>
      <c r="W1978">
        <v>1</v>
      </c>
      <c r="X1978">
        <v>1</v>
      </c>
      <c r="Y1978">
        <v>1</v>
      </c>
      <c r="Z1978">
        <v>1</v>
      </c>
      <c r="AA1978">
        <v>1</v>
      </c>
      <c r="AB1978">
        <v>1</v>
      </c>
    </row>
    <row r="1979" spans="1:28" x14ac:dyDescent="0.25">
      <c r="A1979" t="str">
        <f>"1975"</f>
        <v>1975</v>
      </c>
      <c r="B1979" t="str">
        <f t="shared" si="112"/>
        <v>1</v>
      </c>
      <c r="C1979" t="str">
        <f t="shared" si="113"/>
        <v>87</v>
      </c>
      <c r="D1979" t="str">
        <f>"21"</f>
        <v>21</v>
      </c>
      <c r="E1979" t="str">
        <f>"1-87-21"</f>
        <v>1-87-21</v>
      </c>
      <c r="F1979" t="s">
        <v>83</v>
      </c>
      <c r="G1979" t="s">
        <v>90</v>
      </c>
      <c r="H1979" t="s">
        <v>94</v>
      </c>
      <c r="I1979">
        <v>1</v>
      </c>
      <c r="K1979">
        <v>0</v>
      </c>
      <c r="L1979">
        <v>0</v>
      </c>
      <c r="M1979">
        <v>1</v>
      </c>
      <c r="N1979">
        <v>1</v>
      </c>
      <c r="O1979">
        <v>1</v>
      </c>
      <c r="P1979">
        <v>1</v>
      </c>
      <c r="Q1979">
        <v>1</v>
      </c>
      <c r="R1979">
        <v>1</v>
      </c>
      <c r="S1979">
        <v>1</v>
      </c>
      <c r="U1979">
        <v>1</v>
      </c>
      <c r="V1979">
        <v>0</v>
      </c>
      <c r="W1979">
        <v>1</v>
      </c>
      <c r="X1979">
        <v>1</v>
      </c>
      <c r="Y1979">
        <v>1</v>
      </c>
      <c r="Z1979">
        <v>1</v>
      </c>
      <c r="AA1979">
        <v>1</v>
      </c>
      <c r="AB1979">
        <v>1</v>
      </c>
    </row>
    <row r="1980" spans="1:28" x14ac:dyDescent="0.25">
      <c r="A1980" t="str">
        <f>"1976"</f>
        <v>1976</v>
      </c>
      <c r="B1980" t="str">
        <f t="shared" si="112"/>
        <v>1</v>
      </c>
      <c r="C1980" t="str">
        <f t="shared" si="113"/>
        <v>87</v>
      </c>
      <c r="D1980" t="str">
        <f>"11"</f>
        <v>11</v>
      </c>
      <c r="E1980" t="str">
        <f>"1-87-11"</f>
        <v>1-87-11</v>
      </c>
      <c r="F1980" t="s">
        <v>83</v>
      </c>
      <c r="G1980" t="s">
        <v>84</v>
      </c>
      <c r="H1980" t="s">
        <v>92</v>
      </c>
      <c r="I1980">
        <v>1</v>
      </c>
      <c r="J1980">
        <v>1</v>
      </c>
      <c r="N1980">
        <v>1</v>
      </c>
      <c r="O1980">
        <v>1</v>
      </c>
      <c r="P1980">
        <v>1</v>
      </c>
      <c r="Q1980">
        <v>1</v>
      </c>
      <c r="R1980">
        <v>1</v>
      </c>
      <c r="S1980">
        <v>1</v>
      </c>
      <c r="T1980">
        <v>1</v>
      </c>
      <c r="W1980">
        <v>1</v>
      </c>
      <c r="X1980">
        <v>1</v>
      </c>
      <c r="Y1980">
        <v>1</v>
      </c>
      <c r="Z1980">
        <v>1</v>
      </c>
      <c r="AA1980">
        <v>1</v>
      </c>
      <c r="AB1980">
        <v>1</v>
      </c>
    </row>
    <row r="1981" spans="1:28" x14ac:dyDescent="0.25">
      <c r="A1981" t="str">
        <f>"1977"</f>
        <v>1977</v>
      </c>
      <c r="B1981" t="str">
        <f t="shared" si="112"/>
        <v>1</v>
      </c>
      <c r="C1981" t="str">
        <f t="shared" si="113"/>
        <v>87</v>
      </c>
      <c r="D1981" t="str">
        <f>"4"</f>
        <v>4</v>
      </c>
      <c r="E1981" t="str">
        <f>"1-87-4"</f>
        <v>1-87-4</v>
      </c>
      <c r="F1981" t="s">
        <v>83</v>
      </c>
      <c r="G1981" t="s">
        <v>84</v>
      </c>
      <c r="H1981" t="s">
        <v>92</v>
      </c>
      <c r="I1981">
        <v>1</v>
      </c>
      <c r="J1981">
        <v>1</v>
      </c>
      <c r="N1981">
        <v>1</v>
      </c>
      <c r="O1981">
        <v>0</v>
      </c>
      <c r="P1981">
        <v>0</v>
      </c>
      <c r="Q1981">
        <v>1</v>
      </c>
      <c r="R1981">
        <v>0</v>
      </c>
      <c r="S1981">
        <v>0</v>
      </c>
      <c r="T1981">
        <v>0</v>
      </c>
      <c r="W1981">
        <v>0</v>
      </c>
      <c r="X1981">
        <v>0</v>
      </c>
      <c r="Y1981">
        <v>0</v>
      </c>
      <c r="Z1981">
        <v>0</v>
      </c>
      <c r="AA1981">
        <v>0</v>
      </c>
      <c r="AB1981">
        <v>0</v>
      </c>
    </row>
    <row r="1982" spans="1:28" x14ac:dyDescent="0.25">
      <c r="A1982" t="str">
        <f>"1978"</f>
        <v>1978</v>
      </c>
      <c r="B1982" t="str">
        <f t="shared" si="112"/>
        <v>1</v>
      </c>
      <c r="C1982" t="str">
        <f t="shared" si="113"/>
        <v>87</v>
      </c>
      <c r="D1982" t="str">
        <f>"20"</f>
        <v>20</v>
      </c>
      <c r="E1982" t="str">
        <f>"1-87-20"</f>
        <v>1-87-20</v>
      </c>
      <c r="F1982" t="s">
        <v>83</v>
      </c>
      <c r="G1982" t="s">
        <v>84</v>
      </c>
      <c r="H1982" t="s">
        <v>92</v>
      </c>
      <c r="I1982">
        <v>1</v>
      </c>
      <c r="J1982">
        <v>1</v>
      </c>
      <c r="N1982">
        <v>1</v>
      </c>
      <c r="O1982">
        <v>1</v>
      </c>
      <c r="P1982">
        <v>1</v>
      </c>
      <c r="Q1982">
        <v>1</v>
      </c>
      <c r="R1982">
        <v>1</v>
      </c>
      <c r="S1982">
        <v>1</v>
      </c>
      <c r="T1982">
        <v>1</v>
      </c>
      <c r="W1982">
        <v>1</v>
      </c>
      <c r="X1982">
        <v>1</v>
      </c>
      <c r="Y1982">
        <v>1</v>
      </c>
      <c r="Z1982">
        <v>1</v>
      </c>
      <c r="AA1982">
        <v>1</v>
      </c>
      <c r="AB1982">
        <v>1</v>
      </c>
    </row>
    <row r="1983" spans="1:28" x14ac:dyDescent="0.25">
      <c r="A1983" t="str">
        <f>"1979"</f>
        <v>1979</v>
      </c>
      <c r="B1983" t="str">
        <f t="shared" si="112"/>
        <v>1</v>
      </c>
      <c r="C1983" t="str">
        <f t="shared" si="113"/>
        <v>87</v>
      </c>
      <c r="D1983" t="str">
        <f>"12"</f>
        <v>12</v>
      </c>
      <c r="E1983" t="str">
        <f>"1-87-12"</f>
        <v>1-87-12</v>
      </c>
      <c r="F1983" t="s">
        <v>83</v>
      </c>
      <c r="G1983" t="s">
        <v>84</v>
      </c>
      <c r="H1983" t="s">
        <v>92</v>
      </c>
      <c r="I1983">
        <v>1</v>
      </c>
      <c r="J1983">
        <v>1</v>
      </c>
      <c r="N1983">
        <v>1</v>
      </c>
      <c r="O1983">
        <v>1</v>
      </c>
      <c r="P1983">
        <v>1</v>
      </c>
      <c r="Q1983">
        <v>1</v>
      </c>
      <c r="R1983">
        <v>1</v>
      </c>
      <c r="S1983">
        <v>1</v>
      </c>
      <c r="T1983">
        <v>1</v>
      </c>
      <c r="W1983">
        <v>1</v>
      </c>
      <c r="X1983">
        <v>1</v>
      </c>
      <c r="Y1983">
        <v>1</v>
      </c>
      <c r="Z1983">
        <v>1</v>
      </c>
      <c r="AA1983">
        <v>1</v>
      </c>
      <c r="AB1983">
        <v>1</v>
      </c>
    </row>
    <row r="1984" spans="1:28" x14ac:dyDescent="0.25">
      <c r="A1984" t="str">
        <f>"1980"</f>
        <v>1980</v>
      </c>
      <c r="B1984" t="str">
        <f t="shared" si="112"/>
        <v>1</v>
      </c>
      <c r="C1984" t="str">
        <f t="shared" si="113"/>
        <v>87</v>
      </c>
      <c r="D1984" t="str">
        <f>"1"</f>
        <v>1</v>
      </c>
      <c r="E1984" t="str">
        <f>"1-87-1"</f>
        <v>1-87-1</v>
      </c>
      <c r="F1984" t="s">
        <v>83</v>
      </c>
      <c r="G1984" t="s">
        <v>84</v>
      </c>
      <c r="H1984" t="s">
        <v>92</v>
      </c>
      <c r="I1984">
        <v>1</v>
      </c>
      <c r="J1984">
        <v>1</v>
      </c>
      <c r="N1984">
        <v>1</v>
      </c>
      <c r="O1984">
        <v>1</v>
      </c>
      <c r="P1984">
        <v>1</v>
      </c>
      <c r="Q1984">
        <v>1</v>
      </c>
      <c r="R1984">
        <v>1</v>
      </c>
      <c r="S1984">
        <v>1</v>
      </c>
      <c r="T1984">
        <v>1</v>
      </c>
      <c r="W1984">
        <v>1</v>
      </c>
      <c r="X1984">
        <v>1</v>
      </c>
      <c r="Y1984">
        <v>1</v>
      </c>
      <c r="Z1984">
        <v>1</v>
      </c>
      <c r="AA1984">
        <v>1</v>
      </c>
      <c r="AB1984">
        <v>1</v>
      </c>
    </row>
    <row r="1985" spans="1:28" x14ac:dyDescent="0.25">
      <c r="A1985" t="str">
        <f>"1981"</f>
        <v>1981</v>
      </c>
      <c r="B1985" t="str">
        <f t="shared" si="112"/>
        <v>1</v>
      </c>
      <c r="C1985" t="str">
        <f t="shared" si="113"/>
        <v>87</v>
      </c>
      <c r="D1985" t="str">
        <f>"15"</f>
        <v>15</v>
      </c>
      <c r="E1985" t="str">
        <f>"1-87-15"</f>
        <v>1-87-15</v>
      </c>
      <c r="F1985" t="s">
        <v>83</v>
      </c>
      <c r="G1985" t="s">
        <v>84</v>
      </c>
      <c r="H1985" t="s">
        <v>92</v>
      </c>
      <c r="I1985">
        <v>1</v>
      </c>
      <c r="J1985">
        <v>1</v>
      </c>
      <c r="N1985">
        <v>1</v>
      </c>
      <c r="O1985">
        <v>1</v>
      </c>
      <c r="P1985">
        <v>1</v>
      </c>
      <c r="Q1985">
        <v>1</v>
      </c>
      <c r="R1985">
        <v>1</v>
      </c>
      <c r="S1985">
        <v>1</v>
      </c>
      <c r="T1985">
        <v>1</v>
      </c>
      <c r="W1985">
        <v>1</v>
      </c>
      <c r="X1985">
        <v>1</v>
      </c>
      <c r="Y1985">
        <v>1</v>
      </c>
      <c r="Z1985">
        <v>1</v>
      </c>
      <c r="AA1985">
        <v>1</v>
      </c>
      <c r="AB1985">
        <v>1</v>
      </c>
    </row>
    <row r="1986" spans="1:28" x14ac:dyDescent="0.25">
      <c r="A1986" t="str">
        <f>"1982"</f>
        <v>1982</v>
      </c>
      <c r="B1986" t="str">
        <f t="shared" si="112"/>
        <v>1</v>
      </c>
      <c r="C1986" t="str">
        <f t="shared" si="113"/>
        <v>87</v>
      </c>
      <c r="D1986" t="str">
        <f>"6"</f>
        <v>6</v>
      </c>
      <c r="E1986" t="str">
        <f>"1-87-6"</f>
        <v>1-87-6</v>
      </c>
      <c r="F1986" t="s">
        <v>83</v>
      </c>
      <c r="G1986" t="s">
        <v>84</v>
      </c>
      <c r="H1986" t="s">
        <v>92</v>
      </c>
      <c r="I1986">
        <v>1</v>
      </c>
      <c r="J1986">
        <v>1</v>
      </c>
      <c r="N1986">
        <v>1</v>
      </c>
      <c r="O1986">
        <v>0</v>
      </c>
      <c r="P1986">
        <v>1</v>
      </c>
      <c r="Q1986">
        <v>1</v>
      </c>
      <c r="R1986">
        <v>1</v>
      </c>
      <c r="S1986">
        <v>0</v>
      </c>
      <c r="T1986">
        <v>0</v>
      </c>
      <c r="W1986">
        <v>1</v>
      </c>
      <c r="X1986">
        <v>1</v>
      </c>
      <c r="Y1986">
        <v>1</v>
      </c>
      <c r="Z1986">
        <v>1</v>
      </c>
      <c r="AA1986">
        <v>1</v>
      </c>
      <c r="AB1986">
        <v>1</v>
      </c>
    </row>
    <row r="1987" spans="1:28" x14ac:dyDescent="0.25">
      <c r="A1987" t="str">
        <f>"1983"</f>
        <v>1983</v>
      </c>
      <c r="B1987" t="str">
        <f t="shared" si="112"/>
        <v>1</v>
      </c>
      <c r="C1987" t="str">
        <f t="shared" si="113"/>
        <v>87</v>
      </c>
      <c r="D1987" t="str">
        <f>"16"</f>
        <v>16</v>
      </c>
      <c r="E1987" t="str">
        <f>"1-87-16"</f>
        <v>1-87-16</v>
      </c>
      <c r="F1987" t="s">
        <v>83</v>
      </c>
      <c r="G1987" t="s">
        <v>84</v>
      </c>
      <c r="H1987" t="s">
        <v>92</v>
      </c>
      <c r="I1987">
        <v>1</v>
      </c>
      <c r="J1987">
        <v>1</v>
      </c>
      <c r="N1987">
        <v>1</v>
      </c>
      <c r="O1987">
        <v>1</v>
      </c>
      <c r="P1987">
        <v>1</v>
      </c>
      <c r="Q1987">
        <v>1</v>
      </c>
      <c r="R1987">
        <v>1</v>
      </c>
      <c r="S1987">
        <v>1</v>
      </c>
      <c r="T1987">
        <v>1</v>
      </c>
      <c r="W1987">
        <v>1</v>
      </c>
      <c r="X1987">
        <v>1</v>
      </c>
      <c r="Y1987">
        <v>1</v>
      </c>
      <c r="Z1987">
        <v>1</v>
      </c>
      <c r="AA1987">
        <v>1</v>
      </c>
      <c r="AB1987">
        <v>1</v>
      </c>
    </row>
    <row r="1988" spans="1:28" x14ac:dyDescent="0.25">
      <c r="A1988" t="str">
        <f>"1984"</f>
        <v>1984</v>
      </c>
      <c r="B1988" t="str">
        <f t="shared" si="112"/>
        <v>1</v>
      </c>
      <c r="C1988" t="str">
        <f t="shared" si="113"/>
        <v>87</v>
      </c>
      <c r="D1988" t="str">
        <f>"7"</f>
        <v>7</v>
      </c>
      <c r="E1988" t="str">
        <f>"1-87-7"</f>
        <v>1-87-7</v>
      </c>
      <c r="F1988" t="s">
        <v>83</v>
      </c>
      <c r="G1988" t="s">
        <v>84</v>
      </c>
      <c r="H1988" t="s">
        <v>92</v>
      </c>
      <c r="I1988">
        <v>1</v>
      </c>
      <c r="J1988">
        <v>1</v>
      </c>
      <c r="N1988">
        <v>1</v>
      </c>
      <c r="O1988">
        <v>1</v>
      </c>
      <c r="P1988">
        <v>1</v>
      </c>
      <c r="Q1988">
        <v>1</v>
      </c>
      <c r="R1988">
        <v>1</v>
      </c>
      <c r="S1988">
        <v>1</v>
      </c>
      <c r="T1988">
        <v>1</v>
      </c>
      <c r="W1988">
        <v>1</v>
      </c>
      <c r="X1988">
        <v>1</v>
      </c>
      <c r="Y1988">
        <v>1</v>
      </c>
      <c r="Z1988">
        <v>1</v>
      </c>
      <c r="AA1988">
        <v>1</v>
      </c>
      <c r="AB1988">
        <v>1</v>
      </c>
    </row>
    <row r="1989" spans="1:28" x14ac:dyDescent="0.25">
      <c r="A1989" t="str">
        <f>"1985"</f>
        <v>1985</v>
      </c>
      <c r="B1989" t="str">
        <f t="shared" si="112"/>
        <v>1</v>
      </c>
      <c r="C1989" t="str">
        <f t="shared" ref="C1989:C2013" si="114">"88"</f>
        <v>88</v>
      </c>
      <c r="D1989" t="str">
        <f>"19"</f>
        <v>19</v>
      </c>
      <c r="E1989" t="str">
        <f>"1-88-19"</f>
        <v>1-88-19</v>
      </c>
      <c r="F1989" t="s">
        <v>83</v>
      </c>
      <c r="G1989" t="s">
        <v>86</v>
      </c>
      <c r="H1989" t="s">
        <v>93</v>
      </c>
      <c r="I1989">
        <v>1</v>
      </c>
      <c r="K1989">
        <v>1</v>
      </c>
      <c r="L1989">
        <v>0</v>
      </c>
      <c r="M1989">
        <v>0</v>
      </c>
      <c r="N1989">
        <v>1</v>
      </c>
      <c r="O1989">
        <v>1</v>
      </c>
      <c r="P1989">
        <v>1</v>
      </c>
      <c r="Q1989">
        <v>1</v>
      </c>
      <c r="R1989">
        <v>0</v>
      </c>
      <c r="U1989">
        <v>0</v>
      </c>
      <c r="V1989">
        <v>1</v>
      </c>
      <c r="W1989">
        <v>0</v>
      </c>
      <c r="X1989">
        <v>1</v>
      </c>
      <c r="Y1989">
        <v>0</v>
      </c>
      <c r="Z1989">
        <v>1</v>
      </c>
      <c r="AA1989">
        <v>0</v>
      </c>
      <c r="AB1989">
        <v>0</v>
      </c>
    </row>
    <row r="1990" spans="1:28" x14ac:dyDescent="0.25">
      <c r="A1990" t="str">
        <f>"1986"</f>
        <v>1986</v>
      </c>
      <c r="B1990" t="str">
        <f t="shared" si="112"/>
        <v>1</v>
      </c>
      <c r="C1990" t="str">
        <f t="shared" si="114"/>
        <v>88</v>
      </c>
      <c r="D1990" t="str">
        <f>"18"</f>
        <v>18</v>
      </c>
      <c r="E1990" t="str">
        <f>"1-88-18"</f>
        <v>1-88-18</v>
      </c>
      <c r="F1990" t="s">
        <v>83</v>
      </c>
      <c r="G1990" t="s">
        <v>86</v>
      </c>
      <c r="H1990" t="s">
        <v>93</v>
      </c>
      <c r="I1990">
        <v>1</v>
      </c>
      <c r="K1990">
        <v>0</v>
      </c>
      <c r="L1990">
        <v>1</v>
      </c>
      <c r="M1990">
        <v>0</v>
      </c>
      <c r="N1990">
        <v>1</v>
      </c>
      <c r="O1990">
        <v>1</v>
      </c>
      <c r="P1990">
        <v>1</v>
      </c>
      <c r="Q1990">
        <v>1</v>
      </c>
      <c r="R1990">
        <v>1</v>
      </c>
      <c r="U1990">
        <v>0</v>
      </c>
      <c r="V1990">
        <v>1</v>
      </c>
      <c r="W1990">
        <v>1</v>
      </c>
      <c r="X1990">
        <v>1</v>
      </c>
      <c r="Y1990">
        <v>1</v>
      </c>
      <c r="Z1990">
        <v>1</v>
      </c>
      <c r="AA1990">
        <v>1</v>
      </c>
      <c r="AB1990">
        <v>1</v>
      </c>
    </row>
    <row r="1991" spans="1:28" x14ac:dyDescent="0.25">
      <c r="A1991" t="str">
        <f>"1987"</f>
        <v>1987</v>
      </c>
      <c r="B1991" t="str">
        <f t="shared" si="112"/>
        <v>1</v>
      </c>
      <c r="C1991" t="str">
        <f t="shared" si="114"/>
        <v>88</v>
      </c>
      <c r="D1991" t="str">
        <f>"13"</f>
        <v>13</v>
      </c>
      <c r="E1991" t="str">
        <f>"1-88-13"</f>
        <v>1-88-13</v>
      </c>
      <c r="F1991" t="s">
        <v>83</v>
      </c>
      <c r="G1991" t="s">
        <v>86</v>
      </c>
      <c r="H1991" t="s">
        <v>93</v>
      </c>
      <c r="I1991">
        <v>1</v>
      </c>
      <c r="K1991">
        <v>0</v>
      </c>
      <c r="L1991">
        <v>0</v>
      </c>
      <c r="M1991">
        <v>1</v>
      </c>
      <c r="N1991">
        <v>1</v>
      </c>
      <c r="O1991">
        <v>1</v>
      </c>
      <c r="P1991">
        <v>1</v>
      </c>
      <c r="Q1991">
        <v>1</v>
      </c>
      <c r="R1991">
        <v>1</v>
      </c>
      <c r="U1991">
        <v>0</v>
      </c>
      <c r="V1991">
        <v>0</v>
      </c>
      <c r="W1991">
        <v>1</v>
      </c>
      <c r="X1991">
        <v>1</v>
      </c>
      <c r="Y1991">
        <v>1</v>
      </c>
      <c r="Z1991">
        <v>1</v>
      </c>
      <c r="AA1991">
        <v>1</v>
      </c>
      <c r="AB1991">
        <v>1</v>
      </c>
    </row>
    <row r="1992" spans="1:28" x14ac:dyDescent="0.25">
      <c r="A1992" t="str">
        <f>"1988"</f>
        <v>1988</v>
      </c>
      <c r="B1992" t="str">
        <f t="shared" si="112"/>
        <v>1</v>
      </c>
      <c r="C1992" t="str">
        <f t="shared" si="114"/>
        <v>88</v>
      </c>
      <c r="D1992" t="str">
        <f>"8"</f>
        <v>8</v>
      </c>
      <c r="E1992" t="str">
        <f>"1-88-8"</f>
        <v>1-88-8</v>
      </c>
      <c r="F1992" t="s">
        <v>83</v>
      </c>
      <c r="G1992" t="s">
        <v>86</v>
      </c>
      <c r="H1992" t="s">
        <v>93</v>
      </c>
      <c r="I1992">
        <v>1</v>
      </c>
      <c r="K1992">
        <v>0</v>
      </c>
      <c r="L1992">
        <v>0</v>
      </c>
      <c r="M1992">
        <v>1</v>
      </c>
      <c r="N1992">
        <v>1</v>
      </c>
      <c r="O1992">
        <v>1</v>
      </c>
      <c r="P1992">
        <v>1</v>
      </c>
      <c r="Q1992">
        <v>1</v>
      </c>
      <c r="R1992">
        <v>1</v>
      </c>
      <c r="U1992">
        <v>0</v>
      </c>
      <c r="V1992">
        <v>1</v>
      </c>
      <c r="W1992">
        <v>1</v>
      </c>
      <c r="X1992">
        <v>1</v>
      </c>
      <c r="Y1992">
        <v>1</v>
      </c>
      <c r="Z1992">
        <v>1</v>
      </c>
      <c r="AA1992">
        <v>1</v>
      </c>
      <c r="AB1992">
        <v>1</v>
      </c>
    </row>
    <row r="1993" spans="1:28" x14ac:dyDescent="0.25">
      <c r="A1993" t="str">
        <f>"1989"</f>
        <v>1989</v>
      </c>
      <c r="B1993" t="str">
        <f t="shared" si="112"/>
        <v>1</v>
      </c>
      <c r="C1993" t="str">
        <f t="shared" si="114"/>
        <v>88</v>
      </c>
      <c r="D1993" t="str">
        <f>"4"</f>
        <v>4</v>
      </c>
      <c r="E1993" t="str">
        <f>"1-88-4"</f>
        <v>1-88-4</v>
      </c>
      <c r="F1993" t="s">
        <v>83</v>
      </c>
      <c r="G1993" t="s">
        <v>86</v>
      </c>
      <c r="H1993" t="s">
        <v>93</v>
      </c>
      <c r="I1993">
        <v>0</v>
      </c>
      <c r="K1993">
        <v>0</v>
      </c>
      <c r="L1993">
        <v>0</v>
      </c>
      <c r="M1993">
        <v>1</v>
      </c>
      <c r="N1993">
        <v>0</v>
      </c>
      <c r="O1993">
        <v>0</v>
      </c>
      <c r="P1993">
        <v>0</v>
      </c>
      <c r="Q1993">
        <v>0</v>
      </c>
      <c r="R1993">
        <v>0</v>
      </c>
      <c r="U1993">
        <v>0</v>
      </c>
      <c r="V1993">
        <v>0</v>
      </c>
      <c r="W1993">
        <v>0</v>
      </c>
      <c r="X1993">
        <v>0</v>
      </c>
      <c r="Y1993">
        <v>0</v>
      </c>
      <c r="Z1993">
        <v>0</v>
      </c>
      <c r="AA1993">
        <v>0</v>
      </c>
      <c r="AB1993">
        <v>0</v>
      </c>
    </row>
    <row r="1994" spans="1:28" x14ac:dyDescent="0.25">
      <c r="A1994" t="str">
        <f>"1990"</f>
        <v>1990</v>
      </c>
      <c r="B1994" t="str">
        <f t="shared" si="112"/>
        <v>1</v>
      </c>
      <c r="C1994" t="str">
        <f t="shared" si="114"/>
        <v>88</v>
      </c>
      <c r="D1994" t="str">
        <f>"25"</f>
        <v>25</v>
      </c>
      <c r="E1994" t="str">
        <f>"1-88-25"</f>
        <v>1-88-25</v>
      </c>
      <c r="F1994" t="s">
        <v>83</v>
      </c>
      <c r="G1994" t="s">
        <v>86</v>
      </c>
      <c r="H1994" t="s">
        <v>93</v>
      </c>
      <c r="I1994">
        <v>1</v>
      </c>
      <c r="K1994">
        <v>0</v>
      </c>
      <c r="L1994">
        <v>0</v>
      </c>
      <c r="M1994">
        <v>1</v>
      </c>
      <c r="N1994">
        <v>1</v>
      </c>
      <c r="O1994">
        <v>1</v>
      </c>
      <c r="P1994">
        <v>1</v>
      </c>
      <c r="Q1994">
        <v>1</v>
      </c>
      <c r="R1994">
        <v>1</v>
      </c>
      <c r="U1994">
        <v>0</v>
      </c>
      <c r="V1994">
        <v>1</v>
      </c>
      <c r="W1994">
        <v>1</v>
      </c>
      <c r="X1994">
        <v>1</v>
      </c>
      <c r="Y1994">
        <v>1</v>
      </c>
      <c r="Z1994">
        <v>1</v>
      </c>
      <c r="AA1994">
        <v>1</v>
      </c>
      <c r="AB1994">
        <v>1</v>
      </c>
    </row>
    <row r="1995" spans="1:28" x14ac:dyDescent="0.25">
      <c r="A1995" t="str">
        <f>"1991"</f>
        <v>1991</v>
      </c>
      <c r="B1995" t="str">
        <f t="shared" si="112"/>
        <v>1</v>
      </c>
      <c r="C1995" t="str">
        <f t="shared" si="114"/>
        <v>88</v>
      </c>
      <c r="D1995" t="str">
        <f>"24"</f>
        <v>24</v>
      </c>
      <c r="E1995" t="str">
        <f>"1-88-24"</f>
        <v>1-88-24</v>
      </c>
      <c r="F1995" t="s">
        <v>83</v>
      </c>
      <c r="G1995" t="s">
        <v>86</v>
      </c>
      <c r="H1995" t="s">
        <v>93</v>
      </c>
      <c r="I1995">
        <v>1</v>
      </c>
      <c r="K1995">
        <v>1</v>
      </c>
      <c r="L1995">
        <v>0</v>
      </c>
      <c r="M1995">
        <v>0</v>
      </c>
      <c r="N1995">
        <v>1</v>
      </c>
      <c r="O1995">
        <v>1</v>
      </c>
      <c r="P1995">
        <v>1</v>
      </c>
      <c r="Q1995">
        <v>1</v>
      </c>
      <c r="R1995">
        <v>1</v>
      </c>
      <c r="U1995">
        <v>1</v>
      </c>
      <c r="V1995">
        <v>0</v>
      </c>
      <c r="W1995">
        <v>1</v>
      </c>
      <c r="X1995">
        <v>1</v>
      </c>
      <c r="Y1995">
        <v>1</v>
      </c>
      <c r="Z1995">
        <v>1</v>
      </c>
      <c r="AA1995">
        <v>1</v>
      </c>
      <c r="AB1995">
        <v>1</v>
      </c>
    </row>
    <row r="1996" spans="1:28" x14ac:dyDescent="0.25">
      <c r="A1996" t="str">
        <f>"1992"</f>
        <v>1992</v>
      </c>
      <c r="B1996" t="str">
        <f t="shared" si="112"/>
        <v>1</v>
      </c>
      <c r="C1996" t="str">
        <f t="shared" si="114"/>
        <v>88</v>
      </c>
      <c r="D1996" t="str">
        <f>"16"</f>
        <v>16</v>
      </c>
      <c r="E1996" t="str">
        <f>"1-88-16"</f>
        <v>1-88-16</v>
      </c>
      <c r="F1996" t="s">
        <v>83</v>
      </c>
      <c r="G1996" t="s">
        <v>86</v>
      </c>
      <c r="H1996" t="s">
        <v>93</v>
      </c>
      <c r="I1996">
        <v>1</v>
      </c>
      <c r="K1996">
        <v>0</v>
      </c>
      <c r="L1996">
        <v>0</v>
      </c>
      <c r="M1996">
        <v>1</v>
      </c>
      <c r="N1996">
        <v>1</v>
      </c>
      <c r="O1996">
        <v>1</v>
      </c>
      <c r="P1996">
        <v>1</v>
      </c>
      <c r="Q1996">
        <v>1</v>
      </c>
      <c r="R1996">
        <v>1</v>
      </c>
      <c r="U1996">
        <v>0</v>
      </c>
      <c r="V1996">
        <v>1</v>
      </c>
      <c r="W1996">
        <v>1</v>
      </c>
      <c r="X1996">
        <v>1</v>
      </c>
      <c r="Y1996">
        <v>1</v>
      </c>
      <c r="Z1996">
        <v>1</v>
      </c>
      <c r="AA1996">
        <v>1</v>
      </c>
      <c r="AB1996">
        <v>1</v>
      </c>
    </row>
    <row r="1997" spans="1:28" x14ac:dyDescent="0.25">
      <c r="A1997" t="str">
        <f>"1993"</f>
        <v>1993</v>
      </c>
      <c r="B1997" t="str">
        <f t="shared" si="112"/>
        <v>1</v>
      </c>
      <c r="C1997" t="str">
        <f t="shared" si="114"/>
        <v>88</v>
      </c>
      <c r="D1997" t="str">
        <f>"9"</f>
        <v>9</v>
      </c>
      <c r="E1997" t="str">
        <f>"1-88-9"</f>
        <v>1-88-9</v>
      </c>
      <c r="F1997" t="s">
        <v>83</v>
      </c>
      <c r="G1997" t="s">
        <v>86</v>
      </c>
      <c r="H1997" t="s">
        <v>93</v>
      </c>
      <c r="I1997">
        <v>1</v>
      </c>
      <c r="K1997">
        <v>0</v>
      </c>
      <c r="L1997">
        <v>0</v>
      </c>
      <c r="M1997">
        <v>1</v>
      </c>
      <c r="N1997">
        <v>1</v>
      </c>
      <c r="O1997">
        <v>1</v>
      </c>
      <c r="P1997">
        <v>1</v>
      </c>
      <c r="Q1997">
        <v>1</v>
      </c>
      <c r="R1997">
        <v>1</v>
      </c>
      <c r="U1997">
        <v>1</v>
      </c>
      <c r="V1997">
        <v>0</v>
      </c>
      <c r="W1997">
        <v>1</v>
      </c>
      <c r="X1997">
        <v>1</v>
      </c>
      <c r="Y1997">
        <v>1</v>
      </c>
      <c r="Z1997">
        <v>1</v>
      </c>
      <c r="AA1997">
        <v>1</v>
      </c>
      <c r="AB1997">
        <v>1</v>
      </c>
    </row>
    <row r="1998" spans="1:28" x14ac:dyDescent="0.25">
      <c r="A1998" t="str">
        <f>"1994"</f>
        <v>1994</v>
      </c>
      <c r="B1998" t="str">
        <f t="shared" si="112"/>
        <v>1</v>
      </c>
      <c r="C1998" t="str">
        <f t="shared" si="114"/>
        <v>88</v>
      </c>
      <c r="D1998" t="str">
        <f>"7"</f>
        <v>7</v>
      </c>
      <c r="E1998" t="str">
        <f>"1-88-7"</f>
        <v>1-88-7</v>
      </c>
      <c r="F1998" t="s">
        <v>83</v>
      </c>
      <c r="G1998" t="s">
        <v>86</v>
      </c>
      <c r="H1998" t="s">
        <v>93</v>
      </c>
      <c r="I1998">
        <v>1</v>
      </c>
      <c r="K1998">
        <v>0</v>
      </c>
      <c r="L1998">
        <v>1</v>
      </c>
      <c r="M1998">
        <v>0</v>
      </c>
      <c r="N1998">
        <v>1</v>
      </c>
      <c r="O1998">
        <v>1</v>
      </c>
      <c r="P1998">
        <v>1</v>
      </c>
      <c r="Q1998">
        <v>1</v>
      </c>
      <c r="R1998">
        <v>1</v>
      </c>
      <c r="U1998">
        <v>0</v>
      </c>
      <c r="V1998">
        <v>1</v>
      </c>
      <c r="W1998">
        <v>1</v>
      </c>
      <c r="X1998">
        <v>1</v>
      </c>
      <c r="Y1998">
        <v>1</v>
      </c>
      <c r="Z1998">
        <v>1</v>
      </c>
      <c r="AA1998">
        <v>1</v>
      </c>
      <c r="AB1998">
        <v>1</v>
      </c>
    </row>
    <row r="1999" spans="1:28" x14ac:dyDescent="0.25">
      <c r="A1999" t="str">
        <f>"1995"</f>
        <v>1995</v>
      </c>
      <c r="B1999" t="str">
        <f t="shared" si="112"/>
        <v>1</v>
      </c>
      <c r="C1999" t="str">
        <f t="shared" si="114"/>
        <v>88</v>
      </c>
      <c r="D1999" t="str">
        <f>"23"</f>
        <v>23</v>
      </c>
      <c r="E1999" t="str">
        <f>"1-88-23"</f>
        <v>1-88-23</v>
      </c>
      <c r="F1999" t="s">
        <v>83</v>
      </c>
      <c r="G1999" t="s">
        <v>86</v>
      </c>
      <c r="H1999" t="s">
        <v>93</v>
      </c>
      <c r="I1999">
        <v>1</v>
      </c>
      <c r="K1999">
        <v>0</v>
      </c>
      <c r="L1999">
        <v>0</v>
      </c>
      <c r="M1999">
        <v>1</v>
      </c>
      <c r="N1999">
        <v>1</v>
      </c>
      <c r="O1999">
        <v>1</v>
      </c>
      <c r="P1999">
        <v>1</v>
      </c>
      <c r="Q1999">
        <v>1</v>
      </c>
      <c r="R1999">
        <v>1</v>
      </c>
      <c r="U1999">
        <v>0</v>
      </c>
      <c r="V1999">
        <v>0</v>
      </c>
      <c r="W1999">
        <v>1</v>
      </c>
      <c r="X1999">
        <v>1</v>
      </c>
      <c r="Y1999">
        <v>1</v>
      </c>
      <c r="Z1999">
        <v>1</v>
      </c>
      <c r="AA1999">
        <v>1</v>
      </c>
      <c r="AB1999">
        <v>1</v>
      </c>
    </row>
    <row r="2000" spans="1:28" x14ac:dyDescent="0.25">
      <c r="A2000" t="str">
        <f>"1996"</f>
        <v>1996</v>
      </c>
      <c r="B2000" t="str">
        <f t="shared" si="112"/>
        <v>1</v>
      </c>
      <c r="C2000" t="str">
        <f t="shared" si="114"/>
        <v>88</v>
      </c>
      <c r="D2000" t="str">
        <f>"22"</f>
        <v>22</v>
      </c>
      <c r="E2000" t="str">
        <f>"1-88-22"</f>
        <v>1-88-22</v>
      </c>
      <c r="F2000" t="s">
        <v>83</v>
      </c>
      <c r="G2000" t="s">
        <v>86</v>
      </c>
      <c r="H2000" t="s">
        <v>93</v>
      </c>
      <c r="I2000">
        <v>1</v>
      </c>
      <c r="K2000">
        <v>0</v>
      </c>
      <c r="L2000">
        <v>0</v>
      </c>
      <c r="M2000">
        <v>1</v>
      </c>
      <c r="N2000">
        <v>1</v>
      </c>
      <c r="O2000">
        <v>1</v>
      </c>
      <c r="P2000">
        <v>1</v>
      </c>
      <c r="Q2000">
        <v>1</v>
      </c>
      <c r="R2000">
        <v>1</v>
      </c>
      <c r="U2000">
        <v>1</v>
      </c>
      <c r="V2000">
        <v>0</v>
      </c>
      <c r="W2000">
        <v>1</v>
      </c>
      <c r="X2000">
        <v>1</v>
      </c>
      <c r="Y2000">
        <v>1</v>
      </c>
      <c r="Z2000">
        <v>1</v>
      </c>
      <c r="AA2000">
        <v>1</v>
      </c>
      <c r="AB2000">
        <v>1</v>
      </c>
    </row>
    <row r="2001" spans="1:28" x14ac:dyDescent="0.25">
      <c r="A2001" t="str">
        <f>"1997"</f>
        <v>1997</v>
      </c>
      <c r="B2001" t="str">
        <f t="shared" si="112"/>
        <v>1</v>
      </c>
      <c r="C2001" t="str">
        <f t="shared" si="114"/>
        <v>88</v>
      </c>
      <c r="D2001" t="str">
        <f>"14"</f>
        <v>14</v>
      </c>
      <c r="E2001" t="str">
        <f>"1-88-14"</f>
        <v>1-88-14</v>
      </c>
      <c r="F2001" t="s">
        <v>83</v>
      </c>
      <c r="G2001" t="s">
        <v>86</v>
      </c>
      <c r="H2001" t="s">
        <v>93</v>
      </c>
      <c r="I2001">
        <v>1</v>
      </c>
      <c r="K2001">
        <v>0</v>
      </c>
      <c r="L2001">
        <v>0</v>
      </c>
      <c r="M2001">
        <v>1</v>
      </c>
      <c r="N2001">
        <v>1</v>
      </c>
      <c r="O2001">
        <v>1</v>
      </c>
      <c r="P2001">
        <v>1</v>
      </c>
      <c r="Q2001">
        <v>1</v>
      </c>
      <c r="R2001">
        <v>1</v>
      </c>
      <c r="U2001">
        <v>0</v>
      </c>
      <c r="V2001">
        <v>1</v>
      </c>
      <c r="W2001">
        <v>1</v>
      </c>
      <c r="X2001">
        <v>1</v>
      </c>
      <c r="Y2001">
        <v>1</v>
      </c>
      <c r="Z2001">
        <v>1</v>
      </c>
      <c r="AA2001">
        <v>1</v>
      </c>
      <c r="AB2001">
        <v>1</v>
      </c>
    </row>
    <row r="2002" spans="1:28" x14ac:dyDescent="0.25">
      <c r="A2002" t="str">
        <f>"1998"</f>
        <v>1998</v>
      </c>
      <c r="B2002" t="str">
        <f t="shared" si="112"/>
        <v>1</v>
      </c>
      <c r="C2002" t="str">
        <f t="shared" si="114"/>
        <v>88</v>
      </c>
      <c r="D2002" t="str">
        <f>"10"</f>
        <v>10</v>
      </c>
      <c r="E2002" t="str">
        <f>"1-88-10"</f>
        <v>1-88-10</v>
      </c>
      <c r="F2002" t="s">
        <v>83</v>
      </c>
      <c r="G2002" t="s">
        <v>86</v>
      </c>
      <c r="H2002" t="s">
        <v>93</v>
      </c>
      <c r="I2002">
        <v>0</v>
      </c>
      <c r="K2002">
        <v>1</v>
      </c>
      <c r="L2002">
        <v>0</v>
      </c>
      <c r="M2002">
        <v>0</v>
      </c>
      <c r="N2002">
        <v>0</v>
      </c>
      <c r="O2002">
        <v>0</v>
      </c>
      <c r="P2002">
        <v>0</v>
      </c>
      <c r="Q2002">
        <v>0</v>
      </c>
      <c r="R2002">
        <v>0</v>
      </c>
      <c r="U2002">
        <v>0</v>
      </c>
      <c r="V2002">
        <v>1</v>
      </c>
      <c r="W2002">
        <v>0</v>
      </c>
      <c r="X2002">
        <v>0</v>
      </c>
      <c r="Y2002">
        <v>0</v>
      </c>
      <c r="Z2002">
        <v>0</v>
      </c>
      <c r="AA2002">
        <v>0</v>
      </c>
      <c r="AB2002">
        <v>0</v>
      </c>
    </row>
    <row r="2003" spans="1:28" x14ac:dyDescent="0.25">
      <c r="A2003" t="str">
        <f>"1999"</f>
        <v>1999</v>
      </c>
      <c r="B2003" t="str">
        <f t="shared" si="112"/>
        <v>1</v>
      </c>
      <c r="C2003" t="str">
        <f t="shared" si="114"/>
        <v>88</v>
      </c>
      <c r="D2003" t="str">
        <f>"3"</f>
        <v>3</v>
      </c>
      <c r="E2003" t="str">
        <f>"1-88-3"</f>
        <v>1-88-3</v>
      </c>
      <c r="F2003" t="s">
        <v>83</v>
      </c>
      <c r="G2003" t="s">
        <v>86</v>
      </c>
      <c r="H2003" t="s">
        <v>93</v>
      </c>
      <c r="I2003">
        <v>0</v>
      </c>
      <c r="K2003">
        <v>0</v>
      </c>
      <c r="L2003">
        <v>0</v>
      </c>
      <c r="M2003">
        <v>1</v>
      </c>
      <c r="N2003">
        <v>1</v>
      </c>
      <c r="O2003">
        <v>0</v>
      </c>
      <c r="P2003">
        <v>0</v>
      </c>
      <c r="Q2003">
        <v>0</v>
      </c>
      <c r="R2003">
        <v>0</v>
      </c>
      <c r="U2003">
        <v>0</v>
      </c>
      <c r="V2003">
        <v>1</v>
      </c>
      <c r="W2003">
        <v>0</v>
      </c>
      <c r="X2003">
        <v>0</v>
      </c>
      <c r="Y2003">
        <v>0</v>
      </c>
      <c r="Z2003">
        <v>0</v>
      </c>
      <c r="AA2003">
        <v>0</v>
      </c>
      <c r="AB2003">
        <v>0</v>
      </c>
    </row>
    <row r="2004" spans="1:28" x14ac:dyDescent="0.25">
      <c r="A2004" t="str">
        <f>"2000"</f>
        <v>2000</v>
      </c>
      <c r="B2004" t="str">
        <f t="shared" si="112"/>
        <v>1</v>
      </c>
      <c r="C2004" t="str">
        <f t="shared" si="114"/>
        <v>88</v>
      </c>
      <c r="D2004" t="str">
        <f>"20"</f>
        <v>20</v>
      </c>
      <c r="E2004" t="str">
        <f>"1-88-20"</f>
        <v>1-88-20</v>
      </c>
      <c r="F2004" t="s">
        <v>83</v>
      </c>
      <c r="G2004" t="s">
        <v>86</v>
      </c>
      <c r="H2004" t="s">
        <v>93</v>
      </c>
      <c r="I2004">
        <v>1</v>
      </c>
      <c r="K2004">
        <v>0</v>
      </c>
      <c r="L2004">
        <v>0</v>
      </c>
      <c r="M2004">
        <v>1</v>
      </c>
      <c r="N2004">
        <v>1</v>
      </c>
      <c r="O2004">
        <v>1</v>
      </c>
      <c r="P2004">
        <v>1</v>
      </c>
      <c r="Q2004">
        <v>1</v>
      </c>
      <c r="R2004">
        <v>1</v>
      </c>
      <c r="U2004">
        <v>0</v>
      </c>
      <c r="V2004">
        <v>1</v>
      </c>
      <c r="W2004">
        <v>1</v>
      </c>
      <c r="X2004">
        <v>1</v>
      </c>
      <c r="Y2004">
        <v>1</v>
      </c>
      <c r="Z2004">
        <v>1</v>
      </c>
      <c r="AA2004">
        <v>1</v>
      </c>
      <c r="AB2004">
        <v>1</v>
      </c>
    </row>
    <row r="2005" spans="1:28" x14ac:dyDescent="0.25">
      <c r="A2005" t="str">
        <f>"2001"</f>
        <v>2001</v>
      </c>
      <c r="B2005" t="str">
        <f t="shared" si="112"/>
        <v>1</v>
      </c>
      <c r="C2005" t="str">
        <f t="shared" si="114"/>
        <v>88</v>
      </c>
      <c r="D2005" t="str">
        <f>"11"</f>
        <v>11</v>
      </c>
      <c r="E2005" t="str">
        <f>"1-88-11"</f>
        <v>1-88-11</v>
      </c>
      <c r="F2005" t="s">
        <v>83</v>
      </c>
      <c r="G2005" t="s">
        <v>86</v>
      </c>
      <c r="H2005" t="s">
        <v>93</v>
      </c>
      <c r="I2005">
        <v>1</v>
      </c>
      <c r="K2005">
        <v>1</v>
      </c>
      <c r="L2005">
        <v>0</v>
      </c>
      <c r="M2005">
        <v>0</v>
      </c>
      <c r="N2005">
        <v>1</v>
      </c>
      <c r="O2005">
        <v>1</v>
      </c>
      <c r="P2005">
        <v>1</v>
      </c>
      <c r="Q2005">
        <v>1</v>
      </c>
      <c r="R2005">
        <v>1</v>
      </c>
      <c r="U2005">
        <v>1</v>
      </c>
      <c r="V2005">
        <v>0</v>
      </c>
      <c r="W2005">
        <v>1</v>
      </c>
      <c r="X2005">
        <v>1</v>
      </c>
      <c r="Y2005">
        <v>1</v>
      </c>
      <c r="Z2005">
        <v>1</v>
      </c>
      <c r="AA2005">
        <v>1</v>
      </c>
      <c r="AB2005">
        <v>1</v>
      </c>
    </row>
    <row r="2006" spans="1:28" x14ac:dyDescent="0.25">
      <c r="A2006" t="str">
        <f>"2002"</f>
        <v>2002</v>
      </c>
      <c r="B2006" t="str">
        <f t="shared" si="112"/>
        <v>1</v>
      </c>
      <c r="C2006" t="str">
        <f t="shared" si="114"/>
        <v>88</v>
      </c>
      <c r="D2006" t="str">
        <f>"6"</f>
        <v>6</v>
      </c>
      <c r="E2006" t="str">
        <f>"1-88-6"</f>
        <v>1-88-6</v>
      </c>
      <c r="F2006" t="s">
        <v>83</v>
      </c>
      <c r="G2006" t="s">
        <v>86</v>
      </c>
      <c r="H2006" t="s">
        <v>93</v>
      </c>
      <c r="I2006">
        <v>1</v>
      </c>
      <c r="K2006">
        <v>0</v>
      </c>
      <c r="L2006">
        <v>0</v>
      </c>
      <c r="M2006">
        <v>1</v>
      </c>
      <c r="N2006">
        <v>1</v>
      </c>
      <c r="O2006">
        <v>1</v>
      </c>
      <c r="P2006">
        <v>1</v>
      </c>
      <c r="Q2006">
        <v>1</v>
      </c>
      <c r="R2006">
        <v>1</v>
      </c>
      <c r="U2006">
        <v>0</v>
      </c>
      <c r="V2006">
        <v>1</v>
      </c>
      <c r="W2006">
        <v>1</v>
      </c>
      <c r="X2006">
        <v>1</v>
      </c>
      <c r="Y2006">
        <v>1</v>
      </c>
      <c r="Z2006">
        <v>1</v>
      </c>
      <c r="AA2006">
        <v>1</v>
      </c>
      <c r="AB2006">
        <v>1</v>
      </c>
    </row>
    <row r="2007" spans="1:28" x14ac:dyDescent="0.25">
      <c r="A2007" t="str">
        <f>"2003"</f>
        <v>2003</v>
      </c>
      <c r="B2007" t="str">
        <f t="shared" si="112"/>
        <v>1</v>
      </c>
      <c r="C2007" t="str">
        <f t="shared" si="114"/>
        <v>88</v>
      </c>
      <c r="D2007" t="str">
        <f>"21"</f>
        <v>21</v>
      </c>
      <c r="E2007" t="str">
        <f>"1-88-21"</f>
        <v>1-88-21</v>
      </c>
      <c r="F2007" t="s">
        <v>83</v>
      </c>
      <c r="G2007" t="s">
        <v>86</v>
      </c>
      <c r="H2007" t="s">
        <v>93</v>
      </c>
      <c r="I2007">
        <v>1</v>
      </c>
      <c r="K2007">
        <v>0</v>
      </c>
      <c r="L2007">
        <v>1</v>
      </c>
      <c r="M2007">
        <v>0</v>
      </c>
      <c r="N2007">
        <v>1</v>
      </c>
      <c r="O2007">
        <v>1</v>
      </c>
      <c r="P2007">
        <v>1</v>
      </c>
      <c r="Q2007">
        <v>1</v>
      </c>
      <c r="R2007">
        <v>1</v>
      </c>
      <c r="U2007">
        <v>0</v>
      </c>
      <c r="V2007">
        <v>1</v>
      </c>
      <c r="W2007">
        <v>1</v>
      </c>
      <c r="X2007">
        <v>1</v>
      </c>
      <c r="Y2007">
        <v>1</v>
      </c>
      <c r="Z2007">
        <v>1</v>
      </c>
      <c r="AA2007">
        <v>1</v>
      </c>
      <c r="AB2007">
        <v>1</v>
      </c>
    </row>
    <row r="2008" spans="1:28" x14ac:dyDescent="0.25">
      <c r="A2008" t="str">
        <f>"2004"</f>
        <v>2004</v>
      </c>
      <c r="B2008" t="str">
        <f t="shared" si="112"/>
        <v>1</v>
      </c>
      <c r="C2008" t="str">
        <f t="shared" si="114"/>
        <v>88</v>
      </c>
      <c r="D2008" t="str">
        <f>"12"</f>
        <v>12</v>
      </c>
      <c r="E2008" t="str">
        <f>"1-88-12"</f>
        <v>1-88-12</v>
      </c>
      <c r="F2008" t="s">
        <v>83</v>
      </c>
      <c r="G2008" t="s">
        <v>86</v>
      </c>
      <c r="H2008" t="s">
        <v>93</v>
      </c>
      <c r="I2008">
        <v>1</v>
      </c>
      <c r="K2008">
        <v>1</v>
      </c>
      <c r="L2008">
        <v>0</v>
      </c>
      <c r="M2008">
        <v>0</v>
      </c>
      <c r="N2008">
        <v>1</v>
      </c>
      <c r="O2008">
        <v>1</v>
      </c>
      <c r="P2008">
        <v>1</v>
      </c>
      <c r="Q2008">
        <v>1</v>
      </c>
      <c r="R2008">
        <v>1</v>
      </c>
      <c r="U2008">
        <v>1</v>
      </c>
      <c r="V2008">
        <v>0</v>
      </c>
      <c r="W2008">
        <v>1</v>
      </c>
      <c r="X2008">
        <v>1</v>
      </c>
      <c r="Y2008">
        <v>1</v>
      </c>
      <c r="Z2008">
        <v>1</v>
      </c>
      <c r="AA2008">
        <v>1</v>
      </c>
      <c r="AB2008">
        <v>1</v>
      </c>
    </row>
    <row r="2009" spans="1:28" x14ac:dyDescent="0.25">
      <c r="A2009" t="str">
        <f>"2005"</f>
        <v>2005</v>
      </c>
      <c r="B2009" t="str">
        <f t="shared" si="112"/>
        <v>1</v>
      </c>
      <c r="C2009" t="str">
        <f t="shared" si="114"/>
        <v>88</v>
      </c>
      <c r="D2009" t="str">
        <f>"1"</f>
        <v>1</v>
      </c>
      <c r="E2009" t="str">
        <f>"1-88-1"</f>
        <v>1-88-1</v>
      </c>
      <c r="F2009" t="s">
        <v>83</v>
      </c>
      <c r="G2009" t="s">
        <v>86</v>
      </c>
      <c r="H2009" t="s">
        <v>93</v>
      </c>
      <c r="I2009">
        <v>1</v>
      </c>
      <c r="K2009">
        <v>0</v>
      </c>
      <c r="L2009">
        <v>0</v>
      </c>
      <c r="M2009">
        <v>1</v>
      </c>
      <c r="N2009">
        <v>1</v>
      </c>
      <c r="O2009">
        <v>1</v>
      </c>
      <c r="P2009">
        <v>1</v>
      </c>
      <c r="Q2009">
        <v>1</v>
      </c>
      <c r="R2009">
        <v>1</v>
      </c>
      <c r="U2009">
        <v>0</v>
      </c>
      <c r="V2009">
        <v>1</v>
      </c>
      <c r="W2009">
        <v>1</v>
      </c>
      <c r="X2009">
        <v>1</v>
      </c>
      <c r="Y2009">
        <v>1</v>
      </c>
      <c r="Z2009">
        <v>1</v>
      </c>
      <c r="AA2009">
        <v>1</v>
      </c>
      <c r="AB2009">
        <v>1</v>
      </c>
    </row>
    <row r="2010" spans="1:28" x14ac:dyDescent="0.25">
      <c r="A2010" t="str">
        <f>"2006"</f>
        <v>2006</v>
      </c>
      <c r="B2010" t="str">
        <f t="shared" si="112"/>
        <v>1</v>
      </c>
      <c r="C2010" t="str">
        <f t="shared" si="114"/>
        <v>88</v>
      </c>
      <c r="D2010" t="str">
        <f>"15"</f>
        <v>15</v>
      </c>
      <c r="E2010" t="str">
        <f>"1-88-15"</f>
        <v>1-88-15</v>
      </c>
      <c r="F2010" t="s">
        <v>83</v>
      </c>
      <c r="G2010" t="s">
        <v>86</v>
      </c>
      <c r="H2010" t="s">
        <v>93</v>
      </c>
      <c r="I2010">
        <v>1</v>
      </c>
      <c r="K2010">
        <v>0</v>
      </c>
      <c r="L2010">
        <v>0</v>
      </c>
      <c r="M2010">
        <v>1</v>
      </c>
      <c r="N2010">
        <v>1</v>
      </c>
      <c r="O2010">
        <v>1</v>
      </c>
      <c r="P2010">
        <v>1</v>
      </c>
      <c r="Q2010">
        <v>1</v>
      </c>
      <c r="R2010">
        <v>1</v>
      </c>
      <c r="U2010">
        <v>1</v>
      </c>
      <c r="V2010">
        <v>0</v>
      </c>
      <c r="W2010">
        <v>1</v>
      </c>
      <c r="X2010">
        <v>1</v>
      </c>
      <c r="Y2010">
        <v>1</v>
      </c>
      <c r="Z2010">
        <v>1</v>
      </c>
      <c r="AA2010">
        <v>1</v>
      </c>
      <c r="AB2010">
        <v>1</v>
      </c>
    </row>
    <row r="2011" spans="1:28" x14ac:dyDescent="0.25">
      <c r="A2011" t="str">
        <f>"2007"</f>
        <v>2007</v>
      </c>
      <c r="B2011" t="str">
        <f t="shared" si="112"/>
        <v>1</v>
      </c>
      <c r="C2011" t="str">
        <f t="shared" si="114"/>
        <v>88</v>
      </c>
      <c r="D2011" t="str">
        <f>"2"</f>
        <v>2</v>
      </c>
      <c r="E2011" t="str">
        <f>"1-88-2"</f>
        <v>1-88-2</v>
      </c>
      <c r="F2011" t="s">
        <v>83</v>
      </c>
      <c r="G2011" t="s">
        <v>86</v>
      </c>
      <c r="H2011" t="s">
        <v>93</v>
      </c>
      <c r="I2011">
        <v>0</v>
      </c>
      <c r="K2011">
        <v>0</v>
      </c>
      <c r="L2011">
        <v>0</v>
      </c>
      <c r="M2011">
        <v>1</v>
      </c>
      <c r="N2011">
        <v>1</v>
      </c>
      <c r="O2011">
        <v>0</v>
      </c>
      <c r="P2011">
        <v>0</v>
      </c>
      <c r="Q2011">
        <v>0</v>
      </c>
      <c r="R2011">
        <v>0</v>
      </c>
      <c r="U2011">
        <v>0</v>
      </c>
      <c r="V2011">
        <v>1</v>
      </c>
      <c r="W2011">
        <v>0</v>
      </c>
      <c r="X2011">
        <v>0</v>
      </c>
      <c r="Y2011">
        <v>0</v>
      </c>
      <c r="Z2011">
        <v>0</v>
      </c>
      <c r="AA2011">
        <v>0</v>
      </c>
      <c r="AB2011">
        <v>0</v>
      </c>
    </row>
    <row r="2012" spans="1:28" x14ac:dyDescent="0.25">
      <c r="A2012" t="str">
        <f>"2008"</f>
        <v>2008</v>
      </c>
      <c r="B2012" t="str">
        <f t="shared" si="112"/>
        <v>1</v>
      </c>
      <c r="C2012" t="str">
        <f t="shared" si="114"/>
        <v>88</v>
      </c>
      <c r="D2012" t="str">
        <f>"17"</f>
        <v>17</v>
      </c>
      <c r="E2012" t="str">
        <f>"1-88-17"</f>
        <v>1-88-17</v>
      </c>
      <c r="F2012" t="s">
        <v>83</v>
      </c>
      <c r="G2012" t="s">
        <v>86</v>
      </c>
      <c r="H2012" t="s">
        <v>93</v>
      </c>
      <c r="I2012">
        <v>1</v>
      </c>
      <c r="K2012">
        <v>0</v>
      </c>
      <c r="L2012">
        <v>0</v>
      </c>
      <c r="M2012">
        <v>1</v>
      </c>
      <c r="N2012">
        <v>1</v>
      </c>
      <c r="O2012">
        <v>0</v>
      </c>
      <c r="P2012">
        <v>0</v>
      </c>
      <c r="Q2012">
        <v>0</v>
      </c>
      <c r="R2012">
        <v>0</v>
      </c>
      <c r="U2012">
        <v>1</v>
      </c>
      <c r="V2012">
        <v>0</v>
      </c>
      <c r="W2012">
        <v>0</v>
      </c>
      <c r="X2012">
        <v>0</v>
      </c>
      <c r="Y2012">
        <v>0</v>
      </c>
      <c r="Z2012">
        <v>0</v>
      </c>
      <c r="AA2012">
        <v>0</v>
      </c>
      <c r="AB2012">
        <v>0</v>
      </c>
    </row>
    <row r="2013" spans="1:28" x14ac:dyDescent="0.25">
      <c r="A2013" t="str">
        <f>"2009"</f>
        <v>2009</v>
      </c>
      <c r="B2013" t="str">
        <f t="shared" si="112"/>
        <v>1</v>
      </c>
      <c r="C2013" t="str">
        <f t="shared" si="114"/>
        <v>88</v>
      </c>
      <c r="D2013" t="str">
        <f>"5"</f>
        <v>5</v>
      </c>
      <c r="E2013" t="str">
        <f>"1-88-5"</f>
        <v>1-88-5</v>
      </c>
      <c r="F2013" t="s">
        <v>83</v>
      </c>
      <c r="G2013" t="s">
        <v>86</v>
      </c>
      <c r="H2013" t="s">
        <v>93</v>
      </c>
      <c r="I2013">
        <v>1</v>
      </c>
      <c r="K2013">
        <v>1</v>
      </c>
      <c r="L2013">
        <v>0</v>
      </c>
      <c r="M2013">
        <v>0</v>
      </c>
      <c r="N2013">
        <v>1</v>
      </c>
      <c r="O2013">
        <v>1</v>
      </c>
      <c r="P2013">
        <v>1</v>
      </c>
      <c r="Q2013">
        <v>1</v>
      </c>
      <c r="R2013">
        <v>1</v>
      </c>
      <c r="U2013">
        <v>0</v>
      </c>
      <c r="V2013">
        <v>1</v>
      </c>
      <c r="W2013">
        <v>1</v>
      </c>
      <c r="X2013">
        <v>1</v>
      </c>
      <c r="Y2013">
        <v>1</v>
      </c>
      <c r="Z2013">
        <v>1</v>
      </c>
      <c r="AA2013">
        <v>1</v>
      </c>
      <c r="AB2013">
        <v>1</v>
      </c>
    </row>
    <row r="2014" spans="1:28" x14ac:dyDescent="0.25">
      <c r="A2014" t="str">
        <f>"2010"</f>
        <v>2010</v>
      </c>
      <c r="B2014" t="str">
        <f t="shared" ref="B2014:B2077" si="115">"1"</f>
        <v>1</v>
      </c>
      <c r="C2014" t="str">
        <f t="shared" ref="C2014:C2038" si="116">"89"</f>
        <v>89</v>
      </c>
      <c r="D2014" t="str">
        <f>"25"</f>
        <v>25</v>
      </c>
      <c r="E2014" t="str">
        <f>"1-89-25"</f>
        <v>1-89-25</v>
      </c>
      <c r="F2014" t="s">
        <v>83</v>
      </c>
      <c r="G2014" t="s">
        <v>84</v>
      </c>
      <c r="H2014" t="s">
        <v>92</v>
      </c>
      <c r="I2014">
        <v>1</v>
      </c>
      <c r="J2014">
        <v>1</v>
      </c>
      <c r="N2014">
        <v>1</v>
      </c>
      <c r="O2014">
        <v>1</v>
      </c>
      <c r="P2014">
        <v>1</v>
      </c>
      <c r="Q2014">
        <v>1</v>
      </c>
      <c r="R2014">
        <v>1</v>
      </c>
      <c r="S2014">
        <v>1</v>
      </c>
      <c r="T2014">
        <v>1</v>
      </c>
      <c r="W2014">
        <v>1</v>
      </c>
      <c r="X2014">
        <v>1</v>
      </c>
      <c r="Y2014">
        <v>1</v>
      </c>
      <c r="Z2014">
        <v>1</v>
      </c>
      <c r="AA2014">
        <v>1</v>
      </c>
      <c r="AB2014">
        <v>1</v>
      </c>
    </row>
    <row r="2015" spans="1:28" x14ac:dyDescent="0.25">
      <c r="A2015" t="str">
        <f>"2011"</f>
        <v>2011</v>
      </c>
      <c r="B2015" t="str">
        <f t="shared" si="115"/>
        <v>1</v>
      </c>
      <c r="C2015" t="str">
        <f t="shared" si="116"/>
        <v>89</v>
      </c>
      <c r="D2015" t="str">
        <f>"24"</f>
        <v>24</v>
      </c>
      <c r="E2015" t="str">
        <f>"1-89-24"</f>
        <v>1-89-24</v>
      </c>
      <c r="F2015" t="s">
        <v>83</v>
      </c>
      <c r="G2015" t="s">
        <v>84</v>
      </c>
      <c r="H2015" t="s">
        <v>92</v>
      </c>
      <c r="I2015">
        <v>1</v>
      </c>
      <c r="J2015">
        <v>1</v>
      </c>
      <c r="N2015">
        <v>1</v>
      </c>
      <c r="O2015">
        <v>1</v>
      </c>
      <c r="P2015">
        <v>1</v>
      </c>
      <c r="Q2015">
        <v>1</v>
      </c>
      <c r="R2015">
        <v>1</v>
      </c>
      <c r="S2015">
        <v>1</v>
      </c>
      <c r="T2015">
        <v>1</v>
      </c>
      <c r="W2015">
        <v>1</v>
      </c>
      <c r="X2015">
        <v>1</v>
      </c>
      <c r="Y2015">
        <v>1</v>
      </c>
      <c r="Z2015">
        <v>1</v>
      </c>
      <c r="AA2015">
        <v>1</v>
      </c>
      <c r="AB2015">
        <v>1</v>
      </c>
    </row>
    <row r="2016" spans="1:28" x14ac:dyDescent="0.25">
      <c r="A2016" t="str">
        <f>"2012"</f>
        <v>2012</v>
      </c>
      <c r="B2016" t="str">
        <f t="shared" si="115"/>
        <v>1</v>
      </c>
      <c r="C2016" t="str">
        <f t="shared" si="116"/>
        <v>89</v>
      </c>
      <c r="D2016" t="str">
        <f>"15"</f>
        <v>15</v>
      </c>
      <c r="E2016" t="str">
        <f>"1-89-15"</f>
        <v>1-89-15</v>
      </c>
      <c r="F2016" t="s">
        <v>83</v>
      </c>
      <c r="G2016" t="s">
        <v>84</v>
      </c>
      <c r="H2016" t="s">
        <v>92</v>
      </c>
      <c r="I2016">
        <v>1</v>
      </c>
      <c r="J2016">
        <v>1</v>
      </c>
      <c r="N2016">
        <v>1</v>
      </c>
      <c r="O2016">
        <v>1</v>
      </c>
      <c r="P2016">
        <v>1</v>
      </c>
      <c r="Q2016">
        <v>1</v>
      </c>
      <c r="R2016">
        <v>1</v>
      </c>
      <c r="S2016">
        <v>1</v>
      </c>
      <c r="T2016">
        <v>1</v>
      </c>
      <c r="W2016">
        <v>1</v>
      </c>
      <c r="X2016">
        <v>1</v>
      </c>
      <c r="Y2016">
        <v>1</v>
      </c>
      <c r="Z2016">
        <v>1</v>
      </c>
      <c r="AA2016">
        <v>1</v>
      </c>
      <c r="AB2016">
        <v>1</v>
      </c>
    </row>
    <row r="2017" spans="1:28" x14ac:dyDescent="0.25">
      <c r="A2017" t="str">
        <f>"2013"</f>
        <v>2013</v>
      </c>
      <c r="B2017" t="str">
        <f t="shared" si="115"/>
        <v>1</v>
      </c>
      <c r="C2017" t="str">
        <f t="shared" si="116"/>
        <v>89</v>
      </c>
      <c r="D2017" t="str">
        <f>"8"</f>
        <v>8</v>
      </c>
      <c r="E2017" t="str">
        <f>"1-89-8"</f>
        <v>1-89-8</v>
      </c>
      <c r="F2017" t="s">
        <v>83</v>
      </c>
      <c r="G2017" t="s">
        <v>84</v>
      </c>
      <c r="H2017" t="s">
        <v>92</v>
      </c>
      <c r="I2017">
        <v>1</v>
      </c>
      <c r="J2017">
        <v>1</v>
      </c>
      <c r="N2017">
        <v>1</v>
      </c>
      <c r="O2017">
        <v>1</v>
      </c>
      <c r="P2017">
        <v>1</v>
      </c>
      <c r="Q2017">
        <v>1</v>
      </c>
      <c r="R2017">
        <v>1</v>
      </c>
      <c r="S2017">
        <v>1</v>
      </c>
      <c r="T2017">
        <v>1</v>
      </c>
      <c r="W2017">
        <v>1</v>
      </c>
      <c r="X2017">
        <v>1</v>
      </c>
      <c r="Y2017">
        <v>1</v>
      </c>
      <c r="Z2017">
        <v>1</v>
      </c>
      <c r="AA2017">
        <v>1</v>
      </c>
      <c r="AB2017">
        <v>1</v>
      </c>
    </row>
    <row r="2018" spans="1:28" x14ac:dyDescent="0.25">
      <c r="A2018" t="str">
        <f>"2014"</f>
        <v>2014</v>
      </c>
      <c r="B2018" t="str">
        <f t="shared" si="115"/>
        <v>1</v>
      </c>
      <c r="C2018" t="str">
        <f t="shared" si="116"/>
        <v>89</v>
      </c>
      <c r="D2018" t="str">
        <f>"5"</f>
        <v>5</v>
      </c>
      <c r="E2018" t="str">
        <f>"1-89-5"</f>
        <v>1-89-5</v>
      </c>
      <c r="F2018" t="s">
        <v>83</v>
      </c>
      <c r="G2018" t="s">
        <v>84</v>
      </c>
      <c r="H2018" t="s">
        <v>92</v>
      </c>
      <c r="I2018">
        <v>1</v>
      </c>
      <c r="J2018">
        <v>1</v>
      </c>
      <c r="N2018">
        <v>1</v>
      </c>
      <c r="O2018">
        <v>1</v>
      </c>
      <c r="P2018">
        <v>1</v>
      </c>
      <c r="Q2018">
        <v>1</v>
      </c>
      <c r="R2018">
        <v>1</v>
      </c>
      <c r="S2018">
        <v>1</v>
      </c>
      <c r="T2018">
        <v>1</v>
      </c>
      <c r="W2018">
        <v>1</v>
      </c>
      <c r="X2018">
        <v>1</v>
      </c>
      <c r="Y2018">
        <v>1</v>
      </c>
      <c r="Z2018">
        <v>1</v>
      </c>
      <c r="AA2018">
        <v>1</v>
      </c>
      <c r="AB2018">
        <v>1</v>
      </c>
    </row>
    <row r="2019" spans="1:28" x14ac:dyDescent="0.25">
      <c r="A2019" t="str">
        <f>"2015"</f>
        <v>2015</v>
      </c>
      <c r="B2019" t="str">
        <f t="shared" si="115"/>
        <v>1</v>
      </c>
      <c r="C2019" t="str">
        <f t="shared" si="116"/>
        <v>89</v>
      </c>
      <c r="D2019" t="str">
        <f>"17"</f>
        <v>17</v>
      </c>
      <c r="E2019" t="str">
        <f>"1-89-17"</f>
        <v>1-89-17</v>
      </c>
      <c r="F2019" t="s">
        <v>83</v>
      </c>
      <c r="G2019" t="s">
        <v>84</v>
      </c>
      <c r="H2019" t="s">
        <v>92</v>
      </c>
      <c r="I2019">
        <v>1</v>
      </c>
      <c r="J2019">
        <v>1</v>
      </c>
      <c r="N2019">
        <v>1</v>
      </c>
      <c r="O2019">
        <v>1</v>
      </c>
      <c r="P2019">
        <v>1</v>
      </c>
      <c r="Q2019">
        <v>1</v>
      </c>
      <c r="R2019">
        <v>1</v>
      </c>
      <c r="S2019">
        <v>1</v>
      </c>
      <c r="T2019">
        <v>1</v>
      </c>
      <c r="W2019">
        <v>1</v>
      </c>
      <c r="X2019">
        <v>1</v>
      </c>
      <c r="Y2019">
        <v>1</v>
      </c>
      <c r="Z2019">
        <v>1</v>
      </c>
      <c r="AA2019">
        <v>1</v>
      </c>
      <c r="AB2019">
        <v>1</v>
      </c>
    </row>
    <row r="2020" spans="1:28" x14ac:dyDescent="0.25">
      <c r="A2020" t="str">
        <f>"2016"</f>
        <v>2016</v>
      </c>
      <c r="B2020" t="str">
        <f t="shared" si="115"/>
        <v>1</v>
      </c>
      <c r="C2020" t="str">
        <f t="shared" si="116"/>
        <v>89</v>
      </c>
      <c r="D2020" t="str">
        <f>"9"</f>
        <v>9</v>
      </c>
      <c r="E2020" t="str">
        <f>"1-89-9"</f>
        <v>1-89-9</v>
      </c>
      <c r="F2020" t="s">
        <v>83</v>
      </c>
      <c r="G2020" t="s">
        <v>84</v>
      </c>
      <c r="H2020" t="s">
        <v>92</v>
      </c>
      <c r="I2020">
        <v>1</v>
      </c>
      <c r="J2020">
        <v>1</v>
      </c>
      <c r="N2020">
        <v>1</v>
      </c>
      <c r="O2020">
        <v>1</v>
      </c>
      <c r="P2020">
        <v>1</v>
      </c>
      <c r="Q2020">
        <v>1</v>
      </c>
      <c r="R2020">
        <v>1</v>
      </c>
      <c r="S2020">
        <v>1</v>
      </c>
      <c r="T2020">
        <v>1</v>
      </c>
      <c r="W2020">
        <v>1</v>
      </c>
      <c r="X2020">
        <v>1</v>
      </c>
      <c r="Y2020">
        <v>1</v>
      </c>
      <c r="Z2020">
        <v>1</v>
      </c>
      <c r="AA2020">
        <v>1</v>
      </c>
      <c r="AB2020">
        <v>1</v>
      </c>
    </row>
    <row r="2021" spans="1:28" x14ac:dyDescent="0.25">
      <c r="A2021" t="str">
        <f>"2017"</f>
        <v>2017</v>
      </c>
      <c r="B2021" t="str">
        <f t="shared" si="115"/>
        <v>1</v>
      </c>
      <c r="C2021" t="str">
        <f t="shared" si="116"/>
        <v>89</v>
      </c>
      <c r="D2021" t="str">
        <f>"3"</f>
        <v>3</v>
      </c>
      <c r="E2021" t="str">
        <f>"1-89-3"</f>
        <v>1-89-3</v>
      </c>
      <c r="F2021" t="s">
        <v>83</v>
      </c>
      <c r="G2021" t="s">
        <v>84</v>
      </c>
      <c r="H2021" t="s">
        <v>92</v>
      </c>
      <c r="I2021">
        <v>0</v>
      </c>
      <c r="J2021">
        <v>0</v>
      </c>
      <c r="N2021">
        <v>0</v>
      </c>
      <c r="O2021">
        <v>0</v>
      </c>
      <c r="P2021">
        <v>0</v>
      </c>
      <c r="Q2021">
        <v>0</v>
      </c>
      <c r="R2021">
        <v>0</v>
      </c>
      <c r="S2021">
        <v>0</v>
      </c>
      <c r="T2021">
        <v>0</v>
      </c>
      <c r="W2021">
        <v>0</v>
      </c>
      <c r="X2021">
        <v>1</v>
      </c>
      <c r="Y2021">
        <v>1</v>
      </c>
      <c r="Z2021">
        <v>0</v>
      </c>
      <c r="AA2021">
        <v>0</v>
      </c>
      <c r="AB2021">
        <v>0</v>
      </c>
    </row>
    <row r="2022" spans="1:28" x14ac:dyDescent="0.25">
      <c r="A2022" t="str">
        <f>"2018"</f>
        <v>2018</v>
      </c>
      <c r="B2022" t="str">
        <f t="shared" si="115"/>
        <v>1</v>
      </c>
      <c r="C2022" t="str">
        <f t="shared" si="116"/>
        <v>89</v>
      </c>
      <c r="D2022" t="str">
        <f>"23"</f>
        <v>23</v>
      </c>
      <c r="E2022" t="str">
        <f>"1-89-23"</f>
        <v>1-89-23</v>
      </c>
      <c r="F2022" t="s">
        <v>83</v>
      </c>
      <c r="G2022" t="s">
        <v>84</v>
      </c>
      <c r="H2022" t="s">
        <v>92</v>
      </c>
      <c r="I2022">
        <v>1</v>
      </c>
      <c r="J2022">
        <v>1</v>
      </c>
      <c r="N2022">
        <v>1</v>
      </c>
      <c r="O2022">
        <v>1</v>
      </c>
      <c r="P2022">
        <v>0</v>
      </c>
      <c r="Q2022">
        <v>1</v>
      </c>
      <c r="R2022">
        <v>0</v>
      </c>
      <c r="S2022">
        <v>1</v>
      </c>
      <c r="T2022">
        <v>0</v>
      </c>
      <c r="W2022">
        <v>1</v>
      </c>
      <c r="X2022">
        <v>1</v>
      </c>
      <c r="Y2022">
        <v>1</v>
      </c>
      <c r="Z2022">
        <v>1</v>
      </c>
      <c r="AA2022">
        <v>1</v>
      </c>
      <c r="AB2022">
        <v>1</v>
      </c>
    </row>
    <row r="2023" spans="1:28" x14ac:dyDescent="0.25">
      <c r="A2023" t="str">
        <f>"2019"</f>
        <v>2019</v>
      </c>
      <c r="B2023" t="str">
        <f t="shared" si="115"/>
        <v>1</v>
      </c>
      <c r="C2023" t="str">
        <f t="shared" si="116"/>
        <v>89</v>
      </c>
      <c r="D2023" t="str">
        <f>"22"</f>
        <v>22</v>
      </c>
      <c r="E2023" t="str">
        <f>"1-89-22"</f>
        <v>1-89-22</v>
      </c>
      <c r="F2023" t="s">
        <v>83</v>
      </c>
      <c r="G2023" t="s">
        <v>84</v>
      </c>
      <c r="H2023" t="s">
        <v>92</v>
      </c>
      <c r="I2023">
        <v>1</v>
      </c>
      <c r="J2023">
        <v>1</v>
      </c>
      <c r="N2023">
        <v>1</v>
      </c>
      <c r="O2023">
        <v>1</v>
      </c>
      <c r="P2023">
        <v>1</v>
      </c>
      <c r="Q2023">
        <v>1</v>
      </c>
      <c r="R2023">
        <v>1</v>
      </c>
      <c r="S2023">
        <v>1</v>
      </c>
      <c r="T2023">
        <v>1</v>
      </c>
      <c r="W2023">
        <v>1</v>
      </c>
      <c r="X2023">
        <v>1</v>
      </c>
      <c r="Y2023">
        <v>1</v>
      </c>
      <c r="Z2023">
        <v>1</v>
      </c>
      <c r="AA2023">
        <v>1</v>
      </c>
      <c r="AB2023">
        <v>1</v>
      </c>
    </row>
    <row r="2024" spans="1:28" x14ac:dyDescent="0.25">
      <c r="A2024" t="str">
        <f>"2020"</f>
        <v>2020</v>
      </c>
      <c r="B2024" t="str">
        <f t="shared" si="115"/>
        <v>1</v>
      </c>
      <c r="C2024" t="str">
        <f t="shared" si="116"/>
        <v>89</v>
      </c>
      <c r="D2024" t="str">
        <f>"16"</f>
        <v>16</v>
      </c>
      <c r="E2024" t="str">
        <f>"1-89-16"</f>
        <v>1-89-16</v>
      </c>
      <c r="F2024" t="s">
        <v>83</v>
      </c>
      <c r="G2024" t="s">
        <v>84</v>
      </c>
      <c r="H2024" t="s">
        <v>92</v>
      </c>
      <c r="I2024">
        <v>1</v>
      </c>
      <c r="J2024">
        <v>1</v>
      </c>
      <c r="N2024">
        <v>1</v>
      </c>
      <c r="O2024">
        <v>1</v>
      </c>
      <c r="P2024">
        <v>1</v>
      </c>
      <c r="Q2024">
        <v>1</v>
      </c>
      <c r="R2024">
        <v>1</v>
      </c>
      <c r="S2024">
        <v>1</v>
      </c>
      <c r="T2024">
        <v>1</v>
      </c>
      <c r="W2024">
        <v>1</v>
      </c>
      <c r="X2024">
        <v>1</v>
      </c>
      <c r="Y2024">
        <v>1</v>
      </c>
      <c r="Z2024">
        <v>1</v>
      </c>
      <c r="AA2024">
        <v>1</v>
      </c>
      <c r="AB2024">
        <v>1</v>
      </c>
    </row>
    <row r="2025" spans="1:28" x14ac:dyDescent="0.25">
      <c r="A2025" t="str">
        <f>"2021"</f>
        <v>2021</v>
      </c>
      <c r="B2025" t="str">
        <f t="shared" si="115"/>
        <v>1</v>
      </c>
      <c r="C2025" t="str">
        <f t="shared" si="116"/>
        <v>89</v>
      </c>
      <c r="D2025" t="str">
        <f>"10"</f>
        <v>10</v>
      </c>
      <c r="E2025" t="str">
        <f>"1-89-10"</f>
        <v>1-89-10</v>
      </c>
      <c r="F2025" t="s">
        <v>83</v>
      </c>
      <c r="G2025" t="s">
        <v>84</v>
      </c>
      <c r="H2025" t="s">
        <v>92</v>
      </c>
      <c r="I2025">
        <v>1</v>
      </c>
      <c r="J2025">
        <v>1</v>
      </c>
      <c r="N2025">
        <v>1</v>
      </c>
      <c r="O2025">
        <v>1</v>
      </c>
      <c r="P2025">
        <v>1</v>
      </c>
      <c r="Q2025">
        <v>1</v>
      </c>
      <c r="R2025">
        <v>1</v>
      </c>
      <c r="S2025">
        <v>1</v>
      </c>
      <c r="T2025">
        <v>1</v>
      </c>
      <c r="W2025">
        <v>1</v>
      </c>
      <c r="X2025">
        <v>1</v>
      </c>
      <c r="Y2025">
        <v>1</v>
      </c>
      <c r="Z2025">
        <v>1</v>
      </c>
      <c r="AA2025">
        <v>1</v>
      </c>
      <c r="AB2025">
        <v>1</v>
      </c>
    </row>
    <row r="2026" spans="1:28" x14ac:dyDescent="0.25">
      <c r="A2026" t="str">
        <f>"2022"</f>
        <v>2022</v>
      </c>
      <c r="B2026" t="str">
        <f t="shared" si="115"/>
        <v>1</v>
      </c>
      <c r="C2026" t="str">
        <f t="shared" si="116"/>
        <v>89</v>
      </c>
      <c r="D2026" t="str">
        <f>"4"</f>
        <v>4</v>
      </c>
      <c r="E2026" t="str">
        <f>"1-89-4"</f>
        <v>1-89-4</v>
      </c>
      <c r="F2026" t="s">
        <v>83</v>
      </c>
      <c r="G2026" t="s">
        <v>84</v>
      </c>
      <c r="H2026" t="s">
        <v>92</v>
      </c>
      <c r="I2026">
        <v>1</v>
      </c>
      <c r="J2026">
        <v>1</v>
      </c>
      <c r="N2026">
        <v>1</v>
      </c>
      <c r="O2026">
        <v>1</v>
      </c>
      <c r="P2026">
        <v>1</v>
      </c>
      <c r="Q2026">
        <v>1</v>
      </c>
      <c r="R2026">
        <v>1</v>
      </c>
      <c r="S2026">
        <v>1</v>
      </c>
      <c r="T2026">
        <v>1</v>
      </c>
      <c r="W2026">
        <v>1</v>
      </c>
      <c r="X2026">
        <v>1</v>
      </c>
      <c r="Y2026">
        <v>1</v>
      </c>
      <c r="Z2026">
        <v>1</v>
      </c>
      <c r="AA2026">
        <v>1</v>
      </c>
      <c r="AB2026">
        <v>1</v>
      </c>
    </row>
    <row r="2027" spans="1:28" x14ac:dyDescent="0.25">
      <c r="A2027" t="str">
        <f>"2023"</f>
        <v>2023</v>
      </c>
      <c r="B2027" t="str">
        <f t="shared" si="115"/>
        <v>1</v>
      </c>
      <c r="C2027" t="str">
        <f t="shared" si="116"/>
        <v>89</v>
      </c>
      <c r="D2027" t="str">
        <f>"18"</f>
        <v>18</v>
      </c>
      <c r="E2027" t="str">
        <f>"1-89-18"</f>
        <v>1-89-18</v>
      </c>
      <c r="F2027" t="s">
        <v>83</v>
      </c>
      <c r="G2027" t="s">
        <v>84</v>
      </c>
      <c r="H2027" t="s">
        <v>92</v>
      </c>
      <c r="I2027">
        <v>1</v>
      </c>
      <c r="J2027">
        <v>1</v>
      </c>
      <c r="N2027">
        <v>1</v>
      </c>
      <c r="O2027">
        <v>1</v>
      </c>
      <c r="P2027">
        <v>1</v>
      </c>
      <c r="Q2027">
        <v>1</v>
      </c>
      <c r="R2027">
        <v>1</v>
      </c>
      <c r="S2027">
        <v>1</v>
      </c>
      <c r="T2027">
        <v>1</v>
      </c>
      <c r="W2027">
        <v>1</v>
      </c>
      <c r="X2027">
        <v>1</v>
      </c>
      <c r="Y2027">
        <v>1</v>
      </c>
      <c r="Z2027">
        <v>1</v>
      </c>
      <c r="AA2027">
        <v>1</v>
      </c>
      <c r="AB2027">
        <v>1</v>
      </c>
    </row>
    <row r="2028" spans="1:28" x14ac:dyDescent="0.25">
      <c r="A2028" t="str">
        <f>"2024"</f>
        <v>2024</v>
      </c>
      <c r="B2028" t="str">
        <f t="shared" si="115"/>
        <v>1</v>
      </c>
      <c r="C2028" t="str">
        <f t="shared" si="116"/>
        <v>89</v>
      </c>
      <c r="D2028" t="str">
        <f>"11"</f>
        <v>11</v>
      </c>
      <c r="E2028" t="str">
        <f>"1-89-11"</f>
        <v>1-89-11</v>
      </c>
      <c r="F2028" t="s">
        <v>83</v>
      </c>
      <c r="G2028" t="s">
        <v>90</v>
      </c>
      <c r="H2028" t="s">
        <v>94</v>
      </c>
      <c r="I2028">
        <v>0</v>
      </c>
      <c r="K2028">
        <v>1</v>
      </c>
      <c r="L2028">
        <v>0</v>
      </c>
      <c r="M2028">
        <v>0</v>
      </c>
      <c r="N2028">
        <v>0</v>
      </c>
      <c r="O2028">
        <v>0</v>
      </c>
      <c r="P2028">
        <v>0</v>
      </c>
      <c r="Q2028">
        <v>0</v>
      </c>
      <c r="R2028">
        <v>0</v>
      </c>
      <c r="S2028">
        <v>0</v>
      </c>
      <c r="U2028">
        <v>0</v>
      </c>
      <c r="V2028">
        <v>0</v>
      </c>
      <c r="W2028">
        <v>0</v>
      </c>
      <c r="X2028">
        <v>0</v>
      </c>
      <c r="Y2028">
        <v>0</v>
      </c>
      <c r="Z2028">
        <v>0</v>
      </c>
      <c r="AA2028">
        <v>0</v>
      </c>
      <c r="AB2028">
        <v>0</v>
      </c>
    </row>
    <row r="2029" spans="1:28" x14ac:dyDescent="0.25">
      <c r="A2029" t="str">
        <f>"2025"</f>
        <v>2025</v>
      </c>
      <c r="B2029" t="str">
        <f t="shared" si="115"/>
        <v>1</v>
      </c>
      <c r="C2029" t="str">
        <f t="shared" si="116"/>
        <v>89</v>
      </c>
      <c r="D2029" t="str">
        <f>"1"</f>
        <v>1</v>
      </c>
      <c r="E2029" t="str">
        <f>"1-89-1"</f>
        <v>1-89-1</v>
      </c>
      <c r="F2029" t="s">
        <v>83</v>
      </c>
      <c r="G2029" t="s">
        <v>84</v>
      </c>
      <c r="H2029" t="s">
        <v>92</v>
      </c>
      <c r="I2029">
        <v>1</v>
      </c>
      <c r="J2029">
        <v>1</v>
      </c>
      <c r="N2029">
        <v>1</v>
      </c>
      <c r="O2029">
        <v>1</v>
      </c>
      <c r="P2029">
        <v>1</v>
      </c>
      <c r="Q2029">
        <v>1</v>
      </c>
      <c r="R2029">
        <v>1</v>
      </c>
      <c r="S2029">
        <v>1</v>
      </c>
      <c r="T2029">
        <v>1</v>
      </c>
      <c r="W2029">
        <v>1</v>
      </c>
      <c r="X2029">
        <v>1</v>
      </c>
      <c r="Y2029">
        <v>1</v>
      </c>
      <c r="Z2029">
        <v>1</v>
      </c>
      <c r="AA2029">
        <v>1</v>
      </c>
      <c r="AB2029">
        <v>1</v>
      </c>
    </row>
    <row r="2030" spans="1:28" x14ac:dyDescent="0.25">
      <c r="A2030" t="str">
        <f>"2026"</f>
        <v>2026</v>
      </c>
      <c r="B2030" t="str">
        <f t="shared" si="115"/>
        <v>1</v>
      </c>
      <c r="C2030" t="str">
        <f t="shared" si="116"/>
        <v>89</v>
      </c>
      <c r="D2030" t="str">
        <f>"19"</f>
        <v>19</v>
      </c>
      <c r="E2030" t="str">
        <f>"1-89-19"</f>
        <v>1-89-19</v>
      </c>
      <c r="F2030" t="s">
        <v>83</v>
      </c>
      <c r="G2030" t="s">
        <v>84</v>
      </c>
      <c r="H2030" t="s">
        <v>92</v>
      </c>
      <c r="I2030">
        <v>1</v>
      </c>
      <c r="J2030">
        <v>1</v>
      </c>
      <c r="N2030">
        <v>1</v>
      </c>
      <c r="O2030">
        <v>1</v>
      </c>
      <c r="P2030">
        <v>1</v>
      </c>
      <c r="Q2030">
        <v>1</v>
      </c>
      <c r="R2030">
        <v>1</v>
      </c>
      <c r="S2030">
        <v>1</v>
      </c>
      <c r="T2030">
        <v>1</v>
      </c>
      <c r="W2030">
        <v>1</v>
      </c>
      <c r="X2030">
        <v>1</v>
      </c>
      <c r="Y2030">
        <v>1</v>
      </c>
      <c r="Z2030">
        <v>1</v>
      </c>
      <c r="AA2030">
        <v>1</v>
      </c>
      <c r="AB2030">
        <v>1</v>
      </c>
    </row>
    <row r="2031" spans="1:28" x14ac:dyDescent="0.25">
      <c r="A2031" t="str">
        <f>"2027"</f>
        <v>2027</v>
      </c>
      <c r="B2031" t="str">
        <f t="shared" si="115"/>
        <v>1</v>
      </c>
      <c r="C2031" t="str">
        <f t="shared" si="116"/>
        <v>89</v>
      </c>
      <c r="D2031" t="str">
        <f>"12"</f>
        <v>12</v>
      </c>
      <c r="E2031" t="str">
        <f>"1-89-12"</f>
        <v>1-89-12</v>
      </c>
      <c r="F2031" t="s">
        <v>83</v>
      </c>
      <c r="G2031" t="s">
        <v>90</v>
      </c>
      <c r="H2031" t="s">
        <v>94</v>
      </c>
      <c r="I2031">
        <v>1</v>
      </c>
      <c r="K2031">
        <v>1</v>
      </c>
      <c r="L2031">
        <v>0</v>
      </c>
      <c r="M2031">
        <v>0</v>
      </c>
      <c r="N2031">
        <v>1</v>
      </c>
      <c r="O2031">
        <v>1</v>
      </c>
      <c r="P2031">
        <v>1</v>
      </c>
      <c r="Q2031">
        <v>1</v>
      </c>
      <c r="R2031">
        <v>1</v>
      </c>
      <c r="S2031">
        <v>1</v>
      </c>
      <c r="U2031">
        <v>0</v>
      </c>
      <c r="V2031">
        <v>1</v>
      </c>
      <c r="W2031">
        <v>1</v>
      </c>
      <c r="X2031">
        <v>1</v>
      </c>
      <c r="Y2031">
        <v>1</v>
      </c>
      <c r="Z2031">
        <v>1</v>
      </c>
      <c r="AA2031">
        <v>1</v>
      </c>
      <c r="AB2031">
        <v>1</v>
      </c>
    </row>
    <row r="2032" spans="1:28" x14ac:dyDescent="0.25">
      <c r="A2032" t="str">
        <f>"2028"</f>
        <v>2028</v>
      </c>
      <c r="B2032" t="str">
        <f t="shared" si="115"/>
        <v>1</v>
      </c>
      <c r="C2032" t="str">
        <f t="shared" si="116"/>
        <v>89</v>
      </c>
      <c r="D2032" t="str">
        <f>"7"</f>
        <v>7</v>
      </c>
      <c r="E2032" t="str">
        <f>"1-89-7"</f>
        <v>1-89-7</v>
      </c>
      <c r="F2032" t="s">
        <v>83</v>
      </c>
      <c r="G2032" t="s">
        <v>84</v>
      </c>
      <c r="H2032" t="s">
        <v>92</v>
      </c>
      <c r="I2032">
        <v>1</v>
      </c>
      <c r="J2032">
        <v>0</v>
      </c>
      <c r="N2032">
        <v>1</v>
      </c>
      <c r="O2032">
        <v>1</v>
      </c>
      <c r="P2032">
        <v>1</v>
      </c>
      <c r="Q2032">
        <v>1</v>
      </c>
      <c r="R2032">
        <v>1</v>
      </c>
      <c r="S2032">
        <v>1</v>
      </c>
      <c r="T2032">
        <v>1</v>
      </c>
      <c r="W2032">
        <v>1</v>
      </c>
      <c r="X2032">
        <v>1</v>
      </c>
      <c r="Y2032">
        <v>1</v>
      </c>
      <c r="Z2032">
        <v>1</v>
      </c>
      <c r="AA2032">
        <v>1</v>
      </c>
      <c r="AB2032">
        <v>1</v>
      </c>
    </row>
    <row r="2033" spans="1:28" x14ac:dyDescent="0.25">
      <c r="A2033" t="str">
        <f>"2029"</f>
        <v>2029</v>
      </c>
      <c r="B2033" t="str">
        <f t="shared" si="115"/>
        <v>1</v>
      </c>
      <c r="C2033" t="str">
        <f t="shared" si="116"/>
        <v>89</v>
      </c>
      <c r="D2033" t="str">
        <f>"20"</f>
        <v>20</v>
      </c>
      <c r="E2033" t="str">
        <f>"1-89-20"</f>
        <v>1-89-20</v>
      </c>
      <c r="F2033" t="s">
        <v>83</v>
      </c>
      <c r="G2033" t="s">
        <v>84</v>
      </c>
      <c r="H2033" t="s">
        <v>92</v>
      </c>
      <c r="I2033">
        <v>1</v>
      </c>
      <c r="J2033">
        <v>1</v>
      </c>
      <c r="N2033">
        <v>1</v>
      </c>
      <c r="O2033">
        <v>1</v>
      </c>
      <c r="P2033">
        <v>1</v>
      </c>
      <c r="Q2033">
        <v>1</v>
      </c>
      <c r="R2033">
        <v>1</v>
      </c>
      <c r="S2033">
        <v>1</v>
      </c>
      <c r="T2033">
        <v>1</v>
      </c>
      <c r="W2033">
        <v>1</v>
      </c>
      <c r="X2033">
        <v>1</v>
      </c>
      <c r="Y2033">
        <v>1</v>
      </c>
      <c r="Z2033">
        <v>1</v>
      </c>
      <c r="AA2033">
        <v>1</v>
      </c>
      <c r="AB2033">
        <v>1</v>
      </c>
    </row>
    <row r="2034" spans="1:28" x14ac:dyDescent="0.25">
      <c r="A2034" t="str">
        <f>"2030"</f>
        <v>2030</v>
      </c>
      <c r="B2034" t="str">
        <f t="shared" si="115"/>
        <v>1</v>
      </c>
      <c r="C2034" t="str">
        <f t="shared" si="116"/>
        <v>89</v>
      </c>
      <c r="D2034" t="str">
        <f>"13"</f>
        <v>13</v>
      </c>
      <c r="E2034" t="str">
        <f>"1-89-13"</f>
        <v>1-89-13</v>
      </c>
      <c r="F2034" t="s">
        <v>83</v>
      </c>
      <c r="G2034" t="s">
        <v>84</v>
      </c>
      <c r="H2034" t="s">
        <v>92</v>
      </c>
      <c r="I2034">
        <v>1</v>
      </c>
      <c r="J2034">
        <v>1</v>
      </c>
      <c r="N2034">
        <v>1</v>
      </c>
      <c r="O2034">
        <v>1</v>
      </c>
      <c r="P2034">
        <v>1</v>
      </c>
      <c r="Q2034">
        <v>1</v>
      </c>
      <c r="R2034">
        <v>1</v>
      </c>
      <c r="S2034">
        <v>1</v>
      </c>
      <c r="T2034">
        <v>1</v>
      </c>
      <c r="W2034">
        <v>1</v>
      </c>
      <c r="X2034">
        <v>1</v>
      </c>
      <c r="Y2034">
        <v>1</v>
      </c>
      <c r="Z2034">
        <v>1</v>
      </c>
      <c r="AA2034">
        <v>1</v>
      </c>
      <c r="AB2034">
        <v>1</v>
      </c>
    </row>
    <row r="2035" spans="1:28" x14ac:dyDescent="0.25">
      <c r="A2035" t="str">
        <f>"2031"</f>
        <v>2031</v>
      </c>
      <c r="B2035" t="str">
        <f t="shared" si="115"/>
        <v>1</v>
      </c>
      <c r="C2035" t="str">
        <f t="shared" si="116"/>
        <v>89</v>
      </c>
      <c r="D2035" t="str">
        <f>"6"</f>
        <v>6</v>
      </c>
      <c r="E2035" t="str">
        <f>"1-89-6"</f>
        <v>1-89-6</v>
      </c>
      <c r="F2035" t="s">
        <v>83</v>
      </c>
      <c r="G2035" t="s">
        <v>84</v>
      </c>
      <c r="H2035" t="s">
        <v>92</v>
      </c>
      <c r="I2035">
        <v>1</v>
      </c>
      <c r="J2035">
        <v>1</v>
      </c>
      <c r="N2035">
        <v>1</v>
      </c>
      <c r="O2035">
        <v>1</v>
      </c>
      <c r="P2035">
        <v>1</v>
      </c>
      <c r="Q2035">
        <v>1</v>
      </c>
      <c r="R2035">
        <v>1</v>
      </c>
      <c r="S2035">
        <v>1</v>
      </c>
      <c r="T2035">
        <v>1</v>
      </c>
      <c r="W2035">
        <v>1</v>
      </c>
      <c r="X2035">
        <v>1</v>
      </c>
      <c r="Y2035">
        <v>1</v>
      </c>
      <c r="Z2035">
        <v>1</v>
      </c>
      <c r="AA2035">
        <v>1</v>
      </c>
      <c r="AB2035">
        <v>1</v>
      </c>
    </row>
    <row r="2036" spans="1:28" x14ac:dyDescent="0.25">
      <c r="A2036" t="str">
        <f>"2032"</f>
        <v>2032</v>
      </c>
      <c r="B2036" t="str">
        <f t="shared" si="115"/>
        <v>1</v>
      </c>
      <c r="C2036" t="str">
        <f t="shared" si="116"/>
        <v>89</v>
      </c>
      <c r="D2036" t="str">
        <f>"21"</f>
        <v>21</v>
      </c>
      <c r="E2036" t="str">
        <f>"1-89-21"</f>
        <v>1-89-21</v>
      </c>
      <c r="F2036" t="s">
        <v>83</v>
      </c>
      <c r="G2036" t="s">
        <v>84</v>
      </c>
      <c r="H2036" t="s">
        <v>92</v>
      </c>
      <c r="I2036">
        <v>1</v>
      </c>
      <c r="J2036">
        <v>1</v>
      </c>
      <c r="N2036">
        <v>1</v>
      </c>
      <c r="O2036">
        <v>1</v>
      </c>
      <c r="P2036">
        <v>1</v>
      </c>
      <c r="Q2036">
        <v>1</v>
      </c>
      <c r="R2036">
        <v>1</v>
      </c>
      <c r="S2036">
        <v>1</v>
      </c>
      <c r="T2036">
        <v>1</v>
      </c>
      <c r="W2036">
        <v>1</v>
      </c>
      <c r="X2036">
        <v>1</v>
      </c>
      <c r="Y2036">
        <v>1</v>
      </c>
      <c r="Z2036">
        <v>1</v>
      </c>
      <c r="AA2036">
        <v>1</v>
      </c>
      <c r="AB2036">
        <v>1</v>
      </c>
    </row>
    <row r="2037" spans="1:28" x14ac:dyDescent="0.25">
      <c r="A2037" t="str">
        <f>"2033"</f>
        <v>2033</v>
      </c>
      <c r="B2037" t="str">
        <f t="shared" si="115"/>
        <v>1</v>
      </c>
      <c r="C2037" t="str">
        <f t="shared" si="116"/>
        <v>89</v>
      </c>
      <c r="D2037" t="str">
        <f>"14"</f>
        <v>14</v>
      </c>
      <c r="E2037" t="str">
        <f>"1-89-14"</f>
        <v>1-89-14</v>
      </c>
      <c r="F2037" t="s">
        <v>83</v>
      </c>
      <c r="G2037" t="s">
        <v>84</v>
      </c>
      <c r="H2037" t="s">
        <v>92</v>
      </c>
      <c r="I2037">
        <v>1</v>
      </c>
      <c r="J2037">
        <v>1</v>
      </c>
      <c r="N2037">
        <v>1</v>
      </c>
      <c r="O2037">
        <v>0</v>
      </c>
      <c r="P2037">
        <v>1</v>
      </c>
      <c r="Q2037">
        <v>1</v>
      </c>
      <c r="R2037">
        <v>1</v>
      </c>
      <c r="S2037">
        <v>1</v>
      </c>
      <c r="T2037">
        <v>1</v>
      </c>
      <c r="W2037">
        <v>1</v>
      </c>
      <c r="X2037">
        <v>1</v>
      </c>
      <c r="Y2037">
        <v>1</v>
      </c>
      <c r="Z2037">
        <v>1</v>
      </c>
      <c r="AA2037">
        <v>1</v>
      </c>
      <c r="AB2037">
        <v>1</v>
      </c>
    </row>
    <row r="2038" spans="1:28" x14ac:dyDescent="0.25">
      <c r="A2038" t="str">
        <f>"2034"</f>
        <v>2034</v>
      </c>
      <c r="B2038" t="str">
        <f t="shared" si="115"/>
        <v>1</v>
      </c>
      <c r="C2038" t="str">
        <f t="shared" si="116"/>
        <v>89</v>
      </c>
      <c r="D2038" t="str">
        <f>"2"</f>
        <v>2</v>
      </c>
      <c r="E2038" t="str">
        <f>"1-89-2"</f>
        <v>1-89-2</v>
      </c>
      <c r="F2038" t="s">
        <v>83</v>
      </c>
      <c r="G2038" t="s">
        <v>84</v>
      </c>
      <c r="H2038" t="s">
        <v>92</v>
      </c>
      <c r="I2038">
        <v>1</v>
      </c>
      <c r="J2038">
        <v>0</v>
      </c>
      <c r="N2038">
        <v>1</v>
      </c>
      <c r="O2038">
        <v>0</v>
      </c>
      <c r="P2038">
        <v>0</v>
      </c>
      <c r="Q2038">
        <v>1</v>
      </c>
      <c r="R2038">
        <v>0</v>
      </c>
      <c r="S2038">
        <v>0</v>
      </c>
      <c r="T2038">
        <v>0</v>
      </c>
      <c r="W2038">
        <v>1</v>
      </c>
      <c r="X2038">
        <v>0</v>
      </c>
      <c r="Y2038">
        <v>0</v>
      </c>
      <c r="Z2038">
        <v>1</v>
      </c>
      <c r="AA2038">
        <v>1</v>
      </c>
      <c r="AB2038">
        <v>0</v>
      </c>
    </row>
    <row r="2039" spans="1:28" x14ac:dyDescent="0.25">
      <c r="A2039" t="str">
        <f>"2035"</f>
        <v>2035</v>
      </c>
      <c r="B2039" t="str">
        <f t="shared" si="115"/>
        <v>1</v>
      </c>
      <c r="C2039" t="str">
        <f t="shared" ref="C2039:C2047" si="117">"90"</f>
        <v>90</v>
      </c>
      <c r="D2039" t="str">
        <f>"8"</f>
        <v>8</v>
      </c>
      <c r="E2039" t="str">
        <f>"1-90-8"</f>
        <v>1-90-8</v>
      </c>
      <c r="F2039" t="s">
        <v>83</v>
      </c>
      <c r="G2039" t="s">
        <v>84</v>
      </c>
      <c r="H2039" t="s">
        <v>92</v>
      </c>
      <c r="I2039">
        <v>1</v>
      </c>
      <c r="J2039">
        <v>1</v>
      </c>
      <c r="N2039">
        <v>1</v>
      </c>
      <c r="O2039">
        <v>1</v>
      </c>
      <c r="P2039">
        <v>1</v>
      </c>
      <c r="Q2039">
        <v>1</v>
      </c>
      <c r="R2039">
        <v>1</v>
      </c>
      <c r="S2039">
        <v>1</v>
      </c>
      <c r="T2039">
        <v>1</v>
      </c>
      <c r="W2039">
        <v>1</v>
      </c>
      <c r="X2039">
        <v>1</v>
      </c>
      <c r="Y2039">
        <v>1</v>
      </c>
      <c r="Z2039">
        <v>1</v>
      </c>
      <c r="AA2039">
        <v>1</v>
      </c>
      <c r="AB2039">
        <v>1</v>
      </c>
    </row>
    <row r="2040" spans="1:28" x14ac:dyDescent="0.25">
      <c r="A2040" t="str">
        <f>"2036"</f>
        <v>2036</v>
      </c>
      <c r="B2040" t="str">
        <f t="shared" si="115"/>
        <v>1</v>
      </c>
      <c r="C2040" t="str">
        <f t="shared" si="117"/>
        <v>90</v>
      </c>
      <c r="D2040" t="str">
        <f>"3"</f>
        <v>3</v>
      </c>
      <c r="E2040" t="str">
        <f>"1-90-3"</f>
        <v>1-90-3</v>
      </c>
      <c r="F2040" t="s">
        <v>83</v>
      </c>
      <c r="G2040" t="s">
        <v>84</v>
      </c>
      <c r="H2040" t="s">
        <v>92</v>
      </c>
      <c r="I2040">
        <v>1</v>
      </c>
      <c r="J2040">
        <v>1</v>
      </c>
      <c r="N2040">
        <v>1</v>
      </c>
      <c r="O2040">
        <v>1</v>
      </c>
      <c r="P2040">
        <v>1</v>
      </c>
      <c r="Q2040">
        <v>1</v>
      </c>
      <c r="R2040">
        <v>1</v>
      </c>
      <c r="S2040">
        <v>1</v>
      </c>
      <c r="T2040">
        <v>1</v>
      </c>
      <c r="W2040">
        <v>1</v>
      </c>
      <c r="X2040">
        <v>1</v>
      </c>
      <c r="Y2040">
        <v>1</v>
      </c>
      <c r="Z2040">
        <v>1</v>
      </c>
      <c r="AA2040">
        <v>1</v>
      </c>
      <c r="AB2040">
        <v>1</v>
      </c>
    </row>
    <row r="2041" spans="1:28" x14ac:dyDescent="0.25">
      <c r="A2041" t="str">
        <f>"2037"</f>
        <v>2037</v>
      </c>
      <c r="B2041" t="str">
        <f t="shared" si="115"/>
        <v>1</v>
      </c>
      <c r="C2041" t="str">
        <f t="shared" si="117"/>
        <v>90</v>
      </c>
      <c r="D2041" t="str">
        <f>"9"</f>
        <v>9</v>
      </c>
      <c r="E2041" t="str">
        <f>"1-90-9"</f>
        <v>1-90-9</v>
      </c>
      <c r="F2041" t="s">
        <v>83</v>
      </c>
      <c r="G2041" t="s">
        <v>84</v>
      </c>
      <c r="H2041" t="s">
        <v>92</v>
      </c>
      <c r="I2041">
        <v>1</v>
      </c>
      <c r="J2041">
        <v>1</v>
      </c>
      <c r="N2041">
        <v>1</v>
      </c>
      <c r="O2041">
        <v>1</v>
      </c>
      <c r="P2041">
        <v>1</v>
      </c>
      <c r="Q2041">
        <v>1</v>
      </c>
      <c r="R2041">
        <v>1</v>
      </c>
      <c r="S2041">
        <v>1</v>
      </c>
      <c r="T2041">
        <v>1</v>
      </c>
      <c r="W2041">
        <v>1</v>
      </c>
      <c r="X2041">
        <v>1</v>
      </c>
      <c r="Y2041">
        <v>1</v>
      </c>
      <c r="Z2041">
        <v>1</v>
      </c>
      <c r="AA2041">
        <v>1</v>
      </c>
      <c r="AB2041">
        <v>1</v>
      </c>
    </row>
    <row r="2042" spans="1:28" x14ac:dyDescent="0.25">
      <c r="A2042" t="str">
        <f>"2038"</f>
        <v>2038</v>
      </c>
      <c r="B2042" t="str">
        <f t="shared" si="115"/>
        <v>1</v>
      </c>
      <c r="C2042" t="str">
        <f t="shared" si="117"/>
        <v>90</v>
      </c>
      <c r="D2042" t="str">
        <f>"6"</f>
        <v>6</v>
      </c>
      <c r="E2042" t="str">
        <f>"1-90-6"</f>
        <v>1-90-6</v>
      </c>
      <c r="F2042" t="s">
        <v>83</v>
      </c>
      <c r="G2042" t="s">
        <v>84</v>
      </c>
      <c r="H2042" t="s">
        <v>92</v>
      </c>
      <c r="I2042">
        <v>1</v>
      </c>
      <c r="J2042">
        <v>1</v>
      </c>
      <c r="N2042">
        <v>1</v>
      </c>
      <c r="O2042">
        <v>1</v>
      </c>
      <c r="P2042">
        <v>1</v>
      </c>
      <c r="Q2042">
        <v>1</v>
      </c>
      <c r="R2042">
        <v>1</v>
      </c>
      <c r="S2042">
        <v>1</v>
      </c>
      <c r="T2042">
        <v>1</v>
      </c>
      <c r="W2042">
        <v>1</v>
      </c>
      <c r="X2042">
        <v>1</v>
      </c>
      <c r="Y2042">
        <v>1</v>
      </c>
      <c r="Z2042">
        <v>1</v>
      </c>
      <c r="AA2042">
        <v>1</v>
      </c>
      <c r="AB2042">
        <v>1</v>
      </c>
    </row>
    <row r="2043" spans="1:28" x14ac:dyDescent="0.25">
      <c r="A2043" t="str">
        <f>"2039"</f>
        <v>2039</v>
      </c>
      <c r="B2043" t="str">
        <f t="shared" si="115"/>
        <v>1</v>
      </c>
      <c r="C2043" t="str">
        <f t="shared" si="117"/>
        <v>90</v>
      </c>
      <c r="D2043" t="str">
        <f>"1"</f>
        <v>1</v>
      </c>
      <c r="E2043" t="str">
        <f>"1-90-1"</f>
        <v>1-90-1</v>
      </c>
      <c r="F2043" t="s">
        <v>83</v>
      </c>
      <c r="G2043" t="s">
        <v>84</v>
      </c>
      <c r="H2043" t="s">
        <v>92</v>
      </c>
      <c r="I2043">
        <v>1</v>
      </c>
      <c r="J2043">
        <v>1</v>
      </c>
      <c r="N2043">
        <v>1</v>
      </c>
      <c r="O2043">
        <v>1</v>
      </c>
      <c r="P2043">
        <v>1</v>
      </c>
      <c r="Q2043">
        <v>1</v>
      </c>
      <c r="R2043">
        <v>1</v>
      </c>
      <c r="S2043">
        <v>1</v>
      </c>
      <c r="T2043">
        <v>1</v>
      </c>
      <c r="W2043">
        <v>1</v>
      </c>
      <c r="X2043">
        <v>1</v>
      </c>
      <c r="Y2043">
        <v>1</v>
      </c>
      <c r="Z2043">
        <v>1</v>
      </c>
      <c r="AA2043">
        <v>1</v>
      </c>
      <c r="AB2043">
        <v>1</v>
      </c>
    </row>
    <row r="2044" spans="1:28" x14ac:dyDescent="0.25">
      <c r="A2044" t="str">
        <f>"2040"</f>
        <v>2040</v>
      </c>
      <c r="B2044" t="str">
        <f t="shared" si="115"/>
        <v>1</v>
      </c>
      <c r="C2044" t="str">
        <f t="shared" si="117"/>
        <v>90</v>
      </c>
      <c r="D2044" t="str">
        <f>"2"</f>
        <v>2</v>
      </c>
      <c r="E2044" t="str">
        <f>"1-90-2"</f>
        <v>1-90-2</v>
      </c>
      <c r="F2044" t="s">
        <v>83</v>
      </c>
      <c r="G2044" t="s">
        <v>84</v>
      </c>
      <c r="H2044" t="s">
        <v>92</v>
      </c>
      <c r="I2044">
        <v>1</v>
      </c>
      <c r="J2044">
        <v>1</v>
      </c>
      <c r="N2044">
        <v>1</v>
      </c>
      <c r="O2044">
        <v>1</v>
      </c>
      <c r="P2044">
        <v>1</v>
      </c>
      <c r="Q2044">
        <v>1</v>
      </c>
      <c r="R2044">
        <v>1</v>
      </c>
      <c r="S2044">
        <v>1</v>
      </c>
      <c r="T2044">
        <v>1</v>
      </c>
      <c r="W2044">
        <v>1</v>
      </c>
      <c r="X2044">
        <v>1</v>
      </c>
      <c r="Y2044">
        <v>1</v>
      </c>
      <c r="Z2044">
        <v>1</v>
      </c>
      <c r="AA2044">
        <v>1</v>
      </c>
      <c r="AB2044">
        <v>1</v>
      </c>
    </row>
    <row r="2045" spans="1:28" x14ac:dyDescent="0.25">
      <c r="A2045" t="str">
        <f>"2041"</f>
        <v>2041</v>
      </c>
      <c r="B2045" t="str">
        <f t="shared" si="115"/>
        <v>1</v>
      </c>
      <c r="C2045" t="str">
        <f t="shared" si="117"/>
        <v>90</v>
      </c>
      <c r="D2045" t="str">
        <f>"7"</f>
        <v>7</v>
      </c>
      <c r="E2045" t="str">
        <f>"1-90-7"</f>
        <v>1-90-7</v>
      </c>
      <c r="F2045" t="s">
        <v>83</v>
      </c>
      <c r="G2045" t="s">
        <v>84</v>
      </c>
      <c r="H2045" t="s">
        <v>92</v>
      </c>
      <c r="I2045">
        <v>1</v>
      </c>
      <c r="J2045">
        <v>1</v>
      </c>
      <c r="N2045">
        <v>1</v>
      </c>
      <c r="O2045">
        <v>1</v>
      </c>
      <c r="P2045">
        <v>1</v>
      </c>
      <c r="Q2045">
        <v>1</v>
      </c>
      <c r="R2045">
        <v>1</v>
      </c>
      <c r="S2045">
        <v>1</v>
      </c>
      <c r="T2045">
        <v>1</v>
      </c>
      <c r="W2045">
        <v>1</v>
      </c>
      <c r="X2045">
        <v>1</v>
      </c>
      <c r="Y2045">
        <v>1</v>
      </c>
      <c r="Z2045">
        <v>1</v>
      </c>
      <c r="AA2045">
        <v>1</v>
      </c>
      <c r="AB2045">
        <v>1</v>
      </c>
    </row>
    <row r="2046" spans="1:28" x14ac:dyDescent="0.25">
      <c r="A2046" t="str">
        <f>"2042"</f>
        <v>2042</v>
      </c>
      <c r="B2046" t="str">
        <f t="shared" si="115"/>
        <v>1</v>
      </c>
      <c r="C2046" t="str">
        <f t="shared" si="117"/>
        <v>90</v>
      </c>
      <c r="D2046" t="str">
        <f>"5"</f>
        <v>5</v>
      </c>
      <c r="E2046" t="str">
        <f>"1-90-5"</f>
        <v>1-90-5</v>
      </c>
      <c r="F2046" t="s">
        <v>83</v>
      </c>
      <c r="G2046" t="s">
        <v>84</v>
      </c>
      <c r="H2046" t="s">
        <v>92</v>
      </c>
      <c r="I2046">
        <v>1</v>
      </c>
      <c r="J2046">
        <v>1</v>
      </c>
      <c r="N2046">
        <v>1</v>
      </c>
      <c r="O2046">
        <v>1</v>
      </c>
      <c r="P2046">
        <v>1</v>
      </c>
      <c r="Q2046">
        <v>1</v>
      </c>
      <c r="R2046">
        <v>1</v>
      </c>
      <c r="S2046">
        <v>1</v>
      </c>
      <c r="T2046">
        <v>1</v>
      </c>
      <c r="W2046">
        <v>1</v>
      </c>
      <c r="X2046">
        <v>1</v>
      </c>
      <c r="Y2046">
        <v>1</v>
      </c>
      <c r="Z2046">
        <v>1</v>
      </c>
      <c r="AA2046">
        <v>0</v>
      </c>
      <c r="AB2046">
        <v>1</v>
      </c>
    </row>
    <row r="2047" spans="1:28" x14ac:dyDescent="0.25">
      <c r="A2047" t="str">
        <f>"2043"</f>
        <v>2043</v>
      </c>
      <c r="B2047" t="str">
        <f t="shared" si="115"/>
        <v>1</v>
      </c>
      <c r="C2047" t="str">
        <f t="shared" si="117"/>
        <v>90</v>
      </c>
      <c r="D2047" t="str">
        <f>"4"</f>
        <v>4</v>
      </c>
      <c r="E2047" t="str">
        <f>"1-90-4"</f>
        <v>1-90-4</v>
      </c>
      <c r="F2047" t="s">
        <v>83</v>
      </c>
      <c r="G2047" t="s">
        <v>84</v>
      </c>
      <c r="H2047" t="s">
        <v>92</v>
      </c>
      <c r="I2047">
        <v>1</v>
      </c>
      <c r="J2047">
        <v>1</v>
      </c>
      <c r="N2047">
        <v>1</v>
      </c>
      <c r="O2047">
        <v>1</v>
      </c>
      <c r="P2047">
        <v>1</v>
      </c>
      <c r="Q2047">
        <v>1</v>
      </c>
      <c r="R2047">
        <v>1</v>
      </c>
      <c r="S2047">
        <v>1</v>
      </c>
      <c r="T2047">
        <v>1</v>
      </c>
      <c r="W2047">
        <v>1</v>
      </c>
      <c r="X2047">
        <v>1</v>
      </c>
      <c r="Y2047">
        <v>1</v>
      </c>
      <c r="Z2047">
        <v>1</v>
      </c>
      <c r="AA2047">
        <v>1</v>
      </c>
      <c r="AB2047">
        <v>1</v>
      </c>
    </row>
    <row r="2048" spans="1:28" x14ac:dyDescent="0.25">
      <c r="A2048" t="str">
        <f>"2044"</f>
        <v>2044</v>
      </c>
      <c r="B2048" t="str">
        <f t="shared" si="115"/>
        <v>1</v>
      </c>
      <c r="C2048" t="str">
        <f t="shared" ref="C2048:C2072" si="118">"91"</f>
        <v>91</v>
      </c>
      <c r="D2048" t="str">
        <f>"23"</f>
        <v>23</v>
      </c>
      <c r="E2048" t="str">
        <f>"1-91-23"</f>
        <v>1-91-23</v>
      </c>
      <c r="F2048" t="s">
        <v>83</v>
      </c>
      <c r="G2048" t="s">
        <v>84</v>
      </c>
      <c r="H2048" t="s">
        <v>92</v>
      </c>
      <c r="I2048">
        <v>1</v>
      </c>
      <c r="J2048">
        <v>1</v>
      </c>
      <c r="N2048">
        <v>1</v>
      </c>
      <c r="O2048">
        <v>1</v>
      </c>
      <c r="P2048">
        <v>1</v>
      </c>
      <c r="Q2048">
        <v>1</v>
      </c>
      <c r="R2048">
        <v>1</v>
      </c>
      <c r="S2048">
        <v>1</v>
      </c>
      <c r="T2048">
        <v>1</v>
      </c>
      <c r="W2048">
        <v>1</v>
      </c>
      <c r="X2048">
        <v>1</v>
      </c>
      <c r="Y2048">
        <v>1</v>
      </c>
      <c r="Z2048">
        <v>1</v>
      </c>
      <c r="AA2048">
        <v>1</v>
      </c>
      <c r="AB2048">
        <v>1</v>
      </c>
    </row>
    <row r="2049" spans="1:28" x14ac:dyDescent="0.25">
      <c r="A2049" t="str">
        <f>"2045"</f>
        <v>2045</v>
      </c>
      <c r="B2049" t="str">
        <f t="shared" si="115"/>
        <v>1</v>
      </c>
      <c r="C2049" t="str">
        <f t="shared" si="118"/>
        <v>91</v>
      </c>
      <c r="D2049" t="str">
        <f>"22"</f>
        <v>22</v>
      </c>
      <c r="E2049" t="str">
        <f>"1-91-22"</f>
        <v>1-91-22</v>
      </c>
      <c r="F2049" t="s">
        <v>83</v>
      </c>
      <c r="G2049" t="s">
        <v>84</v>
      </c>
      <c r="H2049" t="s">
        <v>92</v>
      </c>
      <c r="I2049">
        <v>1</v>
      </c>
      <c r="J2049">
        <v>1</v>
      </c>
      <c r="N2049">
        <v>1</v>
      </c>
      <c r="O2049">
        <v>1</v>
      </c>
      <c r="P2049">
        <v>1</v>
      </c>
      <c r="Q2049">
        <v>1</v>
      </c>
      <c r="R2049">
        <v>1</v>
      </c>
      <c r="S2049">
        <v>1</v>
      </c>
      <c r="T2049">
        <v>1</v>
      </c>
      <c r="W2049">
        <v>1</v>
      </c>
      <c r="X2049">
        <v>1</v>
      </c>
      <c r="Y2049">
        <v>1</v>
      </c>
      <c r="Z2049">
        <v>1</v>
      </c>
      <c r="AA2049">
        <v>1</v>
      </c>
      <c r="AB2049">
        <v>1</v>
      </c>
    </row>
    <row r="2050" spans="1:28" x14ac:dyDescent="0.25">
      <c r="A2050" t="str">
        <f>"2046"</f>
        <v>2046</v>
      </c>
      <c r="B2050" t="str">
        <f t="shared" si="115"/>
        <v>1</v>
      </c>
      <c r="C2050" t="str">
        <f t="shared" si="118"/>
        <v>91</v>
      </c>
      <c r="D2050" t="str">
        <f>"16"</f>
        <v>16</v>
      </c>
      <c r="E2050" t="str">
        <f>"1-91-16"</f>
        <v>1-91-16</v>
      </c>
      <c r="F2050" t="s">
        <v>83</v>
      </c>
      <c r="G2050" t="s">
        <v>84</v>
      </c>
      <c r="H2050" t="s">
        <v>92</v>
      </c>
      <c r="I2050">
        <v>1</v>
      </c>
      <c r="J2050">
        <v>1</v>
      </c>
      <c r="N2050">
        <v>1</v>
      </c>
      <c r="O2050">
        <v>1</v>
      </c>
      <c r="P2050">
        <v>1</v>
      </c>
      <c r="Q2050">
        <v>1</v>
      </c>
      <c r="R2050">
        <v>1</v>
      </c>
      <c r="S2050">
        <v>1</v>
      </c>
      <c r="T2050">
        <v>1</v>
      </c>
      <c r="W2050">
        <v>1</v>
      </c>
      <c r="X2050">
        <v>1</v>
      </c>
      <c r="Y2050">
        <v>1</v>
      </c>
      <c r="Z2050">
        <v>1</v>
      </c>
      <c r="AA2050">
        <v>1</v>
      </c>
      <c r="AB2050">
        <v>1</v>
      </c>
    </row>
    <row r="2051" spans="1:28" x14ac:dyDescent="0.25">
      <c r="A2051" t="str">
        <f>"2047"</f>
        <v>2047</v>
      </c>
      <c r="B2051" t="str">
        <f t="shared" si="115"/>
        <v>1</v>
      </c>
      <c r="C2051" t="str">
        <f t="shared" si="118"/>
        <v>91</v>
      </c>
      <c r="D2051" t="str">
        <f>"8"</f>
        <v>8</v>
      </c>
      <c r="E2051" t="str">
        <f>"1-91-8"</f>
        <v>1-91-8</v>
      </c>
      <c r="F2051" t="s">
        <v>83</v>
      </c>
      <c r="G2051" t="s">
        <v>84</v>
      </c>
      <c r="H2051" t="s">
        <v>92</v>
      </c>
      <c r="I2051">
        <v>0</v>
      </c>
      <c r="J2051">
        <v>0</v>
      </c>
      <c r="N2051">
        <v>0</v>
      </c>
      <c r="O2051">
        <v>1</v>
      </c>
      <c r="P2051">
        <v>1</v>
      </c>
      <c r="Q2051">
        <v>0</v>
      </c>
      <c r="R2051">
        <v>0</v>
      </c>
      <c r="S2051">
        <v>0</v>
      </c>
      <c r="T2051">
        <v>0</v>
      </c>
      <c r="W2051">
        <v>0</v>
      </c>
      <c r="X2051">
        <v>1</v>
      </c>
      <c r="Y2051">
        <v>0</v>
      </c>
      <c r="Z2051">
        <v>1</v>
      </c>
      <c r="AA2051">
        <v>0</v>
      </c>
      <c r="AB2051">
        <v>1</v>
      </c>
    </row>
    <row r="2052" spans="1:28" x14ac:dyDescent="0.25">
      <c r="A2052" t="str">
        <f>"2048"</f>
        <v>2048</v>
      </c>
      <c r="B2052" t="str">
        <f t="shared" si="115"/>
        <v>1</v>
      </c>
      <c r="C2052" t="str">
        <f t="shared" si="118"/>
        <v>91</v>
      </c>
      <c r="D2052" t="str">
        <f>"2"</f>
        <v>2</v>
      </c>
      <c r="E2052" t="str">
        <f>"1-91-2"</f>
        <v>1-91-2</v>
      </c>
      <c r="F2052" t="s">
        <v>83</v>
      </c>
      <c r="G2052" t="s">
        <v>84</v>
      </c>
      <c r="H2052" t="s">
        <v>92</v>
      </c>
      <c r="I2052">
        <v>1</v>
      </c>
      <c r="J2052">
        <v>1</v>
      </c>
      <c r="N2052">
        <v>1</v>
      </c>
      <c r="O2052">
        <v>1</v>
      </c>
      <c r="P2052">
        <v>1</v>
      </c>
      <c r="Q2052">
        <v>1</v>
      </c>
      <c r="R2052">
        <v>1</v>
      </c>
      <c r="S2052">
        <v>1</v>
      </c>
      <c r="T2052">
        <v>1</v>
      </c>
      <c r="W2052">
        <v>1</v>
      </c>
      <c r="X2052">
        <v>1</v>
      </c>
      <c r="Y2052">
        <v>1</v>
      </c>
      <c r="Z2052">
        <v>1</v>
      </c>
      <c r="AA2052">
        <v>1</v>
      </c>
      <c r="AB2052">
        <v>1</v>
      </c>
    </row>
    <row r="2053" spans="1:28" x14ac:dyDescent="0.25">
      <c r="A2053" t="str">
        <f>"2049"</f>
        <v>2049</v>
      </c>
      <c r="B2053" t="str">
        <f t="shared" si="115"/>
        <v>1</v>
      </c>
      <c r="C2053" t="str">
        <f t="shared" si="118"/>
        <v>91</v>
      </c>
      <c r="D2053" t="str">
        <f>"25"</f>
        <v>25</v>
      </c>
      <c r="E2053" t="str">
        <f>"1-91-25"</f>
        <v>1-91-25</v>
      </c>
      <c r="F2053" t="s">
        <v>83</v>
      </c>
      <c r="G2053" t="s">
        <v>84</v>
      </c>
      <c r="H2053" t="s">
        <v>92</v>
      </c>
      <c r="I2053">
        <v>1</v>
      </c>
      <c r="J2053">
        <v>1</v>
      </c>
      <c r="N2053">
        <v>1</v>
      </c>
      <c r="O2053">
        <v>1</v>
      </c>
      <c r="P2053">
        <v>1</v>
      </c>
      <c r="Q2053">
        <v>1</v>
      </c>
      <c r="R2053">
        <v>1</v>
      </c>
      <c r="S2053">
        <v>1</v>
      </c>
      <c r="T2053">
        <v>1</v>
      </c>
      <c r="W2053">
        <v>1</v>
      </c>
      <c r="X2053">
        <v>1</v>
      </c>
      <c r="Y2053">
        <v>1</v>
      </c>
      <c r="Z2053">
        <v>1</v>
      </c>
      <c r="AA2053">
        <v>1</v>
      </c>
      <c r="AB2053">
        <v>1</v>
      </c>
    </row>
    <row r="2054" spans="1:28" x14ac:dyDescent="0.25">
      <c r="A2054" t="str">
        <f>"2050"</f>
        <v>2050</v>
      </c>
      <c r="B2054" t="str">
        <f t="shared" si="115"/>
        <v>1</v>
      </c>
      <c r="C2054" t="str">
        <f t="shared" si="118"/>
        <v>91</v>
      </c>
      <c r="D2054" t="str">
        <f>"24"</f>
        <v>24</v>
      </c>
      <c r="E2054" t="str">
        <f>"1-91-24"</f>
        <v>1-91-24</v>
      </c>
      <c r="F2054" t="s">
        <v>83</v>
      </c>
      <c r="G2054" t="s">
        <v>84</v>
      </c>
      <c r="H2054" t="s">
        <v>92</v>
      </c>
      <c r="I2054">
        <v>1</v>
      </c>
      <c r="J2054">
        <v>1</v>
      </c>
      <c r="N2054">
        <v>1</v>
      </c>
      <c r="O2054">
        <v>1</v>
      </c>
      <c r="P2054">
        <v>1</v>
      </c>
      <c r="Q2054">
        <v>1</v>
      </c>
      <c r="R2054">
        <v>1</v>
      </c>
      <c r="S2054">
        <v>1</v>
      </c>
      <c r="T2054">
        <v>1</v>
      </c>
      <c r="W2054">
        <v>1</v>
      </c>
      <c r="X2054">
        <v>1</v>
      </c>
      <c r="Y2054">
        <v>1</v>
      </c>
      <c r="Z2054">
        <v>1</v>
      </c>
      <c r="AA2054">
        <v>1</v>
      </c>
      <c r="AB2054">
        <v>1</v>
      </c>
    </row>
    <row r="2055" spans="1:28" x14ac:dyDescent="0.25">
      <c r="A2055" t="str">
        <f>"2051"</f>
        <v>2051</v>
      </c>
      <c r="B2055" t="str">
        <f t="shared" si="115"/>
        <v>1</v>
      </c>
      <c r="C2055" t="str">
        <f t="shared" si="118"/>
        <v>91</v>
      </c>
      <c r="D2055" t="str">
        <f>"15"</f>
        <v>15</v>
      </c>
      <c r="E2055" t="str">
        <f>"1-91-15"</f>
        <v>1-91-15</v>
      </c>
      <c r="F2055" t="s">
        <v>83</v>
      </c>
      <c r="G2055" t="s">
        <v>84</v>
      </c>
      <c r="H2055" t="s">
        <v>92</v>
      </c>
      <c r="I2055">
        <v>1</v>
      </c>
      <c r="J2055">
        <v>1</v>
      </c>
      <c r="N2055">
        <v>1</v>
      </c>
      <c r="O2055">
        <v>1</v>
      </c>
      <c r="P2055">
        <v>1</v>
      </c>
      <c r="Q2055">
        <v>1</v>
      </c>
      <c r="R2055">
        <v>1</v>
      </c>
      <c r="S2055">
        <v>1</v>
      </c>
      <c r="T2055">
        <v>1</v>
      </c>
      <c r="W2055">
        <v>1</v>
      </c>
      <c r="X2055">
        <v>1</v>
      </c>
      <c r="Y2055">
        <v>1</v>
      </c>
      <c r="Z2055">
        <v>1</v>
      </c>
      <c r="AA2055">
        <v>1</v>
      </c>
      <c r="AB2055">
        <v>1</v>
      </c>
    </row>
    <row r="2056" spans="1:28" x14ac:dyDescent="0.25">
      <c r="A2056" t="str">
        <f>"2052"</f>
        <v>2052</v>
      </c>
      <c r="B2056" t="str">
        <f t="shared" si="115"/>
        <v>1</v>
      </c>
      <c r="C2056" t="str">
        <f t="shared" si="118"/>
        <v>91</v>
      </c>
      <c r="D2056" t="str">
        <f>"9"</f>
        <v>9</v>
      </c>
      <c r="E2056" t="str">
        <f>"1-91-9"</f>
        <v>1-91-9</v>
      </c>
      <c r="F2056" t="s">
        <v>83</v>
      </c>
      <c r="G2056" t="s">
        <v>84</v>
      </c>
      <c r="H2056" t="s">
        <v>92</v>
      </c>
      <c r="I2056">
        <v>1</v>
      </c>
      <c r="J2056">
        <v>1</v>
      </c>
      <c r="N2056">
        <v>1</v>
      </c>
      <c r="O2056">
        <v>0</v>
      </c>
      <c r="P2056">
        <v>0</v>
      </c>
      <c r="Q2056">
        <v>0</v>
      </c>
      <c r="R2056">
        <v>0</v>
      </c>
      <c r="S2056">
        <v>0</v>
      </c>
      <c r="T2056">
        <v>0</v>
      </c>
      <c r="W2056">
        <v>0</v>
      </c>
      <c r="X2056">
        <v>0</v>
      </c>
      <c r="Y2056">
        <v>0</v>
      </c>
      <c r="Z2056">
        <v>0</v>
      </c>
      <c r="AA2056">
        <v>0</v>
      </c>
      <c r="AB2056">
        <v>0</v>
      </c>
    </row>
    <row r="2057" spans="1:28" x14ac:dyDescent="0.25">
      <c r="A2057" t="str">
        <f>"2053"</f>
        <v>2053</v>
      </c>
      <c r="B2057" t="str">
        <f t="shared" si="115"/>
        <v>1</v>
      </c>
      <c r="C2057" t="str">
        <f t="shared" si="118"/>
        <v>91</v>
      </c>
      <c r="D2057" t="str">
        <f>"4"</f>
        <v>4</v>
      </c>
      <c r="E2057" t="str">
        <f>"1-91-4"</f>
        <v>1-91-4</v>
      </c>
      <c r="F2057" t="s">
        <v>83</v>
      </c>
      <c r="G2057" t="s">
        <v>84</v>
      </c>
      <c r="H2057" t="s">
        <v>92</v>
      </c>
      <c r="I2057">
        <v>1</v>
      </c>
      <c r="J2057">
        <v>1</v>
      </c>
      <c r="N2057">
        <v>1</v>
      </c>
      <c r="O2057">
        <v>1</v>
      </c>
      <c r="P2057">
        <v>1</v>
      </c>
      <c r="Q2057">
        <v>1</v>
      </c>
      <c r="R2057">
        <v>1</v>
      </c>
      <c r="S2057">
        <v>1</v>
      </c>
      <c r="T2057">
        <v>1</v>
      </c>
      <c r="W2057">
        <v>1</v>
      </c>
      <c r="X2057">
        <v>1</v>
      </c>
      <c r="Y2057">
        <v>1</v>
      </c>
      <c r="Z2057">
        <v>1</v>
      </c>
      <c r="AA2057">
        <v>1</v>
      </c>
      <c r="AB2057">
        <v>1</v>
      </c>
    </row>
    <row r="2058" spans="1:28" x14ac:dyDescent="0.25">
      <c r="A2058" t="str">
        <f>"2054"</f>
        <v>2054</v>
      </c>
      <c r="B2058" t="str">
        <f t="shared" si="115"/>
        <v>1</v>
      </c>
      <c r="C2058" t="str">
        <f t="shared" si="118"/>
        <v>91</v>
      </c>
      <c r="D2058" t="str">
        <f>"18"</f>
        <v>18</v>
      </c>
      <c r="E2058" t="str">
        <f>"1-91-18"</f>
        <v>1-91-18</v>
      </c>
      <c r="F2058" t="s">
        <v>83</v>
      </c>
      <c r="G2058" t="s">
        <v>84</v>
      </c>
      <c r="H2058" t="s">
        <v>92</v>
      </c>
      <c r="I2058">
        <v>1</v>
      </c>
      <c r="J2058">
        <v>1</v>
      </c>
      <c r="N2058">
        <v>1</v>
      </c>
      <c r="O2058">
        <v>1</v>
      </c>
      <c r="P2058">
        <v>1</v>
      </c>
      <c r="Q2058">
        <v>1</v>
      </c>
      <c r="R2058">
        <v>1</v>
      </c>
      <c r="S2058">
        <v>1</v>
      </c>
      <c r="T2058">
        <v>1</v>
      </c>
      <c r="W2058">
        <v>1</v>
      </c>
      <c r="X2058">
        <v>1</v>
      </c>
      <c r="Y2058">
        <v>1</v>
      </c>
      <c r="Z2058">
        <v>1</v>
      </c>
      <c r="AA2058">
        <v>1</v>
      </c>
      <c r="AB2058">
        <v>1</v>
      </c>
    </row>
    <row r="2059" spans="1:28" x14ac:dyDescent="0.25">
      <c r="A2059" t="str">
        <f>"2055"</f>
        <v>2055</v>
      </c>
      <c r="B2059" t="str">
        <f t="shared" si="115"/>
        <v>1</v>
      </c>
      <c r="C2059" t="str">
        <f t="shared" si="118"/>
        <v>91</v>
      </c>
      <c r="D2059" t="str">
        <f>"10"</f>
        <v>10</v>
      </c>
      <c r="E2059" t="str">
        <f>"1-91-10"</f>
        <v>1-91-10</v>
      </c>
      <c r="F2059" t="s">
        <v>83</v>
      </c>
      <c r="G2059" t="s">
        <v>84</v>
      </c>
      <c r="H2059" t="s">
        <v>92</v>
      </c>
      <c r="I2059">
        <v>1</v>
      </c>
      <c r="J2059">
        <v>1</v>
      </c>
      <c r="N2059">
        <v>1</v>
      </c>
      <c r="O2059">
        <v>1</v>
      </c>
      <c r="P2059">
        <v>1</v>
      </c>
      <c r="Q2059">
        <v>1</v>
      </c>
      <c r="R2059">
        <v>1</v>
      </c>
      <c r="S2059">
        <v>1</v>
      </c>
      <c r="T2059">
        <v>1</v>
      </c>
      <c r="W2059">
        <v>1</v>
      </c>
      <c r="X2059">
        <v>1</v>
      </c>
      <c r="Y2059">
        <v>1</v>
      </c>
      <c r="Z2059">
        <v>1</v>
      </c>
      <c r="AA2059">
        <v>1</v>
      </c>
      <c r="AB2059">
        <v>1</v>
      </c>
    </row>
    <row r="2060" spans="1:28" x14ac:dyDescent="0.25">
      <c r="A2060" t="str">
        <f>"2056"</f>
        <v>2056</v>
      </c>
      <c r="B2060" t="str">
        <f t="shared" si="115"/>
        <v>1</v>
      </c>
      <c r="C2060" t="str">
        <f t="shared" si="118"/>
        <v>91</v>
      </c>
      <c r="D2060" t="str">
        <f>"6"</f>
        <v>6</v>
      </c>
      <c r="E2060" t="str">
        <f>"1-91-6"</f>
        <v>1-91-6</v>
      </c>
      <c r="F2060" t="s">
        <v>83</v>
      </c>
      <c r="G2060" t="s">
        <v>84</v>
      </c>
      <c r="H2060" t="s">
        <v>92</v>
      </c>
      <c r="I2060">
        <v>1</v>
      </c>
      <c r="J2060">
        <v>1</v>
      </c>
      <c r="N2060">
        <v>1</v>
      </c>
      <c r="O2060">
        <v>1</v>
      </c>
      <c r="P2060">
        <v>1</v>
      </c>
      <c r="Q2060">
        <v>1</v>
      </c>
      <c r="R2060">
        <v>1</v>
      </c>
      <c r="S2060">
        <v>1</v>
      </c>
      <c r="T2060">
        <v>1</v>
      </c>
      <c r="W2060">
        <v>1</v>
      </c>
      <c r="X2060">
        <v>1</v>
      </c>
      <c r="Y2060">
        <v>1</v>
      </c>
      <c r="Z2060">
        <v>1</v>
      </c>
      <c r="AA2060">
        <v>1</v>
      </c>
      <c r="AB2060">
        <v>1</v>
      </c>
    </row>
    <row r="2061" spans="1:28" x14ac:dyDescent="0.25">
      <c r="A2061" t="str">
        <f>"2057"</f>
        <v>2057</v>
      </c>
      <c r="B2061" t="str">
        <f t="shared" si="115"/>
        <v>1</v>
      </c>
      <c r="C2061" t="str">
        <f t="shared" si="118"/>
        <v>91</v>
      </c>
      <c r="D2061" t="str">
        <f>"19"</f>
        <v>19</v>
      </c>
      <c r="E2061" t="str">
        <f>"1-91-19"</f>
        <v>1-91-19</v>
      </c>
      <c r="F2061" t="s">
        <v>83</v>
      </c>
      <c r="G2061" t="s">
        <v>84</v>
      </c>
      <c r="H2061" t="s">
        <v>92</v>
      </c>
      <c r="I2061">
        <v>1</v>
      </c>
      <c r="J2061">
        <v>1</v>
      </c>
      <c r="N2061">
        <v>1</v>
      </c>
      <c r="O2061">
        <v>1</v>
      </c>
      <c r="P2061">
        <v>1</v>
      </c>
      <c r="Q2061">
        <v>1</v>
      </c>
      <c r="R2061">
        <v>1</v>
      </c>
      <c r="S2061">
        <v>1</v>
      </c>
      <c r="T2061">
        <v>1</v>
      </c>
      <c r="W2061">
        <v>1</v>
      </c>
      <c r="X2061">
        <v>1</v>
      </c>
      <c r="Y2061">
        <v>1</v>
      </c>
      <c r="Z2061">
        <v>1</v>
      </c>
      <c r="AA2061">
        <v>1</v>
      </c>
      <c r="AB2061">
        <v>1</v>
      </c>
    </row>
    <row r="2062" spans="1:28" x14ac:dyDescent="0.25">
      <c r="A2062" t="str">
        <f>"2058"</f>
        <v>2058</v>
      </c>
      <c r="B2062" t="str">
        <f t="shared" si="115"/>
        <v>1</v>
      </c>
      <c r="C2062" t="str">
        <f t="shared" si="118"/>
        <v>91</v>
      </c>
      <c r="D2062" t="str">
        <f>"11"</f>
        <v>11</v>
      </c>
      <c r="E2062" t="str">
        <f>"1-91-11"</f>
        <v>1-91-11</v>
      </c>
      <c r="F2062" t="s">
        <v>83</v>
      </c>
      <c r="G2062" t="s">
        <v>84</v>
      </c>
      <c r="H2062" t="s">
        <v>92</v>
      </c>
      <c r="I2062">
        <v>1</v>
      </c>
      <c r="J2062">
        <v>1</v>
      </c>
      <c r="N2062">
        <v>1</v>
      </c>
      <c r="O2062">
        <v>1</v>
      </c>
      <c r="P2062">
        <v>1</v>
      </c>
      <c r="Q2062">
        <v>1</v>
      </c>
      <c r="R2062">
        <v>1</v>
      </c>
      <c r="S2062">
        <v>1</v>
      </c>
      <c r="T2062">
        <v>1</v>
      </c>
      <c r="W2062">
        <v>1</v>
      </c>
      <c r="X2062">
        <v>1</v>
      </c>
      <c r="Y2062">
        <v>1</v>
      </c>
      <c r="Z2062">
        <v>1</v>
      </c>
      <c r="AA2062">
        <v>1</v>
      </c>
      <c r="AB2062">
        <v>1</v>
      </c>
    </row>
    <row r="2063" spans="1:28" x14ac:dyDescent="0.25">
      <c r="A2063" t="str">
        <f>"2059"</f>
        <v>2059</v>
      </c>
      <c r="B2063" t="str">
        <f t="shared" si="115"/>
        <v>1</v>
      </c>
      <c r="C2063" t="str">
        <f t="shared" si="118"/>
        <v>91</v>
      </c>
      <c r="D2063" t="str">
        <f>"1"</f>
        <v>1</v>
      </c>
      <c r="E2063" t="str">
        <f>"1-91-1"</f>
        <v>1-91-1</v>
      </c>
      <c r="F2063" t="s">
        <v>83</v>
      </c>
      <c r="G2063" t="s">
        <v>84</v>
      </c>
      <c r="H2063" t="s">
        <v>92</v>
      </c>
      <c r="I2063">
        <v>1</v>
      </c>
      <c r="J2063">
        <v>1</v>
      </c>
      <c r="N2063">
        <v>1</v>
      </c>
      <c r="O2063">
        <v>1</v>
      </c>
      <c r="P2063">
        <v>1</v>
      </c>
      <c r="Q2063">
        <v>1</v>
      </c>
      <c r="R2063">
        <v>1</v>
      </c>
      <c r="S2063">
        <v>1</v>
      </c>
      <c r="T2063">
        <v>1</v>
      </c>
      <c r="W2063">
        <v>1</v>
      </c>
      <c r="X2063">
        <v>1</v>
      </c>
      <c r="Y2063">
        <v>1</v>
      </c>
      <c r="Z2063">
        <v>1</v>
      </c>
      <c r="AA2063">
        <v>1</v>
      </c>
      <c r="AB2063">
        <v>1</v>
      </c>
    </row>
    <row r="2064" spans="1:28" x14ac:dyDescent="0.25">
      <c r="A2064" t="str">
        <f>"2060"</f>
        <v>2060</v>
      </c>
      <c r="B2064" t="str">
        <f t="shared" si="115"/>
        <v>1</v>
      </c>
      <c r="C2064" t="str">
        <f t="shared" si="118"/>
        <v>91</v>
      </c>
      <c r="D2064" t="str">
        <f>"17"</f>
        <v>17</v>
      </c>
      <c r="E2064" t="str">
        <f>"1-91-17"</f>
        <v>1-91-17</v>
      </c>
      <c r="F2064" t="s">
        <v>83</v>
      </c>
      <c r="G2064" t="s">
        <v>84</v>
      </c>
      <c r="H2064" t="s">
        <v>92</v>
      </c>
      <c r="I2064">
        <v>1</v>
      </c>
      <c r="J2064">
        <v>1</v>
      </c>
      <c r="N2064">
        <v>1</v>
      </c>
      <c r="O2064">
        <v>1</v>
      </c>
      <c r="P2064">
        <v>1</v>
      </c>
      <c r="Q2064">
        <v>1</v>
      </c>
      <c r="R2064">
        <v>1</v>
      </c>
      <c r="S2064">
        <v>1</v>
      </c>
      <c r="T2064">
        <v>1</v>
      </c>
      <c r="W2064">
        <v>1</v>
      </c>
      <c r="X2064">
        <v>1</v>
      </c>
      <c r="Y2064">
        <v>1</v>
      </c>
      <c r="Z2064">
        <v>1</v>
      </c>
      <c r="AA2064">
        <v>1</v>
      </c>
      <c r="AB2064">
        <v>1</v>
      </c>
    </row>
    <row r="2065" spans="1:28" x14ac:dyDescent="0.25">
      <c r="A2065" t="str">
        <f>"2061"</f>
        <v>2061</v>
      </c>
      <c r="B2065" t="str">
        <f t="shared" si="115"/>
        <v>1</v>
      </c>
      <c r="C2065" t="str">
        <f t="shared" si="118"/>
        <v>91</v>
      </c>
      <c r="D2065" t="str">
        <f>"12"</f>
        <v>12</v>
      </c>
      <c r="E2065" t="str">
        <f>"1-91-12"</f>
        <v>1-91-12</v>
      </c>
      <c r="F2065" t="s">
        <v>83</v>
      </c>
      <c r="G2065" t="s">
        <v>84</v>
      </c>
      <c r="H2065" t="s">
        <v>92</v>
      </c>
      <c r="I2065">
        <v>1</v>
      </c>
      <c r="J2065">
        <v>1</v>
      </c>
      <c r="N2065">
        <v>1</v>
      </c>
      <c r="O2065">
        <v>1</v>
      </c>
      <c r="P2065">
        <v>1</v>
      </c>
      <c r="Q2065">
        <v>1</v>
      </c>
      <c r="R2065">
        <v>1</v>
      </c>
      <c r="S2065">
        <v>1</v>
      </c>
      <c r="T2065">
        <v>1</v>
      </c>
      <c r="W2065">
        <v>1</v>
      </c>
      <c r="X2065">
        <v>1</v>
      </c>
      <c r="Y2065">
        <v>1</v>
      </c>
      <c r="Z2065">
        <v>1</v>
      </c>
      <c r="AA2065">
        <v>1</v>
      </c>
      <c r="AB2065">
        <v>1</v>
      </c>
    </row>
    <row r="2066" spans="1:28" x14ac:dyDescent="0.25">
      <c r="A2066" t="str">
        <f>"2062"</f>
        <v>2062</v>
      </c>
      <c r="B2066" t="str">
        <f t="shared" si="115"/>
        <v>1</v>
      </c>
      <c r="C2066" t="str">
        <f t="shared" si="118"/>
        <v>91</v>
      </c>
      <c r="D2066" t="str">
        <f>"7"</f>
        <v>7</v>
      </c>
      <c r="E2066" t="str">
        <f>"1-91-7"</f>
        <v>1-91-7</v>
      </c>
      <c r="F2066" t="s">
        <v>83</v>
      </c>
      <c r="G2066" t="s">
        <v>84</v>
      </c>
      <c r="H2066" t="s">
        <v>92</v>
      </c>
      <c r="I2066">
        <v>1</v>
      </c>
      <c r="J2066">
        <v>1</v>
      </c>
      <c r="N2066">
        <v>1</v>
      </c>
      <c r="O2066">
        <v>1</v>
      </c>
      <c r="P2066">
        <v>1</v>
      </c>
      <c r="Q2066">
        <v>1</v>
      </c>
      <c r="R2066">
        <v>1</v>
      </c>
      <c r="S2066">
        <v>1</v>
      </c>
      <c r="T2066">
        <v>1</v>
      </c>
      <c r="W2066">
        <v>1</v>
      </c>
      <c r="X2066">
        <v>1</v>
      </c>
      <c r="Y2066">
        <v>1</v>
      </c>
      <c r="Z2066">
        <v>1</v>
      </c>
      <c r="AA2066">
        <v>1</v>
      </c>
      <c r="AB2066">
        <v>1</v>
      </c>
    </row>
    <row r="2067" spans="1:28" x14ac:dyDescent="0.25">
      <c r="A2067" t="str">
        <f>"2063"</f>
        <v>2063</v>
      </c>
      <c r="B2067" t="str">
        <f t="shared" si="115"/>
        <v>1</v>
      </c>
      <c r="C2067" t="str">
        <f t="shared" si="118"/>
        <v>91</v>
      </c>
      <c r="D2067" t="str">
        <f>"21"</f>
        <v>21</v>
      </c>
      <c r="E2067" t="str">
        <f>"1-91-21"</f>
        <v>1-91-21</v>
      </c>
      <c r="F2067" t="s">
        <v>83</v>
      </c>
      <c r="G2067" t="s">
        <v>84</v>
      </c>
      <c r="H2067" t="s">
        <v>92</v>
      </c>
      <c r="I2067">
        <v>1</v>
      </c>
      <c r="J2067">
        <v>1</v>
      </c>
      <c r="N2067">
        <v>1</v>
      </c>
      <c r="O2067">
        <v>1</v>
      </c>
      <c r="P2067">
        <v>1</v>
      </c>
      <c r="Q2067">
        <v>1</v>
      </c>
      <c r="R2067">
        <v>1</v>
      </c>
      <c r="S2067">
        <v>1</v>
      </c>
      <c r="T2067">
        <v>1</v>
      </c>
      <c r="W2067">
        <v>1</v>
      </c>
      <c r="X2067">
        <v>1</v>
      </c>
      <c r="Y2067">
        <v>1</v>
      </c>
      <c r="Z2067">
        <v>1</v>
      </c>
      <c r="AA2067">
        <v>1</v>
      </c>
      <c r="AB2067">
        <v>1</v>
      </c>
    </row>
    <row r="2068" spans="1:28" x14ac:dyDescent="0.25">
      <c r="A2068" t="str">
        <f>"2064"</f>
        <v>2064</v>
      </c>
      <c r="B2068" t="str">
        <f t="shared" si="115"/>
        <v>1</v>
      </c>
      <c r="C2068" t="str">
        <f t="shared" si="118"/>
        <v>91</v>
      </c>
      <c r="D2068" t="str">
        <f>"13"</f>
        <v>13</v>
      </c>
      <c r="E2068" t="str">
        <f>"1-91-13"</f>
        <v>1-91-13</v>
      </c>
      <c r="F2068" t="s">
        <v>83</v>
      </c>
      <c r="G2068" t="s">
        <v>84</v>
      </c>
      <c r="H2068" t="s">
        <v>92</v>
      </c>
      <c r="I2068">
        <v>1</v>
      </c>
      <c r="J2068">
        <v>1</v>
      </c>
      <c r="N2068">
        <v>1</v>
      </c>
      <c r="O2068">
        <v>0</v>
      </c>
      <c r="P2068">
        <v>0</v>
      </c>
      <c r="Q2068">
        <v>0</v>
      </c>
      <c r="R2068">
        <v>0</v>
      </c>
      <c r="S2068">
        <v>1</v>
      </c>
      <c r="T2068">
        <v>0</v>
      </c>
      <c r="W2068">
        <v>1</v>
      </c>
      <c r="X2068">
        <v>1</v>
      </c>
      <c r="Y2068">
        <v>1</v>
      </c>
      <c r="Z2068">
        <v>0</v>
      </c>
      <c r="AA2068">
        <v>0</v>
      </c>
      <c r="AB2068">
        <v>1</v>
      </c>
    </row>
    <row r="2069" spans="1:28" x14ac:dyDescent="0.25">
      <c r="A2069" t="str">
        <f>"2065"</f>
        <v>2065</v>
      </c>
      <c r="B2069" t="str">
        <f t="shared" si="115"/>
        <v>1</v>
      </c>
      <c r="C2069" t="str">
        <f t="shared" si="118"/>
        <v>91</v>
      </c>
      <c r="D2069" t="str">
        <f>"3"</f>
        <v>3</v>
      </c>
      <c r="E2069" t="str">
        <f>"1-91-3"</f>
        <v>1-91-3</v>
      </c>
      <c r="F2069" t="s">
        <v>83</v>
      </c>
      <c r="G2069" t="s">
        <v>84</v>
      </c>
      <c r="H2069" t="s">
        <v>92</v>
      </c>
      <c r="I2069">
        <v>0</v>
      </c>
      <c r="J2069">
        <v>0</v>
      </c>
      <c r="N2069">
        <v>1</v>
      </c>
      <c r="O2069">
        <v>0</v>
      </c>
      <c r="P2069">
        <v>0</v>
      </c>
      <c r="Q2069">
        <v>0</v>
      </c>
      <c r="R2069">
        <v>0</v>
      </c>
      <c r="S2069">
        <v>0</v>
      </c>
      <c r="T2069">
        <v>0</v>
      </c>
      <c r="W2069">
        <v>0</v>
      </c>
      <c r="X2069">
        <v>0</v>
      </c>
      <c r="Y2069">
        <v>1</v>
      </c>
      <c r="Z2069">
        <v>0</v>
      </c>
      <c r="AA2069">
        <v>0</v>
      </c>
      <c r="AB2069">
        <v>1</v>
      </c>
    </row>
    <row r="2070" spans="1:28" x14ac:dyDescent="0.25">
      <c r="A2070" t="str">
        <f>"2066"</f>
        <v>2066</v>
      </c>
      <c r="B2070" t="str">
        <f t="shared" si="115"/>
        <v>1</v>
      </c>
      <c r="C2070" t="str">
        <f t="shared" si="118"/>
        <v>91</v>
      </c>
      <c r="D2070" t="str">
        <f>"20"</f>
        <v>20</v>
      </c>
      <c r="E2070" t="str">
        <f>"1-91-20"</f>
        <v>1-91-20</v>
      </c>
      <c r="F2070" t="s">
        <v>83</v>
      </c>
      <c r="G2070" t="s">
        <v>84</v>
      </c>
      <c r="H2070" t="s">
        <v>92</v>
      </c>
      <c r="I2070">
        <v>1</v>
      </c>
      <c r="J2070">
        <v>1</v>
      </c>
      <c r="N2070">
        <v>1</v>
      </c>
      <c r="O2070">
        <v>1</v>
      </c>
      <c r="P2070">
        <v>1</v>
      </c>
      <c r="Q2070">
        <v>1</v>
      </c>
      <c r="R2070">
        <v>1</v>
      </c>
      <c r="S2070">
        <v>1</v>
      </c>
      <c r="T2070">
        <v>1</v>
      </c>
      <c r="W2070">
        <v>1</v>
      </c>
      <c r="X2070">
        <v>1</v>
      </c>
      <c r="Y2070">
        <v>1</v>
      </c>
      <c r="Z2070">
        <v>1</v>
      </c>
      <c r="AA2070">
        <v>1</v>
      </c>
      <c r="AB2070">
        <v>1</v>
      </c>
    </row>
    <row r="2071" spans="1:28" x14ac:dyDescent="0.25">
      <c r="A2071" t="str">
        <f>"2067"</f>
        <v>2067</v>
      </c>
      <c r="B2071" t="str">
        <f t="shared" si="115"/>
        <v>1</v>
      </c>
      <c r="C2071" t="str">
        <f t="shared" si="118"/>
        <v>91</v>
      </c>
      <c r="D2071" t="str">
        <f>"14"</f>
        <v>14</v>
      </c>
      <c r="E2071" t="str">
        <f>"1-91-14"</f>
        <v>1-91-14</v>
      </c>
      <c r="F2071" t="s">
        <v>83</v>
      </c>
      <c r="G2071" t="s">
        <v>84</v>
      </c>
      <c r="H2071" t="s">
        <v>92</v>
      </c>
      <c r="I2071">
        <v>1</v>
      </c>
      <c r="J2071">
        <v>1</v>
      </c>
      <c r="N2071">
        <v>1</v>
      </c>
      <c r="O2071">
        <v>1</v>
      </c>
      <c r="P2071">
        <v>1</v>
      </c>
      <c r="Q2071">
        <v>1</v>
      </c>
      <c r="R2071">
        <v>1</v>
      </c>
      <c r="S2071">
        <v>1</v>
      </c>
      <c r="T2071">
        <v>1</v>
      </c>
      <c r="W2071">
        <v>1</v>
      </c>
      <c r="X2071">
        <v>1</v>
      </c>
      <c r="Y2071">
        <v>1</v>
      </c>
      <c r="Z2071">
        <v>1</v>
      </c>
      <c r="AA2071">
        <v>1</v>
      </c>
      <c r="AB2071">
        <v>1</v>
      </c>
    </row>
    <row r="2072" spans="1:28" x14ac:dyDescent="0.25">
      <c r="A2072" t="str">
        <f>"2068"</f>
        <v>2068</v>
      </c>
      <c r="B2072" t="str">
        <f t="shared" si="115"/>
        <v>1</v>
      </c>
      <c r="C2072" t="str">
        <f t="shared" si="118"/>
        <v>91</v>
      </c>
      <c r="D2072" t="str">
        <f>"5"</f>
        <v>5</v>
      </c>
      <c r="E2072" t="str">
        <f>"1-91-5"</f>
        <v>1-91-5</v>
      </c>
      <c r="F2072" t="s">
        <v>83</v>
      </c>
      <c r="G2072" t="s">
        <v>84</v>
      </c>
      <c r="H2072" t="s">
        <v>92</v>
      </c>
      <c r="I2072">
        <v>1</v>
      </c>
      <c r="J2072">
        <v>1</v>
      </c>
      <c r="N2072">
        <v>1</v>
      </c>
      <c r="O2072">
        <v>1</v>
      </c>
      <c r="P2072">
        <v>1</v>
      </c>
      <c r="Q2072">
        <v>1</v>
      </c>
      <c r="R2072">
        <v>1</v>
      </c>
      <c r="S2072">
        <v>1</v>
      </c>
      <c r="T2072">
        <v>1</v>
      </c>
      <c r="W2072">
        <v>1</v>
      </c>
      <c r="X2072">
        <v>1</v>
      </c>
      <c r="Y2072">
        <v>1</v>
      </c>
      <c r="Z2072">
        <v>1</v>
      </c>
      <c r="AA2072">
        <v>1</v>
      </c>
      <c r="AB2072">
        <v>1</v>
      </c>
    </row>
    <row r="2073" spans="1:28" x14ac:dyDescent="0.25">
      <c r="A2073" t="str">
        <f>"2069"</f>
        <v>2069</v>
      </c>
      <c r="B2073" t="str">
        <f t="shared" si="115"/>
        <v>1</v>
      </c>
      <c r="C2073" t="str">
        <f t="shared" ref="C2073:C2095" si="119">"92"</f>
        <v>92</v>
      </c>
      <c r="D2073" t="str">
        <f>"23"</f>
        <v>23</v>
      </c>
      <c r="E2073" t="str">
        <f>"1-92-23"</f>
        <v>1-92-23</v>
      </c>
      <c r="F2073" t="s">
        <v>83</v>
      </c>
      <c r="G2073" t="s">
        <v>84</v>
      </c>
      <c r="H2073" t="s">
        <v>92</v>
      </c>
      <c r="I2073">
        <v>1</v>
      </c>
      <c r="J2073">
        <v>1</v>
      </c>
      <c r="N2073">
        <v>1</v>
      </c>
      <c r="O2073">
        <v>1</v>
      </c>
      <c r="P2073">
        <v>1</v>
      </c>
      <c r="Q2073">
        <v>1</v>
      </c>
      <c r="R2073">
        <v>1</v>
      </c>
      <c r="S2073">
        <v>1</v>
      </c>
      <c r="T2073">
        <v>1</v>
      </c>
      <c r="W2073">
        <v>0</v>
      </c>
      <c r="X2073">
        <v>1</v>
      </c>
      <c r="Y2073">
        <v>1</v>
      </c>
      <c r="Z2073">
        <v>1</v>
      </c>
      <c r="AA2073">
        <v>1</v>
      </c>
      <c r="AB2073">
        <v>1</v>
      </c>
    </row>
    <row r="2074" spans="1:28" x14ac:dyDescent="0.25">
      <c r="A2074" t="str">
        <f>"2070"</f>
        <v>2070</v>
      </c>
      <c r="B2074" t="str">
        <f t="shared" si="115"/>
        <v>1</v>
      </c>
      <c r="C2074" t="str">
        <f t="shared" si="119"/>
        <v>92</v>
      </c>
      <c r="D2074" t="str">
        <f>"22"</f>
        <v>22</v>
      </c>
      <c r="E2074" t="str">
        <f>"1-92-22"</f>
        <v>1-92-22</v>
      </c>
      <c r="F2074" t="s">
        <v>83</v>
      </c>
      <c r="G2074" t="s">
        <v>84</v>
      </c>
      <c r="H2074" t="s">
        <v>92</v>
      </c>
      <c r="I2074">
        <v>1</v>
      </c>
      <c r="J2074">
        <v>1</v>
      </c>
      <c r="N2074">
        <v>1</v>
      </c>
      <c r="O2074">
        <v>1</v>
      </c>
      <c r="P2074">
        <v>1</v>
      </c>
      <c r="Q2074">
        <v>1</v>
      </c>
      <c r="R2074">
        <v>1</v>
      </c>
      <c r="S2074">
        <v>1</v>
      </c>
      <c r="T2074">
        <v>1</v>
      </c>
      <c r="W2074">
        <v>1</v>
      </c>
      <c r="X2074">
        <v>1</v>
      </c>
      <c r="Y2074">
        <v>1</v>
      </c>
      <c r="Z2074">
        <v>1</v>
      </c>
      <c r="AA2074">
        <v>1</v>
      </c>
      <c r="AB2074">
        <v>1</v>
      </c>
    </row>
    <row r="2075" spans="1:28" x14ac:dyDescent="0.25">
      <c r="A2075" t="str">
        <f>"2071"</f>
        <v>2071</v>
      </c>
      <c r="B2075" t="str">
        <f t="shared" si="115"/>
        <v>1</v>
      </c>
      <c r="C2075" t="str">
        <f t="shared" si="119"/>
        <v>92</v>
      </c>
      <c r="D2075" t="str">
        <f>"16"</f>
        <v>16</v>
      </c>
      <c r="E2075" t="str">
        <f>"1-92-16"</f>
        <v>1-92-16</v>
      </c>
      <c r="F2075" t="s">
        <v>83</v>
      </c>
      <c r="G2075" t="s">
        <v>84</v>
      </c>
      <c r="H2075" t="s">
        <v>92</v>
      </c>
      <c r="I2075">
        <v>1</v>
      </c>
      <c r="J2075">
        <v>1</v>
      </c>
      <c r="N2075">
        <v>1</v>
      </c>
      <c r="O2075">
        <v>1</v>
      </c>
      <c r="P2075">
        <v>1</v>
      </c>
      <c r="Q2075">
        <v>1</v>
      </c>
      <c r="R2075">
        <v>1</v>
      </c>
      <c r="S2075">
        <v>1</v>
      </c>
      <c r="T2075">
        <v>1</v>
      </c>
      <c r="W2075">
        <v>1</v>
      </c>
      <c r="X2075">
        <v>1</v>
      </c>
      <c r="Y2075">
        <v>1</v>
      </c>
      <c r="Z2075">
        <v>1</v>
      </c>
      <c r="AA2075">
        <v>1</v>
      </c>
      <c r="AB2075">
        <v>1</v>
      </c>
    </row>
    <row r="2076" spans="1:28" x14ac:dyDescent="0.25">
      <c r="A2076" t="str">
        <f>"2072"</f>
        <v>2072</v>
      </c>
      <c r="B2076" t="str">
        <f t="shared" si="115"/>
        <v>1</v>
      </c>
      <c r="C2076" t="str">
        <f t="shared" si="119"/>
        <v>92</v>
      </c>
      <c r="D2076" t="str">
        <f>"8"</f>
        <v>8</v>
      </c>
      <c r="E2076" t="str">
        <f>"1-92-8"</f>
        <v>1-92-8</v>
      </c>
      <c r="F2076" t="s">
        <v>83</v>
      </c>
      <c r="G2076" t="s">
        <v>86</v>
      </c>
      <c r="H2076" t="s">
        <v>93</v>
      </c>
      <c r="I2076">
        <v>1</v>
      </c>
      <c r="K2076">
        <v>0</v>
      </c>
      <c r="L2076">
        <v>0</v>
      </c>
      <c r="M2076">
        <v>1</v>
      </c>
      <c r="N2076">
        <v>1</v>
      </c>
      <c r="O2076">
        <v>1</v>
      </c>
      <c r="P2076">
        <v>1</v>
      </c>
      <c r="Q2076">
        <v>1</v>
      </c>
      <c r="R2076">
        <v>1</v>
      </c>
      <c r="U2076">
        <v>0</v>
      </c>
      <c r="V2076">
        <v>1</v>
      </c>
      <c r="W2076">
        <v>1</v>
      </c>
      <c r="X2076">
        <v>1</v>
      </c>
      <c r="Y2076">
        <v>1</v>
      </c>
      <c r="Z2076">
        <v>1</v>
      </c>
      <c r="AA2076">
        <v>1</v>
      </c>
      <c r="AB2076">
        <v>1</v>
      </c>
    </row>
    <row r="2077" spans="1:28" x14ac:dyDescent="0.25">
      <c r="A2077" t="str">
        <f>"2073"</f>
        <v>2073</v>
      </c>
      <c r="B2077" t="str">
        <f t="shared" si="115"/>
        <v>1</v>
      </c>
      <c r="C2077" t="str">
        <f t="shared" si="119"/>
        <v>92</v>
      </c>
      <c r="D2077" t="str">
        <f>"3"</f>
        <v>3</v>
      </c>
      <c r="E2077" t="str">
        <f>"1-92-3"</f>
        <v>1-92-3</v>
      </c>
      <c r="F2077" t="s">
        <v>83</v>
      </c>
      <c r="G2077" t="s">
        <v>84</v>
      </c>
      <c r="H2077" t="s">
        <v>92</v>
      </c>
      <c r="I2077">
        <v>1</v>
      </c>
      <c r="J2077">
        <v>0</v>
      </c>
      <c r="N2077">
        <v>0</v>
      </c>
      <c r="O2077">
        <v>0</v>
      </c>
      <c r="P2077">
        <v>0</v>
      </c>
      <c r="Q2077">
        <v>0</v>
      </c>
      <c r="R2077">
        <v>0</v>
      </c>
      <c r="S2077">
        <v>0</v>
      </c>
      <c r="T2077">
        <v>0</v>
      </c>
      <c r="W2077">
        <v>0</v>
      </c>
      <c r="X2077">
        <v>1</v>
      </c>
      <c r="Y2077">
        <v>0</v>
      </c>
      <c r="Z2077">
        <v>1</v>
      </c>
      <c r="AA2077">
        <v>1</v>
      </c>
      <c r="AB2077">
        <v>1</v>
      </c>
    </row>
    <row r="2078" spans="1:28" x14ac:dyDescent="0.25">
      <c r="A2078" t="str">
        <f>"2074"</f>
        <v>2074</v>
      </c>
      <c r="B2078" t="str">
        <f t="shared" ref="B2078:B2141" si="120">"1"</f>
        <v>1</v>
      </c>
      <c r="C2078" t="str">
        <f t="shared" si="119"/>
        <v>92</v>
      </c>
      <c r="D2078" t="str">
        <f>"15"</f>
        <v>15</v>
      </c>
      <c r="E2078" t="str">
        <f>"1-92-15"</f>
        <v>1-92-15</v>
      </c>
      <c r="F2078" t="s">
        <v>83</v>
      </c>
      <c r="G2078" t="s">
        <v>84</v>
      </c>
      <c r="H2078" t="s">
        <v>92</v>
      </c>
      <c r="I2078">
        <v>1</v>
      </c>
      <c r="J2078">
        <v>1</v>
      </c>
      <c r="N2078">
        <v>1</v>
      </c>
      <c r="O2078">
        <v>1</v>
      </c>
      <c r="P2078">
        <v>1</v>
      </c>
      <c r="Q2078">
        <v>1</v>
      </c>
      <c r="R2078">
        <v>1</v>
      </c>
      <c r="S2078">
        <v>1</v>
      </c>
      <c r="T2078">
        <v>1</v>
      </c>
      <c r="W2078">
        <v>1</v>
      </c>
      <c r="X2078">
        <v>1</v>
      </c>
      <c r="Y2078">
        <v>1</v>
      </c>
      <c r="Z2078">
        <v>1</v>
      </c>
      <c r="AA2078">
        <v>1</v>
      </c>
      <c r="AB2078">
        <v>1</v>
      </c>
    </row>
    <row r="2079" spans="1:28" x14ac:dyDescent="0.25">
      <c r="A2079" t="str">
        <f>"2075"</f>
        <v>2075</v>
      </c>
      <c r="B2079" t="str">
        <f t="shared" si="120"/>
        <v>1</v>
      </c>
      <c r="C2079" t="str">
        <f t="shared" si="119"/>
        <v>92</v>
      </c>
      <c r="D2079" t="str">
        <f>"9"</f>
        <v>9</v>
      </c>
      <c r="E2079" t="str">
        <f>"1-92-9"</f>
        <v>1-92-9</v>
      </c>
      <c r="F2079" t="s">
        <v>83</v>
      </c>
      <c r="G2079" t="s">
        <v>84</v>
      </c>
      <c r="H2079" t="s">
        <v>92</v>
      </c>
      <c r="I2079">
        <v>1</v>
      </c>
      <c r="J2079">
        <v>1</v>
      </c>
      <c r="N2079">
        <v>1</v>
      </c>
      <c r="O2079">
        <v>1</v>
      </c>
      <c r="P2079">
        <v>1</v>
      </c>
      <c r="Q2079">
        <v>1</v>
      </c>
      <c r="R2079">
        <v>1</v>
      </c>
      <c r="S2079">
        <v>1</v>
      </c>
      <c r="T2079">
        <v>1</v>
      </c>
      <c r="W2079">
        <v>1</v>
      </c>
      <c r="X2079">
        <v>1</v>
      </c>
      <c r="Y2079">
        <v>1</v>
      </c>
      <c r="Z2079">
        <v>1</v>
      </c>
      <c r="AA2079">
        <v>1</v>
      </c>
      <c r="AB2079">
        <v>1</v>
      </c>
    </row>
    <row r="2080" spans="1:28" x14ac:dyDescent="0.25">
      <c r="A2080" t="str">
        <f>"2076"</f>
        <v>2076</v>
      </c>
      <c r="B2080" t="str">
        <f t="shared" si="120"/>
        <v>1</v>
      </c>
      <c r="C2080" t="str">
        <f t="shared" si="119"/>
        <v>92</v>
      </c>
      <c r="D2080" t="str">
        <f>"5"</f>
        <v>5</v>
      </c>
      <c r="E2080" t="str">
        <f>"1-92-5"</f>
        <v>1-92-5</v>
      </c>
      <c r="F2080" t="s">
        <v>83</v>
      </c>
      <c r="G2080" t="s">
        <v>84</v>
      </c>
      <c r="H2080" t="s">
        <v>92</v>
      </c>
      <c r="I2080">
        <v>1</v>
      </c>
      <c r="J2080">
        <v>1</v>
      </c>
      <c r="N2080">
        <v>1</v>
      </c>
      <c r="O2080">
        <v>1</v>
      </c>
      <c r="P2080">
        <v>1</v>
      </c>
      <c r="Q2080">
        <v>1</v>
      </c>
      <c r="R2080">
        <v>1</v>
      </c>
      <c r="S2080">
        <v>1</v>
      </c>
      <c r="T2080">
        <v>1</v>
      </c>
      <c r="W2080">
        <v>1</v>
      </c>
      <c r="X2080">
        <v>1</v>
      </c>
      <c r="Y2080">
        <v>1</v>
      </c>
      <c r="Z2080">
        <v>1</v>
      </c>
      <c r="AA2080">
        <v>1</v>
      </c>
      <c r="AB2080">
        <v>1</v>
      </c>
    </row>
    <row r="2081" spans="1:28" x14ac:dyDescent="0.25">
      <c r="A2081" t="str">
        <f>"2077"</f>
        <v>2077</v>
      </c>
      <c r="B2081" t="str">
        <f t="shared" si="120"/>
        <v>1</v>
      </c>
      <c r="C2081" t="str">
        <f t="shared" si="119"/>
        <v>92</v>
      </c>
      <c r="D2081" t="str">
        <f>"17"</f>
        <v>17</v>
      </c>
      <c r="E2081" t="str">
        <f>"1-92-17"</f>
        <v>1-92-17</v>
      </c>
      <c r="F2081" t="s">
        <v>83</v>
      </c>
      <c r="G2081" t="s">
        <v>84</v>
      </c>
      <c r="H2081" t="s">
        <v>92</v>
      </c>
      <c r="I2081">
        <v>1</v>
      </c>
      <c r="J2081">
        <v>1</v>
      </c>
      <c r="N2081">
        <v>1</v>
      </c>
      <c r="O2081">
        <v>1</v>
      </c>
      <c r="P2081">
        <v>1</v>
      </c>
      <c r="Q2081">
        <v>1</v>
      </c>
      <c r="R2081">
        <v>1</v>
      </c>
      <c r="S2081">
        <v>1</v>
      </c>
      <c r="T2081">
        <v>1</v>
      </c>
      <c r="W2081">
        <v>1</v>
      </c>
      <c r="X2081">
        <v>1</v>
      </c>
      <c r="Y2081">
        <v>1</v>
      </c>
      <c r="Z2081">
        <v>1</v>
      </c>
      <c r="AA2081">
        <v>1</v>
      </c>
      <c r="AB2081">
        <v>1</v>
      </c>
    </row>
    <row r="2082" spans="1:28" x14ac:dyDescent="0.25">
      <c r="A2082" t="str">
        <f>"2078"</f>
        <v>2078</v>
      </c>
      <c r="B2082" t="str">
        <f t="shared" si="120"/>
        <v>1</v>
      </c>
      <c r="C2082" t="str">
        <f t="shared" si="119"/>
        <v>92</v>
      </c>
      <c r="D2082" t="str">
        <f>"10"</f>
        <v>10</v>
      </c>
      <c r="E2082" t="str">
        <f>"1-92-10"</f>
        <v>1-92-10</v>
      </c>
      <c r="F2082" t="s">
        <v>83</v>
      </c>
      <c r="G2082" t="s">
        <v>84</v>
      </c>
      <c r="H2082" t="s">
        <v>92</v>
      </c>
      <c r="I2082">
        <v>1</v>
      </c>
      <c r="J2082">
        <v>1</v>
      </c>
      <c r="N2082">
        <v>1</v>
      </c>
      <c r="O2082">
        <v>1</v>
      </c>
      <c r="P2082">
        <v>1</v>
      </c>
      <c r="Q2082">
        <v>1</v>
      </c>
      <c r="R2082">
        <v>1</v>
      </c>
      <c r="S2082">
        <v>1</v>
      </c>
      <c r="T2082">
        <v>1</v>
      </c>
      <c r="W2082">
        <v>1</v>
      </c>
      <c r="X2082">
        <v>1</v>
      </c>
      <c r="Y2082">
        <v>1</v>
      </c>
      <c r="Z2082">
        <v>1</v>
      </c>
      <c r="AA2082">
        <v>1</v>
      </c>
      <c r="AB2082">
        <v>1</v>
      </c>
    </row>
    <row r="2083" spans="1:28" x14ac:dyDescent="0.25">
      <c r="A2083" t="str">
        <f>"2079"</f>
        <v>2079</v>
      </c>
      <c r="B2083" t="str">
        <f t="shared" si="120"/>
        <v>1</v>
      </c>
      <c r="C2083" t="str">
        <f t="shared" si="119"/>
        <v>92</v>
      </c>
      <c r="D2083" t="str">
        <f>"2"</f>
        <v>2</v>
      </c>
      <c r="E2083" t="str">
        <f>"1-92-2"</f>
        <v>1-92-2</v>
      </c>
      <c r="F2083" t="s">
        <v>83</v>
      </c>
      <c r="G2083" t="s">
        <v>84</v>
      </c>
      <c r="H2083" t="s">
        <v>92</v>
      </c>
      <c r="I2083">
        <v>1</v>
      </c>
      <c r="J2083">
        <v>1</v>
      </c>
      <c r="N2083">
        <v>1</v>
      </c>
      <c r="O2083">
        <v>1</v>
      </c>
      <c r="P2083">
        <v>1</v>
      </c>
      <c r="Q2083">
        <v>1</v>
      </c>
      <c r="R2083">
        <v>1</v>
      </c>
      <c r="S2083">
        <v>1</v>
      </c>
      <c r="T2083">
        <v>1</v>
      </c>
      <c r="W2083">
        <v>1</v>
      </c>
      <c r="X2083">
        <v>1</v>
      </c>
      <c r="Y2083">
        <v>1</v>
      </c>
      <c r="Z2083">
        <v>1</v>
      </c>
      <c r="AA2083">
        <v>1</v>
      </c>
      <c r="AB2083">
        <v>1</v>
      </c>
    </row>
    <row r="2084" spans="1:28" x14ac:dyDescent="0.25">
      <c r="A2084" t="str">
        <f>"2080"</f>
        <v>2080</v>
      </c>
      <c r="B2084" t="str">
        <f t="shared" si="120"/>
        <v>1</v>
      </c>
      <c r="C2084" t="str">
        <f t="shared" si="119"/>
        <v>92</v>
      </c>
      <c r="D2084" t="str">
        <f>"18"</f>
        <v>18</v>
      </c>
      <c r="E2084" t="str">
        <f>"1-92-18"</f>
        <v>1-92-18</v>
      </c>
      <c r="F2084" t="s">
        <v>83</v>
      </c>
      <c r="G2084" t="s">
        <v>84</v>
      </c>
      <c r="H2084" t="s">
        <v>92</v>
      </c>
      <c r="I2084">
        <v>1</v>
      </c>
      <c r="J2084">
        <v>0</v>
      </c>
      <c r="N2084">
        <v>1</v>
      </c>
      <c r="O2084">
        <v>0</v>
      </c>
      <c r="P2084">
        <v>0</v>
      </c>
      <c r="Q2084">
        <v>0</v>
      </c>
      <c r="R2084">
        <v>0</v>
      </c>
      <c r="S2084">
        <v>1</v>
      </c>
      <c r="T2084">
        <v>0</v>
      </c>
      <c r="W2084">
        <v>1</v>
      </c>
      <c r="X2084">
        <v>1</v>
      </c>
      <c r="Y2084">
        <v>1</v>
      </c>
      <c r="Z2084">
        <v>1</v>
      </c>
      <c r="AA2084">
        <v>1</v>
      </c>
      <c r="AB2084">
        <v>1</v>
      </c>
    </row>
    <row r="2085" spans="1:28" x14ac:dyDescent="0.25">
      <c r="A2085" t="str">
        <f>"2081"</f>
        <v>2081</v>
      </c>
      <c r="B2085" t="str">
        <f t="shared" si="120"/>
        <v>1</v>
      </c>
      <c r="C2085" t="str">
        <f t="shared" si="119"/>
        <v>92</v>
      </c>
      <c r="D2085" t="str">
        <f>"11"</f>
        <v>11</v>
      </c>
      <c r="E2085" t="str">
        <f>"1-92-11"</f>
        <v>1-92-11</v>
      </c>
      <c r="F2085" t="s">
        <v>83</v>
      </c>
      <c r="G2085" t="s">
        <v>84</v>
      </c>
      <c r="H2085" t="s">
        <v>92</v>
      </c>
      <c r="I2085">
        <v>1</v>
      </c>
      <c r="J2085">
        <v>1</v>
      </c>
      <c r="N2085">
        <v>1</v>
      </c>
      <c r="O2085">
        <v>1</v>
      </c>
      <c r="P2085">
        <v>1</v>
      </c>
      <c r="Q2085">
        <v>1</v>
      </c>
      <c r="R2085">
        <v>1</v>
      </c>
      <c r="S2085">
        <v>1</v>
      </c>
      <c r="T2085">
        <v>1</v>
      </c>
      <c r="W2085">
        <v>1</v>
      </c>
      <c r="X2085">
        <v>1</v>
      </c>
      <c r="Y2085">
        <v>1</v>
      </c>
      <c r="Z2085">
        <v>1</v>
      </c>
      <c r="AA2085">
        <v>1</v>
      </c>
      <c r="AB2085">
        <v>1</v>
      </c>
    </row>
    <row r="2086" spans="1:28" x14ac:dyDescent="0.25">
      <c r="A2086" t="str">
        <f>"2082"</f>
        <v>2082</v>
      </c>
      <c r="B2086" t="str">
        <f t="shared" si="120"/>
        <v>1</v>
      </c>
      <c r="C2086" t="str">
        <f t="shared" si="119"/>
        <v>92</v>
      </c>
      <c r="D2086" t="str">
        <f>"7"</f>
        <v>7</v>
      </c>
      <c r="E2086" t="str">
        <f>"1-92-7"</f>
        <v>1-92-7</v>
      </c>
      <c r="F2086" t="s">
        <v>83</v>
      </c>
      <c r="G2086" t="s">
        <v>84</v>
      </c>
      <c r="H2086" t="s">
        <v>92</v>
      </c>
      <c r="I2086">
        <v>1</v>
      </c>
      <c r="J2086">
        <v>1</v>
      </c>
      <c r="N2086">
        <v>1</v>
      </c>
      <c r="O2086">
        <v>1</v>
      </c>
      <c r="P2086">
        <v>1</v>
      </c>
      <c r="Q2086">
        <v>1</v>
      </c>
      <c r="R2086">
        <v>1</v>
      </c>
      <c r="S2086">
        <v>1</v>
      </c>
      <c r="T2086">
        <v>1</v>
      </c>
      <c r="W2086">
        <v>1</v>
      </c>
      <c r="X2086">
        <v>1</v>
      </c>
      <c r="Y2086">
        <v>1</v>
      </c>
      <c r="Z2086">
        <v>1</v>
      </c>
      <c r="AA2086">
        <v>1</v>
      </c>
      <c r="AB2086">
        <v>1</v>
      </c>
    </row>
    <row r="2087" spans="1:28" x14ac:dyDescent="0.25">
      <c r="A2087" t="str">
        <f>"2083"</f>
        <v>2083</v>
      </c>
      <c r="B2087" t="str">
        <f t="shared" si="120"/>
        <v>1</v>
      </c>
      <c r="C2087" t="str">
        <f t="shared" si="119"/>
        <v>92</v>
      </c>
      <c r="D2087" t="str">
        <f>"19"</f>
        <v>19</v>
      </c>
      <c r="E2087" t="str">
        <f>"1-92-19"</f>
        <v>1-92-19</v>
      </c>
      <c r="F2087" t="s">
        <v>83</v>
      </c>
      <c r="G2087" t="s">
        <v>84</v>
      </c>
      <c r="H2087" t="s">
        <v>92</v>
      </c>
      <c r="I2087">
        <v>1</v>
      </c>
      <c r="J2087">
        <v>1</v>
      </c>
      <c r="N2087">
        <v>1</v>
      </c>
      <c r="O2087">
        <v>1</v>
      </c>
      <c r="P2087">
        <v>1</v>
      </c>
      <c r="Q2087">
        <v>1</v>
      </c>
      <c r="R2087">
        <v>1</v>
      </c>
      <c r="S2087">
        <v>1</v>
      </c>
      <c r="T2087">
        <v>1</v>
      </c>
      <c r="W2087">
        <v>1</v>
      </c>
      <c r="X2087">
        <v>1</v>
      </c>
      <c r="Y2087">
        <v>1</v>
      </c>
      <c r="Z2087">
        <v>1</v>
      </c>
      <c r="AA2087">
        <v>1</v>
      </c>
      <c r="AB2087">
        <v>1</v>
      </c>
    </row>
    <row r="2088" spans="1:28" x14ac:dyDescent="0.25">
      <c r="A2088" t="str">
        <f>"2084"</f>
        <v>2084</v>
      </c>
      <c r="B2088" t="str">
        <f t="shared" si="120"/>
        <v>1</v>
      </c>
      <c r="C2088" t="str">
        <f t="shared" si="119"/>
        <v>92</v>
      </c>
      <c r="D2088" t="str">
        <f>"12"</f>
        <v>12</v>
      </c>
      <c r="E2088" t="str">
        <f>"1-92-12"</f>
        <v>1-92-12</v>
      </c>
      <c r="F2088" t="s">
        <v>83</v>
      </c>
      <c r="G2088" t="s">
        <v>84</v>
      </c>
      <c r="H2088" t="s">
        <v>92</v>
      </c>
      <c r="I2088">
        <v>1</v>
      </c>
      <c r="J2088">
        <v>1</v>
      </c>
      <c r="N2088">
        <v>1</v>
      </c>
      <c r="O2088">
        <v>1</v>
      </c>
      <c r="P2088">
        <v>1</v>
      </c>
      <c r="Q2088">
        <v>1</v>
      </c>
      <c r="R2088">
        <v>1</v>
      </c>
      <c r="S2088">
        <v>1</v>
      </c>
      <c r="T2088">
        <v>1</v>
      </c>
      <c r="W2088">
        <v>1</v>
      </c>
      <c r="X2088">
        <v>1</v>
      </c>
      <c r="Y2088">
        <v>1</v>
      </c>
      <c r="Z2088">
        <v>1</v>
      </c>
      <c r="AA2088">
        <v>1</v>
      </c>
      <c r="AB2088">
        <v>1</v>
      </c>
    </row>
    <row r="2089" spans="1:28" x14ac:dyDescent="0.25">
      <c r="A2089" t="str">
        <f>"2085"</f>
        <v>2085</v>
      </c>
      <c r="B2089" t="str">
        <f t="shared" si="120"/>
        <v>1</v>
      </c>
      <c r="C2089" t="str">
        <f t="shared" si="119"/>
        <v>92</v>
      </c>
      <c r="D2089" t="str">
        <f>"1"</f>
        <v>1</v>
      </c>
      <c r="E2089" t="str">
        <f>"1-92-1"</f>
        <v>1-92-1</v>
      </c>
      <c r="F2089" t="s">
        <v>83</v>
      </c>
      <c r="G2089" t="s">
        <v>84</v>
      </c>
      <c r="H2089" t="s">
        <v>92</v>
      </c>
      <c r="I2089">
        <v>1</v>
      </c>
      <c r="J2089">
        <v>1</v>
      </c>
      <c r="N2089">
        <v>1</v>
      </c>
      <c r="O2089">
        <v>1</v>
      </c>
      <c r="P2089">
        <v>1</v>
      </c>
      <c r="Q2089">
        <v>1</v>
      </c>
      <c r="R2089">
        <v>1</v>
      </c>
      <c r="S2089">
        <v>1</v>
      </c>
      <c r="T2089">
        <v>1</v>
      </c>
      <c r="W2089">
        <v>1</v>
      </c>
      <c r="X2089">
        <v>1</v>
      </c>
      <c r="Y2089">
        <v>1</v>
      </c>
      <c r="Z2089">
        <v>1</v>
      </c>
      <c r="AA2089">
        <v>1</v>
      </c>
      <c r="AB2089">
        <v>1</v>
      </c>
    </row>
    <row r="2090" spans="1:28" x14ac:dyDescent="0.25">
      <c r="A2090" t="str">
        <f>"2086"</f>
        <v>2086</v>
      </c>
      <c r="B2090" t="str">
        <f t="shared" si="120"/>
        <v>1</v>
      </c>
      <c r="C2090" t="str">
        <f t="shared" si="119"/>
        <v>92</v>
      </c>
      <c r="D2090" t="str">
        <f>"21"</f>
        <v>21</v>
      </c>
      <c r="E2090" t="str">
        <f>"1-92-21"</f>
        <v>1-92-21</v>
      </c>
      <c r="F2090" t="s">
        <v>83</v>
      </c>
      <c r="G2090" t="s">
        <v>86</v>
      </c>
      <c r="H2090" t="s">
        <v>93</v>
      </c>
      <c r="I2090">
        <v>1</v>
      </c>
      <c r="K2090">
        <v>0</v>
      </c>
      <c r="L2090">
        <v>0</v>
      </c>
      <c r="M2090">
        <v>1</v>
      </c>
      <c r="N2090">
        <v>1</v>
      </c>
      <c r="O2090">
        <v>1</v>
      </c>
      <c r="P2090">
        <v>1</v>
      </c>
      <c r="Q2090">
        <v>1</v>
      </c>
      <c r="R2090">
        <v>1</v>
      </c>
      <c r="U2090">
        <v>0</v>
      </c>
      <c r="V2090">
        <v>0</v>
      </c>
      <c r="W2090">
        <v>1</v>
      </c>
      <c r="X2090">
        <v>1</v>
      </c>
      <c r="Y2090">
        <v>1</v>
      </c>
      <c r="Z2090">
        <v>1</v>
      </c>
      <c r="AA2090">
        <v>1</v>
      </c>
      <c r="AB2090">
        <v>1</v>
      </c>
    </row>
    <row r="2091" spans="1:28" x14ac:dyDescent="0.25">
      <c r="A2091" t="str">
        <f>"2087"</f>
        <v>2087</v>
      </c>
      <c r="B2091" t="str">
        <f t="shared" si="120"/>
        <v>1</v>
      </c>
      <c r="C2091" t="str">
        <f t="shared" si="119"/>
        <v>92</v>
      </c>
      <c r="D2091" t="str">
        <f>"13"</f>
        <v>13</v>
      </c>
      <c r="E2091" t="str">
        <f>"1-92-13"</f>
        <v>1-92-13</v>
      </c>
      <c r="F2091" t="s">
        <v>83</v>
      </c>
      <c r="G2091" t="s">
        <v>84</v>
      </c>
      <c r="H2091" t="s">
        <v>92</v>
      </c>
      <c r="I2091">
        <v>1</v>
      </c>
      <c r="J2091">
        <v>1</v>
      </c>
      <c r="N2091">
        <v>1</v>
      </c>
      <c r="O2091">
        <v>1</v>
      </c>
      <c r="P2091">
        <v>1</v>
      </c>
      <c r="Q2091">
        <v>1</v>
      </c>
      <c r="R2091">
        <v>1</v>
      </c>
      <c r="S2091">
        <v>1</v>
      </c>
      <c r="T2091">
        <v>1</v>
      </c>
      <c r="W2091">
        <v>1</v>
      </c>
      <c r="X2091">
        <v>1</v>
      </c>
      <c r="Y2091">
        <v>1</v>
      </c>
      <c r="Z2091">
        <v>1</v>
      </c>
      <c r="AA2091">
        <v>1</v>
      </c>
      <c r="AB2091">
        <v>1</v>
      </c>
    </row>
    <row r="2092" spans="1:28" x14ac:dyDescent="0.25">
      <c r="A2092" t="str">
        <f>"2088"</f>
        <v>2088</v>
      </c>
      <c r="B2092" t="str">
        <f t="shared" si="120"/>
        <v>1</v>
      </c>
      <c r="C2092" t="str">
        <f t="shared" si="119"/>
        <v>92</v>
      </c>
      <c r="D2092" t="str">
        <f>"6"</f>
        <v>6</v>
      </c>
      <c r="E2092" t="str">
        <f>"1-92-6"</f>
        <v>1-92-6</v>
      </c>
      <c r="F2092" t="s">
        <v>83</v>
      </c>
      <c r="G2092" t="s">
        <v>84</v>
      </c>
      <c r="H2092" t="s">
        <v>92</v>
      </c>
      <c r="I2092">
        <v>1</v>
      </c>
      <c r="J2092">
        <v>1</v>
      </c>
      <c r="N2092">
        <v>1</v>
      </c>
      <c r="O2092">
        <v>1</v>
      </c>
      <c r="P2092">
        <v>1</v>
      </c>
      <c r="Q2092">
        <v>1</v>
      </c>
      <c r="R2092">
        <v>1</v>
      </c>
      <c r="S2092">
        <v>1</v>
      </c>
      <c r="T2092">
        <v>1</v>
      </c>
      <c r="W2092">
        <v>1</v>
      </c>
      <c r="X2092">
        <v>1</v>
      </c>
      <c r="Y2092">
        <v>1</v>
      </c>
      <c r="Z2092">
        <v>1</v>
      </c>
      <c r="AA2092">
        <v>1</v>
      </c>
      <c r="AB2092">
        <v>1</v>
      </c>
    </row>
    <row r="2093" spans="1:28" x14ac:dyDescent="0.25">
      <c r="A2093" t="str">
        <f>"2089"</f>
        <v>2089</v>
      </c>
      <c r="B2093" t="str">
        <f t="shared" si="120"/>
        <v>1</v>
      </c>
      <c r="C2093" t="str">
        <f t="shared" si="119"/>
        <v>92</v>
      </c>
      <c r="D2093" t="str">
        <f>"20"</f>
        <v>20</v>
      </c>
      <c r="E2093" t="str">
        <f>"1-92-20"</f>
        <v>1-92-20</v>
      </c>
      <c r="F2093" t="s">
        <v>83</v>
      </c>
      <c r="G2093" t="s">
        <v>84</v>
      </c>
      <c r="H2093" t="s">
        <v>92</v>
      </c>
      <c r="I2093">
        <v>1</v>
      </c>
      <c r="J2093">
        <v>1</v>
      </c>
      <c r="N2093">
        <v>1</v>
      </c>
      <c r="O2093">
        <v>1</v>
      </c>
      <c r="P2093">
        <v>1</v>
      </c>
      <c r="Q2093">
        <v>1</v>
      </c>
      <c r="R2093">
        <v>1</v>
      </c>
      <c r="S2093">
        <v>1</v>
      </c>
      <c r="T2093">
        <v>1</v>
      </c>
      <c r="W2093">
        <v>1</v>
      </c>
      <c r="X2093">
        <v>1</v>
      </c>
      <c r="Y2093">
        <v>1</v>
      </c>
      <c r="Z2093">
        <v>1</v>
      </c>
      <c r="AA2093">
        <v>1</v>
      </c>
      <c r="AB2093">
        <v>1</v>
      </c>
    </row>
    <row r="2094" spans="1:28" x14ac:dyDescent="0.25">
      <c r="A2094" t="str">
        <f>"2090"</f>
        <v>2090</v>
      </c>
      <c r="B2094" t="str">
        <f t="shared" si="120"/>
        <v>1</v>
      </c>
      <c r="C2094" t="str">
        <f t="shared" si="119"/>
        <v>92</v>
      </c>
      <c r="D2094" t="str">
        <f>"14"</f>
        <v>14</v>
      </c>
      <c r="E2094" t="str">
        <f>"1-92-14"</f>
        <v>1-92-14</v>
      </c>
      <c r="F2094" t="s">
        <v>83</v>
      </c>
      <c r="G2094" t="s">
        <v>84</v>
      </c>
      <c r="H2094" t="s">
        <v>92</v>
      </c>
      <c r="I2094">
        <v>1</v>
      </c>
      <c r="J2094">
        <v>0</v>
      </c>
      <c r="N2094">
        <v>1</v>
      </c>
      <c r="O2094">
        <v>0</v>
      </c>
      <c r="P2094">
        <v>0</v>
      </c>
      <c r="Q2094">
        <v>0</v>
      </c>
      <c r="R2094">
        <v>0</v>
      </c>
      <c r="S2094">
        <v>0</v>
      </c>
      <c r="T2094">
        <v>1</v>
      </c>
      <c r="W2094">
        <v>1</v>
      </c>
      <c r="X2094">
        <v>0</v>
      </c>
      <c r="Y2094">
        <v>0</v>
      </c>
      <c r="Z2094">
        <v>0</v>
      </c>
      <c r="AA2094">
        <v>0</v>
      </c>
      <c r="AB2094">
        <v>0</v>
      </c>
    </row>
    <row r="2095" spans="1:28" x14ac:dyDescent="0.25">
      <c r="A2095" t="str">
        <f>"2091"</f>
        <v>2091</v>
      </c>
      <c r="B2095" t="str">
        <f t="shared" si="120"/>
        <v>1</v>
      </c>
      <c r="C2095" t="str">
        <f t="shared" si="119"/>
        <v>92</v>
      </c>
      <c r="D2095" t="str">
        <f>"4"</f>
        <v>4</v>
      </c>
      <c r="E2095" t="str">
        <f>"1-92-4"</f>
        <v>1-92-4</v>
      </c>
      <c r="F2095" t="s">
        <v>83</v>
      </c>
      <c r="G2095" t="s">
        <v>84</v>
      </c>
      <c r="H2095" t="s">
        <v>92</v>
      </c>
      <c r="I2095">
        <v>1</v>
      </c>
      <c r="J2095">
        <v>1</v>
      </c>
      <c r="N2095">
        <v>1</v>
      </c>
      <c r="O2095">
        <v>1</v>
      </c>
      <c r="P2095">
        <v>1</v>
      </c>
      <c r="Q2095">
        <v>1</v>
      </c>
      <c r="R2095">
        <v>1</v>
      </c>
      <c r="S2095">
        <v>1</v>
      </c>
      <c r="T2095">
        <v>1</v>
      </c>
      <c r="W2095">
        <v>1</v>
      </c>
      <c r="X2095">
        <v>1</v>
      </c>
      <c r="Y2095">
        <v>1</v>
      </c>
      <c r="Z2095">
        <v>1</v>
      </c>
      <c r="AA2095">
        <v>1</v>
      </c>
      <c r="AB2095">
        <v>1</v>
      </c>
    </row>
    <row r="2096" spans="1:28" x14ac:dyDescent="0.25">
      <c r="A2096" t="str">
        <f>"2092"</f>
        <v>2092</v>
      </c>
      <c r="B2096" t="str">
        <f t="shared" si="120"/>
        <v>1</v>
      </c>
      <c r="C2096" t="str">
        <f t="shared" ref="C2096:C2120" si="121">"93"</f>
        <v>93</v>
      </c>
      <c r="D2096" t="str">
        <f>"21"</f>
        <v>21</v>
      </c>
      <c r="E2096" t="str">
        <f>"1-93-21"</f>
        <v>1-93-21</v>
      </c>
      <c r="F2096" t="s">
        <v>83</v>
      </c>
      <c r="G2096" t="s">
        <v>84</v>
      </c>
      <c r="H2096" t="s">
        <v>92</v>
      </c>
      <c r="I2096">
        <v>1</v>
      </c>
      <c r="J2096">
        <v>1</v>
      </c>
      <c r="N2096">
        <v>1</v>
      </c>
      <c r="O2096">
        <v>1</v>
      </c>
      <c r="P2096">
        <v>1</v>
      </c>
      <c r="Q2096">
        <v>1</v>
      </c>
      <c r="R2096">
        <v>1</v>
      </c>
      <c r="S2096">
        <v>1</v>
      </c>
      <c r="T2096">
        <v>1</v>
      </c>
      <c r="W2096">
        <v>1</v>
      </c>
      <c r="X2096">
        <v>1</v>
      </c>
      <c r="Y2096">
        <v>1</v>
      </c>
      <c r="Z2096">
        <v>1</v>
      </c>
      <c r="AA2096">
        <v>1</v>
      </c>
      <c r="AB2096">
        <v>1</v>
      </c>
    </row>
    <row r="2097" spans="1:28" x14ac:dyDescent="0.25">
      <c r="A2097" t="str">
        <f>"2093"</f>
        <v>2093</v>
      </c>
      <c r="B2097" t="str">
        <f t="shared" si="120"/>
        <v>1</v>
      </c>
      <c r="C2097" t="str">
        <f t="shared" si="121"/>
        <v>93</v>
      </c>
      <c r="D2097" t="str">
        <f>"20"</f>
        <v>20</v>
      </c>
      <c r="E2097" t="str">
        <f>"1-93-20"</f>
        <v>1-93-20</v>
      </c>
      <c r="F2097" t="s">
        <v>83</v>
      </c>
      <c r="G2097" t="s">
        <v>84</v>
      </c>
      <c r="H2097" t="s">
        <v>92</v>
      </c>
      <c r="I2097">
        <v>1</v>
      </c>
      <c r="J2097">
        <v>1</v>
      </c>
      <c r="N2097">
        <v>1</v>
      </c>
      <c r="O2097">
        <v>1</v>
      </c>
      <c r="P2097">
        <v>1</v>
      </c>
      <c r="Q2097">
        <v>1</v>
      </c>
      <c r="R2097">
        <v>1</v>
      </c>
      <c r="S2097">
        <v>1</v>
      </c>
      <c r="T2097">
        <v>1</v>
      </c>
      <c r="W2097">
        <v>1</v>
      </c>
      <c r="X2097">
        <v>1</v>
      </c>
      <c r="Y2097">
        <v>1</v>
      </c>
      <c r="Z2097">
        <v>1</v>
      </c>
      <c r="AA2097">
        <v>1</v>
      </c>
      <c r="AB2097">
        <v>1</v>
      </c>
    </row>
    <row r="2098" spans="1:28" x14ac:dyDescent="0.25">
      <c r="A2098" t="str">
        <f>"2094"</f>
        <v>2094</v>
      </c>
      <c r="B2098" t="str">
        <f t="shared" si="120"/>
        <v>1</v>
      </c>
      <c r="C2098" t="str">
        <f t="shared" si="121"/>
        <v>93</v>
      </c>
      <c r="D2098" t="str">
        <f>"15"</f>
        <v>15</v>
      </c>
      <c r="E2098" t="str">
        <f>"1-93-15"</f>
        <v>1-93-15</v>
      </c>
      <c r="F2098" t="s">
        <v>83</v>
      </c>
      <c r="G2098" t="s">
        <v>84</v>
      </c>
      <c r="H2098" t="s">
        <v>92</v>
      </c>
      <c r="I2098">
        <v>1</v>
      </c>
      <c r="J2098">
        <v>1</v>
      </c>
      <c r="N2098">
        <v>1</v>
      </c>
      <c r="O2098">
        <v>1</v>
      </c>
      <c r="P2098">
        <v>1</v>
      </c>
      <c r="Q2098">
        <v>1</v>
      </c>
      <c r="R2098">
        <v>1</v>
      </c>
      <c r="S2098">
        <v>1</v>
      </c>
      <c r="T2098">
        <v>1</v>
      </c>
      <c r="W2098">
        <v>1</v>
      </c>
      <c r="X2098">
        <v>1</v>
      </c>
      <c r="Y2098">
        <v>1</v>
      </c>
      <c r="Z2098">
        <v>1</v>
      </c>
      <c r="AA2098">
        <v>1</v>
      </c>
      <c r="AB2098">
        <v>1</v>
      </c>
    </row>
    <row r="2099" spans="1:28" x14ac:dyDescent="0.25">
      <c r="A2099" t="str">
        <f>"2095"</f>
        <v>2095</v>
      </c>
      <c r="B2099" t="str">
        <f t="shared" si="120"/>
        <v>1</v>
      </c>
      <c r="C2099" t="str">
        <f t="shared" si="121"/>
        <v>93</v>
      </c>
      <c r="D2099" t="str">
        <f>"14"</f>
        <v>14</v>
      </c>
      <c r="E2099" t="str">
        <f>"1-93-14"</f>
        <v>1-93-14</v>
      </c>
      <c r="F2099" t="s">
        <v>83</v>
      </c>
      <c r="G2099" t="s">
        <v>84</v>
      </c>
      <c r="H2099" t="s">
        <v>92</v>
      </c>
      <c r="I2099">
        <v>1</v>
      </c>
      <c r="J2099">
        <v>0</v>
      </c>
      <c r="N2099">
        <v>1</v>
      </c>
      <c r="O2099">
        <v>1</v>
      </c>
      <c r="P2099">
        <v>1</v>
      </c>
      <c r="Q2099">
        <v>1</v>
      </c>
      <c r="R2099">
        <v>1</v>
      </c>
      <c r="S2099">
        <v>1</v>
      </c>
      <c r="T2099">
        <v>1</v>
      </c>
      <c r="W2099">
        <v>1</v>
      </c>
      <c r="X2099">
        <v>1</v>
      </c>
      <c r="Y2099">
        <v>1</v>
      </c>
      <c r="Z2099">
        <v>1</v>
      </c>
      <c r="AA2099">
        <v>1</v>
      </c>
      <c r="AB2099">
        <v>1</v>
      </c>
    </row>
    <row r="2100" spans="1:28" x14ac:dyDescent="0.25">
      <c r="A2100" t="str">
        <f>"2096"</f>
        <v>2096</v>
      </c>
      <c r="B2100" t="str">
        <f t="shared" si="120"/>
        <v>1</v>
      </c>
      <c r="C2100" t="str">
        <f t="shared" si="121"/>
        <v>93</v>
      </c>
      <c r="D2100" t="str">
        <f>"9"</f>
        <v>9</v>
      </c>
      <c r="E2100" t="str">
        <f>"1-93-9"</f>
        <v>1-93-9</v>
      </c>
      <c r="F2100" t="s">
        <v>83</v>
      </c>
      <c r="G2100" t="s">
        <v>84</v>
      </c>
      <c r="H2100" t="s">
        <v>92</v>
      </c>
      <c r="I2100">
        <v>1</v>
      </c>
      <c r="J2100">
        <v>1</v>
      </c>
      <c r="N2100">
        <v>1</v>
      </c>
      <c r="O2100">
        <v>1</v>
      </c>
      <c r="P2100">
        <v>1</v>
      </c>
      <c r="Q2100">
        <v>1</v>
      </c>
      <c r="R2100">
        <v>1</v>
      </c>
      <c r="S2100">
        <v>1</v>
      </c>
      <c r="T2100">
        <v>1</v>
      </c>
      <c r="W2100">
        <v>1</v>
      </c>
      <c r="X2100">
        <v>1</v>
      </c>
      <c r="Y2100">
        <v>1</v>
      </c>
      <c r="Z2100">
        <v>1</v>
      </c>
      <c r="AA2100">
        <v>1</v>
      </c>
      <c r="AB2100">
        <v>1</v>
      </c>
    </row>
    <row r="2101" spans="1:28" x14ac:dyDescent="0.25">
      <c r="A2101" t="str">
        <f>"2097"</f>
        <v>2097</v>
      </c>
      <c r="B2101" t="str">
        <f t="shared" si="120"/>
        <v>1</v>
      </c>
      <c r="C2101" t="str">
        <f t="shared" si="121"/>
        <v>93</v>
      </c>
      <c r="D2101" t="str">
        <f>"8"</f>
        <v>8</v>
      </c>
      <c r="E2101" t="str">
        <f>"1-93-8"</f>
        <v>1-93-8</v>
      </c>
      <c r="F2101" t="s">
        <v>83</v>
      </c>
      <c r="G2101" t="s">
        <v>84</v>
      </c>
      <c r="H2101" t="s">
        <v>92</v>
      </c>
      <c r="I2101">
        <v>1</v>
      </c>
      <c r="J2101">
        <v>1</v>
      </c>
      <c r="N2101">
        <v>1</v>
      </c>
      <c r="O2101">
        <v>1</v>
      </c>
      <c r="P2101">
        <v>1</v>
      </c>
      <c r="Q2101">
        <v>1</v>
      </c>
      <c r="R2101">
        <v>1</v>
      </c>
      <c r="S2101">
        <v>1</v>
      </c>
      <c r="T2101">
        <v>1</v>
      </c>
      <c r="W2101">
        <v>1</v>
      </c>
      <c r="X2101">
        <v>1</v>
      </c>
      <c r="Y2101">
        <v>1</v>
      </c>
      <c r="Z2101">
        <v>1</v>
      </c>
      <c r="AA2101">
        <v>1</v>
      </c>
      <c r="AB2101">
        <v>1</v>
      </c>
    </row>
    <row r="2102" spans="1:28" x14ac:dyDescent="0.25">
      <c r="A2102" t="str">
        <f>"2098"</f>
        <v>2098</v>
      </c>
      <c r="B2102" t="str">
        <f t="shared" si="120"/>
        <v>1</v>
      </c>
      <c r="C2102" t="str">
        <f t="shared" si="121"/>
        <v>93</v>
      </c>
      <c r="D2102" t="str">
        <f>"2"</f>
        <v>2</v>
      </c>
      <c r="E2102" t="str">
        <f>"1-93-2"</f>
        <v>1-93-2</v>
      </c>
      <c r="F2102" t="s">
        <v>83</v>
      </c>
      <c r="G2102" t="s">
        <v>84</v>
      </c>
      <c r="H2102" t="s">
        <v>92</v>
      </c>
      <c r="I2102">
        <v>1</v>
      </c>
      <c r="J2102">
        <v>1</v>
      </c>
      <c r="N2102">
        <v>1</v>
      </c>
      <c r="O2102">
        <v>1</v>
      </c>
      <c r="P2102">
        <v>1</v>
      </c>
      <c r="Q2102">
        <v>1</v>
      </c>
      <c r="R2102">
        <v>1</v>
      </c>
      <c r="S2102">
        <v>1</v>
      </c>
      <c r="T2102">
        <v>1</v>
      </c>
      <c r="W2102">
        <v>1</v>
      </c>
      <c r="X2102">
        <v>1</v>
      </c>
      <c r="Y2102">
        <v>1</v>
      </c>
      <c r="Z2102">
        <v>1</v>
      </c>
      <c r="AA2102">
        <v>1</v>
      </c>
      <c r="AB2102">
        <v>1</v>
      </c>
    </row>
    <row r="2103" spans="1:28" x14ac:dyDescent="0.25">
      <c r="A2103" t="str">
        <f>"2099"</f>
        <v>2099</v>
      </c>
      <c r="B2103" t="str">
        <f t="shared" si="120"/>
        <v>1</v>
      </c>
      <c r="C2103" t="str">
        <f t="shared" si="121"/>
        <v>93</v>
      </c>
      <c r="D2103" t="str">
        <f>"25"</f>
        <v>25</v>
      </c>
      <c r="E2103" t="str">
        <f>"1-93-25"</f>
        <v>1-93-25</v>
      </c>
      <c r="F2103" t="s">
        <v>83</v>
      </c>
      <c r="G2103" t="s">
        <v>84</v>
      </c>
      <c r="H2103" t="s">
        <v>92</v>
      </c>
      <c r="I2103">
        <v>1</v>
      </c>
      <c r="J2103">
        <v>1</v>
      </c>
      <c r="N2103">
        <v>1</v>
      </c>
      <c r="O2103">
        <v>1</v>
      </c>
      <c r="P2103">
        <v>1</v>
      </c>
      <c r="Q2103">
        <v>1</v>
      </c>
      <c r="R2103">
        <v>1</v>
      </c>
      <c r="S2103">
        <v>1</v>
      </c>
      <c r="T2103">
        <v>1</v>
      </c>
      <c r="W2103">
        <v>1</v>
      </c>
      <c r="X2103">
        <v>1</v>
      </c>
      <c r="Y2103">
        <v>1</v>
      </c>
      <c r="Z2103">
        <v>1</v>
      </c>
      <c r="AA2103">
        <v>1</v>
      </c>
      <c r="AB2103">
        <v>1</v>
      </c>
    </row>
    <row r="2104" spans="1:28" x14ac:dyDescent="0.25">
      <c r="A2104" t="str">
        <f>"2100"</f>
        <v>2100</v>
      </c>
      <c r="B2104" t="str">
        <f t="shared" si="120"/>
        <v>1</v>
      </c>
      <c r="C2104" t="str">
        <f t="shared" si="121"/>
        <v>93</v>
      </c>
      <c r="D2104" t="str">
        <f>"24"</f>
        <v>24</v>
      </c>
      <c r="E2104" t="str">
        <f>"1-93-24"</f>
        <v>1-93-24</v>
      </c>
      <c r="F2104" t="s">
        <v>83</v>
      </c>
      <c r="G2104" t="s">
        <v>84</v>
      </c>
      <c r="H2104" t="s">
        <v>92</v>
      </c>
      <c r="I2104">
        <v>1</v>
      </c>
      <c r="J2104">
        <v>1</v>
      </c>
      <c r="N2104">
        <v>1</v>
      </c>
      <c r="O2104">
        <v>1</v>
      </c>
      <c r="P2104">
        <v>1</v>
      </c>
      <c r="Q2104">
        <v>1</v>
      </c>
      <c r="R2104">
        <v>1</v>
      </c>
      <c r="S2104">
        <v>1</v>
      </c>
      <c r="T2104">
        <v>1</v>
      </c>
      <c r="W2104">
        <v>1</v>
      </c>
      <c r="X2104">
        <v>1</v>
      </c>
      <c r="Y2104">
        <v>1</v>
      </c>
      <c r="Z2104">
        <v>1</v>
      </c>
      <c r="AA2104">
        <v>1</v>
      </c>
      <c r="AB2104">
        <v>1</v>
      </c>
    </row>
    <row r="2105" spans="1:28" x14ac:dyDescent="0.25">
      <c r="A2105" t="str">
        <f>"2101"</f>
        <v>2101</v>
      </c>
      <c r="B2105" t="str">
        <f t="shared" si="120"/>
        <v>1</v>
      </c>
      <c r="C2105" t="str">
        <f t="shared" si="121"/>
        <v>93</v>
      </c>
      <c r="D2105" t="str">
        <f>"18"</f>
        <v>18</v>
      </c>
      <c r="E2105" t="str">
        <f>"1-93-18"</f>
        <v>1-93-18</v>
      </c>
      <c r="F2105" t="s">
        <v>83</v>
      </c>
      <c r="G2105" t="s">
        <v>84</v>
      </c>
      <c r="H2105" t="s">
        <v>92</v>
      </c>
      <c r="I2105">
        <v>1</v>
      </c>
      <c r="J2105">
        <v>1</v>
      </c>
      <c r="N2105">
        <v>1</v>
      </c>
      <c r="O2105">
        <v>1</v>
      </c>
      <c r="P2105">
        <v>1</v>
      </c>
      <c r="Q2105">
        <v>1</v>
      </c>
      <c r="R2105">
        <v>1</v>
      </c>
      <c r="S2105">
        <v>1</v>
      </c>
      <c r="T2105">
        <v>1</v>
      </c>
      <c r="W2105">
        <v>1</v>
      </c>
      <c r="X2105">
        <v>1</v>
      </c>
      <c r="Y2105">
        <v>1</v>
      </c>
      <c r="Z2105">
        <v>1</v>
      </c>
      <c r="AA2105">
        <v>1</v>
      </c>
      <c r="AB2105">
        <v>1</v>
      </c>
    </row>
    <row r="2106" spans="1:28" x14ac:dyDescent="0.25">
      <c r="A2106" t="str">
        <f>"2102"</f>
        <v>2102</v>
      </c>
      <c r="B2106" t="str">
        <f t="shared" si="120"/>
        <v>1</v>
      </c>
      <c r="C2106" t="str">
        <f t="shared" si="121"/>
        <v>93</v>
      </c>
      <c r="D2106" t="str">
        <f>"10"</f>
        <v>10</v>
      </c>
      <c r="E2106" t="str">
        <f>"1-93-10"</f>
        <v>1-93-10</v>
      </c>
      <c r="F2106" t="s">
        <v>83</v>
      </c>
      <c r="G2106" t="s">
        <v>84</v>
      </c>
      <c r="H2106" t="s">
        <v>92</v>
      </c>
      <c r="I2106">
        <v>0</v>
      </c>
      <c r="J2106">
        <v>0</v>
      </c>
      <c r="N2106">
        <v>1</v>
      </c>
      <c r="O2106">
        <v>0</v>
      </c>
      <c r="P2106">
        <v>0</v>
      </c>
      <c r="Q2106">
        <v>0</v>
      </c>
      <c r="R2106">
        <v>0</v>
      </c>
      <c r="S2106">
        <v>0</v>
      </c>
      <c r="T2106">
        <v>0</v>
      </c>
      <c r="W2106">
        <v>0</v>
      </c>
      <c r="X2106">
        <v>1</v>
      </c>
      <c r="Y2106">
        <v>1</v>
      </c>
      <c r="Z2106">
        <v>0</v>
      </c>
      <c r="AA2106">
        <v>0</v>
      </c>
      <c r="AB2106">
        <v>1</v>
      </c>
    </row>
    <row r="2107" spans="1:28" x14ac:dyDescent="0.25">
      <c r="A2107" t="str">
        <f>"2103"</f>
        <v>2103</v>
      </c>
      <c r="B2107" t="str">
        <f t="shared" si="120"/>
        <v>1</v>
      </c>
      <c r="C2107" t="str">
        <f t="shared" si="121"/>
        <v>93</v>
      </c>
      <c r="D2107" t="str">
        <f>"4"</f>
        <v>4</v>
      </c>
      <c r="E2107" t="str">
        <f>"1-93-4"</f>
        <v>1-93-4</v>
      </c>
      <c r="F2107" t="s">
        <v>83</v>
      </c>
      <c r="G2107" t="s">
        <v>84</v>
      </c>
      <c r="H2107" t="s">
        <v>92</v>
      </c>
      <c r="I2107">
        <v>1</v>
      </c>
      <c r="J2107">
        <v>1</v>
      </c>
      <c r="N2107">
        <v>1</v>
      </c>
      <c r="O2107">
        <v>1</v>
      </c>
      <c r="P2107">
        <v>1</v>
      </c>
      <c r="Q2107">
        <v>1</v>
      </c>
      <c r="R2107">
        <v>1</v>
      </c>
      <c r="S2107">
        <v>1</v>
      </c>
      <c r="T2107">
        <v>1</v>
      </c>
      <c r="W2107">
        <v>1</v>
      </c>
      <c r="X2107">
        <v>1</v>
      </c>
      <c r="Y2107">
        <v>1</v>
      </c>
      <c r="Z2107">
        <v>1</v>
      </c>
      <c r="AA2107">
        <v>1</v>
      </c>
      <c r="AB2107">
        <v>1</v>
      </c>
    </row>
    <row r="2108" spans="1:28" x14ac:dyDescent="0.25">
      <c r="A2108" t="str">
        <f>"2104"</f>
        <v>2104</v>
      </c>
      <c r="B2108" t="str">
        <f t="shared" si="120"/>
        <v>1</v>
      </c>
      <c r="C2108" t="str">
        <f t="shared" si="121"/>
        <v>93</v>
      </c>
      <c r="D2108" t="str">
        <f>"19"</f>
        <v>19</v>
      </c>
      <c r="E2108" t="str">
        <f>"1-93-19"</f>
        <v>1-93-19</v>
      </c>
      <c r="F2108" t="s">
        <v>83</v>
      </c>
      <c r="G2108" t="s">
        <v>84</v>
      </c>
      <c r="H2108" t="s">
        <v>92</v>
      </c>
      <c r="I2108">
        <v>1</v>
      </c>
      <c r="J2108">
        <v>1</v>
      </c>
      <c r="N2108">
        <v>1</v>
      </c>
      <c r="O2108">
        <v>1</v>
      </c>
      <c r="P2108">
        <v>1</v>
      </c>
      <c r="Q2108">
        <v>1</v>
      </c>
      <c r="R2108">
        <v>1</v>
      </c>
      <c r="S2108">
        <v>1</v>
      </c>
      <c r="T2108">
        <v>1</v>
      </c>
      <c r="W2108">
        <v>1</v>
      </c>
      <c r="X2108">
        <v>1</v>
      </c>
      <c r="Y2108">
        <v>1</v>
      </c>
      <c r="Z2108">
        <v>1</v>
      </c>
      <c r="AA2108">
        <v>1</v>
      </c>
      <c r="AB2108">
        <v>1</v>
      </c>
    </row>
    <row r="2109" spans="1:28" x14ac:dyDescent="0.25">
      <c r="A2109" t="str">
        <f>"2105"</f>
        <v>2105</v>
      </c>
      <c r="B2109" t="str">
        <f t="shared" si="120"/>
        <v>1</v>
      </c>
      <c r="C2109" t="str">
        <f t="shared" si="121"/>
        <v>93</v>
      </c>
      <c r="D2109" t="str">
        <f>"11"</f>
        <v>11</v>
      </c>
      <c r="E2109" t="str">
        <f>"1-93-11"</f>
        <v>1-93-11</v>
      </c>
      <c r="F2109" t="s">
        <v>83</v>
      </c>
      <c r="G2109" t="s">
        <v>84</v>
      </c>
      <c r="H2109" t="s">
        <v>92</v>
      </c>
      <c r="I2109">
        <v>1</v>
      </c>
      <c r="J2109">
        <v>1</v>
      </c>
      <c r="N2109">
        <v>1</v>
      </c>
      <c r="O2109">
        <v>1</v>
      </c>
      <c r="P2109">
        <v>1</v>
      </c>
      <c r="Q2109">
        <v>1</v>
      </c>
      <c r="R2109">
        <v>1</v>
      </c>
      <c r="S2109">
        <v>1</v>
      </c>
      <c r="T2109">
        <v>1</v>
      </c>
      <c r="W2109">
        <v>1</v>
      </c>
      <c r="X2109">
        <v>1</v>
      </c>
      <c r="Y2109">
        <v>1</v>
      </c>
      <c r="Z2109">
        <v>1</v>
      </c>
      <c r="AA2109">
        <v>1</v>
      </c>
      <c r="AB2109">
        <v>1</v>
      </c>
    </row>
    <row r="2110" spans="1:28" x14ac:dyDescent="0.25">
      <c r="A2110" t="str">
        <f>"2106"</f>
        <v>2106</v>
      </c>
      <c r="B2110" t="str">
        <f t="shared" si="120"/>
        <v>1</v>
      </c>
      <c r="C2110" t="str">
        <f t="shared" si="121"/>
        <v>93</v>
      </c>
      <c r="D2110" t="str">
        <f>"1"</f>
        <v>1</v>
      </c>
      <c r="E2110" t="str">
        <f>"1-93-1"</f>
        <v>1-93-1</v>
      </c>
      <c r="F2110" t="s">
        <v>83</v>
      </c>
      <c r="G2110" t="s">
        <v>84</v>
      </c>
      <c r="H2110" t="s">
        <v>92</v>
      </c>
      <c r="I2110">
        <v>1</v>
      </c>
      <c r="J2110">
        <v>1</v>
      </c>
      <c r="N2110">
        <v>1</v>
      </c>
      <c r="O2110">
        <v>1</v>
      </c>
      <c r="P2110">
        <v>1</v>
      </c>
      <c r="Q2110">
        <v>1</v>
      </c>
      <c r="R2110">
        <v>1</v>
      </c>
      <c r="S2110">
        <v>1</v>
      </c>
      <c r="T2110">
        <v>1</v>
      </c>
      <c r="W2110">
        <v>1</v>
      </c>
      <c r="X2110">
        <v>1</v>
      </c>
      <c r="Y2110">
        <v>1</v>
      </c>
      <c r="Z2110">
        <v>1</v>
      </c>
      <c r="AA2110">
        <v>1</v>
      </c>
      <c r="AB2110">
        <v>1</v>
      </c>
    </row>
    <row r="2111" spans="1:28" x14ac:dyDescent="0.25">
      <c r="A2111" t="str">
        <f>"2107"</f>
        <v>2107</v>
      </c>
      <c r="B2111" t="str">
        <f t="shared" si="120"/>
        <v>1</v>
      </c>
      <c r="C2111" t="str">
        <f t="shared" si="121"/>
        <v>93</v>
      </c>
      <c r="D2111" t="str">
        <f>"22"</f>
        <v>22</v>
      </c>
      <c r="E2111" t="str">
        <f>"1-93-22"</f>
        <v>1-93-22</v>
      </c>
      <c r="F2111" t="s">
        <v>83</v>
      </c>
      <c r="G2111" t="s">
        <v>84</v>
      </c>
      <c r="H2111" t="s">
        <v>92</v>
      </c>
      <c r="I2111">
        <v>1</v>
      </c>
      <c r="J2111">
        <v>1</v>
      </c>
      <c r="N2111">
        <v>1</v>
      </c>
      <c r="O2111">
        <v>1</v>
      </c>
      <c r="P2111">
        <v>1</v>
      </c>
      <c r="Q2111">
        <v>1</v>
      </c>
      <c r="R2111">
        <v>1</v>
      </c>
      <c r="S2111">
        <v>1</v>
      </c>
      <c r="T2111">
        <v>1</v>
      </c>
      <c r="W2111">
        <v>1</v>
      </c>
      <c r="X2111">
        <v>1</v>
      </c>
      <c r="Y2111">
        <v>1</v>
      </c>
      <c r="Z2111">
        <v>1</v>
      </c>
      <c r="AA2111">
        <v>1</v>
      </c>
      <c r="AB2111">
        <v>1</v>
      </c>
    </row>
    <row r="2112" spans="1:28" x14ac:dyDescent="0.25">
      <c r="A2112" t="str">
        <f>"2108"</f>
        <v>2108</v>
      </c>
      <c r="B2112" t="str">
        <f t="shared" si="120"/>
        <v>1</v>
      </c>
      <c r="C2112" t="str">
        <f t="shared" si="121"/>
        <v>93</v>
      </c>
      <c r="D2112" t="str">
        <f>"12"</f>
        <v>12</v>
      </c>
      <c r="E2112" t="str">
        <f>"1-93-12"</f>
        <v>1-93-12</v>
      </c>
      <c r="F2112" t="s">
        <v>83</v>
      </c>
      <c r="G2112" t="s">
        <v>84</v>
      </c>
      <c r="H2112" t="s">
        <v>92</v>
      </c>
      <c r="I2112">
        <v>1</v>
      </c>
      <c r="J2112">
        <v>1</v>
      </c>
      <c r="N2112">
        <v>1</v>
      </c>
      <c r="O2112">
        <v>1</v>
      </c>
      <c r="P2112">
        <v>1</v>
      </c>
      <c r="Q2112">
        <v>1</v>
      </c>
      <c r="R2112">
        <v>1</v>
      </c>
      <c r="S2112">
        <v>1</v>
      </c>
      <c r="T2112">
        <v>1</v>
      </c>
      <c r="W2112">
        <v>1</v>
      </c>
      <c r="X2112">
        <v>1</v>
      </c>
      <c r="Y2112">
        <v>1</v>
      </c>
      <c r="Z2112">
        <v>1</v>
      </c>
      <c r="AA2112">
        <v>1</v>
      </c>
      <c r="AB2112">
        <v>1</v>
      </c>
    </row>
    <row r="2113" spans="1:49" x14ac:dyDescent="0.25">
      <c r="A2113" t="str">
        <f>"2109"</f>
        <v>2109</v>
      </c>
      <c r="B2113" t="str">
        <f t="shared" si="120"/>
        <v>1</v>
      </c>
      <c r="C2113" t="str">
        <f t="shared" si="121"/>
        <v>93</v>
      </c>
      <c r="D2113" t="str">
        <f>"7"</f>
        <v>7</v>
      </c>
      <c r="E2113" t="str">
        <f>"1-93-7"</f>
        <v>1-93-7</v>
      </c>
      <c r="F2113" t="s">
        <v>83</v>
      </c>
      <c r="G2113" t="s">
        <v>84</v>
      </c>
      <c r="H2113" t="s">
        <v>92</v>
      </c>
      <c r="I2113">
        <v>1</v>
      </c>
      <c r="J2113">
        <v>1</v>
      </c>
      <c r="N2113">
        <v>1</v>
      </c>
      <c r="O2113">
        <v>1</v>
      </c>
      <c r="P2113">
        <v>0</v>
      </c>
      <c r="Q2113">
        <v>1</v>
      </c>
      <c r="R2113">
        <v>0</v>
      </c>
      <c r="S2113">
        <v>1</v>
      </c>
      <c r="T2113">
        <v>0</v>
      </c>
      <c r="W2113">
        <v>1</v>
      </c>
      <c r="X2113">
        <v>1</v>
      </c>
      <c r="Y2113">
        <v>1</v>
      </c>
      <c r="Z2113">
        <v>1</v>
      </c>
      <c r="AA2113">
        <v>0</v>
      </c>
      <c r="AB2113">
        <v>1</v>
      </c>
    </row>
    <row r="2114" spans="1:49" x14ac:dyDescent="0.25">
      <c r="A2114" t="str">
        <f>"2110"</f>
        <v>2110</v>
      </c>
      <c r="B2114" t="str">
        <f t="shared" si="120"/>
        <v>1</v>
      </c>
      <c r="C2114" t="str">
        <f t="shared" si="121"/>
        <v>93</v>
      </c>
      <c r="D2114" t="str">
        <f>"23"</f>
        <v>23</v>
      </c>
      <c r="E2114" t="str">
        <f>"1-93-23"</f>
        <v>1-93-23</v>
      </c>
      <c r="F2114" t="s">
        <v>83</v>
      </c>
      <c r="G2114" t="s">
        <v>84</v>
      </c>
      <c r="H2114" t="s">
        <v>92</v>
      </c>
      <c r="I2114">
        <v>1</v>
      </c>
      <c r="J2114">
        <v>1</v>
      </c>
      <c r="N2114">
        <v>1</v>
      </c>
      <c r="O2114">
        <v>1</v>
      </c>
      <c r="P2114">
        <v>1</v>
      </c>
      <c r="Q2114">
        <v>1</v>
      </c>
      <c r="R2114">
        <v>1</v>
      </c>
      <c r="S2114">
        <v>1</v>
      </c>
      <c r="T2114">
        <v>1</v>
      </c>
      <c r="W2114">
        <v>1</v>
      </c>
      <c r="X2114">
        <v>1</v>
      </c>
      <c r="Y2114">
        <v>1</v>
      </c>
      <c r="Z2114">
        <v>1</v>
      </c>
      <c r="AA2114">
        <v>1</v>
      </c>
      <c r="AB2114">
        <v>1</v>
      </c>
    </row>
    <row r="2115" spans="1:49" x14ac:dyDescent="0.25">
      <c r="A2115" t="str">
        <f>"2111"</f>
        <v>2111</v>
      </c>
      <c r="B2115" t="str">
        <f t="shared" si="120"/>
        <v>1</v>
      </c>
      <c r="C2115" t="str">
        <f t="shared" si="121"/>
        <v>93</v>
      </c>
      <c r="D2115" t="str">
        <f>"13"</f>
        <v>13</v>
      </c>
      <c r="E2115" t="str">
        <f>"1-93-13"</f>
        <v>1-93-13</v>
      </c>
      <c r="F2115" t="s">
        <v>83</v>
      </c>
      <c r="G2115" t="s">
        <v>84</v>
      </c>
      <c r="H2115" t="s">
        <v>92</v>
      </c>
      <c r="I2115">
        <v>1</v>
      </c>
      <c r="J2115">
        <v>1</v>
      </c>
      <c r="N2115">
        <v>1</v>
      </c>
      <c r="O2115">
        <v>1</v>
      </c>
      <c r="P2115">
        <v>0</v>
      </c>
      <c r="Q2115">
        <v>0</v>
      </c>
      <c r="R2115">
        <v>1</v>
      </c>
      <c r="S2115">
        <v>1</v>
      </c>
      <c r="T2115">
        <v>1</v>
      </c>
      <c r="W2115">
        <v>1</v>
      </c>
      <c r="X2115">
        <v>0</v>
      </c>
      <c r="Y2115">
        <v>1</v>
      </c>
      <c r="Z2115">
        <v>0</v>
      </c>
      <c r="AA2115">
        <v>0</v>
      </c>
      <c r="AB2115">
        <v>1</v>
      </c>
    </row>
    <row r="2116" spans="1:49" x14ac:dyDescent="0.25">
      <c r="A2116" t="str">
        <f>"2112"</f>
        <v>2112</v>
      </c>
      <c r="B2116" t="str">
        <f t="shared" si="120"/>
        <v>1</v>
      </c>
      <c r="C2116" t="str">
        <f t="shared" si="121"/>
        <v>93</v>
      </c>
      <c r="D2116" t="str">
        <f>"3"</f>
        <v>3</v>
      </c>
      <c r="E2116" t="str">
        <f>"1-93-3"</f>
        <v>1-93-3</v>
      </c>
      <c r="F2116" t="s">
        <v>83</v>
      </c>
      <c r="G2116" t="s">
        <v>84</v>
      </c>
      <c r="H2116" t="s">
        <v>92</v>
      </c>
      <c r="I2116">
        <v>1</v>
      </c>
      <c r="J2116">
        <v>1</v>
      </c>
      <c r="N2116">
        <v>1</v>
      </c>
      <c r="O2116">
        <v>1</v>
      </c>
      <c r="P2116">
        <v>1</v>
      </c>
      <c r="Q2116">
        <v>1</v>
      </c>
      <c r="R2116">
        <v>1</v>
      </c>
      <c r="S2116">
        <v>1</v>
      </c>
      <c r="T2116">
        <v>1</v>
      </c>
      <c r="W2116">
        <v>1</v>
      </c>
      <c r="X2116">
        <v>1</v>
      </c>
      <c r="Y2116">
        <v>1</v>
      </c>
      <c r="Z2116">
        <v>1</v>
      </c>
      <c r="AA2116">
        <v>1</v>
      </c>
      <c r="AB2116">
        <v>1</v>
      </c>
    </row>
    <row r="2117" spans="1:49" x14ac:dyDescent="0.25">
      <c r="A2117" t="str">
        <f>"2113"</f>
        <v>2113</v>
      </c>
      <c r="B2117" t="str">
        <f t="shared" si="120"/>
        <v>1</v>
      </c>
      <c r="C2117" t="str">
        <f t="shared" si="121"/>
        <v>93</v>
      </c>
      <c r="D2117" t="str">
        <f>"16"</f>
        <v>16</v>
      </c>
      <c r="E2117" t="str">
        <f>"1-93-16"</f>
        <v>1-93-16</v>
      </c>
      <c r="F2117" t="s">
        <v>83</v>
      </c>
      <c r="G2117" t="s">
        <v>84</v>
      </c>
      <c r="H2117" t="s">
        <v>92</v>
      </c>
      <c r="I2117">
        <v>1</v>
      </c>
      <c r="J2117">
        <v>1</v>
      </c>
      <c r="N2117">
        <v>1</v>
      </c>
      <c r="O2117">
        <v>1</v>
      </c>
      <c r="P2117">
        <v>1</v>
      </c>
      <c r="Q2117">
        <v>1</v>
      </c>
      <c r="R2117">
        <v>1</v>
      </c>
      <c r="S2117">
        <v>1</v>
      </c>
      <c r="T2117">
        <v>1</v>
      </c>
      <c r="W2117">
        <v>1</v>
      </c>
      <c r="X2117">
        <v>1</v>
      </c>
      <c r="Y2117">
        <v>1</v>
      </c>
      <c r="Z2117">
        <v>1</v>
      </c>
      <c r="AA2117">
        <v>1</v>
      </c>
      <c r="AB2117">
        <v>1</v>
      </c>
    </row>
    <row r="2118" spans="1:49" x14ac:dyDescent="0.25">
      <c r="A2118" t="str">
        <f>"2114"</f>
        <v>2114</v>
      </c>
      <c r="B2118" t="str">
        <f t="shared" si="120"/>
        <v>1</v>
      </c>
      <c r="C2118" t="str">
        <f t="shared" si="121"/>
        <v>93</v>
      </c>
      <c r="D2118" t="str">
        <f>"6"</f>
        <v>6</v>
      </c>
      <c r="E2118" t="str">
        <f>"1-93-6"</f>
        <v>1-93-6</v>
      </c>
      <c r="F2118" t="s">
        <v>83</v>
      </c>
      <c r="G2118" t="s">
        <v>84</v>
      </c>
      <c r="H2118" t="s">
        <v>92</v>
      </c>
      <c r="I2118">
        <v>1</v>
      </c>
      <c r="J2118">
        <v>1</v>
      </c>
      <c r="N2118">
        <v>1</v>
      </c>
      <c r="O2118">
        <v>1</v>
      </c>
      <c r="P2118">
        <v>1</v>
      </c>
      <c r="Q2118">
        <v>1</v>
      </c>
      <c r="R2118">
        <v>1</v>
      </c>
      <c r="S2118">
        <v>1</v>
      </c>
      <c r="T2118">
        <v>1</v>
      </c>
      <c r="W2118">
        <v>1</v>
      </c>
      <c r="X2118">
        <v>1</v>
      </c>
      <c r="Y2118">
        <v>1</v>
      </c>
      <c r="Z2118">
        <v>1</v>
      </c>
      <c r="AA2118">
        <v>1</v>
      </c>
      <c r="AB2118">
        <v>1</v>
      </c>
    </row>
    <row r="2119" spans="1:49" x14ac:dyDescent="0.25">
      <c r="A2119" t="str">
        <f>"2115"</f>
        <v>2115</v>
      </c>
      <c r="B2119" t="str">
        <f t="shared" si="120"/>
        <v>1</v>
      </c>
      <c r="C2119" t="str">
        <f t="shared" si="121"/>
        <v>93</v>
      </c>
      <c r="D2119" t="str">
        <f>"17"</f>
        <v>17</v>
      </c>
      <c r="E2119" t="str">
        <f>"1-93-17"</f>
        <v>1-93-17</v>
      </c>
      <c r="F2119" t="s">
        <v>83</v>
      </c>
      <c r="G2119" t="s">
        <v>84</v>
      </c>
      <c r="H2119" t="s">
        <v>92</v>
      </c>
      <c r="I2119">
        <v>1</v>
      </c>
      <c r="J2119">
        <v>1</v>
      </c>
      <c r="N2119">
        <v>1</v>
      </c>
      <c r="O2119">
        <v>1</v>
      </c>
      <c r="P2119">
        <v>1</v>
      </c>
      <c r="Q2119">
        <v>1</v>
      </c>
      <c r="R2119">
        <v>1</v>
      </c>
      <c r="S2119">
        <v>1</v>
      </c>
      <c r="T2119">
        <v>1</v>
      </c>
      <c r="W2119">
        <v>1</v>
      </c>
      <c r="X2119">
        <v>1</v>
      </c>
      <c r="Y2119">
        <v>1</v>
      </c>
      <c r="Z2119">
        <v>1</v>
      </c>
      <c r="AA2119">
        <v>1</v>
      </c>
      <c r="AB2119">
        <v>1</v>
      </c>
    </row>
    <row r="2120" spans="1:49" x14ac:dyDescent="0.25">
      <c r="A2120" t="str">
        <f>"2116"</f>
        <v>2116</v>
      </c>
      <c r="B2120" t="str">
        <f t="shared" si="120"/>
        <v>1</v>
      </c>
      <c r="C2120" t="str">
        <f t="shared" si="121"/>
        <v>93</v>
      </c>
      <c r="D2120" t="str">
        <f>"5"</f>
        <v>5</v>
      </c>
      <c r="E2120" t="str">
        <f>"1-93-5"</f>
        <v>1-93-5</v>
      </c>
      <c r="F2120" t="s">
        <v>83</v>
      </c>
      <c r="G2120" t="s">
        <v>84</v>
      </c>
      <c r="H2120" t="s">
        <v>92</v>
      </c>
      <c r="I2120">
        <v>1</v>
      </c>
      <c r="J2120">
        <v>1</v>
      </c>
      <c r="N2120">
        <v>1</v>
      </c>
      <c r="O2120">
        <v>1</v>
      </c>
      <c r="P2120">
        <v>1</v>
      </c>
      <c r="Q2120">
        <v>1</v>
      </c>
      <c r="R2120">
        <v>1</v>
      </c>
      <c r="S2120">
        <v>1</v>
      </c>
      <c r="T2120">
        <v>1</v>
      </c>
      <c r="W2120">
        <v>1</v>
      </c>
      <c r="X2120">
        <v>1</v>
      </c>
      <c r="Y2120">
        <v>1</v>
      </c>
      <c r="Z2120">
        <v>1</v>
      </c>
      <c r="AA2120">
        <v>1</v>
      </c>
      <c r="AB2120">
        <v>1</v>
      </c>
    </row>
    <row r="2121" spans="1:49" x14ac:dyDescent="0.25">
      <c r="A2121" t="str">
        <f>"2117"</f>
        <v>2117</v>
      </c>
      <c r="B2121" t="str">
        <f t="shared" si="120"/>
        <v>1</v>
      </c>
      <c r="C2121" t="str">
        <f t="shared" ref="C2121:C2140" si="122">"94"</f>
        <v>94</v>
      </c>
      <c r="D2121" t="str">
        <f>"15"</f>
        <v>15</v>
      </c>
      <c r="E2121" t="str">
        <f>"1-94-15"</f>
        <v>1-94-15</v>
      </c>
      <c r="F2121" t="s">
        <v>83</v>
      </c>
      <c r="G2121" t="s">
        <v>84</v>
      </c>
      <c r="H2121" t="s">
        <v>92</v>
      </c>
      <c r="I2121">
        <v>1</v>
      </c>
      <c r="J2121">
        <v>1</v>
      </c>
      <c r="N2121">
        <v>1</v>
      </c>
      <c r="O2121">
        <v>1</v>
      </c>
      <c r="P2121">
        <v>1</v>
      </c>
      <c r="Q2121">
        <v>1</v>
      </c>
      <c r="R2121">
        <v>1</v>
      </c>
      <c r="S2121">
        <v>1</v>
      </c>
      <c r="T2121">
        <v>1</v>
      </c>
      <c r="W2121">
        <v>1</v>
      </c>
      <c r="X2121">
        <v>1</v>
      </c>
      <c r="Y2121">
        <v>1</v>
      </c>
      <c r="Z2121">
        <v>1</v>
      </c>
      <c r="AA2121">
        <v>1</v>
      </c>
      <c r="AB2121">
        <v>1</v>
      </c>
    </row>
    <row r="2122" spans="1:49" x14ac:dyDescent="0.25">
      <c r="A2122" t="str">
        <f>"2118"</f>
        <v>2118</v>
      </c>
      <c r="B2122" t="str">
        <f t="shared" si="120"/>
        <v>1</v>
      </c>
      <c r="C2122" t="str">
        <f t="shared" si="122"/>
        <v>94</v>
      </c>
      <c r="D2122" t="str">
        <f>"8"</f>
        <v>8</v>
      </c>
      <c r="E2122" t="str">
        <f>"1-94-8"</f>
        <v>1-94-8</v>
      </c>
      <c r="F2122" t="s">
        <v>83</v>
      </c>
      <c r="G2122" t="s">
        <v>84</v>
      </c>
      <c r="H2122" t="s">
        <v>92</v>
      </c>
      <c r="I2122">
        <v>0</v>
      </c>
      <c r="J2122">
        <v>0</v>
      </c>
      <c r="N2122">
        <v>1</v>
      </c>
      <c r="O2122">
        <v>0</v>
      </c>
      <c r="P2122">
        <v>0</v>
      </c>
      <c r="Q2122">
        <v>0</v>
      </c>
      <c r="R2122">
        <v>0</v>
      </c>
      <c r="S2122">
        <v>0</v>
      </c>
      <c r="T2122">
        <v>0</v>
      </c>
      <c r="W2122">
        <v>1</v>
      </c>
      <c r="X2122">
        <v>0</v>
      </c>
      <c r="Y2122">
        <v>1</v>
      </c>
      <c r="Z2122">
        <v>0</v>
      </c>
      <c r="AA2122">
        <v>0</v>
      </c>
      <c r="AB2122">
        <v>1</v>
      </c>
    </row>
    <row r="2123" spans="1:49" x14ac:dyDescent="0.25">
      <c r="A2123" t="str">
        <f>"2119"</f>
        <v>2119</v>
      </c>
      <c r="B2123" t="str">
        <f t="shared" si="120"/>
        <v>1</v>
      </c>
      <c r="C2123" t="str">
        <f t="shared" si="122"/>
        <v>94</v>
      </c>
      <c r="D2123" t="str">
        <f>"7"</f>
        <v>7</v>
      </c>
      <c r="E2123" t="str">
        <f>"1-94-7"</f>
        <v>1-94-7</v>
      </c>
      <c r="F2123" t="s">
        <v>83</v>
      </c>
      <c r="G2123" t="s">
        <v>84</v>
      </c>
      <c r="H2123" t="s">
        <v>85</v>
      </c>
      <c r="AC2123">
        <v>1</v>
      </c>
      <c r="AD2123">
        <v>0</v>
      </c>
      <c r="AE2123">
        <v>0</v>
      </c>
      <c r="AF2123">
        <v>0</v>
      </c>
      <c r="AG2123">
        <v>0</v>
      </c>
      <c r="AJ2123">
        <v>1</v>
      </c>
      <c r="AK2123">
        <v>0</v>
      </c>
      <c r="AL2123">
        <v>1</v>
      </c>
      <c r="AM2123">
        <v>0</v>
      </c>
      <c r="AN2123">
        <v>0</v>
      </c>
      <c r="AO2123">
        <v>1</v>
      </c>
      <c r="AP2123">
        <v>1</v>
      </c>
      <c r="AQ2123">
        <v>1</v>
      </c>
      <c r="AR2123">
        <v>1</v>
      </c>
      <c r="AS2123">
        <v>1</v>
      </c>
      <c r="AT2123">
        <v>0</v>
      </c>
      <c r="AV2123">
        <v>0</v>
      </c>
      <c r="AW2123">
        <v>0</v>
      </c>
    </row>
    <row r="2124" spans="1:49" x14ac:dyDescent="0.25">
      <c r="A2124" t="str">
        <f>"2120"</f>
        <v>2120</v>
      </c>
      <c r="B2124" t="str">
        <f t="shared" si="120"/>
        <v>1</v>
      </c>
      <c r="C2124" t="str">
        <f t="shared" si="122"/>
        <v>94</v>
      </c>
      <c r="D2124" t="str">
        <f>"16"</f>
        <v>16</v>
      </c>
      <c r="E2124" t="str">
        <f>"1-94-16"</f>
        <v>1-94-16</v>
      </c>
      <c r="F2124" t="s">
        <v>83</v>
      </c>
      <c r="G2124" t="s">
        <v>84</v>
      </c>
      <c r="H2124" t="s">
        <v>92</v>
      </c>
      <c r="I2124">
        <v>1</v>
      </c>
      <c r="J2124">
        <v>1</v>
      </c>
      <c r="N2124">
        <v>1</v>
      </c>
      <c r="O2124">
        <v>1</v>
      </c>
      <c r="P2124">
        <v>1</v>
      </c>
      <c r="Q2124">
        <v>1</v>
      </c>
      <c r="R2124">
        <v>1</v>
      </c>
      <c r="S2124">
        <v>1</v>
      </c>
      <c r="T2124">
        <v>1</v>
      </c>
      <c r="W2124">
        <v>1</v>
      </c>
      <c r="X2124">
        <v>1</v>
      </c>
      <c r="Y2124">
        <v>1</v>
      </c>
      <c r="Z2124">
        <v>1</v>
      </c>
      <c r="AA2124">
        <v>1</v>
      </c>
      <c r="AB2124">
        <v>1</v>
      </c>
    </row>
    <row r="2125" spans="1:49" x14ac:dyDescent="0.25">
      <c r="A2125" t="str">
        <f>"2121"</f>
        <v>2121</v>
      </c>
      <c r="B2125" t="str">
        <f t="shared" si="120"/>
        <v>1</v>
      </c>
      <c r="C2125" t="str">
        <f t="shared" si="122"/>
        <v>94</v>
      </c>
      <c r="D2125" t="str">
        <f>"9"</f>
        <v>9</v>
      </c>
      <c r="E2125" t="str">
        <f>"1-94-9"</f>
        <v>1-94-9</v>
      </c>
      <c r="F2125" t="s">
        <v>83</v>
      </c>
      <c r="G2125" t="s">
        <v>84</v>
      </c>
      <c r="H2125" t="s">
        <v>85</v>
      </c>
      <c r="AC2125">
        <v>1</v>
      </c>
      <c r="AD2125">
        <v>0</v>
      </c>
      <c r="AE2125">
        <v>0</v>
      </c>
      <c r="AF2125">
        <v>0</v>
      </c>
      <c r="AG2125">
        <v>1</v>
      </c>
      <c r="AJ2125">
        <v>0</v>
      </c>
      <c r="AK2125">
        <v>1</v>
      </c>
      <c r="AL2125">
        <v>1</v>
      </c>
      <c r="AM2125">
        <v>0</v>
      </c>
      <c r="AN2125">
        <v>0</v>
      </c>
      <c r="AO2125">
        <v>1</v>
      </c>
      <c r="AP2125">
        <v>1</v>
      </c>
      <c r="AQ2125">
        <v>1</v>
      </c>
      <c r="AR2125">
        <v>1</v>
      </c>
      <c r="AS2125">
        <v>0</v>
      </c>
      <c r="AT2125">
        <v>1</v>
      </c>
      <c r="AV2125">
        <v>1</v>
      </c>
      <c r="AW2125">
        <v>1</v>
      </c>
    </row>
    <row r="2126" spans="1:49" x14ac:dyDescent="0.25">
      <c r="A2126" t="str">
        <f>"2122"</f>
        <v>2122</v>
      </c>
      <c r="B2126" t="str">
        <f t="shared" si="120"/>
        <v>1</v>
      </c>
      <c r="C2126" t="str">
        <f t="shared" si="122"/>
        <v>94</v>
      </c>
      <c r="D2126" t="str">
        <f>"3"</f>
        <v>3</v>
      </c>
      <c r="E2126" t="str">
        <f>"1-94-3"</f>
        <v>1-94-3</v>
      </c>
      <c r="F2126" t="s">
        <v>83</v>
      </c>
      <c r="G2126" t="s">
        <v>84</v>
      </c>
      <c r="H2126" t="s">
        <v>85</v>
      </c>
      <c r="AC2126">
        <v>0</v>
      </c>
      <c r="AD2126">
        <v>1</v>
      </c>
      <c r="AE2126">
        <v>0</v>
      </c>
      <c r="AF2126">
        <v>0</v>
      </c>
      <c r="AG2126">
        <v>1</v>
      </c>
      <c r="AJ2126">
        <v>1</v>
      </c>
      <c r="AK2126">
        <v>0</v>
      </c>
      <c r="AL2126">
        <v>0</v>
      </c>
      <c r="AM2126">
        <v>0</v>
      </c>
      <c r="AN2126">
        <v>1</v>
      </c>
      <c r="AO2126">
        <v>1</v>
      </c>
      <c r="AP2126">
        <v>1</v>
      </c>
      <c r="AQ2126">
        <v>1</v>
      </c>
      <c r="AR2126">
        <v>1</v>
      </c>
      <c r="AS2126">
        <v>0</v>
      </c>
      <c r="AT2126">
        <v>1</v>
      </c>
      <c r="AV2126">
        <v>1</v>
      </c>
      <c r="AW2126">
        <v>1</v>
      </c>
    </row>
    <row r="2127" spans="1:49" x14ac:dyDescent="0.25">
      <c r="A2127" t="str">
        <f>"2123"</f>
        <v>2123</v>
      </c>
      <c r="B2127" t="str">
        <f t="shared" si="120"/>
        <v>1</v>
      </c>
      <c r="C2127" t="str">
        <f t="shared" si="122"/>
        <v>94</v>
      </c>
      <c r="D2127" t="str">
        <f>"17"</f>
        <v>17</v>
      </c>
      <c r="E2127" t="str">
        <f>"1-94-17"</f>
        <v>1-94-17</v>
      </c>
      <c r="F2127" t="s">
        <v>83</v>
      </c>
      <c r="G2127" t="s">
        <v>84</v>
      </c>
      <c r="H2127" t="s">
        <v>85</v>
      </c>
      <c r="AC2127">
        <v>0</v>
      </c>
      <c r="AD2127">
        <v>1</v>
      </c>
      <c r="AE2127">
        <v>0</v>
      </c>
      <c r="AF2127">
        <v>0</v>
      </c>
      <c r="AG2127">
        <v>1</v>
      </c>
      <c r="AJ2127">
        <v>0</v>
      </c>
      <c r="AK2127">
        <v>1</v>
      </c>
      <c r="AL2127">
        <v>0</v>
      </c>
      <c r="AM2127">
        <v>1</v>
      </c>
      <c r="AN2127">
        <v>0</v>
      </c>
      <c r="AO2127">
        <v>1</v>
      </c>
      <c r="AP2127">
        <v>1</v>
      </c>
      <c r="AQ2127">
        <v>1</v>
      </c>
      <c r="AR2127">
        <v>1</v>
      </c>
      <c r="AS2127">
        <v>0</v>
      </c>
      <c r="AT2127">
        <v>1</v>
      </c>
      <c r="AV2127">
        <v>1</v>
      </c>
      <c r="AW2127">
        <v>1</v>
      </c>
    </row>
    <row r="2128" spans="1:49" x14ac:dyDescent="0.25">
      <c r="A2128" t="str">
        <f>"2124"</f>
        <v>2124</v>
      </c>
      <c r="B2128" t="str">
        <f t="shared" si="120"/>
        <v>1</v>
      </c>
      <c r="C2128" t="str">
        <f t="shared" si="122"/>
        <v>94</v>
      </c>
      <c r="D2128" t="str">
        <f>"10"</f>
        <v>10</v>
      </c>
      <c r="E2128" t="str">
        <f>"1-94-10"</f>
        <v>1-94-10</v>
      </c>
      <c r="F2128" t="s">
        <v>83</v>
      </c>
      <c r="G2128" t="s">
        <v>84</v>
      </c>
      <c r="H2128" t="s">
        <v>92</v>
      </c>
      <c r="I2128">
        <v>1</v>
      </c>
      <c r="J2128">
        <v>1</v>
      </c>
      <c r="N2128">
        <v>1</v>
      </c>
      <c r="O2128">
        <v>1</v>
      </c>
      <c r="P2128">
        <v>1</v>
      </c>
      <c r="Q2128">
        <v>1</v>
      </c>
      <c r="R2128">
        <v>1</v>
      </c>
      <c r="S2128">
        <v>1</v>
      </c>
      <c r="T2128">
        <v>1</v>
      </c>
      <c r="W2128">
        <v>1</v>
      </c>
      <c r="X2128">
        <v>1</v>
      </c>
      <c r="Y2128">
        <v>1</v>
      </c>
      <c r="Z2128">
        <v>1</v>
      </c>
      <c r="AA2128">
        <v>1</v>
      </c>
      <c r="AB2128">
        <v>1</v>
      </c>
    </row>
    <row r="2129" spans="1:49" x14ac:dyDescent="0.25">
      <c r="A2129" t="str">
        <f>"2125"</f>
        <v>2125</v>
      </c>
      <c r="B2129" t="str">
        <f t="shared" si="120"/>
        <v>1</v>
      </c>
      <c r="C2129" t="str">
        <f t="shared" si="122"/>
        <v>94</v>
      </c>
      <c r="D2129" t="str">
        <f>"2"</f>
        <v>2</v>
      </c>
      <c r="E2129" t="str">
        <f>"1-94-2"</f>
        <v>1-94-2</v>
      </c>
      <c r="F2129" t="s">
        <v>83</v>
      </c>
      <c r="G2129" t="s">
        <v>84</v>
      </c>
      <c r="H2129" t="s">
        <v>85</v>
      </c>
      <c r="AC2129">
        <v>0</v>
      </c>
      <c r="AD2129">
        <v>1</v>
      </c>
      <c r="AE2129">
        <v>0</v>
      </c>
      <c r="AF2129">
        <v>0</v>
      </c>
      <c r="AG2129">
        <v>0</v>
      </c>
      <c r="AJ2129">
        <v>0</v>
      </c>
      <c r="AK2129">
        <v>1</v>
      </c>
      <c r="AL2129">
        <v>0</v>
      </c>
      <c r="AM2129">
        <v>0</v>
      </c>
      <c r="AN2129">
        <v>1</v>
      </c>
      <c r="AO2129">
        <v>0</v>
      </c>
      <c r="AP2129">
        <v>0</v>
      </c>
      <c r="AQ2129">
        <v>0</v>
      </c>
      <c r="AR2129">
        <v>1</v>
      </c>
      <c r="AS2129">
        <v>0</v>
      </c>
      <c r="AT2129">
        <v>1</v>
      </c>
      <c r="AV2129">
        <v>0</v>
      </c>
      <c r="AW2129">
        <v>1</v>
      </c>
    </row>
    <row r="2130" spans="1:49" x14ac:dyDescent="0.25">
      <c r="A2130" t="str">
        <f>"2126"</f>
        <v>2126</v>
      </c>
      <c r="B2130" t="str">
        <f t="shared" si="120"/>
        <v>1</v>
      </c>
      <c r="C2130" t="str">
        <f t="shared" si="122"/>
        <v>94</v>
      </c>
      <c r="D2130" t="str">
        <f>"19"</f>
        <v>19</v>
      </c>
      <c r="E2130" t="str">
        <f>"1-94-19"</f>
        <v>1-94-19</v>
      </c>
      <c r="F2130" t="s">
        <v>83</v>
      </c>
      <c r="G2130" t="s">
        <v>84</v>
      </c>
      <c r="H2130" t="s">
        <v>85</v>
      </c>
      <c r="AC2130">
        <v>0</v>
      </c>
      <c r="AD2130">
        <v>1</v>
      </c>
      <c r="AE2130">
        <v>0</v>
      </c>
      <c r="AF2130">
        <v>0</v>
      </c>
      <c r="AG2130">
        <v>0</v>
      </c>
      <c r="AJ2130">
        <v>0</v>
      </c>
      <c r="AK2130">
        <v>1</v>
      </c>
      <c r="AL2130">
        <v>0</v>
      </c>
      <c r="AM2130">
        <v>0</v>
      </c>
      <c r="AN2130">
        <v>1</v>
      </c>
      <c r="AO2130">
        <v>0</v>
      </c>
      <c r="AP2130">
        <v>0</v>
      </c>
      <c r="AQ2130">
        <v>0</v>
      </c>
      <c r="AR2130">
        <v>0</v>
      </c>
      <c r="AS2130">
        <v>0</v>
      </c>
      <c r="AT2130">
        <v>0</v>
      </c>
      <c r="AV2130">
        <v>0</v>
      </c>
      <c r="AW2130">
        <v>1</v>
      </c>
    </row>
    <row r="2131" spans="1:49" x14ac:dyDescent="0.25">
      <c r="A2131" t="str">
        <f>"2127"</f>
        <v>2127</v>
      </c>
      <c r="B2131" t="str">
        <f t="shared" si="120"/>
        <v>1</v>
      </c>
      <c r="C2131" t="str">
        <f t="shared" si="122"/>
        <v>94</v>
      </c>
      <c r="D2131" t="str">
        <f>"11"</f>
        <v>11</v>
      </c>
      <c r="E2131" t="str">
        <f>"1-94-11"</f>
        <v>1-94-11</v>
      </c>
      <c r="F2131" t="s">
        <v>83</v>
      </c>
      <c r="G2131" t="s">
        <v>84</v>
      </c>
      <c r="H2131" t="s">
        <v>92</v>
      </c>
      <c r="I2131">
        <v>0</v>
      </c>
      <c r="J2131">
        <v>0</v>
      </c>
      <c r="N2131">
        <v>1</v>
      </c>
      <c r="O2131">
        <v>0</v>
      </c>
      <c r="P2131">
        <v>0</v>
      </c>
      <c r="Q2131">
        <v>0</v>
      </c>
      <c r="R2131">
        <v>0</v>
      </c>
      <c r="S2131">
        <v>0</v>
      </c>
      <c r="T2131">
        <v>0</v>
      </c>
      <c r="W2131">
        <v>1</v>
      </c>
      <c r="X2131">
        <v>0</v>
      </c>
      <c r="Y2131">
        <v>1</v>
      </c>
      <c r="Z2131">
        <v>0</v>
      </c>
      <c r="AA2131">
        <v>0</v>
      </c>
      <c r="AB2131">
        <v>0</v>
      </c>
    </row>
    <row r="2132" spans="1:49" x14ac:dyDescent="0.25">
      <c r="A2132" t="str">
        <f>"2128"</f>
        <v>2128</v>
      </c>
      <c r="B2132" t="str">
        <f t="shared" si="120"/>
        <v>1</v>
      </c>
      <c r="C2132" t="str">
        <f t="shared" si="122"/>
        <v>94</v>
      </c>
      <c r="D2132" t="str">
        <f>"1"</f>
        <v>1</v>
      </c>
      <c r="E2132" t="str">
        <f>"1-94-1"</f>
        <v>1-94-1</v>
      </c>
      <c r="F2132" t="s">
        <v>83</v>
      </c>
      <c r="G2132" t="s">
        <v>84</v>
      </c>
      <c r="H2132" t="s">
        <v>85</v>
      </c>
      <c r="AC2132">
        <v>1</v>
      </c>
      <c r="AD2132">
        <v>0</v>
      </c>
      <c r="AE2132">
        <v>0</v>
      </c>
      <c r="AF2132">
        <v>0</v>
      </c>
      <c r="AG2132">
        <v>1</v>
      </c>
      <c r="AJ2132">
        <v>1</v>
      </c>
      <c r="AK2132">
        <v>0</v>
      </c>
      <c r="AL2132">
        <v>0</v>
      </c>
      <c r="AM2132">
        <v>1</v>
      </c>
      <c r="AN2132">
        <v>0</v>
      </c>
      <c r="AO2132">
        <v>1</v>
      </c>
      <c r="AP2132">
        <v>1</v>
      </c>
      <c r="AQ2132">
        <v>1</v>
      </c>
      <c r="AR2132">
        <v>1</v>
      </c>
      <c r="AS2132">
        <v>0</v>
      </c>
      <c r="AT2132">
        <v>1</v>
      </c>
      <c r="AV2132">
        <v>1</v>
      </c>
      <c r="AW2132">
        <v>1</v>
      </c>
    </row>
    <row r="2133" spans="1:49" x14ac:dyDescent="0.25">
      <c r="A2133" t="str">
        <f>"2129"</f>
        <v>2129</v>
      </c>
      <c r="B2133" t="str">
        <f t="shared" si="120"/>
        <v>1</v>
      </c>
      <c r="C2133" t="str">
        <f t="shared" si="122"/>
        <v>94</v>
      </c>
      <c r="D2133" t="str">
        <f>"18"</f>
        <v>18</v>
      </c>
      <c r="E2133" t="str">
        <f>"1-94-18"</f>
        <v>1-94-18</v>
      </c>
      <c r="F2133" t="s">
        <v>83</v>
      </c>
      <c r="G2133" t="s">
        <v>84</v>
      </c>
      <c r="H2133" t="s">
        <v>92</v>
      </c>
      <c r="I2133">
        <v>1</v>
      </c>
      <c r="J2133">
        <v>1</v>
      </c>
      <c r="N2133">
        <v>1</v>
      </c>
      <c r="O2133">
        <v>1</v>
      </c>
      <c r="P2133">
        <v>1</v>
      </c>
      <c r="Q2133">
        <v>1</v>
      </c>
      <c r="R2133">
        <v>1</v>
      </c>
      <c r="S2133">
        <v>1</v>
      </c>
      <c r="T2133">
        <v>1</v>
      </c>
      <c r="W2133">
        <v>1</v>
      </c>
      <c r="X2133">
        <v>1</v>
      </c>
      <c r="Y2133">
        <v>1</v>
      </c>
      <c r="Z2133">
        <v>1</v>
      </c>
      <c r="AA2133">
        <v>1</v>
      </c>
      <c r="AB2133">
        <v>1</v>
      </c>
    </row>
    <row r="2134" spans="1:49" x14ac:dyDescent="0.25">
      <c r="A2134" t="str">
        <f>"2130"</f>
        <v>2130</v>
      </c>
      <c r="B2134" t="str">
        <f t="shared" si="120"/>
        <v>1</v>
      </c>
      <c r="C2134" t="str">
        <f t="shared" si="122"/>
        <v>94</v>
      </c>
      <c r="D2134" t="str">
        <f>"12"</f>
        <v>12</v>
      </c>
      <c r="E2134" t="str">
        <f>"1-94-12"</f>
        <v>1-94-12</v>
      </c>
      <c r="F2134" t="s">
        <v>83</v>
      </c>
      <c r="G2134" t="s">
        <v>84</v>
      </c>
      <c r="H2134" t="s">
        <v>92</v>
      </c>
      <c r="I2134">
        <v>1</v>
      </c>
      <c r="J2134">
        <v>1</v>
      </c>
      <c r="N2134">
        <v>1</v>
      </c>
      <c r="O2134">
        <v>1</v>
      </c>
      <c r="P2134">
        <v>1</v>
      </c>
      <c r="Q2134">
        <v>1</v>
      </c>
      <c r="R2134">
        <v>1</v>
      </c>
      <c r="S2134">
        <v>1</v>
      </c>
      <c r="T2134">
        <v>1</v>
      </c>
      <c r="W2134">
        <v>0</v>
      </c>
      <c r="X2134">
        <v>1</v>
      </c>
      <c r="Y2134">
        <v>1</v>
      </c>
      <c r="Z2134">
        <v>1</v>
      </c>
      <c r="AA2134">
        <v>1</v>
      </c>
      <c r="AB2134">
        <v>1</v>
      </c>
    </row>
    <row r="2135" spans="1:49" x14ac:dyDescent="0.25">
      <c r="A2135" t="str">
        <f>"2131"</f>
        <v>2131</v>
      </c>
      <c r="B2135" t="str">
        <f t="shared" si="120"/>
        <v>1</v>
      </c>
      <c r="C2135" t="str">
        <f t="shared" si="122"/>
        <v>94</v>
      </c>
      <c r="D2135" t="str">
        <f>"6"</f>
        <v>6</v>
      </c>
      <c r="E2135" t="str">
        <f>"1-94-6"</f>
        <v>1-94-6</v>
      </c>
      <c r="F2135" t="s">
        <v>83</v>
      </c>
      <c r="G2135" t="s">
        <v>84</v>
      </c>
      <c r="H2135" t="s">
        <v>85</v>
      </c>
      <c r="AC2135">
        <v>0</v>
      </c>
      <c r="AD2135">
        <v>1</v>
      </c>
      <c r="AE2135">
        <v>0</v>
      </c>
      <c r="AF2135">
        <v>0</v>
      </c>
      <c r="AG2135">
        <v>1</v>
      </c>
      <c r="AJ2135">
        <v>0</v>
      </c>
      <c r="AK2135">
        <v>1</v>
      </c>
      <c r="AL2135">
        <v>0</v>
      </c>
      <c r="AM2135">
        <v>0</v>
      </c>
      <c r="AN2135">
        <v>1</v>
      </c>
      <c r="AO2135">
        <v>1</v>
      </c>
      <c r="AP2135">
        <v>1</v>
      </c>
      <c r="AQ2135">
        <v>1</v>
      </c>
      <c r="AR2135">
        <v>1</v>
      </c>
      <c r="AS2135">
        <v>0</v>
      </c>
      <c r="AT2135">
        <v>1</v>
      </c>
      <c r="AV2135">
        <v>1</v>
      </c>
      <c r="AW2135">
        <v>1</v>
      </c>
    </row>
    <row r="2136" spans="1:49" x14ac:dyDescent="0.25">
      <c r="A2136" t="str">
        <f>"2132"</f>
        <v>2132</v>
      </c>
      <c r="B2136" t="str">
        <f t="shared" si="120"/>
        <v>1</v>
      </c>
      <c r="C2136" t="str">
        <f t="shared" si="122"/>
        <v>94</v>
      </c>
      <c r="D2136" t="str">
        <f>"13"</f>
        <v>13</v>
      </c>
      <c r="E2136" t="str">
        <f>"1-94-13"</f>
        <v>1-94-13</v>
      </c>
      <c r="F2136" t="s">
        <v>83</v>
      </c>
      <c r="G2136" t="s">
        <v>84</v>
      </c>
      <c r="H2136" t="s">
        <v>85</v>
      </c>
      <c r="AC2136">
        <v>1</v>
      </c>
      <c r="AD2136">
        <v>0</v>
      </c>
      <c r="AE2136">
        <v>0</v>
      </c>
      <c r="AF2136">
        <v>0</v>
      </c>
      <c r="AG2136">
        <v>1</v>
      </c>
      <c r="AJ2136">
        <v>0</v>
      </c>
      <c r="AK2136">
        <v>1</v>
      </c>
      <c r="AL2136">
        <v>0</v>
      </c>
      <c r="AM2136">
        <v>1</v>
      </c>
      <c r="AN2136">
        <v>0</v>
      </c>
      <c r="AO2136">
        <v>1</v>
      </c>
      <c r="AP2136">
        <v>1</v>
      </c>
      <c r="AQ2136">
        <v>1</v>
      </c>
      <c r="AR2136">
        <v>1</v>
      </c>
      <c r="AS2136">
        <v>0</v>
      </c>
      <c r="AT2136">
        <v>1</v>
      </c>
      <c r="AV2136">
        <v>1</v>
      </c>
      <c r="AW2136">
        <v>1</v>
      </c>
    </row>
    <row r="2137" spans="1:49" x14ac:dyDescent="0.25">
      <c r="A2137" t="str">
        <f>"2133"</f>
        <v>2133</v>
      </c>
      <c r="B2137" t="str">
        <f t="shared" si="120"/>
        <v>1</v>
      </c>
      <c r="C2137" t="str">
        <f t="shared" si="122"/>
        <v>94</v>
      </c>
      <c r="D2137" t="str">
        <f>"5"</f>
        <v>5</v>
      </c>
      <c r="E2137" t="str">
        <f>"1-94-5"</f>
        <v>1-94-5</v>
      </c>
      <c r="F2137" t="s">
        <v>83</v>
      </c>
      <c r="G2137" t="s">
        <v>84</v>
      </c>
      <c r="H2137" t="s">
        <v>92</v>
      </c>
      <c r="I2137">
        <v>1</v>
      </c>
      <c r="J2137">
        <v>1</v>
      </c>
      <c r="N2137">
        <v>1</v>
      </c>
      <c r="O2137">
        <v>1</v>
      </c>
      <c r="P2137">
        <v>1</v>
      </c>
      <c r="Q2137">
        <v>1</v>
      </c>
      <c r="R2137">
        <v>1</v>
      </c>
      <c r="S2137">
        <v>1</v>
      </c>
      <c r="T2137">
        <v>1</v>
      </c>
      <c r="W2137">
        <v>1</v>
      </c>
      <c r="X2137">
        <v>1</v>
      </c>
      <c r="Y2137">
        <v>1</v>
      </c>
      <c r="Z2137">
        <v>1</v>
      </c>
      <c r="AA2137">
        <v>1</v>
      </c>
      <c r="AB2137">
        <v>1</v>
      </c>
    </row>
    <row r="2138" spans="1:49" x14ac:dyDescent="0.25">
      <c r="A2138" t="str">
        <f>"2134"</f>
        <v>2134</v>
      </c>
      <c r="B2138" t="str">
        <f t="shared" si="120"/>
        <v>1</v>
      </c>
      <c r="C2138" t="str">
        <f t="shared" si="122"/>
        <v>94</v>
      </c>
      <c r="D2138" t="str">
        <f>"20"</f>
        <v>20</v>
      </c>
      <c r="E2138" t="str">
        <f>"1-94-20"</f>
        <v>1-94-20</v>
      </c>
      <c r="F2138" t="s">
        <v>83</v>
      </c>
      <c r="G2138" t="s">
        <v>84</v>
      </c>
      <c r="H2138" t="s">
        <v>85</v>
      </c>
      <c r="AC2138">
        <v>0</v>
      </c>
      <c r="AD2138">
        <v>1</v>
      </c>
      <c r="AE2138">
        <v>0</v>
      </c>
      <c r="AF2138">
        <v>0</v>
      </c>
      <c r="AG2138">
        <v>1</v>
      </c>
      <c r="AJ2138">
        <v>1</v>
      </c>
      <c r="AK2138">
        <v>0</v>
      </c>
      <c r="AL2138">
        <v>0</v>
      </c>
      <c r="AM2138">
        <v>0</v>
      </c>
      <c r="AN2138">
        <v>1</v>
      </c>
      <c r="AO2138">
        <v>1</v>
      </c>
      <c r="AP2138">
        <v>1</v>
      </c>
      <c r="AQ2138">
        <v>1</v>
      </c>
      <c r="AR2138">
        <v>1</v>
      </c>
      <c r="AS2138">
        <v>0</v>
      </c>
      <c r="AT2138">
        <v>1</v>
      </c>
      <c r="AV2138">
        <v>1</v>
      </c>
      <c r="AW2138">
        <v>1</v>
      </c>
    </row>
    <row r="2139" spans="1:49" x14ac:dyDescent="0.25">
      <c r="A2139" t="str">
        <f>"2135"</f>
        <v>2135</v>
      </c>
      <c r="B2139" t="str">
        <f t="shared" si="120"/>
        <v>1</v>
      </c>
      <c r="C2139" t="str">
        <f t="shared" si="122"/>
        <v>94</v>
      </c>
      <c r="D2139" t="str">
        <f>"14"</f>
        <v>14</v>
      </c>
      <c r="E2139" t="str">
        <f>"1-94-14"</f>
        <v>1-94-14</v>
      </c>
      <c r="F2139" t="s">
        <v>83</v>
      </c>
      <c r="G2139" t="s">
        <v>84</v>
      </c>
      <c r="H2139" t="s">
        <v>92</v>
      </c>
      <c r="I2139">
        <v>1</v>
      </c>
      <c r="J2139">
        <v>1</v>
      </c>
      <c r="N2139">
        <v>1</v>
      </c>
      <c r="O2139">
        <v>1</v>
      </c>
      <c r="P2139">
        <v>1</v>
      </c>
      <c r="Q2139">
        <v>1</v>
      </c>
      <c r="R2139">
        <v>1</v>
      </c>
      <c r="S2139">
        <v>1</v>
      </c>
      <c r="T2139">
        <v>1</v>
      </c>
      <c r="W2139">
        <v>1</v>
      </c>
      <c r="X2139">
        <v>1</v>
      </c>
      <c r="Y2139">
        <v>1</v>
      </c>
      <c r="Z2139">
        <v>1</v>
      </c>
      <c r="AA2139">
        <v>1</v>
      </c>
      <c r="AB2139">
        <v>1</v>
      </c>
    </row>
    <row r="2140" spans="1:49" x14ac:dyDescent="0.25">
      <c r="A2140" t="str">
        <f>"2136"</f>
        <v>2136</v>
      </c>
      <c r="B2140" t="str">
        <f t="shared" si="120"/>
        <v>1</v>
      </c>
      <c r="C2140" t="str">
        <f t="shared" si="122"/>
        <v>94</v>
      </c>
      <c r="D2140" t="str">
        <f>"4"</f>
        <v>4</v>
      </c>
      <c r="E2140" t="str">
        <f>"1-94-4"</f>
        <v>1-94-4</v>
      </c>
      <c r="F2140" t="s">
        <v>83</v>
      </c>
      <c r="G2140" t="s">
        <v>84</v>
      </c>
      <c r="H2140" t="s">
        <v>85</v>
      </c>
      <c r="AC2140">
        <v>0</v>
      </c>
      <c r="AD2140">
        <v>1</v>
      </c>
      <c r="AE2140">
        <v>0</v>
      </c>
      <c r="AF2140">
        <v>0</v>
      </c>
      <c r="AG2140">
        <v>1</v>
      </c>
      <c r="AJ2140">
        <v>1</v>
      </c>
      <c r="AK2140">
        <v>0</v>
      </c>
      <c r="AL2140">
        <v>0</v>
      </c>
      <c r="AM2140">
        <v>1</v>
      </c>
      <c r="AN2140">
        <v>0</v>
      </c>
      <c r="AO2140">
        <v>0</v>
      </c>
      <c r="AP2140">
        <v>0</v>
      </c>
      <c r="AQ2140">
        <v>0</v>
      </c>
      <c r="AR2140">
        <v>0</v>
      </c>
      <c r="AS2140">
        <v>1</v>
      </c>
      <c r="AT2140">
        <v>0</v>
      </c>
      <c r="AV2140">
        <v>0</v>
      </c>
      <c r="AW2140">
        <v>1</v>
      </c>
    </row>
    <row r="2141" spans="1:49" x14ac:dyDescent="0.25">
      <c r="A2141" t="str">
        <f>"2137"</f>
        <v>2137</v>
      </c>
      <c r="B2141" t="str">
        <f t="shared" si="120"/>
        <v>1</v>
      </c>
      <c r="C2141" t="str">
        <f t="shared" ref="C2141:C2165" si="123">"95"</f>
        <v>95</v>
      </c>
      <c r="D2141" t="str">
        <f>"22"</f>
        <v>22</v>
      </c>
      <c r="E2141" t="str">
        <f>"1-95-22"</f>
        <v>1-95-22</v>
      </c>
      <c r="F2141" t="s">
        <v>83</v>
      </c>
      <c r="G2141" t="s">
        <v>84</v>
      </c>
      <c r="H2141" t="s">
        <v>85</v>
      </c>
      <c r="AC2141">
        <v>0</v>
      </c>
      <c r="AD2141">
        <v>1</v>
      </c>
      <c r="AE2141">
        <v>0</v>
      </c>
      <c r="AF2141">
        <v>0</v>
      </c>
      <c r="AG2141">
        <v>1</v>
      </c>
      <c r="AJ2141">
        <v>0</v>
      </c>
      <c r="AK2141">
        <v>1</v>
      </c>
      <c r="AL2141">
        <v>0</v>
      </c>
      <c r="AM2141">
        <v>0</v>
      </c>
      <c r="AN2141">
        <v>1</v>
      </c>
      <c r="AO2141">
        <v>1</v>
      </c>
      <c r="AP2141">
        <v>1</v>
      </c>
      <c r="AQ2141">
        <v>1</v>
      </c>
      <c r="AR2141">
        <v>1</v>
      </c>
      <c r="AS2141">
        <v>1</v>
      </c>
      <c r="AT2141">
        <v>0</v>
      </c>
      <c r="AV2141">
        <v>1</v>
      </c>
      <c r="AW2141">
        <v>1</v>
      </c>
    </row>
    <row r="2142" spans="1:49" x14ac:dyDescent="0.25">
      <c r="A2142" t="str">
        <f>"2138"</f>
        <v>2138</v>
      </c>
      <c r="B2142" t="str">
        <f t="shared" ref="B2142:B2205" si="124">"1"</f>
        <v>1</v>
      </c>
      <c r="C2142" t="str">
        <f t="shared" si="123"/>
        <v>95</v>
      </c>
      <c r="D2142" t="str">
        <f>"15"</f>
        <v>15</v>
      </c>
      <c r="E2142" t="str">
        <f>"1-95-15"</f>
        <v>1-95-15</v>
      </c>
      <c r="F2142" t="s">
        <v>83</v>
      </c>
      <c r="G2142" t="s">
        <v>86</v>
      </c>
      <c r="H2142" t="s">
        <v>87</v>
      </c>
      <c r="AC2142">
        <v>0</v>
      </c>
      <c r="AD2142">
        <v>1</v>
      </c>
      <c r="AE2142">
        <v>0</v>
      </c>
      <c r="AF2142">
        <v>0</v>
      </c>
      <c r="AH2142">
        <v>0</v>
      </c>
      <c r="AI2142">
        <v>1</v>
      </c>
      <c r="AJ2142">
        <v>1</v>
      </c>
      <c r="AK2142">
        <v>0</v>
      </c>
      <c r="AL2142">
        <v>0</v>
      </c>
      <c r="AM2142">
        <v>0</v>
      </c>
      <c r="AN2142">
        <v>1</v>
      </c>
      <c r="AO2142">
        <v>1</v>
      </c>
      <c r="AP2142">
        <v>1</v>
      </c>
      <c r="AQ2142">
        <v>1</v>
      </c>
      <c r="AU2142">
        <v>1</v>
      </c>
      <c r="AV2142">
        <v>1</v>
      </c>
      <c r="AW2142">
        <v>1</v>
      </c>
    </row>
    <row r="2143" spans="1:49" x14ac:dyDescent="0.25">
      <c r="A2143" t="str">
        <f>"2139"</f>
        <v>2139</v>
      </c>
      <c r="B2143" t="str">
        <f t="shared" si="124"/>
        <v>1</v>
      </c>
      <c r="C2143" t="str">
        <f t="shared" si="123"/>
        <v>95</v>
      </c>
      <c r="D2143" t="str">
        <f>"14"</f>
        <v>14</v>
      </c>
      <c r="E2143" t="str">
        <f>"1-95-14"</f>
        <v>1-95-14</v>
      </c>
      <c r="F2143" t="s">
        <v>83</v>
      </c>
      <c r="G2143" t="s">
        <v>86</v>
      </c>
      <c r="H2143" t="s">
        <v>87</v>
      </c>
      <c r="AC2143">
        <v>1</v>
      </c>
      <c r="AD2143">
        <v>0</v>
      </c>
      <c r="AE2143">
        <v>0</v>
      </c>
      <c r="AF2143">
        <v>0</v>
      </c>
      <c r="AH2143">
        <v>0</v>
      </c>
      <c r="AI2143">
        <v>1</v>
      </c>
      <c r="AJ2143">
        <v>0</v>
      </c>
      <c r="AK2143">
        <v>0</v>
      </c>
      <c r="AL2143">
        <v>0</v>
      </c>
      <c r="AM2143">
        <v>0</v>
      </c>
      <c r="AN2143">
        <v>0</v>
      </c>
      <c r="AO2143">
        <v>0</v>
      </c>
      <c r="AP2143">
        <v>0</v>
      </c>
      <c r="AQ2143">
        <v>0</v>
      </c>
      <c r="AU2143">
        <v>0</v>
      </c>
      <c r="AV2143">
        <v>0</v>
      </c>
      <c r="AW2143">
        <v>0</v>
      </c>
    </row>
    <row r="2144" spans="1:49" x14ac:dyDescent="0.25">
      <c r="A2144" t="str">
        <f>"2140"</f>
        <v>2140</v>
      </c>
      <c r="B2144" t="str">
        <f t="shared" si="124"/>
        <v>1</v>
      </c>
      <c r="C2144" t="str">
        <f t="shared" si="123"/>
        <v>95</v>
      </c>
      <c r="D2144" t="str">
        <f>"11"</f>
        <v>11</v>
      </c>
      <c r="E2144" t="str">
        <f>"1-95-11"</f>
        <v>1-95-11</v>
      </c>
      <c r="F2144" t="s">
        <v>83</v>
      </c>
      <c r="G2144" t="s">
        <v>90</v>
      </c>
      <c r="H2144" t="s">
        <v>94</v>
      </c>
      <c r="I2144">
        <v>1</v>
      </c>
      <c r="K2144">
        <v>0</v>
      </c>
      <c r="L2144">
        <v>1</v>
      </c>
      <c r="M2144">
        <v>0</v>
      </c>
      <c r="N2144">
        <v>1</v>
      </c>
      <c r="O2144">
        <v>1</v>
      </c>
      <c r="P2144">
        <v>1</v>
      </c>
      <c r="Q2144">
        <v>1</v>
      </c>
      <c r="R2144">
        <v>1</v>
      </c>
      <c r="S2144">
        <v>0</v>
      </c>
      <c r="U2144">
        <v>0</v>
      </c>
      <c r="V2144">
        <v>1</v>
      </c>
      <c r="W2144">
        <v>1</v>
      </c>
      <c r="X2144">
        <v>1</v>
      </c>
      <c r="Y2144">
        <v>1</v>
      </c>
      <c r="Z2144">
        <v>1</v>
      </c>
      <c r="AA2144">
        <v>1</v>
      </c>
      <c r="AB2144">
        <v>1</v>
      </c>
    </row>
    <row r="2145" spans="1:49" x14ac:dyDescent="0.25">
      <c r="A2145" t="str">
        <f>"2141"</f>
        <v>2141</v>
      </c>
      <c r="B2145" t="str">
        <f t="shared" si="124"/>
        <v>1</v>
      </c>
      <c r="C2145" t="str">
        <f t="shared" si="123"/>
        <v>95</v>
      </c>
      <c r="D2145" t="str">
        <f>"1"</f>
        <v>1</v>
      </c>
      <c r="E2145" t="str">
        <f>"1-95-1"</f>
        <v>1-95-1</v>
      </c>
      <c r="F2145" t="s">
        <v>83</v>
      </c>
      <c r="G2145" t="s">
        <v>84</v>
      </c>
      <c r="H2145" t="s">
        <v>85</v>
      </c>
      <c r="AC2145">
        <v>1</v>
      </c>
      <c r="AD2145">
        <v>0</v>
      </c>
      <c r="AE2145">
        <v>0</v>
      </c>
      <c r="AF2145">
        <v>0</v>
      </c>
      <c r="AG2145">
        <v>1</v>
      </c>
      <c r="AJ2145">
        <v>1</v>
      </c>
      <c r="AK2145">
        <v>0</v>
      </c>
      <c r="AL2145">
        <v>1</v>
      </c>
      <c r="AM2145">
        <v>0</v>
      </c>
      <c r="AN2145">
        <v>0</v>
      </c>
      <c r="AO2145">
        <v>1</v>
      </c>
      <c r="AP2145">
        <v>1</v>
      </c>
      <c r="AQ2145">
        <v>1</v>
      </c>
      <c r="AR2145">
        <v>1</v>
      </c>
      <c r="AS2145">
        <v>0</v>
      </c>
      <c r="AT2145">
        <v>1</v>
      </c>
      <c r="AV2145">
        <v>1</v>
      </c>
      <c r="AW2145">
        <v>1</v>
      </c>
    </row>
    <row r="2146" spans="1:49" x14ac:dyDescent="0.25">
      <c r="A2146" t="str">
        <f>"2142"</f>
        <v>2142</v>
      </c>
      <c r="B2146" t="str">
        <f t="shared" si="124"/>
        <v>1</v>
      </c>
      <c r="C2146" t="str">
        <f t="shared" si="123"/>
        <v>95</v>
      </c>
      <c r="D2146" t="str">
        <f>"17"</f>
        <v>17</v>
      </c>
      <c r="E2146" t="str">
        <f>"1-95-17"</f>
        <v>1-95-17</v>
      </c>
      <c r="F2146" t="s">
        <v>83</v>
      </c>
      <c r="G2146" t="s">
        <v>86</v>
      </c>
      <c r="H2146" t="s">
        <v>87</v>
      </c>
      <c r="AC2146">
        <v>0</v>
      </c>
      <c r="AD2146">
        <v>0</v>
      </c>
      <c r="AE2146">
        <v>0</v>
      </c>
      <c r="AF2146">
        <v>0</v>
      </c>
      <c r="AH2146">
        <v>0</v>
      </c>
      <c r="AI2146">
        <v>1</v>
      </c>
      <c r="AJ2146">
        <v>0</v>
      </c>
      <c r="AK2146">
        <v>0</v>
      </c>
      <c r="AL2146">
        <v>0</v>
      </c>
      <c r="AM2146">
        <v>0</v>
      </c>
      <c r="AN2146">
        <v>0</v>
      </c>
      <c r="AO2146">
        <v>0</v>
      </c>
      <c r="AP2146">
        <v>0</v>
      </c>
      <c r="AQ2146">
        <v>0</v>
      </c>
      <c r="AU2146">
        <v>0</v>
      </c>
      <c r="AV2146">
        <v>0</v>
      </c>
      <c r="AW2146">
        <v>0</v>
      </c>
    </row>
    <row r="2147" spans="1:49" x14ac:dyDescent="0.25">
      <c r="A2147" t="str">
        <f>"2143"</f>
        <v>2143</v>
      </c>
      <c r="B2147" t="str">
        <f t="shared" si="124"/>
        <v>1</v>
      </c>
      <c r="C2147" t="str">
        <f t="shared" si="123"/>
        <v>95</v>
      </c>
      <c r="D2147" t="str">
        <f>"9"</f>
        <v>9</v>
      </c>
      <c r="E2147" t="str">
        <f>"1-95-9"</f>
        <v>1-95-9</v>
      </c>
      <c r="F2147" t="s">
        <v>83</v>
      </c>
      <c r="G2147" t="s">
        <v>84</v>
      </c>
      <c r="H2147" t="s">
        <v>85</v>
      </c>
      <c r="AC2147">
        <v>1</v>
      </c>
      <c r="AD2147">
        <v>0</v>
      </c>
      <c r="AE2147">
        <v>0</v>
      </c>
      <c r="AF2147">
        <v>0</v>
      </c>
      <c r="AG2147">
        <v>0</v>
      </c>
      <c r="AJ2147">
        <v>1</v>
      </c>
      <c r="AK2147">
        <v>0</v>
      </c>
      <c r="AL2147">
        <v>0</v>
      </c>
      <c r="AM2147">
        <v>1</v>
      </c>
      <c r="AN2147">
        <v>0</v>
      </c>
      <c r="AO2147">
        <v>1</v>
      </c>
      <c r="AP2147">
        <v>0</v>
      </c>
      <c r="AQ2147">
        <v>0</v>
      </c>
      <c r="AR2147">
        <v>0</v>
      </c>
      <c r="AS2147">
        <v>0</v>
      </c>
      <c r="AT2147">
        <v>1</v>
      </c>
      <c r="AV2147">
        <v>0</v>
      </c>
      <c r="AW2147">
        <v>0</v>
      </c>
    </row>
    <row r="2148" spans="1:49" x14ac:dyDescent="0.25">
      <c r="A2148" t="str">
        <f>"2144"</f>
        <v>2144</v>
      </c>
      <c r="B2148" t="str">
        <f t="shared" si="124"/>
        <v>1</v>
      </c>
      <c r="C2148" t="str">
        <f t="shared" si="123"/>
        <v>95</v>
      </c>
      <c r="D2148" t="str">
        <f>"3"</f>
        <v>3</v>
      </c>
      <c r="E2148" t="str">
        <f>"1-95-3"</f>
        <v>1-95-3</v>
      </c>
      <c r="F2148" t="s">
        <v>83</v>
      </c>
      <c r="G2148" t="s">
        <v>84</v>
      </c>
      <c r="H2148" t="s">
        <v>85</v>
      </c>
      <c r="AC2148">
        <v>1</v>
      </c>
      <c r="AD2148">
        <v>0</v>
      </c>
      <c r="AE2148">
        <v>0</v>
      </c>
      <c r="AF2148">
        <v>0</v>
      </c>
      <c r="AG2148">
        <v>1</v>
      </c>
      <c r="AJ2148">
        <v>1</v>
      </c>
      <c r="AK2148">
        <v>0</v>
      </c>
      <c r="AL2148">
        <v>0</v>
      </c>
      <c r="AM2148">
        <v>0</v>
      </c>
      <c r="AN2148">
        <v>0</v>
      </c>
      <c r="AO2148">
        <v>1</v>
      </c>
      <c r="AP2148">
        <v>1</v>
      </c>
      <c r="AQ2148">
        <v>1</v>
      </c>
      <c r="AR2148">
        <v>0</v>
      </c>
      <c r="AS2148">
        <v>0</v>
      </c>
      <c r="AT2148">
        <v>1</v>
      </c>
      <c r="AV2148">
        <v>1</v>
      </c>
      <c r="AW2148">
        <v>1</v>
      </c>
    </row>
    <row r="2149" spans="1:49" x14ac:dyDescent="0.25">
      <c r="A2149" t="str">
        <f>"2145"</f>
        <v>2145</v>
      </c>
      <c r="B2149" t="str">
        <f t="shared" si="124"/>
        <v>1</v>
      </c>
      <c r="C2149" t="str">
        <f t="shared" si="123"/>
        <v>95</v>
      </c>
      <c r="D2149" t="str">
        <f>"25"</f>
        <v>25</v>
      </c>
      <c r="E2149" t="str">
        <f>"1-95-25"</f>
        <v>1-95-25</v>
      </c>
      <c r="F2149" t="s">
        <v>83</v>
      </c>
      <c r="G2149" t="s">
        <v>84</v>
      </c>
      <c r="H2149" t="s">
        <v>92</v>
      </c>
      <c r="I2149">
        <v>1</v>
      </c>
      <c r="J2149">
        <v>1</v>
      </c>
      <c r="N2149">
        <v>1</v>
      </c>
      <c r="O2149">
        <v>1</v>
      </c>
      <c r="P2149">
        <v>1</v>
      </c>
      <c r="Q2149">
        <v>1</v>
      </c>
      <c r="R2149">
        <v>1</v>
      </c>
      <c r="S2149">
        <v>1</v>
      </c>
      <c r="T2149">
        <v>1</v>
      </c>
      <c r="W2149">
        <v>1</v>
      </c>
      <c r="X2149">
        <v>1</v>
      </c>
      <c r="Y2149">
        <v>1</v>
      </c>
      <c r="Z2149">
        <v>1</v>
      </c>
      <c r="AA2149">
        <v>1</v>
      </c>
      <c r="AB2149">
        <v>1</v>
      </c>
    </row>
    <row r="2150" spans="1:49" x14ac:dyDescent="0.25">
      <c r="A2150" t="str">
        <f>"2146"</f>
        <v>2146</v>
      </c>
      <c r="B2150" t="str">
        <f t="shared" si="124"/>
        <v>1</v>
      </c>
      <c r="C2150" t="str">
        <f t="shared" si="123"/>
        <v>95</v>
      </c>
      <c r="D2150" t="str">
        <f>"24"</f>
        <v>24</v>
      </c>
      <c r="E2150" t="str">
        <f>"1-95-24"</f>
        <v>1-95-24</v>
      </c>
      <c r="F2150" t="s">
        <v>83</v>
      </c>
      <c r="G2150" t="s">
        <v>84</v>
      </c>
      <c r="H2150" t="s">
        <v>85</v>
      </c>
      <c r="AC2150">
        <v>0</v>
      </c>
      <c r="AD2150">
        <v>1</v>
      </c>
      <c r="AE2150">
        <v>0</v>
      </c>
      <c r="AF2150">
        <v>0</v>
      </c>
      <c r="AG2150">
        <v>1</v>
      </c>
      <c r="AJ2150">
        <v>0</v>
      </c>
      <c r="AK2150">
        <v>1</v>
      </c>
      <c r="AL2150">
        <v>0</v>
      </c>
      <c r="AM2150">
        <v>0</v>
      </c>
      <c r="AN2150">
        <v>1</v>
      </c>
      <c r="AO2150">
        <v>1</v>
      </c>
      <c r="AP2150">
        <v>1</v>
      </c>
      <c r="AQ2150">
        <v>1</v>
      </c>
      <c r="AR2150">
        <v>1</v>
      </c>
      <c r="AS2150">
        <v>1</v>
      </c>
      <c r="AT2150">
        <v>0</v>
      </c>
      <c r="AV2150">
        <v>1</v>
      </c>
      <c r="AW2150">
        <v>1</v>
      </c>
    </row>
    <row r="2151" spans="1:49" x14ac:dyDescent="0.25">
      <c r="A2151" t="str">
        <f>"2147"</f>
        <v>2147</v>
      </c>
      <c r="B2151" t="str">
        <f t="shared" si="124"/>
        <v>1</v>
      </c>
      <c r="C2151" t="str">
        <f t="shared" si="123"/>
        <v>95</v>
      </c>
      <c r="D2151" t="str">
        <f>"10"</f>
        <v>10</v>
      </c>
      <c r="E2151" t="str">
        <f>"1-95-10"</f>
        <v>1-95-10</v>
      </c>
      <c r="F2151" t="s">
        <v>83</v>
      </c>
      <c r="G2151" t="s">
        <v>90</v>
      </c>
      <c r="H2151" t="s">
        <v>91</v>
      </c>
      <c r="AC2151">
        <v>0</v>
      </c>
      <c r="AD2151">
        <v>1</v>
      </c>
      <c r="AE2151">
        <v>0</v>
      </c>
      <c r="AF2151">
        <v>0</v>
      </c>
      <c r="AH2151">
        <v>1</v>
      </c>
      <c r="AI2151">
        <v>0</v>
      </c>
      <c r="AJ2151">
        <v>0</v>
      </c>
      <c r="AK2151">
        <v>1</v>
      </c>
      <c r="AL2151">
        <v>0</v>
      </c>
      <c r="AM2151">
        <v>0</v>
      </c>
      <c r="AN2151">
        <v>1</v>
      </c>
      <c r="AO2151">
        <v>1</v>
      </c>
      <c r="AP2151">
        <v>1</v>
      </c>
      <c r="AQ2151">
        <v>1</v>
      </c>
      <c r="AR2151">
        <v>1</v>
      </c>
      <c r="AU2151">
        <v>1</v>
      </c>
      <c r="AV2151">
        <v>1</v>
      </c>
      <c r="AW2151">
        <v>1</v>
      </c>
    </row>
    <row r="2152" spans="1:49" x14ac:dyDescent="0.25">
      <c r="A2152" t="str">
        <f>"2148"</f>
        <v>2148</v>
      </c>
      <c r="B2152" t="str">
        <f t="shared" si="124"/>
        <v>1</v>
      </c>
      <c r="C2152" t="str">
        <f t="shared" si="123"/>
        <v>95</v>
      </c>
      <c r="D2152" t="str">
        <f>"7"</f>
        <v>7</v>
      </c>
      <c r="E2152" t="str">
        <f>"1-95-7"</f>
        <v>1-95-7</v>
      </c>
      <c r="F2152" t="s">
        <v>83</v>
      </c>
      <c r="G2152" t="s">
        <v>86</v>
      </c>
      <c r="H2152" t="s">
        <v>93</v>
      </c>
      <c r="I2152">
        <v>1</v>
      </c>
      <c r="K2152">
        <v>0</v>
      </c>
      <c r="L2152">
        <v>0</v>
      </c>
      <c r="M2152">
        <v>1</v>
      </c>
      <c r="N2152">
        <v>1</v>
      </c>
      <c r="O2152">
        <v>1</v>
      </c>
      <c r="P2152">
        <v>1</v>
      </c>
      <c r="Q2152">
        <v>1</v>
      </c>
      <c r="R2152">
        <v>1</v>
      </c>
      <c r="U2152">
        <v>1</v>
      </c>
      <c r="V2152">
        <v>0</v>
      </c>
      <c r="W2152">
        <v>1</v>
      </c>
      <c r="X2152">
        <v>1</v>
      </c>
      <c r="Y2152">
        <v>1</v>
      </c>
      <c r="Z2152">
        <v>1</v>
      </c>
      <c r="AA2152">
        <v>1</v>
      </c>
      <c r="AB2152">
        <v>1</v>
      </c>
    </row>
    <row r="2153" spans="1:49" x14ac:dyDescent="0.25">
      <c r="A2153" t="str">
        <f>"2149"</f>
        <v>2149</v>
      </c>
      <c r="B2153" t="str">
        <f t="shared" si="124"/>
        <v>1</v>
      </c>
      <c r="C2153" t="str">
        <f t="shared" si="123"/>
        <v>95</v>
      </c>
      <c r="D2153" t="str">
        <f>"20"</f>
        <v>20</v>
      </c>
      <c r="E2153" t="str">
        <f>"1-95-20"</f>
        <v>1-95-20</v>
      </c>
      <c r="F2153" t="s">
        <v>83</v>
      </c>
      <c r="G2153" t="s">
        <v>86</v>
      </c>
      <c r="H2153" t="s">
        <v>93</v>
      </c>
      <c r="I2153">
        <v>1</v>
      </c>
      <c r="K2153">
        <v>0</v>
      </c>
      <c r="L2153">
        <v>0</v>
      </c>
      <c r="M2153">
        <v>1</v>
      </c>
      <c r="N2153">
        <v>1</v>
      </c>
      <c r="O2153">
        <v>1</v>
      </c>
      <c r="P2153">
        <v>1</v>
      </c>
      <c r="Q2153">
        <v>1</v>
      </c>
      <c r="R2153">
        <v>1</v>
      </c>
      <c r="U2153">
        <v>0</v>
      </c>
      <c r="V2153">
        <v>1</v>
      </c>
      <c r="W2153">
        <v>1</v>
      </c>
      <c r="X2153">
        <v>1</v>
      </c>
      <c r="Y2153">
        <v>1</v>
      </c>
      <c r="Z2153">
        <v>1</v>
      </c>
      <c r="AA2153">
        <v>1</v>
      </c>
      <c r="AB2153">
        <v>1</v>
      </c>
    </row>
    <row r="2154" spans="1:49" x14ac:dyDescent="0.25">
      <c r="A2154" t="str">
        <f>"2150"</f>
        <v>2150</v>
      </c>
      <c r="B2154" t="str">
        <f t="shared" si="124"/>
        <v>1</v>
      </c>
      <c r="C2154" t="str">
        <f t="shared" si="123"/>
        <v>95</v>
      </c>
      <c r="D2154" t="str">
        <f>"12"</f>
        <v>12</v>
      </c>
      <c r="E2154" t="str">
        <f>"1-95-12"</f>
        <v>1-95-12</v>
      </c>
      <c r="F2154" t="s">
        <v>83</v>
      </c>
      <c r="G2154" t="s">
        <v>84</v>
      </c>
      <c r="H2154" t="s">
        <v>92</v>
      </c>
      <c r="I2154">
        <v>1</v>
      </c>
      <c r="J2154">
        <v>1</v>
      </c>
      <c r="N2154">
        <v>1</v>
      </c>
      <c r="O2154">
        <v>1</v>
      </c>
      <c r="P2154">
        <v>1</v>
      </c>
      <c r="Q2154">
        <v>1</v>
      </c>
      <c r="R2154">
        <v>1</v>
      </c>
      <c r="S2154">
        <v>1</v>
      </c>
      <c r="T2154">
        <v>1</v>
      </c>
      <c r="W2154">
        <v>1</v>
      </c>
      <c r="X2154">
        <v>1</v>
      </c>
      <c r="Y2154">
        <v>1</v>
      </c>
      <c r="Z2154">
        <v>1</v>
      </c>
      <c r="AA2154">
        <v>1</v>
      </c>
      <c r="AB2154">
        <v>1</v>
      </c>
    </row>
    <row r="2155" spans="1:49" x14ac:dyDescent="0.25">
      <c r="A2155" t="str">
        <f>"2151"</f>
        <v>2151</v>
      </c>
      <c r="B2155" t="str">
        <f t="shared" si="124"/>
        <v>1</v>
      </c>
      <c r="C2155" t="str">
        <f t="shared" si="123"/>
        <v>95</v>
      </c>
      <c r="D2155" t="str">
        <f>"6"</f>
        <v>6</v>
      </c>
      <c r="E2155" t="str">
        <f>"1-95-6"</f>
        <v>1-95-6</v>
      </c>
      <c r="F2155" t="s">
        <v>83</v>
      </c>
      <c r="G2155" t="s">
        <v>86</v>
      </c>
      <c r="H2155" t="s">
        <v>87</v>
      </c>
      <c r="AC2155">
        <v>1</v>
      </c>
      <c r="AD2155">
        <v>0</v>
      </c>
      <c r="AE2155">
        <v>0</v>
      </c>
      <c r="AF2155">
        <v>0</v>
      </c>
      <c r="AH2155">
        <v>0</v>
      </c>
      <c r="AI2155">
        <v>1</v>
      </c>
      <c r="AJ2155">
        <v>0</v>
      </c>
      <c r="AK2155">
        <v>0</v>
      </c>
      <c r="AL2155">
        <v>0</v>
      </c>
      <c r="AM2155">
        <v>0</v>
      </c>
      <c r="AN2155">
        <v>0</v>
      </c>
      <c r="AO2155">
        <v>0</v>
      </c>
      <c r="AP2155">
        <v>0</v>
      </c>
      <c r="AQ2155">
        <v>0</v>
      </c>
      <c r="AU2155">
        <v>0</v>
      </c>
      <c r="AV2155">
        <v>0</v>
      </c>
      <c r="AW2155">
        <v>0</v>
      </c>
    </row>
    <row r="2156" spans="1:49" x14ac:dyDescent="0.25">
      <c r="A2156" t="str">
        <f>"2152"</f>
        <v>2152</v>
      </c>
      <c r="B2156" t="str">
        <f t="shared" si="124"/>
        <v>1</v>
      </c>
      <c r="C2156" t="str">
        <f t="shared" si="123"/>
        <v>95</v>
      </c>
      <c r="D2156" t="str">
        <f>"21"</f>
        <v>21</v>
      </c>
      <c r="E2156" t="str">
        <f>"1-95-21"</f>
        <v>1-95-21</v>
      </c>
      <c r="F2156" t="s">
        <v>83</v>
      </c>
      <c r="G2156" t="s">
        <v>84</v>
      </c>
      <c r="H2156" t="s">
        <v>85</v>
      </c>
      <c r="AC2156">
        <v>0</v>
      </c>
      <c r="AD2156">
        <v>1</v>
      </c>
      <c r="AE2156">
        <v>0</v>
      </c>
      <c r="AF2156">
        <v>0</v>
      </c>
      <c r="AG2156">
        <v>0</v>
      </c>
      <c r="AJ2156">
        <v>1</v>
      </c>
      <c r="AK2156">
        <v>0</v>
      </c>
      <c r="AL2156">
        <v>0</v>
      </c>
      <c r="AM2156">
        <v>0</v>
      </c>
      <c r="AN2156">
        <v>1</v>
      </c>
      <c r="AO2156">
        <v>1</v>
      </c>
      <c r="AP2156">
        <v>1</v>
      </c>
      <c r="AQ2156">
        <v>1</v>
      </c>
      <c r="AR2156">
        <v>1</v>
      </c>
      <c r="AS2156">
        <v>1</v>
      </c>
      <c r="AT2156">
        <v>0</v>
      </c>
      <c r="AV2156">
        <v>1</v>
      </c>
      <c r="AW2156">
        <v>1</v>
      </c>
    </row>
    <row r="2157" spans="1:49" x14ac:dyDescent="0.25">
      <c r="A2157" t="str">
        <f>"2153"</f>
        <v>2153</v>
      </c>
      <c r="B2157" t="str">
        <f t="shared" si="124"/>
        <v>1</v>
      </c>
      <c r="C2157" t="str">
        <f t="shared" si="123"/>
        <v>95</v>
      </c>
      <c r="D2157" t="str">
        <f>"13"</f>
        <v>13</v>
      </c>
      <c r="E2157" t="str">
        <f>"1-95-13"</f>
        <v>1-95-13</v>
      </c>
      <c r="F2157" t="s">
        <v>83</v>
      </c>
      <c r="G2157" t="s">
        <v>84</v>
      </c>
      <c r="H2157" t="s">
        <v>85</v>
      </c>
      <c r="AC2157">
        <v>1</v>
      </c>
      <c r="AD2157">
        <v>0</v>
      </c>
      <c r="AE2157">
        <v>0</v>
      </c>
      <c r="AF2157">
        <v>0</v>
      </c>
      <c r="AG2157">
        <v>1</v>
      </c>
      <c r="AJ2157">
        <v>1</v>
      </c>
      <c r="AK2157">
        <v>0</v>
      </c>
      <c r="AL2157">
        <v>0</v>
      </c>
      <c r="AM2157">
        <v>0</v>
      </c>
      <c r="AN2157">
        <v>0</v>
      </c>
      <c r="AO2157">
        <v>0</v>
      </c>
      <c r="AP2157">
        <v>0</v>
      </c>
      <c r="AQ2157">
        <v>1</v>
      </c>
      <c r="AR2157">
        <v>0</v>
      </c>
      <c r="AS2157">
        <v>1</v>
      </c>
      <c r="AT2157">
        <v>0</v>
      </c>
      <c r="AV2157">
        <v>0</v>
      </c>
      <c r="AW2157">
        <v>1</v>
      </c>
    </row>
    <row r="2158" spans="1:49" x14ac:dyDescent="0.25">
      <c r="A2158" t="str">
        <f>"2154"</f>
        <v>2154</v>
      </c>
      <c r="B2158" t="str">
        <f t="shared" si="124"/>
        <v>1</v>
      </c>
      <c r="C2158" t="str">
        <f t="shared" si="123"/>
        <v>95</v>
      </c>
      <c r="D2158" t="str">
        <f>"2"</f>
        <v>2</v>
      </c>
      <c r="E2158" t="str">
        <f>"1-95-2"</f>
        <v>1-95-2</v>
      </c>
      <c r="F2158" t="s">
        <v>83</v>
      </c>
      <c r="G2158" t="s">
        <v>84</v>
      </c>
      <c r="H2158" t="s">
        <v>85</v>
      </c>
      <c r="AC2158">
        <v>0</v>
      </c>
      <c r="AD2158">
        <v>1</v>
      </c>
      <c r="AE2158">
        <v>0</v>
      </c>
      <c r="AF2158">
        <v>0</v>
      </c>
      <c r="AG2158">
        <v>0</v>
      </c>
      <c r="AJ2158">
        <v>0</v>
      </c>
      <c r="AK2158">
        <v>1</v>
      </c>
      <c r="AL2158">
        <v>1</v>
      </c>
      <c r="AM2158">
        <v>0</v>
      </c>
      <c r="AN2158">
        <v>0</v>
      </c>
      <c r="AO2158">
        <v>1</v>
      </c>
      <c r="AP2158">
        <v>1</v>
      </c>
      <c r="AQ2158">
        <v>1</v>
      </c>
      <c r="AR2158">
        <v>1</v>
      </c>
      <c r="AS2158">
        <v>1</v>
      </c>
      <c r="AT2158">
        <v>0</v>
      </c>
      <c r="AV2158">
        <v>1</v>
      </c>
      <c r="AW2158">
        <v>1</v>
      </c>
    </row>
    <row r="2159" spans="1:49" x14ac:dyDescent="0.25">
      <c r="A2159" t="str">
        <f>"2155"</f>
        <v>2155</v>
      </c>
      <c r="B2159" t="str">
        <f t="shared" si="124"/>
        <v>1</v>
      </c>
      <c r="C2159" t="str">
        <f t="shared" si="123"/>
        <v>95</v>
      </c>
      <c r="D2159" t="str">
        <f>"18"</f>
        <v>18</v>
      </c>
      <c r="E2159" t="str">
        <f>"1-95-18"</f>
        <v>1-95-18</v>
      </c>
      <c r="F2159" t="s">
        <v>83</v>
      </c>
      <c r="G2159" t="s">
        <v>86</v>
      </c>
      <c r="H2159" t="s">
        <v>87</v>
      </c>
      <c r="AC2159">
        <v>0</v>
      </c>
      <c r="AD2159">
        <v>0</v>
      </c>
      <c r="AE2159">
        <v>0</v>
      </c>
      <c r="AF2159">
        <v>0</v>
      </c>
      <c r="AH2159">
        <v>0</v>
      </c>
      <c r="AI2159">
        <v>1</v>
      </c>
      <c r="AJ2159">
        <v>0</v>
      </c>
      <c r="AK2159">
        <v>0</v>
      </c>
      <c r="AL2159">
        <v>0</v>
      </c>
      <c r="AM2159">
        <v>0</v>
      </c>
      <c r="AN2159">
        <v>0</v>
      </c>
      <c r="AO2159">
        <v>0</v>
      </c>
      <c r="AP2159">
        <v>0</v>
      </c>
      <c r="AQ2159">
        <v>0</v>
      </c>
      <c r="AU2159">
        <v>0</v>
      </c>
      <c r="AV2159">
        <v>0</v>
      </c>
      <c r="AW2159">
        <v>0</v>
      </c>
    </row>
    <row r="2160" spans="1:49" x14ac:dyDescent="0.25">
      <c r="A2160" t="str">
        <f>"2156"</f>
        <v>2156</v>
      </c>
      <c r="B2160" t="str">
        <f t="shared" si="124"/>
        <v>1</v>
      </c>
      <c r="C2160" t="str">
        <f t="shared" si="123"/>
        <v>95</v>
      </c>
      <c r="D2160" t="str">
        <f>"4"</f>
        <v>4</v>
      </c>
      <c r="E2160" t="str">
        <f>"1-95-4"</f>
        <v>1-95-4</v>
      </c>
      <c r="F2160" t="s">
        <v>83</v>
      </c>
      <c r="G2160" t="s">
        <v>86</v>
      </c>
      <c r="H2160" t="s">
        <v>93</v>
      </c>
      <c r="I2160">
        <v>1</v>
      </c>
      <c r="K2160">
        <v>1</v>
      </c>
      <c r="L2160">
        <v>0</v>
      </c>
      <c r="M2160">
        <v>0</v>
      </c>
      <c r="N2160">
        <v>1</v>
      </c>
      <c r="O2160">
        <v>1</v>
      </c>
      <c r="P2160">
        <v>1</v>
      </c>
      <c r="Q2160">
        <v>1</v>
      </c>
      <c r="R2160">
        <v>0</v>
      </c>
      <c r="U2160">
        <v>0</v>
      </c>
      <c r="V2160">
        <v>1</v>
      </c>
      <c r="W2160">
        <v>1</v>
      </c>
      <c r="X2160">
        <v>1</v>
      </c>
      <c r="Y2160">
        <v>1</v>
      </c>
      <c r="Z2160">
        <v>1</v>
      </c>
      <c r="AA2160">
        <v>1</v>
      </c>
      <c r="AB2160">
        <v>1</v>
      </c>
    </row>
    <row r="2161" spans="1:49" x14ac:dyDescent="0.25">
      <c r="A2161" t="str">
        <f>"2157"</f>
        <v>2157</v>
      </c>
      <c r="B2161" t="str">
        <f t="shared" si="124"/>
        <v>1</v>
      </c>
      <c r="C2161" t="str">
        <f t="shared" si="123"/>
        <v>95</v>
      </c>
      <c r="D2161" t="str">
        <f>"19"</f>
        <v>19</v>
      </c>
      <c r="E2161" t="str">
        <f>"1-95-19"</f>
        <v>1-95-19</v>
      </c>
      <c r="F2161" t="s">
        <v>83</v>
      </c>
      <c r="G2161" t="s">
        <v>86</v>
      </c>
      <c r="H2161" t="s">
        <v>87</v>
      </c>
      <c r="AC2161">
        <v>0</v>
      </c>
      <c r="AD2161">
        <v>0</v>
      </c>
      <c r="AE2161">
        <v>0</v>
      </c>
      <c r="AF2161">
        <v>0</v>
      </c>
      <c r="AH2161">
        <v>0</v>
      </c>
      <c r="AI2161">
        <v>1</v>
      </c>
      <c r="AJ2161">
        <v>0</v>
      </c>
      <c r="AK2161">
        <v>0</v>
      </c>
      <c r="AL2161">
        <v>0</v>
      </c>
      <c r="AM2161">
        <v>0</v>
      </c>
      <c r="AN2161">
        <v>0</v>
      </c>
      <c r="AO2161">
        <v>0</v>
      </c>
      <c r="AP2161">
        <v>0</v>
      </c>
      <c r="AQ2161">
        <v>0</v>
      </c>
      <c r="AU2161">
        <v>0</v>
      </c>
      <c r="AV2161">
        <v>0</v>
      </c>
      <c r="AW2161">
        <v>0</v>
      </c>
    </row>
    <row r="2162" spans="1:49" x14ac:dyDescent="0.25">
      <c r="A2162" t="str">
        <f>"2158"</f>
        <v>2158</v>
      </c>
      <c r="B2162" t="str">
        <f t="shared" si="124"/>
        <v>1</v>
      </c>
      <c r="C2162" t="str">
        <f t="shared" si="123"/>
        <v>95</v>
      </c>
      <c r="D2162" t="str">
        <f>"5"</f>
        <v>5</v>
      </c>
      <c r="E2162" t="str">
        <f>"1-95-5"</f>
        <v>1-95-5</v>
      </c>
      <c r="F2162" t="s">
        <v>83</v>
      </c>
      <c r="G2162" t="s">
        <v>86</v>
      </c>
      <c r="H2162" t="s">
        <v>93</v>
      </c>
      <c r="I2162">
        <v>1</v>
      </c>
      <c r="K2162">
        <v>0</v>
      </c>
      <c r="L2162">
        <v>1</v>
      </c>
      <c r="M2162">
        <v>0</v>
      </c>
      <c r="N2162">
        <v>1</v>
      </c>
      <c r="O2162">
        <v>1</v>
      </c>
      <c r="P2162">
        <v>1</v>
      </c>
      <c r="Q2162">
        <v>1</v>
      </c>
      <c r="R2162">
        <v>1</v>
      </c>
      <c r="U2162">
        <v>0</v>
      </c>
      <c r="V2162">
        <v>1</v>
      </c>
      <c r="W2162">
        <v>1</v>
      </c>
      <c r="X2162">
        <v>1</v>
      </c>
      <c r="Y2162">
        <v>1</v>
      </c>
      <c r="Z2162">
        <v>1</v>
      </c>
      <c r="AA2162">
        <v>1</v>
      </c>
      <c r="AB2162">
        <v>1</v>
      </c>
    </row>
    <row r="2163" spans="1:49" x14ac:dyDescent="0.25">
      <c r="A2163" t="str">
        <f>"2159"</f>
        <v>2159</v>
      </c>
      <c r="B2163" t="str">
        <f t="shared" si="124"/>
        <v>1</v>
      </c>
      <c r="C2163" t="str">
        <f t="shared" si="123"/>
        <v>95</v>
      </c>
      <c r="D2163" t="str">
        <f>"23"</f>
        <v>23</v>
      </c>
      <c r="E2163" t="str">
        <f>"1-95-23"</f>
        <v>1-95-23</v>
      </c>
      <c r="F2163" t="s">
        <v>83</v>
      </c>
      <c r="G2163" t="s">
        <v>90</v>
      </c>
      <c r="H2163" t="s">
        <v>94</v>
      </c>
      <c r="I2163">
        <v>1</v>
      </c>
      <c r="K2163">
        <v>1</v>
      </c>
      <c r="L2163">
        <v>0</v>
      </c>
      <c r="M2163">
        <v>0</v>
      </c>
      <c r="N2163">
        <v>1</v>
      </c>
      <c r="O2163">
        <v>1</v>
      </c>
      <c r="P2163">
        <v>1</v>
      </c>
      <c r="Q2163">
        <v>1</v>
      </c>
      <c r="R2163">
        <v>1</v>
      </c>
      <c r="S2163">
        <v>1</v>
      </c>
      <c r="U2163">
        <v>1</v>
      </c>
      <c r="V2163">
        <v>0</v>
      </c>
      <c r="W2163">
        <v>1</v>
      </c>
      <c r="X2163">
        <v>1</v>
      </c>
      <c r="Y2163">
        <v>1</v>
      </c>
      <c r="Z2163">
        <v>1</v>
      </c>
      <c r="AA2163">
        <v>1</v>
      </c>
      <c r="AB2163">
        <v>1</v>
      </c>
    </row>
    <row r="2164" spans="1:49" x14ac:dyDescent="0.25">
      <c r="A2164" t="str">
        <f>"2160"</f>
        <v>2160</v>
      </c>
      <c r="B2164" t="str">
        <f t="shared" si="124"/>
        <v>1</v>
      </c>
      <c r="C2164" t="str">
        <f t="shared" si="123"/>
        <v>95</v>
      </c>
      <c r="D2164" t="str">
        <f>"8"</f>
        <v>8</v>
      </c>
      <c r="E2164" t="str">
        <f>"1-95-8"</f>
        <v>1-95-8</v>
      </c>
      <c r="F2164" t="s">
        <v>83</v>
      </c>
      <c r="G2164" t="s">
        <v>86</v>
      </c>
      <c r="H2164" t="s">
        <v>87</v>
      </c>
      <c r="AC2164">
        <v>0</v>
      </c>
      <c r="AD2164">
        <v>0</v>
      </c>
      <c r="AE2164">
        <v>0</v>
      </c>
      <c r="AF2164">
        <v>0</v>
      </c>
      <c r="AH2164">
        <v>0</v>
      </c>
      <c r="AI2164">
        <v>1</v>
      </c>
      <c r="AJ2164">
        <v>0</v>
      </c>
      <c r="AK2164">
        <v>1</v>
      </c>
      <c r="AL2164">
        <v>0</v>
      </c>
      <c r="AM2164">
        <v>0</v>
      </c>
      <c r="AN2164">
        <v>1</v>
      </c>
      <c r="AO2164">
        <v>1</v>
      </c>
      <c r="AP2164">
        <v>1</v>
      </c>
      <c r="AQ2164">
        <v>1</v>
      </c>
      <c r="AU2164">
        <v>1</v>
      </c>
      <c r="AV2164">
        <v>1</v>
      </c>
      <c r="AW2164">
        <v>1</v>
      </c>
    </row>
    <row r="2165" spans="1:49" x14ac:dyDescent="0.25">
      <c r="A2165" t="str">
        <f>"2161"</f>
        <v>2161</v>
      </c>
      <c r="B2165" t="str">
        <f t="shared" si="124"/>
        <v>1</v>
      </c>
      <c r="C2165" t="str">
        <f t="shared" si="123"/>
        <v>95</v>
      </c>
      <c r="D2165" t="str">
        <f>"16"</f>
        <v>16</v>
      </c>
      <c r="E2165" t="str">
        <f>"1-95-16"</f>
        <v>1-95-16</v>
      </c>
      <c r="F2165" t="s">
        <v>83</v>
      </c>
      <c r="G2165" t="s">
        <v>86</v>
      </c>
      <c r="H2165" t="s">
        <v>87</v>
      </c>
      <c r="AC2165">
        <v>0</v>
      </c>
      <c r="AD2165">
        <v>0</v>
      </c>
      <c r="AE2165">
        <v>0</v>
      </c>
      <c r="AF2165">
        <v>0</v>
      </c>
      <c r="AH2165">
        <v>0</v>
      </c>
      <c r="AI2165">
        <v>1</v>
      </c>
      <c r="AJ2165">
        <v>1</v>
      </c>
      <c r="AK2165">
        <v>0</v>
      </c>
      <c r="AL2165">
        <v>0</v>
      </c>
      <c r="AM2165">
        <v>0</v>
      </c>
      <c r="AN2165">
        <v>1</v>
      </c>
      <c r="AO2165">
        <v>1</v>
      </c>
      <c r="AP2165">
        <v>1</v>
      </c>
      <c r="AQ2165">
        <v>1</v>
      </c>
      <c r="AU2165">
        <v>1</v>
      </c>
      <c r="AV2165">
        <v>1</v>
      </c>
      <c r="AW2165">
        <v>1</v>
      </c>
    </row>
    <row r="2166" spans="1:49" x14ac:dyDescent="0.25">
      <c r="A2166" t="str">
        <f>"2162"</f>
        <v>2162</v>
      </c>
      <c r="B2166" t="str">
        <f t="shared" si="124"/>
        <v>1</v>
      </c>
      <c r="C2166" t="str">
        <f t="shared" ref="C2166:C2187" si="125">"96"</f>
        <v>96</v>
      </c>
      <c r="D2166" t="str">
        <f>"20"</f>
        <v>20</v>
      </c>
      <c r="E2166" t="str">
        <f>"1-96-20"</f>
        <v>1-96-20</v>
      </c>
      <c r="F2166" t="s">
        <v>83</v>
      </c>
      <c r="G2166" t="s">
        <v>84</v>
      </c>
      <c r="H2166" t="s">
        <v>85</v>
      </c>
      <c r="AC2166">
        <v>0</v>
      </c>
      <c r="AD2166">
        <v>1</v>
      </c>
      <c r="AE2166">
        <v>0</v>
      </c>
      <c r="AF2166">
        <v>0</v>
      </c>
      <c r="AG2166">
        <v>0</v>
      </c>
      <c r="AJ2166">
        <v>1</v>
      </c>
      <c r="AK2166">
        <v>0</v>
      </c>
      <c r="AL2166">
        <v>0</v>
      </c>
      <c r="AM2166">
        <v>1</v>
      </c>
      <c r="AN2166">
        <v>0</v>
      </c>
      <c r="AO2166">
        <v>0</v>
      </c>
      <c r="AP2166">
        <v>0</v>
      </c>
      <c r="AQ2166">
        <v>0</v>
      </c>
      <c r="AR2166">
        <v>0</v>
      </c>
      <c r="AS2166">
        <v>0</v>
      </c>
      <c r="AT2166">
        <v>1</v>
      </c>
      <c r="AV2166">
        <v>0</v>
      </c>
      <c r="AW2166">
        <v>0</v>
      </c>
    </row>
    <row r="2167" spans="1:49" x14ac:dyDescent="0.25">
      <c r="A2167" t="str">
        <f>"2163"</f>
        <v>2163</v>
      </c>
      <c r="B2167" t="str">
        <f t="shared" si="124"/>
        <v>1</v>
      </c>
      <c r="C2167" t="str">
        <f t="shared" si="125"/>
        <v>96</v>
      </c>
      <c r="D2167" t="str">
        <f>"19"</f>
        <v>19</v>
      </c>
      <c r="E2167" t="str">
        <f>"1-96-19"</f>
        <v>1-96-19</v>
      </c>
      <c r="F2167" t="s">
        <v>83</v>
      </c>
      <c r="G2167" t="s">
        <v>84</v>
      </c>
      <c r="H2167" t="s">
        <v>85</v>
      </c>
      <c r="AC2167">
        <v>1</v>
      </c>
      <c r="AD2167">
        <v>0</v>
      </c>
      <c r="AE2167">
        <v>0</v>
      </c>
      <c r="AF2167">
        <v>0</v>
      </c>
      <c r="AG2167">
        <v>1</v>
      </c>
      <c r="AJ2167">
        <v>1</v>
      </c>
      <c r="AK2167">
        <v>0</v>
      </c>
      <c r="AL2167">
        <v>1</v>
      </c>
      <c r="AM2167">
        <v>0</v>
      </c>
      <c r="AN2167">
        <v>0</v>
      </c>
      <c r="AO2167">
        <v>1</v>
      </c>
      <c r="AP2167">
        <v>1</v>
      </c>
      <c r="AQ2167">
        <v>1</v>
      </c>
      <c r="AR2167">
        <v>1</v>
      </c>
      <c r="AS2167">
        <v>1</v>
      </c>
      <c r="AT2167">
        <v>0</v>
      </c>
      <c r="AV2167">
        <v>1</v>
      </c>
      <c r="AW2167">
        <v>1</v>
      </c>
    </row>
    <row r="2168" spans="1:49" x14ac:dyDescent="0.25">
      <c r="A2168" t="str">
        <f>"2164"</f>
        <v>2164</v>
      </c>
      <c r="B2168" t="str">
        <f t="shared" si="124"/>
        <v>1</v>
      </c>
      <c r="C2168" t="str">
        <f t="shared" si="125"/>
        <v>96</v>
      </c>
      <c r="D2168" t="str">
        <f>"13"</f>
        <v>13</v>
      </c>
      <c r="E2168" t="str">
        <f>"1-96-13"</f>
        <v>1-96-13</v>
      </c>
      <c r="F2168" t="s">
        <v>83</v>
      </c>
      <c r="G2168" t="s">
        <v>84</v>
      </c>
      <c r="H2168" t="s">
        <v>85</v>
      </c>
      <c r="AC2168">
        <v>1</v>
      </c>
      <c r="AD2168">
        <v>0</v>
      </c>
      <c r="AE2168">
        <v>0</v>
      </c>
      <c r="AF2168">
        <v>0</v>
      </c>
      <c r="AG2168">
        <v>1</v>
      </c>
      <c r="AJ2168">
        <v>0</v>
      </c>
      <c r="AK2168">
        <v>1</v>
      </c>
      <c r="AL2168">
        <v>0</v>
      </c>
      <c r="AM2168">
        <v>0</v>
      </c>
      <c r="AN2168">
        <v>1</v>
      </c>
      <c r="AO2168">
        <v>1</v>
      </c>
      <c r="AP2168">
        <v>1</v>
      </c>
      <c r="AQ2168">
        <v>1</v>
      </c>
      <c r="AR2168">
        <v>1</v>
      </c>
      <c r="AS2168">
        <v>0</v>
      </c>
      <c r="AT2168">
        <v>1</v>
      </c>
      <c r="AV2168">
        <v>1</v>
      </c>
      <c r="AW2168">
        <v>0</v>
      </c>
    </row>
    <row r="2169" spans="1:49" x14ac:dyDescent="0.25">
      <c r="A2169" t="str">
        <f>"2165"</f>
        <v>2165</v>
      </c>
      <c r="B2169" t="str">
        <f t="shared" si="124"/>
        <v>1</v>
      </c>
      <c r="C2169" t="str">
        <f t="shared" si="125"/>
        <v>96</v>
      </c>
      <c r="D2169" t="str">
        <f>"8"</f>
        <v>8</v>
      </c>
      <c r="E2169" t="str">
        <f>"1-96-8"</f>
        <v>1-96-8</v>
      </c>
      <c r="F2169" t="s">
        <v>83</v>
      </c>
      <c r="G2169" t="s">
        <v>84</v>
      </c>
      <c r="H2169" t="s">
        <v>85</v>
      </c>
      <c r="AC2169">
        <v>0</v>
      </c>
      <c r="AD2169">
        <v>1</v>
      </c>
      <c r="AE2169">
        <v>0</v>
      </c>
      <c r="AF2169">
        <v>0</v>
      </c>
      <c r="AG2169">
        <v>1</v>
      </c>
      <c r="AJ2169">
        <v>0</v>
      </c>
      <c r="AK2169">
        <v>1</v>
      </c>
      <c r="AL2169">
        <v>0</v>
      </c>
      <c r="AM2169">
        <v>0</v>
      </c>
      <c r="AN2169">
        <v>1</v>
      </c>
      <c r="AO2169">
        <v>1</v>
      </c>
      <c r="AP2169">
        <v>1</v>
      </c>
      <c r="AQ2169">
        <v>1</v>
      </c>
      <c r="AR2169">
        <v>1</v>
      </c>
      <c r="AS2169">
        <v>0</v>
      </c>
      <c r="AT2169">
        <v>1</v>
      </c>
      <c r="AV2169">
        <v>1</v>
      </c>
      <c r="AW2169">
        <v>1</v>
      </c>
    </row>
    <row r="2170" spans="1:49" x14ac:dyDescent="0.25">
      <c r="A2170" t="str">
        <f>"2166"</f>
        <v>2166</v>
      </c>
      <c r="B2170" t="str">
        <f t="shared" si="124"/>
        <v>1</v>
      </c>
      <c r="C2170" t="str">
        <f t="shared" si="125"/>
        <v>96</v>
      </c>
      <c r="D2170" t="str">
        <f>"2"</f>
        <v>2</v>
      </c>
      <c r="E2170" t="str">
        <f>"1-96-2"</f>
        <v>1-96-2</v>
      </c>
      <c r="F2170" t="s">
        <v>83</v>
      </c>
      <c r="G2170" t="s">
        <v>86</v>
      </c>
      <c r="H2170" t="s">
        <v>87</v>
      </c>
      <c r="AC2170">
        <v>1</v>
      </c>
      <c r="AD2170">
        <v>0</v>
      </c>
      <c r="AE2170">
        <v>0</v>
      </c>
      <c r="AF2170">
        <v>0</v>
      </c>
      <c r="AH2170">
        <v>0</v>
      </c>
      <c r="AI2170">
        <v>1</v>
      </c>
      <c r="AJ2170">
        <v>1</v>
      </c>
      <c r="AK2170">
        <v>0</v>
      </c>
      <c r="AL2170">
        <v>0</v>
      </c>
      <c r="AM2170">
        <v>0</v>
      </c>
      <c r="AN2170">
        <v>0</v>
      </c>
      <c r="AO2170">
        <v>1</v>
      </c>
      <c r="AP2170">
        <v>1</v>
      </c>
      <c r="AQ2170">
        <v>1</v>
      </c>
      <c r="AU2170">
        <v>1</v>
      </c>
      <c r="AV2170">
        <v>1</v>
      </c>
      <c r="AW2170">
        <v>1</v>
      </c>
    </row>
    <row r="2171" spans="1:49" x14ac:dyDescent="0.25">
      <c r="A2171" t="str">
        <f>"2167"</f>
        <v>2167</v>
      </c>
      <c r="B2171" t="str">
        <f t="shared" si="124"/>
        <v>1</v>
      </c>
      <c r="C2171" t="str">
        <f t="shared" si="125"/>
        <v>96</v>
      </c>
      <c r="D2171" t="str">
        <f>"22"</f>
        <v>22</v>
      </c>
      <c r="E2171" t="str">
        <f>"1-96-22"</f>
        <v>1-96-22</v>
      </c>
      <c r="F2171" t="s">
        <v>83</v>
      </c>
      <c r="G2171" t="s">
        <v>84</v>
      </c>
      <c r="H2171" t="s">
        <v>85</v>
      </c>
      <c r="AC2171">
        <v>0</v>
      </c>
      <c r="AD2171">
        <v>1</v>
      </c>
      <c r="AE2171">
        <v>0</v>
      </c>
      <c r="AF2171">
        <v>0</v>
      </c>
      <c r="AG2171">
        <v>0</v>
      </c>
      <c r="AJ2171">
        <v>0</v>
      </c>
      <c r="AK2171">
        <v>0</v>
      </c>
      <c r="AL2171">
        <v>0</v>
      </c>
      <c r="AM2171">
        <v>0</v>
      </c>
      <c r="AN2171">
        <v>0</v>
      </c>
      <c r="AO2171">
        <v>0</v>
      </c>
      <c r="AP2171">
        <v>0</v>
      </c>
      <c r="AQ2171">
        <v>0</v>
      </c>
      <c r="AR2171">
        <v>0</v>
      </c>
      <c r="AS2171">
        <v>0</v>
      </c>
      <c r="AT2171">
        <v>0</v>
      </c>
      <c r="AV2171">
        <v>0</v>
      </c>
      <c r="AW2171">
        <v>0</v>
      </c>
    </row>
    <row r="2172" spans="1:49" x14ac:dyDescent="0.25">
      <c r="A2172" t="str">
        <f>"2168"</f>
        <v>2168</v>
      </c>
      <c r="B2172" t="str">
        <f t="shared" si="124"/>
        <v>1</v>
      </c>
      <c r="C2172" t="str">
        <f t="shared" si="125"/>
        <v>96</v>
      </c>
      <c r="D2172" t="str">
        <f>"14"</f>
        <v>14</v>
      </c>
      <c r="E2172" t="str">
        <f>"1-96-14"</f>
        <v>1-96-14</v>
      </c>
      <c r="F2172" t="s">
        <v>83</v>
      </c>
      <c r="G2172" t="s">
        <v>84</v>
      </c>
      <c r="H2172" t="s">
        <v>85</v>
      </c>
      <c r="AC2172">
        <v>0</v>
      </c>
      <c r="AD2172">
        <v>0</v>
      </c>
      <c r="AE2172">
        <v>0</v>
      </c>
      <c r="AF2172">
        <v>0</v>
      </c>
      <c r="AG2172">
        <v>0</v>
      </c>
      <c r="AJ2172">
        <v>0</v>
      </c>
      <c r="AK2172">
        <v>0</v>
      </c>
      <c r="AL2172">
        <v>0</v>
      </c>
      <c r="AM2172">
        <v>0</v>
      </c>
      <c r="AN2172">
        <v>1</v>
      </c>
      <c r="AO2172">
        <v>0</v>
      </c>
      <c r="AP2172">
        <v>0</v>
      </c>
      <c r="AQ2172">
        <v>0</v>
      </c>
      <c r="AR2172">
        <v>0</v>
      </c>
      <c r="AS2172">
        <v>0</v>
      </c>
      <c r="AT2172">
        <v>1</v>
      </c>
      <c r="AV2172">
        <v>0</v>
      </c>
      <c r="AW2172">
        <v>0</v>
      </c>
    </row>
    <row r="2173" spans="1:49" x14ac:dyDescent="0.25">
      <c r="A2173" t="str">
        <f>"2169"</f>
        <v>2169</v>
      </c>
      <c r="B2173" t="str">
        <f t="shared" si="124"/>
        <v>1</v>
      </c>
      <c r="C2173" t="str">
        <f t="shared" si="125"/>
        <v>96</v>
      </c>
      <c r="D2173" t="str">
        <f>"9"</f>
        <v>9</v>
      </c>
      <c r="E2173" t="str">
        <f>"1-96-9"</f>
        <v>1-96-9</v>
      </c>
      <c r="F2173" t="s">
        <v>83</v>
      </c>
      <c r="G2173" t="s">
        <v>84</v>
      </c>
      <c r="H2173" t="s">
        <v>85</v>
      </c>
      <c r="AC2173">
        <v>0</v>
      </c>
      <c r="AD2173">
        <v>1</v>
      </c>
      <c r="AE2173">
        <v>0</v>
      </c>
      <c r="AF2173">
        <v>0</v>
      </c>
      <c r="AG2173">
        <v>1</v>
      </c>
      <c r="AJ2173">
        <v>1</v>
      </c>
      <c r="AK2173">
        <v>0</v>
      </c>
      <c r="AL2173">
        <v>0</v>
      </c>
      <c r="AM2173">
        <v>0</v>
      </c>
      <c r="AN2173">
        <v>1</v>
      </c>
      <c r="AO2173">
        <v>1</v>
      </c>
      <c r="AP2173">
        <v>1</v>
      </c>
      <c r="AQ2173">
        <v>1</v>
      </c>
      <c r="AR2173">
        <v>1</v>
      </c>
      <c r="AS2173">
        <v>0</v>
      </c>
      <c r="AT2173">
        <v>1</v>
      </c>
      <c r="AV2173">
        <v>1</v>
      </c>
      <c r="AW2173">
        <v>1</v>
      </c>
    </row>
    <row r="2174" spans="1:49" x14ac:dyDescent="0.25">
      <c r="A2174" t="str">
        <f>"2170"</f>
        <v>2170</v>
      </c>
      <c r="B2174" t="str">
        <f t="shared" si="124"/>
        <v>1</v>
      </c>
      <c r="C2174" t="str">
        <f t="shared" si="125"/>
        <v>96</v>
      </c>
      <c r="D2174" t="str">
        <f>"5"</f>
        <v>5</v>
      </c>
      <c r="E2174" t="str">
        <f>"1-96-5"</f>
        <v>1-96-5</v>
      </c>
      <c r="F2174" t="s">
        <v>83</v>
      </c>
      <c r="G2174" t="s">
        <v>84</v>
      </c>
      <c r="H2174" t="s">
        <v>85</v>
      </c>
      <c r="AC2174">
        <v>0</v>
      </c>
      <c r="AD2174">
        <v>1</v>
      </c>
      <c r="AE2174">
        <v>0</v>
      </c>
      <c r="AF2174">
        <v>0</v>
      </c>
      <c r="AG2174">
        <v>1</v>
      </c>
      <c r="AJ2174">
        <v>0</v>
      </c>
      <c r="AK2174">
        <v>1</v>
      </c>
      <c r="AL2174">
        <v>0</v>
      </c>
      <c r="AM2174">
        <v>1</v>
      </c>
      <c r="AN2174">
        <v>0</v>
      </c>
      <c r="AO2174">
        <v>1</v>
      </c>
      <c r="AP2174">
        <v>1</v>
      </c>
      <c r="AQ2174">
        <v>1</v>
      </c>
      <c r="AR2174">
        <v>1</v>
      </c>
      <c r="AS2174">
        <v>0</v>
      </c>
      <c r="AT2174">
        <v>0</v>
      </c>
      <c r="AV2174">
        <v>1</v>
      </c>
      <c r="AW2174">
        <v>1</v>
      </c>
    </row>
    <row r="2175" spans="1:49" x14ac:dyDescent="0.25">
      <c r="A2175" t="str">
        <f>"2171"</f>
        <v>2171</v>
      </c>
      <c r="B2175" t="str">
        <f t="shared" si="124"/>
        <v>1</v>
      </c>
      <c r="C2175" t="str">
        <f t="shared" si="125"/>
        <v>96</v>
      </c>
      <c r="D2175" t="str">
        <f>"17"</f>
        <v>17</v>
      </c>
      <c r="E2175" t="str">
        <f>"1-96-17"</f>
        <v>1-96-17</v>
      </c>
      <c r="F2175" t="s">
        <v>83</v>
      </c>
      <c r="G2175" t="s">
        <v>84</v>
      </c>
      <c r="H2175" t="s">
        <v>85</v>
      </c>
      <c r="AC2175">
        <v>0</v>
      </c>
      <c r="AD2175">
        <v>1</v>
      </c>
      <c r="AE2175">
        <v>0</v>
      </c>
      <c r="AF2175">
        <v>0</v>
      </c>
      <c r="AG2175">
        <v>0</v>
      </c>
      <c r="AJ2175">
        <v>1</v>
      </c>
      <c r="AK2175">
        <v>0</v>
      </c>
      <c r="AL2175">
        <v>1</v>
      </c>
      <c r="AM2175">
        <v>0</v>
      </c>
      <c r="AN2175">
        <v>0</v>
      </c>
      <c r="AO2175">
        <v>1</v>
      </c>
      <c r="AP2175">
        <v>1</v>
      </c>
      <c r="AQ2175">
        <v>1</v>
      </c>
      <c r="AR2175">
        <v>1</v>
      </c>
      <c r="AS2175">
        <v>1</v>
      </c>
      <c r="AT2175">
        <v>0</v>
      </c>
      <c r="AV2175">
        <v>1</v>
      </c>
      <c r="AW2175">
        <v>1</v>
      </c>
    </row>
    <row r="2176" spans="1:49" x14ac:dyDescent="0.25">
      <c r="A2176" t="str">
        <f>"2172"</f>
        <v>2172</v>
      </c>
      <c r="B2176" t="str">
        <f t="shared" si="124"/>
        <v>1</v>
      </c>
      <c r="C2176" t="str">
        <f t="shared" si="125"/>
        <v>96</v>
      </c>
      <c r="D2176" t="str">
        <f>"10"</f>
        <v>10</v>
      </c>
      <c r="E2176" t="str">
        <f>"1-96-10"</f>
        <v>1-96-10</v>
      </c>
      <c r="F2176" t="s">
        <v>83</v>
      </c>
      <c r="G2176" t="s">
        <v>86</v>
      </c>
      <c r="H2176" t="s">
        <v>87</v>
      </c>
      <c r="AC2176">
        <v>1</v>
      </c>
      <c r="AD2176">
        <v>0</v>
      </c>
      <c r="AE2176">
        <v>0</v>
      </c>
      <c r="AF2176">
        <v>0</v>
      </c>
      <c r="AH2176">
        <v>0</v>
      </c>
      <c r="AI2176">
        <v>1</v>
      </c>
      <c r="AJ2176">
        <v>0</v>
      </c>
      <c r="AK2176">
        <v>1</v>
      </c>
      <c r="AL2176">
        <v>0</v>
      </c>
      <c r="AM2176">
        <v>0</v>
      </c>
      <c r="AN2176">
        <v>1</v>
      </c>
      <c r="AO2176">
        <v>1</v>
      </c>
      <c r="AP2176">
        <v>1</v>
      </c>
      <c r="AQ2176">
        <v>1</v>
      </c>
      <c r="AU2176">
        <v>1</v>
      </c>
      <c r="AV2176">
        <v>1</v>
      </c>
      <c r="AW2176">
        <v>1</v>
      </c>
    </row>
    <row r="2177" spans="1:49" x14ac:dyDescent="0.25">
      <c r="A2177" t="str">
        <f>"2173"</f>
        <v>2173</v>
      </c>
      <c r="B2177" t="str">
        <f t="shared" si="124"/>
        <v>1</v>
      </c>
      <c r="C2177" t="str">
        <f t="shared" si="125"/>
        <v>96</v>
      </c>
      <c r="D2177" t="str">
        <f>"3"</f>
        <v>3</v>
      </c>
      <c r="E2177" t="str">
        <f>"1-96-3"</f>
        <v>1-96-3</v>
      </c>
      <c r="F2177" t="s">
        <v>83</v>
      </c>
      <c r="G2177" t="s">
        <v>84</v>
      </c>
      <c r="H2177" t="s">
        <v>85</v>
      </c>
      <c r="AC2177">
        <v>0</v>
      </c>
      <c r="AD2177">
        <v>1</v>
      </c>
      <c r="AE2177">
        <v>0</v>
      </c>
      <c r="AF2177">
        <v>0</v>
      </c>
      <c r="AG2177">
        <v>1</v>
      </c>
      <c r="AJ2177">
        <v>1</v>
      </c>
      <c r="AK2177">
        <v>0</v>
      </c>
      <c r="AL2177">
        <v>0</v>
      </c>
      <c r="AM2177">
        <v>1</v>
      </c>
      <c r="AN2177">
        <v>0</v>
      </c>
      <c r="AO2177">
        <v>1</v>
      </c>
      <c r="AP2177">
        <v>1</v>
      </c>
      <c r="AQ2177">
        <v>1</v>
      </c>
      <c r="AR2177">
        <v>1</v>
      </c>
      <c r="AS2177">
        <v>1</v>
      </c>
      <c r="AT2177">
        <v>0</v>
      </c>
      <c r="AV2177">
        <v>1</v>
      </c>
      <c r="AW2177">
        <v>1</v>
      </c>
    </row>
    <row r="2178" spans="1:49" x14ac:dyDescent="0.25">
      <c r="A2178" t="str">
        <f>"2174"</f>
        <v>2174</v>
      </c>
      <c r="B2178" t="str">
        <f t="shared" si="124"/>
        <v>1</v>
      </c>
      <c r="C2178" t="str">
        <f t="shared" si="125"/>
        <v>96</v>
      </c>
      <c r="D2178" t="str">
        <f>"18"</f>
        <v>18</v>
      </c>
      <c r="E2178" t="str">
        <f>"1-96-18"</f>
        <v>1-96-18</v>
      </c>
      <c r="F2178" t="s">
        <v>83</v>
      </c>
      <c r="G2178" t="s">
        <v>84</v>
      </c>
      <c r="H2178" t="s">
        <v>85</v>
      </c>
      <c r="AC2178">
        <v>0</v>
      </c>
      <c r="AD2178">
        <v>1</v>
      </c>
      <c r="AE2178">
        <v>0</v>
      </c>
      <c r="AF2178">
        <v>0</v>
      </c>
      <c r="AG2178">
        <v>1</v>
      </c>
      <c r="AJ2178">
        <v>0</v>
      </c>
      <c r="AK2178">
        <v>1</v>
      </c>
      <c r="AL2178">
        <v>0</v>
      </c>
      <c r="AM2178">
        <v>0</v>
      </c>
      <c r="AN2178">
        <v>1</v>
      </c>
      <c r="AO2178">
        <v>1</v>
      </c>
      <c r="AP2178">
        <v>1</v>
      </c>
      <c r="AQ2178">
        <v>1</v>
      </c>
      <c r="AR2178">
        <v>1</v>
      </c>
      <c r="AS2178">
        <v>0</v>
      </c>
      <c r="AT2178">
        <v>1</v>
      </c>
      <c r="AV2178">
        <v>1</v>
      </c>
      <c r="AW2178">
        <v>1</v>
      </c>
    </row>
    <row r="2179" spans="1:49" x14ac:dyDescent="0.25">
      <c r="A2179" t="str">
        <f>"2175"</f>
        <v>2175</v>
      </c>
      <c r="B2179" t="str">
        <f t="shared" si="124"/>
        <v>1</v>
      </c>
      <c r="C2179" t="str">
        <f t="shared" si="125"/>
        <v>96</v>
      </c>
      <c r="D2179" t="str">
        <f>"11"</f>
        <v>11</v>
      </c>
      <c r="E2179" t="str">
        <f>"1-96-11"</f>
        <v>1-96-11</v>
      </c>
      <c r="F2179" t="s">
        <v>83</v>
      </c>
      <c r="G2179" t="s">
        <v>84</v>
      </c>
      <c r="H2179" t="s">
        <v>85</v>
      </c>
      <c r="AC2179">
        <v>0</v>
      </c>
      <c r="AD2179">
        <v>1</v>
      </c>
      <c r="AE2179">
        <v>0</v>
      </c>
      <c r="AF2179">
        <v>0</v>
      </c>
      <c r="AG2179">
        <v>1</v>
      </c>
      <c r="AJ2179">
        <v>0</v>
      </c>
      <c r="AK2179">
        <v>1</v>
      </c>
      <c r="AL2179">
        <v>0</v>
      </c>
      <c r="AM2179">
        <v>0</v>
      </c>
      <c r="AN2179">
        <v>1</v>
      </c>
      <c r="AO2179">
        <v>1</v>
      </c>
      <c r="AP2179">
        <v>1</v>
      </c>
      <c r="AQ2179">
        <v>1</v>
      </c>
      <c r="AR2179">
        <v>1</v>
      </c>
      <c r="AS2179">
        <v>0</v>
      </c>
      <c r="AT2179">
        <v>1</v>
      </c>
      <c r="AV2179">
        <v>1</v>
      </c>
      <c r="AW2179">
        <v>1</v>
      </c>
    </row>
    <row r="2180" spans="1:49" x14ac:dyDescent="0.25">
      <c r="A2180" t="str">
        <f>"2176"</f>
        <v>2176</v>
      </c>
      <c r="B2180" t="str">
        <f t="shared" si="124"/>
        <v>1</v>
      </c>
      <c r="C2180" t="str">
        <f t="shared" si="125"/>
        <v>96</v>
      </c>
      <c r="D2180" t="str">
        <f>"1"</f>
        <v>1</v>
      </c>
      <c r="E2180" t="str">
        <f>"1-96-1"</f>
        <v>1-96-1</v>
      </c>
      <c r="F2180" t="s">
        <v>83</v>
      </c>
      <c r="G2180" t="s">
        <v>86</v>
      </c>
      <c r="H2180" t="s">
        <v>87</v>
      </c>
      <c r="AC2180">
        <v>1</v>
      </c>
      <c r="AD2180">
        <v>0</v>
      </c>
      <c r="AE2180">
        <v>0</v>
      </c>
      <c r="AF2180">
        <v>0</v>
      </c>
      <c r="AH2180">
        <v>0</v>
      </c>
      <c r="AI2180">
        <v>1</v>
      </c>
      <c r="AJ2180">
        <v>0</v>
      </c>
      <c r="AK2180">
        <v>1</v>
      </c>
      <c r="AL2180">
        <v>0</v>
      </c>
      <c r="AM2180">
        <v>0</v>
      </c>
      <c r="AN2180">
        <v>1</v>
      </c>
      <c r="AO2180">
        <v>1</v>
      </c>
      <c r="AP2180">
        <v>1</v>
      </c>
      <c r="AQ2180">
        <v>1</v>
      </c>
      <c r="AU2180">
        <v>1</v>
      </c>
      <c r="AV2180">
        <v>1</v>
      </c>
      <c r="AW2180">
        <v>1</v>
      </c>
    </row>
    <row r="2181" spans="1:49" x14ac:dyDescent="0.25">
      <c r="A2181" t="str">
        <f>"2177"</f>
        <v>2177</v>
      </c>
      <c r="B2181" t="str">
        <f t="shared" si="124"/>
        <v>1</v>
      </c>
      <c r="C2181" t="str">
        <f t="shared" si="125"/>
        <v>96</v>
      </c>
      <c r="D2181" t="str">
        <f>"21"</f>
        <v>21</v>
      </c>
      <c r="E2181" t="str">
        <f>"1-96-21"</f>
        <v>1-96-21</v>
      </c>
      <c r="F2181" t="s">
        <v>83</v>
      </c>
      <c r="G2181" t="s">
        <v>84</v>
      </c>
      <c r="H2181" t="s">
        <v>85</v>
      </c>
      <c r="AC2181">
        <v>0</v>
      </c>
      <c r="AD2181">
        <v>1</v>
      </c>
      <c r="AE2181">
        <v>0</v>
      </c>
      <c r="AF2181">
        <v>0</v>
      </c>
      <c r="AG2181">
        <v>1</v>
      </c>
      <c r="AJ2181">
        <v>0</v>
      </c>
      <c r="AK2181">
        <v>1</v>
      </c>
      <c r="AL2181">
        <v>0</v>
      </c>
      <c r="AM2181">
        <v>0</v>
      </c>
      <c r="AN2181">
        <v>1</v>
      </c>
      <c r="AO2181">
        <v>1</v>
      </c>
      <c r="AP2181">
        <v>1</v>
      </c>
      <c r="AQ2181">
        <v>1</v>
      </c>
      <c r="AR2181">
        <v>1</v>
      </c>
      <c r="AS2181">
        <v>0</v>
      </c>
      <c r="AT2181">
        <v>1</v>
      </c>
      <c r="AV2181">
        <v>1</v>
      </c>
      <c r="AW2181">
        <v>1</v>
      </c>
    </row>
    <row r="2182" spans="1:49" x14ac:dyDescent="0.25">
      <c r="A2182" t="str">
        <f>"2178"</f>
        <v>2178</v>
      </c>
      <c r="B2182" t="str">
        <f t="shared" si="124"/>
        <v>1</v>
      </c>
      <c r="C2182" t="str">
        <f t="shared" si="125"/>
        <v>96</v>
      </c>
      <c r="D2182" t="str">
        <f>"12"</f>
        <v>12</v>
      </c>
      <c r="E2182" t="str">
        <f>"1-96-12"</f>
        <v>1-96-12</v>
      </c>
      <c r="F2182" t="s">
        <v>83</v>
      </c>
      <c r="G2182" t="s">
        <v>84</v>
      </c>
      <c r="H2182" t="s">
        <v>85</v>
      </c>
      <c r="AC2182">
        <v>1</v>
      </c>
      <c r="AD2182">
        <v>0</v>
      </c>
      <c r="AE2182">
        <v>0</v>
      </c>
      <c r="AF2182">
        <v>0</v>
      </c>
      <c r="AG2182">
        <v>1</v>
      </c>
      <c r="AJ2182">
        <v>0</v>
      </c>
      <c r="AK2182">
        <v>1</v>
      </c>
      <c r="AL2182">
        <v>1</v>
      </c>
      <c r="AM2182">
        <v>0</v>
      </c>
      <c r="AN2182">
        <v>0</v>
      </c>
      <c r="AO2182">
        <v>1</v>
      </c>
      <c r="AP2182">
        <v>1</v>
      </c>
      <c r="AQ2182">
        <v>0</v>
      </c>
      <c r="AR2182">
        <v>0</v>
      </c>
      <c r="AS2182">
        <v>1</v>
      </c>
      <c r="AT2182">
        <v>0</v>
      </c>
      <c r="AV2182">
        <v>1</v>
      </c>
      <c r="AW2182">
        <v>1</v>
      </c>
    </row>
    <row r="2183" spans="1:49" x14ac:dyDescent="0.25">
      <c r="A2183" t="str">
        <f>"2179"</f>
        <v>2179</v>
      </c>
      <c r="B2183" t="str">
        <f t="shared" si="124"/>
        <v>1</v>
      </c>
      <c r="C2183" t="str">
        <f t="shared" si="125"/>
        <v>96</v>
      </c>
      <c r="D2183" t="str">
        <f>"4"</f>
        <v>4</v>
      </c>
      <c r="E2183" t="str">
        <f>"1-96-4"</f>
        <v>1-96-4</v>
      </c>
      <c r="F2183" t="s">
        <v>83</v>
      </c>
      <c r="G2183" t="s">
        <v>84</v>
      </c>
      <c r="H2183" t="s">
        <v>85</v>
      </c>
      <c r="AC2183">
        <v>0</v>
      </c>
      <c r="AD2183">
        <v>1</v>
      </c>
      <c r="AE2183">
        <v>0</v>
      </c>
      <c r="AF2183">
        <v>0</v>
      </c>
      <c r="AG2183">
        <v>1</v>
      </c>
      <c r="AJ2183">
        <v>1</v>
      </c>
      <c r="AK2183">
        <v>0</v>
      </c>
      <c r="AL2183">
        <v>0</v>
      </c>
      <c r="AM2183">
        <v>0</v>
      </c>
      <c r="AN2183">
        <v>1</v>
      </c>
      <c r="AO2183">
        <v>1</v>
      </c>
      <c r="AP2183">
        <v>1</v>
      </c>
      <c r="AQ2183">
        <v>1</v>
      </c>
      <c r="AR2183">
        <v>1</v>
      </c>
      <c r="AS2183">
        <v>0</v>
      </c>
      <c r="AT2183">
        <v>1</v>
      </c>
      <c r="AV2183">
        <v>1</v>
      </c>
      <c r="AW2183">
        <v>1</v>
      </c>
    </row>
    <row r="2184" spans="1:49" x14ac:dyDescent="0.25">
      <c r="A2184" t="str">
        <f>"2180"</f>
        <v>2180</v>
      </c>
      <c r="B2184" t="str">
        <f t="shared" si="124"/>
        <v>1</v>
      </c>
      <c r="C2184" t="str">
        <f t="shared" si="125"/>
        <v>96</v>
      </c>
      <c r="D2184" t="str">
        <f>"15"</f>
        <v>15</v>
      </c>
      <c r="E2184" t="str">
        <f>"1-96-15"</f>
        <v>1-96-15</v>
      </c>
      <c r="F2184" t="s">
        <v>83</v>
      </c>
      <c r="G2184" t="s">
        <v>84</v>
      </c>
      <c r="H2184" t="s">
        <v>85</v>
      </c>
      <c r="AC2184">
        <v>0</v>
      </c>
      <c r="AD2184">
        <v>1</v>
      </c>
      <c r="AE2184">
        <v>0</v>
      </c>
      <c r="AF2184">
        <v>0</v>
      </c>
      <c r="AG2184">
        <v>0</v>
      </c>
      <c r="AJ2184">
        <v>0</v>
      </c>
      <c r="AK2184">
        <v>1</v>
      </c>
      <c r="AL2184">
        <v>0</v>
      </c>
      <c r="AM2184">
        <v>0</v>
      </c>
      <c r="AN2184">
        <v>1</v>
      </c>
      <c r="AO2184">
        <v>0</v>
      </c>
      <c r="AP2184">
        <v>0</v>
      </c>
      <c r="AQ2184">
        <v>0</v>
      </c>
      <c r="AR2184">
        <v>0</v>
      </c>
      <c r="AS2184">
        <v>1</v>
      </c>
      <c r="AT2184">
        <v>0</v>
      </c>
      <c r="AV2184">
        <v>0</v>
      </c>
      <c r="AW2184">
        <v>0</v>
      </c>
    </row>
    <row r="2185" spans="1:49" x14ac:dyDescent="0.25">
      <c r="A2185" t="str">
        <f>"2181"</f>
        <v>2181</v>
      </c>
      <c r="B2185" t="str">
        <f t="shared" si="124"/>
        <v>1</v>
      </c>
      <c r="C2185" t="str">
        <f t="shared" si="125"/>
        <v>96</v>
      </c>
      <c r="D2185" t="str">
        <f>"6"</f>
        <v>6</v>
      </c>
      <c r="E2185" t="str">
        <f>"1-96-6"</f>
        <v>1-96-6</v>
      </c>
      <c r="F2185" t="s">
        <v>83</v>
      </c>
      <c r="G2185" t="s">
        <v>84</v>
      </c>
      <c r="H2185" t="s">
        <v>85</v>
      </c>
      <c r="AC2185">
        <v>0</v>
      </c>
      <c r="AD2185">
        <v>1</v>
      </c>
      <c r="AE2185">
        <v>0</v>
      </c>
      <c r="AF2185">
        <v>0</v>
      </c>
      <c r="AG2185">
        <v>1</v>
      </c>
      <c r="AJ2185">
        <v>0</v>
      </c>
      <c r="AK2185">
        <v>1</v>
      </c>
      <c r="AL2185">
        <v>0</v>
      </c>
      <c r="AM2185">
        <v>1</v>
      </c>
      <c r="AN2185">
        <v>0</v>
      </c>
      <c r="AO2185">
        <v>1</v>
      </c>
      <c r="AP2185">
        <v>1</v>
      </c>
      <c r="AQ2185">
        <v>1</v>
      </c>
      <c r="AR2185">
        <v>1</v>
      </c>
      <c r="AS2185">
        <v>0</v>
      </c>
      <c r="AT2185">
        <v>1</v>
      </c>
      <c r="AV2185">
        <v>1</v>
      </c>
      <c r="AW2185">
        <v>1</v>
      </c>
    </row>
    <row r="2186" spans="1:49" x14ac:dyDescent="0.25">
      <c r="A2186" t="str">
        <f>"2182"</f>
        <v>2182</v>
      </c>
      <c r="B2186" t="str">
        <f t="shared" si="124"/>
        <v>1</v>
      </c>
      <c r="C2186" t="str">
        <f t="shared" si="125"/>
        <v>96</v>
      </c>
      <c r="D2186" t="str">
        <f>"16"</f>
        <v>16</v>
      </c>
      <c r="E2186" t="str">
        <f>"1-96-16"</f>
        <v>1-96-16</v>
      </c>
      <c r="F2186" t="s">
        <v>83</v>
      </c>
      <c r="G2186" t="s">
        <v>84</v>
      </c>
      <c r="H2186" t="s">
        <v>85</v>
      </c>
      <c r="AC2186">
        <v>0</v>
      </c>
      <c r="AD2186">
        <v>1</v>
      </c>
      <c r="AE2186">
        <v>0</v>
      </c>
      <c r="AF2186">
        <v>0</v>
      </c>
      <c r="AG2186">
        <v>0</v>
      </c>
      <c r="AJ2186">
        <v>0</v>
      </c>
      <c r="AK2186">
        <v>1</v>
      </c>
      <c r="AL2186">
        <v>0</v>
      </c>
      <c r="AM2186">
        <v>0</v>
      </c>
      <c r="AN2186">
        <v>1</v>
      </c>
      <c r="AO2186">
        <v>0</v>
      </c>
      <c r="AP2186">
        <v>0</v>
      </c>
      <c r="AQ2186">
        <v>0</v>
      </c>
      <c r="AR2186">
        <v>0</v>
      </c>
      <c r="AS2186">
        <v>1</v>
      </c>
      <c r="AT2186">
        <v>0</v>
      </c>
      <c r="AV2186">
        <v>0</v>
      </c>
      <c r="AW2186">
        <v>0</v>
      </c>
    </row>
    <row r="2187" spans="1:49" x14ac:dyDescent="0.25">
      <c r="A2187" t="str">
        <f>"2183"</f>
        <v>2183</v>
      </c>
      <c r="B2187" t="str">
        <f t="shared" si="124"/>
        <v>1</v>
      </c>
      <c r="C2187" t="str">
        <f t="shared" si="125"/>
        <v>96</v>
      </c>
      <c r="D2187" t="str">
        <f>"7"</f>
        <v>7</v>
      </c>
      <c r="E2187" t="str">
        <f>"1-96-7"</f>
        <v>1-96-7</v>
      </c>
      <c r="F2187" t="s">
        <v>83</v>
      </c>
      <c r="G2187" t="s">
        <v>84</v>
      </c>
      <c r="H2187" t="s">
        <v>85</v>
      </c>
      <c r="AC2187">
        <v>0</v>
      </c>
      <c r="AD2187">
        <v>1</v>
      </c>
      <c r="AE2187">
        <v>0</v>
      </c>
      <c r="AF2187">
        <v>0</v>
      </c>
      <c r="AG2187">
        <v>1</v>
      </c>
      <c r="AJ2187">
        <v>1</v>
      </c>
      <c r="AK2187">
        <v>0</v>
      </c>
      <c r="AL2187">
        <v>0</v>
      </c>
      <c r="AM2187">
        <v>0</v>
      </c>
      <c r="AN2187">
        <v>1</v>
      </c>
      <c r="AO2187">
        <v>1</v>
      </c>
      <c r="AP2187">
        <v>0</v>
      </c>
      <c r="AQ2187">
        <v>1</v>
      </c>
      <c r="AR2187">
        <v>1</v>
      </c>
      <c r="AS2187">
        <v>0</v>
      </c>
      <c r="AT2187">
        <v>1</v>
      </c>
      <c r="AV2187">
        <v>1</v>
      </c>
      <c r="AW2187">
        <v>1</v>
      </c>
    </row>
    <row r="2188" spans="1:49" x14ac:dyDescent="0.25">
      <c r="A2188" t="str">
        <f>"2184"</f>
        <v>2184</v>
      </c>
      <c r="B2188" t="str">
        <f t="shared" si="124"/>
        <v>1</v>
      </c>
      <c r="C2188" t="str">
        <f t="shared" ref="C2188:C2208" si="126">"97"</f>
        <v>97</v>
      </c>
      <c r="D2188" t="str">
        <f>"16"</f>
        <v>16</v>
      </c>
      <c r="E2188" t="str">
        <f>"1-97-16"</f>
        <v>1-97-16</v>
      </c>
      <c r="F2188" t="s">
        <v>83</v>
      </c>
      <c r="G2188" t="s">
        <v>84</v>
      </c>
      <c r="H2188" t="s">
        <v>85</v>
      </c>
      <c r="AC2188">
        <v>1</v>
      </c>
      <c r="AD2188">
        <v>0</v>
      </c>
      <c r="AE2188">
        <v>0</v>
      </c>
      <c r="AF2188">
        <v>0</v>
      </c>
      <c r="AG2188">
        <v>1</v>
      </c>
      <c r="AJ2188">
        <v>1</v>
      </c>
      <c r="AK2188">
        <v>0</v>
      </c>
      <c r="AL2188">
        <v>1</v>
      </c>
      <c r="AM2188">
        <v>0</v>
      </c>
      <c r="AN2188">
        <v>0</v>
      </c>
      <c r="AO2188">
        <v>1</v>
      </c>
      <c r="AP2188">
        <v>1</v>
      </c>
      <c r="AQ2188">
        <v>1</v>
      </c>
      <c r="AR2188">
        <v>1</v>
      </c>
      <c r="AS2188">
        <v>1</v>
      </c>
      <c r="AT2188">
        <v>0</v>
      </c>
      <c r="AV2188">
        <v>1</v>
      </c>
      <c r="AW2188">
        <v>1</v>
      </c>
    </row>
    <row r="2189" spans="1:49" x14ac:dyDescent="0.25">
      <c r="A2189" t="str">
        <f>"2185"</f>
        <v>2185</v>
      </c>
      <c r="B2189" t="str">
        <f t="shared" si="124"/>
        <v>1</v>
      </c>
      <c r="C2189" t="str">
        <f t="shared" si="126"/>
        <v>97</v>
      </c>
      <c r="D2189" t="str">
        <f>"8"</f>
        <v>8</v>
      </c>
      <c r="E2189" t="str">
        <f>"1-97-8"</f>
        <v>1-97-8</v>
      </c>
      <c r="F2189" t="s">
        <v>83</v>
      </c>
      <c r="G2189" t="s">
        <v>84</v>
      </c>
      <c r="H2189" t="s">
        <v>85</v>
      </c>
      <c r="AC2189">
        <v>0</v>
      </c>
      <c r="AD2189">
        <v>0</v>
      </c>
      <c r="AE2189">
        <v>0</v>
      </c>
      <c r="AF2189">
        <v>0</v>
      </c>
      <c r="AG2189">
        <v>1</v>
      </c>
      <c r="AJ2189">
        <v>0</v>
      </c>
      <c r="AK2189">
        <v>1</v>
      </c>
      <c r="AL2189">
        <v>0</v>
      </c>
      <c r="AM2189">
        <v>0</v>
      </c>
      <c r="AN2189">
        <v>1</v>
      </c>
      <c r="AO2189">
        <v>1</v>
      </c>
      <c r="AP2189">
        <v>1</v>
      </c>
      <c r="AQ2189">
        <v>1</v>
      </c>
      <c r="AR2189">
        <v>0</v>
      </c>
      <c r="AS2189">
        <v>0</v>
      </c>
      <c r="AT2189">
        <v>1</v>
      </c>
      <c r="AV2189">
        <v>1</v>
      </c>
      <c r="AW2189">
        <v>1</v>
      </c>
    </row>
    <row r="2190" spans="1:49" x14ac:dyDescent="0.25">
      <c r="A2190" t="str">
        <f>"2186"</f>
        <v>2186</v>
      </c>
      <c r="B2190" t="str">
        <f t="shared" si="124"/>
        <v>1</v>
      </c>
      <c r="C2190" t="str">
        <f t="shared" si="126"/>
        <v>97</v>
      </c>
      <c r="D2190" t="str">
        <f>"3"</f>
        <v>3</v>
      </c>
      <c r="E2190" t="str">
        <f>"1-97-3"</f>
        <v>1-97-3</v>
      </c>
      <c r="F2190" t="s">
        <v>83</v>
      </c>
      <c r="G2190" t="s">
        <v>84</v>
      </c>
      <c r="H2190" t="s">
        <v>85</v>
      </c>
      <c r="AC2190">
        <v>0</v>
      </c>
      <c r="AD2190">
        <v>0</v>
      </c>
      <c r="AE2190">
        <v>0</v>
      </c>
      <c r="AF2190">
        <v>0</v>
      </c>
      <c r="AG2190">
        <v>0</v>
      </c>
      <c r="AJ2190">
        <v>0</v>
      </c>
      <c r="AK2190">
        <v>0</v>
      </c>
      <c r="AL2190">
        <v>1</v>
      </c>
      <c r="AM2190">
        <v>0</v>
      </c>
      <c r="AN2190">
        <v>0</v>
      </c>
      <c r="AO2190">
        <v>0</v>
      </c>
      <c r="AP2190">
        <v>0</v>
      </c>
      <c r="AQ2190">
        <v>0</v>
      </c>
      <c r="AR2190">
        <v>1</v>
      </c>
      <c r="AS2190">
        <v>0</v>
      </c>
      <c r="AT2190">
        <v>1</v>
      </c>
      <c r="AV2190">
        <v>1</v>
      </c>
      <c r="AW2190">
        <v>1</v>
      </c>
    </row>
    <row r="2191" spans="1:49" x14ac:dyDescent="0.25">
      <c r="A2191" t="str">
        <f>"2187"</f>
        <v>2187</v>
      </c>
      <c r="B2191" t="str">
        <f t="shared" si="124"/>
        <v>1</v>
      </c>
      <c r="C2191" t="str">
        <f t="shared" si="126"/>
        <v>97</v>
      </c>
      <c r="D2191" t="str">
        <f>"15"</f>
        <v>15</v>
      </c>
      <c r="E2191" t="str">
        <f>"1-97-15"</f>
        <v>1-97-15</v>
      </c>
      <c r="F2191" t="s">
        <v>83</v>
      </c>
      <c r="G2191" t="s">
        <v>84</v>
      </c>
      <c r="H2191" t="s">
        <v>85</v>
      </c>
      <c r="AC2191">
        <v>1</v>
      </c>
      <c r="AD2191">
        <v>0</v>
      </c>
      <c r="AE2191">
        <v>0</v>
      </c>
      <c r="AF2191">
        <v>0</v>
      </c>
      <c r="AG2191">
        <v>1</v>
      </c>
      <c r="AJ2191">
        <v>0</v>
      </c>
      <c r="AK2191">
        <v>1</v>
      </c>
      <c r="AL2191">
        <v>0</v>
      </c>
      <c r="AM2191">
        <v>0</v>
      </c>
      <c r="AN2191">
        <v>1</v>
      </c>
      <c r="AO2191">
        <v>1</v>
      </c>
      <c r="AP2191">
        <v>1</v>
      </c>
      <c r="AQ2191">
        <v>1</v>
      </c>
      <c r="AR2191">
        <v>1</v>
      </c>
      <c r="AS2191">
        <v>0</v>
      </c>
      <c r="AT2191">
        <v>1</v>
      </c>
      <c r="AV2191">
        <v>1</v>
      </c>
      <c r="AW2191">
        <v>1</v>
      </c>
    </row>
    <row r="2192" spans="1:49" x14ac:dyDescent="0.25">
      <c r="A2192" t="str">
        <f>"2188"</f>
        <v>2188</v>
      </c>
      <c r="B2192" t="str">
        <f t="shared" si="124"/>
        <v>1</v>
      </c>
      <c r="C2192" t="str">
        <f t="shared" si="126"/>
        <v>97</v>
      </c>
      <c r="D2192" t="str">
        <f>"9"</f>
        <v>9</v>
      </c>
      <c r="E2192" t="str">
        <f>"1-97-9"</f>
        <v>1-97-9</v>
      </c>
      <c r="F2192" t="s">
        <v>83</v>
      </c>
      <c r="G2192" t="s">
        <v>86</v>
      </c>
      <c r="H2192" t="s">
        <v>87</v>
      </c>
      <c r="AC2192">
        <v>1</v>
      </c>
      <c r="AD2192">
        <v>0</v>
      </c>
      <c r="AE2192">
        <v>0</v>
      </c>
      <c r="AF2192">
        <v>0</v>
      </c>
      <c r="AH2192">
        <v>1</v>
      </c>
      <c r="AI2192">
        <v>0</v>
      </c>
      <c r="AJ2192">
        <v>1</v>
      </c>
      <c r="AK2192">
        <v>0</v>
      </c>
      <c r="AL2192">
        <v>0</v>
      </c>
      <c r="AM2192">
        <v>1</v>
      </c>
      <c r="AN2192">
        <v>0</v>
      </c>
      <c r="AO2192">
        <v>1</v>
      </c>
      <c r="AP2192">
        <v>0</v>
      </c>
      <c r="AQ2192">
        <v>1</v>
      </c>
      <c r="AU2192">
        <v>1</v>
      </c>
      <c r="AV2192">
        <v>1</v>
      </c>
      <c r="AW2192">
        <v>1</v>
      </c>
    </row>
    <row r="2193" spans="1:49" x14ac:dyDescent="0.25">
      <c r="A2193" t="str">
        <f>"2189"</f>
        <v>2189</v>
      </c>
      <c r="B2193" t="str">
        <f t="shared" si="124"/>
        <v>1</v>
      </c>
      <c r="C2193" t="str">
        <f t="shared" si="126"/>
        <v>97</v>
      </c>
      <c r="D2193" t="str">
        <f>"5"</f>
        <v>5</v>
      </c>
      <c r="E2193" t="str">
        <f>"1-97-5"</f>
        <v>1-97-5</v>
      </c>
      <c r="F2193" t="s">
        <v>83</v>
      </c>
      <c r="G2193" t="s">
        <v>84</v>
      </c>
      <c r="H2193" t="s">
        <v>85</v>
      </c>
      <c r="AC2193">
        <v>1</v>
      </c>
      <c r="AD2193">
        <v>0</v>
      </c>
      <c r="AE2193">
        <v>0</v>
      </c>
      <c r="AF2193">
        <v>0</v>
      </c>
      <c r="AG2193">
        <v>1</v>
      </c>
      <c r="AJ2193">
        <v>1</v>
      </c>
      <c r="AK2193">
        <v>0</v>
      </c>
      <c r="AL2193">
        <v>0</v>
      </c>
      <c r="AM2193">
        <v>0</v>
      </c>
      <c r="AN2193">
        <v>1</v>
      </c>
      <c r="AO2193">
        <v>1</v>
      </c>
      <c r="AP2193">
        <v>1</v>
      </c>
      <c r="AQ2193">
        <v>1</v>
      </c>
      <c r="AR2193">
        <v>1</v>
      </c>
      <c r="AS2193">
        <v>0</v>
      </c>
      <c r="AT2193">
        <v>1</v>
      </c>
      <c r="AV2193">
        <v>1</v>
      </c>
      <c r="AW2193">
        <v>0</v>
      </c>
    </row>
    <row r="2194" spans="1:49" x14ac:dyDescent="0.25">
      <c r="A2194" t="str">
        <f>"2190"</f>
        <v>2190</v>
      </c>
      <c r="B2194" t="str">
        <f t="shared" si="124"/>
        <v>1</v>
      </c>
      <c r="C2194" t="str">
        <f t="shared" si="126"/>
        <v>97</v>
      </c>
      <c r="D2194" t="str">
        <f>"17"</f>
        <v>17</v>
      </c>
      <c r="E2194" t="str">
        <f>"1-97-17"</f>
        <v>1-97-17</v>
      </c>
      <c r="F2194" t="s">
        <v>83</v>
      </c>
      <c r="G2194" t="s">
        <v>84</v>
      </c>
      <c r="H2194" t="s">
        <v>85</v>
      </c>
      <c r="AC2194">
        <v>1</v>
      </c>
      <c r="AD2194">
        <v>0</v>
      </c>
      <c r="AE2194">
        <v>0</v>
      </c>
      <c r="AF2194">
        <v>0</v>
      </c>
      <c r="AG2194">
        <v>0</v>
      </c>
      <c r="AJ2194">
        <v>1</v>
      </c>
      <c r="AK2194">
        <v>0</v>
      </c>
      <c r="AL2194">
        <v>0</v>
      </c>
      <c r="AM2194">
        <v>0</v>
      </c>
      <c r="AN2194">
        <v>0</v>
      </c>
      <c r="AO2194">
        <v>0</v>
      </c>
      <c r="AP2194">
        <v>0</v>
      </c>
      <c r="AQ2194">
        <v>0</v>
      </c>
      <c r="AR2194">
        <v>0</v>
      </c>
      <c r="AS2194">
        <v>0</v>
      </c>
      <c r="AT2194">
        <v>0</v>
      </c>
      <c r="AV2194">
        <v>0</v>
      </c>
      <c r="AW2194">
        <v>0</v>
      </c>
    </row>
    <row r="2195" spans="1:49" x14ac:dyDescent="0.25">
      <c r="A2195" t="str">
        <f>"2191"</f>
        <v>2191</v>
      </c>
      <c r="B2195" t="str">
        <f t="shared" si="124"/>
        <v>1</v>
      </c>
      <c r="C2195" t="str">
        <f t="shared" si="126"/>
        <v>97</v>
      </c>
      <c r="D2195" t="str">
        <f>"10"</f>
        <v>10</v>
      </c>
      <c r="E2195" t="str">
        <f>"1-97-10"</f>
        <v>1-97-10</v>
      </c>
      <c r="F2195" t="s">
        <v>83</v>
      </c>
      <c r="G2195" t="s">
        <v>84</v>
      </c>
      <c r="H2195" t="s">
        <v>85</v>
      </c>
      <c r="AC2195">
        <v>0</v>
      </c>
      <c r="AD2195">
        <v>1</v>
      </c>
      <c r="AE2195">
        <v>0</v>
      </c>
      <c r="AF2195">
        <v>0</v>
      </c>
      <c r="AG2195">
        <v>1</v>
      </c>
      <c r="AJ2195">
        <v>0</v>
      </c>
      <c r="AK2195">
        <v>1</v>
      </c>
      <c r="AL2195">
        <v>0</v>
      </c>
      <c r="AM2195">
        <v>1</v>
      </c>
      <c r="AN2195">
        <v>0</v>
      </c>
      <c r="AO2195">
        <v>1</v>
      </c>
      <c r="AP2195">
        <v>1</v>
      </c>
      <c r="AQ2195">
        <v>1</v>
      </c>
      <c r="AR2195">
        <v>1</v>
      </c>
      <c r="AS2195">
        <v>1</v>
      </c>
      <c r="AT2195">
        <v>0</v>
      </c>
      <c r="AV2195">
        <v>1</v>
      </c>
      <c r="AW2195">
        <v>1</v>
      </c>
    </row>
    <row r="2196" spans="1:49" x14ac:dyDescent="0.25">
      <c r="A2196" t="str">
        <f>"2192"</f>
        <v>2192</v>
      </c>
      <c r="B2196" t="str">
        <f t="shared" si="124"/>
        <v>1</v>
      </c>
      <c r="C2196" t="str">
        <f t="shared" si="126"/>
        <v>97</v>
      </c>
      <c r="D2196" t="str">
        <f>"7"</f>
        <v>7</v>
      </c>
      <c r="E2196" t="str">
        <f>"1-97-7"</f>
        <v>1-97-7</v>
      </c>
      <c r="F2196" t="s">
        <v>83</v>
      </c>
      <c r="G2196" t="s">
        <v>84</v>
      </c>
      <c r="H2196" t="s">
        <v>85</v>
      </c>
      <c r="AC2196">
        <v>0</v>
      </c>
      <c r="AD2196">
        <v>1</v>
      </c>
      <c r="AE2196">
        <v>0</v>
      </c>
      <c r="AF2196">
        <v>0</v>
      </c>
      <c r="AG2196">
        <v>1</v>
      </c>
      <c r="AJ2196">
        <v>0</v>
      </c>
      <c r="AK2196">
        <v>1</v>
      </c>
      <c r="AL2196">
        <v>0</v>
      </c>
      <c r="AM2196">
        <v>0</v>
      </c>
      <c r="AN2196">
        <v>1</v>
      </c>
      <c r="AO2196">
        <v>1</v>
      </c>
      <c r="AP2196">
        <v>1</v>
      </c>
      <c r="AQ2196">
        <v>1</v>
      </c>
      <c r="AR2196">
        <v>1</v>
      </c>
      <c r="AS2196">
        <v>1</v>
      </c>
      <c r="AT2196">
        <v>0</v>
      </c>
      <c r="AV2196">
        <v>1</v>
      </c>
      <c r="AW2196">
        <v>1</v>
      </c>
    </row>
    <row r="2197" spans="1:49" x14ac:dyDescent="0.25">
      <c r="A2197" t="str">
        <f>"2193"</f>
        <v>2193</v>
      </c>
      <c r="B2197" t="str">
        <f t="shared" si="124"/>
        <v>1</v>
      </c>
      <c r="C2197" t="str">
        <f t="shared" si="126"/>
        <v>97</v>
      </c>
      <c r="D2197" t="str">
        <f>"18"</f>
        <v>18</v>
      </c>
      <c r="E2197" t="str">
        <f>"1-97-18"</f>
        <v>1-97-18</v>
      </c>
      <c r="F2197" t="s">
        <v>83</v>
      </c>
      <c r="G2197" t="s">
        <v>84</v>
      </c>
      <c r="H2197" t="s">
        <v>85</v>
      </c>
      <c r="AC2197">
        <v>0</v>
      </c>
      <c r="AD2197">
        <v>1</v>
      </c>
      <c r="AE2197">
        <v>0</v>
      </c>
      <c r="AF2197">
        <v>0</v>
      </c>
      <c r="AG2197">
        <v>0</v>
      </c>
      <c r="AJ2197">
        <v>1</v>
      </c>
      <c r="AK2197">
        <v>0</v>
      </c>
      <c r="AL2197">
        <v>0</v>
      </c>
      <c r="AM2197">
        <v>0</v>
      </c>
      <c r="AN2197">
        <v>1</v>
      </c>
      <c r="AO2197">
        <v>0</v>
      </c>
      <c r="AP2197">
        <v>0</v>
      </c>
      <c r="AQ2197">
        <v>0</v>
      </c>
      <c r="AR2197">
        <v>0</v>
      </c>
      <c r="AS2197">
        <v>0</v>
      </c>
      <c r="AT2197">
        <v>1</v>
      </c>
      <c r="AV2197">
        <v>1</v>
      </c>
      <c r="AW2197">
        <v>0</v>
      </c>
    </row>
    <row r="2198" spans="1:49" x14ac:dyDescent="0.25">
      <c r="A2198" t="str">
        <f>"2194"</f>
        <v>2194</v>
      </c>
      <c r="B2198" t="str">
        <f t="shared" si="124"/>
        <v>1</v>
      </c>
      <c r="C2198" t="str">
        <f t="shared" si="126"/>
        <v>97</v>
      </c>
      <c r="D2198" t="str">
        <f>"11"</f>
        <v>11</v>
      </c>
      <c r="E2198" t="str">
        <f>"1-97-11"</f>
        <v>1-97-11</v>
      </c>
      <c r="F2198" t="s">
        <v>83</v>
      </c>
      <c r="G2198" t="s">
        <v>84</v>
      </c>
      <c r="H2198" t="s">
        <v>85</v>
      </c>
      <c r="AC2198">
        <v>0</v>
      </c>
      <c r="AD2198">
        <v>1</v>
      </c>
      <c r="AE2198">
        <v>0</v>
      </c>
      <c r="AF2198">
        <v>0</v>
      </c>
      <c r="AG2198">
        <v>1</v>
      </c>
      <c r="AJ2198">
        <v>0</v>
      </c>
      <c r="AK2198">
        <v>1</v>
      </c>
      <c r="AL2198">
        <v>0</v>
      </c>
      <c r="AM2198">
        <v>0</v>
      </c>
      <c r="AN2198">
        <v>1</v>
      </c>
      <c r="AO2198">
        <v>1</v>
      </c>
      <c r="AP2198">
        <v>1</v>
      </c>
      <c r="AQ2198">
        <v>1</v>
      </c>
      <c r="AR2198">
        <v>1</v>
      </c>
      <c r="AS2198">
        <v>0</v>
      </c>
      <c r="AT2198">
        <v>1</v>
      </c>
      <c r="AV2198">
        <v>1</v>
      </c>
      <c r="AW2198">
        <v>1</v>
      </c>
    </row>
    <row r="2199" spans="1:49" x14ac:dyDescent="0.25">
      <c r="A2199" t="str">
        <f>"2195"</f>
        <v>2195</v>
      </c>
      <c r="B2199" t="str">
        <f t="shared" si="124"/>
        <v>1</v>
      </c>
      <c r="C2199" t="str">
        <f t="shared" si="126"/>
        <v>97</v>
      </c>
      <c r="D2199" t="str">
        <f>"6"</f>
        <v>6</v>
      </c>
      <c r="E2199" t="str">
        <f>"1-97-6"</f>
        <v>1-97-6</v>
      </c>
      <c r="F2199" t="s">
        <v>83</v>
      </c>
      <c r="G2199" t="s">
        <v>84</v>
      </c>
      <c r="H2199" t="s">
        <v>85</v>
      </c>
      <c r="AC2199">
        <v>0</v>
      </c>
      <c r="AD2199">
        <v>1</v>
      </c>
      <c r="AE2199">
        <v>0</v>
      </c>
      <c r="AF2199">
        <v>0</v>
      </c>
      <c r="AG2199">
        <v>1</v>
      </c>
      <c r="AJ2199">
        <v>1</v>
      </c>
      <c r="AK2199">
        <v>0</v>
      </c>
      <c r="AL2199">
        <v>0</v>
      </c>
      <c r="AM2199">
        <v>0</v>
      </c>
      <c r="AN2199">
        <v>1</v>
      </c>
      <c r="AO2199">
        <v>1</v>
      </c>
      <c r="AP2199">
        <v>1</v>
      </c>
      <c r="AQ2199">
        <v>1</v>
      </c>
      <c r="AR2199">
        <v>1</v>
      </c>
      <c r="AS2199">
        <v>1</v>
      </c>
      <c r="AT2199">
        <v>0</v>
      </c>
      <c r="AV2199">
        <v>1</v>
      </c>
      <c r="AW2199">
        <v>1</v>
      </c>
    </row>
    <row r="2200" spans="1:49" x14ac:dyDescent="0.25">
      <c r="A2200" t="str">
        <f>"2196"</f>
        <v>2196</v>
      </c>
      <c r="B2200" t="str">
        <f t="shared" si="124"/>
        <v>1</v>
      </c>
      <c r="C2200" t="str">
        <f t="shared" si="126"/>
        <v>97</v>
      </c>
      <c r="D2200" t="str">
        <f>"19"</f>
        <v>19</v>
      </c>
      <c r="E2200" t="str">
        <f>"1-97-19"</f>
        <v>1-97-19</v>
      </c>
      <c r="F2200" t="s">
        <v>83</v>
      </c>
      <c r="G2200" t="s">
        <v>84</v>
      </c>
      <c r="H2200" t="s">
        <v>85</v>
      </c>
      <c r="AC2200">
        <v>0</v>
      </c>
      <c r="AD2200">
        <v>1</v>
      </c>
      <c r="AE2200">
        <v>0</v>
      </c>
      <c r="AF2200">
        <v>0</v>
      </c>
      <c r="AG2200">
        <v>1</v>
      </c>
      <c r="AJ2200">
        <v>0</v>
      </c>
      <c r="AK2200">
        <v>1</v>
      </c>
      <c r="AL2200">
        <v>0</v>
      </c>
      <c r="AM2200">
        <v>1</v>
      </c>
      <c r="AN2200">
        <v>0</v>
      </c>
      <c r="AO2200">
        <v>1</v>
      </c>
      <c r="AP2200">
        <v>1</v>
      </c>
      <c r="AQ2200">
        <v>1</v>
      </c>
      <c r="AR2200">
        <v>1</v>
      </c>
      <c r="AS2200">
        <v>1</v>
      </c>
      <c r="AT2200">
        <v>0</v>
      </c>
      <c r="AV2200">
        <v>1</v>
      </c>
      <c r="AW2200">
        <v>1</v>
      </c>
    </row>
    <row r="2201" spans="1:49" x14ac:dyDescent="0.25">
      <c r="A2201" t="str">
        <f>"2197"</f>
        <v>2197</v>
      </c>
      <c r="B2201" t="str">
        <f t="shared" si="124"/>
        <v>1</v>
      </c>
      <c r="C2201" t="str">
        <f t="shared" si="126"/>
        <v>97</v>
      </c>
      <c r="D2201" t="str">
        <f>"12"</f>
        <v>12</v>
      </c>
      <c r="E2201" t="str">
        <f>"1-97-12"</f>
        <v>1-97-12</v>
      </c>
      <c r="F2201" t="s">
        <v>83</v>
      </c>
      <c r="G2201" t="s">
        <v>84</v>
      </c>
      <c r="H2201" t="s">
        <v>85</v>
      </c>
      <c r="AC2201">
        <v>1</v>
      </c>
      <c r="AD2201">
        <v>0</v>
      </c>
      <c r="AE2201">
        <v>0</v>
      </c>
      <c r="AF2201">
        <v>0</v>
      </c>
      <c r="AG2201">
        <v>1</v>
      </c>
      <c r="AJ2201">
        <v>1</v>
      </c>
      <c r="AK2201">
        <v>0</v>
      </c>
      <c r="AL2201">
        <v>0</v>
      </c>
      <c r="AM2201">
        <v>0</v>
      </c>
      <c r="AN2201">
        <v>1</v>
      </c>
      <c r="AO2201">
        <v>1</v>
      </c>
      <c r="AP2201">
        <v>1</v>
      </c>
      <c r="AQ2201">
        <v>1</v>
      </c>
      <c r="AR2201">
        <v>1</v>
      </c>
      <c r="AS2201">
        <v>0</v>
      </c>
      <c r="AT2201">
        <v>1</v>
      </c>
      <c r="AV2201">
        <v>1</v>
      </c>
      <c r="AW2201">
        <v>0</v>
      </c>
    </row>
    <row r="2202" spans="1:49" x14ac:dyDescent="0.25">
      <c r="A2202" t="str">
        <f>"2198"</f>
        <v>2198</v>
      </c>
      <c r="B2202" t="str">
        <f t="shared" si="124"/>
        <v>1</v>
      </c>
      <c r="C2202" t="str">
        <f t="shared" si="126"/>
        <v>97</v>
      </c>
      <c r="D2202" t="str">
        <f>"21"</f>
        <v>21</v>
      </c>
      <c r="E2202" t="str">
        <f>"1-97-21"</f>
        <v>1-97-21</v>
      </c>
      <c r="F2202" t="s">
        <v>83</v>
      </c>
      <c r="G2202" t="s">
        <v>84</v>
      </c>
      <c r="H2202" t="s">
        <v>85</v>
      </c>
      <c r="AC2202">
        <v>1</v>
      </c>
      <c r="AD2202">
        <v>0</v>
      </c>
      <c r="AE2202">
        <v>0</v>
      </c>
      <c r="AF2202">
        <v>0</v>
      </c>
      <c r="AG2202">
        <v>1</v>
      </c>
      <c r="AJ2202">
        <v>1</v>
      </c>
      <c r="AK2202">
        <v>0</v>
      </c>
      <c r="AL2202">
        <v>0</v>
      </c>
      <c r="AM2202">
        <v>0</v>
      </c>
      <c r="AN2202">
        <v>1</v>
      </c>
      <c r="AO2202">
        <v>1</v>
      </c>
      <c r="AP2202">
        <v>1</v>
      </c>
      <c r="AQ2202">
        <v>1</v>
      </c>
      <c r="AR2202">
        <v>1</v>
      </c>
      <c r="AS2202">
        <v>0</v>
      </c>
      <c r="AT2202">
        <v>1</v>
      </c>
      <c r="AV2202">
        <v>1</v>
      </c>
      <c r="AW2202">
        <v>1</v>
      </c>
    </row>
    <row r="2203" spans="1:49" x14ac:dyDescent="0.25">
      <c r="A2203" t="str">
        <f>"2199"</f>
        <v>2199</v>
      </c>
      <c r="B2203" t="str">
        <f t="shared" si="124"/>
        <v>1</v>
      </c>
      <c r="C2203" t="str">
        <f t="shared" si="126"/>
        <v>97</v>
      </c>
      <c r="D2203" t="str">
        <f>"13"</f>
        <v>13</v>
      </c>
      <c r="E2203" t="str">
        <f>"1-97-13"</f>
        <v>1-97-13</v>
      </c>
      <c r="F2203" t="s">
        <v>83</v>
      </c>
      <c r="G2203" t="s">
        <v>84</v>
      </c>
      <c r="H2203" t="s">
        <v>85</v>
      </c>
      <c r="AC2203">
        <v>1</v>
      </c>
      <c r="AD2203">
        <v>0</v>
      </c>
      <c r="AE2203">
        <v>0</v>
      </c>
      <c r="AF2203">
        <v>0</v>
      </c>
      <c r="AG2203">
        <v>1</v>
      </c>
      <c r="AJ2203">
        <v>1</v>
      </c>
      <c r="AK2203">
        <v>0</v>
      </c>
      <c r="AL2203">
        <v>0</v>
      </c>
      <c r="AM2203">
        <v>1</v>
      </c>
      <c r="AN2203">
        <v>0</v>
      </c>
      <c r="AO2203">
        <v>1</v>
      </c>
      <c r="AP2203">
        <v>1</v>
      </c>
      <c r="AQ2203">
        <v>1</v>
      </c>
      <c r="AR2203">
        <v>1</v>
      </c>
      <c r="AS2203">
        <v>0</v>
      </c>
      <c r="AT2203">
        <v>1</v>
      </c>
      <c r="AV2203">
        <v>1</v>
      </c>
      <c r="AW2203">
        <v>1</v>
      </c>
    </row>
    <row r="2204" spans="1:49" x14ac:dyDescent="0.25">
      <c r="A2204" t="str">
        <f>"2200"</f>
        <v>2200</v>
      </c>
      <c r="B2204" t="str">
        <f t="shared" si="124"/>
        <v>1</v>
      </c>
      <c r="C2204" t="str">
        <f t="shared" si="126"/>
        <v>97</v>
      </c>
      <c r="D2204" t="str">
        <f>"20"</f>
        <v>20</v>
      </c>
      <c r="E2204" t="str">
        <f>"1-97-20"</f>
        <v>1-97-20</v>
      </c>
      <c r="F2204" t="s">
        <v>83</v>
      </c>
      <c r="G2204" t="s">
        <v>84</v>
      </c>
      <c r="H2204" t="s">
        <v>85</v>
      </c>
      <c r="AC2204">
        <v>0</v>
      </c>
      <c r="AD2204">
        <v>1</v>
      </c>
      <c r="AE2204">
        <v>0</v>
      </c>
      <c r="AF2204">
        <v>0</v>
      </c>
      <c r="AG2204">
        <v>1</v>
      </c>
      <c r="AJ2204">
        <v>1</v>
      </c>
      <c r="AK2204">
        <v>0</v>
      </c>
      <c r="AL2204">
        <v>0</v>
      </c>
      <c r="AM2204">
        <v>1</v>
      </c>
      <c r="AN2204">
        <v>0</v>
      </c>
      <c r="AO2204">
        <v>1</v>
      </c>
      <c r="AP2204">
        <v>1</v>
      </c>
      <c r="AQ2204">
        <v>1</v>
      </c>
      <c r="AR2204">
        <v>1</v>
      </c>
      <c r="AS2204">
        <v>0</v>
      </c>
      <c r="AT2204">
        <v>0</v>
      </c>
      <c r="AV2204">
        <v>1</v>
      </c>
      <c r="AW2204">
        <v>1</v>
      </c>
    </row>
    <row r="2205" spans="1:49" x14ac:dyDescent="0.25">
      <c r="A2205" t="str">
        <f>"2201"</f>
        <v>2201</v>
      </c>
      <c r="B2205" t="str">
        <f t="shared" si="124"/>
        <v>1</v>
      </c>
      <c r="C2205" t="str">
        <f t="shared" si="126"/>
        <v>97</v>
      </c>
      <c r="D2205" t="str">
        <f>"14"</f>
        <v>14</v>
      </c>
      <c r="E2205" t="str">
        <f>"1-97-14"</f>
        <v>1-97-14</v>
      </c>
      <c r="F2205" t="s">
        <v>83</v>
      </c>
      <c r="G2205" t="s">
        <v>84</v>
      </c>
      <c r="H2205" t="s">
        <v>85</v>
      </c>
      <c r="AC2205">
        <v>1</v>
      </c>
      <c r="AD2205">
        <v>0</v>
      </c>
      <c r="AE2205">
        <v>0</v>
      </c>
      <c r="AF2205">
        <v>0</v>
      </c>
      <c r="AG2205">
        <v>1</v>
      </c>
      <c r="AJ2205">
        <v>1</v>
      </c>
      <c r="AK2205">
        <v>0</v>
      </c>
      <c r="AL2205">
        <v>0</v>
      </c>
      <c r="AM2205">
        <v>0</v>
      </c>
      <c r="AN2205">
        <v>1</v>
      </c>
      <c r="AO2205">
        <v>1</v>
      </c>
      <c r="AP2205">
        <v>1</v>
      </c>
      <c r="AQ2205">
        <v>1</v>
      </c>
      <c r="AR2205">
        <v>1</v>
      </c>
      <c r="AS2205">
        <v>1</v>
      </c>
      <c r="AT2205">
        <v>0</v>
      </c>
      <c r="AV2205">
        <v>1</v>
      </c>
      <c r="AW2205">
        <v>1</v>
      </c>
    </row>
    <row r="2206" spans="1:49" x14ac:dyDescent="0.25">
      <c r="A2206" t="str">
        <f>"2202"</f>
        <v>2202</v>
      </c>
      <c r="B2206" t="str">
        <f t="shared" ref="B2206:B2269" si="127">"1"</f>
        <v>1</v>
      </c>
      <c r="C2206" t="str">
        <f t="shared" si="126"/>
        <v>97</v>
      </c>
      <c r="D2206" t="str">
        <f>"2"</f>
        <v>2</v>
      </c>
      <c r="E2206" t="str">
        <f>"1-97-2"</f>
        <v>1-97-2</v>
      </c>
      <c r="F2206" t="s">
        <v>83</v>
      </c>
      <c r="G2206" t="s">
        <v>84</v>
      </c>
      <c r="H2206" t="s">
        <v>85</v>
      </c>
      <c r="AC2206">
        <v>1</v>
      </c>
      <c r="AD2206">
        <v>0</v>
      </c>
      <c r="AE2206">
        <v>0</v>
      </c>
      <c r="AF2206">
        <v>0</v>
      </c>
      <c r="AG2206">
        <v>1</v>
      </c>
      <c r="AJ2206">
        <v>0</v>
      </c>
      <c r="AK2206">
        <v>1</v>
      </c>
      <c r="AL2206">
        <v>1</v>
      </c>
      <c r="AM2206">
        <v>0</v>
      </c>
      <c r="AN2206">
        <v>0</v>
      </c>
      <c r="AO2206">
        <v>1</v>
      </c>
      <c r="AP2206">
        <v>1</v>
      </c>
      <c r="AQ2206">
        <v>1</v>
      </c>
      <c r="AR2206">
        <v>1</v>
      </c>
      <c r="AS2206">
        <v>0</v>
      </c>
      <c r="AT2206">
        <v>1</v>
      </c>
      <c r="AV2206">
        <v>0</v>
      </c>
      <c r="AW2206">
        <v>1</v>
      </c>
    </row>
    <row r="2207" spans="1:49" x14ac:dyDescent="0.25">
      <c r="A2207" t="str">
        <f>"2203"</f>
        <v>2203</v>
      </c>
      <c r="B2207" t="str">
        <f t="shared" si="127"/>
        <v>1</v>
      </c>
      <c r="C2207" t="str">
        <f t="shared" si="126"/>
        <v>97</v>
      </c>
      <c r="D2207" t="str">
        <f>"1"</f>
        <v>1</v>
      </c>
      <c r="E2207" t="str">
        <f>"1-97-1"</f>
        <v>1-97-1</v>
      </c>
      <c r="F2207" t="s">
        <v>83</v>
      </c>
      <c r="G2207" t="s">
        <v>84</v>
      </c>
      <c r="H2207" t="s">
        <v>85</v>
      </c>
      <c r="AC2207">
        <v>0</v>
      </c>
      <c r="AD2207">
        <v>0</v>
      </c>
      <c r="AE2207">
        <v>0</v>
      </c>
      <c r="AF2207">
        <v>0</v>
      </c>
      <c r="AG2207">
        <v>0</v>
      </c>
      <c r="AJ2207">
        <v>0</v>
      </c>
      <c r="AK2207">
        <v>0</v>
      </c>
      <c r="AL2207">
        <v>0</v>
      </c>
      <c r="AM2207">
        <v>0</v>
      </c>
      <c r="AN2207">
        <v>0</v>
      </c>
      <c r="AO2207">
        <v>0</v>
      </c>
      <c r="AP2207">
        <v>0</v>
      </c>
      <c r="AQ2207">
        <v>0</v>
      </c>
      <c r="AR2207">
        <v>0</v>
      </c>
      <c r="AS2207">
        <v>0</v>
      </c>
      <c r="AT2207">
        <v>0</v>
      </c>
      <c r="AV2207">
        <v>0</v>
      </c>
      <c r="AW2207">
        <v>0</v>
      </c>
    </row>
    <row r="2208" spans="1:49" x14ac:dyDescent="0.25">
      <c r="A2208" t="str">
        <f>"2204"</f>
        <v>2204</v>
      </c>
      <c r="B2208" t="str">
        <f t="shared" si="127"/>
        <v>1</v>
      </c>
      <c r="C2208" t="str">
        <f t="shared" si="126"/>
        <v>97</v>
      </c>
      <c r="D2208" t="str">
        <f>"4"</f>
        <v>4</v>
      </c>
      <c r="E2208" t="str">
        <f>"1-97-4"</f>
        <v>1-97-4</v>
      </c>
      <c r="F2208" t="s">
        <v>83</v>
      </c>
      <c r="G2208" t="s">
        <v>86</v>
      </c>
      <c r="H2208" t="s">
        <v>87</v>
      </c>
      <c r="AC2208">
        <v>0</v>
      </c>
      <c r="AD2208">
        <v>1</v>
      </c>
      <c r="AE2208">
        <v>0</v>
      </c>
      <c r="AF2208">
        <v>0</v>
      </c>
      <c r="AH2208">
        <v>0</v>
      </c>
      <c r="AI2208">
        <v>1</v>
      </c>
      <c r="AJ2208">
        <v>0</v>
      </c>
      <c r="AK2208">
        <v>1</v>
      </c>
      <c r="AL2208">
        <v>0</v>
      </c>
      <c r="AM2208">
        <v>0</v>
      </c>
      <c r="AN2208">
        <v>1</v>
      </c>
      <c r="AO2208">
        <v>0</v>
      </c>
      <c r="AP2208">
        <v>0</v>
      </c>
      <c r="AQ2208">
        <v>0</v>
      </c>
      <c r="AU2208">
        <v>0</v>
      </c>
      <c r="AV2208">
        <v>0</v>
      </c>
      <c r="AW2208">
        <v>0</v>
      </c>
    </row>
    <row r="2209" spans="1:28" x14ac:dyDescent="0.25">
      <c r="A2209" t="str">
        <f>"2205"</f>
        <v>2205</v>
      </c>
      <c r="B2209" t="str">
        <f t="shared" si="127"/>
        <v>1</v>
      </c>
      <c r="C2209" t="str">
        <f t="shared" ref="C2209:C2232" si="128">"98"</f>
        <v>98</v>
      </c>
      <c r="D2209" t="str">
        <f>"23"</f>
        <v>23</v>
      </c>
      <c r="E2209" t="str">
        <f>"1-98-23"</f>
        <v>1-98-23</v>
      </c>
      <c r="F2209" t="s">
        <v>83</v>
      </c>
      <c r="G2209" t="s">
        <v>84</v>
      </c>
      <c r="H2209" t="s">
        <v>92</v>
      </c>
      <c r="I2209">
        <v>1</v>
      </c>
      <c r="J2209">
        <v>1</v>
      </c>
      <c r="N2209">
        <v>1</v>
      </c>
      <c r="O2209">
        <v>1</v>
      </c>
      <c r="P2209">
        <v>1</v>
      </c>
      <c r="Q2209">
        <v>1</v>
      </c>
      <c r="R2209">
        <v>1</v>
      </c>
      <c r="S2209">
        <v>1</v>
      </c>
      <c r="T2209">
        <v>1</v>
      </c>
      <c r="W2209">
        <v>1</v>
      </c>
      <c r="X2209">
        <v>1</v>
      </c>
      <c r="Y2209">
        <v>1</v>
      </c>
      <c r="Z2209">
        <v>1</v>
      </c>
      <c r="AA2209">
        <v>1</v>
      </c>
      <c r="AB2209">
        <v>1</v>
      </c>
    </row>
    <row r="2210" spans="1:28" x14ac:dyDescent="0.25">
      <c r="A2210" t="str">
        <f>"2206"</f>
        <v>2206</v>
      </c>
      <c r="B2210" t="str">
        <f t="shared" si="127"/>
        <v>1</v>
      </c>
      <c r="C2210" t="str">
        <f t="shared" si="128"/>
        <v>98</v>
      </c>
      <c r="D2210" t="str">
        <f>"22"</f>
        <v>22</v>
      </c>
      <c r="E2210" t="str">
        <f>"1-98-22"</f>
        <v>1-98-22</v>
      </c>
      <c r="F2210" t="s">
        <v>83</v>
      </c>
      <c r="G2210" t="s">
        <v>86</v>
      </c>
      <c r="H2210" t="s">
        <v>93</v>
      </c>
      <c r="I2210">
        <v>1</v>
      </c>
      <c r="K2210">
        <v>1</v>
      </c>
      <c r="L2210">
        <v>0</v>
      </c>
      <c r="M2210">
        <v>0</v>
      </c>
      <c r="N2210">
        <v>1</v>
      </c>
      <c r="O2210">
        <v>1</v>
      </c>
      <c r="P2210">
        <v>1</v>
      </c>
      <c r="Q2210">
        <v>1</v>
      </c>
      <c r="R2210">
        <v>1</v>
      </c>
      <c r="U2210">
        <v>0</v>
      </c>
      <c r="V2210">
        <v>1</v>
      </c>
      <c r="W2210">
        <v>1</v>
      </c>
      <c r="X2210">
        <v>1</v>
      </c>
      <c r="Y2210">
        <v>1</v>
      </c>
      <c r="Z2210">
        <v>1</v>
      </c>
      <c r="AA2210">
        <v>1</v>
      </c>
      <c r="AB2210">
        <v>1</v>
      </c>
    </row>
    <row r="2211" spans="1:28" x14ac:dyDescent="0.25">
      <c r="A2211" t="str">
        <f>"2207"</f>
        <v>2207</v>
      </c>
      <c r="B2211" t="str">
        <f t="shared" si="127"/>
        <v>1</v>
      </c>
      <c r="C2211" t="str">
        <f t="shared" si="128"/>
        <v>98</v>
      </c>
      <c r="D2211" t="str">
        <f>"16"</f>
        <v>16</v>
      </c>
      <c r="E2211" t="str">
        <f>"1-98-16"</f>
        <v>1-98-16</v>
      </c>
      <c r="F2211" t="s">
        <v>83</v>
      </c>
      <c r="G2211" t="s">
        <v>86</v>
      </c>
      <c r="H2211" t="s">
        <v>93</v>
      </c>
      <c r="I2211">
        <v>1</v>
      </c>
      <c r="K2211">
        <v>0</v>
      </c>
      <c r="L2211">
        <v>1</v>
      </c>
      <c r="M2211">
        <v>0</v>
      </c>
      <c r="N2211">
        <v>1</v>
      </c>
      <c r="O2211">
        <v>1</v>
      </c>
      <c r="P2211">
        <v>1</v>
      </c>
      <c r="Q2211">
        <v>1</v>
      </c>
      <c r="R2211">
        <v>1</v>
      </c>
      <c r="U2211">
        <v>0</v>
      </c>
      <c r="V2211">
        <v>1</v>
      </c>
      <c r="W2211">
        <v>1</v>
      </c>
      <c r="X2211">
        <v>1</v>
      </c>
      <c r="Y2211">
        <v>1</v>
      </c>
      <c r="Z2211">
        <v>1</v>
      </c>
      <c r="AA2211">
        <v>1</v>
      </c>
      <c r="AB2211">
        <v>1</v>
      </c>
    </row>
    <row r="2212" spans="1:28" x14ac:dyDescent="0.25">
      <c r="A2212" t="str">
        <f>"2208"</f>
        <v>2208</v>
      </c>
      <c r="B2212" t="str">
        <f t="shared" si="127"/>
        <v>1</v>
      </c>
      <c r="C2212" t="str">
        <f t="shared" si="128"/>
        <v>98</v>
      </c>
      <c r="D2212" t="str">
        <f>"8"</f>
        <v>8</v>
      </c>
      <c r="E2212" t="str">
        <f>"1-98-8"</f>
        <v>1-98-8</v>
      </c>
      <c r="F2212" t="s">
        <v>83</v>
      </c>
      <c r="G2212" t="s">
        <v>84</v>
      </c>
      <c r="H2212" t="s">
        <v>92</v>
      </c>
      <c r="I2212">
        <v>1</v>
      </c>
      <c r="J2212">
        <v>1</v>
      </c>
      <c r="N2212">
        <v>1</v>
      </c>
      <c r="O2212">
        <v>1</v>
      </c>
      <c r="P2212">
        <v>1</v>
      </c>
      <c r="Q2212">
        <v>1</v>
      </c>
      <c r="R2212">
        <v>1</v>
      </c>
      <c r="S2212">
        <v>1</v>
      </c>
      <c r="T2212">
        <v>1</v>
      </c>
      <c r="W2212">
        <v>1</v>
      </c>
      <c r="X2212">
        <v>1</v>
      </c>
      <c r="Y2212">
        <v>1</v>
      </c>
      <c r="Z2212">
        <v>1</v>
      </c>
      <c r="AA2212">
        <v>1</v>
      </c>
      <c r="AB2212">
        <v>1</v>
      </c>
    </row>
    <row r="2213" spans="1:28" x14ac:dyDescent="0.25">
      <c r="A2213" t="str">
        <f>"2209"</f>
        <v>2209</v>
      </c>
      <c r="B2213" t="str">
        <f t="shared" si="127"/>
        <v>1</v>
      </c>
      <c r="C2213" t="str">
        <f t="shared" si="128"/>
        <v>98</v>
      </c>
      <c r="D2213" t="str">
        <f>"5"</f>
        <v>5</v>
      </c>
      <c r="E2213" t="str">
        <f>"1-98-5"</f>
        <v>1-98-5</v>
      </c>
      <c r="F2213" t="s">
        <v>83</v>
      </c>
      <c r="G2213" t="s">
        <v>84</v>
      </c>
      <c r="H2213" t="s">
        <v>92</v>
      </c>
      <c r="I2213">
        <v>1</v>
      </c>
      <c r="J2213">
        <v>1</v>
      </c>
      <c r="N2213">
        <v>1</v>
      </c>
      <c r="O2213">
        <v>1</v>
      </c>
      <c r="P2213">
        <v>1</v>
      </c>
      <c r="Q2213">
        <v>1</v>
      </c>
      <c r="R2213">
        <v>1</v>
      </c>
      <c r="S2213">
        <v>1</v>
      </c>
      <c r="T2213">
        <v>1</v>
      </c>
      <c r="W2213">
        <v>1</v>
      </c>
      <c r="X2213">
        <v>1</v>
      </c>
      <c r="Y2213">
        <v>1</v>
      </c>
      <c r="Z2213">
        <v>1</v>
      </c>
      <c r="AA2213">
        <v>1</v>
      </c>
      <c r="AB2213">
        <v>1</v>
      </c>
    </row>
    <row r="2214" spans="1:28" x14ac:dyDescent="0.25">
      <c r="A2214" t="str">
        <f>"2210"</f>
        <v>2210</v>
      </c>
      <c r="B2214" t="str">
        <f t="shared" si="127"/>
        <v>1</v>
      </c>
      <c r="C2214" t="str">
        <f t="shared" si="128"/>
        <v>98</v>
      </c>
      <c r="D2214" t="str">
        <f>"24"</f>
        <v>24</v>
      </c>
      <c r="E2214" t="str">
        <f>"1-98-24"</f>
        <v>1-98-24</v>
      </c>
      <c r="F2214" t="s">
        <v>83</v>
      </c>
      <c r="G2214" t="s">
        <v>90</v>
      </c>
      <c r="H2214" t="s">
        <v>94</v>
      </c>
      <c r="I2214">
        <v>1</v>
      </c>
      <c r="K2214">
        <v>1</v>
      </c>
      <c r="L2214">
        <v>0</v>
      </c>
      <c r="M2214">
        <v>0</v>
      </c>
      <c r="N2214">
        <v>1</v>
      </c>
      <c r="O2214">
        <v>1</v>
      </c>
      <c r="P2214">
        <v>1</v>
      </c>
      <c r="Q2214">
        <v>1</v>
      </c>
      <c r="R2214">
        <v>1</v>
      </c>
      <c r="S2214">
        <v>1</v>
      </c>
      <c r="U2214">
        <v>0</v>
      </c>
      <c r="V2214">
        <v>1</v>
      </c>
      <c r="W2214">
        <v>1</v>
      </c>
      <c r="X2214">
        <v>1</v>
      </c>
      <c r="Y2214">
        <v>1</v>
      </c>
      <c r="Z2214">
        <v>1</v>
      </c>
      <c r="AA2214">
        <v>1</v>
      </c>
      <c r="AB2214">
        <v>1</v>
      </c>
    </row>
    <row r="2215" spans="1:28" x14ac:dyDescent="0.25">
      <c r="A2215" t="str">
        <f>"2211"</f>
        <v>2211</v>
      </c>
      <c r="B2215" t="str">
        <f t="shared" si="127"/>
        <v>1</v>
      </c>
      <c r="C2215" t="str">
        <f t="shared" si="128"/>
        <v>98</v>
      </c>
      <c r="D2215" t="str">
        <f>"15"</f>
        <v>15</v>
      </c>
      <c r="E2215" t="str">
        <f>"1-98-15"</f>
        <v>1-98-15</v>
      </c>
      <c r="F2215" t="s">
        <v>83</v>
      </c>
      <c r="G2215" t="s">
        <v>86</v>
      </c>
      <c r="H2215" t="s">
        <v>93</v>
      </c>
      <c r="I2215">
        <v>1</v>
      </c>
      <c r="K2215">
        <v>0</v>
      </c>
      <c r="L2215">
        <v>0</v>
      </c>
      <c r="M2215">
        <v>1</v>
      </c>
      <c r="N2215">
        <v>1</v>
      </c>
      <c r="O2215">
        <v>1</v>
      </c>
      <c r="P2215">
        <v>1</v>
      </c>
      <c r="Q2215">
        <v>1</v>
      </c>
      <c r="R2215">
        <v>1</v>
      </c>
      <c r="U2215">
        <v>1</v>
      </c>
      <c r="V2215">
        <v>0</v>
      </c>
      <c r="W2215">
        <v>1</v>
      </c>
      <c r="X2215">
        <v>1</v>
      </c>
      <c r="Y2215">
        <v>1</v>
      </c>
      <c r="Z2215">
        <v>1</v>
      </c>
      <c r="AA2215">
        <v>1</v>
      </c>
      <c r="AB2215">
        <v>1</v>
      </c>
    </row>
    <row r="2216" spans="1:28" x14ac:dyDescent="0.25">
      <c r="A2216" t="str">
        <f>"2212"</f>
        <v>2212</v>
      </c>
      <c r="B2216" t="str">
        <f t="shared" si="127"/>
        <v>1</v>
      </c>
      <c r="C2216" t="str">
        <f t="shared" si="128"/>
        <v>98</v>
      </c>
      <c r="D2216" t="str">
        <f>"9"</f>
        <v>9</v>
      </c>
      <c r="E2216" t="str">
        <f>"1-98-9"</f>
        <v>1-98-9</v>
      </c>
      <c r="F2216" t="s">
        <v>83</v>
      </c>
      <c r="G2216" t="s">
        <v>84</v>
      </c>
      <c r="H2216" t="s">
        <v>92</v>
      </c>
      <c r="I2216">
        <v>1</v>
      </c>
      <c r="J2216">
        <v>1</v>
      </c>
      <c r="N2216">
        <v>1</v>
      </c>
      <c r="O2216">
        <v>1</v>
      </c>
      <c r="P2216">
        <v>1</v>
      </c>
      <c r="Q2216">
        <v>1</v>
      </c>
      <c r="R2216">
        <v>1</v>
      </c>
      <c r="S2216">
        <v>1</v>
      </c>
      <c r="T2216">
        <v>1</v>
      </c>
      <c r="W2216">
        <v>1</v>
      </c>
      <c r="X2216">
        <v>1</v>
      </c>
      <c r="Y2216">
        <v>1</v>
      </c>
      <c r="Z2216">
        <v>1</v>
      </c>
      <c r="AA2216">
        <v>1</v>
      </c>
      <c r="AB2216">
        <v>1</v>
      </c>
    </row>
    <row r="2217" spans="1:28" x14ac:dyDescent="0.25">
      <c r="A2217" t="str">
        <f>"2213"</f>
        <v>2213</v>
      </c>
      <c r="B2217" t="str">
        <f t="shared" si="127"/>
        <v>1</v>
      </c>
      <c r="C2217" t="str">
        <f t="shared" si="128"/>
        <v>98</v>
      </c>
      <c r="D2217" t="str">
        <f>"3"</f>
        <v>3</v>
      </c>
      <c r="E2217" t="str">
        <f>"1-98-3"</f>
        <v>1-98-3</v>
      </c>
      <c r="F2217" t="s">
        <v>83</v>
      </c>
      <c r="G2217" t="s">
        <v>86</v>
      </c>
      <c r="H2217" t="s">
        <v>93</v>
      </c>
      <c r="I2217">
        <v>0</v>
      </c>
      <c r="K2217">
        <v>0</v>
      </c>
      <c r="L2217">
        <v>0</v>
      </c>
      <c r="M2217">
        <v>1</v>
      </c>
      <c r="N2217">
        <v>1</v>
      </c>
      <c r="O2217">
        <v>0</v>
      </c>
      <c r="P2217">
        <v>0</v>
      </c>
      <c r="Q2217">
        <v>0</v>
      </c>
      <c r="R2217">
        <v>0</v>
      </c>
      <c r="U2217">
        <v>0</v>
      </c>
      <c r="V2217">
        <v>1</v>
      </c>
      <c r="W2217">
        <v>0</v>
      </c>
      <c r="X2217">
        <v>0</v>
      </c>
      <c r="Y2217">
        <v>1</v>
      </c>
      <c r="Z2217">
        <v>0</v>
      </c>
      <c r="AA2217">
        <v>0</v>
      </c>
      <c r="AB2217">
        <v>0</v>
      </c>
    </row>
    <row r="2218" spans="1:28" x14ac:dyDescent="0.25">
      <c r="A2218" t="str">
        <f>"2214"</f>
        <v>2214</v>
      </c>
      <c r="B2218" t="str">
        <f t="shared" si="127"/>
        <v>1</v>
      </c>
      <c r="C2218" t="str">
        <f t="shared" si="128"/>
        <v>98</v>
      </c>
      <c r="D2218" t="str">
        <f>"19"</f>
        <v>19</v>
      </c>
      <c r="E2218" t="str">
        <f>"1-98-19"</f>
        <v>1-98-19</v>
      </c>
      <c r="F2218" t="s">
        <v>83</v>
      </c>
      <c r="G2218" t="s">
        <v>84</v>
      </c>
      <c r="H2218" t="s">
        <v>92</v>
      </c>
      <c r="I2218">
        <v>1</v>
      </c>
      <c r="J2218">
        <v>0</v>
      </c>
      <c r="N2218">
        <v>1</v>
      </c>
      <c r="O2218">
        <v>0</v>
      </c>
      <c r="P2218">
        <v>0</v>
      </c>
      <c r="Q2218">
        <v>0</v>
      </c>
      <c r="R2218">
        <v>0</v>
      </c>
      <c r="S2218">
        <v>0</v>
      </c>
      <c r="T2218">
        <v>0</v>
      </c>
      <c r="W2218">
        <v>0</v>
      </c>
      <c r="X2218">
        <v>1</v>
      </c>
      <c r="Y2218">
        <v>1</v>
      </c>
      <c r="Z2218">
        <v>0</v>
      </c>
      <c r="AA2218">
        <v>0</v>
      </c>
      <c r="AB2218">
        <v>0</v>
      </c>
    </row>
    <row r="2219" spans="1:28" x14ac:dyDescent="0.25">
      <c r="A2219" t="str">
        <f>"2215"</f>
        <v>2215</v>
      </c>
      <c r="B2219" t="str">
        <f t="shared" si="127"/>
        <v>1</v>
      </c>
      <c r="C2219" t="str">
        <f t="shared" si="128"/>
        <v>98</v>
      </c>
      <c r="D2219" t="str">
        <f>"10"</f>
        <v>10</v>
      </c>
      <c r="E2219" t="str">
        <f>"1-98-10"</f>
        <v>1-98-10</v>
      </c>
      <c r="F2219" t="s">
        <v>83</v>
      </c>
      <c r="G2219" t="s">
        <v>84</v>
      </c>
      <c r="H2219" t="s">
        <v>92</v>
      </c>
      <c r="I2219">
        <v>1</v>
      </c>
      <c r="J2219">
        <v>1</v>
      </c>
      <c r="N2219">
        <v>1</v>
      </c>
      <c r="O2219">
        <v>1</v>
      </c>
      <c r="P2219">
        <v>1</v>
      </c>
      <c r="Q2219">
        <v>1</v>
      </c>
      <c r="R2219">
        <v>1</v>
      </c>
      <c r="S2219">
        <v>1</v>
      </c>
      <c r="T2219">
        <v>1</v>
      </c>
      <c r="W2219">
        <v>1</v>
      </c>
      <c r="X2219">
        <v>1</v>
      </c>
      <c r="Y2219">
        <v>1</v>
      </c>
      <c r="Z2219">
        <v>1</v>
      </c>
      <c r="AA2219">
        <v>1</v>
      </c>
      <c r="AB2219">
        <v>1</v>
      </c>
    </row>
    <row r="2220" spans="1:28" x14ac:dyDescent="0.25">
      <c r="A2220" t="str">
        <f>"2216"</f>
        <v>2216</v>
      </c>
      <c r="B2220" t="str">
        <f t="shared" si="127"/>
        <v>1</v>
      </c>
      <c r="C2220" t="str">
        <f t="shared" si="128"/>
        <v>98</v>
      </c>
      <c r="D2220" t="str">
        <f>"1"</f>
        <v>1</v>
      </c>
      <c r="E2220" t="str">
        <f>"1-98-1"</f>
        <v>1-98-1</v>
      </c>
      <c r="F2220" t="s">
        <v>83</v>
      </c>
      <c r="G2220" t="s">
        <v>84</v>
      </c>
      <c r="H2220" t="s">
        <v>92</v>
      </c>
      <c r="I2220">
        <v>0</v>
      </c>
      <c r="J2220">
        <v>0</v>
      </c>
      <c r="N2220">
        <v>1</v>
      </c>
      <c r="O2220">
        <v>1</v>
      </c>
      <c r="P2220">
        <v>1</v>
      </c>
      <c r="Q2220">
        <v>0</v>
      </c>
      <c r="R2220">
        <v>0</v>
      </c>
      <c r="S2220">
        <v>0</v>
      </c>
      <c r="T2220">
        <v>0</v>
      </c>
      <c r="W2220">
        <v>0</v>
      </c>
      <c r="X2220">
        <v>1</v>
      </c>
      <c r="Y2220">
        <v>0</v>
      </c>
      <c r="Z2220">
        <v>1</v>
      </c>
      <c r="AA2220">
        <v>1</v>
      </c>
      <c r="AB2220">
        <v>1</v>
      </c>
    </row>
    <row r="2221" spans="1:28" x14ac:dyDescent="0.25">
      <c r="A2221" t="str">
        <f>"2217"</f>
        <v>2217</v>
      </c>
      <c r="B2221" t="str">
        <f t="shared" si="127"/>
        <v>1</v>
      </c>
      <c r="C2221" t="str">
        <f t="shared" si="128"/>
        <v>98</v>
      </c>
      <c r="D2221" t="str">
        <f>"18"</f>
        <v>18</v>
      </c>
      <c r="E2221" t="str">
        <f>"1-98-18"</f>
        <v>1-98-18</v>
      </c>
      <c r="F2221" t="s">
        <v>83</v>
      </c>
      <c r="G2221" t="s">
        <v>86</v>
      </c>
      <c r="H2221" t="s">
        <v>93</v>
      </c>
      <c r="I2221">
        <v>1</v>
      </c>
      <c r="K2221">
        <v>0</v>
      </c>
      <c r="L2221">
        <v>0</v>
      </c>
      <c r="M2221">
        <v>1</v>
      </c>
      <c r="N2221">
        <v>1</v>
      </c>
      <c r="O2221">
        <v>1</v>
      </c>
      <c r="P2221">
        <v>1</v>
      </c>
      <c r="Q2221">
        <v>1</v>
      </c>
      <c r="R2221">
        <v>1</v>
      </c>
      <c r="U2221">
        <v>0</v>
      </c>
      <c r="V2221">
        <v>1</v>
      </c>
      <c r="W2221">
        <v>1</v>
      </c>
      <c r="X2221">
        <v>1</v>
      </c>
      <c r="Y2221">
        <v>1</v>
      </c>
      <c r="Z2221">
        <v>1</v>
      </c>
      <c r="AA2221">
        <v>1</v>
      </c>
      <c r="AB2221">
        <v>1</v>
      </c>
    </row>
    <row r="2222" spans="1:28" x14ac:dyDescent="0.25">
      <c r="A2222" t="str">
        <f>"2218"</f>
        <v>2218</v>
      </c>
      <c r="B2222" t="str">
        <f t="shared" si="127"/>
        <v>1</v>
      </c>
      <c r="C2222" t="str">
        <f t="shared" si="128"/>
        <v>98</v>
      </c>
      <c r="D2222" t="str">
        <f>"11"</f>
        <v>11</v>
      </c>
      <c r="E2222" t="str">
        <f>"1-98-11"</f>
        <v>1-98-11</v>
      </c>
      <c r="F2222" t="s">
        <v>83</v>
      </c>
      <c r="G2222" t="s">
        <v>84</v>
      </c>
      <c r="H2222" t="s">
        <v>92</v>
      </c>
      <c r="I2222">
        <v>1</v>
      </c>
      <c r="J2222">
        <v>1</v>
      </c>
      <c r="N2222">
        <v>1</v>
      </c>
      <c r="O2222">
        <v>1</v>
      </c>
      <c r="P2222">
        <v>1</v>
      </c>
      <c r="Q2222">
        <v>1</v>
      </c>
      <c r="R2222">
        <v>1</v>
      </c>
      <c r="S2222">
        <v>1</v>
      </c>
      <c r="T2222">
        <v>1</v>
      </c>
      <c r="W2222">
        <v>1</v>
      </c>
      <c r="X2222">
        <v>1</v>
      </c>
      <c r="Y2222">
        <v>1</v>
      </c>
      <c r="Z2222">
        <v>1</v>
      </c>
      <c r="AA2222">
        <v>1</v>
      </c>
      <c r="AB2222">
        <v>1</v>
      </c>
    </row>
    <row r="2223" spans="1:28" x14ac:dyDescent="0.25">
      <c r="A2223" t="str">
        <f>"2219"</f>
        <v>2219</v>
      </c>
      <c r="B2223" t="str">
        <f t="shared" si="127"/>
        <v>1</v>
      </c>
      <c r="C2223" t="str">
        <f t="shared" si="128"/>
        <v>98</v>
      </c>
      <c r="D2223" t="str">
        <f>"7"</f>
        <v>7</v>
      </c>
      <c r="E2223" t="str">
        <f>"1-98-7"</f>
        <v>1-98-7</v>
      </c>
      <c r="F2223" t="s">
        <v>83</v>
      </c>
      <c r="G2223" t="s">
        <v>84</v>
      </c>
      <c r="H2223" t="s">
        <v>92</v>
      </c>
      <c r="I2223">
        <v>1</v>
      </c>
      <c r="J2223">
        <v>1</v>
      </c>
      <c r="N2223">
        <v>1</v>
      </c>
      <c r="O2223">
        <v>1</v>
      </c>
      <c r="P2223">
        <v>1</v>
      </c>
      <c r="Q2223">
        <v>1</v>
      </c>
      <c r="R2223">
        <v>1</v>
      </c>
      <c r="S2223">
        <v>1</v>
      </c>
      <c r="T2223">
        <v>1</v>
      </c>
      <c r="W2223">
        <v>1</v>
      </c>
      <c r="X2223">
        <v>1</v>
      </c>
      <c r="Y2223">
        <v>1</v>
      </c>
      <c r="Z2223">
        <v>1</v>
      </c>
      <c r="AA2223">
        <v>1</v>
      </c>
      <c r="AB2223">
        <v>1</v>
      </c>
    </row>
    <row r="2224" spans="1:28" x14ac:dyDescent="0.25">
      <c r="A2224" t="str">
        <f>"2220"</f>
        <v>2220</v>
      </c>
      <c r="B2224" t="str">
        <f t="shared" si="127"/>
        <v>1</v>
      </c>
      <c r="C2224" t="str">
        <f t="shared" si="128"/>
        <v>98</v>
      </c>
      <c r="D2224" t="str">
        <f>"17"</f>
        <v>17</v>
      </c>
      <c r="E2224" t="str">
        <f>"1-98-17"</f>
        <v>1-98-17</v>
      </c>
      <c r="F2224" t="s">
        <v>83</v>
      </c>
      <c r="G2224" t="s">
        <v>84</v>
      </c>
      <c r="H2224" t="s">
        <v>92</v>
      </c>
      <c r="I2224">
        <v>1</v>
      </c>
      <c r="J2224">
        <v>1</v>
      </c>
      <c r="N2224">
        <v>1</v>
      </c>
      <c r="O2224">
        <v>1</v>
      </c>
      <c r="P2224">
        <v>1</v>
      </c>
      <c r="Q2224">
        <v>1</v>
      </c>
      <c r="R2224">
        <v>1</v>
      </c>
      <c r="S2224">
        <v>1</v>
      </c>
      <c r="T2224">
        <v>1</v>
      </c>
      <c r="W2224">
        <v>1</v>
      </c>
      <c r="X2224">
        <v>1</v>
      </c>
      <c r="Y2224">
        <v>1</v>
      </c>
      <c r="Z2224">
        <v>1</v>
      </c>
      <c r="AA2224">
        <v>1</v>
      </c>
      <c r="AB2224">
        <v>1</v>
      </c>
    </row>
    <row r="2225" spans="1:28" x14ac:dyDescent="0.25">
      <c r="A2225" t="str">
        <f>"2221"</f>
        <v>2221</v>
      </c>
      <c r="B2225" t="str">
        <f t="shared" si="127"/>
        <v>1</v>
      </c>
      <c r="C2225" t="str">
        <f t="shared" si="128"/>
        <v>98</v>
      </c>
      <c r="D2225" t="str">
        <f>"12"</f>
        <v>12</v>
      </c>
      <c r="E2225" t="str">
        <f>"1-98-12"</f>
        <v>1-98-12</v>
      </c>
      <c r="F2225" t="s">
        <v>83</v>
      </c>
      <c r="G2225" t="s">
        <v>84</v>
      </c>
      <c r="H2225" t="s">
        <v>92</v>
      </c>
      <c r="I2225">
        <v>1</v>
      </c>
      <c r="J2225">
        <v>1</v>
      </c>
      <c r="N2225">
        <v>1</v>
      </c>
      <c r="O2225">
        <v>1</v>
      </c>
      <c r="P2225">
        <v>1</v>
      </c>
      <c r="Q2225">
        <v>1</v>
      </c>
      <c r="R2225">
        <v>1</v>
      </c>
      <c r="S2225">
        <v>1</v>
      </c>
      <c r="T2225">
        <v>1</v>
      </c>
      <c r="W2225">
        <v>1</v>
      </c>
      <c r="X2225">
        <v>1</v>
      </c>
      <c r="Y2225">
        <v>1</v>
      </c>
      <c r="Z2225">
        <v>1</v>
      </c>
      <c r="AA2225">
        <v>1</v>
      </c>
      <c r="AB2225">
        <v>1</v>
      </c>
    </row>
    <row r="2226" spans="1:28" x14ac:dyDescent="0.25">
      <c r="A2226" t="str">
        <f>"2222"</f>
        <v>2222</v>
      </c>
      <c r="B2226" t="str">
        <f t="shared" si="127"/>
        <v>1</v>
      </c>
      <c r="C2226" t="str">
        <f t="shared" si="128"/>
        <v>98</v>
      </c>
      <c r="D2226" t="str">
        <f>"2"</f>
        <v>2</v>
      </c>
      <c r="E2226" t="str">
        <f>"1-98-2"</f>
        <v>1-98-2</v>
      </c>
      <c r="F2226" t="s">
        <v>83</v>
      </c>
      <c r="G2226" t="s">
        <v>84</v>
      </c>
      <c r="H2226" t="s">
        <v>92</v>
      </c>
      <c r="I2226">
        <v>1</v>
      </c>
      <c r="J2226">
        <v>1</v>
      </c>
      <c r="N2226">
        <v>1</v>
      </c>
      <c r="O2226">
        <v>1</v>
      </c>
      <c r="P2226">
        <v>1</v>
      </c>
      <c r="Q2226">
        <v>1</v>
      </c>
      <c r="R2226">
        <v>1</v>
      </c>
      <c r="S2226">
        <v>1</v>
      </c>
      <c r="T2226">
        <v>1</v>
      </c>
      <c r="W2226">
        <v>1</v>
      </c>
      <c r="X2226">
        <v>1</v>
      </c>
      <c r="Y2226">
        <v>1</v>
      </c>
      <c r="Z2226">
        <v>1</v>
      </c>
      <c r="AA2226">
        <v>1</v>
      </c>
      <c r="AB2226">
        <v>1</v>
      </c>
    </row>
    <row r="2227" spans="1:28" x14ac:dyDescent="0.25">
      <c r="A2227" t="str">
        <f>"2223"</f>
        <v>2223</v>
      </c>
      <c r="B2227" t="str">
        <f t="shared" si="127"/>
        <v>1</v>
      </c>
      <c r="C2227" t="str">
        <f t="shared" si="128"/>
        <v>98</v>
      </c>
      <c r="D2227" t="str">
        <f>"20"</f>
        <v>20</v>
      </c>
      <c r="E2227" t="str">
        <f>"1-98-20"</f>
        <v>1-98-20</v>
      </c>
      <c r="F2227" t="s">
        <v>83</v>
      </c>
      <c r="G2227" t="s">
        <v>84</v>
      </c>
      <c r="H2227" t="s">
        <v>92</v>
      </c>
      <c r="I2227">
        <v>1</v>
      </c>
      <c r="J2227">
        <v>1</v>
      </c>
      <c r="N2227">
        <v>1</v>
      </c>
      <c r="O2227">
        <v>1</v>
      </c>
      <c r="P2227">
        <v>1</v>
      </c>
      <c r="Q2227">
        <v>1</v>
      </c>
      <c r="R2227">
        <v>1</v>
      </c>
      <c r="S2227">
        <v>1</v>
      </c>
      <c r="T2227">
        <v>1</v>
      </c>
      <c r="W2227">
        <v>1</v>
      </c>
      <c r="X2227">
        <v>1</v>
      </c>
      <c r="Y2227">
        <v>1</v>
      </c>
      <c r="Z2227">
        <v>1</v>
      </c>
      <c r="AA2227">
        <v>1</v>
      </c>
      <c r="AB2227">
        <v>1</v>
      </c>
    </row>
    <row r="2228" spans="1:28" x14ac:dyDescent="0.25">
      <c r="A2228" t="str">
        <f>"2224"</f>
        <v>2224</v>
      </c>
      <c r="B2228" t="str">
        <f t="shared" si="127"/>
        <v>1</v>
      </c>
      <c r="C2228" t="str">
        <f t="shared" si="128"/>
        <v>98</v>
      </c>
      <c r="D2228" t="str">
        <f>"13"</f>
        <v>13</v>
      </c>
      <c r="E2228" t="str">
        <f>"1-98-13"</f>
        <v>1-98-13</v>
      </c>
      <c r="F2228" t="s">
        <v>83</v>
      </c>
      <c r="G2228" t="s">
        <v>84</v>
      </c>
      <c r="H2228" t="s">
        <v>92</v>
      </c>
      <c r="I2228">
        <v>1</v>
      </c>
      <c r="J2228">
        <v>1</v>
      </c>
      <c r="N2228">
        <v>1</v>
      </c>
      <c r="O2228">
        <v>1</v>
      </c>
      <c r="P2228">
        <v>1</v>
      </c>
      <c r="Q2228">
        <v>1</v>
      </c>
      <c r="R2228">
        <v>1</v>
      </c>
      <c r="S2228">
        <v>1</v>
      </c>
      <c r="T2228">
        <v>1</v>
      </c>
      <c r="W2228">
        <v>1</v>
      </c>
      <c r="X2228">
        <v>1</v>
      </c>
      <c r="Y2228">
        <v>1</v>
      </c>
      <c r="Z2228">
        <v>1</v>
      </c>
      <c r="AA2228">
        <v>1</v>
      </c>
      <c r="AB2228">
        <v>1</v>
      </c>
    </row>
    <row r="2229" spans="1:28" x14ac:dyDescent="0.25">
      <c r="A2229" t="str">
        <f>"2225"</f>
        <v>2225</v>
      </c>
      <c r="B2229" t="str">
        <f t="shared" si="127"/>
        <v>1</v>
      </c>
      <c r="C2229" t="str">
        <f t="shared" si="128"/>
        <v>98</v>
      </c>
      <c r="D2229" t="str">
        <f>"6"</f>
        <v>6</v>
      </c>
      <c r="E2229" t="str">
        <f>"1-98-6"</f>
        <v>1-98-6</v>
      </c>
      <c r="F2229" t="s">
        <v>83</v>
      </c>
      <c r="G2229" t="s">
        <v>84</v>
      </c>
      <c r="H2229" t="s">
        <v>92</v>
      </c>
      <c r="I2229">
        <v>1</v>
      </c>
      <c r="J2229">
        <v>1</v>
      </c>
      <c r="N2229">
        <v>1</v>
      </c>
      <c r="O2229">
        <v>1</v>
      </c>
      <c r="P2229">
        <v>1</v>
      </c>
      <c r="Q2229">
        <v>1</v>
      </c>
      <c r="R2229">
        <v>1</v>
      </c>
      <c r="S2229">
        <v>1</v>
      </c>
      <c r="T2229">
        <v>1</v>
      </c>
      <c r="W2229">
        <v>1</v>
      </c>
      <c r="X2229">
        <v>1</v>
      </c>
      <c r="Y2229">
        <v>1</v>
      </c>
      <c r="Z2229">
        <v>1</v>
      </c>
      <c r="AA2229">
        <v>1</v>
      </c>
      <c r="AB2229">
        <v>1</v>
      </c>
    </row>
    <row r="2230" spans="1:28" x14ac:dyDescent="0.25">
      <c r="A2230" t="str">
        <f>"2226"</f>
        <v>2226</v>
      </c>
      <c r="B2230" t="str">
        <f t="shared" si="127"/>
        <v>1</v>
      </c>
      <c r="C2230" t="str">
        <f t="shared" si="128"/>
        <v>98</v>
      </c>
      <c r="D2230" t="str">
        <f>"21"</f>
        <v>21</v>
      </c>
      <c r="E2230" t="str">
        <f>"1-98-21"</f>
        <v>1-98-21</v>
      </c>
      <c r="F2230" t="s">
        <v>83</v>
      </c>
      <c r="G2230" t="s">
        <v>84</v>
      </c>
      <c r="H2230" t="s">
        <v>92</v>
      </c>
      <c r="I2230">
        <v>1</v>
      </c>
      <c r="J2230">
        <v>1</v>
      </c>
      <c r="N2230">
        <v>1</v>
      </c>
      <c r="O2230">
        <v>1</v>
      </c>
      <c r="P2230">
        <v>1</v>
      </c>
      <c r="Q2230">
        <v>1</v>
      </c>
      <c r="R2230">
        <v>1</v>
      </c>
      <c r="S2230">
        <v>1</v>
      </c>
      <c r="T2230">
        <v>1</v>
      </c>
      <c r="W2230">
        <v>1</v>
      </c>
      <c r="X2230">
        <v>1</v>
      </c>
      <c r="Y2230">
        <v>1</v>
      </c>
      <c r="Z2230">
        <v>1</v>
      </c>
      <c r="AA2230">
        <v>1</v>
      </c>
      <c r="AB2230">
        <v>1</v>
      </c>
    </row>
    <row r="2231" spans="1:28" x14ac:dyDescent="0.25">
      <c r="A2231" t="str">
        <f>"2227"</f>
        <v>2227</v>
      </c>
      <c r="B2231" t="str">
        <f t="shared" si="127"/>
        <v>1</v>
      </c>
      <c r="C2231" t="str">
        <f t="shared" si="128"/>
        <v>98</v>
      </c>
      <c r="D2231" t="str">
        <f>"14"</f>
        <v>14</v>
      </c>
      <c r="E2231" t="str">
        <f>"1-98-14"</f>
        <v>1-98-14</v>
      </c>
      <c r="F2231" t="s">
        <v>83</v>
      </c>
      <c r="G2231" t="s">
        <v>84</v>
      </c>
      <c r="H2231" t="s">
        <v>92</v>
      </c>
      <c r="I2231">
        <v>1</v>
      </c>
      <c r="J2231">
        <v>1</v>
      </c>
      <c r="N2231">
        <v>1</v>
      </c>
      <c r="O2231">
        <v>1</v>
      </c>
      <c r="P2231">
        <v>1</v>
      </c>
      <c r="Q2231">
        <v>1</v>
      </c>
      <c r="R2231">
        <v>1</v>
      </c>
      <c r="S2231">
        <v>1</v>
      </c>
      <c r="T2231">
        <v>1</v>
      </c>
      <c r="W2231">
        <v>1</v>
      </c>
      <c r="X2231">
        <v>1</v>
      </c>
      <c r="Y2231">
        <v>1</v>
      </c>
      <c r="Z2231">
        <v>1</v>
      </c>
      <c r="AA2231">
        <v>1</v>
      </c>
      <c r="AB2231">
        <v>1</v>
      </c>
    </row>
    <row r="2232" spans="1:28" x14ac:dyDescent="0.25">
      <c r="A2232" t="str">
        <f>"2228"</f>
        <v>2228</v>
      </c>
      <c r="B2232" t="str">
        <f t="shared" si="127"/>
        <v>1</v>
      </c>
      <c r="C2232" t="str">
        <f t="shared" si="128"/>
        <v>98</v>
      </c>
      <c r="D2232" t="str">
        <f>"4"</f>
        <v>4</v>
      </c>
      <c r="E2232" t="str">
        <f>"1-98-4"</f>
        <v>1-98-4</v>
      </c>
      <c r="F2232" t="s">
        <v>83</v>
      </c>
      <c r="G2232" t="s">
        <v>86</v>
      </c>
      <c r="H2232" t="s">
        <v>93</v>
      </c>
      <c r="I2232">
        <v>1</v>
      </c>
      <c r="K2232">
        <v>0</v>
      </c>
      <c r="L2232">
        <v>0</v>
      </c>
      <c r="M2232">
        <v>1</v>
      </c>
      <c r="N2232">
        <v>1</v>
      </c>
      <c r="O2232">
        <v>1</v>
      </c>
      <c r="P2232">
        <v>1</v>
      </c>
      <c r="Q2232">
        <v>0</v>
      </c>
      <c r="R2232">
        <v>0</v>
      </c>
      <c r="U2232">
        <v>0</v>
      </c>
      <c r="V2232">
        <v>0</v>
      </c>
      <c r="W2232">
        <v>1</v>
      </c>
      <c r="X2232">
        <v>1</v>
      </c>
      <c r="Y2232">
        <v>1</v>
      </c>
      <c r="Z2232">
        <v>0</v>
      </c>
      <c r="AA2232">
        <v>0</v>
      </c>
      <c r="AB2232">
        <v>0</v>
      </c>
    </row>
    <row r="2233" spans="1:28" x14ac:dyDescent="0.25">
      <c r="A2233" t="str">
        <f>"2229"</f>
        <v>2229</v>
      </c>
      <c r="B2233" t="str">
        <f t="shared" si="127"/>
        <v>1</v>
      </c>
      <c r="C2233" t="str">
        <f t="shared" ref="C2233:C2257" si="129">"99"</f>
        <v>99</v>
      </c>
      <c r="D2233" t="str">
        <f>"25"</f>
        <v>25</v>
      </c>
      <c r="E2233" t="str">
        <f>"1-99-25"</f>
        <v>1-99-25</v>
      </c>
      <c r="F2233" t="s">
        <v>83</v>
      </c>
      <c r="G2233" t="s">
        <v>84</v>
      </c>
      <c r="H2233" t="s">
        <v>92</v>
      </c>
      <c r="I2233">
        <v>1</v>
      </c>
      <c r="J2233">
        <v>1</v>
      </c>
      <c r="N2233">
        <v>1</v>
      </c>
      <c r="O2233">
        <v>1</v>
      </c>
      <c r="P2233">
        <v>1</v>
      </c>
      <c r="Q2233">
        <v>1</v>
      </c>
      <c r="R2233">
        <v>1</v>
      </c>
      <c r="S2233">
        <v>1</v>
      </c>
      <c r="T2233">
        <v>1</v>
      </c>
      <c r="W2233">
        <v>1</v>
      </c>
      <c r="X2233">
        <v>1</v>
      </c>
      <c r="Y2233">
        <v>1</v>
      </c>
      <c r="Z2233">
        <v>1</v>
      </c>
      <c r="AA2233">
        <v>1</v>
      </c>
      <c r="AB2233">
        <v>1</v>
      </c>
    </row>
    <row r="2234" spans="1:28" x14ac:dyDescent="0.25">
      <c r="A2234" t="str">
        <f>"2230"</f>
        <v>2230</v>
      </c>
      <c r="B2234" t="str">
        <f t="shared" si="127"/>
        <v>1</v>
      </c>
      <c r="C2234" t="str">
        <f t="shared" si="129"/>
        <v>99</v>
      </c>
      <c r="D2234" t="str">
        <f>"24"</f>
        <v>24</v>
      </c>
      <c r="E2234" t="str">
        <f>"1-99-24"</f>
        <v>1-99-24</v>
      </c>
      <c r="F2234" t="s">
        <v>83</v>
      </c>
      <c r="G2234" t="s">
        <v>84</v>
      </c>
      <c r="H2234" t="s">
        <v>92</v>
      </c>
      <c r="I2234">
        <v>1</v>
      </c>
      <c r="J2234">
        <v>1</v>
      </c>
      <c r="N2234">
        <v>1</v>
      </c>
      <c r="O2234">
        <v>1</v>
      </c>
      <c r="P2234">
        <v>1</v>
      </c>
      <c r="Q2234">
        <v>1</v>
      </c>
      <c r="R2234">
        <v>1</v>
      </c>
      <c r="S2234">
        <v>1</v>
      </c>
      <c r="T2234">
        <v>1</v>
      </c>
      <c r="W2234">
        <v>1</v>
      </c>
      <c r="X2234">
        <v>1</v>
      </c>
      <c r="Y2234">
        <v>1</v>
      </c>
      <c r="Z2234">
        <v>1</v>
      </c>
      <c r="AA2234">
        <v>1</v>
      </c>
      <c r="AB2234">
        <v>1</v>
      </c>
    </row>
    <row r="2235" spans="1:28" x14ac:dyDescent="0.25">
      <c r="A2235" t="str">
        <f>"2231"</f>
        <v>2231</v>
      </c>
      <c r="B2235" t="str">
        <f t="shared" si="127"/>
        <v>1</v>
      </c>
      <c r="C2235" t="str">
        <f t="shared" si="129"/>
        <v>99</v>
      </c>
      <c r="D2235" t="str">
        <f>"16"</f>
        <v>16</v>
      </c>
      <c r="E2235" t="str">
        <f>"1-99-16"</f>
        <v>1-99-16</v>
      </c>
      <c r="F2235" t="s">
        <v>83</v>
      </c>
      <c r="G2235" t="s">
        <v>84</v>
      </c>
      <c r="H2235" t="s">
        <v>92</v>
      </c>
      <c r="I2235">
        <v>1</v>
      </c>
      <c r="J2235">
        <v>1</v>
      </c>
      <c r="N2235">
        <v>1</v>
      </c>
      <c r="O2235">
        <v>1</v>
      </c>
      <c r="P2235">
        <v>1</v>
      </c>
      <c r="Q2235">
        <v>1</v>
      </c>
      <c r="R2235">
        <v>1</v>
      </c>
      <c r="S2235">
        <v>1</v>
      </c>
      <c r="T2235">
        <v>1</v>
      </c>
      <c r="W2235">
        <v>1</v>
      </c>
      <c r="X2235">
        <v>1</v>
      </c>
      <c r="Y2235">
        <v>1</v>
      </c>
      <c r="Z2235">
        <v>1</v>
      </c>
      <c r="AA2235">
        <v>1</v>
      </c>
      <c r="AB2235">
        <v>1</v>
      </c>
    </row>
    <row r="2236" spans="1:28" x14ac:dyDescent="0.25">
      <c r="A2236" t="str">
        <f>"2232"</f>
        <v>2232</v>
      </c>
      <c r="B2236" t="str">
        <f t="shared" si="127"/>
        <v>1</v>
      </c>
      <c r="C2236" t="str">
        <f t="shared" si="129"/>
        <v>99</v>
      </c>
      <c r="D2236" t="str">
        <f>"8"</f>
        <v>8</v>
      </c>
      <c r="E2236" t="str">
        <f>"1-99-8"</f>
        <v>1-99-8</v>
      </c>
      <c r="F2236" t="s">
        <v>83</v>
      </c>
      <c r="G2236" t="s">
        <v>84</v>
      </c>
      <c r="H2236" t="s">
        <v>92</v>
      </c>
      <c r="I2236">
        <v>1</v>
      </c>
      <c r="J2236">
        <v>1</v>
      </c>
      <c r="N2236">
        <v>1</v>
      </c>
      <c r="O2236">
        <v>1</v>
      </c>
      <c r="P2236">
        <v>1</v>
      </c>
      <c r="Q2236">
        <v>1</v>
      </c>
      <c r="R2236">
        <v>1</v>
      </c>
      <c r="S2236">
        <v>1</v>
      </c>
      <c r="T2236">
        <v>1</v>
      </c>
      <c r="W2236">
        <v>1</v>
      </c>
      <c r="X2236">
        <v>1</v>
      </c>
      <c r="Y2236">
        <v>1</v>
      </c>
      <c r="Z2236">
        <v>1</v>
      </c>
      <c r="AA2236">
        <v>1</v>
      </c>
      <c r="AB2236">
        <v>1</v>
      </c>
    </row>
    <row r="2237" spans="1:28" x14ac:dyDescent="0.25">
      <c r="A2237" t="str">
        <f>"2233"</f>
        <v>2233</v>
      </c>
      <c r="B2237" t="str">
        <f t="shared" si="127"/>
        <v>1</v>
      </c>
      <c r="C2237" t="str">
        <f t="shared" si="129"/>
        <v>99</v>
      </c>
      <c r="D2237" t="str">
        <f>"6"</f>
        <v>6</v>
      </c>
      <c r="E2237" t="str">
        <f>"1-99-6"</f>
        <v>1-99-6</v>
      </c>
      <c r="F2237" t="s">
        <v>83</v>
      </c>
      <c r="G2237" t="s">
        <v>84</v>
      </c>
      <c r="H2237" t="s">
        <v>92</v>
      </c>
      <c r="I2237">
        <v>1</v>
      </c>
      <c r="J2237">
        <v>1</v>
      </c>
      <c r="N2237">
        <v>1</v>
      </c>
      <c r="O2237">
        <v>1</v>
      </c>
      <c r="P2237">
        <v>1</v>
      </c>
      <c r="Q2237">
        <v>1</v>
      </c>
      <c r="R2237">
        <v>1</v>
      </c>
      <c r="S2237">
        <v>1</v>
      </c>
      <c r="T2237">
        <v>1</v>
      </c>
      <c r="W2237">
        <v>1</v>
      </c>
      <c r="X2237">
        <v>1</v>
      </c>
      <c r="Y2237">
        <v>1</v>
      </c>
      <c r="Z2237">
        <v>1</v>
      </c>
      <c r="AA2237">
        <v>1</v>
      </c>
      <c r="AB2237">
        <v>1</v>
      </c>
    </row>
    <row r="2238" spans="1:28" x14ac:dyDescent="0.25">
      <c r="A2238" t="str">
        <f>"2234"</f>
        <v>2234</v>
      </c>
      <c r="B2238" t="str">
        <f t="shared" si="127"/>
        <v>1</v>
      </c>
      <c r="C2238" t="str">
        <f t="shared" si="129"/>
        <v>99</v>
      </c>
      <c r="D2238" t="str">
        <f>"23"</f>
        <v>23</v>
      </c>
      <c r="E2238" t="str">
        <f>"1-99-23"</f>
        <v>1-99-23</v>
      </c>
      <c r="F2238" t="s">
        <v>83</v>
      </c>
      <c r="G2238" t="s">
        <v>84</v>
      </c>
      <c r="H2238" t="s">
        <v>92</v>
      </c>
      <c r="I2238">
        <v>1</v>
      </c>
      <c r="J2238">
        <v>1</v>
      </c>
      <c r="N2238">
        <v>1</v>
      </c>
      <c r="O2238">
        <v>1</v>
      </c>
      <c r="P2238">
        <v>1</v>
      </c>
      <c r="Q2238">
        <v>1</v>
      </c>
      <c r="R2238">
        <v>0</v>
      </c>
      <c r="S2238">
        <v>1</v>
      </c>
      <c r="T2238">
        <v>1</v>
      </c>
      <c r="W2238">
        <v>0</v>
      </c>
      <c r="X2238">
        <v>1</v>
      </c>
      <c r="Y2238">
        <v>1</v>
      </c>
      <c r="Z2238">
        <v>1</v>
      </c>
      <c r="AA2238">
        <v>1</v>
      </c>
      <c r="AB2238">
        <v>1</v>
      </c>
    </row>
    <row r="2239" spans="1:28" x14ac:dyDescent="0.25">
      <c r="A2239" t="str">
        <f>"2235"</f>
        <v>2235</v>
      </c>
      <c r="B2239" t="str">
        <f t="shared" si="127"/>
        <v>1</v>
      </c>
      <c r="C2239" t="str">
        <f t="shared" si="129"/>
        <v>99</v>
      </c>
      <c r="D2239" t="str">
        <f>"22"</f>
        <v>22</v>
      </c>
      <c r="E2239" t="str">
        <f>"1-99-22"</f>
        <v>1-99-22</v>
      </c>
      <c r="F2239" t="s">
        <v>83</v>
      </c>
      <c r="G2239" t="s">
        <v>84</v>
      </c>
      <c r="H2239" t="s">
        <v>92</v>
      </c>
      <c r="I2239">
        <v>1</v>
      </c>
      <c r="J2239">
        <v>1</v>
      </c>
      <c r="N2239">
        <v>1</v>
      </c>
      <c r="O2239">
        <v>1</v>
      </c>
      <c r="P2239">
        <v>1</v>
      </c>
      <c r="Q2239">
        <v>1</v>
      </c>
      <c r="R2239">
        <v>1</v>
      </c>
      <c r="S2239">
        <v>1</v>
      </c>
      <c r="T2239">
        <v>1</v>
      </c>
      <c r="W2239">
        <v>1</v>
      </c>
      <c r="X2239">
        <v>1</v>
      </c>
      <c r="Y2239">
        <v>1</v>
      </c>
      <c r="Z2239">
        <v>1</v>
      </c>
      <c r="AA2239">
        <v>1</v>
      </c>
      <c r="AB2239">
        <v>1</v>
      </c>
    </row>
    <row r="2240" spans="1:28" x14ac:dyDescent="0.25">
      <c r="A2240" t="str">
        <f>"2236"</f>
        <v>2236</v>
      </c>
      <c r="B2240" t="str">
        <f t="shared" si="127"/>
        <v>1</v>
      </c>
      <c r="C2240" t="str">
        <f t="shared" si="129"/>
        <v>99</v>
      </c>
      <c r="D2240" t="str">
        <f>"15"</f>
        <v>15</v>
      </c>
      <c r="E2240" t="str">
        <f>"1-99-15"</f>
        <v>1-99-15</v>
      </c>
      <c r="F2240" t="s">
        <v>83</v>
      </c>
      <c r="G2240" t="s">
        <v>84</v>
      </c>
      <c r="H2240" t="s">
        <v>92</v>
      </c>
      <c r="I2240">
        <v>1</v>
      </c>
      <c r="J2240">
        <v>1</v>
      </c>
      <c r="N2240">
        <v>1</v>
      </c>
      <c r="O2240">
        <v>1</v>
      </c>
      <c r="P2240">
        <v>1</v>
      </c>
      <c r="Q2240">
        <v>1</v>
      </c>
      <c r="R2240">
        <v>1</v>
      </c>
      <c r="S2240">
        <v>1</v>
      </c>
      <c r="T2240">
        <v>1</v>
      </c>
      <c r="W2240">
        <v>1</v>
      </c>
      <c r="X2240">
        <v>1</v>
      </c>
      <c r="Y2240">
        <v>1</v>
      </c>
      <c r="Z2240">
        <v>1</v>
      </c>
      <c r="AA2240">
        <v>1</v>
      </c>
      <c r="AB2240">
        <v>1</v>
      </c>
    </row>
    <row r="2241" spans="1:28" x14ac:dyDescent="0.25">
      <c r="A2241" t="str">
        <f>"2237"</f>
        <v>2237</v>
      </c>
      <c r="B2241" t="str">
        <f t="shared" si="127"/>
        <v>1</v>
      </c>
      <c r="C2241" t="str">
        <f t="shared" si="129"/>
        <v>99</v>
      </c>
      <c r="D2241" t="str">
        <f>"9"</f>
        <v>9</v>
      </c>
      <c r="E2241" t="str">
        <f>"1-99-9"</f>
        <v>1-99-9</v>
      </c>
      <c r="F2241" t="s">
        <v>83</v>
      </c>
      <c r="G2241" t="s">
        <v>84</v>
      </c>
      <c r="H2241" t="s">
        <v>92</v>
      </c>
      <c r="I2241">
        <v>1</v>
      </c>
      <c r="J2241">
        <v>1</v>
      </c>
      <c r="N2241">
        <v>1</v>
      </c>
      <c r="O2241">
        <v>1</v>
      </c>
      <c r="P2241">
        <v>1</v>
      </c>
      <c r="Q2241">
        <v>1</v>
      </c>
      <c r="R2241">
        <v>1</v>
      </c>
      <c r="S2241">
        <v>1</v>
      </c>
      <c r="T2241">
        <v>1</v>
      </c>
      <c r="W2241">
        <v>1</v>
      </c>
      <c r="X2241">
        <v>1</v>
      </c>
      <c r="Y2241">
        <v>1</v>
      </c>
      <c r="Z2241">
        <v>1</v>
      </c>
      <c r="AA2241">
        <v>1</v>
      </c>
      <c r="AB2241">
        <v>1</v>
      </c>
    </row>
    <row r="2242" spans="1:28" x14ac:dyDescent="0.25">
      <c r="A2242" t="str">
        <f>"2238"</f>
        <v>2238</v>
      </c>
      <c r="B2242" t="str">
        <f t="shared" si="127"/>
        <v>1</v>
      </c>
      <c r="C2242" t="str">
        <f t="shared" si="129"/>
        <v>99</v>
      </c>
      <c r="D2242" t="str">
        <f>"3"</f>
        <v>3</v>
      </c>
      <c r="E2242" t="str">
        <f>"1-99-3"</f>
        <v>1-99-3</v>
      </c>
      <c r="F2242" t="s">
        <v>83</v>
      </c>
      <c r="G2242" t="s">
        <v>90</v>
      </c>
      <c r="H2242" t="s">
        <v>94</v>
      </c>
      <c r="I2242">
        <v>1</v>
      </c>
      <c r="K2242">
        <v>0</v>
      </c>
      <c r="L2242">
        <v>0</v>
      </c>
      <c r="M2242">
        <v>1</v>
      </c>
      <c r="N2242">
        <v>1</v>
      </c>
      <c r="O2242">
        <v>1</v>
      </c>
      <c r="P2242">
        <v>1</v>
      </c>
      <c r="Q2242">
        <v>1</v>
      </c>
      <c r="R2242">
        <v>1</v>
      </c>
      <c r="S2242">
        <v>1</v>
      </c>
      <c r="U2242">
        <v>0</v>
      </c>
      <c r="V2242">
        <v>1</v>
      </c>
      <c r="W2242">
        <v>1</v>
      </c>
      <c r="X2242">
        <v>1</v>
      </c>
      <c r="Y2242">
        <v>1</v>
      </c>
      <c r="Z2242">
        <v>1</v>
      </c>
      <c r="AA2242">
        <v>1</v>
      </c>
      <c r="AB2242">
        <v>1</v>
      </c>
    </row>
    <row r="2243" spans="1:28" x14ac:dyDescent="0.25">
      <c r="A2243" t="str">
        <f>"2239"</f>
        <v>2239</v>
      </c>
      <c r="B2243" t="str">
        <f t="shared" si="127"/>
        <v>1</v>
      </c>
      <c r="C2243" t="str">
        <f t="shared" si="129"/>
        <v>99</v>
      </c>
      <c r="D2243" t="str">
        <f>"19"</f>
        <v>19</v>
      </c>
      <c r="E2243" t="str">
        <f>"1-99-19"</f>
        <v>1-99-19</v>
      </c>
      <c r="F2243" t="s">
        <v>83</v>
      </c>
      <c r="G2243" t="s">
        <v>84</v>
      </c>
      <c r="H2243" t="s">
        <v>92</v>
      </c>
      <c r="I2243">
        <v>1</v>
      </c>
      <c r="J2243">
        <v>1</v>
      </c>
      <c r="N2243">
        <v>1</v>
      </c>
      <c r="O2243">
        <v>1</v>
      </c>
      <c r="P2243">
        <v>1</v>
      </c>
      <c r="Q2243">
        <v>1</v>
      </c>
      <c r="R2243">
        <v>1</v>
      </c>
      <c r="S2243">
        <v>1</v>
      </c>
      <c r="T2243">
        <v>1</v>
      </c>
      <c r="W2243">
        <v>1</v>
      </c>
      <c r="X2243">
        <v>1</v>
      </c>
      <c r="Y2243">
        <v>1</v>
      </c>
      <c r="Z2243">
        <v>1</v>
      </c>
      <c r="AA2243">
        <v>1</v>
      </c>
      <c r="AB2243">
        <v>1</v>
      </c>
    </row>
    <row r="2244" spans="1:28" x14ac:dyDescent="0.25">
      <c r="A2244" t="str">
        <f>"2240"</f>
        <v>2240</v>
      </c>
      <c r="B2244" t="str">
        <f t="shared" si="127"/>
        <v>1</v>
      </c>
      <c r="C2244" t="str">
        <f t="shared" si="129"/>
        <v>99</v>
      </c>
      <c r="D2244" t="str">
        <f>"10"</f>
        <v>10</v>
      </c>
      <c r="E2244" t="str">
        <f>"1-99-10"</f>
        <v>1-99-10</v>
      </c>
      <c r="F2244" t="s">
        <v>83</v>
      </c>
      <c r="G2244" t="s">
        <v>84</v>
      </c>
      <c r="H2244" t="s">
        <v>92</v>
      </c>
      <c r="I2244">
        <v>1</v>
      </c>
      <c r="J2244">
        <v>1</v>
      </c>
      <c r="N2244">
        <v>1</v>
      </c>
      <c r="O2244">
        <v>1</v>
      </c>
      <c r="P2244">
        <v>1</v>
      </c>
      <c r="Q2244">
        <v>1</v>
      </c>
      <c r="R2244">
        <v>1</v>
      </c>
      <c r="S2244">
        <v>1</v>
      </c>
      <c r="T2244">
        <v>1</v>
      </c>
      <c r="W2244">
        <v>1</v>
      </c>
      <c r="X2244">
        <v>1</v>
      </c>
      <c r="Y2244">
        <v>1</v>
      </c>
      <c r="Z2244">
        <v>1</v>
      </c>
      <c r="AA2244">
        <v>1</v>
      </c>
      <c r="AB2244">
        <v>1</v>
      </c>
    </row>
    <row r="2245" spans="1:28" x14ac:dyDescent="0.25">
      <c r="A2245" t="str">
        <f>"2241"</f>
        <v>2241</v>
      </c>
      <c r="B2245" t="str">
        <f t="shared" si="127"/>
        <v>1</v>
      </c>
      <c r="C2245" t="str">
        <f t="shared" si="129"/>
        <v>99</v>
      </c>
      <c r="D2245" t="str">
        <f>"1"</f>
        <v>1</v>
      </c>
      <c r="E2245" t="str">
        <f>"1-99-1"</f>
        <v>1-99-1</v>
      </c>
      <c r="F2245" t="s">
        <v>83</v>
      </c>
      <c r="G2245" t="s">
        <v>84</v>
      </c>
      <c r="H2245" t="s">
        <v>92</v>
      </c>
      <c r="I2245">
        <v>1</v>
      </c>
      <c r="J2245">
        <v>1</v>
      </c>
      <c r="N2245">
        <v>1</v>
      </c>
      <c r="O2245">
        <v>1</v>
      </c>
      <c r="P2245">
        <v>1</v>
      </c>
      <c r="Q2245">
        <v>1</v>
      </c>
      <c r="R2245">
        <v>1</v>
      </c>
      <c r="S2245">
        <v>1</v>
      </c>
      <c r="T2245">
        <v>1</v>
      </c>
      <c r="W2245">
        <v>1</v>
      </c>
      <c r="X2245">
        <v>1</v>
      </c>
      <c r="Y2245">
        <v>1</v>
      </c>
      <c r="Z2245">
        <v>1</v>
      </c>
      <c r="AA2245">
        <v>1</v>
      </c>
      <c r="AB2245">
        <v>1</v>
      </c>
    </row>
    <row r="2246" spans="1:28" x14ac:dyDescent="0.25">
      <c r="A2246" t="str">
        <f>"2242"</f>
        <v>2242</v>
      </c>
      <c r="B2246" t="str">
        <f t="shared" si="127"/>
        <v>1</v>
      </c>
      <c r="C2246" t="str">
        <f t="shared" si="129"/>
        <v>99</v>
      </c>
      <c r="D2246" t="str">
        <f>"17"</f>
        <v>17</v>
      </c>
      <c r="E2246" t="str">
        <f>"1-99-17"</f>
        <v>1-99-17</v>
      </c>
      <c r="F2246" t="s">
        <v>83</v>
      </c>
      <c r="G2246" t="s">
        <v>84</v>
      </c>
      <c r="H2246" t="s">
        <v>92</v>
      </c>
      <c r="I2246">
        <v>1</v>
      </c>
      <c r="J2246">
        <v>1</v>
      </c>
      <c r="N2246">
        <v>1</v>
      </c>
      <c r="O2246">
        <v>1</v>
      </c>
      <c r="P2246">
        <v>1</v>
      </c>
      <c r="Q2246">
        <v>1</v>
      </c>
      <c r="R2246">
        <v>1</v>
      </c>
      <c r="S2246">
        <v>1</v>
      </c>
      <c r="T2246">
        <v>1</v>
      </c>
      <c r="W2246">
        <v>1</v>
      </c>
      <c r="X2246">
        <v>1</v>
      </c>
      <c r="Y2246">
        <v>1</v>
      </c>
      <c r="Z2246">
        <v>1</v>
      </c>
      <c r="AA2246">
        <v>1</v>
      </c>
      <c r="AB2246">
        <v>1</v>
      </c>
    </row>
    <row r="2247" spans="1:28" x14ac:dyDescent="0.25">
      <c r="A2247" t="str">
        <f>"2243"</f>
        <v>2243</v>
      </c>
      <c r="B2247" t="str">
        <f t="shared" si="127"/>
        <v>1</v>
      </c>
      <c r="C2247" t="str">
        <f t="shared" si="129"/>
        <v>99</v>
      </c>
      <c r="D2247" t="str">
        <f>"11"</f>
        <v>11</v>
      </c>
      <c r="E2247" t="str">
        <f>"1-99-11"</f>
        <v>1-99-11</v>
      </c>
      <c r="F2247" t="s">
        <v>83</v>
      </c>
      <c r="G2247" t="s">
        <v>84</v>
      </c>
      <c r="H2247" t="s">
        <v>92</v>
      </c>
      <c r="I2247">
        <v>1</v>
      </c>
      <c r="J2247">
        <v>1</v>
      </c>
      <c r="N2247">
        <v>1</v>
      </c>
      <c r="O2247">
        <v>1</v>
      </c>
      <c r="P2247">
        <v>1</v>
      </c>
      <c r="Q2247">
        <v>1</v>
      </c>
      <c r="R2247">
        <v>1</v>
      </c>
      <c r="S2247">
        <v>1</v>
      </c>
      <c r="T2247">
        <v>1</v>
      </c>
      <c r="W2247">
        <v>1</v>
      </c>
      <c r="X2247">
        <v>1</v>
      </c>
      <c r="Y2247">
        <v>1</v>
      </c>
      <c r="Z2247">
        <v>1</v>
      </c>
      <c r="AA2247">
        <v>1</v>
      </c>
      <c r="AB2247">
        <v>1</v>
      </c>
    </row>
    <row r="2248" spans="1:28" x14ac:dyDescent="0.25">
      <c r="A2248" t="str">
        <f>"2244"</f>
        <v>2244</v>
      </c>
      <c r="B2248" t="str">
        <f t="shared" si="127"/>
        <v>1</v>
      </c>
      <c r="C2248" t="str">
        <f t="shared" si="129"/>
        <v>99</v>
      </c>
      <c r="D2248" t="str">
        <f>"7"</f>
        <v>7</v>
      </c>
      <c r="E2248" t="str">
        <f>"1-99-7"</f>
        <v>1-99-7</v>
      </c>
      <c r="F2248" t="s">
        <v>83</v>
      </c>
      <c r="G2248" t="s">
        <v>84</v>
      </c>
      <c r="H2248" t="s">
        <v>92</v>
      </c>
      <c r="I2248">
        <v>1</v>
      </c>
      <c r="J2248">
        <v>0</v>
      </c>
      <c r="N2248">
        <v>1</v>
      </c>
      <c r="O2248">
        <v>0</v>
      </c>
      <c r="P2248">
        <v>0</v>
      </c>
      <c r="Q2248">
        <v>0</v>
      </c>
      <c r="R2248">
        <v>0</v>
      </c>
      <c r="S2248">
        <v>0</v>
      </c>
      <c r="T2248">
        <v>0</v>
      </c>
      <c r="W2248">
        <v>0</v>
      </c>
      <c r="X2248">
        <v>1</v>
      </c>
      <c r="Y2248">
        <v>0</v>
      </c>
      <c r="Z2248">
        <v>1</v>
      </c>
      <c r="AA2248">
        <v>1</v>
      </c>
      <c r="AB2248">
        <v>0</v>
      </c>
    </row>
    <row r="2249" spans="1:28" x14ac:dyDescent="0.25">
      <c r="A2249" t="str">
        <f>"2245"</f>
        <v>2245</v>
      </c>
      <c r="B2249" t="str">
        <f t="shared" si="127"/>
        <v>1</v>
      </c>
      <c r="C2249" t="str">
        <f t="shared" si="129"/>
        <v>99</v>
      </c>
      <c r="D2249" t="str">
        <f>"18"</f>
        <v>18</v>
      </c>
      <c r="E2249" t="str">
        <f>"1-99-18"</f>
        <v>1-99-18</v>
      </c>
      <c r="F2249" t="s">
        <v>83</v>
      </c>
      <c r="G2249" t="s">
        <v>84</v>
      </c>
      <c r="H2249" t="s">
        <v>92</v>
      </c>
      <c r="I2249">
        <v>1</v>
      </c>
      <c r="J2249">
        <v>1</v>
      </c>
      <c r="N2249">
        <v>1</v>
      </c>
      <c r="O2249">
        <v>1</v>
      </c>
      <c r="P2249">
        <v>1</v>
      </c>
      <c r="Q2249">
        <v>1</v>
      </c>
      <c r="R2249">
        <v>1</v>
      </c>
      <c r="S2249">
        <v>1</v>
      </c>
      <c r="T2249">
        <v>1</v>
      </c>
      <c r="W2249">
        <v>1</v>
      </c>
      <c r="X2249">
        <v>1</v>
      </c>
      <c r="Y2249">
        <v>1</v>
      </c>
      <c r="Z2249">
        <v>1</v>
      </c>
      <c r="AA2249">
        <v>1</v>
      </c>
      <c r="AB2249">
        <v>1</v>
      </c>
    </row>
    <row r="2250" spans="1:28" x14ac:dyDescent="0.25">
      <c r="A2250" t="str">
        <f>"2246"</f>
        <v>2246</v>
      </c>
      <c r="B2250" t="str">
        <f t="shared" si="127"/>
        <v>1</v>
      </c>
      <c r="C2250" t="str">
        <f t="shared" si="129"/>
        <v>99</v>
      </c>
      <c r="D2250" t="str">
        <f>"12"</f>
        <v>12</v>
      </c>
      <c r="E2250" t="str">
        <f>"1-99-12"</f>
        <v>1-99-12</v>
      </c>
      <c r="F2250" t="s">
        <v>83</v>
      </c>
      <c r="G2250" t="s">
        <v>84</v>
      </c>
      <c r="H2250" t="s">
        <v>92</v>
      </c>
      <c r="I2250">
        <v>1</v>
      </c>
      <c r="J2250">
        <v>1</v>
      </c>
      <c r="N2250">
        <v>1</v>
      </c>
      <c r="O2250">
        <v>1</v>
      </c>
      <c r="P2250">
        <v>1</v>
      </c>
      <c r="Q2250">
        <v>1</v>
      </c>
      <c r="R2250">
        <v>1</v>
      </c>
      <c r="S2250">
        <v>1</v>
      </c>
      <c r="T2250">
        <v>1</v>
      </c>
      <c r="W2250">
        <v>1</v>
      </c>
      <c r="X2250">
        <v>1</v>
      </c>
      <c r="Y2250">
        <v>1</v>
      </c>
      <c r="Z2250">
        <v>1</v>
      </c>
      <c r="AA2250">
        <v>1</v>
      </c>
      <c r="AB2250">
        <v>1</v>
      </c>
    </row>
    <row r="2251" spans="1:28" x14ac:dyDescent="0.25">
      <c r="A2251" t="str">
        <f>"2247"</f>
        <v>2247</v>
      </c>
      <c r="B2251" t="str">
        <f t="shared" si="127"/>
        <v>1</v>
      </c>
      <c r="C2251" t="str">
        <f t="shared" si="129"/>
        <v>99</v>
      </c>
      <c r="D2251" t="str">
        <f>"2"</f>
        <v>2</v>
      </c>
      <c r="E2251" t="str">
        <f>"1-99-2"</f>
        <v>1-99-2</v>
      </c>
      <c r="F2251" t="s">
        <v>83</v>
      </c>
      <c r="G2251" t="s">
        <v>84</v>
      </c>
      <c r="H2251" t="s">
        <v>92</v>
      </c>
      <c r="I2251">
        <v>1</v>
      </c>
      <c r="J2251">
        <v>1</v>
      </c>
      <c r="N2251">
        <v>1</v>
      </c>
      <c r="O2251">
        <v>1</v>
      </c>
      <c r="P2251">
        <v>1</v>
      </c>
      <c r="Q2251">
        <v>1</v>
      </c>
      <c r="R2251">
        <v>1</v>
      </c>
      <c r="S2251">
        <v>1</v>
      </c>
      <c r="T2251">
        <v>1</v>
      </c>
      <c r="W2251">
        <v>1</v>
      </c>
      <c r="X2251">
        <v>1</v>
      </c>
      <c r="Y2251">
        <v>1</v>
      </c>
      <c r="Z2251">
        <v>1</v>
      </c>
      <c r="AA2251">
        <v>1</v>
      </c>
      <c r="AB2251">
        <v>1</v>
      </c>
    </row>
    <row r="2252" spans="1:28" x14ac:dyDescent="0.25">
      <c r="A2252" t="str">
        <f>"2248"</f>
        <v>2248</v>
      </c>
      <c r="B2252" t="str">
        <f t="shared" si="127"/>
        <v>1</v>
      </c>
      <c r="C2252" t="str">
        <f t="shared" si="129"/>
        <v>99</v>
      </c>
      <c r="D2252" t="str">
        <f>"21"</f>
        <v>21</v>
      </c>
      <c r="E2252" t="str">
        <f>"1-99-21"</f>
        <v>1-99-21</v>
      </c>
      <c r="F2252" t="s">
        <v>83</v>
      </c>
      <c r="G2252" t="s">
        <v>84</v>
      </c>
      <c r="H2252" t="s">
        <v>92</v>
      </c>
      <c r="I2252">
        <v>1</v>
      </c>
      <c r="J2252">
        <v>1</v>
      </c>
      <c r="N2252">
        <v>1</v>
      </c>
      <c r="O2252">
        <v>1</v>
      </c>
      <c r="P2252">
        <v>1</v>
      </c>
      <c r="Q2252">
        <v>1</v>
      </c>
      <c r="R2252">
        <v>1</v>
      </c>
      <c r="S2252">
        <v>1</v>
      </c>
      <c r="T2252">
        <v>1</v>
      </c>
      <c r="W2252">
        <v>1</v>
      </c>
      <c r="X2252">
        <v>1</v>
      </c>
      <c r="Y2252">
        <v>1</v>
      </c>
      <c r="Z2252">
        <v>1</v>
      </c>
      <c r="AA2252">
        <v>1</v>
      </c>
      <c r="AB2252">
        <v>1</v>
      </c>
    </row>
    <row r="2253" spans="1:28" x14ac:dyDescent="0.25">
      <c r="A2253" t="str">
        <f>"2249"</f>
        <v>2249</v>
      </c>
      <c r="B2253" t="str">
        <f t="shared" si="127"/>
        <v>1</v>
      </c>
      <c r="C2253" t="str">
        <f t="shared" si="129"/>
        <v>99</v>
      </c>
      <c r="D2253" t="str">
        <f>"13"</f>
        <v>13</v>
      </c>
      <c r="E2253" t="str">
        <f>"1-99-13"</f>
        <v>1-99-13</v>
      </c>
      <c r="F2253" t="s">
        <v>83</v>
      </c>
      <c r="G2253" t="s">
        <v>84</v>
      </c>
      <c r="H2253" t="s">
        <v>92</v>
      </c>
      <c r="I2253">
        <v>1</v>
      </c>
      <c r="J2253">
        <v>1</v>
      </c>
      <c r="N2253">
        <v>1</v>
      </c>
      <c r="O2253">
        <v>1</v>
      </c>
      <c r="P2253">
        <v>1</v>
      </c>
      <c r="Q2253">
        <v>1</v>
      </c>
      <c r="R2253">
        <v>1</v>
      </c>
      <c r="S2253">
        <v>1</v>
      </c>
      <c r="T2253">
        <v>1</v>
      </c>
      <c r="W2253">
        <v>1</v>
      </c>
      <c r="X2253">
        <v>1</v>
      </c>
      <c r="Y2253">
        <v>1</v>
      </c>
      <c r="Z2253">
        <v>1</v>
      </c>
      <c r="AA2253">
        <v>1</v>
      </c>
      <c r="AB2253">
        <v>1</v>
      </c>
    </row>
    <row r="2254" spans="1:28" x14ac:dyDescent="0.25">
      <c r="A2254" t="str">
        <f>"2250"</f>
        <v>2250</v>
      </c>
      <c r="B2254" t="str">
        <f t="shared" si="127"/>
        <v>1</v>
      </c>
      <c r="C2254" t="str">
        <f t="shared" si="129"/>
        <v>99</v>
      </c>
      <c r="D2254" t="str">
        <f>"4"</f>
        <v>4</v>
      </c>
      <c r="E2254" t="str">
        <f>"1-99-4"</f>
        <v>1-99-4</v>
      </c>
      <c r="F2254" t="s">
        <v>83</v>
      </c>
      <c r="G2254" t="s">
        <v>84</v>
      </c>
      <c r="H2254" t="s">
        <v>92</v>
      </c>
      <c r="I2254">
        <v>1</v>
      </c>
      <c r="J2254">
        <v>1</v>
      </c>
      <c r="N2254">
        <v>1</v>
      </c>
      <c r="O2254">
        <v>0</v>
      </c>
      <c r="P2254">
        <v>0</v>
      </c>
      <c r="Q2254">
        <v>0</v>
      </c>
      <c r="R2254">
        <v>0</v>
      </c>
      <c r="S2254">
        <v>0</v>
      </c>
      <c r="T2254">
        <v>0</v>
      </c>
      <c r="W2254">
        <v>0</v>
      </c>
      <c r="X2254">
        <v>1</v>
      </c>
      <c r="Y2254">
        <v>1</v>
      </c>
      <c r="Z2254">
        <v>1</v>
      </c>
      <c r="AA2254">
        <v>0</v>
      </c>
      <c r="AB2254">
        <v>0</v>
      </c>
    </row>
    <row r="2255" spans="1:28" x14ac:dyDescent="0.25">
      <c r="A2255" t="str">
        <f>"2251"</f>
        <v>2251</v>
      </c>
      <c r="B2255" t="str">
        <f t="shared" si="127"/>
        <v>1</v>
      </c>
      <c r="C2255" t="str">
        <f t="shared" si="129"/>
        <v>99</v>
      </c>
      <c r="D2255" t="str">
        <f>"20"</f>
        <v>20</v>
      </c>
      <c r="E2255" t="str">
        <f>"1-99-20"</f>
        <v>1-99-20</v>
      </c>
      <c r="F2255" t="s">
        <v>83</v>
      </c>
      <c r="G2255" t="s">
        <v>84</v>
      </c>
      <c r="H2255" t="s">
        <v>92</v>
      </c>
      <c r="I2255">
        <v>1</v>
      </c>
      <c r="J2255">
        <v>1</v>
      </c>
      <c r="N2255">
        <v>1</v>
      </c>
      <c r="O2255">
        <v>1</v>
      </c>
      <c r="P2255">
        <v>0</v>
      </c>
      <c r="Q2255">
        <v>1</v>
      </c>
      <c r="R2255">
        <v>1</v>
      </c>
      <c r="S2255">
        <v>1</v>
      </c>
      <c r="T2255">
        <v>1</v>
      </c>
      <c r="W2255">
        <v>1</v>
      </c>
      <c r="X2255">
        <v>1</v>
      </c>
      <c r="Y2255">
        <v>1</v>
      </c>
      <c r="Z2255">
        <v>1</v>
      </c>
      <c r="AA2255">
        <v>1</v>
      </c>
      <c r="AB2255">
        <v>0</v>
      </c>
    </row>
    <row r="2256" spans="1:28" x14ac:dyDescent="0.25">
      <c r="A2256" t="str">
        <f>"2252"</f>
        <v>2252</v>
      </c>
      <c r="B2256" t="str">
        <f t="shared" si="127"/>
        <v>1</v>
      </c>
      <c r="C2256" t="str">
        <f t="shared" si="129"/>
        <v>99</v>
      </c>
      <c r="D2256" t="str">
        <f>"14"</f>
        <v>14</v>
      </c>
      <c r="E2256" t="str">
        <f>"1-99-14"</f>
        <v>1-99-14</v>
      </c>
      <c r="F2256" t="s">
        <v>83</v>
      </c>
      <c r="G2256" t="s">
        <v>84</v>
      </c>
      <c r="H2256" t="s">
        <v>92</v>
      </c>
      <c r="I2256">
        <v>1</v>
      </c>
      <c r="J2256">
        <v>1</v>
      </c>
      <c r="N2256">
        <v>1</v>
      </c>
      <c r="O2256">
        <v>1</v>
      </c>
      <c r="P2256">
        <v>1</v>
      </c>
      <c r="Q2256">
        <v>1</v>
      </c>
      <c r="R2256">
        <v>1</v>
      </c>
      <c r="S2256">
        <v>1</v>
      </c>
      <c r="T2256">
        <v>1</v>
      </c>
      <c r="W2256">
        <v>1</v>
      </c>
      <c r="X2256">
        <v>1</v>
      </c>
      <c r="Y2256">
        <v>1</v>
      </c>
      <c r="Z2256">
        <v>1</v>
      </c>
      <c r="AA2256">
        <v>1</v>
      </c>
      <c r="AB2256">
        <v>1</v>
      </c>
    </row>
    <row r="2257" spans="1:49" x14ac:dyDescent="0.25">
      <c r="A2257" t="str">
        <f>"2253"</f>
        <v>2253</v>
      </c>
      <c r="B2257" t="str">
        <f t="shared" si="127"/>
        <v>1</v>
      </c>
      <c r="C2257" t="str">
        <f t="shared" si="129"/>
        <v>99</v>
      </c>
      <c r="D2257" t="str">
        <f>"5"</f>
        <v>5</v>
      </c>
      <c r="E2257" t="str">
        <f>"1-99-5"</f>
        <v>1-99-5</v>
      </c>
      <c r="F2257" t="s">
        <v>83</v>
      </c>
      <c r="G2257" t="s">
        <v>84</v>
      </c>
      <c r="H2257" t="s">
        <v>92</v>
      </c>
      <c r="I2257">
        <v>1</v>
      </c>
      <c r="J2257">
        <v>1</v>
      </c>
      <c r="N2257">
        <v>1</v>
      </c>
      <c r="O2257">
        <v>1</v>
      </c>
      <c r="P2257">
        <v>1</v>
      </c>
      <c r="Q2257">
        <v>1</v>
      </c>
      <c r="R2257">
        <v>1</v>
      </c>
      <c r="S2257">
        <v>1</v>
      </c>
      <c r="T2257">
        <v>1</v>
      </c>
      <c r="W2257">
        <v>1</v>
      </c>
      <c r="X2257">
        <v>1</v>
      </c>
      <c r="Y2257">
        <v>1</v>
      </c>
      <c r="Z2257">
        <v>1</v>
      </c>
      <c r="AA2257">
        <v>1</v>
      </c>
      <c r="AB2257">
        <v>1</v>
      </c>
    </row>
    <row r="2258" spans="1:49" x14ac:dyDescent="0.25">
      <c r="A2258" t="str">
        <f>"2254"</f>
        <v>2254</v>
      </c>
      <c r="B2258" t="str">
        <f t="shared" si="127"/>
        <v>1</v>
      </c>
      <c r="C2258" t="str">
        <f t="shared" ref="C2258:C2280" si="130">"100"</f>
        <v>100</v>
      </c>
      <c r="D2258" t="str">
        <f>"18"</f>
        <v>18</v>
      </c>
      <c r="E2258" t="str">
        <f>"1-100-18"</f>
        <v>1-100-18</v>
      </c>
      <c r="F2258" t="s">
        <v>83</v>
      </c>
      <c r="G2258" t="s">
        <v>84</v>
      </c>
      <c r="H2258" t="s">
        <v>85</v>
      </c>
      <c r="AC2258">
        <v>0</v>
      </c>
      <c r="AD2258">
        <v>1</v>
      </c>
      <c r="AE2258">
        <v>0</v>
      </c>
      <c r="AF2258">
        <v>0</v>
      </c>
      <c r="AG2258">
        <v>1</v>
      </c>
      <c r="AJ2258">
        <v>0</v>
      </c>
      <c r="AK2258">
        <v>0</v>
      </c>
      <c r="AL2258">
        <v>0</v>
      </c>
      <c r="AM2258">
        <v>0</v>
      </c>
      <c r="AN2258">
        <v>1</v>
      </c>
      <c r="AO2258">
        <v>1</v>
      </c>
      <c r="AP2258">
        <v>1</v>
      </c>
      <c r="AQ2258">
        <v>0</v>
      </c>
      <c r="AR2258">
        <v>1</v>
      </c>
      <c r="AS2258">
        <v>0</v>
      </c>
      <c r="AT2258">
        <v>0</v>
      </c>
      <c r="AV2258">
        <v>0</v>
      </c>
      <c r="AW2258">
        <v>1</v>
      </c>
    </row>
    <row r="2259" spans="1:49" x14ac:dyDescent="0.25">
      <c r="A2259" t="str">
        <f>"2255"</f>
        <v>2255</v>
      </c>
      <c r="B2259" t="str">
        <f t="shared" si="127"/>
        <v>1</v>
      </c>
      <c r="C2259" t="str">
        <f t="shared" si="130"/>
        <v>100</v>
      </c>
      <c r="D2259" t="str">
        <f>"17"</f>
        <v>17</v>
      </c>
      <c r="E2259" t="str">
        <f>"1-100-17"</f>
        <v>1-100-17</v>
      </c>
      <c r="F2259" t="s">
        <v>83</v>
      </c>
      <c r="G2259" t="s">
        <v>84</v>
      </c>
      <c r="H2259" t="s">
        <v>85</v>
      </c>
      <c r="AC2259">
        <v>0</v>
      </c>
      <c r="AD2259">
        <v>0</v>
      </c>
      <c r="AE2259">
        <v>0</v>
      </c>
      <c r="AF2259">
        <v>0</v>
      </c>
      <c r="AG2259">
        <v>0</v>
      </c>
      <c r="AJ2259">
        <v>1</v>
      </c>
      <c r="AK2259">
        <v>0</v>
      </c>
      <c r="AL2259">
        <v>0</v>
      </c>
      <c r="AM2259">
        <v>0</v>
      </c>
      <c r="AN2259">
        <v>0</v>
      </c>
      <c r="AO2259">
        <v>0</v>
      </c>
      <c r="AP2259">
        <v>0</v>
      </c>
      <c r="AQ2259">
        <v>0</v>
      </c>
      <c r="AR2259">
        <v>0</v>
      </c>
      <c r="AS2259">
        <v>0</v>
      </c>
      <c r="AT2259">
        <v>1</v>
      </c>
      <c r="AV2259">
        <v>0</v>
      </c>
      <c r="AW2259">
        <v>0</v>
      </c>
    </row>
    <row r="2260" spans="1:49" x14ac:dyDescent="0.25">
      <c r="A2260" t="str">
        <f>"2256"</f>
        <v>2256</v>
      </c>
      <c r="B2260" t="str">
        <f t="shared" si="127"/>
        <v>1</v>
      </c>
      <c r="C2260" t="str">
        <f t="shared" si="130"/>
        <v>100</v>
      </c>
      <c r="D2260" t="str">
        <f>"13"</f>
        <v>13</v>
      </c>
      <c r="E2260" t="str">
        <f>"1-100-13"</f>
        <v>1-100-13</v>
      </c>
      <c r="F2260" t="s">
        <v>83</v>
      </c>
      <c r="G2260" t="s">
        <v>86</v>
      </c>
      <c r="H2260" t="s">
        <v>87</v>
      </c>
      <c r="AC2260">
        <v>1</v>
      </c>
      <c r="AD2260">
        <v>0</v>
      </c>
      <c r="AE2260">
        <v>0</v>
      </c>
      <c r="AF2260">
        <v>0</v>
      </c>
      <c r="AH2260">
        <v>1</v>
      </c>
      <c r="AI2260">
        <v>0</v>
      </c>
      <c r="AJ2260">
        <v>0</v>
      </c>
      <c r="AK2260">
        <v>1</v>
      </c>
      <c r="AL2260">
        <v>0</v>
      </c>
      <c r="AM2260">
        <v>0</v>
      </c>
      <c r="AN2260">
        <v>1</v>
      </c>
      <c r="AO2260">
        <v>1</v>
      </c>
      <c r="AP2260">
        <v>1</v>
      </c>
      <c r="AQ2260">
        <v>1</v>
      </c>
      <c r="AU2260">
        <v>1</v>
      </c>
      <c r="AV2260">
        <v>1</v>
      </c>
      <c r="AW2260">
        <v>1</v>
      </c>
    </row>
    <row r="2261" spans="1:49" x14ac:dyDescent="0.25">
      <c r="A2261" t="str">
        <f>"2257"</f>
        <v>2257</v>
      </c>
      <c r="B2261" t="str">
        <f t="shared" si="127"/>
        <v>1</v>
      </c>
      <c r="C2261" t="str">
        <f t="shared" si="130"/>
        <v>100</v>
      </c>
      <c r="D2261" t="str">
        <f>"8"</f>
        <v>8</v>
      </c>
      <c r="E2261" t="str">
        <f>"1-100-8"</f>
        <v>1-100-8</v>
      </c>
      <c r="F2261" t="s">
        <v>83</v>
      </c>
      <c r="G2261" t="s">
        <v>84</v>
      </c>
      <c r="H2261" t="s">
        <v>85</v>
      </c>
      <c r="AC2261">
        <v>1</v>
      </c>
      <c r="AD2261">
        <v>0</v>
      </c>
      <c r="AE2261">
        <v>0</v>
      </c>
      <c r="AF2261">
        <v>0</v>
      </c>
      <c r="AG2261">
        <v>1</v>
      </c>
      <c r="AJ2261">
        <v>0</v>
      </c>
      <c r="AK2261">
        <v>1</v>
      </c>
      <c r="AL2261">
        <v>0</v>
      </c>
      <c r="AM2261">
        <v>1</v>
      </c>
      <c r="AN2261">
        <v>0</v>
      </c>
      <c r="AO2261">
        <v>1</v>
      </c>
      <c r="AP2261">
        <v>1</v>
      </c>
      <c r="AQ2261">
        <v>1</v>
      </c>
      <c r="AR2261">
        <v>1</v>
      </c>
      <c r="AS2261">
        <v>1</v>
      </c>
      <c r="AT2261">
        <v>0</v>
      </c>
      <c r="AV2261">
        <v>1</v>
      </c>
      <c r="AW2261">
        <v>1</v>
      </c>
    </row>
    <row r="2262" spans="1:49" x14ac:dyDescent="0.25">
      <c r="A2262" t="str">
        <f>"2258"</f>
        <v>2258</v>
      </c>
      <c r="B2262" t="str">
        <f t="shared" si="127"/>
        <v>1</v>
      </c>
      <c r="C2262" t="str">
        <f t="shared" si="130"/>
        <v>100</v>
      </c>
      <c r="D2262" t="str">
        <f>"3"</f>
        <v>3</v>
      </c>
      <c r="E2262" t="str">
        <f>"1-100-3"</f>
        <v>1-100-3</v>
      </c>
      <c r="F2262" t="s">
        <v>83</v>
      </c>
      <c r="G2262" t="s">
        <v>84</v>
      </c>
      <c r="H2262" t="s">
        <v>85</v>
      </c>
      <c r="AC2262">
        <v>0</v>
      </c>
      <c r="AD2262">
        <v>0</v>
      </c>
      <c r="AE2262">
        <v>0</v>
      </c>
      <c r="AF2262">
        <v>0</v>
      </c>
      <c r="AG2262">
        <v>1</v>
      </c>
      <c r="AJ2262">
        <v>1</v>
      </c>
      <c r="AK2262">
        <v>0</v>
      </c>
      <c r="AL2262">
        <v>0</v>
      </c>
      <c r="AM2262">
        <v>1</v>
      </c>
      <c r="AN2262">
        <v>0</v>
      </c>
      <c r="AO2262">
        <v>1</v>
      </c>
      <c r="AP2262">
        <v>1</v>
      </c>
      <c r="AQ2262">
        <v>1</v>
      </c>
      <c r="AR2262">
        <v>1</v>
      </c>
      <c r="AS2262">
        <v>0</v>
      </c>
      <c r="AT2262">
        <v>1</v>
      </c>
      <c r="AV2262">
        <v>0</v>
      </c>
      <c r="AW2262">
        <v>0</v>
      </c>
    </row>
    <row r="2263" spans="1:49" x14ac:dyDescent="0.25">
      <c r="A2263" t="str">
        <f>"2259"</f>
        <v>2259</v>
      </c>
      <c r="B2263" t="str">
        <f t="shared" si="127"/>
        <v>1</v>
      </c>
      <c r="C2263" t="str">
        <f t="shared" si="130"/>
        <v>100</v>
      </c>
      <c r="D2263" t="str">
        <f>"21"</f>
        <v>21</v>
      </c>
      <c r="E2263" t="str">
        <f>"1-100-21"</f>
        <v>1-100-21</v>
      </c>
      <c r="F2263" t="s">
        <v>83</v>
      </c>
      <c r="G2263" t="s">
        <v>86</v>
      </c>
      <c r="H2263" t="s">
        <v>87</v>
      </c>
      <c r="AC2263">
        <v>1</v>
      </c>
      <c r="AD2263">
        <v>0</v>
      </c>
      <c r="AE2263">
        <v>0</v>
      </c>
      <c r="AF2263">
        <v>0</v>
      </c>
      <c r="AH2263">
        <v>1</v>
      </c>
      <c r="AI2263">
        <v>0</v>
      </c>
      <c r="AJ2263">
        <v>0</v>
      </c>
      <c r="AK2263">
        <v>1</v>
      </c>
      <c r="AL2263">
        <v>0</v>
      </c>
      <c r="AM2263">
        <v>0</v>
      </c>
      <c r="AN2263">
        <v>1</v>
      </c>
      <c r="AO2263">
        <v>1</v>
      </c>
      <c r="AP2263">
        <v>1</v>
      </c>
      <c r="AQ2263">
        <v>1</v>
      </c>
      <c r="AU2263">
        <v>1</v>
      </c>
      <c r="AV2263">
        <v>1</v>
      </c>
      <c r="AW2263">
        <v>1</v>
      </c>
    </row>
    <row r="2264" spans="1:49" x14ac:dyDescent="0.25">
      <c r="A2264" t="str">
        <f>"2260"</f>
        <v>2260</v>
      </c>
      <c r="B2264" t="str">
        <f t="shared" si="127"/>
        <v>1</v>
      </c>
      <c r="C2264" t="str">
        <f t="shared" si="130"/>
        <v>100</v>
      </c>
      <c r="D2264" t="str">
        <f>"9"</f>
        <v>9</v>
      </c>
      <c r="E2264" t="str">
        <f>"1-100-9"</f>
        <v>1-100-9</v>
      </c>
      <c r="F2264" t="s">
        <v>83</v>
      </c>
      <c r="G2264" t="s">
        <v>84</v>
      </c>
      <c r="H2264" t="s">
        <v>85</v>
      </c>
      <c r="AC2264">
        <v>0</v>
      </c>
      <c r="AD2264">
        <v>1</v>
      </c>
      <c r="AE2264">
        <v>0</v>
      </c>
      <c r="AF2264">
        <v>0</v>
      </c>
      <c r="AG2264">
        <v>1</v>
      </c>
      <c r="AJ2264">
        <v>0</v>
      </c>
      <c r="AK2264">
        <v>1</v>
      </c>
      <c r="AL2264">
        <v>0</v>
      </c>
      <c r="AM2264">
        <v>0</v>
      </c>
      <c r="AN2264">
        <v>1</v>
      </c>
      <c r="AO2264">
        <v>1</v>
      </c>
      <c r="AP2264">
        <v>1</v>
      </c>
      <c r="AQ2264">
        <v>1</v>
      </c>
      <c r="AR2264">
        <v>1</v>
      </c>
      <c r="AS2264">
        <v>0</v>
      </c>
      <c r="AT2264">
        <v>1</v>
      </c>
      <c r="AV2264">
        <v>1</v>
      </c>
      <c r="AW2264">
        <v>1</v>
      </c>
    </row>
    <row r="2265" spans="1:49" x14ac:dyDescent="0.25">
      <c r="A2265" t="str">
        <f>"2261"</f>
        <v>2261</v>
      </c>
      <c r="B2265" t="str">
        <f t="shared" si="127"/>
        <v>1</v>
      </c>
      <c r="C2265" t="str">
        <f t="shared" si="130"/>
        <v>100</v>
      </c>
      <c r="D2265" t="str">
        <f>"7"</f>
        <v>7</v>
      </c>
      <c r="E2265" t="str">
        <f>"1-100-7"</f>
        <v>1-100-7</v>
      </c>
      <c r="F2265" t="s">
        <v>83</v>
      </c>
      <c r="G2265" t="s">
        <v>84</v>
      </c>
      <c r="H2265" t="s">
        <v>85</v>
      </c>
      <c r="AC2265">
        <v>0</v>
      </c>
      <c r="AD2265">
        <v>1</v>
      </c>
      <c r="AE2265">
        <v>0</v>
      </c>
      <c r="AF2265">
        <v>0</v>
      </c>
      <c r="AG2265">
        <v>0</v>
      </c>
      <c r="AJ2265">
        <v>1</v>
      </c>
      <c r="AK2265">
        <v>0</v>
      </c>
      <c r="AL2265">
        <v>0</v>
      </c>
      <c r="AM2265">
        <v>1</v>
      </c>
      <c r="AN2265">
        <v>0</v>
      </c>
      <c r="AO2265">
        <v>1</v>
      </c>
      <c r="AP2265">
        <v>1</v>
      </c>
      <c r="AQ2265">
        <v>1</v>
      </c>
      <c r="AR2265">
        <v>1</v>
      </c>
      <c r="AS2265">
        <v>0</v>
      </c>
      <c r="AT2265">
        <v>1</v>
      </c>
      <c r="AV2265">
        <v>1</v>
      </c>
      <c r="AW2265">
        <v>1</v>
      </c>
    </row>
    <row r="2266" spans="1:49" x14ac:dyDescent="0.25">
      <c r="A2266" t="str">
        <f>"2262"</f>
        <v>2262</v>
      </c>
      <c r="B2266" t="str">
        <f t="shared" si="127"/>
        <v>1</v>
      </c>
      <c r="C2266" t="str">
        <f t="shared" si="130"/>
        <v>100</v>
      </c>
      <c r="D2266" t="str">
        <f>"23"</f>
        <v>23</v>
      </c>
      <c r="E2266" t="str">
        <f>"1-100-23"</f>
        <v>1-100-23</v>
      </c>
      <c r="F2266" t="s">
        <v>83</v>
      </c>
      <c r="G2266" t="s">
        <v>86</v>
      </c>
      <c r="H2266" t="s">
        <v>87</v>
      </c>
      <c r="AC2266">
        <v>1</v>
      </c>
      <c r="AD2266">
        <v>0</v>
      </c>
      <c r="AE2266">
        <v>0</v>
      </c>
      <c r="AF2266">
        <v>0</v>
      </c>
      <c r="AH2266">
        <v>1</v>
      </c>
      <c r="AI2266">
        <v>0</v>
      </c>
      <c r="AJ2266">
        <v>1</v>
      </c>
      <c r="AK2266">
        <v>0</v>
      </c>
      <c r="AL2266">
        <v>0</v>
      </c>
      <c r="AM2266">
        <v>1</v>
      </c>
      <c r="AN2266">
        <v>0</v>
      </c>
      <c r="AO2266">
        <v>1</v>
      </c>
      <c r="AP2266">
        <v>1</v>
      </c>
      <c r="AQ2266">
        <v>1</v>
      </c>
      <c r="AU2266">
        <v>1</v>
      </c>
      <c r="AV2266">
        <v>0</v>
      </c>
      <c r="AW2266">
        <v>1</v>
      </c>
    </row>
    <row r="2267" spans="1:49" x14ac:dyDescent="0.25">
      <c r="A2267" t="str">
        <f>"2263"</f>
        <v>2263</v>
      </c>
      <c r="B2267" t="str">
        <f t="shared" si="127"/>
        <v>1</v>
      </c>
      <c r="C2267" t="str">
        <f t="shared" si="130"/>
        <v>100</v>
      </c>
      <c r="D2267" t="str">
        <f>"22"</f>
        <v>22</v>
      </c>
      <c r="E2267" t="str">
        <f>"1-100-22"</f>
        <v>1-100-22</v>
      </c>
      <c r="F2267" t="s">
        <v>83</v>
      </c>
      <c r="G2267" t="s">
        <v>86</v>
      </c>
      <c r="H2267" t="s">
        <v>87</v>
      </c>
      <c r="AC2267">
        <v>1</v>
      </c>
      <c r="AD2267">
        <v>0</v>
      </c>
      <c r="AE2267">
        <v>0</v>
      </c>
      <c r="AF2267">
        <v>0</v>
      </c>
      <c r="AH2267">
        <v>1</v>
      </c>
      <c r="AI2267">
        <v>0</v>
      </c>
      <c r="AJ2267">
        <v>0</v>
      </c>
      <c r="AK2267">
        <v>1</v>
      </c>
      <c r="AL2267">
        <v>0</v>
      </c>
      <c r="AM2267">
        <v>0</v>
      </c>
      <c r="AN2267">
        <v>1</v>
      </c>
      <c r="AO2267">
        <v>1</v>
      </c>
      <c r="AP2267">
        <v>1</v>
      </c>
      <c r="AQ2267">
        <v>1</v>
      </c>
      <c r="AU2267">
        <v>1</v>
      </c>
      <c r="AV2267">
        <v>1</v>
      </c>
      <c r="AW2267">
        <v>1</v>
      </c>
    </row>
    <row r="2268" spans="1:49" x14ac:dyDescent="0.25">
      <c r="A2268" t="str">
        <f>"2264"</f>
        <v>2264</v>
      </c>
      <c r="B2268" t="str">
        <f t="shared" si="127"/>
        <v>1</v>
      </c>
      <c r="C2268" t="str">
        <f t="shared" si="130"/>
        <v>100</v>
      </c>
      <c r="D2268" t="str">
        <f>"14"</f>
        <v>14</v>
      </c>
      <c r="E2268" t="str">
        <f>"1-100-14"</f>
        <v>1-100-14</v>
      </c>
      <c r="F2268" t="s">
        <v>83</v>
      </c>
      <c r="G2268" t="s">
        <v>86</v>
      </c>
      <c r="H2268" t="s">
        <v>87</v>
      </c>
      <c r="AC2268">
        <v>0</v>
      </c>
      <c r="AD2268">
        <v>1</v>
      </c>
      <c r="AE2268">
        <v>0</v>
      </c>
      <c r="AF2268">
        <v>0</v>
      </c>
      <c r="AH2268">
        <v>1</v>
      </c>
      <c r="AI2268">
        <v>0</v>
      </c>
      <c r="AJ2268">
        <v>0</v>
      </c>
      <c r="AK2268">
        <v>1</v>
      </c>
      <c r="AL2268">
        <v>0</v>
      </c>
      <c r="AM2268">
        <v>1</v>
      </c>
      <c r="AN2268">
        <v>0</v>
      </c>
      <c r="AO2268">
        <v>0</v>
      </c>
      <c r="AP2268">
        <v>0</v>
      </c>
      <c r="AQ2268">
        <v>0</v>
      </c>
      <c r="AU2268">
        <v>1</v>
      </c>
      <c r="AV2268">
        <v>0</v>
      </c>
      <c r="AW2268">
        <v>0</v>
      </c>
    </row>
    <row r="2269" spans="1:49" x14ac:dyDescent="0.25">
      <c r="A2269" t="str">
        <f>"2265"</f>
        <v>2265</v>
      </c>
      <c r="B2269" t="str">
        <f t="shared" si="127"/>
        <v>1</v>
      </c>
      <c r="C2269" t="str">
        <f t="shared" si="130"/>
        <v>100</v>
      </c>
      <c r="D2269" t="str">
        <f>"10"</f>
        <v>10</v>
      </c>
      <c r="E2269" t="str">
        <f>"1-100-10"</f>
        <v>1-100-10</v>
      </c>
      <c r="F2269" t="s">
        <v>83</v>
      </c>
      <c r="G2269" t="s">
        <v>84</v>
      </c>
      <c r="H2269" t="s">
        <v>85</v>
      </c>
      <c r="AC2269">
        <v>0</v>
      </c>
      <c r="AD2269">
        <v>1</v>
      </c>
      <c r="AE2269">
        <v>0</v>
      </c>
      <c r="AF2269">
        <v>0</v>
      </c>
      <c r="AG2269">
        <v>0</v>
      </c>
      <c r="AJ2269">
        <v>0</v>
      </c>
      <c r="AK2269">
        <v>1</v>
      </c>
      <c r="AL2269">
        <v>0</v>
      </c>
      <c r="AM2269">
        <v>0</v>
      </c>
      <c r="AN2269">
        <v>1</v>
      </c>
      <c r="AO2269">
        <v>0</v>
      </c>
      <c r="AP2269">
        <v>0</v>
      </c>
      <c r="AQ2269">
        <v>0</v>
      </c>
      <c r="AR2269">
        <v>0</v>
      </c>
      <c r="AS2269">
        <v>0</v>
      </c>
      <c r="AT2269">
        <v>0</v>
      </c>
      <c r="AV2269">
        <v>0</v>
      </c>
      <c r="AW2269">
        <v>1</v>
      </c>
    </row>
    <row r="2270" spans="1:49" x14ac:dyDescent="0.25">
      <c r="A2270" t="str">
        <f>"2266"</f>
        <v>2266</v>
      </c>
      <c r="B2270" t="str">
        <f t="shared" ref="B2270:B2333" si="131">"1"</f>
        <v>1</v>
      </c>
      <c r="C2270" t="str">
        <f t="shared" si="130"/>
        <v>100</v>
      </c>
      <c r="D2270" t="str">
        <f>"4"</f>
        <v>4</v>
      </c>
      <c r="E2270" t="str">
        <f>"1-100-4"</f>
        <v>1-100-4</v>
      </c>
      <c r="F2270" t="s">
        <v>83</v>
      </c>
      <c r="G2270" t="s">
        <v>84</v>
      </c>
      <c r="H2270" t="s">
        <v>85</v>
      </c>
      <c r="AC2270">
        <v>0</v>
      </c>
      <c r="AD2270">
        <v>1</v>
      </c>
      <c r="AE2270">
        <v>0</v>
      </c>
      <c r="AF2270">
        <v>0</v>
      </c>
      <c r="AG2270">
        <v>1</v>
      </c>
      <c r="AJ2270">
        <v>0</v>
      </c>
      <c r="AK2270">
        <v>1</v>
      </c>
      <c r="AL2270">
        <v>0</v>
      </c>
      <c r="AM2270">
        <v>0</v>
      </c>
      <c r="AN2270">
        <v>1</v>
      </c>
      <c r="AO2270">
        <v>1</v>
      </c>
      <c r="AP2270">
        <v>1</v>
      </c>
      <c r="AQ2270">
        <v>1</v>
      </c>
      <c r="AR2270">
        <v>1</v>
      </c>
      <c r="AS2270">
        <v>0</v>
      </c>
      <c r="AT2270">
        <v>1</v>
      </c>
      <c r="AV2270">
        <v>1</v>
      </c>
      <c r="AW2270">
        <v>1</v>
      </c>
    </row>
    <row r="2271" spans="1:49" x14ac:dyDescent="0.25">
      <c r="A2271" t="str">
        <f>"2267"</f>
        <v>2267</v>
      </c>
      <c r="B2271" t="str">
        <f t="shared" si="131"/>
        <v>1</v>
      </c>
      <c r="C2271" t="str">
        <f t="shared" si="130"/>
        <v>100</v>
      </c>
      <c r="D2271" t="str">
        <f>"20"</f>
        <v>20</v>
      </c>
      <c r="E2271" t="str">
        <f>"1-100-20"</f>
        <v>1-100-20</v>
      </c>
      <c r="F2271" t="s">
        <v>83</v>
      </c>
      <c r="G2271" t="s">
        <v>84</v>
      </c>
      <c r="H2271" t="s">
        <v>85</v>
      </c>
      <c r="AC2271">
        <v>1</v>
      </c>
      <c r="AD2271">
        <v>0</v>
      </c>
      <c r="AE2271">
        <v>0</v>
      </c>
      <c r="AF2271">
        <v>0</v>
      </c>
      <c r="AG2271">
        <v>0</v>
      </c>
      <c r="AJ2271">
        <v>0</v>
      </c>
      <c r="AK2271">
        <v>1</v>
      </c>
      <c r="AL2271">
        <v>1</v>
      </c>
      <c r="AM2271">
        <v>0</v>
      </c>
      <c r="AN2271">
        <v>0</v>
      </c>
      <c r="AO2271">
        <v>0</v>
      </c>
      <c r="AP2271">
        <v>0</v>
      </c>
      <c r="AQ2271">
        <v>0</v>
      </c>
      <c r="AR2271">
        <v>0</v>
      </c>
      <c r="AS2271">
        <v>0</v>
      </c>
      <c r="AT2271">
        <v>1</v>
      </c>
      <c r="AV2271">
        <v>0</v>
      </c>
      <c r="AW2271">
        <v>0</v>
      </c>
    </row>
    <row r="2272" spans="1:49" x14ac:dyDescent="0.25">
      <c r="A2272" t="str">
        <f>"2268"</f>
        <v>2268</v>
      </c>
      <c r="B2272" t="str">
        <f t="shared" si="131"/>
        <v>1</v>
      </c>
      <c r="C2272" t="str">
        <f t="shared" si="130"/>
        <v>100</v>
      </c>
      <c r="D2272" t="str">
        <f>"1"</f>
        <v>1</v>
      </c>
      <c r="E2272" t="str">
        <f>"1-100-1"</f>
        <v>1-100-1</v>
      </c>
      <c r="F2272" t="s">
        <v>83</v>
      </c>
      <c r="G2272" t="s">
        <v>86</v>
      </c>
      <c r="H2272" t="s">
        <v>87</v>
      </c>
      <c r="AC2272">
        <v>0</v>
      </c>
      <c r="AD2272">
        <v>1</v>
      </c>
      <c r="AE2272">
        <v>0</v>
      </c>
      <c r="AF2272">
        <v>0</v>
      </c>
      <c r="AH2272">
        <v>1</v>
      </c>
      <c r="AI2272">
        <v>0</v>
      </c>
      <c r="AJ2272">
        <v>1</v>
      </c>
      <c r="AK2272">
        <v>0</v>
      </c>
      <c r="AL2272">
        <v>1</v>
      </c>
      <c r="AM2272">
        <v>0</v>
      </c>
      <c r="AN2272">
        <v>0</v>
      </c>
      <c r="AO2272">
        <v>1</v>
      </c>
      <c r="AP2272">
        <v>1</v>
      </c>
      <c r="AQ2272">
        <v>1</v>
      </c>
      <c r="AU2272">
        <v>1</v>
      </c>
      <c r="AV2272">
        <v>1</v>
      </c>
      <c r="AW2272">
        <v>1</v>
      </c>
    </row>
    <row r="2273" spans="1:49" x14ac:dyDescent="0.25">
      <c r="A2273" t="str">
        <f>"2269"</f>
        <v>2269</v>
      </c>
      <c r="B2273" t="str">
        <f t="shared" si="131"/>
        <v>1</v>
      </c>
      <c r="C2273" t="str">
        <f t="shared" si="130"/>
        <v>100</v>
      </c>
      <c r="D2273" t="str">
        <f>"19"</f>
        <v>19</v>
      </c>
      <c r="E2273" t="str">
        <f>"1-100-19"</f>
        <v>1-100-19</v>
      </c>
      <c r="F2273" t="s">
        <v>83</v>
      </c>
      <c r="G2273" t="s">
        <v>86</v>
      </c>
      <c r="H2273" t="s">
        <v>87</v>
      </c>
      <c r="AC2273">
        <v>0</v>
      </c>
      <c r="AD2273">
        <v>1</v>
      </c>
      <c r="AE2273">
        <v>0</v>
      </c>
      <c r="AF2273">
        <v>0</v>
      </c>
      <c r="AH2273">
        <v>1</v>
      </c>
      <c r="AI2273">
        <v>0</v>
      </c>
      <c r="AJ2273">
        <v>1</v>
      </c>
      <c r="AK2273">
        <v>0</v>
      </c>
      <c r="AL2273">
        <v>0</v>
      </c>
      <c r="AM2273">
        <v>1</v>
      </c>
      <c r="AN2273">
        <v>0</v>
      </c>
      <c r="AO2273">
        <v>1</v>
      </c>
      <c r="AP2273">
        <v>1</v>
      </c>
      <c r="AQ2273">
        <v>1</v>
      </c>
      <c r="AU2273">
        <v>1</v>
      </c>
      <c r="AV2273">
        <v>1</v>
      </c>
      <c r="AW2273">
        <v>1</v>
      </c>
    </row>
    <row r="2274" spans="1:49" x14ac:dyDescent="0.25">
      <c r="A2274" t="str">
        <f>"2270"</f>
        <v>2270</v>
      </c>
      <c r="B2274" t="str">
        <f t="shared" si="131"/>
        <v>1</v>
      </c>
      <c r="C2274" t="str">
        <f t="shared" si="130"/>
        <v>100</v>
      </c>
      <c r="D2274" t="str">
        <f>"12"</f>
        <v>12</v>
      </c>
      <c r="E2274" t="str">
        <f>"1-100-12"</f>
        <v>1-100-12</v>
      </c>
      <c r="F2274" t="s">
        <v>83</v>
      </c>
      <c r="G2274" t="s">
        <v>84</v>
      </c>
      <c r="H2274" t="s">
        <v>85</v>
      </c>
      <c r="AC2274">
        <v>1</v>
      </c>
      <c r="AD2274">
        <v>0</v>
      </c>
      <c r="AE2274">
        <v>0</v>
      </c>
      <c r="AF2274">
        <v>0</v>
      </c>
      <c r="AG2274">
        <v>1</v>
      </c>
      <c r="AJ2274">
        <v>1</v>
      </c>
      <c r="AK2274">
        <v>0</v>
      </c>
      <c r="AL2274">
        <v>1</v>
      </c>
      <c r="AM2274">
        <v>0</v>
      </c>
      <c r="AN2274">
        <v>0</v>
      </c>
      <c r="AO2274">
        <v>1</v>
      </c>
      <c r="AP2274">
        <v>1</v>
      </c>
      <c r="AQ2274">
        <v>1</v>
      </c>
      <c r="AR2274">
        <v>1</v>
      </c>
      <c r="AS2274">
        <v>0</v>
      </c>
      <c r="AT2274">
        <v>1</v>
      </c>
      <c r="AV2274">
        <v>1</v>
      </c>
      <c r="AW2274">
        <v>1</v>
      </c>
    </row>
    <row r="2275" spans="1:49" x14ac:dyDescent="0.25">
      <c r="A2275" t="str">
        <f>"2271"</f>
        <v>2271</v>
      </c>
      <c r="B2275" t="str">
        <f t="shared" si="131"/>
        <v>1</v>
      </c>
      <c r="C2275" t="str">
        <f t="shared" si="130"/>
        <v>100</v>
      </c>
      <c r="D2275" t="str">
        <f>"5"</f>
        <v>5</v>
      </c>
      <c r="E2275" t="str">
        <f>"1-100-5"</f>
        <v>1-100-5</v>
      </c>
      <c r="F2275" t="s">
        <v>83</v>
      </c>
      <c r="G2275" t="s">
        <v>84</v>
      </c>
      <c r="H2275" t="s">
        <v>85</v>
      </c>
      <c r="AC2275">
        <v>1</v>
      </c>
      <c r="AD2275">
        <v>0</v>
      </c>
      <c r="AE2275">
        <v>0</v>
      </c>
      <c r="AF2275">
        <v>0</v>
      </c>
      <c r="AG2275">
        <v>1</v>
      </c>
      <c r="AJ2275">
        <v>0</v>
      </c>
      <c r="AK2275">
        <v>1</v>
      </c>
      <c r="AL2275">
        <v>0</v>
      </c>
      <c r="AM2275">
        <v>0</v>
      </c>
      <c r="AN2275">
        <v>1</v>
      </c>
      <c r="AO2275">
        <v>1</v>
      </c>
      <c r="AP2275">
        <v>1</v>
      </c>
      <c r="AQ2275">
        <v>1</v>
      </c>
      <c r="AR2275">
        <v>1</v>
      </c>
      <c r="AS2275">
        <v>0</v>
      </c>
      <c r="AT2275">
        <v>1</v>
      </c>
      <c r="AV2275">
        <v>1</v>
      </c>
      <c r="AW2275">
        <v>1</v>
      </c>
    </row>
    <row r="2276" spans="1:49" x14ac:dyDescent="0.25">
      <c r="A2276" t="str">
        <f>"2272"</f>
        <v>2272</v>
      </c>
      <c r="B2276" t="str">
        <f t="shared" si="131"/>
        <v>1</v>
      </c>
      <c r="C2276" t="str">
        <f t="shared" si="130"/>
        <v>100</v>
      </c>
      <c r="D2276" t="str">
        <f>"15"</f>
        <v>15</v>
      </c>
      <c r="E2276" t="str">
        <f>"1-100-15"</f>
        <v>1-100-15</v>
      </c>
      <c r="F2276" t="s">
        <v>83</v>
      </c>
      <c r="G2276" t="s">
        <v>86</v>
      </c>
      <c r="H2276" t="s">
        <v>87</v>
      </c>
      <c r="AC2276">
        <v>0</v>
      </c>
      <c r="AD2276">
        <v>0</v>
      </c>
      <c r="AE2276">
        <v>0</v>
      </c>
      <c r="AF2276">
        <v>0</v>
      </c>
      <c r="AH2276">
        <v>0</v>
      </c>
      <c r="AI2276">
        <v>1</v>
      </c>
      <c r="AJ2276">
        <v>0</v>
      </c>
      <c r="AK2276">
        <v>0</v>
      </c>
      <c r="AL2276">
        <v>0</v>
      </c>
      <c r="AM2276">
        <v>0</v>
      </c>
      <c r="AN2276">
        <v>0</v>
      </c>
      <c r="AO2276">
        <v>0</v>
      </c>
      <c r="AP2276">
        <v>0</v>
      </c>
      <c r="AQ2276">
        <v>0</v>
      </c>
      <c r="AU2276">
        <v>1</v>
      </c>
      <c r="AV2276">
        <v>0</v>
      </c>
      <c r="AW2276">
        <v>1</v>
      </c>
    </row>
    <row r="2277" spans="1:49" x14ac:dyDescent="0.25">
      <c r="A2277" t="str">
        <f>"2273"</f>
        <v>2273</v>
      </c>
      <c r="B2277" t="str">
        <f t="shared" si="131"/>
        <v>1</v>
      </c>
      <c r="C2277" t="str">
        <f t="shared" si="130"/>
        <v>100</v>
      </c>
      <c r="D2277" t="str">
        <f>"6"</f>
        <v>6</v>
      </c>
      <c r="E2277" t="str">
        <f>"1-100-6"</f>
        <v>1-100-6</v>
      </c>
      <c r="F2277" t="s">
        <v>83</v>
      </c>
      <c r="G2277" t="s">
        <v>84</v>
      </c>
      <c r="H2277" t="s">
        <v>85</v>
      </c>
      <c r="AC2277">
        <v>0</v>
      </c>
      <c r="AD2277">
        <v>1</v>
      </c>
      <c r="AE2277">
        <v>0</v>
      </c>
      <c r="AF2277">
        <v>0</v>
      </c>
      <c r="AG2277">
        <v>1</v>
      </c>
      <c r="AJ2277">
        <v>0</v>
      </c>
      <c r="AK2277">
        <v>1</v>
      </c>
      <c r="AL2277">
        <v>0</v>
      </c>
      <c r="AM2277">
        <v>0</v>
      </c>
      <c r="AN2277">
        <v>1</v>
      </c>
      <c r="AO2277">
        <v>1</v>
      </c>
      <c r="AP2277">
        <v>1</v>
      </c>
      <c r="AQ2277">
        <v>1</v>
      </c>
      <c r="AR2277">
        <v>1</v>
      </c>
      <c r="AS2277">
        <v>1</v>
      </c>
      <c r="AT2277">
        <v>0</v>
      </c>
      <c r="AV2277">
        <v>1</v>
      </c>
      <c r="AW2277">
        <v>1</v>
      </c>
    </row>
    <row r="2278" spans="1:49" x14ac:dyDescent="0.25">
      <c r="A2278" t="str">
        <f>"2274"</f>
        <v>2274</v>
      </c>
      <c r="B2278" t="str">
        <f t="shared" si="131"/>
        <v>1</v>
      </c>
      <c r="C2278" t="str">
        <f t="shared" si="130"/>
        <v>100</v>
      </c>
      <c r="D2278" t="str">
        <f>"16"</f>
        <v>16</v>
      </c>
      <c r="E2278" t="str">
        <f>"1-100-16"</f>
        <v>1-100-16</v>
      </c>
      <c r="F2278" t="s">
        <v>83</v>
      </c>
      <c r="G2278" t="s">
        <v>88</v>
      </c>
      <c r="H2278" t="s">
        <v>89</v>
      </c>
      <c r="AC2278">
        <v>0</v>
      </c>
      <c r="AD2278">
        <v>0</v>
      </c>
      <c r="AE2278">
        <v>0</v>
      </c>
      <c r="AF2278">
        <v>0</v>
      </c>
      <c r="AH2278">
        <v>0</v>
      </c>
      <c r="AI2278">
        <v>1</v>
      </c>
      <c r="AJ2278">
        <v>0</v>
      </c>
      <c r="AK2278">
        <v>1</v>
      </c>
      <c r="AL2278">
        <v>0</v>
      </c>
      <c r="AM2278">
        <v>1</v>
      </c>
      <c r="AN2278">
        <v>0</v>
      </c>
      <c r="AO2278">
        <v>1</v>
      </c>
      <c r="AP2278">
        <v>1</v>
      </c>
      <c r="AQ2278">
        <v>1</v>
      </c>
      <c r="AR2278">
        <v>1</v>
      </c>
      <c r="AS2278">
        <v>0</v>
      </c>
      <c r="AT2278">
        <v>1</v>
      </c>
      <c r="AV2278">
        <v>0</v>
      </c>
      <c r="AW2278">
        <v>1</v>
      </c>
    </row>
    <row r="2279" spans="1:49" x14ac:dyDescent="0.25">
      <c r="A2279" t="str">
        <f>"2275"</f>
        <v>2275</v>
      </c>
      <c r="B2279" t="str">
        <f t="shared" si="131"/>
        <v>1</v>
      </c>
      <c r="C2279" t="str">
        <f t="shared" si="130"/>
        <v>100</v>
      </c>
      <c r="D2279" t="str">
        <f>"2"</f>
        <v>2</v>
      </c>
      <c r="E2279" t="str">
        <f>"1-100-2"</f>
        <v>1-100-2</v>
      </c>
      <c r="F2279" t="s">
        <v>83</v>
      </c>
      <c r="G2279" t="s">
        <v>84</v>
      </c>
      <c r="H2279" t="s">
        <v>85</v>
      </c>
      <c r="AC2279">
        <v>1</v>
      </c>
      <c r="AD2279">
        <v>0</v>
      </c>
      <c r="AE2279">
        <v>0</v>
      </c>
      <c r="AF2279">
        <v>0</v>
      </c>
      <c r="AG2279">
        <v>1</v>
      </c>
      <c r="AJ2279">
        <v>0</v>
      </c>
      <c r="AK2279">
        <v>1</v>
      </c>
      <c r="AL2279">
        <v>1</v>
      </c>
      <c r="AM2279">
        <v>0</v>
      </c>
      <c r="AN2279">
        <v>0</v>
      </c>
      <c r="AO2279">
        <v>1</v>
      </c>
      <c r="AP2279">
        <v>1</v>
      </c>
      <c r="AQ2279">
        <v>0</v>
      </c>
      <c r="AR2279">
        <v>1</v>
      </c>
      <c r="AS2279">
        <v>1</v>
      </c>
      <c r="AT2279">
        <v>0</v>
      </c>
      <c r="AV2279">
        <v>1</v>
      </c>
      <c r="AW2279">
        <v>1</v>
      </c>
    </row>
    <row r="2280" spans="1:49" x14ac:dyDescent="0.25">
      <c r="A2280" t="str">
        <f>"2276"</f>
        <v>2276</v>
      </c>
      <c r="B2280" t="str">
        <f t="shared" si="131"/>
        <v>1</v>
      </c>
      <c r="C2280" t="str">
        <f t="shared" si="130"/>
        <v>100</v>
      </c>
      <c r="D2280" t="str">
        <f>"11"</f>
        <v>11</v>
      </c>
      <c r="E2280" t="str">
        <f>"1-100-11"</f>
        <v>1-100-11</v>
      </c>
      <c r="F2280" t="s">
        <v>83</v>
      </c>
      <c r="G2280" t="s">
        <v>84</v>
      </c>
      <c r="H2280" t="s">
        <v>85</v>
      </c>
      <c r="AC2280">
        <v>0</v>
      </c>
      <c r="AD2280">
        <v>1</v>
      </c>
      <c r="AE2280">
        <v>0</v>
      </c>
      <c r="AF2280">
        <v>0</v>
      </c>
      <c r="AG2280">
        <v>1</v>
      </c>
      <c r="AJ2280">
        <v>0</v>
      </c>
      <c r="AK2280">
        <v>1</v>
      </c>
      <c r="AL2280">
        <v>0</v>
      </c>
      <c r="AM2280">
        <v>0</v>
      </c>
      <c r="AN2280">
        <v>1</v>
      </c>
      <c r="AO2280">
        <v>1</v>
      </c>
      <c r="AP2280">
        <v>1</v>
      </c>
      <c r="AQ2280">
        <v>1</v>
      </c>
      <c r="AR2280">
        <v>1</v>
      </c>
      <c r="AS2280">
        <v>0</v>
      </c>
      <c r="AT2280">
        <v>0</v>
      </c>
      <c r="AV2280">
        <v>1</v>
      </c>
      <c r="AW2280">
        <v>1</v>
      </c>
    </row>
    <row r="2281" spans="1:49" x14ac:dyDescent="0.25">
      <c r="A2281" t="str">
        <f>"2277"</f>
        <v>2277</v>
      </c>
      <c r="B2281" t="str">
        <f t="shared" si="131"/>
        <v>1</v>
      </c>
      <c r="C2281" t="str">
        <f t="shared" ref="C2281:C2305" si="132">"101"</f>
        <v>101</v>
      </c>
      <c r="D2281" t="str">
        <f>"25"</f>
        <v>25</v>
      </c>
      <c r="E2281" t="str">
        <f>"1-101-25"</f>
        <v>1-101-25</v>
      </c>
      <c r="F2281" t="s">
        <v>83</v>
      </c>
      <c r="G2281" t="s">
        <v>84</v>
      </c>
      <c r="H2281" t="s">
        <v>85</v>
      </c>
      <c r="AC2281">
        <v>1</v>
      </c>
      <c r="AD2281">
        <v>0</v>
      </c>
      <c r="AE2281">
        <v>0</v>
      </c>
      <c r="AF2281">
        <v>0</v>
      </c>
      <c r="AG2281">
        <v>1</v>
      </c>
      <c r="AJ2281">
        <v>0</v>
      </c>
      <c r="AK2281">
        <v>1</v>
      </c>
      <c r="AL2281">
        <v>0</v>
      </c>
      <c r="AM2281">
        <v>1</v>
      </c>
      <c r="AN2281">
        <v>0</v>
      </c>
      <c r="AO2281">
        <v>1</v>
      </c>
      <c r="AP2281">
        <v>1</v>
      </c>
      <c r="AQ2281">
        <v>1</v>
      </c>
      <c r="AR2281">
        <v>1</v>
      </c>
      <c r="AS2281">
        <v>0</v>
      </c>
      <c r="AT2281">
        <v>1</v>
      </c>
      <c r="AV2281">
        <v>1</v>
      </c>
      <c r="AW2281">
        <v>1</v>
      </c>
    </row>
    <row r="2282" spans="1:49" x14ac:dyDescent="0.25">
      <c r="A2282" t="str">
        <f>"2278"</f>
        <v>2278</v>
      </c>
      <c r="B2282" t="str">
        <f t="shared" si="131"/>
        <v>1</v>
      </c>
      <c r="C2282" t="str">
        <f t="shared" si="132"/>
        <v>101</v>
      </c>
      <c r="D2282" t="str">
        <f>"24"</f>
        <v>24</v>
      </c>
      <c r="E2282" t="str">
        <f>"1-101-24"</f>
        <v>1-101-24</v>
      </c>
      <c r="F2282" t="s">
        <v>83</v>
      </c>
      <c r="G2282" t="s">
        <v>84</v>
      </c>
      <c r="H2282" t="s">
        <v>85</v>
      </c>
      <c r="AC2282">
        <v>0</v>
      </c>
      <c r="AD2282">
        <v>1</v>
      </c>
      <c r="AE2282">
        <v>0</v>
      </c>
      <c r="AF2282">
        <v>0</v>
      </c>
      <c r="AG2282">
        <v>0</v>
      </c>
      <c r="AJ2282">
        <v>0</v>
      </c>
      <c r="AK2282">
        <v>1</v>
      </c>
      <c r="AL2282">
        <v>0</v>
      </c>
      <c r="AM2282">
        <v>0</v>
      </c>
      <c r="AN2282">
        <v>1</v>
      </c>
      <c r="AO2282">
        <v>1</v>
      </c>
      <c r="AP2282">
        <v>1</v>
      </c>
      <c r="AQ2282">
        <v>1</v>
      </c>
      <c r="AR2282">
        <v>1</v>
      </c>
      <c r="AS2282">
        <v>0</v>
      </c>
      <c r="AT2282">
        <v>1</v>
      </c>
      <c r="AV2282">
        <v>1</v>
      </c>
      <c r="AW2282">
        <v>1</v>
      </c>
    </row>
    <row r="2283" spans="1:49" x14ac:dyDescent="0.25">
      <c r="A2283" t="str">
        <f>"2279"</f>
        <v>2279</v>
      </c>
      <c r="B2283" t="str">
        <f t="shared" si="131"/>
        <v>1</v>
      </c>
      <c r="C2283" t="str">
        <f t="shared" si="132"/>
        <v>101</v>
      </c>
      <c r="D2283" t="str">
        <f>"16"</f>
        <v>16</v>
      </c>
      <c r="E2283" t="str">
        <f>"1-101-16"</f>
        <v>1-101-16</v>
      </c>
      <c r="F2283" t="s">
        <v>83</v>
      </c>
      <c r="G2283" t="s">
        <v>86</v>
      </c>
      <c r="H2283" t="s">
        <v>87</v>
      </c>
      <c r="AC2283">
        <v>0</v>
      </c>
      <c r="AD2283">
        <v>1</v>
      </c>
      <c r="AE2283">
        <v>0</v>
      </c>
      <c r="AF2283">
        <v>0</v>
      </c>
      <c r="AH2283">
        <v>1</v>
      </c>
      <c r="AI2283">
        <v>0</v>
      </c>
      <c r="AJ2283">
        <v>1</v>
      </c>
      <c r="AK2283">
        <v>0</v>
      </c>
      <c r="AL2283">
        <v>0</v>
      </c>
      <c r="AM2283">
        <v>0</v>
      </c>
      <c r="AN2283">
        <v>0</v>
      </c>
      <c r="AO2283">
        <v>1</v>
      </c>
      <c r="AP2283">
        <v>1</v>
      </c>
      <c r="AQ2283">
        <v>1</v>
      </c>
      <c r="AU2283">
        <v>1</v>
      </c>
      <c r="AV2283">
        <v>1</v>
      </c>
      <c r="AW2283">
        <v>0</v>
      </c>
    </row>
    <row r="2284" spans="1:49" x14ac:dyDescent="0.25">
      <c r="A2284" t="str">
        <f>"2280"</f>
        <v>2280</v>
      </c>
      <c r="B2284" t="str">
        <f t="shared" si="131"/>
        <v>1</v>
      </c>
      <c r="C2284" t="str">
        <f t="shared" si="132"/>
        <v>101</v>
      </c>
      <c r="D2284" t="str">
        <f>"8"</f>
        <v>8</v>
      </c>
      <c r="E2284" t="str">
        <f>"1-101-8"</f>
        <v>1-101-8</v>
      </c>
      <c r="F2284" t="s">
        <v>83</v>
      </c>
      <c r="G2284" t="s">
        <v>86</v>
      </c>
      <c r="H2284" t="s">
        <v>87</v>
      </c>
      <c r="AC2284">
        <v>0</v>
      </c>
      <c r="AD2284">
        <v>0</v>
      </c>
      <c r="AE2284">
        <v>0</v>
      </c>
      <c r="AF2284">
        <v>0</v>
      </c>
      <c r="AH2284">
        <v>0</v>
      </c>
      <c r="AI2284">
        <v>1</v>
      </c>
      <c r="AJ2284">
        <v>0</v>
      </c>
      <c r="AK2284">
        <v>0</v>
      </c>
      <c r="AL2284">
        <v>0</v>
      </c>
      <c r="AM2284">
        <v>0</v>
      </c>
      <c r="AN2284">
        <v>0</v>
      </c>
      <c r="AO2284">
        <v>0</v>
      </c>
      <c r="AP2284">
        <v>0</v>
      </c>
      <c r="AQ2284">
        <v>0</v>
      </c>
      <c r="AU2284">
        <v>0</v>
      </c>
      <c r="AV2284">
        <v>0</v>
      </c>
      <c r="AW2284">
        <v>0</v>
      </c>
    </row>
    <row r="2285" spans="1:49" x14ac:dyDescent="0.25">
      <c r="A2285" t="str">
        <f>"2281"</f>
        <v>2281</v>
      </c>
      <c r="B2285" t="str">
        <f t="shared" si="131"/>
        <v>1</v>
      </c>
      <c r="C2285" t="str">
        <f t="shared" si="132"/>
        <v>101</v>
      </c>
      <c r="D2285" t="str">
        <f>"23"</f>
        <v>23</v>
      </c>
      <c r="E2285" t="str">
        <f>"1-101-23"</f>
        <v>1-101-23</v>
      </c>
      <c r="F2285" t="s">
        <v>83</v>
      </c>
      <c r="G2285" t="s">
        <v>86</v>
      </c>
      <c r="H2285" t="s">
        <v>87</v>
      </c>
      <c r="AC2285">
        <v>0</v>
      </c>
      <c r="AD2285">
        <v>1</v>
      </c>
      <c r="AE2285">
        <v>0</v>
      </c>
      <c r="AF2285">
        <v>0</v>
      </c>
      <c r="AH2285">
        <v>1</v>
      </c>
      <c r="AI2285">
        <v>0</v>
      </c>
      <c r="AJ2285">
        <v>0</v>
      </c>
      <c r="AK2285">
        <v>1</v>
      </c>
      <c r="AL2285">
        <v>0</v>
      </c>
      <c r="AM2285">
        <v>0</v>
      </c>
      <c r="AN2285">
        <v>1</v>
      </c>
      <c r="AO2285">
        <v>1</v>
      </c>
      <c r="AP2285">
        <v>1</v>
      </c>
      <c r="AQ2285">
        <v>1</v>
      </c>
      <c r="AU2285">
        <v>1</v>
      </c>
      <c r="AV2285">
        <v>1</v>
      </c>
      <c r="AW2285">
        <v>0</v>
      </c>
    </row>
    <row r="2286" spans="1:49" x14ac:dyDescent="0.25">
      <c r="A2286" t="str">
        <f>"2282"</f>
        <v>2282</v>
      </c>
      <c r="B2286" t="str">
        <f t="shared" si="131"/>
        <v>1</v>
      </c>
      <c r="C2286" t="str">
        <f t="shared" si="132"/>
        <v>101</v>
      </c>
      <c r="D2286" t="str">
        <f>"22"</f>
        <v>22</v>
      </c>
      <c r="E2286" t="str">
        <f>"1-101-22"</f>
        <v>1-101-22</v>
      </c>
      <c r="F2286" t="s">
        <v>83</v>
      </c>
      <c r="G2286" t="s">
        <v>86</v>
      </c>
      <c r="H2286" t="s">
        <v>87</v>
      </c>
      <c r="AC2286">
        <v>1</v>
      </c>
      <c r="AD2286">
        <v>0</v>
      </c>
      <c r="AE2286">
        <v>0</v>
      </c>
      <c r="AF2286">
        <v>0</v>
      </c>
      <c r="AH2286">
        <v>0</v>
      </c>
      <c r="AI2286">
        <v>1</v>
      </c>
      <c r="AJ2286">
        <v>1</v>
      </c>
      <c r="AK2286">
        <v>0</v>
      </c>
      <c r="AL2286">
        <v>1</v>
      </c>
      <c r="AM2286">
        <v>0</v>
      </c>
      <c r="AN2286">
        <v>0</v>
      </c>
      <c r="AO2286">
        <v>0</v>
      </c>
      <c r="AP2286">
        <v>0</v>
      </c>
      <c r="AQ2286">
        <v>0</v>
      </c>
      <c r="AU2286">
        <v>1</v>
      </c>
      <c r="AV2286">
        <v>0</v>
      </c>
      <c r="AW2286">
        <v>0</v>
      </c>
    </row>
    <row r="2287" spans="1:49" x14ac:dyDescent="0.25">
      <c r="A2287" t="str">
        <f>"2283"</f>
        <v>2283</v>
      </c>
      <c r="B2287" t="str">
        <f t="shared" si="131"/>
        <v>1</v>
      </c>
      <c r="C2287" t="str">
        <f t="shared" si="132"/>
        <v>101</v>
      </c>
      <c r="D2287" t="str">
        <f>"15"</f>
        <v>15</v>
      </c>
      <c r="E2287" t="str">
        <f>"1-101-15"</f>
        <v>1-101-15</v>
      </c>
      <c r="F2287" t="s">
        <v>83</v>
      </c>
      <c r="G2287" t="s">
        <v>86</v>
      </c>
      <c r="H2287" t="s">
        <v>87</v>
      </c>
      <c r="AC2287">
        <v>0</v>
      </c>
      <c r="AD2287">
        <v>0</v>
      </c>
      <c r="AE2287">
        <v>0</v>
      </c>
      <c r="AF2287">
        <v>0</v>
      </c>
      <c r="AH2287">
        <v>0</v>
      </c>
      <c r="AI2287">
        <v>1</v>
      </c>
      <c r="AJ2287">
        <v>0</v>
      </c>
      <c r="AK2287">
        <v>0</v>
      </c>
      <c r="AL2287">
        <v>0</v>
      </c>
      <c r="AM2287">
        <v>0</v>
      </c>
      <c r="AN2287">
        <v>0</v>
      </c>
      <c r="AO2287">
        <v>0</v>
      </c>
      <c r="AP2287">
        <v>0</v>
      </c>
      <c r="AQ2287">
        <v>0</v>
      </c>
      <c r="AU2287">
        <v>0</v>
      </c>
      <c r="AV2287">
        <v>0</v>
      </c>
      <c r="AW2287">
        <v>0</v>
      </c>
    </row>
    <row r="2288" spans="1:49" x14ac:dyDescent="0.25">
      <c r="A2288" t="str">
        <f>"2284"</f>
        <v>2284</v>
      </c>
      <c r="B2288" t="str">
        <f t="shared" si="131"/>
        <v>1</v>
      </c>
      <c r="C2288" t="str">
        <f t="shared" si="132"/>
        <v>101</v>
      </c>
      <c r="D2288" t="str">
        <f>"9"</f>
        <v>9</v>
      </c>
      <c r="E2288" t="str">
        <f>"1-101-9"</f>
        <v>1-101-9</v>
      </c>
      <c r="F2288" t="s">
        <v>83</v>
      </c>
      <c r="G2288" t="s">
        <v>86</v>
      </c>
      <c r="H2288" t="s">
        <v>87</v>
      </c>
      <c r="AC2288">
        <v>1</v>
      </c>
      <c r="AD2288">
        <v>0</v>
      </c>
      <c r="AE2288">
        <v>0</v>
      </c>
      <c r="AF2288">
        <v>0</v>
      </c>
      <c r="AH2288">
        <v>1</v>
      </c>
      <c r="AI2288">
        <v>0</v>
      </c>
      <c r="AJ2288">
        <v>1</v>
      </c>
      <c r="AK2288">
        <v>0</v>
      </c>
      <c r="AL2288">
        <v>1</v>
      </c>
      <c r="AM2288">
        <v>0</v>
      </c>
      <c r="AN2288">
        <v>0</v>
      </c>
      <c r="AO2288">
        <v>1</v>
      </c>
      <c r="AP2288">
        <v>1</v>
      </c>
      <c r="AQ2288">
        <v>1</v>
      </c>
      <c r="AU2288">
        <v>1</v>
      </c>
      <c r="AV2288">
        <v>1</v>
      </c>
      <c r="AW2288">
        <v>1</v>
      </c>
    </row>
    <row r="2289" spans="1:49" x14ac:dyDescent="0.25">
      <c r="A2289" t="str">
        <f>"2285"</f>
        <v>2285</v>
      </c>
      <c r="B2289" t="str">
        <f t="shared" si="131"/>
        <v>1</v>
      </c>
      <c r="C2289" t="str">
        <f t="shared" si="132"/>
        <v>101</v>
      </c>
      <c r="D2289" t="str">
        <f>"3"</f>
        <v>3</v>
      </c>
      <c r="E2289" t="str">
        <f>"1-101-3"</f>
        <v>1-101-3</v>
      </c>
      <c r="F2289" t="s">
        <v>83</v>
      </c>
      <c r="G2289" t="s">
        <v>86</v>
      </c>
      <c r="H2289" t="s">
        <v>87</v>
      </c>
      <c r="AC2289">
        <v>0</v>
      </c>
      <c r="AD2289">
        <v>0</v>
      </c>
      <c r="AE2289">
        <v>0</v>
      </c>
      <c r="AF2289">
        <v>0</v>
      </c>
      <c r="AH2289">
        <v>0</v>
      </c>
      <c r="AI2289">
        <v>1</v>
      </c>
      <c r="AJ2289">
        <v>0</v>
      </c>
      <c r="AK2289">
        <v>0</v>
      </c>
      <c r="AL2289">
        <v>0</v>
      </c>
      <c r="AM2289">
        <v>0</v>
      </c>
      <c r="AN2289">
        <v>0</v>
      </c>
      <c r="AO2289">
        <v>0</v>
      </c>
      <c r="AP2289">
        <v>0</v>
      </c>
      <c r="AQ2289">
        <v>0</v>
      </c>
      <c r="AU2289">
        <v>0</v>
      </c>
      <c r="AV2289">
        <v>0</v>
      </c>
      <c r="AW2289">
        <v>0</v>
      </c>
    </row>
    <row r="2290" spans="1:49" x14ac:dyDescent="0.25">
      <c r="A2290" t="str">
        <f>"2286"</f>
        <v>2286</v>
      </c>
      <c r="B2290" t="str">
        <f t="shared" si="131"/>
        <v>1</v>
      </c>
      <c r="C2290" t="str">
        <f t="shared" si="132"/>
        <v>101</v>
      </c>
      <c r="D2290" t="str">
        <f>"17"</f>
        <v>17</v>
      </c>
      <c r="E2290" t="str">
        <f>"1-101-17"</f>
        <v>1-101-17</v>
      </c>
      <c r="F2290" t="s">
        <v>83</v>
      </c>
      <c r="G2290" t="s">
        <v>86</v>
      </c>
      <c r="H2290" t="s">
        <v>87</v>
      </c>
      <c r="AC2290">
        <v>1</v>
      </c>
      <c r="AD2290">
        <v>0</v>
      </c>
      <c r="AE2290">
        <v>0</v>
      </c>
      <c r="AF2290">
        <v>0</v>
      </c>
      <c r="AH2290">
        <v>1</v>
      </c>
      <c r="AI2290">
        <v>0</v>
      </c>
      <c r="AJ2290">
        <v>1</v>
      </c>
      <c r="AK2290">
        <v>0</v>
      </c>
      <c r="AL2290">
        <v>1</v>
      </c>
      <c r="AM2290">
        <v>0</v>
      </c>
      <c r="AN2290">
        <v>0</v>
      </c>
      <c r="AO2290">
        <v>1</v>
      </c>
      <c r="AP2290">
        <v>1</v>
      </c>
      <c r="AQ2290">
        <v>1</v>
      </c>
      <c r="AU2290">
        <v>1</v>
      </c>
      <c r="AV2290">
        <v>1</v>
      </c>
      <c r="AW2290">
        <v>1</v>
      </c>
    </row>
    <row r="2291" spans="1:49" x14ac:dyDescent="0.25">
      <c r="A2291" t="str">
        <f>"2287"</f>
        <v>2287</v>
      </c>
      <c r="B2291" t="str">
        <f t="shared" si="131"/>
        <v>1</v>
      </c>
      <c r="C2291" t="str">
        <f t="shared" si="132"/>
        <v>101</v>
      </c>
      <c r="D2291" t="str">
        <f>"10"</f>
        <v>10</v>
      </c>
      <c r="E2291" t="str">
        <f>"1-101-10"</f>
        <v>1-101-10</v>
      </c>
      <c r="F2291" t="s">
        <v>83</v>
      </c>
      <c r="G2291" t="s">
        <v>86</v>
      </c>
      <c r="H2291" t="s">
        <v>87</v>
      </c>
      <c r="AC2291">
        <v>0</v>
      </c>
      <c r="AD2291">
        <v>0</v>
      </c>
      <c r="AE2291">
        <v>0</v>
      </c>
      <c r="AF2291">
        <v>0</v>
      </c>
      <c r="AH2291">
        <v>0</v>
      </c>
      <c r="AI2291">
        <v>1</v>
      </c>
      <c r="AJ2291">
        <v>0</v>
      </c>
      <c r="AK2291">
        <v>0</v>
      </c>
      <c r="AL2291">
        <v>0</v>
      </c>
      <c r="AM2291">
        <v>0</v>
      </c>
      <c r="AN2291">
        <v>0</v>
      </c>
      <c r="AO2291">
        <v>0</v>
      </c>
      <c r="AP2291">
        <v>0</v>
      </c>
      <c r="AQ2291">
        <v>0</v>
      </c>
      <c r="AU2291">
        <v>0</v>
      </c>
      <c r="AV2291">
        <v>0</v>
      </c>
      <c r="AW2291">
        <v>0</v>
      </c>
    </row>
    <row r="2292" spans="1:49" x14ac:dyDescent="0.25">
      <c r="A2292" t="str">
        <f>"2288"</f>
        <v>2288</v>
      </c>
      <c r="B2292" t="str">
        <f t="shared" si="131"/>
        <v>1</v>
      </c>
      <c r="C2292" t="str">
        <f t="shared" si="132"/>
        <v>101</v>
      </c>
      <c r="D2292" t="str">
        <f>"1"</f>
        <v>1</v>
      </c>
      <c r="E2292" t="str">
        <f>"1-101-1"</f>
        <v>1-101-1</v>
      </c>
      <c r="F2292" t="s">
        <v>83</v>
      </c>
      <c r="G2292" t="s">
        <v>86</v>
      </c>
      <c r="H2292" t="s">
        <v>87</v>
      </c>
      <c r="AC2292">
        <v>0</v>
      </c>
      <c r="AD2292">
        <v>1</v>
      </c>
      <c r="AE2292">
        <v>0</v>
      </c>
      <c r="AF2292">
        <v>0</v>
      </c>
      <c r="AH2292">
        <v>0</v>
      </c>
      <c r="AI2292">
        <v>1</v>
      </c>
      <c r="AJ2292">
        <v>0</v>
      </c>
      <c r="AK2292">
        <v>1</v>
      </c>
      <c r="AL2292">
        <v>0</v>
      </c>
      <c r="AM2292">
        <v>1</v>
      </c>
      <c r="AN2292">
        <v>0</v>
      </c>
      <c r="AO2292">
        <v>1</v>
      </c>
      <c r="AP2292">
        <v>1</v>
      </c>
      <c r="AQ2292">
        <v>1</v>
      </c>
      <c r="AU2292">
        <v>1</v>
      </c>
      <c r="AV2292">
        <v>1</v>
      </c>
      <c r="AW2292">
        <v>1</v>
      </c>
    </row>
    <row r="2293" spans="1:49" x14ac:dyDescent="0.25">
      <c r="A2293" t="str">
        <f>"2289"</f>
        <v>2289</v>
      </c>
      <c r="B2293" t="str">
        <f t="shared" si="131"/>
        <v>1</v>
      </c>
      <c r="C2293" t="str">
        <f t="shared" si="132"/>
        <v>101</v>
      </c>
      <c r="D2293" t="str">
        <f>"11"</f>
        <v>11</v>
      </c>
      <c r="E2293" t="str">
        <f>"1-101-11"</f>
        <v>1-101-11</v>
      </c>
      <c r="F2293" t="s">
        <v>83</v>
      </c>
      <c r="G2293" t="s">
        <v>86</v>
      </c>
      <c r="H2293" t="s">
        <v>87</v>
      </c>
      <c r="AC2293">
        <v>1</v>
      </c>
      <c r="AD2293">
        <v>0</v>
      </c>
      <c r="AE2293">
        <v>0</v>
      </c>
      <c r="AF2293">
        <v>0</v>
      </c>
      <c r="AH2293">
        <v>1</v>
      </c>
      <c r="AI2293">
        <v>0</v>
      </c>
      <c r="AJ2293">
        <v>0</v>
      </c>
      <c r="AK2293">
        <v>1</v>
      </c>
      <c r="AL2293">
        <v>0</v>
      </c>
      <c r="AM2293">
        <v>0</v>
      </c>
      <c r="AN2293">
        <v>1</v>
      </c>
      <c r="AO2293">
        <v>1</v>
      </c>
      <c r="AP2293">
        <v>1</v>
      </c>
      <c r="AQ2293">
        <v>1</v>
      </c>
      <c r="AU2293">
        <v>1</v>
      </c>
      <c r="AV2293">
        <v>1</v>
      </c>
      <c r="AW2293">
        <v>1</v>
      </c>
    </row>
    <row r="2294" spans="1:49" x14ac:dyDescent="0.25">
      <c r="A2294" t="str">
        <f>"2290"</f>
        <v>2290</v>
      </c>
      <c r="B2294" t="str">
        <f t="shared" si="131"/>
        <v>1</v>
      </c>
      <c r="C2294" t="str">
        <f t="shared" si="132"/>
        <v>101</v>
      </c>
      <c r="D2294" t="str">
        <f>"6"</f>
        <v>6</v>
      </c>
      <c r="E2294" t="str">
        <f>"1-101-6"</f>
        <v>1-101-6</v>
      </c>
      <c r="F2294" t="s">
        <v>83</v>
      </c>
      <c r="G2294" t="s">
        <v>86</v>
      </c>
      <c r="H2294" t="s">
        <v>87</v>
      </c>
      <c r="AC2294">
        <v>1</v>
      </c>
      <c r="AD2294">
        <v>0</v>
      </c>
      <c r="AE2294">
        <v>0</v>
      </c>
      <c r="AF2294">
        <v>0</v>
      </c>
      <c r="AH2294">
        <v>0</v>
      </c>
      <c r="AI2294">
        <v>1</v>
      </c>
      <c r="AJ2294">
        <v>0</v>
      </c>
      <c r="AK2294">
        <v>1</v>
      </c>
      <c r="AL2294">
        <v>0</v>
      </c>
      <c r="AM2294">
        <v>0</v>
      </c>
      <c r="AN2294">
        <v>1</v>
      </c>
      <c r="AO2294">
        <v>0</v>
      </c>
      <c r="AP2294">
        <v>0</v>
      </c>
      <c r="AQ2294">
        <v>0</v>
      </c>
      <c r="AU2294">
        <v>0</v>
      </c>
      <c r="AV2294">
        <v>0</v>
      </c>
      <c r="AW2294">
        <v>0</v>
      </c>
    </row>
    <row r="2295" spans="1:49" x14ac:dyDescent="0.25">
      <c r="A2295" t="str">
        <f>"2291"</f>
        <v>2291</v>
      </c>
      <c r="B2295" t="str">
        <f t="shared" si="131"/>
        <v>1</v>
      </c>
      <c r="C2295" t="str">
        <f t="shared" si="132"/>
        <v>101</v>
      </c>
      <c r="D2295" t="str">
        <f>"19"</f>
        <v>19</v>
      </c>
      <c r="E2295" t="str">
        <f>"1-101-19"</f>
        <v>1-101-19</v>
      </c>
      <c r="F2295" t="s">
        <v>83</v>
      </c>
      <c r="G2295" t="s">
        <v>86</v>
      </c>
      <c r="H2295" t="s">
        <v>87</v>
      </c>
      <c r="AC2295">
        <v>0</v>
      </c>
      <c r="AD2295">
        <v>1</v>
      </c>
      <c r="AE2295">
        <v>0</v>
      </c>
      <c r="AF2295">
        <v>0</v>
      </c>
      <c r="AH2295">
        <v>0</v>
      </c>
      <c r="AI2295">
        <v>1</v>
      </c>
      <c r="AJ2295">
        <v>0</v>
      </c>
      <c r="AK2295">
        <v>1</v>
      </c>
      <c r="AL2295">
        <v>0</v>
      </c>
      <c r="AM2295">
        <v>0</v>
      </c>
      <c r="AN2295">
        <v>1</v>
      </c>
      <c r="AO2295">
        <v>0</v>
      </c>
      <c r="AP2295">
        <v>0</v>
      </c>
      <c r="AQ2295">
        <v>0</v>
      </c>
      <c r="AU2295">
        <v>0</v>
      </c>
      <c r="AV2295">
        <v>0</v>
      </c>
      <c r="AW2295">
        <v>0</v>
      </c>
    </row>
    <row r="2296" spans="1:49" x14ac:dyDescent="0.25">
      <c r="A2296" t="str">
        <f>"2292"</f>
        <v>2292</v>
      </c>
      <c r="B2296" t="str">
        <f t="shared" si="131"/>
        <v>1</v>
      </c>
      <c r="C2296" t="str">
        <f t="shared" si="132"/>
        <v>101</v>
      </c>
      <c r="D2296" t="str">
        <f>"12"</f>
        <v>12</v>
      </c>
      <c r="E2296" t="str">
        <f>"1-101-12"</f>
        <v>1-101-12</v>
      </c>
      <c r="F2296" t="s">
        <v>83</v>
      </c>
      <c r="G2296" t="s">
        <v>86</v>
      </c>
      <c r="H2296" t="s">
        <v>87</v>
      </c>
      <c r="AC2296">
        <v>1</v>
      </c>
      <c r="AD2296">
        <v>0</v>
      </c>
      <c r="AE2296">
        <v>0</v>
      </c>
      <c r="AF2296">
        <v>0</v>
      </c>
      <c r="AH2296">
        <v>0</v>
      </c>
      <c r="AI2296">
        <v>1</v>
      </c>
      <c r="AJ2296">
        <v>0</v>
      </c>
      <c r="AK2296">
        <v>1</v>
      </c>
      <c r="AL2296">
        <v>1</v>
      </c>
      <c r="AM2296">
        <v>0</v>
      </c>
      <c r="AN2296">
        <v>0</v>
      </c>
      <c r="AO2296">
        <v>1</v>
      </c>
      <c r="AP2296">
        <v>1</v>
      </c>
      <c r="AQ2296">
        <v>1</v>
      </c>
      <c r="AU2296">
        <v>1</v>
      </c>
      <c r="AV2296">
        <v>1</v>
      </c>
      <c r="AW2296">
        <v>1</v>
      </c>
    </row>
    <row r="2297" spans="1:49" x14ac:dyDescent="0.25">
      <c r="A2297" t="str">
        <f>"2293"</f>
        <v>2293</v>
      </c>
      <c r="B2297" t="str">
        <f t="shared" si="131"/>
        <v>1</v>
      </c>
      <c r="C2297" t="str">
        <f t="shared" si="132"/>
        <v>101</v>
      </c>
      <c r="D2297" t="str">
        <f>"7"</f>
        <v>7</v>
      </c>
      <c r="E2297" t="str">
        <f>"1-101-7"</f>
        <v>1-101-7</v>
      </c>
      <c r="F2297" t="s">
        <v>83</v>
      </c>
      <c r="G2297" t="s">
        <v>86</v>
      </c>
      <c r="H2297" t="s">
        <v>87</v>
      </c>
      <c r="AC2297">
        <v>0</v>
      </c>
      <c r="AD2297">
        <v>1</v>
      </c>
      <c r="AE2297">
        <v>0</v>
      </c>
      <c r="AF2297">
        <v>0</v>
      </c>
      <c r="AH2297">
        <v>1</v>
      </c>
      <c r="AI2297">
        <v>0</v>
      </c>
      <c r="AJ2297">
        <v>0</v>
      </c>
      <c r="AK2297">
        <v>1</v>
      </c>
      <c r="AL2297">
        <v>0</v>
      </c>
      <c r="AM2297">
        <v>1</v>
      </c>
      <c r="AN2297">
        <v>0</v>
      </c>
      <c r="AO2297">
        <v>1</v>
      </c>
      <c r="AP2297">
        <v>1</v>
      </c>
      <c r="AQ2297">
        <v>1</v>
      </c>
      <c r="AU2297">
        <v>1</v>
      </c>
      <c r="AV2297">
        <v>1</v>
      </c>
      <c r="AW2297">
        <v>1</v>
      </c>
    </row>
    <row r="2298" spans="1:49" x14ac:dyDescent="0.25">
      <c r="A2298" t="str">
        <f>"2294"</f>
        <v>2294</v>
      </c>
      <c r="B2298" t="str">
        <f t="shared" si="131"/>
        <v>1</v>
      </c>
      <c r="C2298" t="str">
        <f t="shared" si="132"/>
        <v>101</v>
      </c>
      <c r="D2298" t="str">
        <f>"21"</f>
        <v>21</v>
      </c>
      <c r="E2298" t="str">
        <f>"1-101-21"</f>
        <v>1-101-21</v>
      </c>
      <c r="F2298" t="s">
        <v>83</v>
      </c>
      <c r="G2298" t="s">
        <v>86</v>
      </c>
      <c r="H2298" t="s">
        <v>87</v>
      </c>
      <c r="AC2298">
        <v>1</v>
      </c>
      <c r="AD2298">
        <v>0</v>
      </c>
      <c r="AE2298">
        <v>0</v>
      </c>
      <c r="AF2298">
        <v>0</v>
      </c>
      <c r="AH2298">
        <v>0</v>
      </c>
      <c r="AI2298">
        <v>1</v>
      </c>
      <c r="AJ2298">
        <v>1</v>
      </c>
      <c r="AK2298">
        <v>0</v>
      </c>
      <c r="AL2298">
        <v>1</v>
      </c>
      <c r="AM2298">
        <v>0</v>
      </c>
      <c r="AN2298">
        <v>0</v>
      </c>
      <c r="AO2298">
        <v>0</v>
      </c>
      <c r="AP2298">
        <v>0</v>
      </c>
      <c r="AQ2298">
        <v>0</v>
      </c>
      <c r="AU2298">
        <v>1</v>
      </c>
      <c r="AV2298">
        <v>0</v>
      </c>
      <c r="AW2298">
        <v>0</v>
      </c>
    </row>
    <row r="2299" spans="1:49" x14ac:dyDescent="0.25">
      <c r="A2299" t="str">
        <f>"2295"</f>
        <v>2295</v>
      </c>
      <c r="B2299" t="str">
        <f t="shared" si="131"/>
        <v>1</v>
      </c>
      <c r="C2299" t="str">
        <f t="shared" si="132"/>
        <v>101</v>
      </c>
      <c r="D2299" t="str">
        <f>"13"</f>
        <v>13</v>
      </c>
      <c r="E2299" t="str">
        <f>"1-101-13"</f>
        <v>1-101-13</v>
      </c>
      <c r="F2299" t="s">
        <v>83</v>
      </c>
      <c r="G2299" t="s">
        <v>86</v>
      </c>
      <c r="H2299" t="s">
        <v>87</v>
      </c>
      <c r="AC2299">
        <v>1</v>
      </c>
      <c r="AD2299">
        <v>0</v>
      </c>
      <c r="AE2299">
        <v>0</v>
      </c>
      <c r="AF2299">
        <v>0</v>
      </c>
      <c r="AH2299">
        <v>1</v>
      </c>
      <c r="AI2299">
        <v>0</v>
      </c>
      <c r="AJ2299">
        <v>1</v>
      </c>
      <c r="AK2299">
        <v>0</v>
      </c>
      <c r="AL2299">
        <v>1</v>
      </c>
      <c r="AM2299">
        <v>0</v>
      </c>
      <c r="AN2299">
        <v>0</v>
      </c>
      <c r="AO2299">
        <v>0</v>
      </c>
      <c r="AP2299">
        <v>0</v>
      </c>
      <c r="AQ2299">
        <v>1</v>
      </c>
      <c r="AU2299">
        <v>0</v>
      </c>
      <c r="AV2299">
        <v>0</v>
      </c>
      <c r="AW2299">
        <v>0</v>
      </c>
    </row>
    <row r="2300" spans="1:49" x14ac:dyDescent="0.25">
      <c r="A2300" t="str">
        <f>"2296"</f>
        <v>2296</v>
      </c>
      <c r="B2300" t="str">
        <f t="shared" si="131"/>
        <v>1</v>
      </c>
      <c r="C2300" t="str">
        <f t="shared" si="132"/>
        <v>101</v>
      </c>
      <c r="D2300" t="str">
        <f>"5"</f>
        <v>5</v>
      </c>
      <c r="E2300" t="str">
        <f>"1-101-5"</f>
        <v>1-101-5</v>
      </c>
      <c r="F2300" t="s">
        <v>83</v>
      </c>
      <c r="G2300" t="s">
        <v>86</v>
      </c>
      <c r="H2300" t="s">
        <v>87</v>
      </c>
      <c r="AC2300">
        <v>0</v>
      </c>
      <c r="AD2300">
        <v>1</v>
      </c>
      <c r="AE2300">
        <v>0</v>
      </c>
      <c r="AF2300">
        <v>0</v>
      </c>
      <c r="AH2300">
        <v>1</v>
      </c>
      <c r="AI2300">
        <v>0</v>
      </c>
      <c r="AJ2300">
        <v>0</v>
      </c>
      <c r="AK2300">
        <v>1</v>
      </c>
      <c r="AL2300">
        <v>1</v>
      </c>
      <c r="AM2300">
        <v>0</v>
      </c>
      <c r="AN2300">
        <v>0</v>
      </c>
      <c r="AO2300">
        <v>1</v>
      </c>
      <c r="AP2300">
        <v>1</v>
      </c>
      <c r="AQ2300">
        <v>1</v>
      </c>
      <c r="AU2300">
        <v>1</v>
      </c>
      <c r="AV2300">
        <v>1</v>
      </c>
      <c r="AW2300">
        <v>1</v>
      </c>
    </row>
    <row r="2301" spans="1:49" x14ac:dyDescent="0.25">
      <c r="A2301" t="str">
        <f>"2297"</f>
        <v>2297</v>
      </c>
      <c r="B2301" t="str">
        <f t="shared" si="131"/>
        <v>1</v>
      </c>
      <c r="C2301" t="str">
        <f t="shared" si="132"/>
        <v>101</v>
      </c>
      <c r="D2301" t="str">
        <f>"20"</f>
        <v>20</v>
      </c>
      <c r="E2301" t="str">
        <f>"1-101-20"</f>
        <v>1-101-20</v>
      </c>
      <c r="F2301" t="s">
        <v>83</v>
      </c>
      <c r="G2301" t="s">
        <v>86</v>
      </c>
      <c r="H2301" t="s">
        <v>87</v>
      </c>
      <c r="AC2301">
        <v>0</v>
      </c>
      <c r="AD2301">
        <v>1</v>
      </c>
      <c r="AE2301">
        <v>0</v>
      </c>
      <c r="AF2301">
        <v>0</v>
      </c>
      <c r="AH2301">
        <v>1</v>
      </c>
      <c r="AI2301">
        <v>0</v>
      </c>
      <c r="AJ2301">
        <v>1</v>
      </c>
      <c r="AK2301">
        <v>0</v>
      </c>
      <c r="AL2301">
        <v>1</v>
      </c>
      <c r="AM2301">
        <v>0</v>
      </c>
      <c r="AN2301">
        <v>0</v>
      </c>
      <c r="AO2301">
        <v>1</v>
      </c>
      <c r="AP2301">
        <v>1</v>
      </c>
      <c r="AQ2301">
        <v>1</v>
      </c>
      <c r="AU2301">
        <v>1</v>
      </c>
      <c r="AV2301">
        <v>1</v>
      </c>
      <c r="AW2301">
        <v>1</v>
      </c>
    </row>
    <row r="2302" spans="1:49" x14ac:dyDescent="0.25">
      <c r="A2302" t="str">
        <f>"2298"</f>
        <v>2298</v>
      </c>
      <c r="B2302" t="str">
        <f t="shared" si="131"/>
        <v>1</v>
      </c>
      <c r="C2302" t="str">
        <f t="shared" si="132"/>
        <v>101</v>
      </c>
      <c r="D2302" t="str">
        <f>"14"</f>
        <v>14</v>
      </c>
      <c r="E2302" t="str">
        <f>"1-101-14"</f>
        <v>1-101-14</v>
      </c>
      <c r="F2302" t="s">
        <v>83</v>
      </c>
      <c r="G2302" t="s">
        <v>86</v>
      </c>
      <c r="H2302" t="s">
        <v>87</v>
      </c>
      <c r="AC2302">
        <v>0</v>
      </c>
      <c r="AD2302">
        <v>1</v>
      </c>
      <c r="AE2302">
        <v>0</v>
      </c>
      <c r="AF2302">
        <v>0</v>
      </c>
      <c r="AH2302">
        <v>1</v>
      </c>
      <c r="AI2302">
        <v>0</v>
      </c>
      <c r="AJ2302">
        <v>0</v>
      </c>
      <c r="AK2302">
        <v>1</v>
      </c>
      <c r="AL2302">
        <v>0</v>
      </c>
      <c r="AM2302">
        <v>0</v>
      </c>
      <c r="AN2302">
        <v>1</v>
      </c>
      <c r="AO2302">
        <v>1</v>
      </c>
      <c r="AP2302">
        <v>1</v>
      </c>
      <c r="AQ2302">
        <v>0</v>
      </c>
      <c r="AU2302">
        <v>1</v>
      </c>
      <c r="AV2302">
        <v>1</v>
      </c>
      <c r="AW2302">
        <v>0</v>
      </c>
    </row>
    <row r="2303" spans="1:49" x14ac:dyDescent="0.25">
      <c r="A2303" t="str">
        <f>"2299"</f>
        <v>2299</v>
      </c>
      <c r="B2303" t="str">
        <f t="shared" si="131"/>
        <v>1</v>
      </c>
      <c r="C2303" t="str">
        <f t="shared" si="132"/>
        <v>101</v>
      </c>
      <c r="D2303" t="str">
        <f>"2"</f>
        <v>2</v>
      </c>
      <c r="E2303" t="str">
        <f>"1-101-2"</f>
        <v>1-101-2</v>
      </c>
      <c r="F2303" t="s">
        <v>83</v>
      </c>
      <c r="G2303" t="s">
        <v>86</v>
      </c>
      <c r="H2303" t="s">
        <v>87</v>
      </c>
      <c r="AC2303">
        <v>0</v>
      </c>
      <c r="AD2303">
        <v>0</v>
      </c>
      <c r="AE2303">
        <v>0</v>
      </c>
      <c r="AF2303">
        <v>0</v>
      </c>
      <c r="AH2303">
        <v>0</v>
      </c>
      <c r="AI2303">
        <v>1</v>
      </c>
      <c r="AJ2303">
        <v>0</v>
      </c>
      <c r="AK2303">
        <v>0</v>
      </c>
      <c r="AL2303">
        <v>0</v>
      </c>
      <c r="AM2303">
        <v>0</v>
      </c>
      <c r="AN2303">
        <v>0</v>
      </c>
      <c r="AO2303">
        <v>0</v>
      </c>
      <c r="AP2303">
        <v>0</v>
      </c>
      <c r="AQ2303">
        <v>0</v>
      </c>
      <c r="AU2303">
        <v>0</v>
      </c>
      <c r="AV2303">
        <v>0</v>
      </c>
      <c r="AW2303">
        <v>0</v>
      </c>
    </row>
    <row r="2304" spans="1:49" x14ac:dyDescent="0.25">
      <c r="A2304" t="str">
        <f>"2300"</f>
        <v>2300</v>
      </c>
      <c r="B2304" t="str">
        <f t="shared" si="131"/>
        <v>1</v>
      </c>
      <c r="C2304" t="str">
        <f t="shared" si="132"/>
        <v>101</v>
      </c>
      <c r="D2304" t="str">
        <f>"4"</f>
        <v>4</v>
      </c>
      <c r="E2304" t="str">
        <f>"1-101-4"</f>
        <v>1-101-4</v>
      </c>
      <c r="F2304" t="s">
        <v>83</v>
      </c>
      <c r="G2304" t="s">
        <v>86</v>
      </c>
      <c r="H2304" t="s">
        <v>87</v>
      </c>
      <c r="AC2304">
        <v>0</v>
      </c>
      <c r="AD2304">
        <v>0</v>
      </c>
      <c r="AE2304">
        <v>0</v>
      </c>
      <c r="AF2304">
        <v>0</v>
      </c>
      <c r="AH2304">
        <v>0</v>
      </c>
      <c r="AI2304">
        <v>1</v>
      </c>
      <c r="AJ2304">
        <v>0</v>
      </c>
      <c r="AK2304">
        <v>0</v>
      </c>
      <c r="AL2304">
        <v>0</v>
      </c>
      <c r="AM2304">
        <v>0</v>
      </c>
      <c r="AN2304">
        <v>0</v>
      </c>
      <c r="AO2304">
        <v>1</v>
      </c>
      <c r="AP2304">
        <v>1</v>
      </c>
      <c r="AQ2304">
        <v>1</v>
      </c>
      <c r="AU2304">
        <v>1</v>
      </c>
      <c r="AV2304">
        <v>1</v>
      </c>
      <c r="AW2304">
        <v>1</v>
      </c>
    </row>
    <row r="2305" spans="1:49" x14ac:dyDescent="0.25">
      <c r="A2305" t="str">
        <f>"2301"</f>
        <v>2301</v>
      </c>
      <c r="B2305" t="str">
        <f t="shared" si="131"/>
        <v>1</v>
      </c>
      <c r="C2305" t="str">
        <f t="shared" si="132"/>
        <v>101</v>
      </c>
      <c r="D2305" t="str">
        <f>"18"</f>
        <v>18</v>
      </c>
      <c r="E2305" t="str">
        <f>"1-101-18"</f>
        <v>1-101-18</v>
      </c>
      <c r="F2305" t="s">
        <v>83</v>
      </c>
      <c r="G2305" t="s">
        <v>86</v>
      </c>
      <c r="H2305" t="s">
        <v>87</v>
      </c>
      <c r="AC2305">
        <v>1</v>
      </c>
      <c r="AD2305">
        <v>0</v>
      </c>
      <c r="AE2305">
        <v>0</v>
      </c>
      <c r="AF2305">
        <v>0</v>
      </c>
      <c r="AH2305">
        <v>1</v>
      </c>
      <c r="AI2305">
        <v>0</v>
      </c>
      <c r="AJ2305">
        <v>1</v>
      </c>
      <c r="AK2305">
        <v>0</v>
      </c>
      <c r="AL2305">
        <v>1</v>
      </c>
      <c r="AM2305">
        <v>0</v>
      </c>
      <c r="AN2305">
        <v>0</v>
      </c>
      <c r="AO2305">
        <v>1</v>
      </c>
      <c r="AP2305">
        <v>1</v>
      </c>
      <c r="AQ2305">
        <v>1</v>
      </c>
      <c r="AU2305">
        <v>1</v>
      </c>
      <c r="AV2305">
        <v>1</v>
      </c>
      <c r="AW2305">
        <v>1</v>
      </c>
    </row>
    <row r="2306" spans="1:49" x14ac:dyDescent="0.25">
      <c r="A2306" t="str">
        <f>"2302"</f>
        <v>2302</v>
      </c>
      <c r="B2306" t="str">
        <f t="shared" si="131"/>
        <v>1</v>
      </c>
      <c r="C2306" t="str">
        <f t="shared" ref="C2306:C2329" si="133">"102"</f>
        <v>102</v>
      </c>
      <c r="D2306" t="str">
        <f>"21"</f>
        <v>21</v>
      </c>
      <c r="E2306" t="str">
        <f>"1-102-21"</f>
        <v>1-102-21</v>
      </c>
      <c r="F2306" t="s">
        <v>83</v>
      </c>
      <c r="G2306" t="s">
        <v>84</v>
      </c>
      <c r="H2306" t="s">
        <v>85</v>
      </c>
      <c r="AC2306">
        <v>1</v>
      </c>
      <c r="AD2306">
        <v>0</v>
      </c>
      <c r="AE2306">
        <v>0</v>
      </c>
      <c r="AF2306">
        <v>0</v>
      </c>
      <c r="AG2306">
        <v>1</v>
      </c>
      <c r="AJ2306">
        <v>0</v>
      </c>
      <c r="AK2306">
        <v>1</v>
      </c>
      <c r="AL2306">
        <v>0</v>
      </c>
      <c r="AM2306">
        <v>1</v>
      </c>
      <c r="AN2306">
        <v>0</v>
      </c>
      <c r="AO2306">
        <v>1</v>
      </c>
      <c r="AP2306">
        <v>1</v>
      </c>
      <c r="AQ2306">
        <v>1</v>
      </c>
      <c r="AR2306">
        <v>1</v>
      </c>
      <c r="AS2306">
        <v>1</v>
      </c>
      <c r="AT2306">
        <v>0</v>
      </c>
      <c r="AV2306">
        <v>1</v>
      </c>
      <c r="AW2306">
        <v>1</v>
      </c>
    </row>
    <row r="2307" spans="1:49" x14ac:dyDescent="0.25">
      <c r="A2307" t="str">
        <f>"2303"</f>
        <v>2303</v>
      </c>
      <c r="B2307" t="str">
        <f t="shared" si="131"/>
        <v>1</v>
      </c>
      <c r="C2307" t="str">
        <f t="shared" si="133"/>
        <v>102</v>
      </c>
      <c r="D2307" t="str">
        <f>"20"</f>
        <v>20</v>
      </c>
      <c r="E2307" t="str">
        <f>"1-102-20"</f>
        <v>1-102-20</v>
      </c>
      <c r="F2307" t="s">
        <v>83</v>
      </c>
      <c r="G2307" t="s">
        <v>84</v>
      </c>
      <c r="H2307" t="s">
        <v>85</v>
      </c>
      <c r="AC2307">
        <v>0</v>
      </c>
      <c r="AD2307">
        <v>1</v>
      </c>
      <c r="AE2307">
        <v>0</v>
      </c>
      <c r="AF2307">
        <v>0</v>
      </c>
      <c r="AG2307">
        <v>1</v>
      </c>
      <c r="AJ2307">
        <v>0</v>
      </c>
      <c r="AK2307">
        <v>1</v>
      </c>
      <c r="AL2307">
        <v>0</v>
      </c>
      <c r="AM2307">
        <v>1</v>
      </c>
      <c r="AN2307">
        <v>0</v>
      </c>
      <c r="AO2307">
        <v>1</v>
      </c>
      <c r="AP2307">
        <v>1</v>
      </c>
      <c r="AQ2307">
        <v>1</v>
      </c>
      <c r="AR2307">
        <v>1</v>
      </c>
      <c r="AS2307">
        <v>1</v>
      </c>
      <c r="AT2307">
        <v>0</v>
      </c>
      <c r="AV2307">
        <v>1</v>
      </c>
      <c r="AW2307">
        <v>1</v>
      </c>
    </row>
    <row r="2308" spans="1:49" x14ac:dyDescent="0.25">
      <c r="A2308" t="str">
        <f>"2304"</f>
        <v>2304</v>
      </c>
      <c r="B2308" t="str">
        <f t="shared" si="131"/>
        <v>1</v>
      </c>
      <c r="C2308" t="str">
        <f t="shared" si="133"/>
        <v>102</v>
      </c>
      <c r="D2308" t="str">
        <f>"15"</f>
        <v>15</v>
      </c>
      <c r="E2308" t="str">
        <f>"1-102-15"</f>
        <v>1-102-15</v>
      </c>
      <c r="F2308" t="s">
        <v>83</v>
      </c>
      <c r="G2308" t="s">
        <v>84</v>
      </c>
      <c r="H2308" t="s">
        <v>85</v>
      </c>
      <c r="AC2308">
        <v>1</v>
      </c>
      <c r="AD2308">
        <v>0</v>
      </c>
      <c r="AE2308">
        <v>0</v>
      </c>
      <c r="AF2308">
        <v>0</v>
      </c>
      <c r="AG2308">
        <v>1</v>
      </c>
      <c r="AJ2308">
        <v>0</v>
      </c>
      <c r="AK2308">
        <v>1</v>
      </c>
      <c r="AL2308">
        <v>0</v>
      </c>
      <c r="AM2308">
        <v>0</v>
      </c>
      <c r="AN2308">
        <v>1</v>
      </c>
      <c r="AO2308">
        <v>1</v>
      </c>
      <c r="AP2308">
        <v>1</v>
      </c>
      <c r="AQ2308">
        <v>1</v>
      </c>
      <c r="AR2308">
        <v>1</v>
      </c>
      <c r="AS2308">
        <v>1</v>
      </c>
      <c r="AT2308">
        <v>0</v>
      </c>
      <c r="AV2308">
        <v>1</v>
      </c>
      <c r="AW2308">
        <v>1</v>
      </c>
    </row>
    <row r="2309" spans="1:49" x14ac:dyDescent="0.25">
      <c r="A2309" t="str">
        <f>"2305"</f>
        <v>2305</v>
      </c>
      <c r="B2309" t="str">
        <f t="shared" si="131"/>
        <v>1</v>
      </c>
      <c r="C2309" t="str">
        <f t="shared" si="133"/>
        <v>102</v>
      </c>
      <c r="D2309" t="str">
        <f>"14"</f>
        <v>14</v>
      </c>
      <c r="E2309" t="str">
        <f>"1-102-14"</f>
        <v>1-102-14</v>
      </c>
      <c r="F2309" t="s">
        <v>83</v>
      </c>
      <c r="G2309" t="s">
        <v>84</v>
      </c>
      <c r="H2309" t="s">
        <v>85</v>
      </c>
      <c r="AC2309">
        <v>0</v>
      </c>
      <c r="AD2309">
        <v>1</v>
      </c>
      <c r="AE2309">
        <v>0</v>
      </c>
      <c r="AF2309">
        <v>0</v>
      </c>
      <c r="AG2309">
        <v>1</v>
      </c>
      <c r="AJ2309">
        <v>1</v>
      </c>
      <c r="AK2309">
        <v>0</v>
      </c>
      <c r="AL2309">
        <v>0</v>
      </c>
      <c r="AM2309">
        <v>1</v>
      </c>
      <c r="AN2309">
        <v>0</v>
      </c>
      <c r="AO2309">
        <v>1</v>
      </c>
      <c r="AP2309">
        <v>1</v>
      </c>
      <c r="AQ2309">
        <v>0</v>
      </c>
      <c r="AR2309">
        <v>0</v>
      </c>
      <c r="AS2309">
        <v>0</v>
      </c>
      <c r="AT2309">
        <v>0</v>
      </c>
      <c r="AV2309">
        <v>1</v>
      </c>
      <c r="AW2309">
        <v>1</v>
      </c>
    </row>
    <row r="2310" spans="1:49" x14ac:dyDescent="0.25">
      <c r="A2310" t="str">
        <f>"2306"</f>
        <v>2306</v>
      </c>
      <c r="B2310" t="str">
        <f t="shared" si="131"/>
        <v>1</v>
      </c>
      <c r="C2310" t="str">
        <f t="shared" si="133"/>
        <v>102</v>
      </c>
      <c r="D2310" t="str">
        <f>"11"</f>
        <v>11</v>
      </c>
      <c r="E2310" t="str">
        <f>"1-102-11"</f>
        <v>1-102-11</v>
      </c>
      <c r="F2310" t="s">
        <v>83</v>
      </c>
      <c r="G2310" t="s">
        <v>84</v>
      </c>
      <c r="H2310" t="s">
        <v>85</v>
      </c>
      <c r="AC2310">
        <v>0</v>
      </c>
      <c r="AD2310">
        <v>1</v>
      </c>
      <c r="AE2310">
        <v>0</v>
      </c>
      <c r="AF2310">
        <v>0</v>
      </c>
      <c r="AG2310">
        <v>1</v>
      </c>
      <c r="AJ2310">
        <v>0</v>
      </c>
      <c r="AK2310">
        <v>1</v>
      </c>
      <c r="AL2310">
        <v>0</v>
      </c>
      <c r="AM2310">
        <v>1</v>
      </c>
      <c r="AN2310">
        <v>0</v>
      </c>
      <c r="AO2310">
        <v>1</v>
      </c>
      <c r="AP2310">
        <v>1</v>
      </c>
      <c r="AQ2310">
        <v>1</v>
      </c>
      <c r="AR2310">
        <v>1</v>
      </c>
      <c r="AS2310">
        <v>0</v>
      </c>
      <c r="AT2310">
        <v>1</v>
      </c>
      <c r="AV2310">
        <v>1</v>
      </c>
      <c r="AW2310">
        <v>1</v>
      </c>
    </row>
    <row r="2311" spans="1:49" x14ac:dyDescent="0.25">
      <c r="A2311" t="str">
        <f>"2307"</f>
        <v>2307</v>
      </c>
      <c r="B2311" t="str">
        <f t="shared" si="131"/>
        <v>1</v>
      </c>
      <c r="C2311" t="str">
        <f t="shared" si="133"/>
        <v>102</v>
      </c>
      <c r="D2311" t="str">
        <f>"8"</f>
        <v>8</v>
      </c>
      <c r="E2311" t="str">
        <f>"1-102-8"</f>
        <v>1-102-8</v>
      </c>
      <c r="F2311" t="s">
        <v>83</v>
      </c>
      <c r="G2311" t="s">
        <v>84</v>
      </c>
      <c r="H2311" t="s">
        <v>85</v>
      </c>
      <c r="AC2311">
        <v>1</v>
      </c>
      <c r="AD2311">
        <v>0</v>
      </c>
      <c r="AE2311">
        <v>0</v>
      </c>
      <c r="AF2311">
        <v>0</v>
      </c>
      <c r="AG2311">
        <v>0</v>
      </c>
      <c r="AJ2311">
        <v>0</v>
      </c>
      <c r="AK2311">
        <v>1</v>
      </c>
      <c r="AL2311">
        <v>1</v>
      </c>
      <c r="AM2311">
        <v>0</v>
      </c>
      <c r="AN2311">
        <v>0</v>
      </c>
      <c r="AO2311">
        <v>1</v>
      </c>
      <c r="AP2311">
        <v>1</v>
      </c>
      <c r="AQ2311">
        <v>1</v>
      </c>
      <c r="AR2311">
        <v>1</v>
      </c>
      <c r="AS2311">
        <v>1</v>
      </c>
      <c r="AT2311">
        <v>0</v>
      </c>
      <c r="AV2311">
        <v>1</v>
      </c>
      <c r="AW2311">
        <v>1</v>
      </c>
    </row>
    <row r="2312" spans="1:49" x14ac:dyDescent="0.25">
      <c r="A2312" t="str">
        <f>"2308"</f>
        <v>2308</v>
      </c>
      <c r="B2312" t="str">
        <f t="shared" si="131"/>
        <v>1</v>
      </c>
      <c r="C2312" t="str">
        <f t="shared" si="133"/>
        <v>102</v>
      </c>
      <c r="D2312" t="str">
        <f>"4"</f>
        <v>4</v>
      </c>
      <c r="E2312" t="str">
        <f>"1-102-4"</f>
        <v>1-102-4</v>
      </c>
      <c r="F2312" t="s">
        <v>83</v>
      </c>
      <c r="G2312" t="s">
        <v>84</v>
      </c>
      <c r="H2312" t="s">
        <v>85</v>
      </c>
      <c r="AC2312">
        <v>0</v>
      </c>
      <c r="AD2312">
        <v>1</v>
      </c>
      <c r="AE2312">
        <v>0</v>
      </c>
      <c r="AF2312">
        <v>0</v>
      </c>
      <c r="AG2312">
        <v>1</v>
      </c>
      <c r="AJ2312">
        <v>0</v>
      </c>
      <c r="AK2312">
        <v>1</v>
      </c>
      <c r="AL2312">
        <v>0</v>
      </c>
      <c r="AM2312">
        <v>0</v>
      </c>
      <c r="AN2312">
        <v>1</v>
      </c>
      <c r="AO2312">
        <v>1</v>
      </c>
      <c r="AP2312">
        <v>1</v>
      </c>
      <c r="AQ2312">
        <v>1</v>
      </c>
      <c r="AR2312">
        <v>1</v>
      </c>
      <c r="AS2312">
        <v>1</v>
      </c>
      <c r="AT2312">
        <v>0</v>
      </c>
      <c r="AV2312">
        <v>1</v>
      </c>
      <c r="AW2312">
        <v>1</v>
      </c>
    </row>
    <row r="2313" spans="1:49" x14ac:dyDescent="0.25">
      <c r="A2313" t="str">
        <f>"2309"</f>
        <v>2309</v>
      </c>
      <c r="B2313" t="str">
        <f t="shared" si="131"/>
        <v>1</v>
      </c>
      <c r="C2313" t="str">
        <f t="shared" si="133"/>
        <v>102</v>
      </c>
      <c r="D2313" t="str">
        <f>"24"</f>
        <v>24</v>
      </c>
      <c r="E2313" t="str">
        <f>"1-102-24"</f>
        <v>1-102-24</v>
      </c>
      <c r="F2313" t="s">
        <v>83</v>
      </c>
      <c r="G2313" t="s">
        <v>84</v>
      </c>
      <c r="H2313" t="s">
        <v>85</v>
      </c>
      <c r="AC2313">
        <v>0</v>
      </c>
      <c r="AD2313">
        <v>1</v>
      </c>
      <c r="AE2313">
        <v>0</v>
      </c>
      <c r="AF2313">
        <v>0</v>
      </c>
      <c r="AG2313">
        <v>0</v>
      </c>
      <c r="AJ2313">
        <v>0</v>
      </c>
      <c r="AK2313">
        <v>1</v>
      </c>
      <c r="AL2313">
        <v>0</v>
      </c>
      <c r="AM2313">
        <v>0</v>
      </c>
      <c r="AN2313">
        <v>0</v>
      </c>
      <c r="AO2313">
        <v>0</v>
      </c>
      <c r="AP2313">
        <v>1</v>
      </c>
      <c r="AQ2313">
        <v>0</v>
      </c>
      <c r="AR2313">
        <v>1</v>
      </c>
      <c r="AS2313">
        <v>1</v>
      </c>
      <c r="AT2313">
        <v>0</v>
      </c>
      <c r="AV2313">
        <v>0</v>
      </c>
      <c r="AW2313">
        <v>0</v>
      </c>
    </row>
    <row r="2314" spans="1:49" x14ac:dyDescent="0.25">
      <c r="A2314" t="str">
        <f>"2310"</f>
        <v>2310</v>
      </c>
      <c r="B2314" t="str">
        <f t="shared" si="131"/>
        <v>1</v>
      </c>
      <c r="C2314" t="str">
        <f t="shared" si="133"/>
        <v>102</v>
      </c>
      <c r="D2314" t="str">
        <f>"17"</f>
        <v>17</v>
      </c>
      <c r="E2314" t="str">
        <f>"1-102-17"</f>
        <v>1-102-17</v>
      </c>
      <c r="F2314" t="s">
        <v>83</v>
      </c>
      <c r="G2314" t="s">
        <v>84</v>
      </c>
      <c r="H2314" t="s">
        <v>85</v>
      </c>
      <c r="AC2314">
        <v>1</v>
      </c>
      <c r="AD2314">
        <v>0</v>
      </c>
      <c r="AE2314">
        <v>0</v>
      </c>
      <c r="AF2314">
        <v>0</v>
      </c>
      <c r="AG2314">
        <v>1</v>
      </c>
      <c r="AJ2314">
        <v>0</v>
      </c>
      <c r="AK2314">
        <v>1</v>
      </c>
      <c r="AL2314">
        <v>0</v>
      </c>
      <c r="AM2314">
        <v>0</v>
      </c>
      <c r="AN2314">
        <v>1</v>
      </c>
      <c r="AO2314">
        <v>1</v>
      </c>
      <c r="AP2314">
        <v>1</v>
      </c>
      <c r="AQ2314">
        <v>1</v>
      </c>
      <c r="AR2314">
        <v>1</v>
      </c>
      <c r="AS2314">
        <v>0</v>
      </c>
      <c r="AT2314">
        <v>1</v>
      </c>
      <c r="AV2314">
        <v>1</v>
      </c>
      <c r="AW2314">
        <v>1</v>
      </c>
    </row>
    <row r="2315" spans="1:49" x14ac:dyDescent="0.25">
      <c r="A2315" t="str">
        <f>"2311"</f>
        <v>2311</v>
      </c>
      <c r="B2315" t="str">
        <f t="shared" si="131"/>
        <v>1</v>
      </c>
      <c r="C2315" t="str">
        <f t="shared" si="133"/>
        <v>102</v>
      </c>
      <c r="D2315" t="str">
        <f>"9"</f>
        <v>9</v>
      </c>
      <c r="E2315" t="str">
        <f>"1-102-9"</f>
        <v>1-102-9</v>
      </c>
      <c r="F2315" t="s">
        <v>83</v>
      </c>
      <c r="G2315" t="s">
        <v>84</v>
      </c>
      <c r="H2315" t="s">
        <v>85</v>
      </c>
      <c r="AC2315">
        <v>0</v>
      </c>
      <c r="AD2315">
        <v>1</v>
      </c>
      <c r="AE2315">
        <v>0</v>
      </c>
      <c r="AF2315">
        <v>0</v>
      </c>
      <c r="AG2315">
        <v>0</v>
      </c>
      <c r="AJ2315">
        <v>0</v>
      </c>
      <c r="AK2315">
        <v>1</v>
      </c>
      <c r="AL2315">
        <v>0</v>
      </c>
      <c r="AM2315">
        <v>1</v>
      </c>
      <c r="AN2315">
        <v>0</v>
      </c>
      <c r="AO2315">
        <v>1</v>
      </c>
      <c r="AP2315">
        <v>1</v>
      </c>
      <c r="AQ2315">
        <v>1</v>
      </c>
      <c r="AR2315">
        <v>1</v>
      </c>
      <c r="AS2315">
        <v>0</v>
      </c>
      <c r="AT2315">
        <v>1</v>
      </c>
      <c r="AV2315">
        <v>1</v>
      </c>
      <c r="AW2315">
        <v>1</v>
      </c>
    </row>
    <row r="2316" spans="1:49" x14ac:dyDescent="0.25">
      <c r="A2316" t="str">
        <f>"2312"</f>
        <v>2312</v>
      </c>
      <c r="B2316" t="str">
        <f t="shared" si="131"/>
        <v>1</v>
      </c>
      <c r="C2316" t="str">
        <f t="shared" si="133"/>
        <v>102</v>
      </c>
      <c r="D2316" t="str">
        <f>"1"</f>
        <v>1</v>
      </c>
      <c r="E2316" t="str">
        <f>"1-102-1"</f>
        <v>1-102-1</v>
      </c>
      <c r="F2316" t="s">
        <v>83</v>
      </c>
      <c r="G2316" t="s">
        <v>84</v>
      </c>
      <c r="H2316" t="s">
        <v>85</v>
      </c>
      <c r="AC2316">
        <v>1</v>
      </c>
      <c r="AD2316">
        <v>0</v>
      </c>
      <c r="AE2316">
        <v>0</v>
      </c>
      <c r="AF2316">
        <v>0</v>
      </c>
      <c r="AG2316">
        <v>1</v>
      </c>
      <c r="AJ2316">
        <v>1</v>
      </c>
      <c r="AK2316">
        <v>0</v>
      </c>
      <c r="AL2316">
        <v>0</v>
      </c>
      <c r="AM2316">
        <v>1</v>
      </c>
      <c r="AN2316">
        <v>0</v>
      </c>
      <c r="AO2316">
        <v>1</v>
      </c>
      <c r="AP2316">
        <v>1</v>
      </c>
      <c r="AQ2316">
        <v>1</v>
      </c>
      <c r="AR2316">
        <v>1</v>
      </c>
      <c r="AS2316">
        <v>1</v>
      </c>
      <c r="AT2316">
        <v>0</v>
      </c>
      <c r="AV2316">
        <v>1</v>
      </c>
      <c r="AW2316">
        <v>1</v>
      </c>
    </row>
    <row r="2317" spans="1:49" x14ac:dyDescent="0.25">
      <c r="A2317" t="str">
        <f>"2313"</f>
        <v>2313</v>
      </c>
      <c r="B2317" t="str">
        <f t="shared" si="131"/>
        <v>1</v>
      </c>
      <c r="C2317" t="str">
        <f t="shared" si="133"/>
        <v>102</v>
      </c>
      <c r="D2317" t="str">
        <f>"23"</f>
        <v>23</v>
      </c>
      <c r="E2317" t="str">
        <f>"1-102-23"</f>
        <v>1-102-23</v>
      </c>
      <c r="F2317" t="s">
        <v>83</v>
      </c>
      <c r="G2317" t="s">
        <v>84</v>
      </c>
      <c r="H2317" t="s">
        <v>85</v>
      </c>
      <c r="AC2317">
        <v>1</v>
      </c>
      <c r="AD2317">
        <v>0</v>
      </c>
      <c r="AE2317">
        <v>0</v>
      </c>
      <c r="AF2317">
        <v>0</v>
      </c>
      <c r="AG2317">
        <v>1</v>
      </c>
      <c r="AJ2317">
        <v>0</v>
      </c>
      <c r="AK2317">
        <v>1</v>
      </c>
      <c r="AL2317">
        <v>0</v>
      </c>
      <c r="AM2317">
        <v>1</v>
      </c>
      <c r="AN2317">
        <v>0</v>
      </c>
      <c r="AO2317">
        <v>1</v>
      </c>
      <c r="AP2317">
        <v>1</v>
      </c>
      <c r="AQ2317">
        <v>1</v>
      </c>
      <c r="AR2317">
        <v>1</v>
      </c>
      <c r="AS2317">
        <v>1</v>
      </c>
      <c r="AT2317">
        <v>0</v>
      </c>
      <c r="AV2317">
        <v>1</v>
      </c>
      <c r="AW2317">
        <v>1</v>
      </c>
    </row>
    <row r="2318" spans="1:49" x14ac:dyDescent="0.25">
      <c r="A2318" t="str">
        <f>"2314"</f>
        <v>2314</v>
      </c>
      <c r="B2318" t="str">
        <f t="shared" si="131"/>
        <v>1</v>
      </c>
      <c r="C2318" t="str">
        <f t="shared" si="133"/>
        <v>102</v>
      </c>
      <c r="D2318" t="str">
        <f>"22"</f>
        <v>22</v>
      </c>
      <c r="E2318" t="str">
        <f>"1-102-22"</f>
        <v>1-102-22</v>
      </c>
      <c r="F2318" t="s">
        <v>83</v>
      </c>
      <c r="G2318" t="s">
        <v>84</v>
      </c>
      <c r="H2318" t="s">
        <v>85</v>
      </c>
      <c r="AC2318">
        <v>0</v>
      </c>
      <c r="AD2318">
        <v>1</v>
      </c>
      <c r="AE2318">
        <v>0</v>
      </c>
      <c r="AF2318">
        <v>0</v>
      </c>
      <c r="AG2318">
        <v>1</v>
      </c>
      <c r="AJ2318">
        <v>0</v>
      </c>
      <c r="AK2318">
        <v>1</v>
      </c>
      <c r="AL2318">
        <v>0</v>
      </c>
      <c r="AM2318">
        <v>0</v>
      </c>
      <c r="AN2318">
        <v>1</v>
      </c>
      <c r="AO2318">
        <v>1</v>
      </c>
      <c r="AP2318">
        <v>1</v>
      </c>
      <c r="AQ2318">
        <v>1</v>
      </c>
      <c r="AR2318">
        <v>1</v>
      </c>
      <c r="AS2318">
        <v>0</v>
      </c>
      <c r="AT2318">
        <v>1</v>
      </c>
      <c r="AV2318">
        <v>1</v>
      </c>
      <c r="AW2318">
        <v>1</v>
      </c>
    </row>
    <row r="2319" spans="1:49" x14ac:dyDescent="0.25">
      <c r="A2319" t="str">
        <f>"2315"</f>
        <v>2315</v>
      </c>
      <c r="B2319" t="str">
        <f t="shared" si="131"/>
        <v>1</v>
      </c>
      <c r="C2319" t="str">
        <f t="shared" si="133"/>
        <v>102</v>
      </c>
      <c r="D2319" t="str">
        <f>"16"</f>
        <v>16</v>
      </c>
      <c r="E2319" t="str">
        <f>"1-102-16"</f>
        <v>1-102-16</v>
      </c>
      <c r="F2319" t="s">
        <v>83</v>
      </c>
      <c r="G2319" t="s">
        <v>84</v>
      </c>
      <c r="H2319" t="s">
        <v>85</v>
      </c>
      <c r="AC2319">
        <v>1</v>
      </c>
      <c r="AD2319">
        <v>0</v>
      </c>
      <c r="AE2319">
        <v>0</v>
      </c>
      <c r="AF2319">
        <v>0</v>
      </c>
      <c r="AG2319">
        <v>1</v>
      </c>
      <c r="AJ2319">
        <v>0</v>
      </c>
      <c r="AK2319">
        <v>1</v>
      </c>
      <c r="AL2319">
        <v>0</v>
      </c>
      <c r="AM2319">
        <v>0</v>
      </c>
      <c r="AN2319">
        <v>1</v>
      </c>
      <c r="AO2319">
        <v>1</v>
      </c>
      <c r="AP2319">
        <v>1</v>
      </c>
      <c r="AQ2319">
        <v>1</v>
      </c>
      <c r="AR2319">
        <v>1</v>
      </c>
      <c r="AS2319">
        <v>1</v>
      </c>
      <c r="AT2319">
        <v>0</v>
      </c>
      <c r="AV2319">
        <v>1</v>
      </c>
      <c r="AW2319">
        <v>1</v>
      </c>
    </row>
    <row r="2320" spans="1:49" x14ac:dyDescent="0.25">
      <c r="A2320" t="str">
        <f>"2316"</f>
        <v>2316</v>
      </c>
      <c r="B2320" t="str">
        <f t="shared" si="131"/>
        <v>1</v>
      </c>
      <c r="C2320" t="str">
        <f t="shared" si="133"/>
        <v>102</v>
      </c>
      <c r="D2320" t="str">
        <f>"10"</f>
        <v>10</v>
      </c>
      <c r="E2320" t="str">
        <f>"1-102-10"</f>
        <v>1-102-10</v>
      </c>
      <c r="F2320" t="s">
        <v>83</v>
      </c>
      <c r="G2320" t="s">
        <v>84</v>
      </c>
      <c r="H2320" t="s">
        <v>85</v>
      </c>
      <c r="AC2320">
        <v>0</v>
      </c>
      <c r="AD2320">
        <v>1</v>
      </c>
      <c r="AE2320">
        <v>0</v>
      </c>
      <c r="AF2320">
        <v>0</v>
      </c>
      <c r="AG2320">
        <v>1</v>
      </c>
      <c r="AJ2320">
        <v>0</v>
      </c>
      <c r="AK2320">
        <v>1</v>
      </c>
      <c r="AL2320">
        <v>0</v>
      </c>
      <c r="AM2320">
        <v>1</v>
      </c>
      <c r="AN2320">
        <v>0</v>
      </c>
      <c r="AO2320">
        <v>1</v>
      </c>
      <c r="AP2320">
        <v>1</v>
      </c>
      <c r="AQ2320">
        <v>1</v>
      </c>
      <c r="AR2320">
        <v>1</v>
      </c>
      <c r="AS2320">
        <v>1</v>
      </c>
      <c r="AT2320">
        <v>0</v>
      </c>
      <c r="AV2320">
        <v>1</v>
      </c>
      <c r="AW2320">
        <v>1</v>
      </c>
    </row>
    <row r="2321" spans="1:49" x14ac:dyDescent="0.25">
      <c r="A2321" t="str">
        <f>"2317"</f>
        <v>2317</v>
      </c>
      <c r="B2321" t="str">
        <f t="shared" si="131"/>
        <v>1</v>
      </c>
      <c r="C2321" t="str">
        <f t="shared" si="133"/>
        <v>102</v>
      </c>
      <c r="D2321" t="str">
        <f>"6"</f>
        <v>6</v>
      </c>
      <c r="E2321" t="str">
        <f>"1-102-6"</f>
        <v>1-102-6</v>
      </c>
      <c r="F2321" t="s">
        <v>83</v>
      </c>
      <c r="G2321" t="s">
        <v>84</v>
      </c>
      <c r="H2321" t="s">
        <v>85</v>
      </c>
      <c r="AC2321">
        <v>0</v>
      </c>
      <c r="AD2321">
        <v>1</v>
      </c>
      <c r="AE2321">
        <v>0</v>
      </c>
      <c r="AF2321">
        <v>0</v>
      </c>
      <c r="AG2321">
        <v>0</v>
      </c>
      <c r="AJ2321">
        <v>1</v>
      </c>
      <c r="AK2321">
        <v>0</v>
      </c>
      <c r="AL2321">
        <v>0</v>
      </c>
      <c r="AM2321">
        <v>1</v>
      </c>
      <c r="AN2321">
        <v>0</v>
      </c>
      <c r="AO2321">
        <v>1</v>
      </c>
      <c r="AP2321">
        <v>1</v>
      </c>
      <c r="AQ2321">
        <v>1</v>
      </c>
      <c r="AR2321">
        <v>1</v>
      </c>
      <c r="AS2321">
        <v>1</v>
      </c>
      <c r="AT2321">
        <v>0</v>
      </c>
      <c r="AV2321">
        <v>1</v>
      </c>
      <c r="AW2321">
        <v>1</v>
      </c>
    </row>
    <row r="2322" spans="1:49" x14ac:dyDescent="0.25">
      <c r="A2322" t="str">
        <f>"2318"</f>
        <v>2318</v>
      </c>
      <c r="B2322" t="str">
        <f t="shared" si="131"/>
        <v>1</v>
      </c>
      <c r="C2322" t="str">
        <f t="shared" si="133"/>
        <v>102</v>
      </c>
      <c r="D2322" t="str">
        <f>"12"</f>
        <v>12</v>
      </c>
      <c r="E2322" t="str">
        <f>"1-102-12"</f>
        <v>1-102-12</v>
      </c>
      <c r="F2322" t="s">
        <v>83</v>
      </c>
      <c r="G2322" t="s">
        <v>84</v>
      </c>
      <c r="H2322" t="s">
        <v>85</v>
      </c>
      <c r="AC2322">
        <v>0</v>
      </c>
      <c r="AD2322">
        <v>1</v>
      </c>
      <c r="AE2322">
        <v>0</v>
      </c>
      <c r="AF2322">
        <v>0</v>
      </c>
      <c r="AG2322">
        <v>1</v>
      </c>
      <c r="AJ2322">
        <v>0</v>
      </c>
      <c r="AK2322">
        <v>1</v>
      </c>
      <c r="AL2322">
        <v>0</v>
      </c>
      <c r="AM2322">
        <v>0</v>
      </c>
      <c r="AN2322">
        <v>1</v>
      </c>
      <c r="AO2322">
        <v>0</v>
      </c>
      <c r="AP2322">
        <v>0</v>
      </c>
      <c r="AQ2322">
        <v>0</v>
      </c>
      <c r="AR2322">
        <v>0</v>
      </c>
      <c r="AS2322">
        <v>0</v>
      </c>
      <c r="AT2322">
        <v>1</v>
      </c>
      <c r="AV2322">
        <v>1</v>
      </c>
      <c r="AW2322">
        <v>1</v>
      </c>
    </row>
    <row r="2323" spans="1:49" x14ac:dyDescent="0.25">
      <c r="A2323" t="str">
        <f>"2319"</f>
        <v>2319</v>
      </c>
      <c r="B2323" t="str">
        <f t="shared" si="131"/>
        <v>1</v>
      </c>
      <c r="C2323" t="str">
        <f t="shared" si="133"/>
        <v>102</v>
      </c>
      <c r="D2323" t="str">
        <f>"5"</f>
        <v>5</v>
      </c>
      <c r="E2323" t="str">
        <f>"1-102-5"</f>
        <v>1-102-5</v>
      </c>
      <c r="F2323" t="s">
        <v>83</v>
      </c>
      <c r="G2323" t="s">
        <v>84</v>
      </c>
      <c r="H2323" t="s">
        <v>85</v>
      </c>
      <c r="AC2323">
        <v>1</v>
      </c>
      <c r="AD2323">
        <v>0</v>
      </c>
      <c r="AE2323">
        <v>0</v>
      </c>
      <c r="AF2323">
        <v>0</v>
      </c>
      <c r="AG2323">
        <v>1</v>
      </c>
      <c r="AJ2323">
        <v>1</v>
      </c>
      <c r="AK2323">
        <v>0</v>
      </c>
      <c r="AL2323">
        <v>0</v>
      </c>
      <c r="AM2323">
        <v>1</v>
      </c>
      <c r="AN2323">
        <v>0</v>
      </c>
      <c r="AO2323">
        <v>1</v>
      </c>
      <c r="AP2323">
        <v>1</v>
      </c>
      <c r="AQ2323">
        <v>1</v>
      </c>
      <c r="AR2323">
        <v>1</v>
      </c>
      <c r="AS2323">
        <v>0</v>
      </c>
      <c r="AT2323">
        <v>1</v>
      </c>
      <c r="AV2323">
        <v>1</v>
      </c>
      <c r="AW2323">
        <v>1</v>
      </c>
    </row>
    <row r="2324" spans="1:49" x14ac:dyDescent="0.25">
      <c r="A2324" t="str">
        <f>"2320"</f>
        <v>2320</v>
      </c>
      <c r="B2324" t="str">
        <f t="shared" si="131"/>
        <v>1</v>
      </c>
      <c r="C2324" t="str">
        <f t="shared" si="133"/>
        <v>102</v>
      </c>
      <c r="D2324" t="str">
        <f>"13"</f>
        <v>13</v>
      </c>
      <c r="E2324" t="str">
        <f>"1-102-13"</f>
        <v>1-102-13</v>
      </c>
      <c r="F2324" t="s">
        <v>83</v>
      </c>
      <c r="G2324" t="s">
        <v>84</v>
      </c>
      <c r="H2324" t="s">
        <v>85</v>
      </c>
      <c r="AC2324">
        <v>0</v>
      </c>
      <c r="AD2324">
        <v>1</v>
      </c>
      <c r="AE2324">
        <v>0</v>
      </c>
      <c r="AF2324">
        <v>0</v>
      </c>
      <c r="AG2324">
        <v>0</v>
      </c>
      <c r="AJ2324">
        <v>0</v>
      </c>
      <c r="AK2324">
        <v>1</v>
      </c>
      <c r="AL2324">
        <v>0</v>
      </c>
      <c r="AM2324">
        <v>0</v>
      </c>
      <c r="AN2324">
        <v>0</v>
      </c>
      <c r="AO2324">
        <v>0</v>
      </c>
      <c r="AP2324">
        <v>1</v>
      </c>
      <c r="AQ2324">
        <v>0</v>
      </c>
      <c r="AR2324">
        <v>1</v>
      </c>
      <c r="AS2324">
        <v>1</v>
      </c>
      <c r="AT2324">
        <v>0</v>
      </c>
      <c r="AV2324">
        <v>0</v>
      </c>
      <c r="AW2324">
        <v>0</v>
      </c>
    </row>
    <row r="2325" spans="1:49" x14ac:dyDescent="0.25">
      <c r="A2325" t="str">
        <f>"2321"</f>
        <v>2321</v>
      </c>
      <c r="B2325" t="str">
        <f t="shared" si="131"/>
        <v>1</v>
      </c>
      <c r="C2325" t="str">
        <f t="shared" si="133"/>
        <v>102</v>
      </c>
      <c r="D2325" t="str">
        <f>"3"</f>
        <v>3</v>
      </c>
      <c r="E2325" t="str">
        <f>"1-102-3"</f>
        <v>1-102-3</v>
      </c>
      <c r="F2325" t="s">
        <v>83</v>
      </c>
      <c r="G2325" t="s">
        <v>84</v>
      </c>
      <c r="H2325" t="s">
        <v>85</v>
      </c>
      <c r="AC2325">
        <v>0</v>
      </c>
      <c r="AD2325">
        <v>1</v>
      </c>
      <c r="AE2325">
        <v>0</v>
      </c>
      <c r="AF2325">
        <v>0</v>
      </c>
      <c r="AG2325">
        <v>0</v>
      </c>
      <c r="AJ2325">
        <v>0</v>
      </c>
      <c r="AK2325">
        <v>1</v>
      </c>
      <c r="AL2325">
        <v>0</v>
      </c>
      <c r="AM2325">
        <v>0</v>
      </c>
      <c r="AN2325">
        <v>1</v>
      </c>
      <c r="AO2325">
        <v>0</v>
      </c>
      <c r="AP2325">
        <v>0</v>
      </c>
      <c r="AQ2325">
        <v>0</v>
      </c>
      <c r="AR2325">
        <v>0</v>
      </c>
      <c r="AS2325">
        <v>0</v>
      </c>
      <c r="AT2325">
        <v>0</v>
      </c>
      <c r="AV2325">
        <v>0</v>
      </c>
      <c r="AW2325">
        <v>1</v>
      </c>
    </row>
    <row r="2326" spans="1:49" x14ac:dyDescent="0.25">
      <c r="A2326" t="str">
        <f>"2322"</f>
        <v>2322</v>
      </c>
      <c r="B2326" t="str">
        <f t="shared" si="131"/>
        <v>1</v>
      </c>
      <c r="C2326" t="str">
        <f t="shared" si="133"/>
        <v>102</v>
      </c>
      <c r="D2326" t="str">
        <f>"18"</f>
        <v>18</v>
      </c>
      <c r="E2326" t="str">
        <f>"1-102-18"</f>
        <v>1-102-18</v>
      </c>
      <c r="F2326" t="s">
        <v>83</v>
      </c>
      <c r="G2326" t="s">
        <v>84</v>
      </c>
      <c r="H2326" t="s">
        <v>85</v>
      </c>
      <c r="AC2326">
        <v>0</v>
      </c>
      <c r="AD2326">
        <v>0</v>
      </c>
      <c r="AE2326">
        <v>0</v>
      </c>
      <c r="AF2326">
        <v>0</v>
      </c>
      <c r="AG2326">
        <v>1</v>
      </c>
      <c r="AJ2326">
        <v>0</v>
      </c>
      <c r="AK2326">
        <v>0</v>
      </c>
      <c r="AL2326">
        <v>0</v>
      </c>
      <c r="AM2326">
        <v>0</v>
      </c>
      <c r="AN2326">
        <v>0</v>
      </c>
      <c r="AO2326">
        <v>1</v>
      </c>
      <c r="AP2326">
        <v>1</v>
      </c>
      <c r="AQ2326">
        <v>1</v>
      </c>
      <c r="AR2326">
        <v>1</v>
      </c>
      <c r="AS2326">
        <v>0</v>
      </c>
      <c r="AT2326">
        <v>0</v>
      </c>
      <c r="AV2326">
        <v>1</v>
      </c>
      <c r="AW2326">
        <v>1</v>
      </c>
    </row>
    <row r="2327" spans="1:49" x14ac:dyDescent="0.25">
      <c r="A2327" t="str">
        <f>"2323"</f>
        <v>2323</v>
      </c>
      <c r="B2327" t="str">
        <f t="shared" si="131"/>
        <v>1</v>
      </c>
      <c r="C2327" t="str">
        <f t="shared" si="133"/>
        <v>102</v>
      </c>
      <c r="D2327" t="str">
        <f>"7"</f>
        <v>7</v>
      </c>
      <c r="E2327" t="str">
        <f>"1-102-7"</f>
        <v>1-102-7</v>
      </c>
      <c r="F2327" t="s">
        <v>83</v>
      </c>
      <c r="G2327" t="s">
        <v>84</v>
      </c>
      <c r="H2327" t="s">
        <v>85</v>
      </c>
      <c r="AC2327">
        <v>1</v>
      </c>
      <c r="AD2327">
        <v>0</v>
      </c>
      <c r="AE2327">
        <v>0</v>
      </c>
      <c r="AF2327">
        <v>0</v>
      </c>
      <c r="AG2327">
        <v>1</v>
      </c>
      <c r="AJ2327">
        <v>0</v>
      </c>
      <c r="AK2327">
        <v>1</v>
      </c>
      <c r="AL2327">
        <v>1</v>
      </c>
      <c r="AM2327">
        <v>0</v>
      </c>
      <c r="AN2327">
        <v>0</v>
      </c>
      <c r="AO2327">
        <v>1</v>
      </c>
      <c r="AP2327">
        <v>1</v>
      </c>
      <c r="AQ2327">
        <v>1</v>
      </c>
      <c r="AR2327">
        <v>1</v>
      </c>
      <c r="AS2327">
        <v>1</v>
      </c>
      <c r="AT2327">
        <v>0</v>
      </c>
      <c r="AV2327">
        <v>1</v>
      </c>
      <c r="AW2327">
        <v>1</v>
      </c>
    </row>
    <row r="2328" spans="1:49" x14ac:dyDescent="0.25">
      <c r="A2328" t="str">
        <f>"2324"</f>
        <v>2324</v>
      </c>
      <c r="B2328" t="str">
        <f t="shared" si="131"/>
        <v>1</v>
      </c>
      <c r="C2328" t="str">
        <f t="shared" si="133"/>
        <v>102</v>
      </c>
      <c r="D2328" t="str">
        <f>"19"</f>
        <v>19</v>
      </c>
      <c r="E2328" t="str">
        <f>"1-102-19"</f>
        <v>1-102-19</v>
      </c>
      <c r="F2328" t="s">
        <v>83</v>
      </c>
      <c r="G2328" t="s">
        <v>84</v>
      </c>
      <c r="H2328" t="s">
        <v>85</v>
      </c>
      <c r="AC2328">
        <v>0</v>
      </c>
      <c r="AD2328">
        <v>1</v>
      </c>
      <c r="AE2328">
        <v>0</v>
      </c>
      <c r="AF2328">
        <v>0</v>
      </c>
      <c r="AG2328">
        <v>1</v>
      </c>
      <c r="AJ2328">
        <v>0</v>
      </c>
      <c r="AK2328">
        <v>1</v>
      </c>
      <c r="AL2328">
        <v>0</v>
      </c>
      <c r="AM2328">
        <v>1</v>
      </c>
      <c r="AN2328">
        <v>0</v>
      </c>
      <c r="AO2328">
        <v>1</v>
      </c>
      <c r="AP2328">
        <v>1</v>
      </c>
      <c r="AQ2328">
        <v>1</v>
      </c>
      <c r="AR2328">
        <v>1</v>
      </c>
      <c r="AS2328">
        <v>1</v>
      </c>
      <c r="AT2328">
        <v>0</v>
      </c>
      <c r="AV2328">
        <v>1</v>
      </c>
      <c r="AW2328">
        <v>1</v>
      </c>
    </row>
    <row r="2329" spans="1:49" x14ac:dyDescent="0.25">
      <c r="A2329" t="str">
        <f>"2325"</f>
        <v>2325</v>
      </c>
      <c r="B2329" t="str">
        <f t="shared" si="131"/>
        <v>1</v>
      </c>
      <c r="C2329" t="str">
        <f t="shared" si="133"/>
        <v>102</v>
      </c>
      <c r="D2329" t="str">
        <f>"2"</f>
        <v>2</v>
      </c>
      <c r="E2329" t="str">
        <f>"1-102-2"</f>
        <v>1-102-2</v>
      </c>
      <c r="F2329" t="s">
        <v>83</v>
      </c>
      <c r="G2329" t="s">
        <v>84</v>
      </c>
      <c r="H2329" t="s">
        <v>85</v>
      </c>
      <c r="AC2329">
        <v>0</v>
      </c>
      <c r="AD2329">
        <v>1</v>
      </c>
      <c r="AE2329">
        <v>0</v>
      </c>
      <c r="AF2329">
        <v>0</v>
      </c>
      <c r="AG2329">
        <v>1</v>
      </c>
      <c r="AJ2329">
        <v>0</v>
      </c>
      <c r="AK2329">
        <v>1</v>
      </c>
      <c r="AL2329">
        <v>0</v>
      </c>
      <c r="AM2329">
        <v>0</v>
      </c>
      <c r="AN2329">
        <v>1</v>
      </c>
      <c r="AO2329">
        <v>1</v>
      </c>
      <c r="AP2329">
        <v>1</v>
      </c>
      <c r="AQ2329">
        <v>1</v>
      </c>
      <c r="AR2329">
        <v>1</v>
      </c>
      <c r="AS2329">
        <v>0</v>
      </c>
      <c r="AT2329">
        <v>1</v>
      </c>
      <c r="AV2329">
        <v>1</v>
      </c>
      <c r="AW2329">
        <v>1</v>
      </c>
    </row>
    <row r="2330" spans="1:49" x14ac:dyDescent="0.25">
      <c r="A2330" t="str">
        <f>"2326"</f>
        <v>2326</v>
      </c>
      <c r="B2330" t="str">
        <f t="shared" si="131"/>
        <v>1</v>
      </c>
      <c r="C2330" t="str">
        <f t="shared" ref="C2330:C2354" si="134">"103"</f>
        <v>103</v>
      </c>
      <c r="D2330" t="str">
        <f>"21"</f>
        <v>21</v>
      </c>
      <c r="E2330" t="str">
        <f>"1-103-21"</f>
        <v>1-103-21</v>
      </c>
      <c r="F2330" t="s">
        <v>83</v>
      </c>
      <c r="G2330" t="s">
        <v>84</v>
      </c>
      <c r="H2330" t="s">
        <v>85</v>
      </c>
      <c r="AC2330">
        <v>0</v>
      </c>
      <c r="AD2330">
        <v>0</v>
      </c>
      <c r="AE2330">
        <v>0</v>
      </c>
      <c r="AF2330">
        <v>0</v>
      </c>
      <c r="AG2330">
        <v>1</v>
      </c>
      <c r="AJ2330">
        <v>0</v>
      </c>
      <c r="AK2330">
        <v>1</v>
      </c>
      <c r="AL2330">
        <v>0</v>
      </c>
      <c r="AM2330">
        <v>0</v>
      </c>
      <c r="AN2330">
        <v>1</v>
      </c>
      <c r="AO2330">
        <v>1</v>
      </c>
      <c r="AP2330">
        <v>1</v>
      </c>
      <c r="AQ2330">
        <v>1</v>
      </c>
      <c r="AR2330">
        <v>0</v>
      </c>
      <c r="AS2330">
        <v>0</v>
      </c>
      <c r="AT2330">
        <v>1</v>
      </c>
      <c r="AV2330">
        <v>1</v>
      </c>
      <c r="AW2330">
        <v>1</v>
      </c>
    </row>
    <row r="2331" spans="1:49" x14ac:dyDescent="0.25">
      <c r="A2331" t="str">
        <f>"2327"</f>
        <v>2327</v>
      </c>
      <c r="B2331" t="str">
        <f t="shared" si="131"/>
        <v>1</v>
      </c>
      <c r="C2331" t="str">
        <f t="shared" si="134"/>
        <v>103</v>
      </c>
      <c r="D2331" t="str">
        <f>"20"</f>
        <v>20</v>
      </c>
      <c r="E2331" t="str">
        <f>"1-103-20"</f>
        <v>1-103-20</v>
      </c>
      <c r="F2331" t="s">
        <v>83</v>
      </c>
      <c r="G2331" t="s">
        <v>84</v>
      </c>
      <c r="H2331" t="s">
        <v>85</v>
      </c>
      <c r="AC2331">
        <v>1</v>
      </c>
      <c r="AD2331">
        <v>0</v>
      </c>
      <c r="AE2331">
        <v>0</v>
      </c>
      <c r="AF2331">
        <v>0</v>
      </c>
      <c r="AG2331">
        <v>1</v>
      </c>
      <c r="AJ2331">
        <v>0</v>
      </c>
      <c r="AK2331">
        <v>1</v>
      </c>
      <c r="AL2331">
        <v>1</v>
      </c>
      <c r="AM2331">
        <v>0</v>
      </c>
      <c r="AN2331">
        <v>0</v>
      </c>
      <c r="AO2331">
        <v>1</v>
      </c>
      <c r="AP2331">
        <v>1</v>
      </c>
      <c r="AQ2331">
        <v>1</v>
      </c>
      <c r="AR2331">
        <v>1</v>
      </c>
      <c r="AS2331">
        <v>0</v>
      </c>
      <c r="AT2331">
        <v>1</v>
      </c>
      <c r="AV2331">
        <v>1</v>
      </c>
      <c r="AW2331">
        <v>1</v>
      </c>
    </row>
    <row r="2332" spans="1:49" x14ac:dyDescent="0.25">
      <c r="A2332" t="str">
        <f>"2328"</f>
        <v>2328</v>
      </c>
      <c r="B2332" t="str">
        <f t="shared" si="131"/>
        <v>1</v>
      </c>
      <c r="C2332" t="str">
        <f t="shared" si="134"/>
        <v>103</v>
      </c>
      <c r="D2332" t="str">
        <f>"15"</f>
        <v>15</v>
      </c>
      <c r="E2332" t="str">
        <f>"1-103-15"</f>
        <v>1-103-15</v>
      </c>
      <c r="F2332" t="s">
        <v>83</v>
      </c>
      <c r="G2332" t="s">
        <v>84</v>
      </c>
      <c r="H2332" t="s">
        <v>85</v>
      </c>
      <c r="AC2332">
        <v>0</v>
      </c>
      <c r="AD2332">
        <v>1</v>
      </c>
      <c r="AE2332">
        <v>0</v>
      </c>
      <c r="AF2332">
        <v>0</v>
      </c>
      <c r="AG2332">
        <v>0</v>
      </c>
      <c r="AJ2332">
        <v>1</v>
      </c>
      <c r="AK2332">
        <v>0</v>
      </c>
      <c r="AL2332">
        <v>0</v>
      </c>
      <c r="AM2332">
        <v>1</v>
      </c>
      <c r="AN2332">
        <v>0</v>
      </c>
      <c r="AO2332">
        <v>0</v>
      </c>
      <c r="AP2332">
        <v>0</v>
      </c>
      <c r="AQ2332">
        <v>0</v>
      </c>
      <c r="AR2332">
        <v>0</v>
      </c>
      <c r="AS2332">
        <v>0</v>
      </c>
      <c r="AT2332">
        <v>0</v>
      </c>
      <c r="AV2332">
        <v>0</v>
      </c>
      <c r="AW2332">
        <v>1</v>
      </c>
    </row>
    <row r="2333" spans="1:49" x14ac:dyDescent="0.25">
      <c r="A2333" t="str">
        <f>"2329"</f>
        <v>2329</v>
      </c>
      <c r="B2333" t="str">
        <f t="shared" si="131"/>
        <v>1</v>
      </c>
      <c r="C2333" t="str">
        <f t="shared" si="134"/>
        <v>103</v>
      </c>
      <c r="D2333" t="str">
        <f>"8"</f>
        <v>8</v>
      </c>
      <c r="E2333" t="str">
        <f>"1-103-8"</f>
        <v>1-103-8</v>
      </c>
      <c r="F2333" t="s">
        <v>83</v>
      </c>
      <c r="G2333" t="s">
        <v>84</v>
      </c>
      <c r="H2333" t="s">
        <v>85</v>
      </c>
      <c r="AC2333">
        <v>0</v>
      </c>
      <c r="AD2333">
        <v>1</v>
      </c>
      <c r="AE2333">
        <v>0</v>
      </c>
      <c r="AF2333">
        <v>0</v>
      </c>
      <c r="AG2333">
        <v>0</v>
      </c>
      <c r="AJ2333">
        <v>0</v>
      </c>
      <c r="AK2333">
        <v>0</v>
      </c>
      <c r="AL2333">
        <v>1</v>
      </c>
      <c r="AM2333">
        <v>0</v>
      </c>
      <c r="AN2333">
        <v>0</v>
      </c>
      <c r="AO2333">
        <v>0</v>
      </c>
      <c r="AP2333">
        <v>0</v>
      </c>
      <c r="AQ2333">
        <v>0</v>
      </c>
      <c r="AR2333">
        <v>0</v>
      </c>
      <c r="AS2333">
        <v>0</v>
      </c>
      <c r="AT2333">
        <v>0</v>
      </c>
      <c r="AV2333">
        <v>0</v>
      </c>
      <c r="AW2333">
        <v>1</v>
      </c>
    </row>
    <row r="2334" spans="1:49" x14ac:dyDescent="0.25">
      <c r="A2334" t="str">
        <f>"2330"</f>
        <v>2330</v>
      </c>
      <c r="B2334" t="str">
        <f t="shared" ref="B2334:B2397" si="135">"1"</f>
        <v>1</v>
      </c>
      <c r="C2334" t="str">
        <f t="shared" si="134"/>
        <v>103</v>
      </c>
      <c r="D2334" t="str">
        <f>"1"</f>
        <v>1</v>
      </c>
      <c r="E2334" t="str">
        <f>"1-103-1"</f>
        <v>1-103-1</v>
      </c>
      <c r="F2334" t="s">
        <v>83</v>
      </c>
      <c r="G2334" t="s">
        <v>84</v>
      </c>
      <c r="H2334" t="s">
        <v>85</v>
      </c>
      <c r="AC2334">
        <v>0</v>
      </c>
      <c r="AD2334">
        <v>1</v>
      </c>
      <c r="AE2334">
        <v>0</v>
      </c>
      <c r="AF2334">
        <v>0</v>
      </c>
      <c r="AG2334">
        <v>1</v>
      </c>
      <c r="AJ2334">
        <v>0</v>
      </c>
      <c r="AK2334">
        <v>0</v>
      </c>
      <c r="AL2334">
        <v>0</v>
      </c>
      <c r="AM2334">
        <v>0</v>
      </c>
      <c r="AN2334">
        <v>1</v>
      </c>
      <c r="AO2334">
        <v>1</v>
      </c>
      <c r="AP2334">
        <v>1</v>
      </c>
      <c r="AQ2334">
        <v>1</v>
      </c>
      <c r="AR2334">
        <v>1</v>
      </c>
      <c r="AS2334">
        <v>0</v>
      </c>
      <c r="AT2334">
        <v>1</v>
      </c>
      <c r="AV2334">
        <v>1</v>
      </c>
      <c r="AW2334">
        <v>1</v>
      </c>
    </row>
    <row r="2335" spans="1:49" x14ac:dyDescent="0.25">
      <c r="A2335" t="str">
        <f>"2331"</f>
        <v>2331</v>
      </c>
      <c r="B2335" t="str">
        <f t="shared" si="135"/>
        <v>1</v>
      </c>
      <c r="C2335" t="str">
        <f t="shared" si="134"/>
        <v>103</v>
      </c>
      <c r="D2335" t="str">
        <f>"23"</f>
        <v>23</v>
      </c>
      <c r="E2335" t="str">
        <f>"1-103-23"</f>
        <v>1-103-23</v>
      </c>
      <c r="F2335" t="s">
        <v>83</v>
      </c>
      <c r="G2335" t="s">
        <v>84</v>
      </c>
      <c r="H2335" t="s">
        <v>85</v>
      </c>
      <c r="AC2335">
        <v>0</v>
      </c>
      <c r="AD2335">
        <v>1</v>
      </c>
      <c r="AE2335">
        <v>0</v>
      </c>
      <c r="AF2335">
        <v>0</v>
      </c>
      <c r="AG2335">
        <v>1</v>
      </c>
      <c r="AJ2335">
        <v>1</v>
      </c>
      <c r="AK2335">
        <v>0</v>
      </c>
      <c r="AL2335">
        <v>0</v>
      </c>
      <c r="AM2335">
        <v>1</v>
      </c>
      <c r="AN2335">
        <v>0</v>
      </c>
      <c r="AO2335">
        <v>1</v>
      </c>
      <c r="AP2335">
        <v>1</v>
      </c>
      <c r="AQ2335">
        <v>1</v>
      </c>
      <c r="AR2335">
        <v>1</v>
      </c>
      <c r="AS2335">
        <v>0</v>
      </c>
      <c r="AT2335">
        <v>1</v>
      </c>
      <c r="AV2335">
        <v>1</v>
      </c>
      <c r="AW2335">
        <v>1</v>
      </c>
    </row>
    <row r="2336" spans="1:49" x14ac:dyDescent="0.25">
      <c r="A2336" t="str">
        <f>"2332"</f>
        <v>2332</v>
      </c>
      <c r="B2336" t="str">
        <f t="shared" si="135"/>
        <v>1</v>
      </c>
      <c r="C2336" t="str">
        <f t="shared" si="134"/>
        <v>103</v>
      </c>
      <c r="D2336" t="str">
        <f>"22"</f>
        <v>22</v>
      </c>
      <c r="E2336" t="str">
        <f>"1-103-22"</f>
        <v>1-103-22</v>
      </c>
      <c r="F2336" t="s">
        <v>83</v>
      </c>
      <c r="G2336" t="s">
        <v>84</v>
      </c>
      <c r="H2336" t="s">
        <v>85</v>
      </c>
      <c r="AC2336">
        <v>0</v>
      </c>
      <c r="AD2336">
        <v>1</v>
      </c>
      <c r="AE2336">
        <v>0</v>
      </c>
      <c r="AF2336">
        <v>0</v>
      </c>
      <c r="AG2336">
        <v>1</v>
      </c>
      <c r="AJ2336">
        <v>1</v>
      </c>
      <c r="AK2336">
        <v>0</v>
      </c>
      <c r="AL2336">
        <v>0</v>
      </c>
      <c r="AM2336">
        <v>0</v>
      </c>
      <c r="AN2336">
        <v>1</v>
      </c>
      <c r="AO2336">
        <v>1</v>
      </c>
      <c r="AP2336">
        <v>1</v>
      </c>
      <c r="AQ2336">
        <v>1</v>
      </c>
      <c r="AR2336">
        <v>1</v>
      </c>
      <c r="AS2336">
        <v>0</v>
      </c>
      <c r="AT2336">
        <v>0</v>
      </c>
      <c r="AV2336">
        <v>1</v>
      </c>
      <c r="AW2336">
        <v>1</v>
      </c>
    </row>
    <row r="2337" spans="1:49" x14ac:dyDescent="0.25">
      <c r="A2337" t="str">
        <f>"2333"</f>
        <v>2333</v>
      </c>
      <c r="B2337" t="str">
        <f t="shared" si="135"/>
        <v>1</v>
      </c>
      <c r="C2337" t="str">
        <f t="shared" si="134"/>
        <v>103</v>
      </c>
      <c r="D2337" t="str">
        <f>"16"</f>
        <v>16</v>
      </c>
      <c r="E2337" t="str">
        <f>"1-103-16"</f>
        <v>1-103-16</v>
      </c>
      <c r="F2337" t="s">
        <v>83</v>
      </c>
      <c r="G2337" t="s">
        <v>84</v>
      </c>
      <c r="H2337" t="s">
        <v>85</v>
      </c>
      <c r="AC2337">
        <v>0</v>
      </c>
      <c r="AD2337">
        <v>0</v>
      </c>
      <c r="AE2337">
        <v>0</v>
      </c>
      <c r="AF2337">
        <v>0</v>
      </c>
      <c r="AG2337">
        <v>0</v>
      </c>
      <c r="AJ2337">
        <v>0</v>
      </c>
      <c r="AK2337">
        <v>0</v>
      </c>
      <c r="AL2337">
        <v>0</v>
      </c>
      <c r="AM2337">
        <v>0</v>
      </c>
      <c r="AN2337">
        <v>0</v>
      </c>
      <c r="AO2337">
        <v>0</v>
      </c>
      <c r="AP2337">
        <v>0</v>
      </c>
      <c r="AQ2337">
        <v>0</v>
      </c>
      <c r="AR2337">
        <v>0</v>
      </c>
      <c r="AS2337">
        <v>0</v>
      </c>
      <c r="AT2337">
        <v>0</v>
      </c>
      <c r="AV2337">
        <v>1</v>
      </c>
      <c r="AW2337">
        <v>0</v>
      </c>
    </row>
    <row r="2338" spans="1:49" x14ac:dyDescent="0.25">
      <c r="A2338" t="str">
        <f>"2334"</f>
        <v>2334</v>
      </c>
      <c r="B2338" t="str">
        <f t="shared" si="135"/>
        <v>1</v>
      </c>
      <c r="C2338" t="str">
        <f t="shared" si="134"/>
        <v>103</v>
      </c>
      <c r="D2338" t="str">
        <f>"9"</f>
        <v>9</v>
      </c>
      <c r="E2338" t="str">
        <f>"1-103-9"</f>
        <v>1-103-9</v>
      </c>
      <c r="F2338" t="s">
        <v>83</v>
      </c>
      <c r="G2338" t="s">
        <v>84</v>
      </c>
      <c r="H2338" t="s">
        <v>85</v>
      </c>
      <c r="AC2338">
        <v>1</v>
      </c>
      <c r="AD2338">
        <v>0</v>
      </c>
      <c r="AE2338">
        <v>0</v>
      </c>
      <c r="AF2338">
        <v>0</v>
      </c>
      <c r="AG2338">
        <v>1</v>
      </c>
      <c r="AJ2338">
        <v>1</v>
      </c>
      <c r="AK2338">
        <v>0</v>
      </c>
      <c r="AL2338">
        <v>1</v>
      </c>
      <c r="AM2338">
        <v>0</v>
      </c>
      <c r="AN2338">
        <v>0</v>
      </c>
      <c r="AO2338">
        <v>1</v>
      </c>
      <c r="AP2338">
        <v>1</v>
      </c>
      <c r="AQ2338">
        <v>1</v>
      </c>
      <c r="AR2338">
        <v>1</v>
      </c>
      <c r="AS2338">
        <v>1</v>
      </c>
      <c r="AT2338">
        <v>0</v>
      </c>
      <c r="AV2338">
        <v>1</v>
      </c>
      <c r="AW2338">
        <v>1</v>
      </c>
    </row>
    <row r="2339" spans="1:49" x14ac:dyDescent="0.25">
      <c r="A2339" t="str">
        <f>"2335"</f>
        <v>2335</v>
      </c>
      <c r="B2339" t="str">
        <f t="shared" si="135"/>
        <v>1</v>
      </c>
      <c r="C2339" t="str">
        <f t="shared" si="134"/>
        <v>103</v>
      </c>
      <c r="D2339" t="str">
        <f>"5"</f>
        <v>5</v>
      </c>
      <c r="E2339" t="str">
        <f>"1-103-5"</f>
        <v>1-103-5</v>
      </c>
      <c r="F2339" t="s">
        <v>83</v>
      </c>
      <c r="G2339" t="s">
        <v>86</v>
      </c>
      <c r="H2339" t="s">
        <v>87</v>
      </c>
      <c r="AC2339">
        <v>0</v>
      </c>
      <c r="AD2339">
        <v>0</v>
      </c>
      <c r="AE2339">
        <v>0</v>
      </c>
      <c r="AF2339">
        <v>0</v>
      </c>
      <c r="AH2339">
        <v>0</v>
      </c>
      <c r="AI2339">
        <v>1</v>
      </c>
      <c r="AJ2339">
        <v>0</v>
      </c>
      <c r="AK2339">
        <v>0</v>
      </c>
      <c r="AL2339">
        <v>0</v>
      </c>
      <c r="AM2339">
        <v>0</v>
      </c>
      <c r="AN2339">
        <v>0</v>
      </c>
      <c r="AO2339">
        <v>0</v>
      </c>
      <c r="AP2339">
        <v>0</v>
      </c>
      <c r="AQ2339">
        <v>0</v>
      </c>
      <c r="AU2339">
        <v>1</v>
      </c>
      <c r="AV2339">
        <v>0</v>
      </c>
      <c r="AW2339">
        <v>1</v>
      </c>
    </row>
    <row r="2340" spans="1:49" x14ac:dyDescent="0.25">
      <c r="A2340" t="str">
        <f>"2336"</f>
        <v>2336</v>
      </c>
      <c r="B2340" t="str">
        <f t="shared" si="135"/>
        <v>1</v>
      </c>
      <c r="C2340" t="str">
        <f t="shared" si="134"/>
        <v>103</v>
      </c>
      <c r="D2340" t="str">
        <f>"25"</f>
        <v>25</v>
      </c>
      <c r="E2340" t="str">
        <f>"1-103-25"</f>
        <v>1-103-25</v>
      </c>
      <c r="F2340" t="s">
        <v>83</v>
      </c>
      <c r="G2340" t="s">
        <v>84</v>
      </c>
      <c r="H2340" t="s">
        <v>85</v>
      </c>
      <c r="AC2340">
        <v>1</v>
      </c>
      <c r="AD2340">
        <v>0</v>
      </c>
      <c r="AE2340">
        <v>0</v>
      </c>
      <c r="AF2340">
        <v>0</v>
      </c>
      <c r="AG2340">
        <v>1</v>
      </c>
      <c r="AJ2340">
        <v>0</v>
      </c>
      <c r="AK2340">
        <v>1</v>
      </c>
      <c r="AL2340">
        <v>0</v>
      </c>
      <c r="AM2340">
        <v>0</v>
      </c>
      <c r="AN2340">
        <v>1</v>
      </c>
      <c r="AO2340">
        <v>1</v>
      </c>
      <c r="AP2340">
        <v>1</v>
      </c>
      <c r="AQ2340">
        <v>1</v>
      </c>
      <c r="AR2340">
        <v>1</v>
      </c>
      <c r="AS2340">
        <v>1</v>
      </c>
      <c r="AT2340">
        <v>0</v>
      </c>
      <c r="AV2340">
        <v>1</v>
      </c>
      <c r="AW2340">
        <v>1</v>
      </c>
    </row>
    <row r="2341" spans="1:49" x14ac:dyDescent="0.25">
      <c r="A2341" t="str">
        <f>"2337"</f>
        <v>2337</v>
      </c>
      <c r="B2341" t="str">
        <f t="shared" si="135"/>
        <v>1</v>
      </c>
      <c r="C2341" t="str">
        <f t="shared" si="134"/>
        <v>103</v>
      </c>
      <c r="D2341" t="str">
        <f>"24"</f>
        <v>24</v>
      </c>
      <c r="E2341" t="str">
        <f>"1-103-24"</f>
        <v>1-103-24</v>
      </c>
      <c r="F2341" t="s">
        <v>83</v>
      </c>
      <c r="G2341" t="s">
        <v>86</v>
      </c>
      <c r="H2341" t="s">
        <v>87</v>
      </c>
      <c r="AC2341">
        <v>0</v>
      </c>
      <c r="AD2341">
        <v>0</v>
      </c>
      <c r="AE2341">
        <v>0</v>
      </c>
      <c r="AF2341">
        <v>0</v>
      </c>
      <c r="AH2341">
        <v>0</v>
      </c>
      <c r="AI2341">
        <v>1</v>
      </c>
      <c r="AJ2341">
        <v>0</v>
      </c>
      <c r="AK2341">
        <v>0</v>
      </c>
      <c r="AL2341">
        <v>0</v>
      </c>
      <c r="AM2341">
        <v>0</v>
      </c>
      <c r="AN2341">
        <v>0</v>
      </c>
      <c r="AO2341">
        <v>0</v>
      </c>
      <c r="AP2341">
        <v>0</v>
      </c>
      <c r="AQ2341">
        <v>0</v>
      </c>
      <c r="AU2341">
        <v>1</v>
      </c>
      <c r="AV2341">
        <v>0</v>
      </c>
      <c r="AW2341">
        <v>1</v>
      </c>
    </row>
    <row r="2342" spans="1:49" x14ac:dyDescent="0.25">
      <c r="A2342" t="str">
        <f>"2338"</f>
        <v>2338</v>
      </c>
      <c r="B2342" t="str">
        <f t="shared" si="135"/>
        <v>1</v>
      </c>
      <c r="C2342" t="str">
        <f t="shared" si="134"/>
        <v>103</v>
      </c>
      <c r="D2342" t="str">
        <f>"17"</f>
        <v>17</v>
      </c>
      <c r="E2342" t="str">
        <f>"1-103-17"</f>
        <v>1-103-17</v>
      </c>
      <c r="F2342" t="s">
        <v>83</v>
      </c>
      <c r="G2342" t="s">
        <v>84</v>
      </c>
      <c r="H2342" t="s">
        <v>85</v>
      </c>
      <c r="AC2342">
        <v>1</v>
      </c>
      <c r="AD2342">
        <v>0</v>
      </c>
      <c r="AE2342">
        <v>0</v>
      </c>
      <c r="AF2342">
        <v>0</v>
      </c>
      <c r="AG2342">
        <v>1</v>
      </c>
      <c r="AJ2342">
        <v>1</v>
      </c>
      <c r="AK2342">
        <v>0</v>
      </c>
      <c r="AL2342">
        <v>0</v>
      </c>
      <c r="AM2342">
        <v>1</v>
      </c>
      <c r="AN2342">
        <v>0</v>
      </c>
      <c r="AO2342">
        <v>1</v>
      </c>
      <c r="AP2342">
        <v>1</v>
      </c>
      <c r="AQ2342">
        <v>1</v>
      </c>
      <c r="AR2342">
        <v>1</v>
      </c>
      <c r="AS2342">
        <v>0</v>
      </c>
      <c r="AT2342">
        <v>1</v>
      </c>
      <c r="AV2342">
        <v>1</v>
      </c>
      <c r="AW2342">
        <v>1</v>
      </c>
    </row>
    <row r="2343" spans="1:49" x14ac:dyDescent="0.25">
      <c r="A2343" t="str">
        <f>"2339"</f>
        <v>2339</v>
      </c>
      <c r="B2343" t="str">
        <f t="shared" si="135"/>
        <v>1</v>
      </c>
      <c r="C2343" t="str">
        <f t="shared" si="134"/>
        <v>103</v>
      </c>
      <c r="D2343" t="str">
        <f>"11"</f>
        <v>11</v>
      </c>
      <c r="E2343" t="str">
        <f>"1-103-11"</f>
        <v>1-103-11</v>
      </c>
      <c r="F2343" t="s">
        <v>83</v>
      </c>
      <c r="G2343" t="s">
        <v>84</v>
      </c>
      <c r="H2343" t="s">
        <v>85</v>
      </c>
      <c r="AC2343">
        <v>0</v>
      </c>
      <c r="AD2343">
        <v>1</v>
      </c>
      <c r="AE2343">
        <v>0</v>
      </c>
      <c r="AF2343">
        <v>0</v>
      </c>
      <c r="AG2343">
        <v>1</v>
      </c>
      <c r="AJ2343">
        <v>0</v>
      </c>
      <c r="AK2343">
        <v>1</v>
      </c>
      <c r="AL2343">
        <v>0</v>
      </c>
      <c r="AM2343">
        <v>0</v>
      </c>
      <c r="AN2343">
        <v>1</v>
      </c>
      <c r="AO2343">
        <v>1</v>
      </c>
      <c r="AP2343">
        <v>1</v>
      </c>
      <c r="AQ2343">
        <v>1</v>
      </c>
      <c r="AR2343">
        <v>1</v>
      </c>
      <c r="AS2343">
        <v>0</v>
      </c>
      <c r="AT2343">
        <v>1</v>
      </c>
      <c r="AV2343">
        <v>1</v>
      </c>
      <c r="AW2343">
        <v>1</v>
      </c>
    </row>
    <row r="2344" spans="1:49" x14ac:dyDescent="0.25">
      <c r="A2344" t="str">
        <f>"2340"</f>
        <v>2340</v>
      </c>
      <c r="B2344" t="str">
        <f t="shared" si="135"/>
        <v>1</v>
      </c>
      <c r="C2344" t="str">
        <f t="shared" si="134"/>
        <v>103</v>
      </c>
      <c r="D2344" t="str">
        <f>"4"</f>
        <v>4</v>
      </c>
      <c r="E2344" t="str">
        <f>"1-103-4"</f>
        <v>1-103-4</v>
      </c>
      <c r="F2344" t="s">
        <v>83</v>
      </c>
      <c r="G2344" t="s">
        <v>86</v>
      </c>
      <c r="H2344" t="s">
        <v>87</v>
      </c>
      <c r="AC2344">
        <v>0</v>
      </c>
      <c r="AD2344">
        <v>1</v>
      </c>
      <c r="AE2344">
        <v>0</v>
      </c>
      <c r="AF2344">
        <v>0</v>
      </c>
      <c r="AH2344">
        <v>0</v>
      </c>
      <c r="AI2344">
        <v>1</v>
      </c>
      <c r="AJ2344">
        <v>0</v>
      </c>
      <c r="AK2344">
        <v>1</v>
      </c>
      <c r="AL2344">
        <v>0</v>
      </c>
      <c r="AM2344">
        <v>0</v>
      </c>
      <c r="AN2344">
        <v>1</v>
      </c>
      <c r="AO2344">
        <v>0</v>
      </c>
      <c r="AP2344">
        <v>0</v>
      </c>
      <c r="AQ2344">
        <v>0</v>
      </c>
      <c r="AU2344">
        <v>0</v>
      </c>
      <c r="AV2344">
        <v>0</v>
      </c>
      <c r="AW2344">
        <v>0</v>
      </c>
    </row>
    <row r="2345" spans="1:49" x14ac:dyDescent="0.25">
      <c r="A2345" t="str">
        <f>"2341"</f>
        <v>2341</v>
      </c>
      <c r="B2345" t="str">
        <f t="shared" si="135"/>
        <v>1</v>
      </c>
      <c r="C2345" t="str">
        <f t="shared" si="134"/>
        <v>103</v>
      </c>
      <c r="D2345" t="str">
        <f>"19"</f>
        <v>19</v>
      </c>
      <c r="E2345" t="str">
        <f>"1-103-19"</f>
        <v>1-103-19</v>
      </c>
      <c r="F2345" t="s">
        <v>83</v>
      </c>
      <c r="G2345" t="s">
        <v>88</v>
      </c>
      <c r="H2345" t="s">
        <v>89</v>
      </c>
      <c r="AC2345">
        <v>0</v>
      </c>
      <c r="AD2345">
        <v>1</v>
      </c>
      <c r="AE2345">
        <v>0</v>
      </c>
      <c r="AF2345">
        <v>0</v>
      </c>
      <c r="AH2345">
        <v>0</v>
      </c>
      <c r="AI2345">
        <v>1</v>
      </c>
      <c r="AJ2345">
        <v>0</v>
      </c>
      <c r="AK2345">
        <v>1</v>
      </c>
      <c r="AL2345">
        <v>0</v>
      </c>
      <c r="AM2345">
        <v>1</v>
      </c>
      <c r="AN2345">
        <v>0</v>
      </c>
      <c r="AO2345">
        <v>1</v>
      </c>
      <c r="AP2345">
        <v>1</v>
      </c>
      <c r="AQ2345">
        <v>1</v>
      </c>
      <c r="AR2345">
        <v>1</v>
      </c>
      <c r="AS2345">
        <v>1</v>
      </c>
      <c r="AT2345">
        <v>0</v>
      </c>
      <c r="AV2345">
        <v>1</v>
      </c>
      <c r="AW2345">
        <v>1</v>
      </c>
    </row>
    <row r="2346" spans="1:49" x14ac:dyDescent="0.25">
      <c r="A2346" t="str">
        <f>"2342"</f>
        <v>2342</v>
      </c>
      <c r="B2346" t="str">
        <f t="shared" si="135"/>
        <v>1</v>
      </c>
      <c r="C2346" t="str">
        <f t="shared" si="134"/>
        <v>103</v>
      </c>
      <c r="D2346" t="str">
        <f>"12"</f>
        <v>12</v>
      </c>
      <c r="E2346" t="str">
        <f>"1-103-12"</f>
        <v>1-103-12</v>
      </c>
      <c r="F2346" t="s">
        <v>83</v>
      </c>
      <c r="G2346" t="s">
        <v>84</v>
      </c>
      <c r="H2346" t="s">
        <v>85</v>
      </c>
      <c r="AC2346">
        <v>0</v>
      </c>
      <c r="AD2346">
        <v>1</v>
      </c>
      <c r="AE2346">
        <v>0</v>
      </c>
      <c r="AF2346">
        <v>0</v>
      </c>
      <c r="AG2346">
        <v>1</v>
      </c>
      <c r="AJ2346">
        <v>0</v>
      </c>
      <c r="AK2346">
        <v>1</v>
      </c>
      <c r="AL2346">
        <v>0</v>
      </c>
      <c r="AM2346">
        <v>0</v>
      </c>
      <c r="AN2346">
        <v>1</v>
      </c>
      <c r="AO2346">
        <v>1</v>
      </c>
      <c r="AP2346">
        <v>1</v>
      </c>
      <c r="AQ2346">
        <v>1</v>
      </c>
      <c r="AR2346">
        <v>1</v>
      </c>
      <c r="AS2346">
        <v>0</v>
      </c>
      <c r="AT2346">
        <v>1</v>
      </c>
      <c r="AV2346">
        <v>1</v>
      </c>
      <c r="AW2346">
        <v>1</v>
      </c>
    </row>
    <row r="2347" spans="1:49" x14ac:dyDescent="0.25">
      <c r="A2347" t="str">
        <f>"2343"</f>
        <v>2343</v>
      </c>
      <c r="B2347" t="str">
        <f t="shared" si="135"/>
        <v>1</v>
      </c>
      <c r="C2347" t="str">
        <f t="shared" si="134"/>
        <v>103</v>
      </c>
      <c r="D2347" t="str">
        <f>"7"</f>
        <v>7</v>
      </c>
      <c r="E2347" t="str">
        <f>"1-103-7"</f>
        <v>1-103-7</v>
      </c>
      <c r="F2347" t="s">
        <v>83</v>
      </c>
      <c r="G2347" t="s">
        <v>84</v>
      </c>
      <c r="H2347" t="s">
        <v>85</v>
      </c>
      <c r="AC2347">
        <v>0</v>
      </c>
      <c r="AD2347">
        <v>1</v>
      </c>
      <c r="AE2347">
        <v>0</v>
      </c>
      <c r="AF2347">
        <v>0</v>
      </c>
      <c r="AG2347">
        <v>1</v>
      </c>
      <c r="AJ2347">
        <v>0</v>
      </c>
      <c r="AK2347">
        <v>1</v>
      </c>
      <c r="AL2347">
        <v>0</v>
      </c>
      <c r="AM2347">
        <v>0</v>
      </c>
      <c r="AN2347">
        <v>1</v>
      </c>
      <c r="AO2347">
        <v>1</v>
      </c>
      <c r="AP2347">
        <v>1</v>
      </c>
      <c r="AQ2347">
        <v>1</v>
      </c>
      <c r="AR2347">
        <v>1</v>
      </c>
      <c r="AS2347">
        <v>0</v>
      </c>
      <c r="AT2347">
        <v>1</v>
      </c>
      <c r="AV2347">
        <v>1</v>
      </c>
      <c r="AW2347">
        <v>1</v>
      </c>
    </row>
    <row r="2348" spans="1:49" x14ac:dyDescent="0.25">
      <c r="A2348" t="str">
        <f>"2344"</f>
        <v>2344</v>
      </c>
      <c r="B2348" t="str">
        <f t="shared" si="135"/>
        <v>1</v>
      </c>
      <c r="C2348" t="str">
        <f t="shared" si="134"/>
        <v>103</v>
      </c>
      <c r="D2348" t="str">
        <f>"13"</f>
        <v>13</v>
      </c>
      <c r="E2348" t="str">
        <f>"1-103-13"</f>
        <v>1-103-13</v>
      </c>
      <c r="F2348" t="s">
        <v>83</v>
      </c>
      <c r="G2348" t="s">
        <v>84</v>
      </c>
      <c r="H2348" t="s">
        <v>85</v>
      </c>
      <c r="AC2348">
        <v>0</v>
      </c>
      <c r="AD2348">
        <v>1</v>
      </c>
      <c r="AE2348">
        <v>0</v>
      </c>
      <c r="AF2348">
        <v>0</v>
      </c>
      <c r="AG2348">
        <v>0</v>
      </c>
      <c r="AJ2348">
        <v>0</v>
      </c>
      <c r="AK2348">
        <v>1</v>
      </c>
      <c r="AL2348">
        <v>0</v>
      </c>
      <c r="AM2348">
        <v>1</v>
      </c>
      <c r="AN2348">
        <v>0</v>
      </c>
      <c r="AO2348">
        <v>0</v>
      </c>
      <c r="AP2348">
        <v>0</v>
      </c>
      <c r="AQ2348">
        <v>0</v>
      </c>
      <c r="AR2348">
        <v>0</v>
      </c>
      <c r="AS2348">
        <v>0</v>
      </c>
      <c r="AT2348">
        <v>1</v>
      </c>
      <c r="AV2348">
        <v>0</v>
      </c>
      <c r="AW2348">
        <v>0</v>
      </c>
    </row>
    <row r="2349" spans="1:49" x14ac:dyDescent="0.25">
      <c r="A2349" t="str">
        <f>"2345"</f>
        <v>2345</v>
      </c>
      <c r="B2349" t="str">
        <f t="shared" si="135"/>
        <v>1</v>
      </c>
      <c r="C2349" t="str">
        <f t="shared" si="134"/>
        <v>103</v>
      </c>
      <c r="D2349" t="str">
        <f>"2"</f>
        <v>2</v>
      </c>
      <c r="E2349" t="str">
        <f>"1-103-2"</f>
        <v>1-103-2</v>
      </c>
      <c r="F2349" t="s">
        <v>83</v>
      </c>
      <c r="G2349" t="s">
        <v>84</v>
      </c>
      <c r="H2349" t="s">
        <v>85</v>
      </c>
      <c r="AC2349">
        <v>0</v>
      </c>
      <c r="AD2349">
        <v>1</v>
      </c>
      <c r="AE2349">
        <v>0</v>
      </c>
      <c r="AF2349">
        <v>0</v>
      </c>
      <c r="AG2349">
        <v>1</v>
      </c>
      <c r="AJ2349">
        <v>1</v>
      </c>
      <c r="AK2349">
        <v>0</v>
      </c>
      <c r="AL2349">
        <v>0</v>
      </c>
      <c r="AM2349">
        <v>0</v>
      </c>
      <c r="AN2349">
        <v>1</v>
      </c>
      <c r="AO2349">
        <v>1</v>
      </c>
      <c r="AP2349">
        <v>1</v>
      </c>
      <c r="AQ2349">
        <v>0</v>
      </c>
      <c r="AR2349">
        <v>0</v>
      </c>
      <c r="AS2349">
        <v>0</v>
      </c>
      <c r="AT2349">
        <v>1</v>
      </c>
      <c r="AV2349">
        <v>1</v>
      </c>
      <c r="AW2349">
        <v>1</v>
      </c>
    </row>
    <row r="2350" spans="1:49" x14ac:dyDescent="0.25">
      <c r="A2350" t="str">
        <f>"2346"</f>
        <v>2346</v>
      </c>
      <c r="B2350" t="str">
        <f t="shared" si="135"/>
        <v>1</v>
      </c>
      <c r="C2350" t="str">
        <f t="shared" si="134"/>
        <v>103</v>
      </c>
      <c r="D2350" t="str">
        <f>"14"</f>
        <v>14</v>
      </c>
      <c r="E2350" t="str">
        <f>"1-103-14"</f>
        <v>1-103-14</v>
      </c>
      <c r="F2350" t="s">
        <v>83</v>
      </c>
      <c r="G2350" t="s">
        <v>84</v>
      </c>
      <c r="H2350" t="s">
        <v>85</v>
      </c>
      <c r="AC2350">
        <v>0</v>
      </c>
      <c r="AD2350">
        <v>1</v>
      </c>
      <c r="AE2350">
        <v>0</v>
      </c>
      <c r="AF2350">
        <v>0</v>
      </c>
      <c r="AG2350">
        <v>1</v>
      </c>
      <c r="AJ2350">
        <v>0</v>
      </c>
      <c r="AK2350">
        <v>1</v>
      </c>
      <c r="AL2350">
        <v>0</v>
      </c>
      <c r="AM2350">
        <v>0</v>
      </c>
      <c r="AN2350">
        <v>1</v>
      </c>
      <c r="AO2350">
        <v>1</v>
      </c>
      <c r="AP2350">
        <v>1</v>
      </c>
      <c r="AQ2350">
        <v>1</v>
      </c>
      <c r="AR2350">
        <v>1</v>
      </c>
      <c r="AS2350">
        <v>1</v>
      </c>
      <c r="AT2350">
        <v>0</v>
      </c>
      <c r="AV2350">
        <v>1</v>
      </c>
      <c r="AW2350">
        <v>1</v>
      </c>
    </row>
    <row r="2351" spans="1:49" x14ac:dyDescent="0.25">
      <c r="A2351" t="str">
        <f>"2347"</f>
        <v>2347</v>
      </c>
      <c r="B2351" t="str">
        <f t="shared" si="135"/>
        <v>1</v>
      </c>
      <c r="C2351" t="str">
        <f t="shared" si="134"/>
        <v>103</v>
      </c>
      <c r="D2351" t="str">
        <f>"6"</f>
        <v>6</v>
      </c>
      <c r="E2351" t="str">
        <f>"1-103-6"</f>
        <v>1-103-6</v>
      </c>
      <c r="F2351" t="s">
        <v>83</v>
      </c>
      <c r="G2351" t="s">
        <v>84</v>
      </c>
      <c r="H2351" t="s">
        <v>85</v>
      </c>
      <c r="AC2351">
        <v>0</v>
      </c>
      <c r="AD2351">
        <v>1</v>
      </c>
      <c r="AE2351">
        <v>0</v>
      </c>
      <c r="AF2351">
        <v>0</v>
      </c>
      <c r="AG2351">
        <v>1</v>
      </c>
      <c r="AJ2351">
        <v>0</v>
      </c>
      <c r="AK2351">
        <v>1</v>
      </c>
      <c r="AL2351">
        <v>0</v>
      </c>
      <c r="AM2351">
        <v>0</v>
      </c>
      <c r="AN2351">
        <v>1</v>
      </c>
      <c r="AO2351">
        <v>1</v>
      </c>
      <c r="AP2351">
        <v>1</v>
      </c>
      <c r="AQ2351">
        <v>1</v>
      </c>
      <c r="AR2351">
        <v>1</v>
      </c>
      <c r="AS2351">
        <v>0</v>
      </c>
      <c r="AT2351">
        <v>1</v>
      </c>
      <c r="AV2351">
        <v>1</v>
      </c>
      <c r="AW2351">
        <v>1</v>
      </c>
    </row>
    <row r="2352" spans="1:49" x14ac:dyDescent="0.25">
      <c r="A2352" t="str">
        <f>"2348"</f>
        <v>2348</v>
      </c>
      <c r="B2352" t="str">
        <f t="shared" si="135"/>
        <v>1</v>
      </c>
      <c r="C2352" t="str">
        <f t="shared" si="134"/>
        <v>103</v>
      </c>
      <c r="D2352" t="str">
        <f>"3"</f>
        <v>3</v>
      </c>
      <c r="E2352" t="str">
        <f>"1-103-3"</f>
        <v>1-103-3</v>
      </c>
      <c r="F2352" t="s">
        <v>83</v>
      </c>
      <c r="G2352" t="s">
        <v>84</v>
      </c>
      <c r="H2352" t="s">
        <v>85</v>
      </c>
      <c r="AC2352">
        <v>1</v>
      </c>
      <c r="AD2352">
        <v>0</v>
      </c>
      <c r="AE2352">
        <v>0</v>
      </c>
      <c r="AF2352">
        <v>0</v>
      </c>
      <c r="AG2352">
        <v>1</v>
      </c>
      <c r="AJ2352">
        <v>0</v>
      </c>
      <c r="AK2352">
        <v>1</v>
      </c>
      <c r="AL2352">
        <v>0</v>
      </c>
      <c r="AM2352">
        <v>0</v>
      </c>
      <c r="AN2352">
        <v>1</v>
      </c>
      <c r="AO2352">
        <v>1</v>
      </c>
      <c r="AP2352">
        <v>1</v>
      </c>
      <c r="AQ2352">
        <v>1</v>
      </c>
      <c r="AR2352">
        <v>1</v>
      </c>
      <c r="AS2352">
        <v>0</v>
      </c>
      <c r="AT2352">
        <v>1</v>
      </c>
      <c r="AV2352">
        <v>1</v>
      </c>
      <c r="AW2352">
        <v>1</v>
      </c>
    </row>
    <row r="2353" spans="1:49" x14ac:dyDescent="0.25">
      <c r="A2353" t="str">
        <f>"2349"</f>
        <v>2349</v>
      </c>
      <c r="B2353" t="str">
        <f t="shared" si="135"/>
        <v>1</v>
      </c>
      <c r="C2353" t="str">
        <f t="shared" si="134"/>
        <v>103</v>
      </c>
      <c r="D2353" t="str">
        <f>"18"</f>
        <v>18</v>
      </c>
      <c r="E2353" t="str">
        <f>"1-103-18"</f>
        <v>1-103-18</v>
      </c>
      <c r="F2353" t="s">
        <v>83</v>
      </c>
      <c r="G2353" t="s">
        <v>84</v>
      </c>
      <c r="H2353" t="s">
        <v>85</v>
      </c>
      <c r="AC2353">
        <v>0</v>
      </c>
      <c r="AD2353">
        <v>0</v>
      </c>
      <c r="AE2353">
        <v>0</v>
      </c>
      <c r="AF2353">
        <v>0</v>
      </c>
      <c r="AG2353">
        <v>1</v>
      </c>
      <c r="AJ2353">
        <v>0</v>
      </c>
      <c r="AK2353">
        <v>1</v>
      </c>
      <c r="AL2353">
        <v>1</v>
      </c>
      <c r="AM2353">
        <v>0</v>
      </c>
      <c r="AN2353">
        <v>0</v>
      </c>
      <c r="AO2353">
        <v>0</v>
      </c>
      <c r="AP2353">
        <v>0</v>
      </c>
      <c r="AQ2353">
        <v>0</v>
      </c>
      <c r="AR2353">
        <v>1</v>
      </c>
      <c r="AS2353">
        <v>0</v>
      </c>
      <c r="AT2353">
        <v>1</v>
      </c>
      <c r="AV2353">
        <v>1</v>
      </c>
      <c r="AW2353">
        <v>1</v>
      </c>
    </row>
    <row r="2354" spans="1:49" x14ac:dyDescent="0.25">
      <c r="A2354" t="str">
        <f>"2350"</f>
        <v>2350</v>
      </c>
      <c r="B2354" t="str">
        <f t="shared" si="135"/>
        <v>1</v>
      </c>
      <c r="C2354" t="str">
        <f t="shared" si="134"/>
        <v>103</v>
      </c>
      <c r="D2354" t="str">
        <f>"10"</f>
        <v>10</v>
      </c>
      <c r="E2354" t="str">
        <f>"1-103-10"</f>
        <v>1-103-10</v>
      </c>
      <c r="F2354" t="s">
        <v>83</v>
      </c>
      <c r="G2354" t="s">
        <v>84</v>
      </c>
      <c r="H2354" t="s">
        <v>85</v>
      </c>
      <c r="AC2354">
        <v>0</v>
      </c>
      <c r="AD2354">
        <v>1</v>
      </c>
      <c r="AE2354">
        <v>0</v>
      </c>
      <c r="AF2354">
        <v>0</v>
      </c>
      <c r="AG2354">
        <v>1</v>
      </c>
      <c r="AJ2354">
        <v>0</v>
      </c>
      <c r="AK2354">
        <v>1</v>
      </c>
      <c r="AL2354">
        <v>0</v>
      </c>
      <c r="AM2354">
        <v>0</v>
      </c>
      <c r="AN2354">
        <v>1</v>
      </c>
      <c r="AO2354">
        <v>1</v>
      </c>
      <c r="AP2354">
        <v>1</v>
      </c>
      <c r="AQ2354">
        <v>1</v>
      </c>
      <c r="AR2354">
        <v>1</v>
      </c>
      <c r="AS2354">
        <v>1</v>
      </c>
      <c r="AT2354">
        <v>0</v>
      </c>
      <c r="AV2354">
        <v>1</v>
      </c>
      <c r="AW2354">
        <v>1</v>
      </c>
    </row>
    <row r="2355" spans="1:49" x14ac:dyDescent="0.25">
      <c r="A2355" t="str">
        <f>"2351"</f>
        <v>2351</v>
      </c>
      <c r="B2355" t="str">
        <f t="shared" si="135"/>
        <v>1</v>
      </c>
      <c r="C2355" t="str">
        <f t="shared" ref="C2355:C2375" si="136">"104"</f>
        <v>104</v>
      </c>
      <c r="D2355" t="str">
        <f>"21"</f>
        <v>21</v>
      </c>
      <c r="E2355" t="str">
        <f>"1-104-21"</f>
        <v>1-104-21</v>
      </c>
      <c r="F2355" t="s">
        <v>83</v>
      </c>
      <c r="G2355" t="s">
        <v>86</v>
      </c>
      <c r="H2355" t="s">
        <v>87</v>
      </c>
      <c r="AC2355">
        <v>1</v>
      </c>
      <c r="AD2355">
        <v>0</v>
      </c>
      <c r="AE2355">
        <v>0</v>
      </c>
      <c r="AF2355">
        <v>0</v>
      </c>
      <c r="AH2355">
        <v>0</v>
      </c>
      <c r="AI2355">
        <v>1</v>
      </c>
      <c r="AJ2355">
        <v>0</v>
      </c>
      <c r="AK2355">
        <v>1</v>
      </c>
      <c r="AL2355">
        <v>0</v>
      </c>
      <c r="AM2355">
        <v>0</v>
      </c>
      <c r="AN2355">
        <v>1</v>
      </c>
      <c r="AO2355">
        <v>1</v>
      </c>
      <c r="AP2355">
        <v>1</v>
      </c>
      <c r="AQ2355">
        <v>1</v>
      </c>
      <c r="AU2355">
        <v>1</v>
      </c>
      <c r="AV2355">
        <v>1</v>
      </c>
      <c r="AW2355">
        <v>1</v>
      </c>
    </row>
    <row r="2356" spans="1:49" x14ac:dyDescent="0.25">
      <c r="A2356" t="str">
        <f>"2352"</f>
        <v>2352</v>
      </c>
      <c r="B2356" t="str">
        <f t="shared" si="135"/>
        <v>1</v>
      </c>
      <c r="C2356" t="str">
        <f t="shared" si="136"/>
        <v>104</v>
      </c>
      <c r="D2356" t="str">
        <f>"20"</f>
        <v>20</v>
      </c>
      <c r="E2356" t="str">
        <f>"1-104-20"</f>
        <v>1-104-20</v>
      </c>
      <c r="F2356" t="s">
        <v>83</v>
      </c>
      <c r="G2356" t="s">
        <v>84</v>
      </c>
      <c r="H2356" t="s">
        <v>85</v>
      </c>
      <c r="AC2356">
        <v>0</v>
      </c>
      <c r="AD2356">
        <v>1</v>
      </c>
      <c r="AE2356">
        <v>0</v>
      </c>
      <c r="AF2356">
        <v>0</v>
      </c>
      <c r="AG2356">
        <v>1</v>
      </c>
      <c r="AJ2356">
        <v>0</v>
      </c>
      <c r="AK2356">
        <v>1</v>
      </c>
      <c r="AL2356">
        <v>0</v>
      </c>
      <c r="AM2356">
        <v>0</v>
      </c>
      <c r="AN2356">
        <v>1</v>
      </c>
      <c r="AO2356">
        <v>1</v>
      </c>
      <c r="AP2356">
        <v>1</v>
      </c>
      <c r="AQ2356">
        <v>1</v>
      </c>
      <c r="AR2356">
        <v>1</v>
      </c>
      <c r="AS2356">
        <v>0</v>
      </c>
      <c r="AT2356">
        <v>1</v>
      </c>
      <c r="AV2356">
        <v>1</v>
      </c>
      <c r="AW2356">
        <v>1</v>
      </c>
    </row>
    <row r="2357" spans="1:49" x14ac:dyDescent="0.25">
      <c r="A2357" t="str">
        <f>"2353"</f>
        <v>2353</v>
      </c>
      <c r="B2357" t="str">
        <f t="shared" si="135"/>
        <v>1</v>
      </c>
      <c r="C2357" t="str">
        <f t="shared" si="136"/>
        <v>104</v>
      </c>
      <c r="D2357" t="str">
        <f>"15"</f>
        <v>15</v>
      </c>
      <c r="E2357" t="str">
        <f>"1-104-15"</f>
        <v>1-104-15</v>
      </c>
      <c r="F2357" t="s">
        <v>83</v>
      </c>
      <c r="G2357" t="s">
        <v>84</v>
      </c>
      <c r="H2357" t="s">
        <v>85</v>
      </c>
      <c r="AC2357">
        <v>0</v>
      </c>
      <c r="AD2357">
        <v>1</v>
      </c>
      <c r="AE2357">
        <v>0</v>
      </c>
      <c r="AF2357">
        <v>0</v>
      </c>
      <c r="AG2357">
        <v>1</v>
      </c>
      <c r="AJ2357">
        <v>0</v>
      </c>
      <c r="AK2357">
        <v>1</v>
      </c>
      <c r="AL2357">
        <v>0</v>
      </c>
      <c r="AM2357">
        <v>0</v>
      </c>
      <c r="AN2357">
        <v>1</v>
      </c>
      <c r="AO2357">
        <v>1</v>
      </c>
      <c r="AP2357">
        <v>1</v>
      </c>
      <c r="AQ2357">
        <v>1</v>
      </c>
      <c r="AR2357">
        <v>1</v>
      </c>
      <c r="AS2357">
        <v>0</v>
      </c>
      <c r="AT2357">
        <v>1</v>
      </c>
      <c r="AV2357">
        <v>1</v>
      </c>
      <c r="AW2357">
        <v>1</v>
      </c>
    </row>
    <row r="2358" spans="1:49" x14ac:dyDescent="0.25">
      <c r="A2358" t="str">
        <f>"2354"</f>
        <v>2354</v>
      </c>
      <c r="B2358" t="str">
        <f t="shared" si="135"/>
        <v>1</v>
      </c>
      <c r="C2358" t="str">
        <f t="shared" si="136"/>
        <v>104</v>
      </c>
      <c r="D2358" t="str">
        <f>"8"</f>
        <v>8</v>
      </c>
      <c r="E2358" t="str">
        <f>"1-104-8"</f>
        <v>1-104-8</v>
      </c>
      <c r="F2358" t="s">
        <v>83</v>
      </c>
      <c r="G2358" t="s">
        <v>84</v>
      </c>
      <c r="H2358" t="s">
        <v>92</v>
      </c>
      <c r="I2358">
        <v>0</v>
      </c>
      <c r="J2358">
        <v>0</v>
      </c>
      <c r="N2358">
        <v>1</v>
      </c>
      <c r="O2358">
        <v>0</v>
      </c>
      <c r="P2358">
        <v>0</v>
      </c>
      <c r="Q2358">
        <v>0</v>
      </c>
      <c r="R2358">
        <v>0</v>
      </c>
      <c r="S2358">
        <v>1</v>
      </c>
      <c r="T2358">
        <v>0</v>
      </c>
      <c r="W2358">
        <v>0</v>
      </c>
      <c r="X2358">
        <v>0</v>
      </c>
      <c r="Y2358">
        <v>0</v>
      </c>
      <c r="Z2358">
        <v>0</v>
      </c>
      <c r="AA2358">
        <v>0</v>
      </c>
      <c r="AB2358">
        <v>1</v>
      </c>
    </row>
    <row r="2359" spans="1:49" x14ac:dyDescent="0.25">
      <c r="A2359" t="str">
        <f>"2355"</f>
        <v>2355</v>
      </c>
      <c r="B2359" t="str">
        <f t="shared" si="135"/>
        <v>1</v>
      </c>
      <c r="C2359" t="str">
        <f t="shared" si="136"/>
        <v>104</v>
      </c>
      <c r="D2359" t="str">
        <f>"4"</f>
        <v>4</v>
      </c>
      <c r="E2359" t="str">
        <f>"1-104-4"</f>
        <v>1-104-4</v>
      </c>
      <c r="F2359" t="s">
        <v>83</v>
      </c>
      <c r="G2359" t="s">
        <v>84</v>
      </c>
      <c r="H2359" t="s">
        <v>92</v>
      </c>
      <c r="I2359">
        <v>1</v>
      </c>
      <c r="J2359">
        <v>1</v>
      </c>
      <c r="N2359">
        <v>1</v>
      </c>
      <c r="O2359">
        <v>0</v>
      </c>
      <c r="P2359">
        <v>0</v>
      </c>
      <c r="Q2359">
        <v>1</v>
      </c>
      <c r="R2359">
        <v>0</v>
      </c>
      <c r="S2359">
        <v>0</v>
      </c>
      <c r="T2359">
        <v>0</v>
      </c>
      <c r="W2359">
        <v>1</v>
      </c>
      <c r="X2359">
        <v>0</v>
      </c>
      <c r="Y2359">
        <v>1</v>
      </c>
      <c r="Z2359">
        <v>1</v>
      </c>
      <c r="AA2359">
        <v>0</v>
      </c>
      <c r="AB2359">
        <v>0</v>
      </c>
    </row>
    <row r="2360" spans="1:49" x14ac:dyDescent="0.25">
      <c r="A2360" t="str">
        <f>"2356"</f>
        <v>2356</v>
      </c>
      <c r="B2360" t="str">
        <f t="shared" si="135"/>
        <v>1</v>
      </c>
      <c r="C2360" t="str">
        <f t="shared" si="136"/>
        <v>104</v>
      </c>
      <c r="D2360" t="str">
        <f>"16"</f>
        <v>16</v>
      </c>
      <c r="E2360" t="str">
        <f>"1-104-16"</f>
        <v>1-104-16</v>
      </c>
      <c r="F2360" t="s">
        <v>83</v>
      </c>
      <c r="G2360" t="s">
        <v>84</v>
      </c>
      <c r="H2360" t="s">
        <v>85</v>
      </c>
      <c r="AC2360">
        <v>1</v>
      </c>
      <c r="AD2360">
        <v>0</v>
      </c>
      <c r="AE2360">
        <v>0</v>
      </c>
      <c r="AF2360">
        <v>0</v>
      </c>
      <c r="AG2360">
        <v>1</v>
      </c>
      <c r="AJ2360">
        <v>1</v>
      </c>
      <c r="AK2360">
        <v>0</v>
      </c>
      <c r="AL2360">
        <v>1</v>
      </c>
      <c r="AM2360">
        <v>0</v>
      </c>
      <c r="AN2360">
        <v>0</v>
      </c>
      <c r="AO2360">
        <v>1</v>
      </c>
      <c r="AP2360">
        <v>1</v>
      </c>
      <c r="AQ2360">
        <v>1</v>
      </c>
      <c r="AR2360">
        <v>1</v>
      </c>
      <c r="AS2360">
        <v>0</v>
      </c>
      <c r="AT2360">
        <v>1</v>
      </c>
      <c r="AV2360">
        <v>1</v>
      </c>
      <c r="AW2360">
        <v>1</v>
      </c>
    </row>
    <row r="2361" spans="1:49" x14ac:dyDescent="0.25">
      <c r="A2361" t="str">
        <f>"2357"</f>
        <v>2357</v>
      </c>
      <c r="B2361" t="str">
        <f t="shared" si="135"/>
        <v>1</v>
      </c>
      <c r="C2361" t="str">
        <f t="shared" si="136"/>
        <v>104</v>
      </c>
      <c r="D2361" t="str">
        <f>"9"</f>
        <v>9</v>
      </c>
      <c r="E2361" t="str">
        <f>"1-104-9"</f>
        <v>1-104-9</v>
      </c>
      <c r="F2361" t="s">
        <v>83</v>
      </c>
      <c r="G2361" t="s">
        <v>84</v>
      </c>
      <c r="H2361" t="s">
        <v>92</v>
      </c>
      <c r="I2361">
        <v>1</v>
      </c>
      <c r="J2361">
        <v>1</v>
      </c>
      <c r="N2361">
        <v>1</v>
      </c>
      <c r="O2361">
        <v>1</v>
      </c>
      <c r="P2361">
        <v>0</v>
      </c>
      <c r="Q2361">
        <v>1</v>
      </c>
      <c r="R2361">
        <v>0</v>
      </c>
      <c r="S2361">
        <v>1</v>
      </c>
      <c r="T2361">
        <v>0</v>
      </c>
      <c r="W2361">
        <v>1</v>
      </c>
      <c r="X2361">
        <v>1</v>
      </c>
      <c r="Y2361">
        <v>1</v>
      </c>
      <c r="Z2361">
        <v>1</v>
      </c>
      <c r="AA2361">
        <v>1</v>
      </c>
      <c r="AB2361">
        <v>1</v>
      </c>
    </row>
    <row r="2362" spans="1:49" x14ac:dyDescent="0.25">
      <c r="A2362" t="str">
        <f>"2358"</f>
        <v>2358</v>
      </c>
      <c r="B2362" t="str">
        <f t="shared" si="135"/>
        <v>1</v>
      </c>
      <c r="C2362" t="str">
        <f t="shared" si="136"/>
        <v>104</v>
      </c>
      <c r="D2362" t="str">
        <f>"6"</f>
        <v>6</v>
      </c>
      <c r="E2362" t="str">
        <f>"1-104-6"</f>
        <v>1-104-6</v>
      </c>
      <c r="F2362" t="s">
        <v>83</v>
      </c>
      <c r="G2362" t="s">
        <v>86</v>
      </c>
      <c r="H2362" t="s">
        <v>93</v>
      </c>
      <c r="I2362">
        <v>1</v>
      </c>
      <c r="K2362">
        <v>0</v>
      </c>
      <c r="L2362">
        <v>0</v>
      </c>
      <c r="M2362">
        <v>1</v>
      </c>
      <c r="N2362">
        <v>1</v>
      </c>
      <c r="O2362">
        <v>1</v>
      </c>
      <c r="P2362">
        <v>1</v>
      </c>
      <c r="Q2362">
        <v>1</v>
      </c>
      <c r="R2362">
        <v>1</v>
      </c>
      <c r="U2362">
        <v>0</v>
      </c>
      <c r="V2362">
        <v>0</v>
      </c>
      <c r="W2362">
        <v>1</v>
      </c>
      <c r="X2362">
        <v>1</v>
      </c>
      <c r="Y2362">
        <v>1</v>
      </c>
      <c r="Z2362">
        <v>1</v>
      </c>
      <c r="AA2362">
        <v>1</v>
      </c>
      <c r="AB2362">
        <v>1</v>
      </c>
    </row>
    <row r="2363" spans="1:49" x14ac:dyDescent="0.25">
      <c r="A2363" t="str">
        <f>"2359"</f>
        <v>2359</v>
      </c>
      <c r="B2363" t="str">
        <f t="shared" si="135"/>
        <v>1</v>
      </c>
      <c r="C2363" t="str">
        <f t="shared" si="136"/>
        <v>104</v>
      </c>
      <c r="D2363" t="str">
        <f>"17"</f>
        <v>17</v>
      </c>
      <c r="E2363" t="str">
        <f>"1-104-17"</f>
        <v>1-104-17</v>
      </c>
      <c r="F2363" t="s">
        <v>83</v>
      </c>
      <c r="G2363" t="s">
        <v>84</v>
      </c>
      <c r="H2363" t="s">
        <v>85</v>
      </c>
      <c r="AC2363">
        <v>0</v>
      </c>
      <c r="AD2363">
        <v>1</v>
      </c>
      <c r="AE2363">
        <v>0</v>
      </c>
      <c r="AF2363">
        <v>0</v>
      </c>
      <c r="AG2363">
        <v>0</v>
      </c>
      <c r="AJ2363">
        <v>0</v>
      </c>
      <c r="AK2363">
        <v>1</v>
      </c>
      <c r="AL2363">
        <v>1</v>
      </c>
      <c r="AM2363">
        <v>0</v>
      </c>
      <c r="AN2363">
        <v>0</v>
      </c>
      <c r="AO2363">
        <v>0</v>
      </c>
      <c r="AP2363">
        <v>0</v>
      </c>
      <c r="AQ2363">
        <v>0</v>
      </c>
      <c r="AR2363">
        <v>0</v>
      </c>
      <c r="AS2363">
        <v>0</v>
      </c>
      <c r="AT2363">
        <v>1</v>
      </c>
      <c r="AV2363">
        <v>0</v>
      </c>
      <c r="AW2363">
        <v>0</v>
      </c>
    </row>
    <row r="2364" spans="1:49" x14ac:dyDescent="0.25">
      <c r="A2364" t="str">
        <f>"2360"</f>
        <v>2360</v>
      </c>
      <c r="B2364" t="str">
        <f t="shared" si="135"/>
        <v>1</v>
      </c>
      <c r="C2364" t="str">
        <f t="shared" si="136"/>
        <v>104</v>
      </c>
      <c r="D2364" t="str">
        <f>"10"</f>
        <v>10</v>
      </c>
      <c r="E2364" t="str">
        <f>"1-104-10"</f>
        <v>1-104-10</v>
      </c>
      <c r="F2364" t="s">
        <v>83</v>
      </c>
      <c r="G2364" t="s">
        <v>84</v>
      </c>
      <c r="H2364" t="s">
        <v>92</v>
      </c>
      <c r="I2364">
        <v>1</v>
      </c>
      <c r="J2364">
        <v>1</v>
      </c>
      <c r="N2364">
        <v>1</v>
      </c>
      <c r="O2364">
        <v>1</v>
      </c>
      <c r="P2364">
        <v>1</v>
      </c>
      <c r="Q2364">
        <v>1</v>
      </c>
      <c r="R2364">
        <v>1</v>
      </c>
      <c r="S2364">
        <v>1</v>
      </c>
      <c r="T2364">
        <v>1</v>
      </c>
      <c r="W2364">
        <v>1</v>
      </c>
      <c r="X2364">
        <v>1</v>
      </c>
      <c r="Y2364">
        <v>1</v>
      </c>
      <c r="Z2364">
        <v>1</v>
      </c>
      <c r="AA2364">
        <v>1</v>
      </c>
      <c r="AB2364">
        <v>1</v>
      </c>
    </row>
    <row r="2365" spans="1:49" x14ac:dyDescent="0.25">
      <c r="A2365" t="str">
        <f>"2361"</f>
        <v>2361</v>
      </c>
      <c r="B2365" t="str">
        <f t="shared" si="135"/>
        <v>1</v>
      </c>
      <c r="C2365" t="str">
        <f t="shared" si="136"/>
        <v>104</v>
      </c>
      <c r="D2365" t="str">
        <f>"1"</f>
        <v>1</v>
      </c>
      <c r="E2365" t="str">
        <f>"1-104-1"</f>
        <v>1-104-1</v>
      </c>
      <c r="F2365" t="s">
        <v>83</v>
      </c>
      <c r="G2365" t="s">
        <v>84</v>
      </c>
      <c r="H2365" t="s">
        <v>92</v>
      </c>
      <c r="I2365">
        <v>1</v>
      </c>
      <c r="J2365">
        <v>1</v>
      </c>
      <c r="N2365">
        <v>1</v>
      </c>
      <c r="O2365">
        <v>1</v>
      </c>
      <c r="P2365">
        <v>1</v>
      </c>
      <c r="Q2365">
        <v>1</v>
      </c>
      <c r="R2365">
        <v>1</v>
      </c>
      <c r="S2365">
        <v>1</v>
      </c>
      <c r="T2365">
        <v>1</v>
      </c>
      <c r="W2365">
        <v>1</v>
      </c>
      <c r="X2365">
        <v>1</v>
      </c>
      <c r="Y2365">
        <v>1</v>
      </c>
      <c r="Z2365">
        <v>1</v>
      </c>
      <c r="AA2365">
        <v>1</v>
      </c>
      <c r="AB2365">
        <v>1</v>
      </c>
    </row>
    <row r="2366" spans="1:49" x14ac:dyDescent="0.25">
      <c r="A2366" t="str">
        <f>"2362"</f>
        <v>2362</v>
      </c>
      <c r="B2366" t="str">
        <f t="shared" si="135"/>
        <v>1</v>
      </c>
      <c r="C2366" t="str">
        <f t="shared" si="136"/>
        <v>104</v>
      </c>
      <c r="D2366" t="str">
        <f>"18"</f>
        <v>18</v>
      </c>
      <c r="E2366" t="str">
        <f>"1-104-18"</f>
        <v>1-104-18</v>
      </c>
      <c r="F2366" t="s">
        <v>83</v>
      </c>
      <c r="G2366" t="s">
        <v>84</v>
      </c>
      <c r="H2366" t="s">
        <v>85</v>
      </c>
      <c r="AC2366">
        <v>0</v>
      </c>
      <c r="AD2366">
        <v>1</v>
      </c>
      <c r="AE2366">
        <v>0</v>
      </c>
      <c r="AF2366">
        <v>0</v>
      </c>
      <c r="AG2366">
        <v>0</v>
      </c>
      <c r="AJ2366">
        <v>0</v>
      </c>
      <c r="AK2366">
        <v>1</v>
      </c>
      <c r="AL2366">
        <v>0</v>
      </c>
      <c r="AM2366">
        <v>0</v>
      </c>
      <c r="AN2366">
        <v>1</v>
      </c>
      <c r="AO2366">
        <v>0</v>
      </c>
      <c r="AP2366">
        <v>0</v>
      </c>
      <c r="AQ2366">
        <v>0</v>
      </c>
      <c r="AR2366">
        <v>0</v>
      </c>
      <c r="AS2366">
        <v>0</v>
      </c>
      <c r="AT2366">
        <v>1</v>
      </c>
      <c r="AV2366">
        <v>0</v>
      </c>
      <c r="AW2366">
        <v>0</v>
      </c>
    </row>
    <row r="2367" spans="1:49" x14ac:dyDescent="0.25">
      <c r="A2367" t="str">
        <f>"2363"</f>
        <v>2363</v>
      </c>
      <c r="B2367" t="str">
        <f t="shared" si="135"/>
        <v>1</v>
      </c>
      <c r="C2367" t="str">
        <f t="shared" si="136"/>
        <v>104</v>
      </c>
      <c r="D2367" t="str">
        <f>"11"</f>
        <v>11</v>
      </c>
      <c r="E2367" t="str">
        <f>"1-104-11"</f>
        <v>1-104-11</v>
      </c>
      <c r="F2367" t="s">
        <v>83</v>
      </c>
      <c r="G2367" t="s">
        <v>86</v>
      </c>
      <c r="H2367" t="s">
        <v>87</v>
      </c>
      <c r="AC2367">
        <v>1</v>
      </c>
      <c r="AD2367">
        <v>0</v>
      </c>
      <c r="AE2367">
        <v>0</v>
      </c>
      <c r="AF2367">
        <v>0</v>
      </c>
      <c r="AH2367">
        <v>0</v>
      </c>
      <c r="AI2367">
        <v>1</v>
      </c>
      <c r="AJ2367">
        <v>0</v>
      </c>
      <c r="AK2367">
        <v>1</v>
      </c>
      <c r="AL2367">
        <v>0</v>
      </c>
      <c r="AM2367">
        <v>0</v>
      </c>
      <c r="AN2367">
        <v>1</v>
      </c>
      <c r="AO2367">
        <v>1</v>
      </c>
      <c r="AP2367">
        <v>1</v>
      </c>
      <c r="AQ2367">
        <v>1</v>
      </c>
      <c r="AU2367">
        <v>1</v>
      </c>
      <c r="AV2367">
        <v>1</v>
      </c>
      <c r="AW2367">
        <v>1</v>
      </c>
    </row>
    <row r="2368" spans="1:49" x14ac:dyDescent="0.25">
      <c r="A2368" t="str">
        <f>"2364"</f>
        <v>2364</v>
      </c>
      <c r="B2368" t="str">
        <f t="shared" si="135"/>
        <v>1</v>
      </c>
      <c r="C2368" t="str">
        <f t="shared" si="136"/>
        <v>104</v>
      </c>
      <c r="D2368" t="str">
        <f>"3"</f>
        <v>3</v>
      </c>
      <c r="E2368" t="str">
        <f>"1-104-3"</f>
        <v>1-104-3</v>
      </c>
      <c r="F2368" t="s">
        <v>83</v>
      </c>
      <c r="G2368" t="s">
        <v>84</v>
      </c>
      <c r="H2368" t="s">
        <v>92</v>
      </c>
      <c r="I2368">
        <v>1</v>
      </c>
      <c r="J2368">
        <v>1</v>
      </c>
      <c r="N2368">
        <v>1</v>
      </c>
      <c r="O2368">
        <v>1</v>
      </c>
      <c r="P2368">
        <v>1</v>
      </c>
      <c r="Q2368">
        <v>1</v>
      </c>
      <c r="R2368">
        <v>1</v>
      </c>
      <c r="S2368">
        <v>1</v>
      </c>
      <c r="T2368">
        <v>1</v>
      </c>
      <c r="W2368">
        <v>1</v>
      </c>
      <c r="X2368">
        <v>1</v>
      </c>
      <c r="Y2368">
        <v>1</v>
      </c>
      <c r="Z2368">
        <v>1</v>
      </c>
      <c r="AA2368">
        <v>1</v>
      </c>
      <c r="AB2368">
        <v>0</v>
      </c>
    </row>
    <row r="2369" spans="1:49" x14ac:dyDescent="0.25">
      <c r="A2369" t="str">
        <f>"2365"</f>
        <v>2365</v>
      </c>
      <c r="B2369" t="str">
        <f t="shared" si="135"/>
        <v>1</v>
      </c>
      <c r="C2369" t="str">
        <f t="shared" si="136"/>
        <v>104</v>
      </c>
      <c r="D2369" t="str">
        <f>"19"</f>
        <v>19</v>
      </c>
      <c r="E2369" t="str">
        <f>"1-104-19"</f>
        <v>1-104-19</v>
      </c>
      <c r="F2369" t="s">
        <v>83</v>
      </c>
      <c r="G2369" t="s">
        <v>84</v>
      </c>
      <c r="H2369" t="s">
        <v>85</v>
      </c>
      <c r="AC2369">
        <v>0</v>
      </c>
      <c r="AD2369">
        <v>1</v>
      </c>
      <c r="AE2369">
        <v>0</v>
      </c>
      <c r="AF2369">
        <v>0</v>
      </c>
      <c r="AG2369">
        <v>0</v>
      </c>
      <c r="AJ2369">
        <v>1</v>
      </c>
      <c r="AK2369">
        <v>0</v>
      </c>
      <c r="AL2369">
        <v>0</v>
      </c>
      <c r="AM2369">
        <v>0</v>
      </c>
      <c r="AN2369">
        <v>0</v>
      </c>
      <c r="AO2369">
        <v>0</v>
      </c>
      <c r="AP2369">
        <v>0</v>
      </c>
      <c r="AQ2369">
        <v>0</v>
      </c>
      <c r="AR2369">
        <v>0</v>
      </c>
      <c r="AS2369">
        <v>0</v>
      </c>
      <c r="AT2369">
        <v>0</v>
      </c>
      <c r="AV2369">
        <v>0</v>
      </c>
      <c r="AW2369">
        <v>1</v>
      </c>
    </row>
    <row r="2370" spans="1:49" x14ac:dyDescent="0.25">
      <c r="A2370" t="str">
        <f>"2366"</f>
        <v>2366</v>
      </c>
      <c r="B2370" t="str">
        <f t="shared" si="135"/>
        <v>1</v>
      </c>
      <c r="C2370" t="str">
        <f t="shared" si="136"/>
        <v>104</v>
      </c>
      <c r="D2370" t="str">
        <f>"12"</f>
        <v>12</v>
      </c>
      <c r="E2370" t="str">
        <f>"1-104-12"</f>
        <v>1-104-12</v>
      </c>
      <c r="F2370" t="s">
        <v>83</v>
      </c>
      <c r="G2370" t="s">
        <v>84</v>
      </c>
      <c r="H2370" t="s">
        <v>85</v>
      </c>
      <c r="AC2370">
        <v>0</v>
      </c>
      <c r="AD2370">
        <v>0</v>
      </c>
      <c r="AE2370">
        <v>0</v>
      </c>
      <c r="AF2370">
        <v>0</v>
      </c>
      <c r="AG2370">
        <v>0</v>
      </c>
      <c r="AJ2370">
        <v>0</v>
      </c>
      <c r="AK2370">
        <v>0</v>
      </c>
      <c r="AL2370">
        <v>0</v>
      </c>
      <c r="AM2370">
        <v>0</v>
      </c>
      <c r="AN2370">
        <v>0</v>
      </c>
      <c r="AO2370">
        <v>0</v>
      </c>
      <c r="AP2370">
        <v>0</v>
      </c>
      <c r="AQ2370">
        <v>0</v>
      </c>
      <c r="AR2370">
        <v>0</v>
      </c>
      <c r="AS2370">
        <v>0</v>
      </c>
      <c r="AT2370">
        <v>0</v>
      </c>
      <c r="AV2370">
        <v>1</v>
      </c>
      <c r="AW2370">
        <v>1</v>
      </c>
    </row>
    <row r="2371" spans="1:49" x14ac:dyDescent="0.25">
      <c r="A2371" t="str">
        <f>"2367"</f>
        <v>2367</v>
      </c>
      <c r="B2371" t="str">
        <f t="shared" si="135"/>
        <v>1</v>
      </c>
      <c r="C2371" t="str">
        <f t="shared" si="136"/>
        <v>104</v>
      </c>
      <c r="D2371" t="str">
        <f>"7"</f>
        <v>7</v>
      </c>
      <c r="E2371" t="str">
        <f>"1-104-7"</f>
        <v>1-104-7</v>
      </c>
      <c r="F2371" t="s">
        <v>83</v>
      </c>
      <c r="G2371" t="s">
        <v>84</v>
      </c>
      <c r="H2371" t="s">
        <v>92</v>
      </c>
      <c r="I2371">
        <v>1</v>
      </c>
      <c r="J2371">
        <v>1</v>
      </c>
      <c r="N2371">
        <v>1</v>
      </c>
      <c r="O2371">
        <v>1</v>
      </c>
      <c r="P2371">
        <v>1</v>
      </c>
      <c r="Q2371">
        <v>1</v>
      </c>
      <c r="R2371">
        <v>1</v>
      </c>
      <c r="S2371">
        <v>1</v>
      </c>
      <c r="T2371">
        <v>1</v>
      </c>
      <c r="W2371">
        <v>0</v>
      </c>
      <c r="X2371">
        <v>1</v>
      </c>
      <c r="Y2371">
        <v>1</v>
      </c>
      <c r="Z2371">
        <v>1</v>
      </c>
      <c r="AA2371">
        <v>1</v>
      </c>
      <c r="AB2371">
        <v>1</v>
      </c>
    </row>
    <row r="2372" spans="1:49" x14ac:dyDescent="0.25">
      <c r="A2372" t="str">
        <f>"2368"</f>
        <v>2368</v>
      </c>
      <c r="B2372" t="str">
        <f t="shared" si="135"/>
        <v>1</v>
      </c>
      <c r="C2372" t="str">
        <f t="shared" si="136"/>
        <v>104</v>
      </c>
      <c r="D2372" t="str">
        <f>"5"</f>
        <v>5</v>
      </c>
      <c r="E2372" t="str">
        <f>"1-104-5"</f>
        <v>1-104-5</v>
      </c>
      <c r="F2372" t="s">
        <v>83</v>
      </c>
      <c r="G2372" t="s">
        <v>84</v>
      </c>
      <c r="H2372" t="s">
        <v>92</v>
      </c>
      <c r="I2372">
        <v>1</v>
      </c>
      <c r="J2372">
        <v>1</v>
      </c>
      <c r="N2372">
        <v>1</v>
      </c>
      <c r="O2372">
        <v>1</v>
      </c>
      <c r="P2372">
        <v>1</v>
      </c>
      <c r="Q2372">
        <v>1</v>
      </c>
      <c r="R2372">
        <v>1</v>
      </c>
      <c r="S2372">
        <v>1</v>
      </c>
      <c r="T2372">
        <v>1</v>
      </c>
      <c r="W2372">
        <v>1</v>
      </c>
      <c r="X2372">
        <v>1</v>
      </c>
      <c r="Y2372">
        <v>1</v>
      </c>
      <c r="Z2372">
        <v>1</v>
      </c>
      <c r="AA2372">
        <v>1</v>
      </c>
      <c r="AB2372">
        <v>1</v>
      </c>
    </row>
    <row r="2373" spans="1:49" x14ac:dyDescent="0.25">
      <c r="A2373" t="str">
        <f>"2369"</f>
        <v>2369</v>
      </c>
      <c r="B2373" t="str">
        <f t="shared" si="135"/>
        <v>1</v>
      </c>
      <c r="C2373" t="str">
        <f t="shared" si="136"/>
        <v>104</v>
      </c>
      <c r="D2373" t="str">
        <f>"14"</f>
        <v>14</v>
      </c>
      <c r="E2373" t="str">
        <f>"1-104-14"</f>
        <v>1-104-14</v>
      </c>
      <c r="F2373" t="s">
        <v>83</v>
      </c>
      <c r="G2373" t="s">
        <v>88</v>
      </c>
      <c r="H2373" t="s">
        <v>89</v>
      </c>
      <c r="AC2373">
        <v>0</v>
      </c>
      <c r="AD2373">
        <v>1</v>
      </c>
      <c r="AE2373">
        <v>0</v>
      </c>
      <c r="AF2373">
        <v>0</v>
      </c>
      <c r="AH2373">
        <v>1</v>
      </c>
      <c r="AI2373">
        <v>0</v>
      </c>
      <c r="AJ2373">
        <v>0</v>
      </c>
      <c r="AK2373">
        <v>1</v>
      </c>
      <c r="AL2373">
        <v>1</v>
      </c>
      <c r="AM2373">
        <v>0</v>
      </c>
      <c r="AN2373">
        <v>0</v>
      </c>
      <c r="AO2373">
        <v>1</v>
      </c>
      <c r="AP2373">
        <v>1</v>
      </c>
      <c r="AQ2373">
        <v>1</v>
      </c>
      <c r="AR2373">
        <v>1</v>
      </c>
      <c r="AS2373">
        <v>0</v>
      </c>
      <c r="AT2373">
        <v>1</v>
      </c>
      <c r="AV2373">
        <v>1</v>
      </c>
      <c r="AW2373">
        <v>1</v>
      </c>
    </row>
    <row r="2374" spans="1:49" x14ac:dyDescent="0.25">
      <c r="A2374" t="str">
        <f>"2370"</f>
        <v>2370</v>
      </c>
      <c r="B2374" t="str">
        <f t="shared" si="135"/>
        <v>1</v>
      </c>
      <c r="C2374" t="str">
        <f t="shared" si="136"/>
        <v>104</v>
      </c>
      <c r="D2374" t="str">
        <f>"2"</f>
        <v>2</v>
      </c>
      <c r="E2374" t="str">
        <f>"1-104-2"</f>
        <v>1-104-2</v>
      </c>
      <c r="F2374" t="s">
        <v>83</v>
      </c>
      <c r="G2374" t="s">
        <v>84</v>
      </c>
      <c r="H2374" t="s">
        <v>92</v>
      </c>
      <c r="I2374">
        <v>1</v>
      </c>
      <c r="J2374">
        <v>1</v>
      </c>
      <c r="N2374">
        <v>1</v>
      </c>
      <c r="O2374">
        <v>0</v>
      </c>
      <c r="P2374">
        <v>1</v>
      </c>
      <c r="Q2374">
        <v>1</v>
      </c>
      <c r="R2374">
        <v>1</v>
      </c>
      <c r="S2374">
        <v>1</v>
      </c>
      <c r="T2374">
        <v>1</v>
      </c>
      <c r="W2374">
        <v>1</v>
      </c>
      <c r="X2374">
        <v>1</v>
      </c>
      <c r="Y2374">
        <v>1</v>
      </c>
      <c r="Z2374">
        <v>1</v>
      </c>
      <c r="AA2374">
        <v>1</v>
      </c>
      <c r="AB2374">
        <v>1</v>
      </c>
    </row>
    <row r="2375" spans="1:49" x14ac:dyDescent="0.25">
      <c r="A2375" t="str">
        <f>"2371"</f>
        <v>2371</v>
      </c>
      <c r="B2375" t="str">
        <f t="shared" si="135"/>
        <v>1</v>
      </c>
      <c r="C2375" t="str">
        <f t="shared" si="136"/>
        <v>104</v>
      </c>
      <c r="D2375" t="str">
        <f>"13"</f>
        <v>13</v>
      </c>
      <c r="E2375" t="str">
        <f>"1-104-13"</f>
        <v>1-104-13</v>
      </c>
      <c r="F2375" t="s">
        <v>83</v>
      </c>
      <c r="G2375" t="s">
        <v>84</v>
      </c>
      <c r="H2375" t="s">
        <v>85</v>
      </c>
      <c r="AC2375">
        <v>0</v>
      </c>
      <c r="AD2375">
        <v>0</v>
      </c>
      <c r="AE2375">
        <v>0</v>
      </c>
      <c r="AF2375">
        <v>0</v>
      </c>
      <c r="AG2375">
        <v>0</v>
      </c>
      <c r="AJ2375">
        <v>0</v>
      </c>
      <c r="AK2375">
        <v>0</v>
      </c>
      <c r="AL2375">
        <v>0</v>
      </c>
      <c r="AM2375">
        <v>0</v>
      </c>
      <c r="AN2375">
        <v>0</v>
      </c>
      <c r="AO2375">
        <v>0</v>
      </c>
      <c r="AP2375">
        <v>0</v>
      </c>
      <c r="AQ2375">
        <v>0</v>
      </c>
      <c r="AR2375">
        <v>0</v>
      </c>
      <c r="AS2375">
        <v>0</v>
      </c>
      <c r="AT2375">
        <v>0</v>
      </c>
      <c r="AV2375">
        <v>0</v>
      </c>
      <c r="AW2375">
        <v>0</v>
      </c>
    </row>
    <row r="2376" spans="1:49" x14ac:dyDescent="0.25">
      <c r="A2376" t="str">
        <f>"2372"</f>
        <v>2372</v>
      </c>
      <c r="B2376" t="str">
        <f t="shared" si="135"/>
        <v>1</v>
      </c>
      <c r="C2376" t="str">
        <f t="shared" ref="C2376:C2399" si="137">"105"</f>
        <v>105</v>
      </c>
      <c r="D2376" t="str">
        <f>"21"</f>
        <v>21</v>
      </c>
      <c r="E2376" t="str">
        <f>"1-105-21"</f>
        <v>1-105-21</v>
      </c>
      <c r="F2376" t="s">
        <v>83</v>
      </c>
      <c r="G2376" t="s">
        <v>86</v>
      </c>
      <c r="H2376" t="s">
        <v>93</v>
      </c>
      <c r="I2376">
        <v>1</v>
      </c>
      <c r="K2376">
        <v>1</v>
      </c>
      <c r="L2376">
        <v>0</v>
      </c>
      <c r="M2376">
        <v>0</v>
      </c>
      <c r="N2376">
        <v>1</v>
      </c>
      <c r="O2376">
        <v>1</v>
      </c>
      <c r="P2376">
        <v>1</v>
      </c>
      <c r="Q2376">
        <v>1</v>
      </c>
      <c r="R2376">
        <v>1</v>
      </c>
      <c r="U2376">
        <v>0</v>
      </c>
      <c r="V2376">
        <v>1</v>
      </c>
      <c r="W2376">
        <v>1</v>
      </c>
      <c r="X2376">
        <v>1</v>
      </c>
      <c r="Y2376">
        <v>1</v>
      </c>
      <c r="Z2376">
        <v>1</v>
      </c>
      <c r="AA2376">
        <v>1</v>
      </c>
      <c r="AB2376">
        <v>1</v>
      </c>
    </row>
    <row r="2377" spans="1:49" x14ac:dyDescent="0.25">
      <c r="A2377" t="str">
        <f>"2373"</f>
        <v>2373</v>
      </c>
      <c r="B2377" t="str">
        <f t="shared" si="135"/>
        <v>1</v>
      </c>
      <c r="C2377" t="str">
        <f t="shared" si="137"/>
        <v>105</v>
      </c>
      <c r="D2377" t="str">
        <f>"20"</f>
        <v>20</v>
      </c>
      <c r="E2377" t="str">
        <f>"1-105-20"</f>
        <v>1-105-20</v>
      </c>
      <c r="F2377" t="s">
        <v>83</v>
      </c>
      <c r="G2377" t="s">
        <v>86</v>
      </c>
      <c r="H2377" t="s">
        <v>93</v>
      </c>
      <c r="I2377">
        <v>1</v>
      </c>
      <c r="K2377">
        <v>0</v>
      </c>
      <c r="L2377">
        <v>0</v>
      </c>
      <c r="M2377">
        <v>1</v>
      </c>
      <c r="N2377">
        <v>1</v>
      </c>
      <c r="O2377">
        <v>1</v>
      </c>
      <c r="P2377">
        <v>1</v>
      </c>
      <c r="Q2377">
        <v>1</v>
      </c>
      <c r="R2377">
        <v>1</v>
      </c>
      <c r="U2377">
        <v>0</v>
      </c>
      <c r="V2377">
        <v>1</v>
      </c>
      <c r="W2377">
        <v>1</v>
      </c>
      <c r="X2377">
        <v>1</v>
      </c>
      <c r="Y2377">
        <v>1</v>
      </c>
      <c r="Z2377">
        <v>1</v>
      </c>
      <c r="AA2377">
        <v>1</v>
      </c>
      <c r="AB2377">
        <v>1</v>
      </c>
    </row>
    <row r="2378" spans="1:49" x14ac:dyDescent="0.25">
      <c r="A2378" t="str">
        <f>"2374"</f>
        <v>2374</v>
      </c>
      <c r="B2378" t="str">
        <f t="shared" si="135"/>
        <v>1</v>
      </c>
      <c r="C2378" t="str">
        <f t="shared" si="137"/>
        <v>105</v>
      </c>
      <c r="D2378" t="str">
        <f>"15"</f>
        <v>15</v>
      </c>
      <c r="E2378" t="str">
        <f>"1-105-15"</f>
        <v>1-105-15</v>
      </c>
      <c r="F2378" t="s">
        <v>83</v>
      </c>
      <c r="G2378" t="s">
        <v>84</v>
      </c>
      <c r="H2378" t="s">
        <v>92</v>
      </c>
      <c r="I2378">
        <v>1</v>
      </c>
      <c r="J2378">
        <v>1</v>
      </c>
      <c r="N2378">
        <v>1</v>
      </c>
      <c r="O2378">
        <v>1</v>
      </c>
      <c r="P2378">
        <v>1</v>
      </c>
      <c r="Q2378">
        <v>1</v>
      </c>
      <c r="R2378">
        <v>1</v>
      </c>
      <c r="S2378">
        <v>1</v>
      </c>
      <c r="T2378">
        <v>1</v>
      </c>
      <c r="W2378">
        <v>1</v>
      </c>
      <c r="X2378">
        <v>1</v>
      </c>
      <c r="Y2378">
        <v>1</v>
      </c>
      <c r="Z2378">
        <v>1</v>
      </c>
      <c r="AA2378">
        <v>1</v>
      </c>
      <c r="AB2378">
        <v>1</v>
      </c>
    </row>
    <row r="2379" spans="1:49" x14ac:dyDescent="0.25">
      <c r="A2379" t="str">
        <f>"2375"</f>
        <v>2375</v>
      </c>
      <c r="B2379" t="str">
        <f t="shared" si="135"/>
        <v>1</v>
      </c>
      <c r="C2379" t="str">
        <f t="shared" si="137"/>
        <v>105</v>
      </c>
      <c r="D2379" t="str">
        <f>"8"</f>
        <v>8</v>
      </c>
      <c r="E2379" t="str">
        <f>"1-105-8"</f>
        <v>1-105-8</v>
      </c>
      <c r="F2379" t="s">
        <v>83</v>
      </c>
      <c r="G2379" t="s">
        <v>86</v>
      </c>
      <c r="H2379" t="s">
        <v>93</v>
      </c>
      <c r="I2379">
        <v>1</v>
      </c>
      <c r="K2379">
        <v>0</v>
      </c>
      <c r="L2379">
        <v>0</v>
      </c>
      <c r="M2379">
        <v>1</v>
      </c>
      <c r="N2379">
        <v>1</v>
      </c>
      <c r="O2379">
        <v>1</v>
      </c>
      <c r="P2379">
        <v>1</v>
      </c>
      <c r="Q2379">
        <v>1</v>
      </c>
      <c r="R2379">
        <v>1</v>
      </c>
      <c r="U2379">
        <v>0</v>
      </c>
      <c r="V2379">
        <v>1</v>
      </c>
      <c r="W2379">
        <v>1</v>
      </c>
      <c r="X2379">
        <v>1</v>
      </c>
      <c r="Y2379">
        <v>1</v>
      </c>
      <c r="Z2379">
        <v>1</v>
      </c>
      <c r="AA2379">
        <v>1</v>
      </c>
      <c r="AB2379">
        <v>1</v>
      </c>
    </row>
    <row r="2380" spans="1:49" x14ac:dyDescent="0.25">
      <c r="A2380" t="str">
        <f>"2376"</f>
        <v>2376</v>
      </c>
      <c r="B2380" t="str">
        <f t="shared" si="135"/>
        <v>1</v>
      </c>
      <c r="C2380" t="str">
        <f t="shared" si="137"/>
        <v>105</v>
      </c>
      <c r="D2380" t="str">
        <f>"1"</f>
        <v>1</v>
      </c>
      <c r="E2380" t="str">
        <f>"1-105-1"</f>
        <v>1-105-1</v>
      </c>
      <c r="F2380" t="s">
        <v>83</v>
      </c>
      <c r="G2380" t="s">
        <v>84</v>
      </c>
      <c r="H2380" t="s">
        <v>92</v>
      </c>
      <c r="I2380">
        <v>1</v>
      </c>
      <c r="J2380">
        <v>1</v>
      </c>
      <c r="N2380">
        <v>1</v>
      </c>
      <c r="O2380">
        <v>1</v>
      </c>
      <c r="P2380">
        <v>1</v>
      </c>
      <c r="Q2380">
        <v>1</v>
      </c>
      <c r="R2380">
        <v>1</v>
      </c>
      <c r="S2380">
        <v>1</v>
      </c>
      <c r="T2380">
        <v>1</v>
      </c>
      <c r="W2380">
        <v>1</v>
      </c>
      <c r="X2380">
        <v>1</v>
      </c>
      <c r="Y2380">
        <v>1</v>
      </c>
      <c r="Z2380">
        <v>1</v>
      </c>
      <c r="AA2380">
        <v>1</v>
      </c>
      <c r="AB2380">
        <v>1</v>
      </c>
    </row>
    <row r="2381" spans="1:49" x14ac:dyDescent="0.25">
      <c r="A2381" t="str">
        <f>"2377"</f>
        <v>2377</v>
      </c>
      <c r="B2381" t="str">
        <f t="shared" si="135"/>
        <v>1</v>
      </c>
      <c r="C2381" t="str">
        <f t="shared" si="137"/>
        <v>105</v>
      </c>
      <c r="D2381" t="str">
        <f>"18"</f>
        <v>18</v>
      </c>
      <c r="E2381" t="str">
        <f>"1-105-18"</f>
        <v>1-105-18</v>
      </c>
      <c r="F2381" t="s">
        <v>83</v>
      </c>
      <c r="G2381" t="s">
        <v>84</v>
      </c>
      <c r="H2381" t="s">
        <v>85</v>
      </c>
      <c r="AC2381">
        <v>0</v>
      </c>
      <c r="AD2381">
        <v>1</v>
      </c>
      <c r="AE2381">
        <v>0</v>
      </c>
      <c r="AF2381">
        <v>0</v>
      </c>
      <c r="AG2381">
        <v>1</v>
      </c>
      <c r="AJ2381">
        <v>0</v>
      </c>
      <c r="AK2381">
        <v>1</v>
      </c>
      <c r="AL2381">
        <v>0</v>
      </c>
      <c r="AM2381">
        <v>0</v>
      </c>
      <c r="AN2381">
        <v>1</v>
      </c>
      <c r="AO2381">
        <v>0</v>
      </c>
      <c r="AP2381">
        <v>0</v>
      </c>
      <c r="AQ2381">
        <v>0</v>
      </c>
      <c r="AR2381">
        <v>0</v>
      </c>
      <c r="AS2381">
        <v>0</v>
      </c>
      <c r="AT2381">
        <v>1</v>
      </c>
      <c r="AV2381">
        <v>0</v>
      </c>
      <c r="AW2381">
        <v>0</v>
      </c>
    </row>
    <row r="2382" spans="1:49" x14ac:dyDescent="0.25">
      <c r="A2382" t="str">
        <f>"2378"</f>
        <v>2378</v>
      </c>
      <c r="B2382" t="str">
        <f t="shared" si="135"/>
        <v>1</v>
      </c>
      <c r="C2382" t="str">
        <f t="shared" si="137"/>
        <v>105</v>
      </c>
      <c r="D2382" t="str">
        <f>"9"</f>
        <v>9</v>
      </c>
      <c r="E2382" t="str">
        <f>"1-105-9"</f>
        <v>1-105-9</v>
      </c>
      <c r="F2382" t="s">
        <v>83</v>
      </c>
      <c r="G2382" t="s">
        <v>84</v>
      </c>
      <c r="H2382" t="s">
        <v>92</v>
      </c>
      <c r="I2382">
        <v>1</v>
      </c>
      <c r="J2382">
        <v>1</v>
      </c>
      <c r="N2382">
        <v>1</v>
      </c>
      <c r="O2382">
        <v>1</v>
      </c>
      <c r="P2382">
        <v>1</v>
      </c>
      <c r="Q2382">
        <v>1</v>
      </c>
      <c r="R2382">
        <v>1</v>
      </c>
      <c r="S2382">
        <v>1</v>
      </c>
      <c r="T2382">
        <v>1</v>
      </c>
      <c r="W2382">
        <v>1</v>
      </c>
      <c r="X2382">
        <v>1</v>
      </c>
      <c r="Y2382">
        <v>1</v>
      </c>
      <c r="Z2382">
        <v>1</v>
      </c>
      <c r="AA2382">
        <v>1</v>
      </c>
      <c r="AB2382">
        <v>1</v>
      </c>
    </row>
    <row r="2383" spans="1:49" x14ac:dyDescent="0.25">
      <c r="A2383" t="str">
        <f>"2379"</f>
        <v>2379</v>
      </c>
      <c r="B2383" t="str">
        <f t="shared" si="135"/>
        <v>1</v>
      </c>
      <c r="C2383" t="str">
        <f t="shared" si="137"/>
        <v>105</v>
      </c>
      <c r="D2383" t="str">
        <f>"3"</f>
        <v>3</v>
      </c>
      <c r="E2383" t="str">
        <f>"1-105-3"</f>
        <v>1-105-3</v>
      </c>
      <c r="F2383" t="s">
        <v>83</v>
      </c>
      <c r="G2383" t="s">
        <v>84</v>
      </c>
      <c r="H2383" t="s">
        <v>92</v>
      </c>
      <c r="I2383">
        <v>1</v>
      </c>
      <c r="J2383">
        <v>1</v>
      </c>
      <c r="N2383">
        <v>1</v>
      </c>
      <c r="O2383">
        <v>1</v>
      </c>
      <c r="P2383">
        <v>1</v>
      </c>
      <c r="Q2383">
        <v>1</v>
      </c>
      <c r="R2383">
        <v>1</v>
      </c>
      <c r="S2383">
        <v>1</v>
      </c>
      <c r="T2383">
        <v>1</v>
      </c>
      <c r="W2383">
        <v>1</v>
      </c>
      <c r="X2383">
        <v>1</v>
      </c>
      <c r="Y2383">
        <v>1</v>
      </c>
      <c r="Z2383">
        <v>1</v>
      </c>
      <c r="AA2383">
        <v>1</v>
      </c>
      <c r="AB2383">
        <v>0</v>
      </c>
    </row>
    <row r="2384" spans="1:49" x14ac:dyDescent="0.25">
      <c r="A2384" t="str">
        <f>"2380"</f>
        <v>2380</v>
      </c>
      <c r="B2384" t="str">
        <f t="shared" si="135"/>
        <v>1</v>
      </c>
      <c r="C2384" t="str">
        <f t="shared" si="137"/>
        <v>105</v>
      </c>
      <c r="D2384" t="str">
        <f>"17"</f>
        <v>17</v>
      </c>
      <c r="E2384" t="str">
        <f>"1-105-17"</f>
        <v>1-105-17</v>
      </c>
      <c r="F2384" t="s">
        <v>83</v>
      </c>
      <c r="G2384" t="s">
        <v>86</v>
      </c>
      <c r="H2384" t="s">
        <v>93</v>
      </c>
      <c r="I2384">
        <v>0</v>
      </c>
      <c r="K2384">
        <v>0</v>
      </c>
      <c r="L2384">
        <v>0</v>
      </c>
      <c r="M2384">
        <v>1</v>
      </c>
      <c r="N2384">
        <v>1</v>
      </c>
      <c r="O2384">
        <v>0</v>
      </c>
      <c r="P2384">
        <v>0</v>
      </c>
      <c r="Q2384">
        <v>0</v>
      </c>
      <c r="R2384">
        <v>0</v>
      </c>
      <c r="U2384">
        <v>0</v>
      </c>
      <c r="V2384">
        <v>1</v>
      </c>
      <c r="W2384">
        <v>0</v>
      </c>
      <c r="X2384">
        <v>0</v>
      </c>
      <c r="Y2384">
        <v>0</v>
      </c>
      <c r="Z2384">
        <v>0</v>
      </c>
      <c r="AA2384">
        <v>0</v>
      </c>
      <c r="AB2384">
        <v>0</v>
      </c>
    </row>
    <row r="2385" spans="1:28" x14ac:dyDescent="0.25">
      <c r="A2385" t="str">
        <f>"2381"</f>
        <v>2381</v>
      </c>
      <c r="B2385" t="str">
        <f t="shared" si="135"/>
        <v>1</v>
      </c>
      <c r="C2385" t="str">
        <f t="shared" si="137"/>
        <v>105</v>
      </c>
      <c r="D2385" t="str">
        <f>"10"</f>
        <v>10</v>
      </c>
      <c r="E2385" t="str">
        <f>"1-105-10"</f>
        <v>1-105-10</v>
      </c>
      <c r="F2385" t="s">
        <v>83</v>
      </c>
      <c r="G2385" t="s">
        <v>84</v>
      </c>
      <c r="H2385" t="s">
        <v>92</v>
      </c>
      <c r="I2385">
        <v>1</v>
      </c>
      <c r="J2385">
        <v>1</v>
      </c>
      <c r="N2385">
        <v>1</v>
      </c>
      <c r="O2385">
        <v>1</v>
      </c>
      <c r="P2385">
        <v>1</v>
      </c>
      <c r="Q2385">
        <v>1</v>
      </c>
      <c r="R2385">
        <v>1</v>
      </c>
      <c r="S2385">
        <v>1</v>
      </c>
      <c r="T2385">
        <v>1</v>
      </c>
      <c r="W2385">
        <v>1</v>
      </c>
      <c r="X2385">
        <v>1</v>
      </c>
      <c r="Y2385">
        <v>1</v>
      </c>
      <c r="Z2385">
        <v>1</v>
      </c>
      <c r="AA2385">
        <v>1</v>
      </c>
      <c r="AB2385">
        <v>1</v>
      </c>
    </row>
    <row r="2386" spans="1:28" x14ac:dyDescent="0.25">
      <c r="A2386" t="str">
        <f>"2382"</f>
        <v>2382</v>
      </c>
      <c r="B2386" t="str">
        <f t="shared" si="135"/>
        <v>1</v>
      </c>
      <c r="C2386" t="str">
        <f t="shared" si="137"/>
        <v>105</v>
      </c>
      <c r="D2386" t="str">
        <f>"7"</f>
        <v>7</v>
      </c>
      <c r="E2386" t="str">
        <f>"1-105-7"</f>
        <v>1-105-7</v>
      </c>
      <c r="F2386" t="s">
        <v>83</v>
      </c>
      <c r="G2386" t="s">
        <v>84</v>
      </c>
      <c r="H2386" t="s">
        <v>92</v>
      </c>
      <c r="I2386">
        <v>1</v>
      </c>
      <c r="J2386">
        <v>1</v>
      </c>
      <c r="N2386">
        <v>1</v>
      </c>
      <c r="O2386">
        <v>1</v>
      </c>
      <c r="P2386">
        <v>1</v>
      </c>
      <c r="Q2386">
        <v>1</v>
      </c>
      <c r="R2386">
        <v>1</v>
      </c>
      <c r="S2386">
        <v>1</v>
      </c>
      <c r="T2386">
        <v>0</v>
      </c>
      <c r="W2386">
        <v>1</v>
      </c>
      <c r="X2386">
        <v>1</v>
      </c>
      <c r="Y2386">
        <v>1</v>
      </c>
      <c r="Z2386">
        <v>1</v>
      </c>
      <c r="AA2386">
        <v>1</v>
      </c>
      <c r="AB2386">
        <v>1</v>
      </c>
    </row>
    <row r="2387" spans="1:28" x14ac:dyDescent="0.25">
      <c r="A2387" t="str">
        <f>"2383"</f>
        <v>2383</v>
      </c>
      <c r="B2387" t="str">
        <f t="shared" si="135"/>
        <v>1</v>
      </c>
      <c r="C2387" t="str">
        <f t="shared" si="137"/>
        <v>105</v>
      </c>
      <c r="D2387" t="str">
        <f>"24"</f>
        <v>24</v>
      </c>
      <c r="E2387" t="str">
        <f>"1-105-24"</f>
        <v>1-105-24</v>
      </c>
      <c r="F2387" t="s">
        <v>83</v>
      </c>
      <c r="G2387" t="s">
        <v>84</v>
      </c>
      <c r="H2387" t="s">
        <v>92</v>
      </c>
      <c r="I2387">
        <v>1</v>
      </c>
      <c r="J2387">
        <v>1</v>
      </c>
      <c r="N2387">
        <v>1</v>
      </c>
      <c r="O2387">
        <v>1</v>
      </c>
      <c r="P2387">
        <v>1</v>
      </c>
      <c r="Q2387">
        <v>1</v>
      </c>
      <c r="R2387">
        <v>1</v>
      </c>
      <c r="S2387">
        <v>1</v>
      </c>
      <c r="T2387">
        <v>1</v>
      </c>
      <c r="W2387">
        <v>1</v>
      </c>
      <c r="X2387">
        <v>1</v>
      </c>
      <c r="Y2387">
        <v>1</v>
      </c>
      <c r="Z2387">
        <v>1</v>
      </c>
      <c r="AA2387">
        <v>1</v>
      </c>
      <c r="AB2387">
        <v>1</v>
      </c>
    </row>
    <row r="2388" spans="1:28" x14ac:dyDescent="0.25">
      <c r="A2388" t="str">
        <f>"2384"</f>
        <v>2384</v>
      </c>
      <c r="B2388" t="str">
        <f t="shared" si="135"/>
        <v>1</v>
      </c>
      <c r="C2388" t="str">
        <f t="shared" si="137"/>
        <v>105</v>
      </c>
      <c r="D2388" t="str">
        <f>"16"</f>
        <v>16</v>
      </c>
      <c r="E2388" t="str">
        <f>"1-105-16"</f>
        <v>1-105-16</v>
      </c>
      <c r="F2388" t="s">
        <v>83</v>
      </c>
      <c r="G2388" t="s">
        <v>84</v>
      </c>
      <c r="H2388" t="s">
        <v>92</v>
      </c>
      <c r="I2388">
        <v>1</v>
      </c>
      <c r="J2388">
        <v>1</v>
      </c>
      <c r="N2388">
        <v>1</v>
      </c>
      <c r="O2388">
        <v>1</v>
      </c>
      <c r="P2388">
        <v>1</v>
      </c>
      <c r="Q2388">
        <v>1</v>
      </c>
      <c r="R2388">
        <v>1</v>
      </c>
      <c r="S2388">
        <v>1</v>
      </c>
      <c r="T2388">
        <v>1</v>
      </c>
      <c r="W2388">
        <v>1</v>
      </c>
      <c r="X2388">
        <v>1</v>
      </c>
      <c r="Y2388">
        <v>1</v>
      </c>
      <c r="Z2388">
        <v>1</v>
      </c>
      <c r="AA2388">
        <v>1</v>
      </c>
      <c r="AB2388">
        <v>1</v>
      </c>
    </row>
    <row r="2389" spans="1:28" x14ac:dyDescent="0.25">
      <c r="A2389" t="str">
        <f>"2385"</f>
        <v>2385</v>
      </c>
      <c r="B2389" t="str">
        <f t="shared" si="135"/>
        <v>1</v>
      </c>
      <c r="C2389" t="str">
        <f t="shared" si="137"/>
        <v>105</v>
      </c>
      <c r="D2389" t="str">
        <f>"11"</f>
        <v>11</v>
      </c>
      <c r="E2389" t="str">
        <f>"1-105-11"</f>
        <v>1-105-11</v>
      </c>
      <c r="F2389" t="s">
        <v>83</v>
      </c>
      <c r="G2389" t="s">
        <v>86</v>
      </c>
      <c r="H2389" t="s">
        <v>93</v>
      </c>
      <c r="I2389">
        <v>1</v>
      </c>
      <c r="K2389">
        <v>0</v>
      </c>
      <c r="L2389">
        <v>1</v>
      </c>
      <c r="M2389">
        <v>0</v>
      </c>
      <c r="N2389">
        <v>1</v>
      </c>
      <c r="O2389">
        <v>1</v>
      </c>
      <c r="P2389">
        <v>1</v>
      </c>
      <c r="Q2389">
        <v>1</v>
      </c>
      <c r="R2389">
        <v>1</v>
      </c>
      <c r="U2389">
        <v>0</v>
      </c>
      <c r="V2389">
        <v>1</v>
      </c>
      <c r="W2389">
        <v>1</v>
      </c>
      <c r="X2389">
        <v>1</v>
      </c>
      <c r="Y2389">
        <v>1</v>
      </c>
      <c r="Z2389">
        <v>1</v>
      </c>
      <c r="AA2389">
        <v>1</v>
      </c>
      <c r="AB2389">
        <v>1</v>
      </c>
    </row>
    <row r="2390" spans="1:28" x14ac:dyDescent="0.25">
      <c r="A2390" t="str">
        <f>"2386"</f>
        <v>2386</v>
      </c>
      <c r="B2390" t="str">
        <f t="shared" si="135"/>
        <v>1</v>
      </c>
      <c r="C2390" t="str">
        <f t="shared" si="137"/>
        <v>105</v>
      </c>
      <c r="D2390" t="str">
        <f>"5"</f>
        <v>5</v>
      </c>
      <c r="E2390" t="str">
        <f>"1-105-5"</f>
        <v>1-105-5</v>
      </c>
      <c r="F2390" t="s">
        <v>83</v>
      </c>
      <c r="G2390" t="s">
        <v>84</v>
      </c>
      <c r="H2390" t="s">
        <v>92</v>
      </c>
      <c r="I2390">
        <v>1</v>
      </c>
      <c r="J2390">
        <v>1</v>
      </c>
      <c r="N2390">
        <v>1</v>
      </c>
      <c r="O2390">
        <v>1</v>
      </c>
      <c r="P2390">
        <v>1</v>
      </c>
      <c r="Q2390">
        <v>1</v>
      </c>
      <c r="R2390">
        <v>1</v>
      </c>
      <c r="S2390">
        <v>1</v>
      </c>
      <c r="T2390">
        <v>1</v>
      </c>
      <c r="W2390">
        <v>1</v>
      </c>
      <c r="X2390">
        <v>1</v>
      </c>
      <c r="Y2390">
        <v>1</v>
      </c>
      <c r="Z2390">
        <v>1</v>
      </c>
      <c r="AA2390">
        <v>1</v>
      </c>
      <c r="AB2390">
        <v>1</v>
      </c>
    </row>
    <row r="2391" spans="1:28" x14ac:dyDescent="0.25">
      <c r="A2391" t="str">
        <f>"2387"</f>
        <v>2387</v>
      </c>
      <c r="B2391" t="str">
        <f t="shared" si="135"/>
        <v>1</v>
      </c>
      <c r="C2391" t="str">
        <f t="shared" si="137"/>
        <v>105</v>
      </c>
      <c r="D2391" t="str">
        <f>"19"</f>
        <v>19</v>
      </c>
      <c r="E2391" t="str">
        <f>"1-105-19"</f>
        <v>1-105-19</v>
      </c>
      <c r="F2391" t="s">
        <v>83</v>
      </c>
      <c r="G2391" t="s">
        <v>86</v>
      </c>
      <c r="H2391" t="s">
        <v>93</v>
      </c>
      <c r="I2391">
        <v>1</v>
      </c>
      <c r="K2391">
        <v>1</v>
      </c>
      <c r="L2391">
        <v>0</v>
      </c>
      <c r="M2391">
        <v>0</v>
      </c>
      <c r="N2391">
        <v>1</v>
      </c>
      <c r="O2391">
        <v>1</v>
      </c>
      <c r="P2391">
        <v>1</v>
      </c>
      <c r="Q2391">
        <v>1</v>
      </c>
      <c r="R2391">
        <v>1</v>
      </c>
      <c r="U2391">
        <v>1</v>
      </c>
      <c r="V2391">
        <v>0</v>
      </c>
      <c r="W2391">
        <v>1</v>
      </c>
      <c r="X2391">
        <v>1</v>
      </c>
      <c r="Y2391">
        <v>1</v>
      </c>
      <c r="Z2391">
        <v>1</v>
      </c>
      <c r="AA2391">
        <v>1</v>
      </c>
      <c r="AB2391">
        <v>1</v>
      </c>
    </row>
    <row r="2392" spans="1:28" x14ac:dyDescent="0.25">
      <c r="A2392" t="str">
        <f>"2388"</f>
        <v>2388</v>
      </c>
      <c r="B2392" t="str">
        <f t="shared" si="135"/>
        <v>1</v>
      </c>
      <c r="C2392" t="str">
        <f t="shared" si="137"/>
        <v>105</v>
      </c>
      <c r="D2392" t="str">
        <f>"12"</f>
        <v>12</v>
      </c>
      <c r="E2392" t="str">
        <f>"1-105-12"</f>
        <v>1-105-12</v>
      </c>
      <c r="F2392" t="s">
        <v>83</v>
      </c>
      <c r="G2392" t="s">
        <v>84</v>
      </c>
      <c r="H2392" t="s">
        <v>92</v>
      </c>
      <c r="I2392">
        <v>1</v>
      </c>
      <c r="J2392">
        <v>1</v>
      </c>
      <c r="N2392">
        <v>1</v>
      </c>
      <c r="O2392">
        <v>1</v>
      </c>
      <c r="P2392">
        <v>0</v>
      </c>
      <c r="Q2392">
        <v>0</v>
      </c>
      <c r="R2392">
        <v>1</v>
      </c>
      <c r="S2392">
        <v>0</v>
      </c>
      <c r="T2392">
        <v>0</v>
      </c>
      <c r="W2392">
        <v>0</v>
      </c>
      <c r="X2392">
        <v>1</v>
      </c>
      <c r="Y2392">
        <v>0</v>
      </c>
      <c r="Z2392">
        <v>0</v>
      </c>
      <c r="AA2392">
        <v>0</v>
      </c>
      <c r="AB2392">
        <v>1</v>
      </c>
    </row>
    <row r="2393" spans="1:28" x14ac:dyDescent="0.25">
      <c r="A2393" t="str">
        <f>"2389"</f>
        <v>2389</v>
      </c>
      <c r="B2393" t="str">
        <f t="shared" si="135"/>
        <v>1</v>
      </c>
      <c r="C2393" t="str">
        <f t="shared" si="137"/>
        <v>105</v>
      </c>
      <c r="D2393" t="str">
        <f>"6"</f>
        <v>6</v>
      </c>
      <c r="E2393" t="str">
        <f>"1-105-6"</f>
        <v>1-105-6</v>
      </c>
      <c r="F2393" t="s">
        <v>83</v>
      </c>
      <c r="G2393" t="s">
        <v>84</v>
      </c>
      <c r="H2393" t="s">
        <v>92</v>
      </c>
      <c r="I2393">
        <v>1</v>
      </c>
      <c r="J2393">
        <v>1</v>
      </c>
      <c r="N2393">
        <v>1</v>
      </c>
      <c r="O2393">
        <v>1</v>
      </c>
      <c r="P2393">
        <v>1</v>
      </c>
      <c r="Q2393">
        <v>1</v>
      </c>
      <c r="R2393">
        <v>1</v>
      </c>
      <c r="S2393">
        <v>1</v>
      </c>
      <c r="T2393">
        <v>1</v>
      </c>
      <c r="W2393">
        <v>1</v>
      </c>
      <c r="X2393">
        <v>1</v>
      </c>
      <c r="Y2393">
        <v>1</v>
      </c>
      <c r="Z2393">
        <v>1</v>
      </c>
      <c r="AA2393">
        <v>1</v>
      </c>
      <c r="AB2393">
        <v>1</v>
      </c>
    </row>
    <row r="2394" spans="1:28" x14ac:dyDescent="0.25">
      <c r="A2394" t="str">
        <f>"2390"</f>
        <v>2390</v>
      </c>
      <c r="B2394" t="str">
        <f t="shared" si="135"/>
        <v>1</v>
      </c>
      <c r="C2394" t="str">
        <f t="shared" si="137"/>
        <v>105</v>
      </c>
      <c r="D2394" t="str">
        <f>"23"</f>
        <v>23</v>
      </c>
      <c r="E2394" t="str">
        <f>"1-105-23"</f>
        <v>1-105-23</v>
      </c>
      <c r="F2394" t="s">
        <v>83</v>
      </c>
      <c r="G2394" t="s">
        <v>84</v>
      </c>
      <c r="H2394" t="s">
        <v>92</v>
      </c>
      <c r="I2394">
        <v>1</v>
      </c>
      <c r="J2394">
        <v>1</v>
      </c>
      <c r="N2394">
        <v>1</v>
      </c>
      <c r="O2394">
        <v>1</v>
      </c>
      <c r="P2394">
        <v>1</v>
      </c>
      <c r="Q2394">
        <v>1</v>
      </c>
      <c r="R2394">
        <v>1</v>
      </c>
      <c r="S2394">
        <v>1</v>
      </c>
      <c r="T2394">
        <v>1</v>
      </c>
      <c r="W2394">
        <v>1</v>
      </c>
      <c r="X2394">
        <v>1</v>
      </c>
      <c r="Y2394">
        <v>1</v>
      </c>
      <c r="Z2394">
        <v>1</v>
      </c>
      <c r="AA2394">
        <v>1</v>
      </c>
      <c r="AB2394">
        <v>1</v>
      </c>
    </row>
    <row r="2395" spans="1:28" x14ac:dyDescent="0.25">
      <c r="A2395" t="str">
        <f>"2391"</f>
        <v>2391</v>
      </c>
      <c r="B2395" t="str">
        <f t="shared" si="135"/>
        <v>1</v>
      </c>
      <c r="C2395" t="str">
        <f t="shared" si="137"/>
        <v>105</v>
      </c>
      <c r="D2395" t="str">
        <f>"13"</f>
        <v>13</v>
      </c>
      <c r="E2395" t="str">
        <f>"1-105-13"</f>
        <v>1-105-13</v>
      </c>
      <c r="F2395" t="s">
        <v>83</v>
      </c>
      <c r="G2395" t="s">
        <v>84</v>
      </c>
      <c r="H2395" t="s">
        <v>92</v>
      </c>
      <c r="I2395">
        <v>1</v>
      </c>
      <c r="J2395">
        <v>1</v>
      </c>
      <c r="N2395">
        <v>1</v>
      </c>
      <c r="O2395">
        <v>1</v>
      </c>
      <c r="P2395">
        <v>1</v>
      </c>
      <c r="Q2395">
        <v>1</v>
      </c>
      <c r="R2395">
        <v>1</v>
      </c>
      <c r="S2395">
        <v>1</v>
      </c>
      <c r="T2395">
        <v>1</v>
      </c>
      <c r="W2395">
        <v>1</v>
      </c>
      <c r="X2395">
        <v>1</v>
      </c>
      <c r="Y2395">
        <v>1</v>
      </c>
      <c r="Z2395">
        <v>1</v>
      </c>
      <c r="AA2395">
        <v>1</v>
      </c>
      <c r="AB2395">
        <v>1</v>
      </c>
    </row>
    <row r="2396" spans="1:28" x14ac:dyDescent="0.25">
      <c r="A2396" t="str">
        <f>"2392"</f>
        <v>2392</v>
      </c>
      <c r="B2396" t="str">
        <f t="shared" si="135"/>
        <v>1</v>
      </c>
      <c r="C2396" t="str">
        <f t="shared" si="137"/>
        <v>105</v>
      </c>
      <c r="D2396" t="str">
        <f>"4"</f>
        <v>4</v>
      </c>
      <c r="E2396" t="str">
        <f>"1-105-4"</f>
        <v>1-105-4</v>
      </c>
      <c r="F2396" t="s">
        <v>83</v>
      </c>
      <c r="G2396" t="s">
        <v>84</v>
      </c>
      <c r="H2396" t="s">
        <v>92</v>
      </c>
      <c r="I2396">
        <v>1</v>
      </c>
      <c r="J2396">
        <v>1</v>
      </c>
      <c r="N2396">
        <v>1</v>
      </c>
      <c r="O2396">
        <v>1</v>
      </c>
      <c r="P2396">
        <v>1</v>
      </c>
      <c r="Q2396">
        <v>1</v>
      </c>
      <c r="R2396">
        <v>1</v>
      </c>
      <c r="S2396">
        <v>1</v>
      </c>
      <c r="T2396">
        <v>1</v>
      </c>
      <c r="W2396">
        <v>1</v>
      </c>
      <c r="X2396">
        <v>1</v>
      </c>
      <c r="Y2396">
        <v>1</v>
      </c>
      <c r="Z2396">
        <v>1</v>
      </c>
      <c r="AA2396">
        <v>1</v>
      </c>
      <c r="AB2396">
        <v>1</v>
      </c>
    </row>
    <row r="2397" spans="1:28" x14ac:dyDescent="0.25">
      <c r="A2397" t="str">
        <f>"2393"</f>
        <v>2393</v>
      </c>
      <c r="B2397" t="str">
        <f t="shared" si="135"/>
        <v>1</v>
      </c>
      <c r="C2397" t="str">
        <f t="shared" si="137"/>
        <v>105</v>
      </c>
      <c r="D2397" t="str">
        <f>"22"</f>
        <v>22</v>
      </c>
      <c r="E2397" t="str">
        <f>"1-105-22"</f>
        <v>1-105-22</v>
      </c>
      <c r="F2397" t="s">
        <v>83</v>
      </c>
      <c r="G2397" t="s">
        <v>86</v>
      </c>
      <c r="H2397" t="s">
        <v>93</v>
      </c>
      <c r="I2397">
        <v>1</v>
      </c>
      <c r="K2397">
        <v>0</v>
      </c>
      <c r="L2397">
        <v>0</v>
      </c>
      <c r="M2397">
        <v>1</v>
      </c>
      <c r="N2397">
        <v>1</v>
      </c>
      <c r="O2397">
        <v>1</v>
      </c>
      <c r="P2397">
        <v>1</v>
      </c>
      <c r="Q2397">
        <v>1</v>
      </c>
      <c r="R2397">
        <v>1</v>
      </c>
      <c r="U2397">
        <v>1</v>
      </c>
      <c r="V2397">
        <v>0</v>
      </c>
      <c r="W2397">
        <v>1</v>
      </c>
      <c r="X2397">
        <v>1</v>
      </c>
      <c r="Y2397">
        <v>1</v>
      </c>
      <c r="Z2397">
        <v>1</v>
      </c>
      <c r="AA2397">
        <v>1</v>
      </c>
      <c r="AB2397">
        <v>1</v>
      </c>
    </row>
    <row r="2398" spans="1:28" x14ac:dyDescent="0.25">
      <c r="A2398" t="str">
        <f>"2394"</f>
        <v>2394</v>
      </c>
      <c r="B2398" t="str">
        <f t="shared" ref="B2398:B2461" si="138">"1"</f>
        <v>1</v>
      </c>
      <c r="C2398" t="str">
        <f t="shared" si="137"/>
        <v>105</v>
      </c>
      <c r="D2398" t="str">
        <f>"14"</f>
        <v>14</v>
      </c>
      <c r="E2398" t="str">
        <f>"1-105-14"</f>
        <v>1-105-14</v>
      </c>
      <c r="F2398" t="s">
        <v>83</v>
      </c>
      <c r="G2398" t="s">
        <v>84</v>
      </c>
      <c r="H2398" t="s">
        <v>92</v>
      </c>
      <c r="I2398">
        <v>1</v>
      </c>
      <c r="J2398">
        <v>1</v>
      </c>
      <c r="N2398">
        <v>1</v>
      </c>
      <c r="O2398">
        <v>1</v>
      </c>
      <c r="P2398">
        <v>1</v>
      </c>
      <c r="Q2398">
        <v>1</v>
      </c>
      <c r="R2398">
        <v>1</v>
      </c>
      <c r="S2398">
        <v>1</v>
      </c>
      <c r="T2398">
        <v>1</v>
      </c>
      <c r="W2398">
        <v>1</v>
      </c>
      <c r="X2398">
        <v>1</v>
      </c>
      <c r="Y2398">
        <v>1</v>
      </c>
      <c r="Z2398">
        <v>1</v>
      </c>
      <c r="AA2398">
        <v>1</v>
      </c>
      <c r="AB2398">
        <v>1</v>
      </c>
    </row>
    <row r="2399" spans="1:28" x14ac:dyDescent="0.25">
      <c r="A2399" t="str">
        <f>"2395"</f>
        <v>2395</v>
      </c>
      <c r="B2399" t="str">
        <f t="shared" si="138"/>
        <v>1</v>
      </c>
      <c r="C2399" t="str">
        <f t="shared" si="137"/>
        <v>105</v>
      </c>
      <c r="D2399" t="str">
        <f>"2"</f>
        <v>2</v>
      </c>
      <c r="E2399" t="str">
        <f>"1-105-2"</f>
        <v>1-105-2</v>
      </c>
      <c r="F2399" t="s">
        <v>83</v>
      </c>
      <c r="G2399" t="s">
        <v>84</v>
      </c>
      <c r="H2399" t="s">
        <v>92</v>
      </c>
      <c r="I2399">
        <v>1</v>
      </c>
      <c r="J2399">
        <v>1</v>
      </c>
      <c r="N2399">
        <v>1</v>
      </c>
      <c r="O2399">
        <v>1</v>
      </c>
      <c r="P2399">
        <v>1</v>
      </c>
      <c r="Q2399">
        <v>1</v>
      </c>
      <c r="R2399">
        <v>1</v>
      </c>
      <c r="S2399">
        <v>1</v>
      </c>
      <c r="T2399">
        <v>1</v>
      </c>
      <c r="W2399">
        <v>1</v>
      </c>
      <c r="X2399">
        <v>1</v>
      </c>
      <c r="Y2399">
        <v>1</v>
      </c>
      <c r="Z2399">
        <v>1</v>
      </c>
      <c r="AA2399">
        <v>1</v>
      </c>
      <c r="AB2399">
        <v>1</v>
      </c>
    </row>
    <row r="2400" spans="1:28" x14ac:dyDescent="0.25">
      <c r="A2400" t="str">
        <f>"2396"</f>
        <v>2396</v>
      </c>
      <c r="B2400" t="str">
        <f t="shared" si="138"/>
        <v>1</v>
      </c>
      <c r="C2400" t="str">
        <f t="shared" ref="C2400:C2424" si="139">"106"</f>
        <v>106</v>
      </c>
      <c r="D2400" t="str">
        <f>"24"</f>
        <v>24</v>
      </c>
      <c r="E2400" t="str">
        <f>"1-106-24"</f>
        <v>1-106-24</v>
      </c>
      <c r="F2400" t="s">
        <v>83</v>
      </c>
      <c r="G2400" t="s">
        <v>84</v>
      </c>
      <c r="H2400" t="s">
        <v>92</v>
      </c>
      <c r="I2400">
        <v>1</v>
      </c>
      <c r="J2400">
        <v>1</v>
      </c>
      <c r="N2400">
        <v>1</v>
      </c>
      <c r="O2400">
        <v>1</v>
      </c>
      <c r="P2400">
        <v>1</v>
      </c>
      <c r="Q2400">
        <v>1</v>
      </c>
      <c r="R2400">
        <v>1</v>
      </c>
      <c r="S2400">
        <v>1</v>
      </c>
      <c r="T2400">
        <v>1</v>
      </c>
      <c r="W2400">
        <v>1</v>
      </c>
      <c r="X2400">
        <v>1</v>
      </c>
      <c r="Y2400">
        <v>1</v>
      </c>
      <c r="Z2400">
        <v>1</v>
      </c>
      <c r="AA2400">
        <v>1</v>
      </c>
      <c r="AB2400">
        <v>1</v>
      </c>
    </row>
    <row r="2401" spans="1:49" x14ac:dyDescent="0.25">
      <c r="A2401" t="str">
        <f>"2397"</f>
        <v>2397</v>
      </c>
      <c r="B2401" t="str">
        <f t="shared" si="138"/>
        <v>1</v>
      </c>
      <c r="C2401" t="str">
        <f t="shared" si="139"/>
        <v>106</v>
      </c>
      <c r="D2401" t="str">
        <f>"23"</f>
        <v>23</v>
      </c>
      <c r="E2401" t="str">
        <f>"1-106-23"</f>
        <v>1-106-23</v>
      </c>
      <c r="F2401" t="s">
        <v>83</v>
      </c>
      <c r="G2401" t="s">
        <v>84</v>
      </c>
      <c r="H2401" t="s">
        <v>92</v>
      </c>
      <c r="I2401">
        <v>1</v>
      </c>
      <c r="J2401">
        <v>1</v>
      </c>
      <c r="N2401">
        <v>1</v>
      </c>
      <c r="O2401">
        <v>1</v>
      </c>
      <c r="P2401">
        <v>1</v>
      </c>
      <c r="Q2401">
        <v>1</v>
      </c>
      <c r="R2401">
        <v>1</v>
      </c>
      <c r="S2401">
        <v>1</v>
      </c>
      <c r="T2401">
        <v>1</v>
      </c>
      <c r="W2401">
        <v>1</v>
      </c>
      <c r="X2401">
        <v>1</v>
      </c>
      <c r="Y2401">
        <v>1</v>
      </c>
      <c r="Z2401">
        <v>1</v>
      </c>
      <c r="AA2401">
        <v>1</v>
      </c>
      <c r="AB2401">
        <v>1</v>
      </c>
    </row>
    <row r="2402" spans="1:49" x14ac:dyDescent="0.25">
      <c r="A2402" t="str">
        <f>"2398"</f>
        <v>2398</v>
      </c>
      <c r="B2402" t="str">
        <f t="shared" si="138"/>
        <v>1</v>
      </c>
      <c r="C2402" t="str">
        <f t="shared" si="139"/>
        <v>106</v>
      </c>
      <c r="D2402" t="str">
        <f>"18"</f>
        <v>18</v>
      </c>
      <c r="E2402" t="str">
        <f>"1-106-18"</f>
        <v>1-106-18</v>
      </c>
      <c r="F2402" t="s">
        <v>83</v>
      </c>
      <c r="G2402" t="s">
        <v>84</v>
      </c>
      <c r="H2402" t="s">
        <v>92</v>
      </c>
      <c r="I2402">
        <v>1</v>
      </c>
      <c r="J2402">
        <v>1</v>
      </c>
      <c r="N2402">
        <v>1</v>
      </c>
      <c r="O2402">
        <v>1</v>
      </c>
      <c r="P2402">
        <v>1</v>
      </c>
      <c r="Q2402">
        <v>1</v>
      </c>
      <c r="R2402">
        <v>1</v>
      </c>
      <c r="S2402">
        <v>1</v>
      </c>
      <c r="T2402">
        <v>1</v>
      </c>
      <c r="W2402">
        <v>1</v>
      </c>
      <c r="X2402">
        <v>1</v>
      </c>
      <c r="Y2402">
        <v>1</v>
      </c>
      <c r="Z2402">
        <v>1</v>
      </c>
      <c r="AA2402">
        <v>1</v>
      </c>
      <c r="AB2402">
        <v>1</v>
      </c>
    </row>
    <row r="2403" spans="1:49" x14ac:dyDescent="0.25">
      <c r="A2403" t="str">
        <f>"2399"</f>
        <v>2399</v>
      </c>
      <c r="B2403" t="str">
        <f t="shared" si="138"/>
        <v>1</v>
      </c>
      <c r="C2403" t="str">
        <f t="shared" si="139"/>
        <v>106</v>
      </c>
      <c r="D2403" t="str">
        <f>"8"</f>
        <v>8</v>
      </c>
      <c r="E2403" t="str">
        <f>"1-106-8"</f>
        <v>1-106-8</v>
      </c>
      <c r="F2403" t="s">
        <v>83</v>
      </c>
      <c r="G2403" t="s">
        <v>86</v>
      </c>
      <c r="H2403" t="s">
        <v>93</v>
      </c>
      <c r="I2403">
        <v>1</v>
      </c>
      <c r="K2403">
        <v>0</v>
      </c>
      <c r="L2403">
        <v>1</v>
      </c>
      <c r="M2403">
        <v>0</v>
      </c>
      <c r="N2403">
        <v>1</v>
      </c>
      <c r="O2403">
        <v>1</v>
      </c>
      <c r="P2403">
        <v>1</v>
      </c>
      <c r="Q2403">
        <v>1</v>
      </c>
      <c r="R2403">
        <v>1</v>
      </c>
      <c r="U2403">
        <v>1</v>
      </c>
      <c r="V2403">
        <v>0</v>
      </c>
      <c r="W2403">
        <v>1</v>
      </c>
      <c r="X2403">
        <v>1</v>
      </c>
      <c r="Y2403">
        <v>1</v>
      </c>
      <c r="Z2403">
        <v>1</v>
      </c>
      <c r="AA2403">
        <v>1</v>
      </c>
      <c r="AB2403">
        <v>1</v>
      </c>
    </row>
    <row r="2404" spans="1:49" x14ac:dyDescent="0.25">
      <c r="A2404" t="str">
        <f>"2400"</f>
        <v>2400</v>
      </c>
      <c r="B2404" t="str">
        <f t="shared" si="138"/>
        <v>1</v>
      </c>
      <c r="C2404" t="str">
        <f t="shared" si="139"/>
        <v>106</v>
      </c>
      <c r="D2404" t="str">
        <f>"5"</f>
        <v>5</v>
      </c>
      <c r="E2404" t="str">
        <f>"1-106-5"</f>
        <v>1-106-5</v>
      </c>
      <c r="F2404" t="s">
        <v>83</v>
      </c>
      <c r="G2404" t="s">
        <v>84</v>
      </c>
      <c r="H2404" t="s">
        <v>85</v>
      </c>
      <c r="AC2404">
        <v>0</v>
      </c>
      <c r="AD2404">
        <v>1</v>
      </c>
      <c r="AE2404">
        <v>0</v>
      </c>
      <c r="AF2404">
        <v>0</v>
      </c>
      <c r="AG2404">
        <v>1</v>
      </c>
      <c r="AJ2404">
        <v>0</v>
      </c>
      <c r="AK2404">
        <v>1</v>
      </c>
      <c r="AL2404">
        <v>0</v>
      </c>
      <c r="AM2404">
        <v>0</v>
      </c>
      <c r="AN2404">
        <v>1</v>
      </c>
      <c r="AO2404">
        <v>0</v>
      </c>
      <c r="AP2404">
        <v>0</v>
      </c>
      <c r="AQ2404">
        <v>0</v>
      </c>
      <c r="AR2404">
        <v>1</v>
      </c>
      <c r="AS2404">
        <v>1</v>
      </c>
      <c r="AT2404">
        <v>0</v>
      </c>
      <c r="AV2404">
        <v>1</v>
      </c>
      <c r="AW2404">
        <v>1</v>
      </c>
    </row>
    <row r="2405" spans="1:49" x14ac:dyDescent="0.25">
      <c r="A2405" t="str">
        <f>"2401"</f>
        <v>2401</v>
      </c>
      <c r="B2405" t="str">
        <f t="shared" si="138"/>
        <v>1</v>
      </c>
      <c r="C2405" t="str">
        <f t="shared" si="139"/>
        <v>106</v>
      </c>
      <c r="D2405" t="str">
        <f>"25"</f>
        <v>25</v>
      </c>
      <c r="E2405" t="str">
        <f>"1-106-25"</f>
        <v>1-106-25</v>
      </c>
      <c r="F2405" t="s">
        <v>83</v>
      </c>
      <c r="G2405" t="s">
        <v>86</v>
      </c>
      <c r="H2405" t="s">
        <v>93</v>
      </c>
      <c r="I2405">
        <v>0</v>
      </c>
      <c r="K2405">
        <v>0</v>
      </c>
      <c r="L2405">
        <v>0</v>
      </c>
      <c r="M2405">
        <v>1</v>
      </c>
      <c r="N2405">
        <v>0</v>
      </c>
      <c r="O2405">
        <v>0</v>
      </c>
      <c r="P2405">
        <v>0</v>
      </c>
      <c r="Q2405">
        <v>0</v>
      </c>
      <c r="R2405">
        <v>0</v>
      </c>
      <c r="U2405">
        <v>0</v>
      </c>
      <c r="V2405">
        <v>0</v>
      </c>
      <c r="W2405">
        <v>0</v>
      </c>
      <c r="X2405">
        <v>0</v>
      </c>
      <c r="Y2405">
        <v>1</v>
      </c>
      <c r="Z2405">
        <v>0</v>
      </c>
      <c r="AA2405">
        <v>0</v>
      </c>
      <c r="AB2405">
        <v>0</v>
      </c>
    </row>
    <row r="2406" spans="1:49" x14ac:dyDescent="0.25">
      <c r="A2406" t="str">
        <f>"2402"</f>
        <v>2402</v>
      </c>
      <c r="B2406" t="str">
        <f t="shared" si="138"/>
        <v>1</v>
      </c>
      <c r="C2406" t="str">
        <f t="shared" si="139"/>
        <v>106</v>
      </c>
      <c r="D2406" t="str">
        <f>"16"</f>
        <v>16</v>
      </c>
      <c r="E2406" t="str">
        <f>"1-106-16"</f>
        <v>1-106-16</v>
      </c>
      <c r="F2406" t="s">
        <v>83</v>
      </c>
      <c r="G2406" t="s">
        <v>90</v>
      </c>
      <c r="H2406" t="s">
        <v>94</v>
      </c>
      <c r="I2406">
        <v>1</v>
      </c>
      <c r="K2406">
        <v>1</v>
      </c>
      <c r="L2406">
        <v>0</v>
      </c>
      <c r="M2406">
        <v>0</v>
      </c>
      <c r="N2406">
        <v>1</v>
      </c>
      <c r="O2406">
        <v>1</v>
      </c>
      <c r="P2406">
        <v>1</v>
      </c>
      <c r="Q2406">
        <v>1</v>
      </c>
      <c r="R2406">
        <v>1</v>
      </c>
      <c r="S2406">
        <v>1</v>
      </c>
      <c r="U2406">
        <v>1</v>
      </c>
      <c r="V2406">
        <v>0</v>
      </c>
      <c r="W2406">
        <v>1</v>
      </c>
      <c r="X2406">
        <v>1</v>
      </c>
      <c r="Y2406">
        <v>1</v>
      </c>
      <c r="Z2406">
        <v>1</v>
      </c>
      <c r="AA2406">
        <v>1</v>
      </c>
      <c r="AB2406">
        <v>1</v>
      </c>
    </row>
    <row r="2407" spans="1:49" x14ac:dyDescent="0.25">
      <c r="A2407" t="str">
        <f>"2403"</f>
        <v>2403</v>
      </c>
      <c r="B2407" t="str">
        <f t="shared" si="138"/>
        <v>1</v>
      </c>
      <c r="C2407" t="str">
        <f t="shared" si="139"/>
        <v>106</v>
      </c>
      <c r="D2407" t="str">
        <f>"9"</f>
        <v>9</v>
      </c>
      <c r="E2407" t="str">
        <f>"1-106-9"</f>
        <v>1-106-9</v>
      </c>
      <c r="F2407" t="s">
        <v>83</v>
      </c>
      <c r="G2407" t="s">
        <v>84</v>
      </c>
      <c r="H2407" t="s">
        <v>92</v>
      </c>
      <c r="I2407">
        <v>1</v>
      </c>
      <c r="J2407">
        <v>1</v>
      </c>
      <c r="N2407">
        <v>1</v>
      </c>
      <c r="O2407">
        <v>1</v>
      </c>
      <c r="P2407">
        <v>1</v>
      </c>
      <c r="Q2407">
        <v>1</v>
      </c>
      <c r="R2407">
        <v>1</v>
      </c>
      <c r="S2407">
        <v>1</v>
      </c>
      <c r="T2407">
        <v>1</v>
      </c>
      <c r="W2407">
        <v>1</v>
      </c>
      <c r="X2407">
        <v>1</v>
      </c>
      <c r="Y2407">
        <v>1</v>
      </c>
      <c r="Z2407">
        <v>1</v>
      </c>
      <c r="AA2407">
        <v>1</v>
      </c>
      <c r="AB2407">
        <v>1</v>
      </c>
    </row>
    <row r="2408" spans="1:49" x14ac:dyDescent="0.25">
      <c r="A2408" t="str">
        <f>"2404"</f>
        <v>2404</v>
      </c>
      <c r="B2408" t="str">
        <f t="shared" si="138"/>
        <v>1</v>
      </c>
      <c r="C2408" t="str">
        <f t="shared" si="139"/>
        <v>106</v>
      </c>
      <c r="D2408" t="str">
        <f>"3"</f>
        <v>3</v>
      </c>
      <c r="E2408" t="str">
        <f>"1-106-3"</f>
        <v>1-106-3</v>
      </c>
      <c r="F2408" t="s">
        <v>83</v>
      </c>
      <c r="G2408" t="s">
        <v>86</v>
      </c>
      <c r="H2408" t="s">
        <v>87</v>
      </c>
      <c r="AC2408">
        <v>1</v>
      </c>
      <c r="AD2408">
        <v>0</v>
      </c>
      <c r="AE2408">
        <v>0</v>
      </c>
      <c r="AF2408">
        <v>0</v>
      </c>
      <c r="AH2408">
        <v>1</v>
      </c>
      <c r="AI2408">
        <v>0</v>
      </c>
      <c r="AJ2408">
        <v>0</v>
      </c>
      <c r="AK2408">
        <v>1</v>
      </c>
      <c r="AL2408">
        <v>0</v>
      </c>
      <c r="AM2408">
        <v>1</v>
      </c>
      <c r="AN2408">
        <v>0</v>
      </c>
      <c r="AO2408">
        <v>0</v>
      </c>
      <c r="AP2408">
        <v>0</v>
      </c>
      <c r="AQ2408">
        <v>0</v>
      </c>
      <c r="AU2408">
        <v>0</v>
      </c>
      <c r="AV2408">
        <v>0</v>
      </c>
      <c r="AW2408">
        <v>0</v>
      </c>
    </row>
    <row r="2409" spans="1:49" x14ac:dyDescent="0.25">
      <c r="A2409" t="str">
        <f>"2405"</f>
        <v>2405</v>
      </c>
      <c r="B2409" t="str">
        <f t="shared" si="138"/>
        <v>1</v>
      </c>
      <c r="C2409" t="str">
        <f t="shared" si="139"/>
        <v>106</v>
      </c>
      <c r="D2409" t="str">
        <f>"21"</f>
        <v>21</v>
      </c>
      <c r="E2409" t="str">
        <f>"1-106-21"</f>
        <v>1-106-21</v>
      </c>
      <c r="F2409" t="s">
        <v>83</v>
      </c>
      <c r="G2409" t="s">
        <v>84</v>
      </c>
      <c r="H2409" t="s">
        <v>92</v>
      </c>
      <c r="I2409">
        <v>1</v>
      </c>
      <c r="J2409">
        <v>1</v>
      </c>
      <c r="N2409">
        <v>1</v>
      </c>
      <c r="O2409">
        <v>0</v>
      </c>
      <c r="P2409">
        <v>0</v>
      </c>
      <c r="Q2409">
        <v>1</v>
      </c>
      <c r="R2409">
        <v>0</v>
      </c>
      <c r="S2409">
        <v>1</v>
      </c>
      <c r="T2409">
        <v>0</v>
      </c>
      <c r="W2409">
        <v>1</v>
      </c>
      <c r="X2409">
        <v>0</v>
      </c>
      <c r="Y2409">
        <v>1</v>
      </c>
      <c r="Z2409">
        <v>1</v>
      </c>
      <c r="AA2409">
        <v>0</v>
      </c>
      <c r="AB2409">
        <v>0</v>
      </c>
    </row>
    <row r="2410" spans="1:49" x14ac:dyDescent="0.25">
      <c r="A2410" t="str">
        <f>"2406"</f>
        <v>2406</v>
      </c>
      <c r="B2410" t="str">
        <f t="shared" si="138"/>
        <v>1</v>
      </c>
      <c r="C2410" t="str">
        <f t="shared" si="139"/>
        <v>106</v>
      </c>
      <c r="D2410" t="str">
        <f>"20"</f>
        <v>20</v>
      </c>
      <c r="E2410" t="str">
        <f>"1-106-20"</f>
        <v>1-106-20</v>
      </c>
      <c r="F2410" t="s">
        <v>83</v>
      </c>
      <c r="G2410" t="s">
        <v>84</v>
      </c>
      <c r="H2410" t="s">
        <v>92</v>
      </c>
      <c r="I2410">
        <v>1</v>
      </c>
      <c r="J2410">
        <v>0</v>
      </c>
      <c r="N2410">
        <v>1</v>
      </c>
      <c r="O2410">
        <v>0</v>
      </c>
      <c r="P2410">
        <v>1</v>
      </c>
      <c r="Q2410">
        <v>1</v>
      </c>
      <c r="R2410">
        <v>1</v>
      </c>
      <c r="S2410">
        <v>1</v>
      </c>
      <c r="T2410">
        <v>1</v>
      </c>
      <c r="W2410">
        <v>1</v>
      </c>
      <c r="X2410">
        <v>1</v>
      </c>
      <c r="Y2410">
        <v>1</v>
      </c>
      <c r="Z2410">
        <v>1</v>
      </c>
      <c r="AA2410">
        <v>1</v>
      </c>
      <c r="AB2410">
        <v>1</v>
      </c>
    </row>
    <row r="2411" spans="1:49" x14ac:dyDescent="0.25">
      <c r="A2411" t="str">
        <f>"2407"</f>
        <v>2407</v>
      </c>
      <c r="B2411" t="str">
        <f t="shared" si="138"/>
        <v>1</v>
      </c>
      <c r="C2411" t="str">
        <f t="shared" si="139"/>
        <v>106</v>
      </c>
      <c r="D2411" t="str">
        <f>"15"</f>
        <v>15</v>
      </c>
      <c r="E2411" t="str">
        <f>"1-106-15"</f>
        <v>1-106-15</v>
      </c>
      <c r="F2411" t="s">
        <v>83</v>
      </c>
      <c r="G2411" t="s">
        <v>84</v>
      </c>
      <c r="H2411" t="s">
        <v>92</v>
      </c>
      <c r="I2411">
        <v>1</v>
      </c>
      <c r="J2411">
        <v>1</v>
      </c>
      <c r="N2411">
        <v>1</v>
      </c>
      <c r="O2411">
        <v>1</v>
      </c>
      <c r="P2411">
        <v>1</v>
      </c>
      <c r="Q2411">
        <v>1</v>
      </c>
      <c r="R2411">
        <v>1</v>
      </c>
      <c r="S2411">
        <v>1</v>
      </c>
      <c r="T2411">
        <v>1</v>
      </c>
      <c r="W2411">
        <v>1</v>
      </c>
      <c r="X2411">
        <v>1</v>
      </c>
      <c r="Y2411">
        <v>1</v>
      </c>
      <c r="Z2411">
        <v>1</v>
      </c>
      <c r="AA2411">
        <v>1</v>
      </c>
      <c r="AB2411">
        <v>1</v>
      </c>
    </row>
    <row r="2412" spans="1:49" x14ac:dyDescent="0.25">
      <c r="A2412" t="str">
        <f>"2408"</f>
        <v>2408</v>
      </c>
      <c r="B2412" t="str">
        <f t="shared" si="138"/>
        <v>1</v>
      </c>
      <c r="C2412" t="str">
        <f t="shared" si="139"/>
        <v>106</v>
      </c>
      <c r="D2412" t="str">
        <f>"10"</f>
        <v>10</v>
      </c>
      <c r="E2412" t="str">
        <f>"1-106-10"</f>
        <v>1-106-10</v>
      </c>
      <c r="F2412" t="s">
        <v>83</v>
      </c>
      <c r="G2412" t="s">
        <v>84</v>
      </c>
      <c r="H2412" t="s">
        <v>92</v>
      </c>
      <c r="I2412">
        <v>1</v>
      </c>
      <c r="J2412">
        <v>1</v>
      </c>
      <c r="N2412">
        <v>1</v>
      </c>
      <c r="O2412">
        <v>1</v>
      </c>
      <c r="P2412">
        <v>1</v>
      </c>
      <c r="Q2412">
        <v>1</v>
      </c>
      <c r="R2412">
        <v>1</v>
      </c>
      <c r="S2412">
        <v>1</v>
      </c>
      <c r="T2412">
        <v>1</v>
      </c>
      <c r="W2412">
        <v>1</v>
      </c>
      <c r="X2412">
        <v>1</v>
      </c>
      <c r="Y2412">
        <v>1</v>
      </c>
      <c r="Z2412">
        <v>1</v>
      </c>
      <c r="AA2412">
        <v>1</v>
      </c>
      <c r="AB2412">
        <v>1</v>
      </c>
    </row>
    <row r="2413" spans="1:49" x14ac:dyDescent="0.25">
      <c r="A2413" t="str">
        <f>"2409"</f>
        <v>2409</v>
      </c>
      <c r="B2413" t="str">
        <f t="shared" si="138"/>
        <v>1</v>
      </c>
      <c r="C2413" t="str">
        <f t="shared" si="139"/>
        <v>106</v>
      </c>
      <c r="D2413" t="str">
        <f>"1"</f>
        <v>1</v>
      </c>
      <c r="E2413" t="str">
        <f>"1-106-1"</f>
        <v>1-106-1</v>
      </c>
      <c r="F2413" t="s">
        <v>83</v>
      </c>
      <c r="G2413" t="s">
        <v>84</v>
      </c>
      <c r="H2413" t="s">
        <v>85</v>
      </c>
      <c r="AC2413">
        <v>1</v>
      </c>
      <c r="AD2413">
        <v>0</v>
      </c>
      <c r="AE2413">
        <v>0</v>
      </c>
      <c r="AF2413">
        <v>0</v>
      </c>
      <c r="AG2413">
        <v>1</v>
      </c>
      <c r="AJ2413">
        <v>0</v>
      </c>
      <c r="AK2413">
        <v>1</v>
      </c>
      <c r="AL2413">
        <v>1</v>
      </c>
      <c r="AM2413">
        <v>0</v>
      </c>
      <c r="AN2413">
        <v>0</v>
      </c>
      <c r="AO2413">
        <v>1</v>
      </c>
      <c r="AP2413">
        <v>1</v>
      </c>
      <c r="AQ2413">
        <v>1</v>
      </c>
      <c r="AR2413">
        <v>1</v>
      </c>
      <c r="AS2413">
        <v>0</v>
      </c>
      <c r="AT2413">
        <v>1</v>
      </c>
      <c r="AV2413">
        <v>1</v>
      </c>
      <c r="AW2413">
        <v>1</v>
      </c>
    </row>
    <row r="2414" spans="1:49" x14ac:dyDescent="0.25">
      <c r="A2414" t="str">
        <f>"2410"</f>
        <v>2410</v>
      </c>
      <c r="B2414" t="str">
        <f t="shared" si="138"/>
        <v>1</v>
      </c>
      <c r="C2414" t="str">
        <f t="shared" si="139"/>
        <v>106</v>
      </c>
      <c r="D2414" t="str">
        <f>"17"</f>
        <v>17</v>
      </c>
      <c r="E2414" t="str">
        <f>"1-106-17"</f>
        <v>1-106-17</v>
      </c>
      <c r="F2414" t="s">
        <v>83</v>
      </c>
      <c r="G2414" t="s">
        <v>84</v>
      </c>
      <c r="H2414" t="s">
        <v>92</v>
      </c>
      <c r="I2414">
        <v>1</v>
      </c>
      <c r="J2414">
        <v>1</v>
      </c>
      <c r="N2414">
        <v>1</v>
      </c>
      <c r="O2414">
        <v>1</v>
      </c>
      <c r="P2414">
        <v>1</v>
      </c>
      <c r="Q2414">
        <v>1</v>
      </c>
      <c r="R2414">
        <v>0</v>
      </c>
      <c r="S2414">
        <v>1</v>
      </c>
      <c r="T2414">
        <v>1</v>
      </c>
      <c r="W2414">
        <v>0</v>
      </c>
      <c r="X2414">
        <v>1</v>
      </c>
      <c r="Y2414">
        <v>1</v>
      </c>
      <c r="Z2414">
        <v>1</v>
      </c>
      <c r="AA2414">
        <v>0</v>
      </c>
      <c r="AB2414">
        <v>1</v>
      </c>
    </row>
    <row r="2415" spans="1:49" x14ac:dyDescent="0.25">
      <c r="A2415" t="str">
        <f>"2411"</f>
        <v>2411</v>
      </c>
      <c r="B2415" t="str">
        <f t="shared" si="138"/>
        <v>1</v>
      </c>
      <c r="C2415" t="str">
        <f t="shared" si="139"/>
        <v>106</v>
      </c>
      <c r="D2415" t="str">
        <f>"11"</f>
        <v>11</v>
      </c>
      <c r="E2415" t="str">
        <f>"1-106-11"</f>
        <v>1-106-11</v>
      </c>
      <c r="F2415" t="s">
        <v>83</v>
      </c>
      <c r="G2415" t="s">
        <v>84</v>
      </c>
      <c r="H2415" t="s">
        <v>92</v>
      </c>
      <c r="I2415">
        <v>0</v>
      </c>
      <c r="J2415">
        <v>1</v>
      </c>
      <c r="N2415">
        <v>1</v>
      </c>
      <c r="O2415">
        <v>0</v>
      </c>
      <c r="P2415">
        <v>0</v>
      </c>
      <c r="Q2415">
        <v>0</v>
      </c>
      <c r="R2415">
        <v>0</v>
      </c>
      <c r="S2415">
        <v>0</v>
      </c>
      <c r="T2415">
        <v>0</v>
      </c>
      <c r="W2415">
        <v>1</v>
      </c>
      <c r="X2415">
        <v>1</v>
      </c>
      <c r="Y2415">
        <v>1</v>
      </c>
      <c r="Z2415">
        <v>1</v>
      </c>
      <c r="AA2415">
        <v>1</v>
      </c>
      <c r="AB2415">
        <v>1</v>
      </c>
    </row>
    <row r="2416" spans="1:49" x14ac:dyDescent="0.25">
      <c r="A2416" t="str">
        <f>"2412"</f>
        <v>2412</v>
      </c>
      <c r="B2416" t="str">
        <f t="shared" si="138"/>
        <v>1</v>
      </c>
      <c r="C2416" t="str">
        <f t="shared" si="139"/>
        <v>106</v>
      </c>
      <c r="D2416" t="str">
        <f>"6"</f>
        <v>6</v>
      </c>
      <c r="E2416" t="str">
        <f>"1-106-6"</f>
        <v>1-106-6</v>
      </c>
      <c r="F2416" t="s">
        <v>83</v>
      </c>
      <c r="G2416" t="s">
        <v>84</v>
      </c>
      <c r="H2416" t="s">
        <v>85</v>
      </c>
      <c r="AC2416">
        <v>0</v>
      </c>
      <c r="AD2416">
        <v>1</v>
      </c>
      <c r="AE2416">
        <v>0</v>
      </c>
      <c r="AF2416">
        <v>0</v>
      </c>
      <c r="AG2416">
        <v>0</v>
      </c>
      <c r="AJ2416">
        <v>0</v>
      </c>
      <c r="AK2416">
        <v>1</v>
      </c>
      <c r="AL2416">
        <v>0</v>
      </c>
      <c r="AM2416">
        <v>0</v>
      </c>
      <c r="AN2416">
        <v>1</v>
      </c>
      <c r="AO2416">
        <v>0</v>
      </c>
      <c r="AP2416">
        <v>0</v>
      </c>
      <c r="AQ2416">
        <v>0</v>
      </c>
      <c r="AR2416">
        <v>0</v>
      </c>
      <c r="AS2416">
        <v>1</v>
      </c>
      <c r="AT2416">
        <v>0</v>
      </c>
      <c r="AV2416">
        <v>0</v>
      </c>
      <c r="AW2416">
        <v>0</v>
      </c>
    </row>
    <row r="2417" spans="1:49" x14ac:dyDescent="0.25">
      <c r="A2417" t="str">
        <f>"2413"</f>
        <v>2413</v>
      </c>
      <c r="B2417" t="str">
        <f t="shared" si="138"/>
        <v>1</v>
      </c>
      <c r="C2417" t="str">
        <f t="shared" si="139"/>
        <v>106</v>
      </c>
      <c r="D2417" t="str">
        <f>"19"</f>
        <v>19</v>
      </c>
      <c r="E2417" t="str">
        <f>"1-106-19"</f>
        <v>1-106-19</v>
      </c>
      <c r="F2417" t="s">
        <v>83</v>
      </c>
      <c r="G2417" t="s">
        <v>84</v>
      </c>
      <c r="H2417" t="s">
        <v>92</v>
      </c>
      <c r="I2417">
        <v>1</v>
      </c>
      <c r="J2417">
        <v>1</v>
      </c>
      <c r="N2417">
        <v>1</v>
      </c>
      <c r="O2417">
        <v>1</v>
      </c>
      <c r="P2417">
        <v>1</v>
      </c>
      <c r="Q2417">
        <v>1</v>
      </c>
      <c r="R2417">
        <v>1</v>
      </c>
      <c r="S2417">
        <v>1</v>
      </c>
      <c r="T2417">
        <v>1</v>
      </c>
      <c r="W2417">
        <v>1</v>
      </c>
      <c r="X2417">
        <v>1</v>
      </c>
      <c r="Y2417">
        <v>1</v>
      </c>
      <c r="Z2417">
        <v>1</v>
      </c>
      <c r="AA2417">
        <v>1</v>
      </c>
      <c r="AB2417">
        <v>1</v>
      </c>
    </row>
    <row r="2418" spans="1:49" x14ac:dyDescent="0.25">
      <c r="A2418" t="str">
        <f>"2414"</f>
        <v>2414</v>
      </c>
      <c r="B2418" t="str">
        <f t="shared" si="138"/>
        <v>1</v>
      </c>
      <c r="C2418" t="str">
        <f t="shared" si="139"/>
        <v>106</v>
      </c>
      <c r="D2418" t="str">
        <f>"12"</f>
        <v>12</v>
      </c>
      <c r="E2418" t="str">
        <f>"1-106-12"</f>
        <v>1-106-12</v>
      </c>
      <c r="F2418" t="s">
        <v>83</v>
      </c>
      <c r="G2418" t="s">
        <v>84</v>
      </c>
      <c r="H2418" t="s">
        <v>92</v>
      </c>
      <c r="I2418">
        <v>1</v>
      </c>
      <c r="J2418">
        <v>1</v>
      </c>
      <c r="N2418">
        <v>1</v>
      </c>
      <c r="O2418">
        <v>1</v>
      </c>
      <c r="P2418">
        <v>1</v>
      </c>
      <c r="Q2418">
        <v>1</v>
      </c>
      <c r="R2418">
        <v>1</v>
      </c>
      <c r="S2418">
        <v>1</v>
      </c>
      <c r="T2418">
        <v>1</v>
      </c>
      <c r="W2418">
        <v>1</v>
      </c>
      <c r="X2418">
        <v>1</v>
      </c>
      <c r="Y2418">
        <v>1</v>
      </c>
      <c r="Z2418">
        <v>1</v>
      </c>
      <c r="AA2418">
        <v>1</v>
      </c>
      <c r="AB2418">
        <v>1</v>
      </c>
    </row>
    <row r="2419" spans="1:49" x14ac:dyDescent="0.25">
      <c r="A2419" t="str">
        <f>"2415"</f>
        <v>2415</v>
      </c>
      <c r="B2419" t="str">
        <f t="shared" si="138"/>
        <v>1</v>
      </c>
      <c r="C2419" t="str">
        <f t="shared" si="139"/>
        <v>106</v>
      </c>
      <c r="D2419" t="str">
        <f>"2"</f>
        <v>2</v>
      </c>
      <c r="E2419" t="str">
        <f>"1-106-2"</f>
        <v>1-106-2</v>
      </c>
      <c r="F2419" t="s">
        <v>83</v>
      </c>
      <c r="G2419" t="s">
        <v>86</v>
      </c>
      <c r="H2419" t="s">
        <v>87</v>
      </c>
      <c r="AC2419">
        <v>1</v>
      </c>
      <c r="AD2419">
        <v>0</v>
      </c>
      <c r="AE2419">
        <v>0</v>
      </c>
      <c r="AF2419">
        <v>0</v>
      </c>
      <c r="AH2419">
        <v>1</v>
      </c>
      <c r="AI2419">
        <v>0</v>
      </c>
      <c r="AJ2419">
        <v>1</v>
      </c>
      <c r="AK2419">
        <v>0</v>
      </c>
      <c r="AL2419">
        <v>1</v>
      </c>
      <c r="AM2419">
        <v>0</v>
      </c>
      <c r="AN2419">
        <v>0</v>
      </c>
      <c r="AO2419">
        <v>1</v>
      </c>
      <c r="AP2419">
        <v>1</v>
      </c>
      <c r="AQ2419">
        <v>1</v>
      </c>
      <c r="AU2419">
        <v>1</v>
      </c>
      <c r="AV2419">
        <v>1</v>
      </c>
      <c r="AW2419">
        <v>1</v>
      </c>
    </row>
    <row r="2420" spans="1:49" x14ac:dyDescent="0.25">
      <c r="A2420" t="str">
        <f>"2416"</f>
        <v>2416</v>
      </c>
      <c r="B2420" t="str">
        <f t="shared" si="138"/>
        <v>1</v>
      </c>
      <c r="C2420" t="str">
        <f t="shared" si="139"/>
        <v>106</v>
      </c>
      <c r="D2420" t="str">
        <f>"13"</f>
        <v>13</v>
      </c>
      <c r="E2420" t="str">
        <f>"1-106-13"</f>
        <v>1-106-13</v>
      </c>
      <c r="F2420" t="s">
        <v>83</v>
      </c>
      <c r="G2420" t="s">
        <v>86</v>
      </c>
      <c r="H2420" t="s">
        <v>93</v>
      </c>
      <c r="I2420">
        <v>1</v>
      </c>
      <c r="K2420">
        <v>0</v>
      </c>
      <c r="L2420">
        <v>0</v>
      </c>
      <c r="M2420">
        <v>1</v>
      </c>
      <c r="N2420">
        <v>1</v>
      </c>
      <c r="O2420">
        <v>1</v>
      </c>
      <c r="P2420">
        <v>1</v>
      </c>
      <c r="Q2420">
        <v>1</v>
      </c>
      <c r="R2420">
        <v>1</v>
      </c>
      <c r="U2420">
        <v>0</v>
      </c>
      <c r="V2420">
        <v>0</v>
      </c>
      <c r="W2420">
        <v>0</v>
      </c>
      <c r="X2420">
        <v>0</v>
      </c>
      <c r="Y2420">
        <v>1</v>
      </c>
      <c r="Z2420">
        <v>0</v>
      </c>
      <c r="AA2420">
        <v>0</v>
      </c>
      <c r="AB2420">
        <v>0</v>
      </c>
    </row>
    <row r="2421" spans="1:49" x14ac:dyDescent="0.25">
      <c r="A2421" t="str">
        <f>"2417"</f>
        <v>2417</v>
      </c>
      <c r="B2421" t="str">
        <f t="shared" si="138"/>
        <v>1</v>
      </c>
      <c r="C2421" t="str">
        <f t="shared" si="139"/>
        <v>106</v>
      </c>
      <c r="D2421" t="str">
        <f>"7"</f>
        <v>7</v>
      </c>
      <c r="E2421" t="str">
        <f>"1-106-7"</f>
        <v>1-106-7</v>
      </c>
      <c r="F2421" t="s">
        <v>83</v>
      </c>
      <c r="G2421" t="s">
        <v>84</v>
      </c>
      <c r="H2421" t="s">
        <v>85</v>
      </c>
      <c r="AC2421">
        <v>1</v>
      </c>
      <c r="AD2421">
        <v>0</v>
      </c>
      <c r="AE2421">
        <v>0</v>
      </c>
      <c r="AF2421">
        <v>0</v>
      </c>
      <c r="AG2421">
        <v>1</v>
      </c>
      <c r="AJ2421">
        <v>0</v>
      </c>
      <c r="AK2421">
        <v>1</v>
      </c>
      <c r="AL2421">
        <v>0</v>
      </c>
      <c r="AM2421">
        <v>1</v>
      </c>
      <c r="AN2421">
        <v>0</v>
      </c>
      <c r="AO2421">
        <v>1</v>
      </c>
      <c r="AP2421">
        <v>1</v>
      </c>
      <c r="AQ2421">
        <v>1</v>
      </c>
      <c r="AR2421">
        <v>1</v>
      </c>
      <c r="AS2421">
        <v>0</v>
      </c>
      <c r="AT2421">
        <v>1</v>
      </c>
      <c r="AV2421">
        <v>1</v>
      </c>
      <c r="AW2421">
        <v>1</v>
      </c>
    </row>
    <row r="2422" spans="1:49" x14ac:dyDescent="0.25">
      <c r="A2422" t="str">
        <f>"2418"</f>
        <v>2418</v>
      </c>
      <c r="B2422" t="str">
        <f t="shared" si="138"/>
        <v>1</v>
      </c>
      <c r="C2422" t="str">
        <f t="shared" si="139"/>
        <v>106</v>
      </c>
      <c r="D2422" t="str">
        <f>"22"</f>
        <v>22</v>
      </c>
      <c r="E2422" t="str">
        <f>"1-106-22"</f>
        <v>1-106-22</v>
      </c>
      <c r="F2422" t="s">
        <v>83</v>
      </c>
      <c r="G2422" t="s">
        <v>84</v>
      </c>
      <c r="H2422" t="s">
        <v>92</v>
      </c>
      <c r="I2422">
        <v>1</v>
      </c>
      <c r="J2422">
        <v>1</v>
      </c>
      <c r="N2422">
        <v>1</v>
      </c>
      <c r="O2422">
        <v>1</v>
      </c>
      <c r="P2422">
        <v>1</v>
      </c>
      <c r="Q2422">
        <v>1</v>
      </c>
      <c r="R2422">
        <v>1</v>
      </c>
      <c r="S2422">
        <v>1</v>
      </c>
      <c r="T2422">
        <v>1</v>
      </c>
      <c r="W2422">
        <v>1</v>
      </c>
      <c r="X2422">
        <v>1</v>
      </c>
      <c r="Y2422">
        <v>1</v>
      </c>
      <c r="Z2422">
        <v>1</v>
      </c>
      <c r="AA2422">
        <v>1</v>
      </c>
      <c r="AB2422">
        <v>1</v>
      </c>
    </row>
    <row r="2423" spans="1:49" x14ac:dyDescent="0.25">
      <c r="A2423" t="str">
        <f>"2419"</f>
        <v>2419</v>
      </c>
      <c r="B2423" t="str">
        <f t="shared" si="138"/>
        <v>1</v>
      </c>
      <c r="C2423" t="str">
        <f t="shared" si="139"/>
        <v>106</v>
      </c>
      <c r="D2423" t="str">
        <f>"14"</f>
        <v>14</v>
      </c>
      <c r="E2423" t="str">
        <f>"1-106-14"</f>
        <v>1-106-14</v>
      </c>
      <c r="F2423" t="s">
        <v>83</v>
      </c>
      <c r="G2423" t="s">
        <v>84</v>
      </c>
      <c r="H2423" t="s">
        <v>92</v>
      </c>
      <c r="I2423">
        <v>1</v>
      </c>
      <c r="J2423">
        <v>1</v>
      </c>
      <c r="N2423">
        <v>1</v>
      </c>
      <c r="O2423">
        <v>1</v>
      </c>
      <c r="P2423">
        <v>1</v>
      </c>
      <c r="Q2423">
        <v>1</v>
      </c>
      <c r="R2423">
        <v>1</v>
      </c>
      <c r="S2423">
        <v>1</v>
      </c>
      <c r="T2423">
        <v>1</v>
      </c>
      <c r="W2423">
        <v>1</v>
      </c>
      <c r="X2423">
        <v>1</v>
      </c>
      <c r="Y2423">
        <v>1</v>
      </c>
      <c r="Z2423">
        <v>1</v>
      </c>
      <c r="AA2423">
        <v>1</v>
      </c>
      <c r="AB2423">
        <v>1</v>
      </c>
    </row>
    <row r="2424" spans="1:49" x14ac:dyDescent="0.25">
      <c r="A2424" t="str">
        <f>"2420"</f>
        <v>2420</v>
      </c>
      <c r="B2424" t="str">
        <f t="shared" si="138"/>
        <v>1</v>
      </c>
      <c r="C2424" t="str">
        <f t="shared" si="139"/>
        <v>106</v>
      </c>
      <c r="D2424" t="str">
        <f>"4"</f>
        <v>4</v>
      </c>
      <c r="E2424" t="str">
        <f>"1-106-4"</f>
        <v>1-106-4</v>
      </c>
      <c r="F2424" t="s">
        <v>83</v>
      </c>
      <c r="G2424" t="s">
        <v>84</v>
      </c>
      <c r="H2424" t="s">
        <v>85</v>
      </c>
      <c r="AC2424">
        <v>0</v>
      </c>
      <c r="AD2424">
        <v>1</v>
      </c>
      <c r="AE2424">
        <v>0</v>
      </c>
      <c r="AF2424">
        <v>0</v>
      </c>
      <c r="AG2424">
        <v>1</v>
      </c>
      <c r="AJ2424">
        <v>0</v>
      </c>
      <c r="AK2424">
        <v>1</v>
      </c>
      <c r="AL2424">
        <v>0</v>
      </c>
      <c r="AM2424">
        <v>0</v>
      </c>
      <c r="AN2424">
        <v>1</v>
      </c>
      <c r="AO2424">
        <v>1</v>
      </c>
      <c r="AP2424">
        <v>1</v>
      </c>
      <c r="AQ2424">
        <v>1</v>
      </c>
      <c r="AR2424">
        <v>1</v>
      </c>
      <c r="AS2424">
        <v>0</v>
      </c>
      <c r="AT2424">
        <v>1</v>
      </c>
      <c r="AV2424">
        <v>1</v>
      </c>
      <c r="AW2424">
        <v>1</v>
      </c>
    </row>
    <row r="2425" spans="1:49" x14ac:dyDescent="0.25">
      <c r="A2425" t="str">
        <f>"2421"</f>
        <v>2421</v>
      </c>
      <c r="B2425" t="str">
        <f t="shared" si="138"/>
        <v>1</v>
      </c>
      <c r="C2425" t="str">
        <f t="shared" ref="C2425:C2448" si="140">"107"</f>
        <v>107</v>
      </c>
      <c r="D2425" t="str">
        <f>"21"</f>
        <v>21</v>
      </c>
      <c r="E2425" t="str">
        <f>"1-107-21"</f>
        <v>1-107-21</v>
      </c>
      <c r="F2425" t="s">
        <v>83</v>
      </c>
      <c r="G2425" t="s">
        <v>86</v>
      </c>
      <c r="H2425" t="s">
        <v>87</v>
      </c>
      <c r="AC2425">
        <v>1</v>
      </c>
      <c r="AD2425">
        <v>0</v>
      </c>
      <c r="AE2425">
        <v>0</v>
      </c>
      <c r="AF2425">
        <v>0</v>
      </c>
      <c r="AH2425">
        <v>1</v>
      </c>
      <c r="AI2425">
        <v>0</v>
      </c>
      <c r="AJ2425">
        <v>1</v>
      </c>
      <c r="AK2425">
        <v>0</v>
      </c>
      <c r="AL2425">
        <v>0</v>
      </c>
      <c r="AM2425">
        <v>0</v>
      </c>
      <c r="AN2425">
        <v>1</v>
      </c>
      <c r="AO2425">
        <v>1</v>
      </c>
      <c r="AP2425">
        <v>1</v>
      </c>
      <c r="AQ2425">
        <v>1</v>
      </c>
      <c r="AU2425">
        <v>1</v>
      </c>
      <c r="AV2425">
        <v>1</v>
      </c>
      <c r="AW2425">
        <v>1</v>
      </c>
    </row>
    <row r="2426" spans="1:49" x14ac:dyDescent="0.25">
      <c r="A2426" t="str">
        <f>"2422"</f>
        <v>2422</v>
      </c>
      <c r="B2426" t="str">
        <f t="shared" si="138"/>
        <v>1</v>
      </c>
      <c r="C2426" t="str">
        <f t="shared" si="140"/>
        <v>107</v>
      </c>
      <c r="D2426" t="str">
        <f>"20"</f>
        <v>20</v>
      </c>
      <c r="E2426" t="str">
        <f>"1-107-20"</f>
        <v>1-107-20</v>
      </c>
      <c r="F2426" t="s">
        <v>83</v>
      </c>
      <c r="G2426" t="s">
        <v>86</v>
      </c>
      <c r="H2426" t="s">
        <v>93</v>
      </c>
      <c r="I2426">
        <v>1</v>
      </c>
      <c r="K2426">
        <v>0</v>
      </c>
      <c r="L2426">
        <v>1</v>
      </c>
      <c r="M2426">
        <v>0</v>
      </c>
      <c r="N2426">
        <v>1</v>
      </c>
      <c r="O2426">
        <v>1</v>
      </c>
      <c r="P2426">
        <v>1</v>
      </c>
      <c r="Q2426">
        <v>1</v>
      </c>
      <c r="R2426">
        <v>1</v>
      </c>
      <c r="U2426">
        <v>0</v>
      </c>
      <c r="V2426">
        <v>1</v>
      </c>
      <c r="W2426">
        <v>1</v>
      </c>
      <c r="X2426">
        <v>1</v>
      </c>
      <c r="Y2426">
        <v>1</v>
      </c>
      <c r="Z2426">
        <v>1</v>
      </c>
      <c r="AA2426">
        <v>1</v>
      </c>
      <c r="AB2426">
        <v>1</v>
      </c>
    </row>
    <row r="2427" spans="1:49" x14ac:dyDescent="0.25">
      <c r="A2427" t="str">
        <f>"2423"</f>
        <v>2423</v>
      </c>
      <c r="B2427" t="str">
        <f t="shared" si="138"/>
        <v>1</v>
      </c>
      <c r="C2427" t="str">
        <f t="shared" si="140"/>
        <v>107</v>
      </c>
      <c r="D2427" t="str">
        <f>"15"</f>
        <v>15</v>
      </c>
      <c r="E2427" t="str">
        <f>"1-107-15"</f>
        <v>1-107-15</v>
      </c>
      <c r="F2427" t="s">
        <v>83</v>
      </c>
      <c r="G2427" t="s">
        <v>84</v>
      </c>
      <c r="H2427" t="s">
        <v>85</v>
      </c>
      <c r="AC2427">
        <v>0</v>
      </c>
      <c r="AD2427">
        <v>1</v>
      </c>
      <c r="AE2427">
        <v>0</v>
      </c>
      <c r="AF2427">
        <v>0</v>
      </c>
      <c r="AG2427">
        <v>0</v>
      </c>
      <c r="AJ2427">
        <v>0</v>
      </c>
      <c r="AK2427">
        <v>1</v>
      </c>
      <c r="AL2427">
        <v>0</v>
      </c>
      <c r="AM2427">
        <v>0</v>
      </c>
      <c r="AN2427">
        <v>1</v>
      </c>
      <c r="AO2427">
        <v>0</v>
      </c>
      <c r="AP2427">
        <v>0</v>
      </c>
      <c r="AQ2427">
        <v>0</v>
      </c>
      <c r="AR2427">
        <v>0</v>
      </c>
      <c r="AS2427">
        <v>0</v>
      </c>
      <c r="AT2427">
        <v>1</v>
      </c>
      <c r="AV2427">
        <v>0</v>
      </c>
      <c r="AW2427">
        <v>0</v>
      </c>
    </row>
    <row r="2428" spans="1:49" x14ac:dyDescent="0.25">
      <c r="A2428" t="str">
        <f>"2424"</f>
        <v>2424</v>
      </c>
      <c r="B2428" t="str">
        <f t="shared" si="138"/>
        <v>1</v>
      </c>
      <c r="C2428" t="str">
        <f t="shared" si="140"/>
        <v>107</v>
      </c>
      <c r="D2428" t="str">
        <f>"14"</f>
        <v>14</v>
      </c>
      <c r="E2428" t="str">
        <f>"1-107-14"</f>
        <v>1-107-14</v>
      </c>
      <c r="F2428" t="s">
        <v>83</v>
      </c>
      <c r="G2428" t="s">
        <v>84</v>
      </c>
      <c r="H2428" t="s">
        <v>92</v>
      </c>
      <c r="I2428">
        <v>1</v>
      </c>
      <c r="J2428">
        <v>1</v>
      </c>
      <c r="N2428">
        <v>1</v>
      </c>
      <c r="O2428">
        <v>1</v>
      </c>
      <c r="P2428">
        <v>0</v>
      </c>
      <c r="Q2428">
        <v>0</v>
      </c>
      <c r="R2428">
        <v>0</v>
      </c>
      <c r="S2428">
        <v>0</v>
      </c>
      <c r="T2428">
        <v>0</v>
      </c>
      <c r="W2428">
        <v>0</v>
      </c>
      <c r="X2428">
        <v>0</v>
      </c>
      <c r="Y2428">
        <v>0</v>
      </c>
      <c r="Z2428">
        <v>0</v>
      </c>
      <c r="AA2428">
        <v>0</v>
      </c>
      <c r="AB2428">
        <v>0</v>
      </c>
    </row>
    <row r="2429" spans="1:49" x14ac:dyDescent="0.25">
      <c r="A2429" t="str">
        <f>"2425"</f>
        <v>2425</v>
      </c>
      <c r="B2429" t="str">
        <f t="shared" si="138"/>
        <v>1</v>
      </c>
      <c r="C2429" t="str">
        <f t="shared" si="140"/>
        <v>107</v>
      </c>
      <c r="D2429" t="str">
        <f>"11"</f>
        <v>11</v>
      </c>
      <c r="E2429" t="str">
        <f>"1-107-11"</f>
        <v>1-107-11</v>
      </c>
      <c r="F2429" t="s">
        <v>83</v>
      </c>
      <c r="G2429" t="s">
        <v>84</v>
      </c>
      <c r="H2429" t="s">
        <v>92</v>
      </c>
      <c r="I2429">
        <v>1</v>
      </c>
      <c r="J2429">
        <v>1</v>
      </c>
      <c r="N2429">
        <v>1</v>
      </c>
      <c r="O2429">
        <v>1</v>
      </c>
      <c r="P2429">
        <v>1</v>
      </c>
      <c r="Q2429">
        <v>1</v>
      </c>
      <c r="R2429">
        <v>1</v>
      </c>
      <c r="S2429">
        <v>1</v>
      </c>
      <c r="T2429">
        <v>1</v>
      </c>
      <c r="W2429">
        <v>1</v>
      </c>
      <c r="X2429">
        <v>1</v>
      </c>
      <c r="Y2429">
        <v>1</v>
      </c>
      <c r="Z2429">
        <v>1</v>
      </c>
      <c r="AA2429">
        <v>1</v>
      </c>
      <c r="AB2429">
        <v>1</v>
      </c>
    </row>
    <row r="2430" spans="1:49" x14ac:dyDescent="0.25">
      <c r="A2430" t="str">
        <f>"2426"</f>
        <v>2426</v>
      </c>
      <c r="B2430" t="str">
        <f t="shared" si="138"/>
        <v>1</v>
      </c>
      <c r="C2430" t="str">
        <f t="shared" si="140"/>
        <v>107</v>
      </c>
      <c r="D2430" t="str">
        <f>"8"</f>
        <v>8</v>
      </c>
      <c r="E2430" t="str">
        <f>"1-107-8"</f>
        <v>1-107-8</v>
      </c>
      <c r="F2430" t="s">
        <v>83</v>
      </c>
      <c r="G2430" t="s">
        <v>84</v>
      </c>
      <c r="H2430" t="s">
        <v>92</v>
      </c>
      <c r="I2430">
        <v>1</v>
      </c>
      <c r="J2430">
        <v>1</v>
      </c>
      <c r="N2430">
        <v>1</v>
      </c>
      <c r="O2430">
        <v>1</v>
      </c>
      <c r="P2430">
        <v>1</v>
      </c>
      <c r="Q2430">
        <v>1</v>
      </c>
      <c r="R2430">
        <v>1</v>
      </c>
      <c r="S2430">
        <v>1</v>
      </c>
      <c r="T2430">
        <v>1</v>
      </c>
      <c r="W2430">
        <v>1</v>
      </c>
      <c r="X2430">
        <v>1</v>
      </c>
      <c r="Y2430">
        <v>1</v>
      </c>
      <c r="Z2430">
        <v>1</v>
      </c>
      <c r="AA2430">
        <v>1</v>
      </c>
      <c r="AB2430">
        <v>1</v>
      </c>
    </row>
    <row r="2431" spans="1:49" x14ac:dyDescent="0.25">
      <c r="A2431" t="str">
        <f>"2427"</f>
        <v>2427</v>
      </c>
      <c r="B2431" t="str">
        <f t="shared" si="138"/>
        <v>1</v>
      </c>
      <c r="C2431" t="str">
        <f t="shared" si="140"/>
        <v>107</v>
      </c>
      <c r="D2431" t="str">
        <f>"1"</f>
        <v>1</v>
      </c>
      <c r="E2431" t="str">
        <f>"1-107-1"</f>
        <v>1-107-1</v>
      </c>
      <c r="F2431" t="s">
        <v>83</v>
      </c>
      <c r="G2431" t="s">
        <v>84</v>
      </c>
      <c r="H2431" t="s">
        <v>92</v>
      </c>
      <c r="I2431">
        <v>1</v>
      </c>
      <c r="J2431">
        <v>1</v>
      </c>
      <c r="N2431">
        <v>1</v>
      </c>
      <c r="O2431">
        <v>1</v>
      </c>
      <c r="P2431">
        <v>1</v>
      </c>
      <c r="Q2431">
        <v>1</v>
      </c>
      <c r="R2431">
        <v>1</v>
      </c>
      <c r="S2431">
        <v>1</v>
      </c>
      <c r="T2431">
        <v>1</v>
      </c>
      <c r="W2431">
        <v>1</v>
      </c>
      <c r="X2431">
        <v>1</v>
      </c>
      <c r="Y2431">
        <v>1</v>
      </c>
      <c r="Z2431">
        <v>1</v>
      </c>
      <c r="AA2431">
        <v>1</v>
      </c>
      <c r="AB2431">
        <v>1</v>
      </c>
    </row>
    <row r="2432" spans="1:49" x14ac:dyDescent="0.25">
      <c r="A2432" t="str">
        <f>"2428"</f>
        <v>2428</v>
      </c>
      <c r="B2432" t="str">
        <f t="shared" si="138"/>
        <v>1</v>
      </c>
      <c r="C2432" t="str">
        <f t="shared" si="140"/>
        <v>107</v>
      </c>
      <c r="D2432" t="str">
        <f>"24"</f>
        <v>24</v>
      </c>
      <c r="E2432" t="str">
        <f>"1-107-24"</f>
        <v>1-107-24</v>
      </c>
      <c r="F2432" t="s">
        <v>83</v>
      </c>
      <c r="G2432" t="s">
        <v>84</v>
      </c>
      <c r="H2432" t="s">
        <v>85</v>
      </c>
      <c r="AC2432">
        <v>0</v>
      </c>
      <c r="AD2432">
        <v>1</v>
      </c>
      <c r="AE2432">
        <v>0</v>
      </c>
      <c r="AF2432">
        <v>0</v>
      </c>
      <c r="AG2432">
        <v>0</v>
      </c>
      <c r="AJ2432">
        <v>0</v>
      </c>
      <c r="AK2432">
        <v>1</v>
      </c>
      <c r="AL2432">
        <v>0</v>
      </c>
      <c r="AM2432">
        <v>0</v>
      </c>
      <c r="AN2432">
        <v>1</v>
      </c>
      <c r="AO2432">
        <v>0</v>
      </c>
      <c r="AP2432">
        <v>0</v>
      </c>
      <c r="AQ2432">
        <v>0</v>
      </c>
      <c r="AR2432">
        <v>0</v>
      </c>
      <c r="AS2432">
        <v>0</v>
      </c>
      <c r="AT2432">
        <v>1</v>
      </c>
      <c r="AV2432">
        <v>0</v>
      </c>
      <c r="AW2432">
        <v>0</v>
      </c>
    </row>
    <row r="2433" spans="1:49" x14ac:dyDescent="0.25">
      <c r="A2433" t="str">
        <f>"2429"</f>
        <v>2429</v>
      </c>
      <c r="B2433" t="str">
        <f t="shared" si="138"/>
        <v>1</v>
      </c>
      <c r="C2433" t="str">
        <f t="shared" si="140"/>
        <v>107</v>
      </c>
      <c r="D2433" t="str">
        <f>"16"</f>
        <v>16</v>
      </c>
      <c r="E2433" t="str">
        <f>"1-107-16"</f>
        <v>1-107-16</v>
      </c>
      <c r="F2433" t="s">
        <v>83</v>
      </c>
      <c r="G2433" t="s">
        <v>84</v>
      </c>
      <c r="H2433" t="s">
        <v>85</v>
      </c>
      <c r="AC2433">
        <v>1</v>
      </c>
      <c r="AD2433">
        <v>0</v>
      </c>
      <c r="AE2433">
        <v>0</v>
      </c>
      <c r="AF2433">
        <v>0</v>
      </c>
      <c r="AG2433">
        <v>1</v>
      </c>
      <c r="AJ2433">
        <v>0</v>
      </c>
      <c r="AK2433">
        <v>1</v>
      </c>
      <c r="AL2433">
        <v>1</v>
      </c>
      <c r="AM2433">
        <v>0</v>
      </c>
      <c r="AN2433">
        <v>0</v>
      </c>
      <c r="AO2433">
        <v>1</v>
      </c>
      <c r="AP2433">
        <v>0</v>
      </c>
      <c r="AQ2433">
        <v>0</v>
      </c>
      <c r="AR2433">
        <v>1</v>
      </c>
      <c r="AS2433">
        <v>1</v>
      </c>
      <c r="AT2433">
        <v>0</v>
      </c>
      <c r="AV2433">
        <v>0</v>
      </c>
      <c r="AW2433">
        <v>0</v>
      </c>
    </row>
    <row r="2434" spans="1:49" x14ac:dyDescent="0.25">
      <c r="A2434" t="str">
        <f>"2430"</f>
        <v>2430</v>
      </c>
      <c r="B2434" t="str">
        <f t="shared" si="138"/>
        <v>1</v>
      </c>
      <c r="C2434" t="str">
        <f t="shared" si="140"/>
        <v>107</v>
      </c>
      <c r="D2434" t="str">
        <f>"9"</f>
        <v>9</v>
      </c>
      <c r="E2434" t="str">
        <f>"1-107-9"</f>
        <v>1-107-9</v>
      </c>
      <c r="F2434" t="s">
        <v>83</v>
      </c>
      <c r="G2434" t="s">
        <v>84</v>
      </c>
      <c r="H2434" t="s">
        <v>92</v>
      </c>
      <c r="I2434">
        <v>1</v>
      </c>
      <c r="J2434">
        <v>1</v>
      </c>
      <c r="N2434">
        <v>1</v>
      </c>
      <c r="O2434">
        <v>1</v>
      </c>
      <c r="P2434">
        <v>1</v>
      </c>
      <c r="Q2434">
        <v>1</v>
      </c>
      <c r="R2434">
        <v>1</v>
      </c>
      <c r="S2434">
        <v>1</v>
      </c>
      <c r="T2434">
        <v>1</v>
      </c>
      <c r="W2434">
        <v>1</v>
      </c>
      <c r="X2434">
        <v>1</v>
      </c>
      <c r="Y2434">
        <v>1</v>
      </c>
      <c r="Z2434">
        <v>1</v>
      </c>
      <c r="AA2434">
        <v>1</v>
      </c>
      <c r="AB2434">
        <v>1</v>
      </c>
    </row>
    <row r="2435" spans="1:49" x14ac:dyDescent="0.25">
      <c r="A2435" t="str">
        <f>"2431"</f>
        <v>2431</v>
      </c>
      <c r="B2435" t="str">
        <f t="shared" si="138"/>
        <v>1</v>
      </c>
      <c r="C2435" t="str">
        <f t="shared" si="140"/>
        <v>107</v>
      </c>
      <c r="D2435" t="str">
        <f>"6"</f>
        <v>6</v>
      </c>
      <c r="E2435" t="str">
        <f>"1-107-6"</f>
        <v>1-107-6</v>
      </c>
      <c r="F2435" t="s">
        <v>83</v>
      </c>
      <c r="G2435" t="s">
        <v>84</v>
      </c>
      <c r="H2435" t="s">
        <v>85</v>
      </c>
      <c r="AC2435">
        <v>0</v>
      </c>
      <c r="AD2435">
        <v>1</v>
      </c>
      <c r="AE2435">
        <v>0</v>
      </c>
      <c r="AF2435">
        <v>0</v>
      </c>
      <c r="AG2435">
        <v>1</v>
      </c>
      <c r="AJ2435">
        <v>1</v>
      </c>
      <c r="AK2435">
        <v>0</v>
      </c>
      <c r="AL2435">
        <v>0</v>
      </c>
      <c r="AM2435">
        <v>1</v>
      </c>
      <c r="AN2435">
        <v>0</v>
      </c>
      <c r="AO2435">
        <v>1</v>
      </c>
      <c r="AP2435">
        <v>1</v>
      </c>
      <c r="AQ2435">
        <v>1</v>
      </c>
      <c r="AR2435">
        <v>1</v>
      </c>
      <c r="AS2435">
        <v>0</v>
      </c>
      <c r="AT2435">
        <v>1</v>
      </c>
      <c r="AV2435">
        <v>1</v>
      </c>
      <c r="AW2435">
        <v>1</v>
      </c>
    </row>
    <row r="2436" spans="1:49" x14ac:dyDescent="0.25">
      <c r="A2436" t="str">
        <f>"2432"</f>
        <v>2432</v>
      </c>
      <c r="B2436" t="str">
        <f t="shared" si="138"/>
        <v>1</v>
      </c>
      <c r="C2436" t="str">
        <f t="shared" si="140"/>
        <v>107</v>
      </c>
      <c r="D2436" t="str">
        <f>"17"</f>
        <v>17</v>
      </c>
      <c r="E2436" t="str">
        <f>"1-107-17"</f>
        <v>1-107-17</v>
      </c>
      <c r="F2436" t="s">
        <v>83</v>
      </c>
      <c r="G2436" t="s">
        <v>86</v>
      </c>
      <c r="H2436" t="s">
        <v>87</v>
      </c>
      <c r="AC2436">
        <v>0</v>
      </c>
      <c r="AD2436">
        <v>1</v>
      </c>
      <c r="AE2436">
        <v>0</v>
      </c>
      <c r="AF2436">
        <v>0</v>
      </c>
      <c r="AH2436">
        <v>1</v>
      </c>
      <c r="AI2436">
        <v>0</v>
      </c>
      <c r="AJ2436">
        <v>1</v>
      </c>
      <c r="AK2436">
        <v>0</v>
      </c>
      <c r="AL2436">
        <v>0</v>
      </c>
      <c r="AM2436">
        <v>0</v>
      </c>
      <c r="AN2436">
        <v>0</v>
      </c>
      <c r="AO2436">
        <v>1</v>
      </c>
      <c r="AP2436">
        <v>1</v>
      </c>
      <c r="AQ2436">
        <v>1</v>
      </c>
      <c r="AU2436">
        <v>1</v>
      </c>
      <c r="AV2436">
        <v>1</v>
      </c>
      <c r="AW2436">
        <v>1</v>
      </c>
    </row>
    <row r="2437" spans="1:49" x14ac:dyDescent="0.25">
      <c r="A2437" t="str">
        <f>"2433"</f>
        <v>2433</v>
      </c>
      <c r="B2437" t="str">
        <f t="shared" si="138"/>
        <v>1</v>
      </c>
      <c r="C2437" t="str">
        <f t="shared" si="140"/>
        <v>107</v>
      </c>
      <c r="D2437" t="str">
        <f>"10"</f>
        <v>10</v>
      </c>
      <c r="E2437" t="str">
        <f>"1-107-10"</f>
        <v>1-107-10</v>
      </c>
      <c r="F2437" t="s">
        <v>83</v>
      </c>
      <c r="G2437" t="s">
        <v>84</v>
      </c>
      <c r="H2437" t="s">
        <v>92</v>
      </c>
      <c r="I2437">
        <v>1</v>
      </c>
      <c r="J2437">
        <v>1</v>
      </c>
      <c r="N2437">
        <v>1</v>
      </c>
      <c r="O2437">
        <v>1</v>
      </c>
      <c r="P2437">
        <v>1</v>
      </c>
      <c r="Q2437">
        <v>1</v>
      </c>
      <c r="R2437">
        <v>1</v>
      </c>
      <c r="S2437">
        <v>1</v>
      </c>
      <c r="T2437">
        <v>1</v>
      </c>
      <c r="W2437">
        <v>1</v>
      </c>
      <c r="X2437">
        <v>1</v>
      </c>
      <c r="Y2437">
        <v>1</v>
      </c>
      <c r="Z2437">
        <v>1</v>
      </c>
      <c r="AA2437">
        <v>1</v>
      </c>
      <c r="AB2437">
        <v>1</v>
      </c>
    </row>
    <row r="2438" spans="1:49" x14ac:dyDescent="0.25">
      <c r="A2438" t="str">
        <f>"2434"</f>
        <v>2434</v>
      </c>
      <c r="B2438" t="str">
        <f t="shared" si="138"/>
        <v>1</v>
      </c>
      <c r="C2438" t="str">
        <f t="shared" si="140"/>
        <v>107</v>
      </c>
      <c r="D2438" t="str">
        <f>"4"</f>
        <v>4</v>
      </c>
      <c r="E2438" t="str">
        <f>"1-107-4"</f>
        <v>1-107-4</v>
      </c>
      <c r="F2438" t="s">
        <v>83</v>
      </c>
      <c r="G2438" t="s">
        <v>84</v>
      </c>
      <c r="H2438" t="s">
        <v>85</v>
      </c>
      <c r="AC2438">
        <v>1</v>
      </c>
      <c r="AD2438">
        <v>0</v>
      </c>
      <c r="AE2438">
        <v>0</v>
      </c>
      <c r="AF2438">
        <v>0</v>
      </c>
      <c r="AG2438">
        <v>0</v>
      </c>
      <c r="AJ2438">
        <v>0</v>
      </c>
      <c r="AK2438">
        <v>1</v>
      </c>
      <c r="AL2438">
        <v>0</v>
      </c>
      <c r="AM2438">
        <v>0</v>
      </c>
      <c r="AN2438">
        <v>1</v>
      </c>
      <c r="AO2438">
        <v>0</v>
      </c>
      <c r="AP2438">
        <v>0</v>
      </c>
      <c r="AQ2438">
        <v>0</v>
      </c>
      <c r="AR2438">
        <v>0</v>
      </c>
      <c r="AS2438">
        <v>1</v>
      </c>
      <c r="AT2438">
        <v>0</v>
      </c>
      <c r="AV2438">
        <v>0</v>
      </c>
      <c r="AW2438">
        <v>0</v>
      </c>
    </row>
    <row r="2439" spans="1:49" x14ac:dyDescent="0.25">
      <c r="A2439" t="str">
        <f>"2435"</f>
        <v>2435</v>
      </c>
      <c r="B2439" t="str">
        <f t="shared" si="138"/>
        <v>1</v>
      </c>
      <c r="C2439" t="str">
        <f t="shared" si="140"/>
        <v>107</v>
      </c>
      <c r="D2439" t="str">
        <f>"22"</f>
        <v>22</v>
      </c>
      <c r="E2439" t="str">
        <f>"1-107-22"</f>
        <v>1-107-22</v>
      </c>
      <c r="F2439" t="s">
        <v>83</v>
      </c>
      <c r="G2439" t="s">
        <v>84</v>
      </c>
      <c r="H2439" t="s">
        <v>92</v>
      </c>
      <c r="I2439">
        <v>1</v>
      </c>
      <c r="J2439">
        <v>1</v>
      </c>
      <c r="N2439">
        <v>1</v>
      </c>
      <c r="O2439">
        <v>1</v>
      </c>
      <c r="P2439">
        <v>1</v>
      </c>
      <c r="Q2439">
        <v>1</v>
      </c>
      <c r="R2439">
        <v>1</v>
      </c>
      <c r="S2439">
        <v>1</v>
      </c>
      <c r="T2439">
        <v>1</v>
      </c>
      <c r="W2439">
        <v>1</v>
      </c>
      <c r="X2439">
        <v>1</v>
      </c>
      <c r="Y2439">
        <v>1</v>
      </c>
      <c r="Z2439">
        <v>1</v>
      </c>
      <c r="AA2439">
        <v>1</v>
      </c>
      <c r="AB2439">
        <v>1</v>
      </c>
    </row>
    <row r="2440" spans="1:49" x14ac:dyDescent="0.25">
      <c r="A2440" t="str">
        <f>"2436"</f>
        <v>2436</v>
      </c>
      <c r="B2440" t="str">
        <f t="shared" si="138"/>
        <v>1</v>
      </c>
      <c r="C2440" t="str">
        <f t="shared" si="140"/>
        <v>107</v>
      </c>
      <c r="D2440" t="str">
        <f>"12"</f>
        <v>12</v>
      </c>
      <c r="E2440" t="str">
        <f>"1-107-12"</f>
        <v>1-107-12</v>
      </c>
      <c r="F2440" t="s">
        <v>83</v>
      </c>
      <c r="G2440" t="s">
        <v>84</v>
      </c>
      <c r="H2440" t="s">
        <v>92</v>
      </c>
      <c r="I2440">
        <v>1</v>
      </c>
      <c r="J2440">
        <v>1</v>
      </c>
      <c r="N2440">
        <v>1</v>
      </c>
      <c r="O2440">
        <v>1</v>
      </c>
      <c r="P2440">
        <v>1</v>
      </c>
      <c r="Q2440">
        <v>1</v>
      </c>
      <c r="R2440">
        <v>1</v>
      </c>
      <c r="S2440">
        <v>1</v>
      </c>
      <c r="T2440">
        <v>1</v>
      </c>
      <c r="W2440">
        <v>1</v>
      </c>
      <c r="X2440">
        <v>1</v>
      </c>
      <c r="Y2440">
        <v>1</v>
      </c>
      <c r="Z2440">
        <v>1</v>
      </c>
      <c r="AA2440">
        <v>1</v>
      </c>
      <c r="AB2440">
        <v>1</v>
      </c>
    </row>
    <row r="2441" spans="1:49" x14ac:dyDescent="0.25">
      <c r="A2441" t="str">
        <f>"2437"</f>
        <v>2437</v>
      </c>
      <c r="B2441" t="str">
        <f t="shared" si="138"/>
        <v>1</v>
      </c>
      <c r="C2441" t="str">
        <f t="shared" si="140"/>
        <v>107</v>
      </c>
      <c r="D2441" t="str">
        <f>"5"</f>
        <v>5</v>
      </c>
      <c r="E2441" t="str">
        <f>"1-107-5"</f>
        <v>1-107-5</v>
      </c>
      <c r="F2441" t="s">
        <v>83</v>
      </c>
      <c r="G2441" t="s">
        <v>84</v>
      </c>
      <c r="H2441" t="s">
        <v>92</v>
      </c>
      <c r="I2441">
        <v>1</v>
      </c>
      <c r="J2441">
        <v>1</v>
      </c>
      <c r="N2441">
        <v>1</v>
      </c>
      <c r="O2441">
        <v>1</v>
      </c>
      <c r="P2441">
        <v>1</v>
      </c>
      <c r="Q2441">
        <v>1</v>
      </c>
      <c r="R2441">
        <v>1</v>
      </c>
      <c r="S2441">
        <v>1</v>
      </c>
      <c r="T2441">
        <v>1</v>
      </c>
      <c r="W2441">
        <v>1</v>
      </c>
      <c r="X2441">
        <v>1</v>
      </c>
      <c r="Y2441">
        <v>1</v>
      </c>
      <c r="Z2441">
        <v>1</v>
      </c>
      <c r="AA2441">
        <v>1</v>
      </c>
      <c r="AB2441">
        <v>1</v>
      </c>
    </row>
    <row r="2442" spans="1:49" x14ac:dyDescent="0.25">
      <c r="A2442" t="str">
        <f>"2438"</f>
        <v>2438</v>
      </c>
      <c r="B2442" t="str">
        <f t="shared" si="138"/>
        <v>1</v>
      </c>
      <c r="C2442" t="str">
        <f t="shared" si="140"/>
        <v>107</v>
      </c>
      <c r="D2442" t="str">
        <f>"23"</f>
        <v>23</v>
      </c>
      <c r="E2442" t="str">
        <f>"1-107-23"</f>
        <v>1-107-23</v>
      </c>
      <c r="F2442" t="s">
        <v>83</v>
      </c>
      <c r="G2442" t="s">
        <v>84</v>
      </c>
      <c r="H2442" t="s">
        <v>92</v>
      </c>
      <c r="I2442">
        <v>1</v>
      </c>
      <c r="J2442">
        <v>1</v>
      </c>
      <c r="N2442">
        <v>1</v>
      </c>
      <c r="O2442">
        <v>1</v>
      </c>
      <c r="P2442">
        <v>1</v>
      </c>
      <c r="Q2442">
        <v>1</v>
      </c>
      <c r="R2442">
        <v>1</v>
      </c>
      <c r="S2442">
        <v>1</v>
      </c>
      <c r="T2442">
        <v>1</v>
      </c>
      <c r="W2442">
        <v>1</v>
      </c>
      <c r="X2442">
        <v>1</v>
      </c>
      <c r="Y2442">
        <v>1</v>
      </c>
      <c r="Z2442">
        <v>1</v>
      </c>
      <c r="AA2442">
        <v>1</v>
      </c>
      <c r="AB2442">
        <v>1</v>
      </c>
    </row>
    <row r="2443" spans="1:49" x14ac:dyDescent="0.25">
      <c r="A2443" t="str">
        <f>"2439"</f>
        <v>2439</v>
      </c>
      <c r="B2443" t="str">
        <f t="shared" si="138"/>
        <v>1</v>
      </c>
      <c r="C2443" t="str">
        <f t="shared" si="140"/>
        <v>107</v>
      </c>
      <c r="D2443" t="str">
        <f>"13"</f>
        <v>13</v>
      </c>
      <c r="E2443" t="str">
        <f>"1-107-13"</f>
        <v>1-107-13</v>
      </c>
      <c r="F2443" t="s">
        <v>83</v>
      </c>
      <c r="G2443" t="s">
        <v>84</v>
      </c>
      <c r="H2443" t="s">
        <v>92</v>
      </c>
      <c r="I2443">
        <v>1</v>
      </c>
      <c r="J2443">
        <v>1</v>
      </c>
      <c r="N2443">
        <v>1</v>
      </c>
      <c r="O2443">
        <v>1</v>
      </c>
      <c r="P2443">
        <v>1</v>
      </c>
      <c r="Q2443">
        <v>1</v>
      </c>
      <c r="R2443">
        <v>1</v>
      </c>
      <c r="S2443">
        <v>1</v>
      </c>
      <c r="T2443">
        <v>1</v>
      </c>
      <c r="W2443">
        <v>1</v>
      </c>
      <c r="X2443">
        <v>1</v>
      </c>
      <c r="Y2443">
        <v>1</v>
      </c>
      <c r="Z2443">
        <v>1</v>
      </c>
      <c r="AA2443">
        <v>1</v>
      </c>
      <c r="AB2443">
        <v>1</v>
      </c>
    </row>
    <row r="2444" spans="1:49" x14ac:dyDescent="0.25">
      <c r="A2444" t="str">
        <f>"2440"</f>
        <v>2440</v>
      </c>
      <c r="B2444" t="str">
        <f t="shared" si="138"/>
        <v>1</v>
      </c>
      <c r="C2444" t="str">
        <f t="shared" si="140"/>
        <v>107</v>
      </c>
      <c r="D2444" t="str">
        <f>"3"</f>
        <v>3</v>
      </c>
      <c r="E2444" t="str">
        <f>"1-107-3"</f>
        <v>1-107-3</v>
      </c>
      <c r="F2444" t="s">
        <v>83</v>
      </c>
      <c r="G2444" t="s">
        <v>84</v>
      </c>
      <c r="H2444" t="s">
        <v>85</v>
      </c>
      <c r="AC2444">
        <v>0</v>
      </c>
      <c r="AD2444">
        <v>1</v>
      </c>
      <c r="AE2444">
        <v>0</v>
      </c>
      <c r="AF2444">
        <v>0</v>
      </c>
      <c r="AG2444">
        <v>0</v>
      </c>
      <c r="AJ2444">
        <v>0</v>
      </c>
      <c r="AK2444">
        <v>1</v>
      </c>
      <c r="AL2444">
        <v>0</v>
      </c>
      <c r="AM2444">
        <v>0</v>
      </c>
      <c r="AN2444">
        <v>1</v>
      </c>
      <c r="AO2444">
        <v>1</v>
      </c>
      <c r="AP2444">
        <v>1</v>
      </c>
      <c r="AQ2444">
        <v>1</v>
      </c>
      <c r="AR2444">
        <v>1</v>
      </c>
      <c r="AS2444">
        <v>0</v>
      </c>
      <c r="AT2444">
        <v>1</v>
      </c>
      <c r="AV2444">
        <v>1</v>
      </c>
      <c r="AW2444">
        <v>1</v>
      </c>
    </row>
    <row r="2445" spans="1:49" x14ac:dyDescent="0.25">
      <c r="A2445" t="str">
        <f>"2441"</f>
        <v>2441</v>
      </c>
      <c r="B2445" t="str">
        <f t="shared" si="138"/>
        <v>1</v>
      </c>
      <c r="C2445" t="str">
        <f t="shared" si="140"/>
        <v>107</v>
      </c>
      <c r="D2445" t="str">
        <f>"18"</f>
        <v>18</v>
      </c>
      <c r="E2445" t="str">
        <f>"1-107-18"</f>
        <v>1-107-18</v>
      </c>
      <c r="F2445" t="s">
        <v>83</v>
      </c>
      <c r="G2445" t="s">
        <v>84</v>
      </c>
      <c r="H2445" t="s">
        <v>92</v>
      </c>
      <c r="I2445">
        <v>0</v>
      </c>
      <c r="J2445">
        <v>1</v>
      </c>
      <c r="N2445">
        <v>1</v>
      </c>
      <c r="O2445">
        <v>1</v>
      </c>
      <c r="P2445">
        <v>1</v>
      </c>
      <c r="Q2445">
        <v>1</v>
      </c>
      <c r="R2445">
        <v>0</v>
      </c>
      <c r="S2445">
        <v>1</v>
      </c>
      <c r="T2445">
        <v>0</v>
      </c>
      <c r="W2445">
        <v>0</v>
      </c>
      <c r="X2445">
        <v>0</v>
      </c>
      <c r="Y2445">
        <v>0</v>
      </c>
      <c r="Z2445">
        <v>0</v>
      </c>
      <c r="AA2445">
        <v>0</v>
      </c>
      <c r="AB2445">
        <v>0</v>
      </c>
    </row>
    <row r="2446" spans="1:49" x14ac:dyDescent="0.25">
      <c r="A2446" t="str">
        <f>"2442"</f>
        <v>2442</v>
      </c>
      <c r="B2446" t="str">
        <f t="shared" si="138"/>
        <v>1</v>
      </c>
      <c r="C2446" t="str">
        <f t="shared" si="140"/>
        <v>107</v>
      </c>
      <c r="D2446" t="str">
        <f>"2"</f>
        <v>2</v>
      </c>
      <c r="E2446" t="str">
        <f>"1-107-2"</f>
        <v>1-107-2</v>
      </c>
      <c r="F2446" t="s">
        <v>83</v>
      </c>
      <c r="G2446" t="s">
        <v>86</v>
      </c>
      <c r="H2446" t="s">
        <v>87</v>
      </c>
      <c r="AC2446">
        <v>0</v>
      </c>
      <c r="AD2446">
        <v>0</v>
      </c>
      <c r="AE2446">
        <v>0</v>
      </c>
      <c r="AF2446">
        <v>0</v>
      </c>
      <c r="AH2446">
        <v>0</v>
      </c>
      <c r="AI2446">
        <v>1</v>
      </c>
      <c r="AJ2446">
        <v>0</v>
      </c>
      <c r="AK2446">
        <v>0</v>
      </c>
      <c r="AL2446">
        <v>0</v>
      </c>
      <c r="AM2446">
        <v>0</v>
      </c>
      <c r="AN2446">
        <v>1</v>
      </c>
      <c r="AO2446">
        <v>0</v>
      </c>
      <c r="AP2446">
        <v>0</v>
      </c>
      <c r="AQ2446">
        <v>0</v>
      </c>
      <c r="AU2446">
        <v>0</v>
      </c>
      <c r="AV2446">
        <v>0</v>
      </c>
      <c r="AW2446">
        <v>1</v>
      </c>
    </row>
    <row r="2447" spans="1:49" x14ac:dyDescent="0.25">
      <c r="A2447" t="str">
        <f>"2443"</f>
        <v>2443</v>
      </c>
      <c r="B2447" t="str">
        <f t="shared" si="138"/>
        <v>1</v>
      </c>
      <c r="C2447" t="str">
        <f t="shared" si="140"/>
        <v>107</v>
      </c>
      <c r="D2447" t="str">
        <f>"19"</f>
        <v>19</v>
      </c>
      <c r="E2447" t="str">
        <f>"1-107-19"</f>
        <v>1-107-19</v>
      </c>
      <c r="F2447" t="s">
        <v>83</v>
      </c>
      <c r="G2447" t="s">
        <v>84</v>
      </c>
      <c r="H2447" t="s">
        <v>85</v>
      </c>
      <c r="AC2447">
        <v>0</v>
      </c>
      <c r="AD2447">
        <v>1</v>
      </c>
      <c r="AE2447">
        <v>0</v>
      </c>
      <c r="AF2447">
        <v>0</v>
      </c>
      <c r="AG2447">
        <v>1</v>
      </c>
      <c r="AJ2447">
        <v>1</v>
      </c>
      <c r="AK2447">
        <v>0</v>
      </c>
      <c r="AL2447">
        <v>0</v>
      </c>
      <c r="AM2447">
        <v>0</v>
      </c>
      <c r="AN2447">
        <v>0</v>
      </c>
      <c r="AO2447">
        <v>0</v>
      </c>
      <c r="AP2447">
        <v>0</v>
      </c>
      <c r="AQ2447">
        <v>0</v>
      </c>
      <c r="AR2447">
        <v>0</v>
      </c>
      <c r="AS2447">
        <v>0</v>
      </c>
      <c r="AT2447">
        <v>1</v>
      </c>
      <c r="AV2447">
        <v>0</v>
      </c>
      <c r="AW2447">
        <v>0</v>
      </c>
    </row>
    <row r="2448" spans="1:49" x14ac:dyDescent="0.25">
      <c r="A2448" t="str">
        <f>"2444"</f>
        <v>2444</v>
      </c>
      <c r="B2448" t="str">
        <f t="shared" si="138"/>
        <v>1</v>
      </c>
      <c r="C2448" t="str">
        <f t="shared" si="140"/>
        <v>107</v>
      </c>
      <c r="D2448" t="str">
        <f>"7"</f>
        <v>7</v>
      </c>
      <c r="E2448" t="str">
        <f>"1-107-7"</f>
        <v>1-107-7</v>
      </c>
      <c r="F2448" t="s">
        <v>83</v>
      </c>
      <c r="G2448" t="s">
        <v>84</v>
      </c>
      <c r="H2448" t="s">
        <v>85</v>
      </c>
      <c r="AC2448">
        <v>0</v>
      </c>
      <c r="AD2448">
        <v>1</v>
      </c>
      <c r="AE2448">
        <v>0</v>
      </c>
      <c r="AF2448">
        <v>0</v>
      </c>
      <c r="AG2448">
        <v>1</v>
      </c>
      <c r="AJ2448">
        <v>1</v>
      </c>
      <c r="AK2448">
        <v>0</v>
      </c>
      <c r="AL2448">
        <v>0</v>
      </c>
      <c r="AM2448">
        <v>1</v>
      </c>
      <c r="AN2448">
        <v>0</v>
      </c>
      <c r="AO2448">
        <v>1</v>
      </c>
      <c r="AP2448">
        <v>1</v>
      </c>
      <c r="AQ2448">
        <v>1</v>
      </c>
      <c r="AR2448">
        <v>1</v>
      </c>
      <c r="AS2448">
        <v>0</v>
      </c>
      <c r="AT2448">
        <v>1</v>
      </c>
      <c r="AV2448">
        <v>0</v>
      </c>
      <c r="AW2448">
        <v>1</v>
      </c>
    </row>
    <row r="2449" spans="1:49" x14ac:dyDescent="0.25">
      <c r="A2449" t="str">
        <f>"2445"</f>
        <v>2445</v>
      </c>
      <c r="B2449" t="str">
        <f t="shared" si="138"/>
        <v>1</v>
      </c>
      <c r="C2449" t="str">
        <f t="shared" ref="C2449:C2470" si="141">"108"</f>
        <v>108</v>
      </c>
      <c r="D2449" t="str">
        <f>"22"</f>
        <v>22</v>
      </c>
      <c r="E2449" t="str">
        <f>"1-108-22"</f>
        <v>1-108-22</v>
      </c>
      <c r="F2449" t="s">
        <v>83</v>
      </c>
      <c r="G2449" t="s">
        <v>84</v>
      </c>
      <c r="H2449" t="s">
        <v>92</v>
      </c>
      <c r="I2449">
        <v>1</v>
      </c>
      <c r="J2449">
        <v>1</v>
      </c>
      <c r="N2449">
        <v>1</v>
      </c>
      <c r="O2449">
        <v>1</v>
      </c>
      <c r="P2449">
        <v>1</v>
      </c>
      <c r="Q2449">
        <v>1</v>
      </c>
      <c r="R2449">
        <v>1</v>
      </c>
      <c r="S2449">
        <v>1</v>
      </c>
      <c r="T2449">
        <v>1</v>
      </c>
      <c r="W2449">
        <v>1</v>
      </c>
      <c r="X2449">
        <v>1</v>
      </c>
      <c r="Y2449">
        <v>1</v>
      </c>
      <c r="Z2449">
        <v>1</v>
      </c>
      <c r="AA2449">
        <v>1</v>
      </c>
      <c r="AB2449">
        <v>1</v>
      </c>
    </row>
    <row r="2450" spans="1:49" x14ac:dyDescent="0.25">
      <c r="A2450" t="str">
        <f>"2446"</f>
        <v>2446</v>
      </c>
      <c r="B2450" t="str">
        <f t="shared" si="138"/>
        <v>1</v>
      </c>
      <c r="C2450" t="str">
        <f t="shared" si="141"/>
        <v>108</v>
      </c>
      <c r="D2450" t="str">
        <f>"15"</f>
        <v>15</v>
      </c>
      <c r="E2450" t="str">
        <f>"1-108-15"</f>
        <v>1-108-15</v>
      </c>
      <c r="F2450" t="s">
        <v>83</v>
      </c>
      <c r="G2450" t="s">
        <v>84</v>
      </c>
      <c r="H2450" t="s">
        <v>85</v>
      </c>
      <c r="AC2450">
        <v>0</v>
      </c>
      <c r="AD2450">
        <v>1</v>
      </c>
      <c r="AE2450">
        <v>0</v>
      </c>
      <c r="AF2450">
        <v>0</v>
      </c>
      <c r="AG2450">
        <v>1</v>
      </c>
      <c r="AJ2450">
        <v>0</v>
      </c>
      <c r="AK2450">
        <v>1</v>
      </c>
      <c r="AL2450">
        <v>0</v>
      </c>
      <c r="AM2450">
        <v>0</v>
      </c>
      <c r="AN2450">
        <v>1</v>
      </c>
      <c r="AO2450">
        <v>1</v>
      </c>
      <c r="AP2450">
        <v>1</v>
      </c>
      <c r="AQ2450">
        <v>1</v>
      </c>
      <c r="AR2450">
        <v>1</v>
      </c>
      <c r="AS2450">
        <v>0</v>
      </c>
      <c r="AT2450">
        <v>1</v>
      </c>
      <c r="AV2450">
        <v>1</v>
      </c>
      <c r="AW2450">
        <v>1</v>
      </c>
    </row>
    <row r="2451" spans="1:49" x14ac:dyDescent="0.25">
      <c r="A2451" t="str">
        <f>"2447"</f>
        <v>2447</v>
      </c>
      <c r="B2451" t="str">
        <f t="shared" si="138"/>
        <v>1</v>
      </c>
      <c r="C2451" t="str">
        <f t="shared" si="141"/>
        <v>108</v>
      </c>
      <c r="D2451" t="str">
        <f>"8"</f>
        <v>8</v>
      </c>
      <c r="E2451" t="str">
        <f>"1-108-8"</f>
        <v>1-108-8</v>
      </c>
      <c r="F2451" t="s">
        <v>83</v>
      </c>
      <c r="G2451" t="s">
        <v>84</v>
      </c>
      <c r="H2451" t="s">
        <v>92</v>
      </c>
      <c r="I2451">
        <v>1</v>
      </c>
      <c r="J2451">
        <v>1</v>
      </c>
      <c r="N2451">
        <v>1</v>
      </c>
      <c r="O2451">
        <v>1</v>
      </c>
      <c r="P2451">
        <v>1</v>
      </c>
      <c r="Q2451">
        <v>1</v>
      </c>
      <c r="R2451">
        <v>1</v>
      </c>
      <c r="S2451">
        <v>1</v>
      </c>
      <c r="T2451">
        <v>1</v>
      </c>
      <c r="W2451">
        <v>1</v>
      </c>
      <c r="X2451">
        <v>1</v>
      </c>
      <c r="Y2451">
        <v>1</v>
      </c>
      <c r="Z2451">
        <v>1</v>
      </c>
      <c r="AA2451">
        <v>1</v>
      </c>
      <c r="AB2451">
        <v>1</v>
      </c>
    </row>
    <row r="2452" spans="1:49" x14ac:dyDescent="0.25">
      <c r="A2452" t="str">
        <f>"2448"</f>
        <v>2448</v>
      </c>
      <c r="B2452" t="str">
        <f t="shared" si="138"/>
        <v>1</v>
      </c>
      <c r="C2452" t="str">
        <f t="shared" si="141"/>
        <v>108</v>
      </c>
      <c r="D2452" t="str">
        <f>"21"</f>
        <v>21</v>
      </c>
      <c r="E2452" t="str">
        <f>"1-108-21"</f>
        <v>1-108-21</v>
      </c>
      <c r="F2452" t="s">
        <v>83</v>
      </c>
      <c r="G2452" t="s">
        <v>84</v>
      </c>
      <c r="H2452" t="s">
        <v>92</v>
      </c>
      <c r="I2452">
        <v>1</v>
      </c>
      <c r="J2452">
        <v>1</v>
      </c>
      <c r="N2452">
        <v>1</v>
      </c>
      <c r="O2452">
        <v>1</v>
      </c>
      <c r="P2452">
        <v>1</v>
      </c>
      <c r="Q2452">
        <v>1</v>
      </c>
      <c r="R2452">
        <v>1</v>
      </c>
      <c r="S2452">
        <v>1</v>
      </c>
      <c r="T2452">
        <v>1</v>
      </c>
      <c r="W2452">
        <v>1</v>
      </c>
      <c r="X2452">
        <v>1</v>
      </c>
      <c r="Y2452">
        <v>1</v>
      </c>
      <c r="Z2452">
        <v>1</v>
      </c>
      <c r="AA2452">
        <v>1</v>
      </c>
      <c r="AB2452">
        <v>1</v>
      </c>
    </row>
    <row r="2453" spans="1:49" x14ac:dyDescent="0.25">
      <c r="A2453" t="str">
        <f>"2449"</f>
        <v>2449</v>
      </c>
      <c r="B2453" t="str">
        <f t="shared" si="138"/>
        <v>1</v>
      </c>
      <c r="C2453" t="str">
        <f t="shared" si="141"/>
        <v>108</v>
      </c>
      <c r="D2453" t="str">
        <f>"20"</f>
        <v>20</v>
      </c>
      <c r="E2453" t="str">
        <f>"1-108-20"</f>
        <v>1-108-20</v>
      </c>
      <c r="F2453" t="s">
        <v>83</v>
      </c>
      <c r="G2453" t="s">
        <v>84</v>
      </c>
      <c r="H2453" t="s">
        <v>85</v>
      </c>
      <c r="AC2453">
        <v>0</v>
      </c>
      <c r="AD2453">
        <v>1</v>
      </c>
      <c r="AE2453">
        <v>0</v>
      </c>
      <c r="AF2453">
        <v>0</v>
      </c>
      <c r="AG2453">
        <v>1</v>
      </c>
      <c r="AJ2453">
        <v>0</v>
      </c>
      <c r="AK2453">
        <v>1</v>
      </c>
      <c r="AL2453">
        <v>0</v>
      </c>
      <c r="AM2453">
        <v>1</v>
      </c>
      <c r="AN2453">
        <v>0</v>
      </c>
      <c r="AO2453">
        <v>1</v>
      </c>
      <c r="AP2453">
        <v>1</v>
      </c>
      <c r="AQ2453">
        <v>1</v>
      </c>
      <c r="AR2453">
        <v>1</v>
      </c>
      <c r="AS2453">
        <v>0</v>
      </c>
      <c r="AT2453">
        <v>0</v>
      </c>
      <c r="AV2453">
        <v>1</v>
      </c>
      <c r="AW2453">
        <v>1</v>
      </c>
    </row>
    <row r="2454" spans="1:49" x14ac:dyDescent="0.25">
      <c r="A2454" t="str">
        <f>"2450"</f>
        <v>2450</v>
      </c>
      <c r="B2454" t="str">
        <f t="shared" si="138"/>
        <v>1</v>
      </c>
      <c r="C2454" t="str">
        <f t="shared" si="141"/>
        <v>108</v>
      </c>
      <c r="D2454" t="str">
        <f>"16"</f>
        <v>16</v>
      </c>
      <c r="E2454" t="str">
        <f>"1-108-16"</f>
        <v>1-108-16</v>
      </c>
      <c r="F2454" t="s">
        <v>83</v>
      </c>
      <c r="G2454" t="s">
        <v>84</v>
      </c>
      <c r="H2454" t="s">
        <v>92</v>
      </c>
      <c r="I2454">
        <v>1</v>
      </c>
      <c r="J2454">
        <v>1</v>
      </c>
      <c r="N2454">
        <v>1</v>
      </c>
      <c r="O2454">
        <v>1</v>
      </c>
      <c r="P2454">
        <v>1</v>
      </c>
      <c r="Q2454">
        <v>1</v>
      </c>
      <c r="R2454">
        <v>1</v>
      </c>
      <c r="S2454">
        <v>1</v>
      </c>
      <c r="T2454">
        <v>1</v>
      </c>
      <c r="W2454">
        <v>1</v>
      </c>
      <c r="X2454">
        <v>1</v>
      </c>
      <c r="Y2454">
        <v>1</v>
      </c>
      <c r="Z2454">
        <v>1</v>
      </c>
      <c r="AA2454">
        <v>1</v>
      </c>
      <c r="AB2454">
        <v>1</v>
      </c>
    </row>
    <row r="2455" spans="1:49" x14ac:dyDescent="0.25">
      <c r="A2455" t="str">
        <f>"2451"</f>
        <v>2451</v>
      </c>
      <c r="B2455" t="str">
        <f t="shared" si="138"/>
        <v>1</v>
      </c>
      <c r="C2455" t="str">
        <f t="shared" si="141"/>
        <v>108</v>
      </c>
      <c r="D2455" t="str">
        <f>"9"</f>
        <v>9</v>
      </c>
      <c r="E2455" t="str">
        <f>"1-108-9"</f>
        <v>1-108-9</v>
      </c>
      <c r="F2455" t="s">
        <v>83</v>
      </c>
      <c r="G2455" t="s">
        <v>86</v>
      </c>
      <c r="H2455" t="s">
        <v>87</v>
      </c>
      <c r="AC2455">
        <v>1</v>
      </c>
      <c r="AD2455">
        <v>0</v>
      </c>
      <c r="AE2455">
        <v>0</v>
      </c>
      <c r="AF2455">
        <v>0</v>
      </c>
      <c r="AH2455">
        <v>0</v>
      </c>
      <c r="AI2455">
        <v>1</v>
      </c>
      <c r="AJ2455">
        <v>0</v>
      </c>
      <c r="AK2455">
        <v>0</v>
      </c>
      <c r="AL2455">
        <v>0</v>
      </c>
      <c r="AM2455">
        <v>1</v>
      </c>
      <c r="AN2455">
        <v>0</v>
      </c>
      <c r="AO2455">
        <v>0</v>
      </c>
      <c r="AP2455">
        <v>0</v>
      </c>
      <c r="AQ2455">
        <v>0</v>
      </c>
      <c r="AU2455">
        <v>0</v>
      </c>
      <c r="AV2455">
        <v>0</v>
      </c>
      <c r="AW2455">
        <v>0</v>
      </c>
    </row>
    <row r="2456" spans="1:49" x14ac:dyDescent="0.25">
      <c r="A2456" t="str">
        <f>"2452"</f>
        <v>2452</v>
      </c>
      <c r="B2456" t="str">
        <f t="shared" si="138"/>
        <v>1</v>
      </c>
      <c r="C2456" t="str">
        <f t="shared" si="141"/>
        <v>108</v>
      </c>
      <c r="D2456" t="str">
        <f>"7"</f>
        <v>7</v>
      </c>
      <c r="E2456" t="str">
        <f>"1-108-7"</f>
        <v>1-108-7</v>
      </c>
      <c r="F2456" t="s">
        <v>83</v>
      </c>
      <c r="G2456" t="s">
        <v>84</v>
      </c>
      <c r="H2456" t="s">
        <v>92</v>
      </c>
      <c r="I2456">
        <v>1</v>
      </c>
      <c r="J2456">
        <v>1</v>
      </c>
      <c r="N2456">
        <v>1</v>
      </c>
      <c r="O2456">
        <v>1</v>
      </c>
      <c r="P2456">
        <v>1</v>
      </c>
      <c r="Q2456">
        <v>1</v>
      </c>
      <c r="R2456">
        <v>1</v>
      </c>
      <c r="S2456">
        <v>1</v>
      </c>
      <c r="T2456">
        <v>1</v>
      </c>
      <c r="W2456">
        <v>1</v>
      </c>
      <c r="X2456">
        <v>1</v>
      </c>
      <c r="Y2456">
        <v>1</v>
      </c>
      <c r="Z2456">
        <v>1</v>
      </c>
      <c r="AA2456">
        <v>1</v>
      </c>
      <c r="AB2456">
        <v>1</v>
      </c>
    </row>
    <row r="2457" spans="1:49" x14ac:dyDescent="0.25">
      <c r="A2457" t="str">
        <f>"2453"</f>
        <v>2453</v>
      </c>
      <c r="B2457" t="str">
        <f t="shared" si="138"/>
        <v>1</v>
      </c>
      <c r="C2457" t="str">
        <f t="shared" si="141"/>
        <v>108</v>
      </c>
      <c r="D2457" t="str">
        <f>"17"</f>
        <v>17</v>
      </c>
      <c r="E2457" t="str">
        <f>"1-108-17"</f>
        <v>1-108-17</v>
      </c>
      <c r="F2457" t="s">
        <v>83</v>
      </c>
      <c r="G2457" t="s">
        <v>84</v>
      </c>
      <c r="H2457" t="s">
        <v>85</v>
      </c>
      <c r="AC2457">
        <v>0</v>
      </c>
      <c r="AD2457">
        <v>1</v>
      </c>
      <c r="AE2457">
        <v>0</v>
      </c>
      <c r="AF2457">
        <v>0</v>
      </c>
      <c r="AG2457">
        <v>1</v>
      </c>
      <c r="AJ2457">
        <v>0</v>
      </c>
      <c r="AK2457">
        <v>1</v>
      </c>
      <c r="AL2457">
        <v>0</v>
      </c>
      <c r="AM2457">
        <v>0</v>
      </c>
      <c r="AN2457">
        <v>1</v>
      </c>
      <c r="AO2457">
        <v>1</v>
      </c>
      <c r="AP2457">
        <v>1</v>
      </c>
      <c r="AQ2457">
        <v>1</v>
      </c>
      <c r="AR2457">
        <v>1</v>
      </c>
      <c r="AS2457">
        <v>0</v>
      </c>
      <c r="AT2457">
        <v>1</v>
      </c>
      <c r="AV2457">
        <v>1</v>
      </c>
      <c r="AW2457">
        <v>1</v>
      </c>
    </row>
    <row r="2458" spans="1:49" x14ac:dyDescent="0.25">
      <c r="A2458" t="str">
        <f>"2454"</f>
        <v>2454</v>
      </c>
      <c r="B2458" t="str">
        <f t="shared" si="138"/>
        <v>1</v>
      </c>
      <c r="C2458" t="str">
        <f t="shared" si="141"/>
        <v>108</v>
      </c>
      <c r="D2458" t="str">
        <f>"10"</f>
        <v>10</v>
      </c>
      <c r="E2458" t="str">
        <f>"1-108-10"</f>
        <v>1-108-10</v>
      </c>
      <c r="F2458" t="s">
        <v>83</v>
      </c>
      <c r="G2458" t="s">
        <v>84</v>
      </c>
      <c r="H2458" t="s">
        <v>92</v>
      </c>
      <c r="I2458">
        <v>1</v>
      </c>
      <c r="J2458">
        <v>1</v>
      </c>
      <c r="N2458">
        <v>1</v>
      </c>
      <c r="O2458">
        <v>1</v>
      </c>
      <c r="P2458">
        <v>1</v>
      </c>
      <c r="Q2458">
        <v>1</v>
      </c>
      <c r="R2458">
        <v>1</v>
      </c>
      <c r="S2458">
        <v>1</v>
      </c>
      <c r="T2458">
        <v>1</v>
      </c>
      <c r="W2458">
        <v>1</v>
      </c>
      <c r="X2458">
        <v>1</v>
      </c>
      <c r="Y2458">
        <v>1</v>
      </c>
      <c r="Z2458">
        <v>1</v>
      </c>
      <c r="AA2458">
        <v>1</v>
      </c>
      <c r="AB2458">
        <v>1</v>
      </c>
    </row>
    <row r="2459" spans="1:49" x14ac:dyDescent="0.25">
      <c r="A2459" t="str">
        <f>"2455"</f>
        <v>2455</v>
      </c>
      <c r="B2459" t="str">
        <f t="shared" si="138"/>
        <v>1</v>
      </c>
      <c r="C2459" t="str">
        <f t="shared" si="141"/>
        <v>108</v>
      </c>
      <c r="D2459" t="str">
        <f>"3"</f>
        <v>3</v>
      </c>
      <c r="E2459" t="str">
        <f>"1-108-3"</f>
        <v>1-108-3</v>
      </c>
      <c r="F2459" t="s">
        <v>83</v>
      </c>
      <c r="G2459" t="s">
        <v>84</v>
      </c>
      <c r="H2459" t="s">
        <v>92</v>
      </c>
      <c r="I2459">
        <v>1</v>
      </c>
      <c r="J2459">
        <v>0</v>
      </c>
      <c r="N2459">
        <v>1</v>
      </c>
      <c r="O2459">
        <v>1</v>
      </c>
      <c r="P2459">
        <v>1</v>
      </c>
      <c r="Q2459">
        <v>1</v>
      </c>
      <c r="R2459">
        <v>1</v>
      </c>
      <c r="S2459">
        <v>1</v>
      </c>
      <c r="T2459">
        <v>1</v>
      </c>
      <c r="W2459">
        <v>1</v>
      </c>
      <c r="X2459">
        <v>1</v>
      </c>
      <c r="Y2459">
        <v>1</v>
      </c>
      <c r="Z2459">
        <v>1</v>
      </c>
      <c r="AA2459">
        <v>1</v>
      </c>
      <c r="AB2459">
        <v>0</v>
      </c>
    </row>
    <row r="2460" spans="1:49" x14ac:dyDescent="0.25">
      <c r="A2460" t="str">
        <f>"2456"</f>
        <v>2456</v>
      </c>
      <c r="B2460" t="str">
        <f t="shared" si="138"/>
        <v>1</v>
      </c>
      <c r="C2460" t="str">
        <f t="shared" si="141"/>
        <v>108</v>
      </c>
      <c r="D2460" t="str">
        <f>"18"</f>
        <v>18</v>
      </c>
      <c r="E2460" t="str">
        <f>"1-108-18"</f>
        <v>1-108-18</v>
      </c>
      <c r="F2460" t="s">
        <v>83</v>
      </c>
      <c r="G2460" t="s">
        <v>84</v>
      </c>
      <c r="H2460" t="s">
        <v>85</v>
      </c>
      <c r="AC2460">
        <v>0</v>
      </c>
      <c r="AD2460">
        <v>1</v>
      </c>
      <c r="AE2460">
        <v>0</v>
      </c>
      <c r="AF2460">
        <v>0</v>
      </c>
      <c r="AG2460">
        <v>1</v>
      </c>
      <c r="AJ2460">
        <v>0</v>
      </c>
      <c r="AK2460">
        <v>1</v>
      </c>
      <c r="AL2460">
        <v>0</v>
      </c>
      <c r="AM2460">
        <v>0</v>
      </c>
      <c r="AN2460">
        <v>1</v>
      </c>
      <c r="AO2460">
        <v>1</v>
      </c>
      <c r="AP2460">
        <v>1</v>
      </c>
      <c r="AQ2460">
        <v>1</v>
      </c>
      <c r="AR2460">
        <v>1</v>
      </c>
      <c r="AS2460">
        <v>0</v>
      </c>
      <c r="AT2460">
        <v>1</v>
      </c>
      <c r="AV2460">
        <v>1</v>
      </c>
      <c r="AW2460">
        <v>1</v>
      </c>
    </row>
    <row r="2461" spans="1:49" x14ac:dyDescent="0.25">
      <c r="A2461" t="str">
        <f>"2457"</f>
        <v>2457</v>
      </c>
      <c r="B2461" t="str">
        <f t="shared" si="138"/>
        <v>1</v>
      </c>
      <c r="C2461" t="str">
        <f t="shared" si="141"/>
        <v>108</v>
      </c>
      <c r="D2461" t="str">
        <f>"11"</f>
        <v>11</v>
      </c>
      <c r="E2461" t="str">
        <f>"1-108-11"</f>
        <v>1-108-11</v>
      </c>
      <c r="F2461" t="s">
        <v>83</v>
      </c>
      <c r="G2461" t="s">
        <v>84</v>
      </c>
      <c r="H2461" t="s">
        <v>92</v>
      </c>
      <c r="I2461">
        <v>0</v>
      </c>
      <c r="J2461">
        <v>1</v>
      </c>
      <c r="N2461">
        <v>1</v>
      </c>
      <c r="O2461">
        <v>0</v>
      </c>
      <c r="P2461">
        <v>0</v>
      </c>
      <c r="Q2461">
        <v>1</v>
      </c>
      <c r="R2461">
        <v>0</v>
      </c>
      <c r="S2461">
        <v>0</v>
      </c>
      <c r="T2461">
        <v>0</v>
      </c>
      <c r="W2461">
        <v>1</v>
      </c>
      <c r="X2461">
        <v>1</v>
      </c>
      <c r="Y2461">
        <v>1</v>
      </c>
      <c r="Z2461">
        <v>1</v>
      </c>
      <c r="AA2461">
        <v>1</v>
      </c>
      <c r="AB2461">
        <v>1</v>
      </c>
    </row>
    <row r="2462" spans="1:49" x14ac:dyDescent="0.25">
      <c r="A2462" t="str">
        <f>"2458"</f>
        <v>2458</v>
      </c>
      <c r="B2462" t="str">
        <f t="shared" ref="B2462:B2525" si="142">"1"</f>
        <v>1</v>
      </c>
      <c r="C2462" t="str">
        <f t="shared" si="141"/>
        <v>108</v>
      </c>
      <c r="D2462" t="str">
        <f>"5"</f>
        <v>5</v>
      </c>
      <c r="E2462" t="str">
        <f>"1-108-5"</f>
        <v>1-108-5</v>
      </c>
      <c r="F2462" t="s">
        <v>83</v>
      </c>
      <c r="G2462" t="s">
        <v>86</v>
      </c>
      <c r="H2462" t="s">
        <v>87</v>
      </c>
      <c r="AC2462">
        <v>0</v>
      </c>
      <c r="AD2462">
        <v>0</v>
      </c>
      <c r="AE2462">
        <v>0</v>
      </c>
      <c r="AF2462">
        <v>0</v>
      </c>
      <c r="AH2462">
        <v>0</v>
      </c>
      <c r="AI2462">
        <v>1</v>
      </c>
      <c r="AJ2462">
        <v>0</v>
      </c>
      <c r="AK2462">
        <v>1</v>
      </c>
      <c r="AL2462">
        <v>0</v>
      </c>
      <c r="AM2462">
        <v>0</v>
      </c>
      <c r="AN2462">
        <v>0</v>
      </c>
      <c r="AO2462">
        <v>0</v>
      </c>
      <c r="AP2462">
        <v>0</v>
      </c>
      <c r="AQ2462">
        <v>0</v>
      </c>
      <c r="AU2462">
        <v>0</v>
      </c>
      <c r="AV2462">
        <v>0</v>
      </c>
      <c r="AW2462">
        <v>0</v>
      </c>
    </row>
    <row r="2463" spans="1:49" x14ac:dyDescent="0.25">
      <c r="A2463" t="str">
        <f>"2459"</f>
        <v>2459</v>
      </c>
      <c r="B2463" t="str">
        <f t="shared" si="142"/>
        <v>1</v>
      </c>
      <c r="C2463" t="str">
        <f t="shared" si="141"/>
        <v>108</v>
      </c>
      <c r="D2463" t="str">
        <f>"19"</f>
        <v>19</v>
      </c>
      <c r="E2463" t="str">
        <f>"1-108-19"</f>
        <v>1-108-19</v>
      </c>
      <c r="F2463" t="s">
        <v>83</v>
      </c>
      <c r="G2463" t="s">
        <v>84</v>
      </c>
      <c r="H2463" t="s">
        <v>92</v>
      </c>
      <c r="I2463">
        <v>1</v>
      </c>
      <c r="J2463">
        <v>1</v>
      </c>
      <c r="N2463">
        <v>1</v>
      </c>
      <c r="O2463">
        <v>1</v>
      </c>
      <c r="P2463">
        <v>1</v>
      </c>
      <c r="Q2463">
        <v>1</v>
      </c>
      <c r="R2463">
        <v>1</v>
      </c>
      <c r="S2463">
        <v>1</v>
      </c>
      <c r="T2463">
        <v>1</v>
      </c>
      <c r="W2463">
        <v>1</v>
      </c>
      <c r="X2463">
        <v>1</v>
      </c>
      <c r="Y2463">
        <v>1</v>
      </c>
      <c r="Z2463">
        <v>1</v>
      </c>
      <c r="AA2463">
        <v>1</v>
      </c>
      <c r="AB2463">
        <v>1</v>
      </c>
    </row>
    <row r="2464" spans="1:49" x14ac:dyDescent="0.25">
      <c r="A2464" t="str">
        <f>"2460"</f>
        <v>2460</v>
      </c>
      <c r="B2464" t="str">
        <f t="shared" si="142"/>
        <v>1</v>
      </c>
      <c r="C2464" t="str">
        <f t="shared" si="141"/>
        <v>108</v>
      </c>
      <c r="D2464" t="str">
        <f>"12"</f>
        <v>12</v>
      </c>
      <c r="E2464" t="str">
        <f>"1-108-12"</f>
        <v>1-108-12</v>
      </c>
      <c r="F2464" t="s">
        <v>83</v>
      </c>
      <c r="G2464" t="s">
        <v>84</v>
      </c>
      <c r="H2464" t="s">
        <v>92</v>
      </c>
      <c r="I2464">
        <v>1</v>
      </c>
      <c r="J2464">
        <v>1</v>
      </c>
      <c r="N2464">
        <v>1</v>
      </c>
      <c r="O2464">
        <v>1</v>
      </c>
      <c r="P2464">
        <v>1</v>
      </c>
      <c r="Q2464">
        <v>1</v>
      </c>
      <c r="R2464">
        <v>1</v>
      </c>
      <c r="S2464">
        <v>1</v>
      </c>
      <c r="T2464">
        <v>1</v>
      </c>
      <c r="W2464">
        <v>1</v>
      </c>
      <c r="X2464">
        <v>1</v>
      </c>
      <c r="Y2464">
        <v>1</v>
      </c>
      <c r="Z2464">
        <v>1</v>
      </c>
      <c r="AA2464">
        <v>1</v>
      </c>
      <c r="AB2464">
        <v>1</v>
      </c>
    </row>
    <row r="2465" spans="1:49" x14ac:dyDescent="0.25">
      <c r="A2465" t="str">
        <f>"2461"</f>
        <v>2461</v>
      </c>
      <c r="B2465" t="str">
        <f t="shared" si="142"/>
        <v>1</v>
      </c>
      <c r="C2465" t="str">
        <f t="shared" si="141"/>
        <v>108</v>
      </c>
      <c r="D2465" t="str">
        <f>"13"</f>
        <v>13</v>
      </c>
      <c r="E2465" t="str">
        <f>"1-108-13"</f>
        <v>1-108-13</v>
      </c>
      <c r="F2465" t="s">
        <v>83</v>
      </c>
      <c r="G2465" t="s">
        <v>84</v>
      </c>
      <c r="H2465" t="s">
        <v>92</v>
      </c>
      <c r="I2465">
        <v>1</v>
      </c>
      <c r="J2465">
        <v>1</v>
      </c>
      <c r="N2465">
        <v>1</v>
      </c>
      <c r="O2465">
        <v>1</v>
      </c>
      <c r="P2465">
        <v>1</v>
      </c>
      <c r="Q2465">
        <v>1</v>
      </c>
      <c r="R2465">
        <v>1</v>
      </c>
      <c r="S2465">
        <v>1</v>
      </c>
      <c r="T2465">
        <v>1</v>
      </c>
      <c r="W2465">
        <v>1</v>
      </c>
      <c r="X2465">
        <v>1</v>
      </c>
      <c r="Y2465">
        <v>1</v>
      </c>
      <c r="Z2465">
        <v>1</v>
      </c>
      <c r="AA2465">
        <v>1</v>
      </c>
      <c r="AB2465">
        <v>1</v>
      </c>
    </row>
    <row r="2466" spans="1:49" x14ac:dyDescent="0.25">
      <c r="A2466" t="str">
        <f>"2462"</f>
        <v>2462</v>
      </c>
      <c r="B2466" t="str">
        <f t="shared" si="142"/>
        <v>1</v>
      </c>
      <c r="C2466" t="str">
        <f t="shared" si="141"/>
        <v>108</v>
      </c>
      <c r="D2466" t="str">
        <f>"4"</f>
        <v>4</v>
      </c>
      <c r="E2466" t="str">
        <f>"1-108-4"</f>
        <v>1-108-4</v>
      </c>
      <c r="F2466" t="s">
        <v>83</v>
      </c>
      <c r="G2466" t="s">
        <v>86</v>
      </c>
      <c r="H2466" t="s">
        <v>87</v>
      </c>
      <c r="AC2466">
        <v>1</v>
      </c>
      <c r="AD2466">
        <v>0</v>
      </c>
      <c r="AE2466">
        <v>0</v>
      </c>
      <c r="AF2466">
        <v>0</v>
      </c>
      <c r="AH2466">
        <v>0</v>
      </c>
      <c r="AI2466">
        <v>1</v>
      </c>
      <c r="AJ2466">
        <v>0</v>
      </c>
      <c r="AK2466">
        <v>0</v>
      </c>
      <c r="AL2466">
        <v>0</v>
      </c>
      <c r="AM2466">
        <v>1</v>
      </c>
      <c r="AN2466">
        <v>0</v>
      </c>
      <c r="AO2466">
        <v>0</v>
      </c>
      <c r="AP2466">
        <v>0</v>
      </c>
      <c r="AQ2466">
        <v>0</v>
      </c>
      <c r="AU2466">
        <v>0</v>
      </c>
      <c r="AV2466">
        <v>0</v>
      </c>
      <c r="AW2466">
        <v>0</v>
      </c>
    </row>
    <row r="2467" spans="1:49" x14ac:dyDescent="0.25">
      <c r="A2467" t="str">
        <f>"2463"</f>
        <v>2463</v>
      </c>
      <c r="B2467" t="str">
        <f t="shared" si="142"/>
        <v>1</v>
      </c>
      <c r="C2467" t="str">
        <f t="shared" si="141"/>
        <v>108</v>
      </c>
      <c r="D2467" t="str">
        <f>"14"</f>
        <v>14</v>
      </c>
      <c r="E2467" t="str">
        <f>"1-108-14"</f>
        <v>1-108-14</v>
      </c>
      <c r="F2467" t="s">
        <v>83</v>
      </c>
      <c r="G2467" t="s">
        <v>84</v>
      </c>
      <c r="H2467" t="s">
        <v>85</v>
      </c>
      <c r="AC2467">
        <v>0</v>
      </c>
      <c r="AD2467">
        <v>1</v>
      </c>
      <c r="AE2467">
        <v>0</v>
      </c>
      <c r="AF2467">
        <v>0</v>
      </c>
      <c r="AG2467">
        <v>1</v>
      </c>
      <c r="AJ2467">
        <v>0</v>
      </c>
      <c r="AK2467">
        <v>1</v>
      </c>
      <c r="AL2467">
        <v>0</v>
      </c>
      <c r="AM2467">
        <v>0</v>
      </c>
      <c r="AN2467">
        <v>1</v>
      </c>
      <c r="AO2467">
        <v>1</v>
      </c>
      <c r="AP2467">
        <v>1</v>
      </c>
      <c r="AQ2467">
        <v>1</v>
      </c>
      <c r="AR2467">
        <v>1</v>
      </c>
      <c r="AS2467">
        <v>0</v>
      </c>
      <c r="AT2467">
        <v>1</v>
      </c>
      <c r="AV2467">
        <v>1</v>
      </c>
      <c r="AW2467">
        <v>1</v>
      </c>
    </row>
    <row r="2468" spans="1:49" x14ac:dyDescent="0.25">
      <c r="A2468" t="str">
        <f>"2464"</f>
        <v>2464</v>
      </c>
      <c r="B2468" t="str">
        <f t="shared" si="142"/>
        <v>1</v>
      </c>
      <c r="C2468" t="str">
        <f t="shared" si="141"/>
        <v>108</v>
      </c>
      <c r="D2468" t="str">
        <f>"6"</f>
        <v>6</v>
      </c>
      <c r="E2468" t="str">
        <f>"1-108-6"</f>
        <v>1-108-6</v>
      </c>
      <c r="F2468" t="s">
        <v>83</v>
      </c>
      <c r="G2468" t="s">
        <v>84</v>
      </c>
      <c r="H2468" t="s">
        <v>92</v>
      </c>
      <c r="I2468">
        <v>1</v>
      </c>
      <c r="J2468">
        <v>1</v>
      </c>
      <c r="N2468">
        <v>1</v>
      </c>
      <c r="O2468">
        <v>1</v>
      </c>
      <c r="P2468">
        <v>1</v>
      </c>
      <c r="Q2468">
        <v>1</v>
      </c>
      <c r="R2468">
        <v>1</v>
      </c>
      <c r="S2468">
        <v>1</v>
      </c>
      <c r="T2468">
        <v>1</v>
      </c>
      <c r="W2468">
        <v>1</v>
      </c>
      <c r="X2468">
        <v>1</v>
      </c>
      <c r="Y2468">
        <v>1</v>
      </c>
      <c r="Z2468">
        <v>1</v>
      </c>
      <c r="AA2468">
        <v>1</v>
      </c>
      <c r="AB2468">
        <v>1</v>
      </c>
    </row>
    <row r="2469" spans="1:49" x14ac:dyDescent="0.25">
      <c r="A2469" t="str">
        <f>"2465"</f>
        <v>2465</v>
      </c>
      <c r="B2469" t="str">
        <f t="shared" si="142"/>
        <v>1</v>
      </c>
      <c r="C2469" t="str">
        <f t="shared" si="141"/>
        <v>108</v>
      </c>
      <c r="D2469" t="str">
        <f>"1"</f>
        <v>1</v>
      </c>
      <c r="E2469" t="str">
        <f>"1-108-1"</f>
        <v>1-108-1</v>
      </c>
      <c r="F2469" t="s">
        <v>83</v>
      </c>
      <c r="G2469" t="s">
        <v>86</v>
      </c>
      <c r="H2469" t="s">
        <v>87</v>
      </c>
      <c r="AC2469">
        <v>0</v>
      </c>
      <c r="AD2469">
        <v>0</v>
      </c>
      <c r="AE2469">
        <v>0</v>
      </c>
      <c r="AF2469">
        <v>0</v>
      </c>
      <c r="AH2469">
        <v>0</v>
      </c>
      <c r="AI2469">
        <v>1</v>
      </c>
      <c r="AJ2469">
        <v>0</v>
      </c>
      <c r="AK2469">
        <v>0</v>
      </c>
      <c r="AL2469">
        <v>0</v>
      </c>
      <c r="AM2469">
        <v>0</v>
      </c>
      <c r="AN2469">
        <v>0</v>
      </c>
      <c r="AO2469">
        <v>0</v>
      </c>
      <c r="AP2469">
        <v>0</v>
      </c>
      <c r="AQ2469">
        <v>0</v>
      </c>
      <c r="AU2469">
        <v>0</v>
      </c>
      <c r="AV2469">
        <v>0</v>
      </c>
      <c r="AW2469">
        <v>0</v>
      </c>
    </row>
    <row r="2470" spans="1:49" x14ac:dyDescent="0.25">
      <c r="A2470" t="str">
        <f>"2466"</f>
        <v>2466</v>
      </c>
      <c r="B2470" t="str">
        <f t="shared" si="142"/>
        <v>1</v>
      </c>
      <c r="C2470" t="str">
        <f t="shared" si="141"/>
        <v>108</v>
      </c>
      <c r="D2470" t="str">
        <f>"2"</f>
        <v>2</v>
      </c>
      <c r="E2470" t="str">
        <f>"1-108-2"</f>
        <v>1-108-2</v>
      </c>
      <c r="F2470" t="s">
        <v>83</v>
      </c>
      <c r="G2470" t="s">
        <v>84</v>
      </c>
      <c r="H2470" t="s">
        <v>85</v>
      </c>
      <c r="AC2470">
        <v>0</v>
      </c>
      <c r="AD2470">
        <v>0</v>
      </c>
      <c r="AE2470">
        <v>0</v>
      </c>
      <c r="AF2470">
        <v>0</v>
      </c>
      <c r="AG2470">
        <v>0</v>
      </c>
      <c r="AJ2470">
        <v>0</v>
      </c>
      <c r="AK2470">
        <v>1</v>
      </c>
      <c r="AL2470">
        <v>0</v>
      </c>
      <c r="AM2470">
        <v>0</v>
      </c>
      <c r="AN2470">
        <v>1</v>
      </c>
      <c r="AO2470">
        <v>1</v>
      </c>
      <c r="AP2470">
        <v>1</v>
      </c>
      <c r="AQ2470">
        <v>1</v>
      </c>
      <c r="AR2470">
        <v>1</v>
      </c>
      <c r="AS2470">
        <v>1</v>
      </c>
      <c r="AT2470">
        <v>0</v>
      </c>
      <c r="AV2470">
        <v>1</v>
      </c>
      <c r="AW2470">
        <v>1</v>
      </c>
    </row>
    <row r="2471" spans="1:49" x14ac:dyDescent="0.25">
      <c r="A2471" t="str">
        <f>"2467"</f>
        <v>2467</v>
      </c>
      <c r="B2471" t="str">
        <f t="shared" si="142"/>
        <v>1</v>
      </c>
      <c r="C2471" t="str">
        <f t="shared" ref="C2471:C2494" si="143">"109"</f>
        <v>109</v>
      </c>
      <c r="D2471" t="str">
        <f>"21"</f>
        <v>21</v>
      </c>
      <c r="E2471" t="str">
        <f>"1-109-21"</f>
        <v>1-109-21</v>
      </c>
      <c r="F2471" t="s">
        <v>83</v>
      </c>
      <c r="G2471" t="s">
        <v>84</v>
      </c>
      <c r="H2471" t="s">
        <v>85</v>
      </c>
      <c r="AC2471">
        <v>1</v>
      </c>
      <c r="AD2471">
        <v>0</v>
      </c>
      <c r="AE2471">
        <v>0</v>
      </c>
      <c r="AF2471">
        <v>0</v>
      </c>
      <c r="AG2471">
        <v>0</v>
      </c>
      <c r="AJ2471">
        <v>0</v>
      </c>
      <c r="AK2471">
        <v>1</v>
      </c>
      <c r="AL2471">
        <v>0</v>
      </c>
      <c r="AM2471">
        <v>0</v>
      </c>
      <c r="AN2471">
        <v>1</v>
      </c>
      <c r="AO2471">
        <v>0</v>
      </c>
      <c r="AP2471">
        <v>0</v>
      </c>
      <c r="AQ2471">
        <v>0</v>
      </c>
      <c r="AR2471">
        <v>0</v>
      </c>
      <c r="AS2471">
        <v>1</v>
      </c>
      <c r="AT2471">
        <v>0</v>
      </c>
      <c r="AV2471">
        <v>0</v>
      </c>
      <c r="AW2471">
        <v>0</v>
      </c>
    </row>
    <row r="2472" spans="1:49" x14ac:dyDescent="0.25">
      <c r="A2472" t="str">
        <f>"2468"</f>
        <v>2468</v>
      </c>
      <c r="B2472" t="str">
        <f t="shared" si="142"/>
        <v>1</v>
      </c>
      <c r="C2472" t="str">
        <f t="shared" si="143"/>
        <v>109</v>
      </c>
      <c r="D2472" t="str">
        <f>"20"</f>
        <v>20</v>
      </c>
      <c r="E2472" t="str">
        <f>"1-109-20"</f>
        <v>1-109-20</v>
      </c>
      <c r="F2472" t="s">
        <v>83</v>
      </c>
      <c r="G2472" t="s">
        <v>84</v>
      </c>
      <c r="H2472" t="s">
        <v>85</v>
      </c>
      <c r="AC2472">
        <v>1</v>
      </c>
      <c r="AD2472">
        <v>0</v>
      </c>
      <c r="AE2472">
        <v>0</v>
      </c>
      <c r="AF2472">
        <v>0</v>
      </c>
      <c r="AG2472">
        <v>0</v>
      </c>
      <c r="AJ2472">
        <v>1</v>
      </c>
      <c r="AK2472">
        <v>0</v>
      </c>
      <c r="AL2472">
        <v>1</v>
      </c>
      <c r="AM2472">
        <v>0</v>
      </c>
      <c r="AN2472">
        <v>0</v>
      </c>
      <c r="AO2472">
        <v>1</v>
      </c>
      <c r="AP2472">
        <v>0</v>
      </c>
      <c r="AQ2472">
        <v>0</v>
      </c>
      <c r="AR2472">
        <v>0</v>
      </c>
      <c r="AS2472">
        <v>0</v>
      </c>
      <c r="AT2472">
        <v>0</v>
      </c>
      <c r="AV2472">
        <v>0</v>
      </c>
      <c r="AW2472">
        <v>1</v>
      </c>
    </row>
    <row r="2473" spans="1:49" x14ac:dyDescent="0.25">
      <c r="A2473" t="str">
        <f>"2469"</f>
        <v>2469</v>
      </c>
      <c r="B2473" t="str">
        <f t="shared" si="142"/>
        <v>1</v>
      </c>
      <c r="C2473" t="str">
        <f t="shared" si="143"/>
        <v>109</v>
      </c>
      <c r="D2473" t="str">
        <f>"15"</f>
        <v>15</v>
      </c>
      <c r="E2473" t="str">
        <f>"1-109-15"</f>
        <v>1-109-15</v>
      </c>
      <c r="F2473" t="s">
        <v>83</v>
      </c>
      <c r="G2473" t="s">
        <v>84</v>
      </c>
      <c r="H2473" t="s">
        <v>92</v>
      </c>
      <c r="I2473">
        <v>1</v>
      </c>
      <c r="J2473">
        <v>1</v>
      </c>
      <c r="N2473">
        <v>1</v>
      </c>
      <c r="O2473">
        <v>1</v>
      </c>
      <c r="P2473">
        <v>1</v>
      </c>
      <c r="Q2473">
        <v>1</v>
      </c>
      <c r="R2473">
        <v>1</v>
      </c>
      <c r="S2473">
        <v>1</v>
      </c>
      <c r="T2473">
        <v>1</v>
      </c>
      <c r="W2473">
        <v>1</v>
      </c>
      <c r="X2473">
        <v>1</v>
      </c>
      <c r="Y2473">
        <v>1</v>
      </c>
      <c r="Z2473">
        <v>1</v>
      </c>
      <c r="AA2473">
        <v>1</v>
      </c>
      <c r="AB2473">
        <v>1</v>
      </c>
    </row>
    <row r="2474" spans="1:49" x14ac:dyDescent="0.25">
      <c r="A2474" t="str">
        <f>"2470"</f>
        <v>2470</v>
      </c>
      <c r="B2474" t="str">
        <f t="shared" si="142"/>
        <v>1</v>
      </c>
      <c r="C2474" t="str">
        <f t="shared" si="143"/>
        <v>109</v>
      </c>
      <c r="D2474" t="str">
        <f>"14"</f>
        <v>14</v>
      </c>
      <c r="E2474" t="str">
        <f>"1-109-14"</f>
        <v>1-109-14</v>
      </c>
      <c r="F2474" t="s">
        <v>83</v>
      </c>
      <c r="G2474" t="s">
        <v>84</v>
      </c>
      <c r="H2474" t="s">
        <v>92</v>
      </c>
      <c r="I2474">
        <v>1</v>
      </c>
      <c r="J2474">
        <v>1</v>
      </c>
      <c r="N2474">
        <v>1</v>
      </c>
      <c r="O2474">
        <v>1</v>
      </c>
      <c r="P2474">
        <v>1</v>
      </c>
      <c r="Q2474">
        <v>1</v>
      </c>
      <c r="R2474">
        <v>1</v>
      </c>
      <c r="S2474">
        <v>1</v>
      </c>
      <c r="T2474">
        <v>1</v>
      </c>
      <c r="W2474">
        <v>1</v>
      </c>
      <c r="X2474">
        <v>1</v>
      </c>
      <c r="Y2474">
        <v>1</v>
      </c>
      <c r="Z2474">
        <v>1</v>
      </c>
      <c r="AA2474">
        <v>1</v>
      </c>
      <c r="AB2474">
        <v>1</v>
      </c>
    </row>
    <row r="2475" spans="1:49" x14ac:dyDescent="0.25">
      <c r="A2475" t="str">
        <f>"2471"</f>
        <v>2471</v>
      </c>
      <c r="B2475" t="str">
        <f t="shared" si="142"/>
        <v>1</v>
      </c>
      <c r="C2475" t="str">
        <f t="shared" si="143"/>
        <v>109</v>
      </c>
      <c r="D2475" t="str">
        <f>"11"</f>
        <v>11</v>
      </c>
      <c r="E2475" t="str">
        <f>"1-109-11"</f>
        <v>1-109-11</v>
      </c>
      <c r="F2475" t="s">
        <v>83</v>
      </c>
      <c r="G2475" t="s">
        <v>84</v>
      </c>
      <c r="H2475" t="s">
        <v>85</v>
      </c>
      <c r="AC2475">
        <v>0</v>
      </c>
      <c r="AD2475">
        <v>1</v>
      </c>
      <c r="AE2475">
        <v>0</v>
      </c>
      <c r="AF2475">
        <v>0</v>
      </c>
      <c r="AG2475">
        <v>1</v>
      </c>
      <c r="AJ2475">
        <v>0</v>
      </c>
      <c r="AK2475">
        <v>1</v>
      </c>
      <c r="AL2475">
        <v>0</v>
      </c>
      <c r="AM2475">
        <v>0</v>
      </c>
      <c r="AN2475">
        <v>1</v>
      </c>
      <c r="AO2475">
        <v>1</v>
      </c>
      <c r="AP2475">
        <v>1</v>
      </c>
      <c r="AQ2475">
        <v>1</v>
      </c>
      <c r="AR2475">
        <v>1</v>
      </c>
      <c r="AS2475">
        <v>0</v>
      </c>
      <c r="AT2475">
        <v>1</v>
      </c>
      <c r="AV2475">
        <v>1</v>
      </c>
      <c r="AW2475">
        <v>1</v>
      </c>
    </row>
    <row r="2476" spans="1:49" x14ac:dyDescent="0.25">
      <c r="A2476" t="str">
        <f>"2472"</f>
        <v>2472</v>
      </c>
      <c r="B2476" t="str">
        <f t="shared" si="142"/>
        <v>1</v>
      </c>
      <c r="C2476" t="str">
        <f t="shared" si="143"/>
        <v>109</v>
      </c>
      <c r="D2476" t="str">
        <f>"8"</f>
        <v>8</v>
      </c>
      <c r="E2476" t="str">
        <f>"1-109-8"</f>
        <v>1-109-8</v>
      </c>
      <c r="F2476" t="s">
        <v>83</v>
      </c>
      <c r="G2476" t="s">
        <v>84</v>
      </c>
      <c r="H2476" t="s">
        <v>92</v>
      </c>
      <c r="I2476">
        <v>1</v>
      </c>
      <c r="J2476">
        <v>1</v>
      </c>
      <c r="N2476">
        <v>1</v>
      </c>
      <c r="O2476">
        <v>1</v>
      </c>
      <c r="P2476">
        <v>1</v>
      </c>
      <c r="Q2476">
        <v>1</v>
      </c>
      <c r="R2476">
        <v>1</v>
      </c>
      <c r="S2476">
        <v>1</v>
      </c>
      <c r="T2476">
        <v>1</v>
      </c>
      <c r="W2476">
        <v>1</v>
      </c>
      <c r="X2476">
        <v>1</v>
      </c>
      <c r="Y2476">
        <v>1</v>
      </c>
      <c r="Z2476">
        <v>1</v>
      </c>
      <c r="AA2476">
        <v>1</v>
      </c>
      <c r="AB2476">
        <v>1</v>
      </c>
    </row>
    <row r="2477" spans="1:49" x14ac:dyDescent="0.25">
      <c r="A2477" t="str">
        <f>"2473"</f>
        <v>2473</v>
      </c>
      <c r="B2477" t="str">
        <f t="shared" si="142"/>
        <v>1</v>
      </c>
      <c r="C2477" t="str">
        <f t="shared" si="143"/>
        <v>109</v>
      </c>
      <c r="D2477" t="str">
        <f>"1"</f>
        <v>1</v>
      </c>
      <c r="E2477" t="str">
        <f>"1-109-1"</f>
        <v>1-109-1</v>
      </c>
      <c r="F2477" t="s">
        <v>83</v>
      </c>
      <c r="G2477" t="s">
        <v>84</v>
      </c>
      <c r="H2477" t="s">
        <v>92</v>
      </c>
      <c r="I2477">
        <v>1</v>
      </c>
      <c r="J2477">
        <v>1</v>
      </c>
      <c r="N2477">
        <v>1</v>
      </c>
      <c r="O2477">
        <v>1</v>
      </c>
      <c r="P2477">
        <v>1</v>
      </c>
      <c r="Q2477">
        <v>1</v>
      </c>
      <c r="R2477">
        <v>1</v>
      </c>
      <c r="S2477">
        <v>1</v>
      </c>
      <c r="T2477">
        <v>1</v>
      </c>
      <c r="W2477">
        <v>1</v>
      </c>
      <c r="X2477">
        <v>1</v>
      </c>
      <c r="Y2477">
        <v>1</v>
      </c>
      <c r="Z2477">
        <v>1</v>
      </c>
      <c r="AA2477">
        <v>1</v>
      </c>
      <c r="AB2477">
        <v>1</v>
      </c>
    </row>
    <row r="2478" spans="1:49" x14ac:dyDescent="0.25">
      <c r="A2478" t="str">
        <f>"2474"</f>
        <v>2474</v>
      </c>
      <c r="B2478" t="str">
        <f t="shared" si="142"/>
        <v>1</v>
      </c>
      <c r="C2478" t="str">
        <f t="shared" si="143"/>
        <v>109</v>
      </c>
      <c r="D2478" t="str">
        <f>"23"</f>
        <v>23</v>
      </c>
      <c r="E2478" t="str">
        <f>"1-109-23"</f>
        <v>1-109-23</v>
      </c>
      <c r="F2478" t="s">
        <v>83</v>
      </c>
      <c r="G2478" t="s">
        <v>84</v>
      </c>
      <c r="H2478" t="s">
        <v>92</v>
      </c>
      <c r="I2478">
        <v>1</v>
      </c>
      <c r="J2478">
        <v>1</v>
      </c>
      <c r="N2478">
        <v>1</v>
      </c>
      <c r="O2478">
        <v>1</v>
      </c>
      <c r="P2478">
        <v>1</v>
      </c>
      <c r="Q2478">
        <v>1</v>
      </c>
      <c r="R2478">
        <v>1</v>
      </c>
      <c r="S2478">
        <v>1</v>
      </c>
      <c r="T2478">
        <v>1</v>
      </c>
      <c r="W2478">
        <v>1</v>
      </c>
      <c r="X2478">
        <v>1</v>
      </c>
      <c r="Y2478">
        <v>1</v>
      </c>
      <c r="Z2478">
        <v>1</v>
      </c>
      <c r="AA2478">
        <v>1</v>
      </c>
      <c r="AB2478">
        <v>1</v>
      </c>
    </row>
    <row r="2479" spans="1:49" x14ac:dyDescent="0.25">
      <c r="A2479" t="str">
        <f>"2475"</f>
        <v>2475</v>
      </c>
      <c r="B2479" t="str">
        <f t="shared" si="142"/>
        <v>1</v>
      </c>
      <c r="C2479" t="str">
        <f t="shared" si="143"/>
        <v>109</v>
      </c>
      <c r="D2479" t="str">
        <f>"22"</f>
        <v>22</v>
      </c>
      <c r="E2479" t="str">
        <f>"1-109-22"</f>
        <v>1-109-22</v>
      </c>
      <c r="F2479" t="s">
        <v>83</v>
      </c>
      <c r="G2479" t="s">
        <v>84</v>
      </c>
      <c r="H2479" t="s">
        <v>85</v>
      </c>
      <c r="AC2479">
        <v>1</v>
      </c>
      <c r="AD2479">
        <v>0</v>
      </c>
      <c r="AE2479">
        <v>0</v>
      </c>
      <c r="AF2479">
        <v>0</v>
      </c>
      <c r="AG2479">
        <v>1</v>
      </c>
      <c r="AJ2479">
        <v>0</v>
      </c>
      <c r="AK2479">
        <v>1</v>
      </c>
      <c r="AL2479">
        <v>0</v>
      </c>
      <c r="AM2479">
        <v>1</v>
      </c>
      <c r="AN2479">
        <v>0</v>
      </c>
      <c r="AO2479">
        <v>1</v>
      </c>
      <c r="AP2479">
        <v>1</v>
      </c>
      <c r="AQ2479">
        <v>1</v>
      </c>
      <c r="AR2479">
        <v>1</v>
      </c>
      <c r="AS2479">
        <v>1</v>
      </c>
      <c r="AT2479">
        <v>0</v>
      </c>
      <c r="AV2479">
        <v>1</v>
      </c>
      <c r="AW2479">
        <v>1</v>
      </c>
    </row>
    <row r="2480" spans="1:49" x14ac:dyDescent="0.25">
      <c r="A2480" t="str">
        <f>"2476"</f>
        <v>2476</v>
      </c>
      <c r="B2480" t="str">
        <f t="shared" si="142"/>
        <v>1</v>
      </c>
      <c r="C2480" t="str">
        <f t="shared" si="143"/>
        <v>109</v>
      </c>
      <c r="D2480" t="str">
        <f>"16"</f>
        <v>16</v>
      </c>
      <c r="E2480" t="str">
        <f>"1-109-16"</f>
        <v>1-109-16</v>
      </c>
      <c r="F2480" t="s">
        <v>83</v>
      </c>
      <c r="G2480" t="s">
        <v>84</v>
      </c>
      <c r="H2480" t="s">
        <v>92</v>
      </c>
      <c r="I2480">
        <v>1</v>
      </c>
      <c r="J2480">
        <v>1</v>
      </c>
      <c r="N2480">
        <v>1</v>
      </c>
      <c r="O2480">
        <v>1</v>
      </c>
      <c r="P2480">
        <v>1</v>
      </c>
      <c r="Q2480">
        <v>1</v>
      </c>
      <c r="R2480">
        <v>1</v>
      </c>
      <c r="S2480">
        <v>1</v>
      </c>
      <c r="T2480">
        <v>1</v>
      </c>
      <c r="W2480">
        <v>1</v>
      </c>
      <c r="X2480">
        <v>1</v>
      </c>
      <c r="Y2480">
        <v>1</v>
      </c>
      <c r="Z2480">
        <v>1</v>
      </c>
      <c r="AA2480">
        <v>1</v>
      </c>
      <c r="AB2480">
        <v>1</v>
      </c>
    </row>
    <row r="2481" spans="1:49" x14ac:dyDescent="0.25">
      <c r="A2481" t="str">
        <f>"2477"</f>
        <v>2477</v>
      </c>
      <c r="B2481" t="str">
        <f t="shared" si="142"/>
        <v>1</v>
      </c>
      <c r="C2481" t="str">
        <f t="shared" si="143"/>
        <v>109</v>
      </c>
      <c r="D2481" t="str">
        <f>"9"</f>
        <v>9</v>
      </c>
      <c r="E2481" t="str">
        <f>"1-109-9"</f>
        <v>1-109-9</v>
      </c>
      <c r="F2481" t="s">
        <v>83</v>
      </c>
      <c r="G2481" t="s">
        <v>84</v>
      </c>
      <c r="H2481" t="s">
        <v>92</v>
      </c>
      <c r="I2481">
        <v>1</v>
      </c>
      <c r="J2481">
        <v>1</v>
      </c>
      <c r="N2481">
        <v>1</v>
      </c>
      <c r="O2481">
        <v>1</v>
      </c>
      <c r="P2481">
        <v>1</v>
      </c>
      <c r="Q2481">
        <v>1</v>
      </c>
      <c r="R2481">
        <v>1</v>
      </c>
      <c r="S2481">
        <v>1</v>
      </c>
      <c r="T2481">
        <v>1</v>
      </c>
      <c r="W2481">
        <v>1</v>
      </c>
      <c r="X2481">
        <v>1</v>
      </c>
      <c r="Y2481">
        <v>1</v>
      </c>
      <c r="Z2481">
        <v>1</v>
      </c>
      <c r="AA2481">
        <v>1</v>
      </c>
      <c r="AB2481">
        <v>1</v>
      </c>
    </row>
    <row r="2482" spans="1:49" x14ac:dyDescent="0.25">
      <c r="A2482" t="str">
        <f>"2478"</f>
        <v>2478</v>
      </c>
      <c r="B2482" t="str">
        <f t="shared" si="142"/>
        <v>1</v>
      </c>
      <c r="C2482" t="str">
        <f t="shared" si="143"/>
        <v>109</v>
      </c>
      <c r="D2482" t="str">
        <f>"3"</f>
        <v>3</v>
      </c>
      <c r="E2482" t="str">
        <f>"1-109-3"</f>
        <v>1-109-3</v>
      </c>
      <c r="F2482" t="s">
        <v>83</v>
      </c>
      <c r="G2482" t="s">
        <v>84</v>
      </c>
      <c r="H2482" t="s">
        <v>92</v>
      </c>
      <c r="I2482">
        <v>1</v>
      </c>
      <c r="J2482">
        <v>1</v>
      </c>
      <c r="N2482">
        <v>1</v>
      </c>
      <c r="O2482">
        <v>1</v>
      </c>
      <c r="P2482">
        <v>1</v>
      </c>
      <c r="Q2482">
        <v>1</v>
      </c>
      <c r="R2482">
        <v>1</v>
      </c>
      <c r="S2482">
        <v>1</v>
      </c>
      <c r="T2482">
        <v>1</v>
      </c>
      <c r="W2482">
        <v>1</v>
      </c>
      <c r="X2482">
        <v>1</v>
      </c>
      <c r="Y2482">
        <v>1</v>
      </c>
      <c r="Z2482">
        <v>1</v>
      </c>
      <c r="AA2482">
        <v>1</v>
      </c>
      <c r="AB2482">
        <v>1</v>
      </c>
    </row>
    <row r="2483" spans="1:49" x14ac:dyDescent="0.25">
      <c r="A2483" t="str">
        <f>"2479"</f>
        <v>2479</v>
      </c>
      <c r="B2483" t="str">
        <f t="shared" si="142"/>
        <v>1</v>
      </c>
      <c r="C2483" t="str">
        <f t="shared" si="143"/>
        <v>109</v>
      </c>
      <c r="D2483" t="str">
        <f>"24"</f>
        <v>24</v>
      </c>
      <c r="E2483" t="str">
        <f>"1-109-24"</f>
        <v>1-109-24</v>
      </c>
      <c r="F2483" t="s">
        <v>83</v>
      </c>
      <c r="G2483" t="s">
        <v>84</v>
      </c>
      <c r="H2483" t="s">
        <v>92</v>
      </c>
      <c r="I2483">
        <v>1</v>
      </c>
      <c r="J2483">
        <v>1</v>
      </c>
      <c r="N2483">
        <v>1</v>
      </c>
      <c r="O2483">
        <v>1</v>
      </c>
      <c r="P2483">
        <v>1</v>
      </c>
      <c r="Q2483">
        <v>1</v>
      </c>
      <c r="R2483">
        <v>1</v>
      </c>
      <c r="S2483">
        <v>1</v>
      </c>
      <c r="T2483">
        <v>1</v>
      </c>
      <c r="W2483">
        <v>1</v>
      </c>
      <c r="X2483">
        <v>1</v>
      </c>
      <c r="Y2483">
        <v>1</v>
      </c>
      <c r="Z2483">
        <v>1</v>
      </c>
      <c r="AA2483">
        <v>1</v>
      </c>
      <c r="AB2483">
        <v>1</v>
      </c>
    </row>
    <row r="2484" spans="1:49" x14ac:dyDescent="0.25">
      <c r="A2484" t="str">
        <f>"2480"</f>
        <v>2480</v>
      </c>
      <c r="B2484" t="str">
        <f t="shared" si="142"/>
        <v>1</v>
      </c>
      <c r="C2484" t="str">
        <f t="shared" si="143"/>
        <v>109</v>
      </c>
      <c r="D2484" t="str">
        <f>"17"</f>
        <v>17</v>
      </c>
      <c r="E2484" t="str">
        <f>"1-109-17"</f>
        <v>1-109-17</v>
      </c>
      <c r="F2484" t="s">
        <v>83</v>
      </c>
      <c r="G2484" t="s">
        <v>84</v>
      </c>
      <c r="H2484" t="s">
        <v>92</v>
      </c>
      <c r="I2484">
        <v>1</v>
      </c>
      <c r="J2484">
        <v>1</v>
      </c>
      <c r="N2484">
        <v>1</v>
      </c>
      <c r="O2484">
        <v>1</v>
      </c>
      <c r="P2484">
        <v>1</v>
      </c>
      <c r="Q2484">
        <v>1</v>
      </c>
      <c r="R2484">
        <v>1</v>
      </c>
      <c r="S2484">
        <v>1</v>
      </c>
      <c r="T2484">
        <v>1</v>
      </c>
      <c r="W2484">
        <v>1</v>
      </c>
      <c r="X2484">
        <v>1</v>
      </c>
      <c r="Y2484">
        <v>1</v>
      </c>
      <c r="Z2484">
        <v>1</v>
      </c>
      <c r="AA2484">
        <v>1</v>
      </c>
      <c r="AB2484">
        <v>1</v>
      </c>
    </row>
    <row r="2485" spans="1:49" x14ac:dyDescent="0.25">
      <c r="A2485" t="str">
        <f>"2481"</f>
        <v>2481</v>
      </c>
      <c r="B2485" t="str">
        <f t="shared" si="142"/>
        <v>1</v>
      </c>
      <c r="C2485" t="str">
        <f t="shared" si="143"/>
        <v>109</v>
      </c>
      <c r="D2485" t="str">
        <f>"10"</f>
        <v>10</v>
      </c>
      <c r="E2485" t="str">
        <f>"1-109-10"</f>
        <v>1-109-10</v>
      </c>
      <c r="F2485" t="s">
        <v>83</v>
      </c>
      <c r="G2485" t="s">
        <v>84</v>
      </c>
      <c r="H2485" t="s">
        <v>85</v>
      </c>
      <c r="AC2485">
        <v>0</v>
      </c>
      <c r="AD2485">
        <v>1</v>
      </c>
      <c r="AE2485">
        <v>0</v>
      </c>
      <c r="AF2485">
        <v>0</v>
      </c>
      <c r="AG2485">
        <v>1</v>
      </c>
      <c r="AJ2485">
        <v>0</v>
      </c>
      <c r="AK2485">
        <v>1</v>
      </c>
      <c r="AL2485">
        <v>0</v>
      </c>
      <c r="AM2485">
        <v>0</v>
      </c>
      <c r="AN2485">
        <v>1</v>
      </c>
      <c r="AO2485">
        <v>1</v>
      </c>
      <c r="AP2485">
        <v>1</v>
      </c>
      <c r="AQ2485">
        <v>1</v>
      </c>
      <c r="AR2485">
        <v>1</v>
      </c>
      <c r="AS2485">
        <v>0</v>
      </c>
      <c r="AT2485">
        <v>1</v>
      </c>
      <c r="AV2485">
        <v>1</v>
      </c>
      <c r="AW2485">
        <v>1</v>
      </c>
    </row>
    <row r="2486" spans="1:49" x14ac:dyDescent="0.25">
      <c r="A2486" t="str">
        <f>"2482"</f>
        <v>2482</v>
      </c>
      <c r="B2486" t="str">
        <f t="shared" si="142"/>
        <v>1</v>
      </c>
      <c r="C2486" t="str">
        <f t="shared" si="143"/>
        <v>109</v>
      </c>
      <c r="D2486" t="str">
        <f>"5"</f>
        <v>5</v>
      </c>
      <c r="E2486" t="str">
        <f>"1-109-5"</f>
        <v>1-109-5</v>
      </c>
      <c r="F2486" t="s">
        <v>83</v>
      </c>
      <c r="G2486" t="s">
        <v>84</v>
      </c>
      <c r="H2486" t="s">
        <v>85</v>
      </c>
      <c r="AC2486">
        <v>0</v>
      </c>
      <c r="AD2486">
        <v>1</v>
      </c>
      <c r="AE2486">
        <v>0</v>
      </c>
      <c r="AF2486">
        <v>0</v>
      </c>
      <c r="AG2486">
        <v>0</v>
      </c>
      <c r="AJ2486">
        <v>0</v>
      </c>
      <c r="AK2486">
        <v>1</v>
      </c>
      <c r="AL2486">
        <v>0</v>
      </c>
      <c r="AM2486">
        <v>1</v>
      </c>
      <c r="AN2486">
        <v>0</v>
      </c>
      <c r="AO2486">
        <v>0</v>
      </c>
      <c r="AP2486">
        <v>0</v>
      </c>
      <c r="AQ2486">
        <v>0</v>
      </c>
      <c r="AR2486">
        <v>0</v>
      </c>
      <c r="AS2486">
        <v>0</v>
      </c>
      <c r="AT2486">
        <v>0</v>
      </c>
      <c r="AV2486">
        <v>0</v>
      </c>
      <c r="AW2486">
        <v>0</v>
      </c>
    </row>
    <row r="2487" spans="1:49" x14ac:dyDescent="0.25">
      <c r="A2487" t="str">
        <f>"2483"</f>
        <v>2483</v>
      </c>
      <c r="B2487" t="str">
        <f t="shared" si="142"/>
        <v>1</v>
      </c>
      <c r="C2487" t="str">
        <f t="shared" si="143"/>
        <v>109</v>
      </c>
      <c r="D2487" t="str">
        <f>"12"</f>
        <v>12</v>
      </c>
      <c r="E2487" t="str">
        <f>"1-109-12"</f>
        <v>1-109-12</v>
      </c>
      <c r="F2487" t="s">
        <v>83</v>
      </c>
      <c r="G2487" t="s">
        <v>84</v>
      </c>
      <c r="H2487" t="s">
        <v>85</v>
      </c>
      <c r="AC2487">
        <v>0</v>
      </c>
      <c r="AD2487">
        <v>1</v>
      </c>
      <c r="AE2487">
        <v>0</v>
      </c>
      <c r="AF2487">
        <v>0</v>
      </c>
      <c r="AG2487">
        <v>0</v>
      </c>
      <c r="AJ2487">
        <v>0</v>
      </c>
      <c r="AK2487">
        <v>1</v>
      </c>
      <c r="AL2487">
        <v>0</v>
      </c>
      <c r="AM2487">
        <v>0</v>
      </c>
      <c r="AN2487">
        <v>1</v>
      </c>
      <c r="AO2487">
        <v>0</v>
      </c>
      <c r="AP2487">
        <v>0</v>
      </c>
      <c r="AQ2487">
        <v>0</v>
      </c>
      <c r="AR2487">
        <v>0</v>
      </c>
      <c r="AS2487">
        <v>0</v>
      </c>
      <c r="AT2487">
        <v>0</v>
      </c>
      <c r="AV2487">
        <v>0</v>
      </c>
      <c r="AW2487">
        <v>0</v>
      </c>
    </row>
    <row r="2488" spans="1:49" x14ac:dyDescent="0.25">
      <c r="A2488" t="str">
        <f>"2484"</f>
        <v>2484</v>
      </c>
      <c r="B2488" t="str">
        <f t="shared" si="142"/>
        <v>1</v>
      </c>
      <c r="C2488" t="str">
        <f t="shared" si="143"/>
        <v>109</v>
      </c>
      <c r="D2488" t="str">
        <f>"4"</f>
        <v>4</v>
      </c>
      <c r="E2488" t="str">
        <f>"1-109-4"</f>
        <v>1-109-4</v>
      </c>
      <c r="F2488" t="s">
        <v>83</v>
      </c>
      <c r="G2488" t="s">
        <v>84</v>
      </c>
      <c r="H2488" t="s">
        <v>92</v>
      </c>
      <c r="I2488">
        <v>1</v>
      </c>
      <c r="J2488">
        <v>0</v>
      </c>
      <c r="N2488">
        <v>1</v>
      </c>
      <c r="O2488">
        <v>1</v>
      </c>
      <c r="P2488">
        <v>1</v>
      </c>
      <c r="Q2488">
        <v>1</v>
      </c>
      <c r="R2488">
        <v>1</v>
      </c>
      <c r="S2488">
        <v>1</v>
      </c>
      <c r="T2488">
        <v>1</v>
      </c>
      <c r="W2488">
        <v>1</v>
      </c>
      <c r="X2488">
        <v>1</v>
      </c>
      <c r="Y2488">
        <v>1</v>
      </c>
      <c r="Z2488">
        <v>1</v>
      </c>
      <c r="AA2488">
        <v>1</v>
      </c>
      <c r="AB2488">
        <v>1</v>
      </c>
    </row>
    <row r="2489" spans="1:49" x14ac:dyDescent="0.25">
      <c r="A2489" t="str">
        <f>"2485"</f>
        <v>2485</v>
      </c>
      <c r="B2489" t="str">
        <f t="shared" si="142"/>
        <v>1</v>
      </c>
      <c r="C2489" t="str">
        <f t="shared" si="143"/>
        <v>109</v>
      </c>
      <c r="D2489" t="str">
        <f>"13"</f>
        <v>13</v>
      </c>
      <c r="E2489" t="str">
        <f>"1-109-13"</f>
        <v>1-109-13</v>
      </c>
      <c r="F2489" t="s">
        <v>83</v>
      </c>
      <c r="G2489" t="s">
        <v>84</v>
      </c>
      <c r="H2489" t="s">
        <v>92</v>
      </c>
      <c r="I2489">
        <v>1</v>
      </c>
      <c r="J2489">
        <v>1</v>
      </c>
      <c r="N2489">
        <v>1</v>
      </c>
      <c r="O2489">
        <v>1</v>
      </c>
      <c r="P2489">
        <v>1</v>
      </c>
      <c r="Q2489">
        <v>1</v>
      </c>
      <c r="R2489">
        <v>1</v>
      </c>
      <c r="S2489">
        <v>1</v>
      </c>
      <c r="T2489">
        <v>1</v>
      </c>
      <c r="W2489">
        <v>1</v>
      </c>
      <c r="X2489">
        <v>1</v>
      </c>
      <c r="Y2489">
        <v>1</v>
      </c>
      <c r="Z2489">
        <v>1</v>
      </c>
      <c r="AA2489">
        <v>1</v>
      </c>
      <c r="AB2489">
        <v>1</v>
      </c>
    </row>
    <row r="2490" spans="1:49" x14ac:dyDescent="0.25">
      <c r="A2490" t="str">
        <f>"2486"</f>
        <v>2486</v>
      </c>
      <c r="B2490" t="str">
        <f t="shared" si="142"/>
        <v>1</v>
      </c>
      <c r="C2490" t="str">
        <f t="shared" si="143"/>
        <v>109</v>
      </c>
      <c r="D2490" t="str">
        <f>"6"</f>
        <v>6</v>
      </c>
      <c r="E2490" t="str">
        <f>"1-109-6"</f>
        <v>1-109-6</v>
      </c>
      <c r="F2490" t="s">
        <v>83</v>
      </c>
      <c r="G2490" t="s">
        <v>84</v>
      </c>
      <c r="H2490" t="s">
        <v>92</v>
      </c>
      <c r="I2490">
        <v>1</v>
      </c>
      <c r="J2490">
        <v>1</v>
      </c>
      <c r="N2490">
        <v>1</v>
      </c>
      <c r="O2490">
        <v>1</v>
      </c>
      <c r="P2490">
        <v>1</v>
      </c>
      <c r="Q2490">
        <v>1</v>
      </c>
      <c r="R2490">
        <v>1</v>
      </c>
      <c r="S2490">
        <v>1</v>
      </c>
      <c r="T2490">
        <v>1</v>
      </c>
      <c r="W2490">
        <v>1</v>
      </c>
      <c r="X2490">
        <v>1</v>
      </c>
      <c r="Y2490">
        <v>1</v>
      </c>
      <c r="Z2490">
        <v>1</v>
      </c>
      <c r="AA2490">
        <v>1</v>
      </c>
      <c r="AB2490">
        <v>1</v>
      </c>
    </row>
    <row r="2491" spans="1:49" x14ac:dyDescent="0.25">
      <c r="A2491" t="str">
        <f>"2487"</f>
        <v>2487</v>
      </c>
      <c r="B2491" t="str">
        <f t="shared" si="142"/>
        <v>1</v>
      </c>
      <c r="C2491" t="str">
        <f t="shared" si="143"/>
        <v>109</v>
      </c>
      <c r="D2491" t="str">
        <f>"18"</f>
        <v>18</v>
      </c>
      <c r="E2491" t="str">
        <f>"1-109-18"</f>
        <v>1-109-18</v>
      </c>
      <c r="F2491" t="s">
        <v>83</v>
      </c>
      <c r="G2491" t="s">
        <v>84</v>
      </c>
      <c r="H2491" t="s">
        <v>92</v>
      </c>
      <c r="I2491">
        <v>1</v>
      </c>
      <c r="J2491">
        <v>1</v>
      </c>
      <c r="N2491">
        <v>1</v>
      </c>
      <c r="O2491">
        <v>1</v>
      </c>
      <c r="P2491">
        <v>1</v>
      </c>
      <c r="Q2491">
        <v>1</v>
      </c>
      <c r="R2491">
        <v>1</v>
      </c>
      <c r="S2491">
        <v>1</v>
      </c>
      <c r="T2491">
        <v>1</v>
      </c>
      <c r="W2491">
        <v>1</v>
      </c>
      <c r="X2491">
        <v>1</v>
      </c>
      <c r="Y2491">
        <v>1</v>
      </c>
      <c r="Z2491">
        <v>1</v>
      </c>
      <c r="AA2491">
        <v>1</v>
      </c>
      <c r="AB2491">
        <v>1</v>
      </c>
    </row>
    <row r="2492" spans="1:49" x14ac:dyDescent="0.25">
      <c r="A2492" t="str">
        <f>"2488"</f>
        <v>2488</v>
      </c>
      <c r="B2492" t="str">
        <f t="shared" si="142"/>
        <v>1</v>
      </c>
      <c r="C2492" t="str">
        <f t="shared" si="143"/>
        <v>109</v>
      </c>
      <c r="D2492" t="str">
        <f>"2"</f>
        <v>2</v>
      </c>
      <c r="E2492" t="str">
        <f>"1-109-2"</f>
        <v>1-109-2</v>
      </c>
      <c r="F2492" t="s">
        <v>83</v>
      </c>
      <c r="G2492" t="s">
        <v>84</v>
      </c>
      <c r="H2492" t="s">
        <v>92</v>
      </c>
      <c r="I2492">
        <v>1</v>
      </c>
      <c r="J2492">
        <v>1</v>
      </c>
      <c r="N2492">
        <v>1</v>
      </c>
      <c r="O2492">
        <v>1</v>
      </c>
      <c r="P2492">
        <v>1</v>
      </c>
      <c r="Q2492">
        <v>1</v>
      </c>
      <c r="R2492">
        <v>1</v>
      </c>
      <c r="S2492">
        <v>1</v>
      </c>
      <c r="T2492">
        <v>1</v>
      </c>
      <c r="W2492">
        <v>1</v>
      </c>
      <c r="X2492">
        <v>1</v>
      </c>
      <c r="Y2492">
        <v>1</v>
      </c>
      <c r="Z2492">
        <v>1</v>
      </c>
      <c r="AA2492">
        <v>1</v>
      </c>
      <c r="AB2492">
        <v>1</v>
      </c>
    </row>
    <row r="2493" spans="1:49" x14ac:dyDescent="0.25">
      <c r="A2493" t="str">
        <f>"2489"</f>
        <v>2489</v>
      </c>
      <c r="B2493" t="str">
        <f t="shared" si="142"/>
        <v>1</v>
      </c>
      <c r="C2493" t="str">
        <f t="shared" si="143"/>
        <v>109</v>
      </c>
      <c r="D2493" t="str">
        <f>"19"</f>
        <v>19</v>
      </c>
      <c r="E2493" t="str">
        <f>"1-109-19"</f>
        <v>1-109-19</v>
      </c>
      <c r="F2493" t="s">
        <v>83</v>
      </c>
      <c r="G2493" t="s">
        <v>84</v>
      </c>
      <c r="H2493" t="s">
        <v>92</v>
      </c>
      <c r="I2493">
        <v>1</v>
      </c>
      <c r="J2493">
        <v>1</v>
      </c>
      <c r="N2493">
        <v>1</v>
      </c>
      <c r="O2493">
        <v>1</v>
      </c>
      <c r="P2493">
        <v>1</v>
      </c>
      <c r="Q2493">
        <v>1</v>
      </c>
      <c r="R2493">
        <v>1</v>
      </c>
      <c r="S2493">
        <v>1</v>
      </c>
      <c r="T2493">
        <v>1</v>
      </c>
      <c r="W2493">
        <v>1</v>
      </c>
      <c r="X2493">
        <v>1</v>
      </c>
      <c r="Y2493">
        <v>1</v>
      </c>
      <c r="Z2493">
        <v>1</v>
      </c>
      <c r="AA2493">
        <v>1</v>
      </c>
      <c r="AB2493">
        <v>1</v>
      </c>
    </row>
    <row r="2494" spans="1:49" x14ac:dyDescent="0.25">
      <c r="A2494" t="str">
        <f>"2490"</f>
        <v>2490</v>
      </c>
      <c r="B2494" t="str">
        <f t="shared" si="142"/>
        <v>1</v>
      </c>
      <c r="C2494" t="str">
        <f t="shared" si="143"/>
        <v>109</v>
      </c>
      <c r="D2494" t="str">
        <f>"7"</f>
        <v>7</v>
      </c>
      <c r="E2494" t="str">
        <f>"1-109-7"</f>
        <v>1-109-7</v>
      </c>
      <c r="F2494" t="s">
        <v>83</v>
      </c>
      <c r="G2494" t="s">
        <v>84</v>
      </c>
      <c r="H2494" t="s">
        <v>85</v>
      </c>
      <c r="AC2494">
        <v>0</v>
      </c>
      <c r="AD2494">
        <v>1</v>
      </c>
      <c r="AE2494">
        <v>0</v>
      </c>
      <c r="AF2494">
        <v>0</v>
      </c>
      <c r="AG2494">
        <v>1</v>
      </c>
      <c r="AJ2494">
        <v>1</v>
      </c>
      <c r="AK2494">
        <v>0</v>
      </c>
      <c r="AL2494">
        <v>1</v>
      </c>
      <c r="AM2494">
        <v>0</v>
      </c>
      <c r="AN2494">
        <v>0</v>
      </c>
      <c r="AO2494">
        <v>1</v>
      </c>
      <c r="AP2494">
        <v>1</v>
      </c>
      <c r="AQ2494">
        <v>1</v>
      </c>
      <c r="AR2494">
        <v>1</v>
      </c>
      <c r="AS2494">
        <v>1</v>
      </c>
      <c r="AT2494">
        <v>0</v>
      </c>
      <c r="AV2494">
        <v>1</v>
      </c>
      <c r="AW2494">
        <v>1</v>
      </c>
    </row>
    <row r="2495" spans="1:49" x14ac:dyDescent="0.25">
      <c r="A2495" t="str">
        <f>"2491"</f>
        <v>2491</v>
      </c>
      <c r="B2495" t="str">
        <f t="shared" si="142"/>
        <v>1</v>
      </c>
      <c r="C2495" t="str">
        <f t="shared" ref="C2495:C2519" si="144">"110"</f>
        <v>110</v>
      </c>
      <c r="D2495" t="str">
        <f>"19"</f>
        <v>19</v>
      </c>
      <c r="E2495" t="str">
        <f>"1-110-19"</f>
        <v>1-110-19</v>
      </c>
      <c r="F2495" t="s">
        <v>83</v>
      </c>
      <c r="G2495" t="s">
        <v>84</v>
      </c>
      <c r="H2495" t="s">
        <v>92</v>
      </c>
      <c r="I2495">
        <v>1</v>
      </c>
      <c r="J2495">
        <v>1</v>
      </c>
      <c r="N2495">
        <v>1</v>
      </c>
      <c r="O2495">
        <v>1</v>
      </c>
      <c r="P2495">
        <v>1</v>
      </c>
      <c r="Q2495">
        <v>1</v>
      </c>
      <c r="R2495">
        <v>1</v>
      </c>
      <c r="S2495">
        <v>1</v>
      </c>
      <c r="T2495">
        <v>1</v>
      </c>
      <c r="W2495">
        <v>1</v>
      </c>
      <c r="X2495">
        <v>1</v>
      </c>
      <c r="Y2495">
        <v>1</v>
      </c>
      <c r="Z2495">
        <v>1</v>
      </c>
      <c r="AA2495">
        <v>1</v>
      </c>
      <c r="AB2495">
        <v>1</v>
      </c>
    </row>
    <row r="2496" spans="1:49" x14ac:dyDescent="0.25">
      <c r="A2496" t="str">
        <f>"2492"</f>
        <v>2492</v>
      </c>
      <c r="B2496" t="str">
        <f t="shared" si="142"/>
        <v>1</v>
      </c>
      <c r="C2496" t="str">
        <f t="shared" si="144"/>
        <v>110</v>
      </c>
      <c r="D2496" t="str">
        <f>"18"</f>
        <v>18</v>
      </c>
      <c r="E2496" t="str">
        <f>"1-110-18"</f>
        <v>1-110-18</v>
      </c>
      <c r="F2496" t="s">
        <v>83</v>
      </c>
      <c r="G2496" t="s">
        <v>84</v>
      </c>
      <c r="H2496" t="s">
        <v>92</v>
      </c>
      <c r="I2496">
        <v>1</v>
      </c>
      <c r="J2496">
        <v>1</v>
      </c>
      <c r="N2496">
        <v>1</v>
      </c>
      <c r="O2496">
        <v>1</v>
      </c>
      <c r="P2496">
        <v>1</v>
      </c>
      <c r="Q2496">
        <v>1</v>
      </c>
      <c r="R2496">
        <v>1</v>
      </c>
      <c r="S2496">
        <v>1</v>
      </c>
      <c r="T2496">
        <v>1</v>
      </c>
      <c r="W2496">
        <v>1</v>
      </c>
      <c r="X2496">
        <v>1</v>
      </c>
      <c r="Y2496">
        <v>1</v>
      </c>
      <c r="Z2496">
        <v>1</v>
      </c>
      <c r="AA2496">
        <v>1</v>
      </c>
      <c r="AB2496">
        <v>1</v>
      </c>
    </row>
    <row r="2497" spans="1:49" x14ac:dyDescent="0.25">
      <c r="A2497" t="str">
        <f>"2493"</f>
        <v>2493</v>
      </c>
      <c r="B2497" t="str">
        <f t="shared" si="142"/>
        <v>1</v>
      </c>
      <c r="C2497" t="str">
        <f t="shared" si="144"/>
        <v>110</v>
      </c>
      <c r="D2497" t="str">
        <f>"13"</f>
        <v>13</v>
      </c>
      <c r="E2497" t="str">
        <f>"1-110-13"</f>
        <v>1-110-13</v>
      </c>
      <c r="F2497" t="s">
        <v>83</v>
      </c>
      <c r="G2497" t="s">
        <v>84</v>
      </c>
      <c r="H2497" t="s">
        <v>92</v>
      </c>
      <c r="I2497">
        <v>1</v>
      </c>
      <c r="J2497">
        <v>1</v>
      </c>
      <c r="N2497">
        <v>1</v>
      </c>
      <c r="O2497">
        <v>1</v>
      </c>
      <c r="P2497">
        <v>1</v>
      </c>
      <c r="Q2497">
        <v>1</v>
      </c>
      <c r="R2497">
        <v>1</v>
      </c>
      <c r="S2497">
        <v>1</v>
      </c>
      <c r="T2497">
        <v>1</v>
      </c>
      <c r="W2497">
        <v>1</v>
      </c>
      <c r="X2497">
        <v>1</v>
      </c>
      <c r="Y2497">
        <v>1</v>
      </c>
      <c r="Z2497">
        <v>1</v>
      </c>
      <c r="AA2497">
        <v>1</v>
      </c>
      <c r="AB2497">
        <v>1</v>
      </c>
    </row>
    <row r="2498" spans="1:49" x14ac:dyDescent="0.25">
      <c r="A2498" t="str">
        <f>"2494"</f>
        <v>2494</v>
      </c>
      <c r="B2498" t="str">
        <f t="shared" si="142"/>
        <v>1</v>
      </c>
      <c r="C2498" t="str">
        <f t="shared" si="144"/>
        <v>110</v>
      </c>
      <c r="D2498" t="str">
        <f>"8"</f>
        <v>8</v>
      </c>
      <c r="E2498" t="str">
        <f>"1-110-8"</f>
        <v>1-110-8</v>
      </c>
      <c r="F2498" t="s">
        <v>83</v>
      </c>
      <c r="G2498" t="s">
        <v>84</v>
      </c>
      <c r="H2498" t="s">
        <v>92</v>
      </c>
      <c r="I2498">
        <v>1</v>
      </c>
      <c r="J2498">
        <v>1</v>
      </c>
      <c r="N2498">
        <v>1</v>
      </c>
      <c r="O2498">
        <v>1</v>
      </c>
      <c r="P2498">
        <v>1</v>
      </c>
      <c r="Q2498">
        <v>1</v>
      </c>
      <c r="R2498">
        <v>1</v>
      </c>
      <c r="S2498">
        <v>1</v>
      </c>
      <c r="T2498">
        <v>1</v>
      </c>
      <c r="W2498">
        <v>1</v>
      </c>
      <c r="X2498">
        <v>1</v>
      </c>
      <c r="Y2498">
        <v>1</v>
      </c>
      <c r="Z2498">
        <v>1</v>
      </c>
      <c r="AA2498">
        <v>1</v>
      </c>
      <c r="AB2498">
        <v>1</v>
      </c>
    </row>
    <row r="2499" spans="1:49" x14ac:dyDescent="0.25">
      <c r="A2499" t="str">
        <f>"2495"</f>
        <v>2495</v>
      </c>
      <c r="B2499" t="str">
        <f t="shared" si="142"/>
        <v>1</v>
      </c>
      <c r="C2499" t="str">
        <f t="shared" si="144"/>
        <v>110</v>
      </c>
      <c r="D2499" t="str">
        <f>"3"</f>
        <v>3</v>
      </c>
      <c r="E2499" t="str">
        <f>"1-110-3"</f>
        <v>1-110-3</v>
      </c>
      <c r="F2499" t="s">
        <v>83</v>
      </c>
      <c r="G2499" t="s">
        <v>84</v>
      </c>
      <c r="H2499" t="s">
        <v>85</v>
      </c>
      <c r="AC2499">
        <v>0</v>
      </c>
      <c r="AD2499">
        <v>1</v>
      </c>
      <c r="AE2499">
        <v>0</v>
      </c>
      <c r="AF2499">
        <v>0</v>
      </c>
      <c r="AG2499">
        <v>1</v>
      </c>
      <c r="AJ2499">
        <v>0</v>
      </c>
      <c r="AK2499">
        <v>1</v>
      </c>
      <c r="AL2499">
        <v>0</v>
      </c>
      <c r="AM2499">
        <v>0</v>
      </c>
      <c r="AN2499">
        <v>1</v>
      </c>
      <c r="AO2499">
        <v>1</v>
      </c>
      <c r="AP2499">
        <v>1</v>
      </c>
      <c r="AQ2499">
        <v>1</v>
      </c>
      <c r="AR2499">
        <v>1</v>
      </c>
      <c r="AS2499">
        <v>0</v>
      </c>
      <c r="AT2499">
        <v>1</v>
      </c>
      <c r="AV2499">
        <v>1</v>
      </c>
      <c r="AW2499">
        <v>1</v>
      </c>
    </row>
    <row r="2500" spans="1:49" x14ac:dyDescent="0.25">
      <c r="A2500" t="str">
        <f>"2496"</f>
        <v>2496</v>
      </c>
      <c r="B2500" t="str">
        <f t="shared" si="142"/>
        <v>1</v>
      </c>
      <c r="C2500" t="str">
        <f t="shared" si="144"/>
        <v>110</v>
      </c>
      <c r="D2500" t="str">
        <f>"23"</f>
        <v>23</v>
      </c>
      <c r="E2500" t="str">
        <f>"1-110-23"</f>
        <v>1-110-23</v>
      </c>
      <c r="F2500" t="s">
        <v>83</v>
      </c>
      <c r="G2500" t="s">
        <v>84</v>
      </c>
      <c r="H2500" t="s">
        <v>92</v>
      </c>
      <c r="I2500">
        <v>1</v>
      </c>
      <c r="J2500">
        <v>1</v>
      </c>
      <c r="N2500">
        <v>1</v>
      </c>
      <c r="O2500">
        <v>1</v>
      </c>
      <c r="P2500">
        <v>1</v>
      </c>
      <c r="Q2500">
        <v>1</v>
      </c>
      <c r="R2500">
        <v>1</v>
      </c>
      <c r="S2500">
        <v>1</v>
      </c>
      <c r="T2500">
        <v>1</v>
      </c>
      <c r="W2500">
        <v>1</v>
      </c>
      <c r="X2500">
        <v>1</v>
      </c>
      <c r="Y2500">
        <v>1</v>
      </c>
      <c r="Z2500">
        <v>1</v>
      </c>
      <c r="AA2500">
        <v>1</v>
      </c>
      <c r="AB2500">
        <v>1</v>
      </c>
    </row>
    <row r="2501" spans="1:49" x14ac:dyDescent="0.25">
      <c r="A2501" t="str">
        <f>"2497"</f>
        <v>2497</v>
      </c>
      <c r="B2501" t="str">
        <f t="shared" si="142"/>
        <v>1</v>
      </c>
      <c r="C2501" t="str">
        <f t="shared" si="144"/>
        <v>110</v>
      </c>
      <c r="D2501" t="str">
        <f>"22"</f>
        <v>22</v>
      </c>
      <c r="E2501" t="str">
        <f>"1-110-22"</f>
        <v>1-110-22</v>
      </c>
      <c r="F2501" t="s">
        <v>83</v>
      </c>
      <c r="G2501" t="s">
        <v>84</v>
      </c>
      <c r="H2501" t="s">
        <v>85</v>
      </c>
      <c r="AC2501">
        <v>0</v>
      </c>
      <c r="AD2501">
        <v>1</v>
      </c>
      <c r="AE2501">
        <v>0</v>
      </c>
      <c r="AF2501">
        <v>0</v>
      </c>
      <c r="AG2501">
        <v>0</v>
      </c>
      <c r="AJ2501">
        <v>0</v>
      </c>
      <c r="AK2501">
        <v>1</v>
      </c>
      <c r="AL2501">
        <v>0</v>
      </c>
      <c r="AM2501">
        <v>0</v>
      </c>
      <c r="AN2501">
        <v>1</v>
      </c>
      <c r="AO2501">
        <v>0</v>
      </c>
      <c r="AP2501">
        <v>0</v>
      </c>
      <c r="AQ2501">
        <v>0</v>
      </c>
      <c r="AR2501">
        <v>0</v>
      </c>
      <c r="AS2501">
        <v>0</v>
      </c>
      <c r="AT2501">
        <v>1</v>
      </c>
      <c r="AV2501">
        <v>0</v>
      </c>
      <c r="AW2501">
        <v>0</v>
      </c>
    </row>
    <row r="2502" spans="1:49" x14ac:dyDescent="0.25">
      <c r="A2502" t="str">
        <f>"2498"</f>
        <v>2498</v>
      </c>
      <c r="B2502" t="str">
        <f t="shared" si="142"/>
        <v>1</v>
      </c>
      <c r="C2502" t="str">
        <f t="shared" si="144"/>
        <v>110</v>
      </c>
      <c r="D2502" t="str">
        <f>"14"</f>
        <v>14</v>
      </c>
      <c r="E2502" t="str">
        <f>"1-110-14"</f>
        <v>1-110-14</v>
      </c>
      <c r="F2502" t="s">
        <v>83</v>
      </c>
      <c r="G2502" t="s">
        <v>84</v>
      </c>
      <c r="H2502" t="s">
        <v>85</v>
      </c>
      <c r="AC2502">
        <v>0</v>
      </c>
      <c r="AD2502">
        <v>1</v>
      </c>
      <c r="AE2502">
        <v>0</v>
      </c>
      <c r="AF2502">
        <v>0</v>
      </c>
      <c r="AG2502">
        <v>1</v>
      </c>
      <c r="AJ2502">
        <v>0</v>
      </c>
      <c r="AK2502">
        <v>1</v>
      </c>
      <c r="AL2502">
        <v>0</v>
      </c>
      <c r="AM2502">
        <v>0</v>
      </c>
      <c r="AN2502">
        <v>0</v>
      </c>
      <c r="AO2502">
        <v>1</v>
      </c>
      <c r="AP2502">
        <v>1</v>
      </c>
      <c r="AQ2502">
        <v>1</v>
      </c>
      <c r="AR2502">
        <v>1</v>
      </c>
      <c r="AS2502">
        <v>1</v>
      </c>
      <c r="AT2502">
        <v>0</v>
      </c>
      <c r="AV2502">
        <v>1</v>
      </c>
      <c r="AW2502">
        <v>1</v>
      </c>
    </row>
    <row r="2503" spans="1:49" x14ac:dyDescent="0.25">
      <c r="A2503" t="str">
        <f>"2499"</f>
        <v>2499</v>
      </c>
      <c r="B2503" t="str">
        <f t="shared" si="142"/>
        <v>1</v>
      </c>
      <c r="C2503" t="str">
        <f t="shared" si="144"/>
        <v>110</v>
      </c>
      <c r="D2503" t="str">
        <f>"9"</f>
        <v>9</v>
      </c>
      <c r="E2503" t="str">
        <f>"1-110-9"</f>
        <v>1-110-9</v>
      </c>
      <c r="F2503" t="s">
        <v>83</v>
      </c>
      <c r="G2503" t="s">
        <v>84</v>
      </c>
      <c r="H2503" t="s">
        <v>92</v>
      </c>
      <c r="I2503">
        <v>1</v>
      </c>
      <c r="J2503">
        <v>1</v>
      </c>
      <c r="N2503">
        <v>1</v>
      </c>
      <c r="O2503">
        <v>1</v>
      </c>
      <c r="P2503">
        <v>1</v>
      </c>
      <c r="Q2503">
        <v>1</v>
      </c>
      <c r="R2503">
        <v>1</v>
      </c>
      <c r="S2503">
        <v>1</v>
      </c>
      <c r="T2503">
        <v>1</v>
      </c>
      <c r="W2503">
        <v>1</v>
      </c>
      <c r="X2503">
        <v>1</v>
      </c>
      <c r="Y2503">
        <v>1</v>
      </c>
      <c r="Z2503">
        <v>1</v>
      </c>
      <c r="AA2503">
        <v>1</v>
      </c>
      <c r="AB2503">
        <v>1</v>
      </c>
    </row>
    <row r="2504" spans="1:49" x14ac:dyDescent="0.25">
      <c r="A2504" t="str">
        <f>"2500"</f>
        <v>2500</v>
      </c>
      <c r="B2504" t="str">
        <f t="shared" si="142"/>
        <v>1</v>
      </c>
      <c r="C2504" t="str">
        <f t="shared" si="144"/>
        <v>110</v>
      </c>
      <c r="D2504" t="str">
        <f>"5"</f>
        <v>5</v>
      </c>
      <c r="E2504" t="str">
        <f>"1-110-5"</f>
        <v>1-110-5</v>
      </c>
      <c r="F2504" t="s">
        <v>83</v>
      </c>
      <c r="G2504" t="s">
        <v>84</v>
      </c>
      <c r="H2504" t="s">
        <v>85</v>
      </c>
      <c r="AC2504">
        <v>0</v>
      </c>
      <c r="AD2504">
        <v>1</v>
      </c>
      <c r="AE2504">
        <v>0</v>
      </c>
      <c r="AF2504">
        <v>0</v>
      </c>
      <c r="AG2504">
        <v>0</v>
      </c>
      <c r="AJ2504">
        <v>0</v>
      </c>
      <c r="AK2504">
        <v>1</v>
      </c>
      <c r="AL2504">
        <v>0</v>
      </c>
      <c r="AM2504">
        <v>0</v>
      </c>
      <c r="AN2504">
        <v>1</v>
      </c>
      <c r="AO2504">
        <v>0</v>
      </c>
      <c r="AP2504">
        <v>0</v>
      </c>
      <c r="AQ2504">
        <v>0</v>
      </c>
      <c r="AR2504">
        <v>0</v>
      </c>
      <c r="AS2504">
        <v>0</v>
      </c>
      <c r="AT2504">
        <v>1</v>
      </c>
      <c r="AV2504">
        <v>0</v>
      </c>
      <c r="AW2504">
        <v>1</v>
      </c>
    </row>
    <row r="2505" spans="1:49" x14ac:dyDescent="0.25">
      <c r="A2505" t="str">
        <f>"2501"</f>
        <v>2501</v>
      </c>
      <c r="B2505" t="str">
        <f t="shared" si="142"/>
        <v>1</v>
      </c>
      <c r="C2505" t="str">
        <f t="shared" si="144"/>
        <v>110</v>
      </c>
      <c r="D2505" t="str">
        <f>"25"</f>
        <v>25</v>
      </c>
      <c r="E2505" t="str">
        <f>"1-110-25"</f>
        <v>1-110-25</v>
      </c>
      <c r="F2505" t="s">
        <v>83</v>
      </c>
      <c r="G2505" t="s">
        <v>84</v>
      </c>
      <c r="H2505" t="s">
        <v>85</v>
      </c>
      <c r="AC2505">
        <v>0</v>
      </c>
      <c r="AD2505">
        <v>1</v>
      </c>
      <c r="AE2505">
        <v>0</v>
      </c>
      <c r="AF2505">
        <v>0</v>
      </c>
      <c r="AG2505">
        <v>0</v>
      </c>
      <c r="AJ2505">
        <v>0</v>
      </c>
      <c r="AK2505">
        <v>1</v>
      </c>
      <c r="AL2505">
        <v>0</v>
      </c>
      <c r="AM2505">
        <v>0</v>
      </c>
      <c r="AN2505">
        <v>1</v>
      </c>
      <c r="AO2505">
        <v>0</v>
      </c>
      <c r="AP2505">
        <v>0</v>
      </c>
      <c r="AQ2505">
        <v>0</v>
      </c>
      <c r="AR2505">
        <v>0</v>
      </c>
      <c r="AS2505">
        <v>1</v>
      </c>
      <c r="AT2505">
        <v>0</v>
      </c>
      <c r="AV2505">
        <v>0</v>
      </c>
      <c r="AW2505">
        <v>0</v>
      </c>
    </row>
    <row r="2506" spans="1:49" x14ac:dyDescent="0.25">
      <c r="A2506" t="str">
        <f>"2502"</f>
        <v>2502</v>
      </c>
      <c r="B2506" t="str">
        <f t="shared" si="142"/>
        <v>1</v>
      </c>
      <c r="C2506" t="str">
        <f t="shared" si="144"/>
        <v>110</v>
      </c>
      <c r="D2506" t="str">
        <f>"24"</f>
        <v>24</v>
      </c>
      <c r="E2506" t="str">
        <f>"1-110-24"</f>
        <v>1-110-24</v>
      </c>
      <c r="F2506" t="s">
        <v>83</v>
      </c>
      <c r="G2506" t="s">
        <v>84</v>
      </c>
      <c r="H2506" t="s">
        <v>92</v>
      </c>
      <c r="I2506">
        <v>1</v>
      </c>
      <c r="J2506">
        <v>1</v>
      </c>
      <c r="N2506">
        <v>1</v>
      </c>
      <c r="O2506">
        <v>1</v>
      </c>
      <c r="P2506">
        <v>1</v>
      </c>
      <c r="Q2506">
        <v>1</v>
      </c>
      <c r="R2506">
        <v>1</v>
      </c>
      <c r="S2506">
        <v>1</v>
      </c>
      <c r="T2506">
        <v>1</v>
      </c>
      <c r="W2506">
        <v>1</v>
      </c>
      <c r="X2506">
        <v>1</v>
      </c>
      <c r="Y2506">
        <v>1</v>
      </c>
      <c r="Z2506">
        <v>1</v>
      </c>
      <c r="AA2506">
        <v>1</v>
      </c>
      <c r="AB2506">
        <v>1</v>
      </c>
    </row>
    <row r="2507" spans="1:49" x14ac:dyDescent="0.25">
      <c r="A2507" t="str">
        <f>"2503"</f>
        <v>2503</v>
      </c>
      <c r="B2507" t="str">
        <f t="shared" si="142"/>
        <v>1</v>
      </c>
      <c r="C2507" t="str">
        <f t="shared" si="144"/>
        <v>110</v>
      </c>
      <c r="D2507" t="str">
        <f>"15"</f>
        <v>15</v>
      </c>
      <c r="E2507" t="str">
        <f>"1-110-15"</f>
        <v>1-110-15</v>
      </c>
      <c r="F2507" t="s">
        <v>83</v>
      </c>
      <c r="G2507" t="s">
        <v>84</v>
      </c>
      <c r="H2507" t="s">
        <v>85</v>
      </c>
      <c r="AC2507">
        <v>0</v>
      </c>
      <c r="AD2507">
        <v>1</v>
      </c>
      <c r="AE2507">
        <v>0</v>
      </c>
      <c r="AF2507">
        <v>0</v>
      </c>
      <c r="AG2507">
        <v>0</v>
      </c>
      <c r="AJ2507">
        <v>0</v>
      </c>
      <c r="AK2507">
        <v>1</v>
      </c>
      <c r="AL2507">
        <v>0</v>
      </c>
      <c r="AM2507">
        <v>0</v>
      </c>
      <c r="AN2507">
        <v>1</v>
      </c>
      <c r="AO2507">
        <v>0</v>
      </c>
      <c r="AP2507">
        <v>0</v>
      </c>
      <c r="AQ2507">
        <v>0</v>
      </c>
      <c r="AR2507">
        <v>0</v>
      </c>
      <c r="AS2507">
        <v>0</v>
      </c>
      <c r="AT2507">
        <v>1</v>
      </c>
      <c r="AV2507">
        <v>0</v>
      </c>
      <c r="AW2507">
        <v>0</v>
      </c>
    </row>
    <row r="2508" spans="1:49" x14ac:dyDescent="0.25">
      <c r="A2508" t="str">
        <f>"2504"</f>
        <v>2504</v>
      </c>
      <c r="B2508" t="str">
        <f t="shared" si="142"/>
        <v>1</v>
      </c>
      <c r="C2508" t="str">
        <f t="shared" si="144"/>
        <v>110</v>
      </c>
      <c r="D2508" t="str">
        <f>"10"</f>
        <v>10</v>
      </c>
      <c r="E2508" t="str">
        <f>"1-110-10"</f>
        <v>1-110-10</v>
      </c>
      <c r="F2508" t="s">
        <v>83</v>
      </c>
      <c r="G2508" t="s">
        <v>84</v>
      </c>
      <c r="H2508" t="s">
        <v>92</v>
      </c>
      <c r="I2508">
        <v>1</v>
      </c>
      <c r="J2508">
        <v>1</v>
      </c>
      <c r="N2508">
        <v>1</v>
      </c>
      <c r="O2508">
        <v>1</v>
      </c>
      <c r="P2508">
        <v>1</v>
      </c>
      <c r="Q2508">
        <v>1</v>
      </c>
      <c r="R2508">
        <v>1</v>
      </c>
      <c r="S2508">
        <v>1</v>
      </c>
      <c r="T2508">
        <v>1</v>
      </c>
      <c r="W2508">
        <v>1</v>
      </c>
      <c r="X2508">
        <v>1</v>
      </c>
      <c r="Y2508">
        <v>1</v>
      </c>
      <c r="Z2508">
        <v>1</v>
      </c>
      <c r="AA2508">
        <v>1</v>
      </c>
      <c r="AB2508">
        <v>1</v>
      </c>
    </row>
    <row r="2509" spans="1:49" x14ac:dyDescent="0.25">
      <c r="A2509" t="str">
        <f>"2505"</f>
        <v>2505</v>
      </c>
      <c r="B2509" t="str">
        <f t="shared" si="142"/>
        <v>1</v>
      </c>
      <c r="C2509" t="str">
        <f t="shared" si="144"/>
        <v>110</v>
      </c>
      <c r="D2509" t="str">
        <f>"4"</f>
        <v>4</v>
      </c>
      <c r="E2509" t="str">
        <f>"1-110-4"</f>
        <v>1-110-4</v>
      </c>
      <c r="F2509" t="s">
        <v>83</v>
      </c>
      <c r="G2509" t="s">
        <v>84</v>
      </c>
      <c r="H2509" t="s">
        <v>92</v>
      </c>
      <c r="I2509">
        <v>1</v>
      </c>
      <c r="J2509">
        <v>1</v>
      </c>
      <c r="N2509">
        <v>1</v>
      </c>
      <c r="O2509">
        <v>1</v>
      </c>
      <c r="P2509">
        <v>1</v>
      </c>
      <c r="Q2509">
        <v>1</v>
      </c>
      <c r="R2509">
        <v>1</v>
      </c>
      <c r="S2509">
        <v>1</v>
      </c>
      <c r="T2509">
        <v>1</v>
      </c>
      <c r="W2509">
        <v>1</v>
      </c>
      <c r="X2509">
        <v>1</v>
      </c>
      <c r="Y2509">
        <v>1</v>
      </c>
      <c r="Z2509">
        <v>1</v>
      </c>
      <c r="AA2509">
        <v>1</v>
      </c>
      <c r="AB2509">
        <v>1</v>
      </c>
    </row>
    <row r="2510" spans="1:49" x14ac:dyDescent="0.25">
      <c r="A2510" t="str">
        <f>"2506"</f>
        <v>2506</v>
      </c>
      <c r="B2510" t="str">
        <f t="shared" si="142"/>
        <v>1</v>
      </c>
      <c r="C2510" t="str">
        <f t="shared" si="144"/>
        <v>110</v>
      </c>
      <c r="D2510" t="str">
        <f>"16"</f>
        <v>16</v>
      </c>
      <c r="E2510" t="str">
        <f>"1-110-16"</f>
        <v>1-110-16</v>
      </c>
      <c r="F2510" t="s">
        <v>83</v>
      </c>
      <c r="G2510" t="s">
        <v>84</v>
      </c>
      <c r="H2510" t="s">
        <v>85</v>
      </c>
      <c r="AC2510">
        <v>0</v>
      </c>
      <c r="AD2510">
        <v>1</v>
      </c>
      <c r="AE2510">
        <v>0</v>
      </c>
      <c r="AF2510">
        <v>0</v>
      </c>
      <c r="AG2510">
        <v>0</v>
      </c>
      <c r="AJ2510">
        <v>0</v>
      </c>
      <c r="AK2510">
        <v>1</v>
      </c>
      <c r="AL2510">
        <v>0</v>
      </c>
      <c r="AM2510">
        <v>1</v>
      </c>
      <c r="AN2510">
        <v>0</v>
      </c>
      <c r="AO2510">
        <v>0</v>
      </c>
      <c r="AP2510">
        <v>0</v>
      </c>
      <c r="AQ2510">
        <v>0</v>
      </c>
      <c r="AR2510">
        <v>0</v>
      </c>
      <c r="AS2510">
        <v>1</v>
      </c>
      <c r="AT2510">
        <v>0</v>
      </c>
      <c r="AV2510">
        <v>0</v>
      </c>
      <c r="AW2510">
        <v>0</v>
      </c>
    </row>
    <row r="2511" spans="1:49" x14ac:dyDescent="0.25">
      <c r="A2511" t="str">
        <f>"2507"</f>
        <v>2507</v>
      </c>
      <c r="B2511" t="str">
        <f t="shared" si="142"/>
        <v>1</v>
      </c>
      <c r="C2511" t="str">
        <f t="shared" si="144"/>
        <v>110</v>
      </c>
      <c r="D2511" t="str">
        <f>"11"</f>
        <v>11</v>
      </c>
      <c r="E2511" t="str">
        <f>"1-110-11"</f>
        <v>1-110-11</v>
      </c>
      <c r="F2511" t="s">
        <v>83</v>
      </c>
      <c r="G2511" t="s">
        <v>84</v>
      </c>
      <c r="H2511" t="s">
        <v>92</v>
      </c>
      <c r="I2511">
        <v>1</v>
      </c>
      <c r="J2511">
        <v>1</v>
      </c>
      <c r="N2511">
        <v>1</v>
      </c>
      <c r="O2511">
        <v>1</v>
      </c>
      <c r="P2511">
        <v>1</v>
      </c>
      <c r="Q2511">
        <v>1</v>
      </c>
      <c r="R2511">
        <v>1</v>
      </c>
      <c r="S2511">
        <v>1</v>
      </c>
      <c r="T2511">
        <v>1</v>
      </c>
      <c r="W2511">
        <v>1</v>
      </c>
      <c r="X2511">
        <v>1</v>
      </c>
      <c r="Y2511">
        <v>1</v>
      </c>
      <c r="Z2511">
        <v>1</v>
      </c>
      <c r="AA2511">
        <v>1</v>
      </c>
      <c r="AB2511">
        <v>1</v>
      </c>
    </row>
    <row r="2512" spans="1:49" x14ac:dyDescent="0.25">
      <c r="A2512" t="str">
        <f>"2508"</f>
        <v>2508</v>
      </c>
      <c r="B2512" t="str">
        <f t="shared" si="142"/>
        <v>1</v>
      </c>
      <c r="C2512" t="str">
        <f t="shared" si="144"/>
        <v>110</v>
      </c>
      <c r="D2512" t="str">
        <f>"1"</f>
        <v>1</v>
      </c>
      <c r="E2512" t="str">
        <f>"1-110-1"</f>
        <v>1-110-1</v>
      </c>
      <c r="F2512" t="s">
        <v>83</v>
      </c>
      <c r="G2512" t="s">
        <v>84</v>
      </c>
      <c r="H2512" t="s">
        <v>92</v>
      </c>
      <c r="I2512">
        <v>1</v>
      </c>
      <c r="J2512">
        <v>1</v>
      </c>
      <c r="N2512">
        <v>1</v>
      </c>
      <c r="O2512">
        <v>1</v>
      </c>
      <c r="P2512">
        <v>1</v>
      </c>
      <c r="Q2512">
        <v>1</v>
      </c>
      <c r="R2512">
        <v>1</v>
      </c>
      <c r="S2512">
        <v>1</v>
      </c>
      <c r="T2512">
        <v>1</v>
      </c>
      <c r="W2512">
        <v>1</v>
      </c>
      <c r="X2512">
        <v>1</v>
      </c>
      <c r="Y2512">
        <v>1</v>
      </c>
      <c r="Z2512">
        <v>1</v>
      </c>
      <c r="AA2512">
        <v>1</v>
      </c>
      <c r="AB2512">
        <v>1</v>
      </c>
    </row>
    <row r="2513" spans="1:49" x14ac:dyDescent="0.25">
      <c r="A2513" t="str">
        <f>"2509"</f>
        <v>2509</v>
      </c>
      <c r="B2513" t="str">
        <f t="shared" si="142"/>
        <v>1</v>
      </c>
      <c r="C2513" t="str">
        <f t="shared" si="144"/>
        <v>110</v>
      </c>
      <c r="D2513" t="str">
        <f>"17"</f>
        <v>17</v>
      </c>
      <c r="E2513" t="str">
        <f>"1-110-17"</f>
        <v>1-110-17</v>
      </c>
      <c r="F2513" t="s">
        <v>83</v>
      </c>
      <c r="G2513" t="s">
        <v>84</v>
      </c>
      <c r="H2513" t="s">
        <v>92</v>
      </c>
      <c r="I2513">
        <v>1</v>
      </c>
      <c r="J2513">
        <v>1</v>
      </c>
      <c r="N2513">
        <v>1</v>
      </c>
      <c r="O2513">
        <v>1</v>
      </c>
      <c r="P2513">
        <v>1</v>
      </c>
      <c r="Q2513">
        <v>1</v>
      </c>
      <c r="R2513">
        <v>1</v>
      </c>
      <c r="S2513">
        <v>1</v>
      </c>
      <c r="T2513">
        <v>1</v>
      </c>
      <c r="W2513">
        <v>1</v>
      </c>
      <c r="X2513">
        <v>1</v>
      </c>
      <c r="Y2513">
        <v>1</v>
      </c>
      <c r="Z2513">
        <v>1</v>
      </c>
      <c r="AA2513">
        <v>1</v>
      </c>
      <c r="AB2513">
        <v>1</v>
      </c>
    </row>
    <row r="2514" spans="1:49" x14ac:dyDescent="0.25">
      <c r="A2514" t="str">
        <f>"2510"</f>
        <v>2510</v>
      </c>
      <c r="B2514" t="str">
        <f t="shared" si="142"/>
        <v>1</v>
      </c>
      <c r="C2514" t="str">
        <f t="shared" si="144"/>
        <v>110</v>
      </c>
      <c r="D2514" t="str">
        <f>"12"</f>
        <v>12</v>
      </c>
      <c r="E2514" t="str">
        <f>"1-110-12"</f>
        <v>1-110-12</v>
      </c>
      <c r="F2514" t="s">
        <v>83</v>
      </c>
      <c r="G2514" t="s">
        <v>84</v>
      </c>
      <c r="H2514" t="s">
        <v>92</v>
      </c>
      <c r="I2514">
        <v>1</v>
      </c>
      <c r="J2514">
        <v>1</v>
      </c>
      <c r="N2514">
        <v>1</v>
      </c>
      <c r="O2514">
        <v>1</v>
      </c>
      <c r="P2514">
        <v>1</v>
      </c>
      <c r="Q2514">
        <v>1</v>
      </c>
      <c r="R2514">
        <v>1</v>
      </c>
      <c r="S2514">
        <v>1</v>
      </c>
      <c r="T2514">
        <v>1</v>
      </c>
      <c r="W2514">
        <v>1</v>
      </c>
      <c r="X2514">
        <v>1</v>
      </c>
      <c r="Y2514">
        <v>1</v>
      </c>
      <c r="Z2514">
        <v>1</v>
      </c>
      <c r="AA2514">
        <v>1</v>
      </c>
      <c r="AB2514">
        <v>1</v>
      </c>
    </row>
    <row r="2515" spans="1:49" x14ac:dyDescent="0.25">
      <c r="A2515" t="str">
        <f>"2511"</f>
        <v>2511</v>
      </c>
      <c r="B2515" t="str">
        <f t="shared" si="142"/>
        <v>1</v>
      </c>
      <c r="C2515" t="str">
        <f t="shared" si="144"/>
        <v>110</v>
      </c>
      <c r="D2515" t="str">
        <f>"7"</f>
        <v>7</v>
      </c>
      <c r="E2515" t="str">
        <f>"1-110-7"</f>
        <v>1-110-7</v>
      </c>
      <c r="F2515" t="s">
        <v>83</v>
      </c>
      <c r="G2515" t="s">
        <v>84</v>
      </c>
      <c r="H2515" t="s">
        <v>92</v>
      </c>
      <c r="I2515">
        <v>1</v>
      </c>
      <c r="J2515">
        <v>1</v>
      </c>
      <c r="N2515">
        <v>1</v>
      </c>
      <c r="O2515">
        <v>1</v>
      </c>
      <c r="P2515">
        <v>1</v>
      </c>
      <c r="Q2515">
        <v>1</v>
      </c>
      <c r="R2515">
        <v>1</v>
      </c>
      <c r="S2515">
        <v>1</v>
      </c>
      <c r="T2515">
        <v>1</v>
      </c>
      <c r="W2515">
        <v>1</v>
      </c>
      <c r="X2515">
        <v>1</v>
      </c>
      <c r="Y2515">
        <v>1</v>
      </c>
      <c r="Z2515">
        <v>1</v>
      </c>
      <c r="AA2515">
        <v>1</v>
      </c>
      <c r="AB2515">
        <v>1</v>
      </c>
    </row>
    <row r="2516" spans="1:49" x14ac:dyDescent="0.25">
      <c r="A2516" t="str">
        <f>"2512"</f>
        <v>2512</v>
      </c>
      <c r="B2516" t="str">
        <f t="shared" si="142"/>
        <v>1</v>
      </c>
      <c r="C2516" t="str">
        <f t="shared" si="144"/>
        <v>110</v>
      </c>
      <c r="D2516" t="str">
        <f>"20"</f>
        <v>20</v>
      </c>
      <c r="E2516" t="str">
        <f>"1-110-20"</f>
        <v>1-110-20</v>
      </c>
      <c r="F2516" t="s">
        <v>83</v>
      </c>
      <c r="G2516" t="s">
        <v>84</v>
      </c>
      <c r="H2516" t="s">
        <v>92</v>
      </c>
      <c r="I2516">
        <v>0</v>
      </c>
      <c r="J2516">
        <v>1</v>
      </c>
      <c r="N2516">
        <v>1</v>
      </c>
      <c r="O2516">
        <v>1</v>
      </c>
      <c r="P2516">
        <v>1</v>
      </c>
      <c r="Q2516">
        <v>1</v>
      </c>
      <c r="R2516">
        <v>0</v>
      </c>
      <c r="S2516">
        <v>0</v>
      </c>
      <c r="T2516">
        <v>0</v>
      </c>
      <c r="W2516">
        <v>1</v>
      </c>
      <c r="X2516">
        <v>1</v>
      </c>
      <c r="Y2516">
        <v>1</v>
      </c>
      <c r="Z2516">
        <v>1</v>
      </c>
      <c r="AA2516">
        <v>1</v>
      </c>
      <c r="AB2516">
        <v>1</v>
      </c>
    </row>
    <row r="2517" spans="1:49" x14ac:dyDescent="0.25">
      <c r="A2517" t="str">
        <f>"2513"</f>
        <v>2513</v>
      </c>
      <c r="B2517" t="str">
        <f t="shared" si="142"/>
        <v>1</v>
      </c>
      <c r="C2517" t="str">
        <f t="shared" si="144"/>
        <v>110</v>
      </c>
      <c r="D2517" t="str">
        <f>"6"</f>
        <v>6</v>
      </c>
      <c r="E2517" t="str">
        <f>"1-110-6"</f>
        <v>1-110-6</v>
      </c>
      <c r="F2517" t="s">
        <v>83</v>
      </c>
      <c r="G2517" t="s">
        <v>84</v>
      </c>
      <c r="H2517" t="s">
        <v>92</v>
      </c>
      <c r="I2517">
        <v>1</v>
      </c>
      <c r="J2517">
        <v>1</v>
      </c>
      <c r="N2517">
        <v>1</v>
      </c>
      <c r="O2517">
        <v>1</v>
      </c>
      <c r="P2517">
        <v>1</v>
      </c>
      <c r="Q2517">
        <v>1</v>
      </c>
      <c r="R2517">
        <v>1</v>
      </c>
      <c r="S2517">
        <v>1</v>
      </c>
      <c r="T2517">
        <v>1</v>
      </c>
      <c r="W2517">
        <v>1</v>
      </c>
      <c r="X2517">
        <v>1</v>
      </c>
      <c r="Y2517">
        <v>1</v>
      </c>
      <c r="Z2517">
        <v>1</v>
      </c>
      <c r="AA2517">
        <v>1</v>
      </c>
      <c r="AB2517">
        <v>1</v>
      </c>
    </row>
    <row r="2518" spans="1:49" x14ac:dyDescent="0.25">
      <c r="A2518" t="str">
        <f>"2514"</f>
        <v>2514</v>
      </c>
      <c r="B2518" t="str">
        <f t="shared" si="142"/>
        <v>1</v>
      </c>
      <c r="C2518" t="str">
        <f t="shared" si="144"/>
        <v>110</v>
      </c>
      <c r="D2518" t="str">
        <f>"21"</f>
        <v>21</v>
      </c>
      <c r="E2518" t="str">
        <f>"1-110-21"</f>
        <v>1-110-21</v>
      </c>
      <c r="F2518" t="s">
        <v>83</v>
      </c>
      <c r="G2518" t="s">
        <v>84</v>
      </c>
      <c r="H2518" t="s">
        <v>85</v>
      </c>
      <c r="AC2518">
        <v>0</v>
      </c>
      <c r="AD2518">
        <v>1</v>
      </c>
      <c r="AE2518">
        <v>0</v>
      </c>
      <c r="AF2518">
        <v>0</v>
      </c>
      <c r="AG2518">
        <v>0</v>
      </c>
      <c r="AJ2518">
        <v>0</v>
      </c>
      <c r="AK2518">
        <v>1</v>
      </c>
      <c r="AL2518">
        <v>0</v>
      </c>
      <c r="AM2518">
        <v>0</v>
      </c>
      <c r="AN2518">
        <v>1</v>
      </c>
      <c r="AO2518">
        <v>0</v>
      </c>
      <c r="AP2518">
        <v>0</v>
      </c>
      <c r="AQ2518">
        <v>0</v>
      </c>
      <c r="AR2518">
        <v>0</v>
      </c>
      <c r="AS2518">
        <v>1</v>
      </c>
      <c r="AT2518">
        <v>0</v>
      </c>
      <c r="AV2518">
        <v>0</v>
      </c>
      <c r="AW2518">
        <v>0</v>
      </c>
    </row>
    <row r="2519" spans="1:49" x14ac:dyDescent="0.25">
      <c r="A2519" t="str">
        <f>"2515"</f>
        <v>2515</v>
      </c>
      <c r="B2519" t="str">
        <f t="shared" si="142"/>
        <v>1</v>
      </c>
      <c r="C2519" t="str">
        <f t="shared" si="144"/>
        <v>110</v>
      </c>
      <c r="D2519" t="str">
        <f>"2"</f>
        <v>2</v>
      </c>
      <c r="E2519" t="str">
        <f>"1-110-2"</f>
        <v>1-110-2</v>
      </c>
      <c r="F2519" t="s">
        <v>83</v>
      </c>
      <c r="G2519" t="s">
        <v>84</v>
      </c>
      <c r="H2519" t="s">
        <v>85</v>
      </c>
      <c r="AC2519">
        <v>0</v>
      </c>
      <c r="AD2519">
        <v>1</v>
      </c>
      <c r="AE2519">
        <v>0</v>
      </c>
      <c r="AF2519">
        <v>0</v>
      </c>
      <c r="AG2519">
        <v>0</v>
      </c>
      <c r="AJ2519">
        <v>0</v>
      </c>
      <c r="AK2519">
        <v>1</v>
      </c>
      <c r="AL2519">
        <v>0</v>
      </c>
      <c r="AM2519">
        <v>0</v>
      </c>
      <c r="AN2519">
        <v>1</v>
      </c>
      <c r="AO2519">
        <v>0</v>
      </c>
      <c r="AP2519">
        <v>0</v>
      </c>
      <c r="AQ2519">
        <v>0</v>
      </c>
      <c r="AR2519">
        <v>0</v>
      </c>
      <c r="AS2519">
        <v>1</v>
      </c>
      <c r="AT2519">
        <v>0</v>
      </c>
      <c r="AV2519">
        <v>0</v>
      </c>
      <c r="AW2519">
        <v>1</v>
      </c>
    </row>
    <row r="2520" spans="1:49" x14ac:dyDescent="0.25">
      <c r="A2520" t="str">
        <f>"2516"</f>
        <v>2516</v>
      </c>
      <c r="B2520" t="str">
        <f t="shared" si="142"/>
        <v>1</v>
      </c>
      <c r="C2520" t="str">
        <f t="shared" ref="C2520:C2543" si="145">"111"</f>
        <v>111</v>
      </c>
      <c r="D2520" t="str">
        <f>"22"</f>
        <v>22</v>
      </c>
      <c r="E2520" t="str">
        <f>"1-111-22"</f>
        <v>1-111-22</v>
      </c>
      <c r="F2520" t="s">
        <v>83</v>
      </c>
      <c r="G2520" t="s">
        <v>84</v>
      </c>
      <c r="H2520" t="s">
        <v>92</v>
      </c>
      <c r="I2520">
        <v>1</v>
      </c>
      <c r="J2520">
        <v>1</v>
      </c>
      <c r="N2520">
        <v>1</v>
      </c>
      <c r="O2520">
        <v>1</v>
      </c>
      <c r="P2520">
        <v>1</v>
      </c>
      <c r="Q2520">
        <v>1</v>
      </c>
      <c r="R2520">
        <v>1</v>
      </c>
      <c r="S2520">
        <v>1</v>
      </c>
      <c r="T2520">
        <v>1</v>
      </c>
      <c r="W2520">
        <v>1</v>
      </c>
      <c r="X2520">
        <v>1</v>
      </c>
      <c r="Y2520">
        <v>1</v>
      </c>
      <c r="Z2520">
        <v>1</v>
      </c>
      <c r="AA2520">
        <v>1</v>
      </c>
      <c r="AB2520">
        <v>1</v>
      </c>
    </row>
    <row r="2521" spans="1:49" x14ac:dyDescent="0.25">
      <c r="A2521" t="str">
        <f>"2517"</f>
        <v>2517</v>
      </c>
      <c r="B2521" t="str">
        <f t="shared" si="142"/>
        <v>1</v>
      </c>
      <c r="C2521" t="str">
        <f t="shared" si="145"/>
        <v>111</v>
      </c>
      <c r="D2521" t="str">
        <f>"21"</f>
        <v>21</v>
      </c>
      <c r="E2521" t="str">
        <f>"1-111-21"</f>
        <v>1-111-21</v>
      </c>
      <c r="F2521" t="s">
        <v>83</v>
      </c>
      <c r="G2521" t="s">
        <v>84</v>
      </c>
      <c r="H2521" t="s">
        <v>85</v>
      </c>
      <c r="AC2521">
        <v>0</v>
      </c>
      <c r="AD2521">
        <v>1</v>
      </c>
      <c r="AE2521">
        <v>0</v>
      </c>
      <c r="AF2521">
        <v>0</v>
      </c>
      <c r="AG2521">
        <v>0</v>
      </c>
      <c r="AJ2521">
        <v>1</v>
      </c>
      <c r="AK2521">
        <v>0</v>
      </c>
      <c r="AL2521">
        <v>0</v>
      </c>
      <c r="AM2521">
        <v>1</v>
      </c>
      <c r="AN2521">
        <v>0</v>
      </c>
      <c r="AO2521">
        <v>0</v>
      </c>
      <c r="AP2521">
        <v>0</v>
      </c>
      <c r="AQ2521">
        <v>0</v>
      </c>
      <c r="AR2521">
        <v>0</v>
      </c>
      <c r="AS2521">
        <v>1</v>
      </c>
      <c r="AT2521">
        <v>0</v>
      </c>
      <c r="AV2521">
        <v>0</v>
      </c>
      <c r="AW2521">
        <v>0</v>
      </c>
    </row>
    <row r="2522" spans="1:49" x14ac:dyDescent="0.25">
      <c r="A2522" t="str">
        <f>"2518"</f>
        <v>2518</v>
      </c>
      <c r="B2522" t="str">
        <f t="shared" si="142"/>
        <v>1</v>
      </c>
      <c r="C2522" t="str">
        <f t="shared" si="145"/>
        <v>111</v>
      </c>
      <c r="D2522" t="str">
        <f>"15"</f>
        <v>15</v>
      </c>
      <c r="E2522" t="str">
        <f>"1-111-15"</f>
        <v>1-111-15</v>
      </c>
      <c r="F2522" t="s">
        <v>83</v>
      </c>
      <c r="G2522" t="s">
        <v>84</v>
      </c>
      <c r="H2522" t="s">
        <v>92</v>
      </c>
      <c r="I2522">
        <v>1</v>
      </c>
      <c r="J2522">
        <v>1</v>
      </c>
      <c r="N2522">
        <v>1</v>
      </c>
      <c r="O2522">
        <v>1</v>
      </c>
      <c r="P2522">
        <v>1</v>
      </c>
      <c r="Q2522">
        <v>1</v>
      </c>
      <c r="R2522">
        <v>1</v>
      </c>
      <c r="S2522">
        <v>1</v>
      </c>
      <c r="T2522">
        <v>1</v>
      </c>
      <c r="W2522">
        <v>1</v>
      </c>
      <c r="X2522">
        <v>1</v>
      </c>
      <c r="Y2522">
        <v>1</v>
      </c>
      <c r="Z2522">
        <v>1</v>
      </c>
      <c r="AA2522">
        <v>1</v>
      </c>
      <c r="AB2522">
        <v>1</v>
      </c>
    </row>
    <row r="2523" spans="1:49" x14ac:dyDescent="0.25">
      <c r="A2523" t="str">
        <f>"2519"</f>
        <v>2519</v>
      </c>
      <c r="B2523" t="str">
        <f t="shared" si="142"/>
        <v>1</v>
      </c>
      <c r="C2523" t="str">
        <f t="shared" si="145"/>
        <v>111</v>
      </c>
      <c r="D2523" t="str">
        <f>"8"</f>
        <v>8</v>
      </c>
      <c r="E2523" t="str">
        <f>"1-111-8"</f>
        <v>1-111-8</v>
      </c>
      <c r="F2523" t="s">
        <v>83</v>
      </c>
      <c r="G2523" t="s">
        <v>84</v>
      </c>
      <c r="H2523" t="s">
        <v>92</v>
      </c>
      <c r="I2523">
        <v>1</v>
      </c>
      <c r="J2523">
        <v>1</v>
      </c>
      <c r="N2523">
        <v>1</v>
      </c>
      <c r="O2523">
        <v>1</v>
      </c>
      <c r="P2523">
        <v>1</v>
      </c>
      <c r="Q2523">
        <v>1</v>
      </c>
      <c r="R2523">
        <v>1</v>
      </c>
      <c r="S2523">
        <v>1</v>
      </c>
      <c r="T2523">
        <v>1</v>
      </c>
      <c r="W2523">
        <v>1</v>
      </c>
      <c r="X2523">
        <v>1</v>
      </c>
      <c r="Y2523">
        <v>1</v>
      </c>
      <c r="Z2523">
        <v>1</v>
      </c>
      <c r="AA2523">
        <v>1</v>
      </c>
      <c r="AB2523">
        <v>1</v>
      </c>
    </row>
    <row r="2524" spans="1:49" x14ac:dyDescent="0.25">
      <c r="A2524" t="str">
        <f>"2520"</f>
        <v>2520</v>
      </c>
      <c r="B2524" t="str">
        <f t="shared" si="142"/>
        <v>1</v>
      </c>
      <c r="C2524" t="str">
        <f t="shared" si="145"/>
        <v>111</v>
      </c>
      <c r="D2524" t="str">
        <f>"3"</f>
        <v>3</v>
      </c>
      <c r="E2524" t="str">
        <f>"1-111-3"</f>
        <v>1-111-3</v>
      </c>
      <c r="F2524" t="s">
        <v>83</v>
      </c>
      <c r="G2524" t="s">
        <v>84</v>
      </c>
      <c r="H2524" t="s">
        <v>92</v>
      </c>
      <c r="I2524">
        <v>1</v>
      </c>
      <c r="J2524">
        <v>1</v>
      </c>
      <c r="N2524">
        <v>1</v>
      </c>
      <c r="O2524">
        <v>1</v>
      </c>
      <c r="P2524">
        <v>1</v>
      </c>
      <c r="Q2524">
        <v>1</v>
      </c>
      <c r="R2524">
        <v>1</v>
      </c>
      <c r="S2524">
        <v>1</v>
      </c>
      <c r="T2524">
        <v>1</v>
      </c>
      <c r="W2524">
        <v>1</v>
      </c>
      <c r="X2524">
        <v>1</v>
      </c>
      <c r="Y2524">
        <v>1</v>
      </c>
      <c r="Z2524">
        <v>1</v>
      </c>
      <c r="AA2524">
        <v>1</v>
      </c>
      <c r="AB2524">
        <v>1</v>
      </c>
    </row>
    <row r="2525" spans="1:49" x14ac:dyDescent="0.25">
      <c r="A2525" t="str">
        <f>"2521"</f>
        <v>2521</v>
      </c>
      <c r="B2525" t="str">
        <f t="shared" si="142"/>
        <v>1</v>
      </c>
      <c r="C2525" t="str">
        <f t="shared" si="145"/>
        <v>111</v>
      </c>
      <c r="D2525" t="str">
        <f>"18"</f>
        <v>18</v>
      </c>
      <c r="E2525" t="str">
        <f>"1-111-18"</f>
        <v>1-111-18</v>
      </c>
      <c r="F2525" t="s">
        <v>83</v>
      </c>
      <c r="G2525" t="s">
        <v>84</v>
      </c>
      <c r="H2525" t="s">
        <v>85</v>
      </c>
      <c r="AC2525">
        <v>0</v>
      </c>
      <c r="AD2525">
        <v>1</v>
      </c>
      <c r="AE2525">
        <v>0</v>
      </c>
      <c r="AF2525">
        <v>0</v>
      </c>
      <c r="AG2525">
        <v>0</v>
      </c>
      <c r="AJ2525">
        <v>0</v>
      </c>
      <c r="AK2525">
        <v>1</v>
      </c>
      <c r="AL2525">
        <v>0</v>
      </c>
      <c r="AM2525">
        <v>0</v>
      </c>
      <c r="AN2525">
        <v>1</v>
      </c>
      <c r="AO2525">
        <v>0</v>
      </c>
      <c r="AP2525">
        <v>0</v>
      </c>
      <c r="AQ2525">
        <v>0</v>
      </c>
      <c r="AR2525">
        <v>0</v>
      </c>
      <c r="AS2525">
        <v>0</v>
      </c>
      <c r="AT2525">
        <v>0</v>
      </c>
      <c r="AV2525">
        <v>0</v>
      </c>
      <c r="AW2525">
        <v>0</v>
      </c>
    </row>
    <row r="2526" spans="1:49" x14ac:dyDescent="0.25">
      <c r="A2526" t="str">
        <f>"2522"</f>
        <v>2522</v>
      </c>
      <c r="B2526" t="str">
        <f t="shared" ref="B2526:B2589" si="146">"1"</f>
        <v>1</v>
      </c>
      <c r="C2526" t="str">
        <f t="shared" si="145"/>
        <v>111</v>
      </c>
      <c r="D2526" t="str">
        <f>"9"</f>
        <v>9</v>
      </c>
      <c r="E2526" t="str">
        <f>"1-111-9"</f>
        <v>1-111-9</v>
      </c>
      <c r="F2526" t="s">
        <v>83</v>
      </c>
      <c r="G2526" t="s">
        <v>86</v>
      </c>
      <c r="H2526" t="s">
        <v>87</v>
      </c>
      <c r="AC2526">
        <v>0</v>
      </c>
      <c r="AD2526">
        <v>1</v>
      </c>
      <c r="AE2526">
        <v>0</v>
      </c>
      <c r="AF2526">
        <v>0</v>
      </c>
      <c r="AH2526">
        <v>1</v>
      </c>
      <c r="AI2526">
        <v>0</v>
      </c>
      <c r="AJ2526">
        <v>1</v>
      </c>
      <c r="AK2526">
        <v>0</v>
      </c>
      <c r="AL2526">
        <v>0</v>
      </c>
      <c r="AM2526">
        <v>1</v>
      </c>
      <c r="AN2526">
        <v>0</v>
      </c>
      <c r="AO2526">
        <v>1</v>
      </c>
      <c r="AP2526">
        <v>1</v>
      </c>
      <c r="AQ2526">
        <v>1</v>
      </c>
      <c r="AU2526">
        <v>1</v>
      </c>
      <c r="AV2526">
        <v>1</v>
      </c>
      <c r="AW2526">
        <v>1</v>
      </c>
    </row>
    <row r="2527" spans="1:49" x14ac:dyDescent="0.25">
      <c r="A2527" t="str">
        <f>"2523"</f>
        <v>2523</v>
      </c>
      <c r="B2527" t="str">
        <f t="shared" si="146"/>
        <v>1</v>
      </c>
      <c r="C2527" t="str">
        <f t="shared" si="145"/>
        <v>111</v>
      </c>
      <c r="D2527" t="str">
        <f>"1"</f>
        <v>1</v>
      </c>
      <c r="E2527" t="str">
        <f>"1-111-1"</f>
        <v>1-111-1</v>
      </c>
      <c r="F2527" t="s">
        <v>83</v>
      </c>
      <c r="G2527" t="s">
        <v>84</v>
      </c>
      <c r="H2527" t="s">
        <v>92</v>
      </c>
      <c r="I2527">
        <v>0</v>
      </c>
      <c r="J2527">
        <v>1</v>
      </c>
      <c r="N2527">
        <v>1</v>
      </c>
      <c r="O2527">
        <v>0</v>
      </c>
      <c r="P2527">
        <v>0</v>
      </c>
      <c r="Q2527">
        <v>0</v>
      </c>
      <c r="R2527">
        <v>0</v>
      </c>
      <c r="S2527">
        <v>1</v>
      </c>
      <c r="T2527">
        <v>0</v>
      </c>
      <c r="W2527">
        <v>0</v>
      </c>
      <c r="X2527">
        <v>0</v>
      </c>
      <c r="Y2527">
        <v>0</v>
      </c>
      <c r="Z2527">
        <v>0</v>
      </c>
      <c r="AA2527">
        <v>0</v>
      </c>
      <c r="AB2527">
        <v>0</v>
      </c>
    </row>
    <row r="2528" spans="1:49" x14ac:dyDescent="0.25">
      <c r="A2528" t="str">
        <f>"2524"</f>
        <v>2524</v>
      </c>
      <c r="B2528" t="str">
        <f t="shared" si="146"/>
        <v>1</v>
      </c>
      <c r="C2528" t="str">
        <f t="shared" si="145"/>
        <v>111</v>
      </c>
      <c r="D2528" t="str">
        <f>"24"</f>
        <v>24</v>
      </c>
      <c r="E2528" t="str">
        <f>"1-111-24"</f>
        <v>1-111-24</v>
      </c>
      <c r="F2528" t="s">
        <v>83</v>
      </c>
      <c r="G2528" t="s">
        <v>84</v>
      </c>
      <c r="H2528" t="s">
        <v>92</v>
      </c>
      <c r="I2528">
        <v>1</v>
      </c>
      <c r="J2528">
        <v>1</v>
      </c>
      <c r="N2528">
        <v>1</v>
      </c>
      <c r="O2528">
        <v>1</v>
      </c>
      <c r="P2528">
        <v>1</v>
      </c>
      <c r="Q2528">
        <v>1</v>
      </c>
      <c r="R2528">
        <v>1</v>
      </c>
      <c r="S2528">
        <v>1</v>
      </c>
      <c r="T2528">
        <v>1</v>
      </c>
      <c r="W2528">
        <v>1</v>
      </c>
      <c r="X2528">
        <v>1</v>
      </c>
      <c r="Y2528">
        <v>1</v>
      </c>
      <c r="Z2528">
        <v>1</v>
      </c>
      <c r="AA2528">
        <v>1</v>
      </c>
      <c r="AB2528">
        <v>1</v>
      </c>
    </row>
    <row r="2529" spans="1:49" x14ac:dyDescent="0.25">
      <c r="A2529" t="str">
        <f>"2525"</f>
        <v>2525</v>
      </c>
      <c r="B2529" t="str">
        <f t="shared" si="146"/>
        <v>1</v>
      </c>
      <c r="C2529" t="str">
        <f t="shared" si="145"/>
        <v>111</v>
      </c>
      <c r="D2529" t="str">
        <f>"23"</f>
        <v>23</v>
      </c>
      <c r="E2529" t="str">
        <f>"1-111-23"</f>
        <v>1-111-23</v>
      </c>
      <c r="F2529" t="s">
        <v>83</v>
      </c>
      <c r="G2529" t="s">
        <v>84</v>
      </c>
      <c r="H2529" t="s">
        <v>85</v>
      </c>
      <c r="AC2529">
        <v>0</v>
      </c>
      <c r="AD2529">
        <v>1</v>
      </c>
      <c r="AE2529">
        <v>0</v>
      </c>
      <c r="AF2529">
        <v>0</v>
      </c>
      <c r="AG2529">
        <v>1</v>
      </c>
      <c r="AJ2529">
        <v>0</v>
      </c>
      <c r="AK2529">
        <v>1</v>
      </c>
      <c r="AL2529">
        <v>0</v>
      </c>
      <c r="AM2529">
        <v>0</v>
      </c>
      <c r="AN2529">
        <v>1</v>
      </c>
      <c r="AO2529">
        <v>1</v>
      </c>
      <c r="AP2529">
        <v>1</v>
      </c>
      <c r="AQ2529">
        <v>1</v>
      </c>
      <c r="AR2529">
        <v>1</v>
      </c>
      <c r="AS2529">
        <v>1</v>
      </c>
      <c r="AT2529">
        <v>0</v>
      </c>
      <c r="AV2529">
        <v>1</v>
      </c>
      <c r="AW2529">
        <v>1</v>
      </c>
    </row>
    <row r="2530" spans="1:49" x14ac:dyDescent="0.25">
      <c r="A2530" t="str">
        <f>"2526"</f>
        <v>2526</v>
      </c>
      <c r="B2530" t="str">
        <f t="shared" si="146"/>
        <v>1</v>
      </c>
      <c r="C2530" t="str">
        <f t="shared" si="145"/>
        <v>111</v>
      </c>
      <c r="D2530" t="str">
        <f>"17"</f>
        <v>17</v>
      </c>
      <c r="E2530" t="str">
        <f>"1-111-17"</f>
        <v>1-111-17</v>
      </c>
      <c r="F2530" t="s">
        <v>83</v>
      </c>
      <c r="G2530" t="s">
        <v>84</v>
      </c>
      <c r="H2530" t="s">
        <v>85</v>
      </c>
      <c r="AC2530">
        <v>0</v>
      </c>
      <c r="AD2530">
        <v>1</v>
      </c>
      <c r="AE2530">
        <v>0</v>
      </c>
      <c r="AF2530">
        <v>0</v>
      </c>
      <c r="AG2530">
        <v>0</v>
      </c>
      <c r="AJ2530">
        <v>0</v>
      </c>
      <c r="AK2530">
        <v>0</v>
      </c>
      <c r="AL2530">
        <v>0</v>
      </c>
      <c r="AM2530">
        <v>1</v>
      </c>
      <c r="AN2530">
        <v>0</v>
      </c>
      <c r="AO2530">
        <v>0</v>
      </c>
      <c r="AP2530">
        <v>0</v>
      </c>
      <c r="AQ2530">
        <v>0</v>
      </c>
      <c r="AR2530">
        <v>0</v>
      </c>
      <c r="AS2530">
        <v>0</v>
      </c>
      <c r="AT2530">
        <v>0</v>
      </c>
      <c r="AV2530">
        <v>0</v>
      </c>
      <c r="AW2530">
        <v>0</v>
      </c>
    </row>
    <row r="2531" spans="1:49" x14ac:dyDescent="0.25">
      <c r="A2531" t="str">
        <f>"2527"</f>
        <v>2527</v>
      </c>
      <c r="B2531" t="str">
        <f t="shared" si="146"/>
        <v>1</v>
      </c>
      <c r="C2531" t="str">
        <f t="shared" si="145"/>
        <v>111</v>
      </c>
      <c r="D2531" t="str">
        <f>"10"</f>
        <v>10</v>
      </c>
      <c r="E2531" t="str">
        <f>"1-111-10"</f>
        <v>1-111-10</v>
      </c>
      <c r="F2531" t="s">
        <v>83</v>
      </c>
      <c r="G2531" t="s">
        <v>86</v>
      </c>
      <c r="H2531" t="s">
        <v>87</v>
      </c>
      <c r="AC2531">
        <v>0</v>
      </c>
      <c r="AD2531">
        <v>0</v>
      </c>
      <c r="AE2531">
        <v>0</v>
      </c>
      <c r="AF2531">
        <v>0</v>
      </c>
      <c r="AH2531">
        <v>0</v>
      </c>
      <c r="AI2531">
        <v>1</v>
      </c>
      <c r="AJ2531">
        <v>0</v>
      </c>
      <c r="AK2531">
        <v>0</v>
      </c>
      <c r="AL2531">
        <v>0</v>
      </c>
      <c r="AM2531">
        <v>0</v>
      </c>
      <c r="AN2531">
        <v>0</v>
      </c>
      <c r="AO2531">
        <v>0</v>
      </c>
      <c r="AP2531">
        <v>0</v>
      </c>
      <c r="AQ2531">
        <v>0</v>
      </c>
      <c r="AU2531">
        <v>0</v>
      </c>
      <c r="AV2531">
        <v>0</v>
      </c>
      <c r="AW2531">
        <v>0</v>
      </c>
    </row>
    <row r="2532" spans="1:49" x14ac:dyDescent="0.25">
      <c r="A2532" t="str">
        <f>"2528"</f>
        <v>2528</v>
      </c>
      <c r="B2532" t="str">
        <f t="shared" si="146"/>
        <v>1</v>
      </c>
      <c r="C2532" t="str">
        <f t="shared" si="145"/>
        <v>111</v>
      </c>
      <c r="D2532" t="str">
        <f>"4"</f>
        <v>4</v>
      </c>
      <c r="E2532" t="str">
        <f>"1-111-4"</f>
        <v>1-111-4</v>
      </c>
      <c r="F2532" t="s">
        <v>83</v>
      </c>
      <c r="G2532" t="s">
        <v>86</v>
      </c>
      <c r="H2532" t="s">
        <v>93</v>
      </c>
      <c r="I2532">
        <v>1</v>
      </c>
      <c r="K2532">
        <v>0</v>
      </c>
      <c r="L2532">
        <v>0</v>
      </c>
      <c r="M2532">
        <v>1</v>
      </c>
      <c r="N2532">
        <v>1</v>
      </c>
      <c r="O2532">
        <v>1</v>
      </c>
      <c r="P2532">
        <v>1</v>
      </c>
      <c r="Q2532">
        <v>1</v>
      </c>
      <c r="R2532">
        <v>1</v>
      </c>
      <c r="U2532">
        <v>0</v>
      </c>
      <c r="V2532">
        <v>1</v>
      </c>
      <c r="W2532">
        <v>1</v>
      </c>
      <c r="X2532">
        <v>1</v>
      </c>
      <c r="Y2532">
        <v>1</v>
      </c>
      <c r="Z2532">
        <v>1</v>
      </c>
      <c r="AA2532">
        <v>1</v>
      </c>
      <c r="AB2532">
        <v>1</v>
      </c>
    </row>
    <row r="2533" spans="1:49" x14ac:dyDescent="0.25">
      <c r="A2533" t="str">
        <f>"2529"</f>
        <v>2529</v>
      </c>
      <c r="B2533" t="str">
        <f t="shared" si="146"/>
        <v>1</v>
      </c>
      <c r="C2533" t="str">
        <f t="shared" si="145"/>
        <v>111</v>
      </c>
      <c r="D2533" t="str">
        <f>"16"</f>
        <v>16</v>
      </c>
      <c r="E2533" t="str">
        <f>"1-111-16"</f>
        <v>1-111-16</v>
      </c>
      <c r="F2533" t="s">
        <v>83</v>
      </c>
      <c r="G2533" t="s">
        <v>84</v>
      </c>
      <c r="H2533" t="s">
        <v>85</v>
      </c>
      <c r="AC2533">
        <v>0</v>
      </c>
      <c r="AD2533">
        <v>1</v>
      </c>
      <c r="AE2533">
        <v>0</v>
      </c>
      <c r="AF2533">
        <v>0</v>
      </c>
      <c r="AG2533">
        <v>1</v>
      </c>
      <c r="AJ2533">
        <v>0</v>
      </c>
      <c r="AK2533">
        <v>0</v>
      </c>
      <c r="AL2533">
        <v>0</v>
      </c>
      <c r="AM2533">
        <v>1</v>
      </c>
      <c r="AN2533">
        <v>0</v>
      </c>
      <c r="AO2533">
        <v>1</v>
      </c>
      <c r="AP2533">
        <v>1</v>
      </c>
      <c r="AQ2533">
        <v>1</v>
      </c>
      <c r="AR2533">
        <v>1</v>
      </c>
      <c r="AS2533">
        <v>0</v>
      </c>
      <c r="AT2533">
        <v>1</v>
      </c>
      <c r="AV2533">
        <v>1</v>
      </c>
      <c r="AW2533">
        <v>1</v>
      </c>
    </row>
    <row r="2534" spans="1:49" x14ac:dyDescent="0.25">
      <c r="A2534" t="str">
        <f>"2530"</f>
        <v>2530</v>
      </c>
      <c r="B2534" t="str">
        <f t="shared" si="146"/>
        <v>1</v>
      </c>
      <c r="C2534" t="str">
        <f t="shared" si="145"/>
        <v>111</v>
      </c>
      <c r="D2534" t="str">
        <f>"11"</f>
        <v>11</v>
      </c>
      <c r="E2534" t="str">
        <f>"1-111-11"</f>
        <v>1-111-11</v>
      </c>
      <c r="F2534" t="s">
        <v>83</v>
      </c>
      <c r="G2534" t="s">
        <v>86</v>
      </c>
      <c r="H2534" t="s">
        <v>93</v>
      </c>
      <c r="I2534">
        <v>1</v>
      </c>
      <c r="K2534">
        <v>0</v>
      </c>
      <c r="L2534">
        <v>1</v>
      </c>
      <c r="M2534">
        <v>0</v>
      </c>
      <c r="N2534">
        <v>1</v>
      </c>
      <c r="O2534">
        <v>1</v>
      </c>
      <c r="P2534">
        <v>1</v>
      </c>
      <c r="Q2534">
        <v>1</v>
      </c>
      <c r="R2534">
        <v>1</v>
      </c>
      <c r="U2534">
        <v>0</v>
      </c>
      <c r="V2534">
        <v>1</v>
      </c>
      <c r="W2534">
        <v>1</v>
      </c>
      <c r="X2534">
        <v>1</v>
      </c>
      <c r="Y2534">
        <v>1</v>
      </c>
      <c r="Z2534">
        <v>1</v>
      </c>
      <c r="AA2534">
        <v>1</v>
      </c>
      <c r="AB2534">
        <v>1</v>
      </c>
    </row>
    <row r="2535" spans="1:49" x14ac:dyDescent="0.25">
      <c r="A2535" t="str">
        <f>"2531"</f>
        <v>2531</v>
      </c>
      <c r="B2535" t="str">
        <f t="shared" si="146"/>
        <v>1</v>
      </c>
      <c r="C2535" t="str">
        <f t="shared" si="145"/>
        <v>111</v>
      </c>
      <c r="D2535" t="str">
        <f>"6"</f>
        <v>6</v>
      </c>
      <c r="E2535" t="str">
        <f>"1-111-6"</f>
        <v>1-111-6</v>
      </c>
      <c r="F2535" t="s">
        <v>83</v>
      </c>
      <c r="G2535" t="s">
        <v>84</v>
      </c>
      <c r="H2535" t="s">
        <v>92</v>
      </c>
      <c r="I2535">
        <v>1</v>
      </c>
      <c r="J2535">
        <v>1</v>
      </c>
      <c r="N2535">
        <v>1</v>
      </c>
      <c r="O2535">
        <v>1</v>
      </c>
      <c r="P2535">
        <v>1</v>
      </c>
      <c r="Q2535">
        <v>1</v>
      </c>
      <c r="R2535">
        <v>1</v>
      </c>
      <c r="S2535">
        <v>1</v>
      </c>
      <c r="T2535">
        <v>1</v>
      </c>
      <c r="W2535">
        <v>1</v>
      </c>
      <c r="X2535">
        <v>1</v>
      </c>
      <c r="Y2535">
        <v>1</v>
      </c>
      <c r="Z2535">
        <v>1</v>
      </c>
      <c r="AA2535">
        <v>1</v>
      </c>
      <c r="AB2535">
        <v>1</v>
      </c>
    </row>
    <row r="2536" spans="1:49" x14ac:dyDescent="0.25">
      <c r="A2536" t="str">
        <f>"2532"</f>
        <v>2532</v>
      </c>
      <c r="B2536" t="str">
        <f t="shared" si="146"/>
        <v>1</v>
      </c>
      <c r="C2536" t="str">
        <f t="shared" si="145"/>
        <v>111</v>
      </c>
      <c r="D2536" t="str">
        <f>"19"</f>
        <v>19</v>
      </c>
      <c r="E2536" t="str">
        <f>"1-111-19"</f>
        <v>1-111-19</v>
      </c>
      <c r="F2536" t="s">
        <v>83</v>
      </c>
      <c r="G2536" t="s">
        <v>84</v>
      </c>
      <c r="H2536" t="s">
        <v>85</v>
      </c>
      <c r="AC2536">
        <v>0</v>
      </c>
      <c r="AD2536">
        <v>1</v>
      </c>
      <c r="AE2536">
        <v>0</v>
      </c>
      <c r="AF2536">
        <v>0</v>
      </c>
      <c r="AG2536">
        <v>0</v>
      </c>
      <c r="AJ2536">
        <v>0</v>
      </c>
      <c r="AK2536">
        <v>1</v>
      </c>
      <c r="AL2536">
        <v>0</v>
      </c>
      <c r="AM2536">
        <v>0</v>
      </c>
      <c r="AN2536">
        <v>1</v>
      </c>
      <c r="AO2536">
        <v>0</v>
      </c>
      <c r="AP2536">
        <v>0</v>
      </c>
      <c r="AQ2536">
        <v>0</v>
      </c>
      <c r="AR2536">
        <v>0</v>
      </c>
      <c r="AS2536">
        <v>0</v>
      </c>
      <c r="AT2536">
        <v>0</v>
      </c>
      <c r="AV2536">
        <v>0</v>
      </c>
      <c r="AW2536">
        <v>0</v>
      </c>
    </row>
    <row r="2537" spans="1:49" x14ac:dyDescent="0.25">
      <c r="A2537" t="str">
        <f>"2533"</f>
        <v>2533</v>
      </c>
      <c r="B2537" t="str">
        <f t="shared" si="146"/>
        <v>1</v>
      </c>
      <c r="C2537" t="str">
        <f t="shared" si="145"/>
        <v>111</v>
      </c>
      <c r="D2537" t="str">
        <f>"12"</f>
        <v>12</v>
      </c>
      <c r="E2537" t="str">
        <f>"1-111-12"</f>
        <v>1-111-12</v>
      </c>
      <c r="F2537" t="s">
        <v>83</v>
      </c>
      <c r="G2537" t="s">
        <v>84</v>
      </c>
      <c r="H2537" t="s">
        <v>85</v>
      </c>
      <c r="AC2537">
        <v>1</v>
      </c>
      <c r="AD2537">
        <v>0</v>
      </c>
      <c r="AE2537">
        <v>0</v>
      </c>
      <c r="AF2537">
        <v>0</v>
      </c>
      <c r="AG2537">
        <v>0</v>
      </c>
      <c r="AJ2537">
        <v>0</v>
      </c>
      <c r="AK2537">
        <v>1</v>
      </c>
      <c r="AL2537">
        <v>0</v>
      </c>
      <c r="AM2537">
        <v>1</v>
      </c>
      <c r="AN2537">
        <v>0</v>
      </c>
      <c r="AO2537">
        <v>0</v>
      </c>
      <c r="AP2537">
        <v>0</v>
      </c>
      <c r="AQ2537">
        <v>0</v>
      </c>
      <c r="AR2537">
        <v>0</v>
      </c>
      <c r="AS2537">
        <v>0</v>
      </c>
      <c r="AT2537">
        <v>0</v>
      </c>
      <c r="AV2537">
        <v>0</v>
      </c>
      <c r="AW2537">
        <v>0</v>
      </c>
    </row>
    <row r="2538" spans="1:49" x14ac:dyDescent="0.25">
      <c r="A2538" t="str">
        <f>"2534"</f>
        <v>2534</v>
      </c>
      <c r="B2538" t="str">
        <f t="shared" si="146"/>
        <v>1</v>
      </c>
      <c r="C2538" t="str">
        <f t="shared" si="145"/>
        <v>111</v>
      </c>
      <c r="D2538" t="str">
        <f>"7"</f>
        <v>7</v>
      </c>
      <c r="E2538" t="str">
        <f>"1-111-7"</f>
        <v>1-111-7</v>
      </c>
      <c r="F2538" t="s">
        <v>83</v>
      </c>
      <c r="G2538" t="s">
        <v>84</v>
      </c>
      <c r="H2538" t="s">
        <v>85</v>
      </c>
      <c r="AC2538">
        <v>0</v>
      </c>
      <c r="AD2538">
        <v>1</v>
      </c>
      <c r="AE2538">
        <v>0</v>
      </c>
      <c r="AF2538">
        <v>0</v>
      </c>
      <c r="AG2538">
        <v>1</v>
      </c>
      <c r="AJ2538">
        <v>0</v>
      </c>
      <c r="AK2538">
        <v>1</v>
      </c>
      <c r="AL2538">
        <v>0</v>
      </c>
      <c r="AM2538">
        <v>0</v>
      </c>
      <c r="AN2538">
        <v>1</v>
      </c>
      <c r="AO2538">
        <v>1</v>
      </c>
      <c r="AP2538">
        <v>1</v>
      </c>
      <c r="AQ2538">
        <v>1</v>
      </c>
      <c r="AR2538">
        <v>1</v>
      </c>
      <c r="AS2538">
        <v>1</v>
      </c>
      <c r="AT2538">
        <v>0</v>
      </c>
      <c r="AV2538">
        <v>1</v>
      </c>
      <c r="AW2538">
        <v>1</v>
      </c>
    </row>
    <row r="2539" spans="1:49" x14ac:dyDescent="0.25">
      <c r="A2539" t="str">
        <f>"2535"</f>
        <v>2535</v>
      </c>
      <c r="B2539" t="str">
        <f t="shared" si="146"/>
        <v>1</v>
      </c>
      <c r="C2539" t="str">
        <f t="shared" si="145"/>
        <v>111</v>
      </c>
      <c r="D2539" t="str">
        <f>"20"</f>
        <v>20</v>
      </c>
      <c r="E2539" t="str">
        <f>"1-111-20"</f>
        <v>1-111-20</v>
      </c>
      <c r="F2539" t="s">
        <v>83</v>
      </c>
      <c r="G2539" t="s">
        <v>86</v>
      </c>
      <c r="H2539" t="s">
        <v>93</v>
      </c>
      <c r="I2539">
        <v>1</v>
      </c>
      <c r="K2539">
        <v>0</v>
      </c>
      <c r="L2539">
        <v>0</v>
      </c>
      <c r="M2539">
        <v>1</v>
      </c>
      <c r="N2539">
        <v>1</v>
      </c>
      <c r="O2539">
        <v>1</v>
      </c>
      <c r="P2539">
        <v>1</v>
      </c>
      <c r="Q2539">
        <v>1</v>
      </c>
      <c r="R2539">
        <v>1</v>
      </c>
      <c r="U2539">
        <v>1</v>
      </c>
      <c r="V2539">
        <v>0</v>
      </c>
      <c r="W2539">
        <v>1</v>
      </c>
      <c r="X2539">
        <v>1</v>
      </c>
      <c r="Y2539">
        <v>1</v>
      </c>
      <c r="Z2539">
        <v>1</v>
      </c>
      <c r="AA2539">
        <v>1</v>
      </c>
      <c r="AB2539">
        <v>1</v>
      </c>
    </row>
    <row r="2540" spans="1:49" x14ac:dyDescent="0.25">
      <c r="A2540" t="str">
        <f>"2536"</f>
        <v>2536</v>
      </c>
      <c r="B2540" t="str">
        <f t="shared" si="146"/>
        <v>1</v>
      </c>
      <c r="C2540" t="str">
        <f t="shared" si="145"/>
        <v>111</v>
      </c>
      <c r="D2540" t="str">
        <f>"13"</f>
        <v>13</v>
      </c>
      <c r="E2540" t="str">
        <f>"1-111-13"</f>
        <v>1-111-13</v>
      </c>
      <c r="F2540" t="s">
        <v>83</v>
      </c>
      <c r="G2540" t="s">
        <v>84</v>
      </c>
      <c r="H2540" t="s">
        <v>92</v>
      </c>
      <c r="I2540">
        <v>1</v>
      </c>
      <c r="J2540">
        <v>1</v>
      </c>
      <c r="N2540">
        <v>1</v>
      </c>
      <c r="O2540">
        <v>1</v>
      </c>
      <c r="P2540">
        <v>1</v>
      </c>
      <c r="Q2540">
        <v>1</v>
      </c>
      <c r="R2540">
        <v>1</v>
      </c>
      <c r="S2540">
        <v>1</v>
      </c>
      <c r="T2540">
        <v>1</v>
      </c>
      <c r="W2540">
        <v>1</v>
      </c>
      <c r="X2540">
        <v>1</v>
      </c>
      <c r="Y2540">
        <v>1</v>
      </c>
      <c r="Z2540">
        <v>1</v>
      </c>
      <c r="AA2540">
        <v>1</v>
      </c>
      <c r="AB2540">
        <v>1</v>
      </c>
    </row>
    <row r="2541" spans="1:49" x14ac:dyDescent="0.25">
      <c r="A2541" t="str">
        <f>"2537"</f>
        <v>2537</v>
      </c>
      <c r="B2541" t="str">
        <f t="shared" si="146"/>
        <v>1</v>
      </c>
      <c r="C2541" t="str">
        <f t="shared" si="145"/>
        <v>111</v>
      </c>
      <c r="D2541" t="str">
        <f>"5"</f>
        <v>5</v>
      </c>
      <c r="E2541" t="str">
        <f>"1-111-5"</f>
        <v>1-111-5</v>
      </c>
      <c r="F2541" t="s">
        <v>83</v>
      </c>
      <c r="G2541" t="s">
        <v>84</v>
      </c>
      <c r="H2541" t="s">
        <v>85</v>
      </c>
      <c r="AC2541">
        <v>0</v>
      </c>
      <c r="AD2541">
        <v>1</v>
      </c>
      <c r="AE2541">
        <v>0</v>
      </c>
      <c r="AF2541">
        <v>0</v>
      </c>
      <c r="AG2541">
        <v>0</v>
      </c>
      <c r="AJ2541">
        <v>1</v>
      </c>
      <c r="AK2541">
        <v>0</v>
      </c>
      <c r="AL2541">
        <v>0</v>
      </c>
      <c r="AM2541">
        <v>1</v>
      </c>
      <c r="AN2541">
        <v>0</v>
      </c>
      <c r="AO2541">
        <v>0</v>
      </c>
      <c r="AP2541">
        <v>0</v>
      </c>
      <c r="AQ2541">
        <v>0</v>
      </c>
      <c r="AR2541">
        <v>0</v>
      </c>
      <c r="AS2541">
        <v>1</v>
      </c>
      <c r="AT2541">
        <v>0</v>
      </c>
      <c r="AV2541">
        <v>0</v>
      </c>
      <c r="AW2541">
        <v>0</v>
      </c>
    </row>
    <row r="2542" spans="1:49" x14ac:dyDescent="0.25">
      <c r="A2542" t="str">
        <f>"2538"</f>
        <v>2538</v>
      </c>
      <c r="B2542" t="str">
        <f t="shared" si="146"/>
        <v>1</v>
      </c>
      <c r="C2542" t="str">
        <f t="shared" si="145"/>
        <v>111</v>
      </c>
      <c r="D2542" t="str">
        <f>"14"</f>
        <v>14</v>
      </c>
      <c r="E2542" t="str">
        <f>"1-111-14"</f>
        <v>1-111-14</v>
      </c>
      <c r="F2542" t="s">
        <v>83</v>
      </c>
      <c r="G2542" t="s">
        <v>84</v>
      </c>
      <c r="H2542" t="s">
        <v>92</v>
      </c>
      <c r="I2542">
        <v>1</v>
      </c>
      <c r="J2542">
        <v>0</v>
      </c>
      <c r="N2542">
        <v>0</v>
      </c>
      <c r="O2542">
        <v>0</v>
      </c>
      <c r="P2542">
        <v>0</v>
      </c>
      <c r="Q2542">
        <v>1</v>
      </c>
      <c r="R2542">
        <v>0</v>
      </c>
      <c r="S2542">
        <v>0</v>
      </c>
      <c r="T2542">
        <v>0</v>
      </c>
      <c r="W2542">
        <v>0</v>
      </c>
      <c r="X2542">
        <v>1</v>
      </c>
      <c r="Y2542">
        <v>0</v>
      </c>
      <c r="Z2542">
        <v>0</v>
      </c>
      <c r="AA2542">
        <v>0</v>
      </c>
      <c r="AB2542">
        <v>0</v>
      </c>
    </row>
    <row r="2543" spans="1:49" x14ac:dyDescent="0.25">
      <c r="A2543" t="str">
        <f>"2539"</f>
        <v>2539</v>
      </c>
      <c r="B2543" t="str">
        <f t="shared" si="146"/>
        <v>1</v>
      </c>
      <c r="C2543" t="str">
        <f t="shared" si="145"/>
        <v>111</v>
      </c>
      <c r="D2543" t="str">
        <f>"2"</f>
        <v>2</v>
      </c>
      <c r="E2543" t="str">
        <f>"1-111-2"</f>
        <v>1-111-2</v>
      </c>
      <c r="F2543" t="s">
        <v>83</v>
      </c>
      <c r="G2543" t="s">
        <v>84</v>
      </c>
      <c r="H2543" t="s">
        <v>85</v>
      </c>
      <c r="AC2543">
        <v>0</v>
      </c>
      <c r="AD2543">
        <v>1</v>
      </c>
      <c r="AE2543">
        <v>0</v>
      </c>
      <c r="AF2543">
        <v>0</v>
      </c>
      <c r="AG2543">
        <v>1</v>
      </c>
      <c r="AJ2543">
        <v>0</v>
      </c>
      <c r="AK2543">
        <v>1</v>
      </c>
      <c r="AL2543">
        <v>0</v>
      </c>
      <c r="AM2543">
        <v>1</v>
      </c>
      <c r="AN2543">
        <v>0</v>
      </c>
      <c r="AO2543">
        <v>1</v>
      </c>
      <c r="AP2543">
        <v>1</v>
      </c>
      <c r="AQ2543">
        <v>1</v>
      </c>
      <c r="AR2543">
        <v>1</v>
      </c>
      <c r="AS2543">
        <v>1</v>
      </c>
      <c r="AT2543">
        <v>0</v>
      </c>
      <c r="AV2543">
        <v>1</v>
      </c>
      <c r="AW2543">
        <v>0</v>
      </c>
    </row>
    <row r="2544" spans="1:49" x14ac:dyDescent="0.25">
      <c r="A2544" t="str">
        <f>"2540"</f>
        <v>2540</v>
      </c>
      <c r="B2544" t="str">
        <f t="shared" si="146"/>
        <v>1</v>
      </c>
      <c r="C2544" t="str">
        <f t="shared" ref="C2544:C2568" si="147">"112"</f>
        <v>112</v>
      </c>
      <c r="D2544" t="str">
        <f>"15"</f>
        <v>15</v>
      </c>
      <c r="E2544" t="str">
        <f>"1-112-15"</f>
        <v>1-112-15</v>
      </c>
      <c r="F2544" t="s">
        <v>83</v>
      </c>
      <c r="G2544" t="s">
        <v>84</v>
      </c>
      <c r="H2544" t="s">
        <v>92</v>
      </c>
      <c r="I2544">
        <v>1</v>
      </c>
      <c r="J2544">
        <v>1</v>
      </c>
      <c r="N2544">
        <v>1</v>
      </c>
      <c r="O2544">
        <v>1</v>
      </c>
      <c r="P2544">
        <v>0</v>
      </c>
      <c r="Q2544">
        <v>1</v>
      </c>
      <c r="R2544">
        <v>1</v>
      </c>
      <c r="S2544">
        <v>1</v>
      </c>
      <c r="T2544">
        <v>0</v>
      </c>
      <c r="W2544">
        <v>1</v>
      </c>
      <c r="X2544">
        <v>1</v>
      </c>
      <c r="Y2544">
        <v>1</v>
      </c>
      <c r="Z2544">
        <v>1</v>
      </c>
      <c r="AA2544">
        <v>1</v>
      </c>
      <c r="AB2544">
        <v>1</v>
      </c>
    </row>
    <row r="2545" spans="1:49" x14ac:dyDescent="0.25">
      <c r="A2545" t="str">
        <f>"2541"</f>
        <v>2541</v>
      </c>
      <c r="B2545" t="str">
        <f t="shared" si="146"/>
        <v>1</v>
      </c>
      <c r="C2545" t="str">
        <f t="shared" si="147"/>
        <v>112</v>
      </c>
      <c r="D2545" t="str">
        <f>"14"</f>
        <v>14</v>
      </c>
      <c r="E2545" t="str">
        <f>"1-112-14"</f>
        <v>1-112-14</v>
      </c>
      <c r="F2545" t="s">
        <v>83</v>
      </c>
      <c r="G2545" t="s">
        <v>86</v>
      </c>
      <c r="H2545" t="s">
        <v>87</v>
      </c>
      <c r="AC2545">
        <v>0</v>
      </c>
      <c r="AD2545">
        <v>1</v>
      </c>
      <c r="AE2545">
        <v>0</v>
      </c>
      <c r="AF2545">
        <v>0</v>
      </c>
      <c r="AH2545">
        <v>0</v>
      </c>
      <c r="AI2545">
        <v>1</v>
      </c>
      <c r="AJ2545">
        <v>0</v>
      </c>
      <c r="AK2545">
        <v>1</v>
      </c>
      <c r="AL2545">
        <v>0</v>
      </c>
      <c r="AM2545">
        <v>0</v>
      </c>
      <c r="AN2545">
        <v>0</v>
      </c>
      <c r="AO2545">
        <v>0</v>
      </c>
      <c r="AP2545">
        <v>0</v>
      </c>
      <c r="AQ2545">
        <v>0</v>
      </c>
      <c r="AU2545">
        <v>0</v>
      </c>
      <c r="AV2545">
        <v>0</v>
      </c>
      <c r="AW2545">
        <v>0</v>
      </c>
    </row>
    <row r="2546" spans="1:49" x14ac:dyDescent="0.25">
      <c r="A2546" t="str">
        <f>"2542"</f>
        <v>2542</v>
      </c>
      <c r="B2546" t="str">
        <f t="shared" si="146"/>
        <v>1</v>
      </c>
      <c r="C2546" t="str">
        <f t="shared" si="147"/>
        <v>112</v>
      </c>
      <c r="D2546" t="str">
        <f>"11"</f>
        <v>11</v>
      </c>
      <c r="E2546" t="str">
        <f>"1-112-11"</f>
        <v>1-112-11</v>
      </c>
      <c r="F2546" t="s">
        <v>83</v>
      </c>
      <c r="G2546" t="s">
        <v>84</v>
      </c>
      <c r="H2546" t="s">
        <v>92</v>
      </c>
      <c r="I2546">
        <v>0</v>
      </c>
      <c r="J2546">
        <v>0</v>
      </c>
      <c r="N2546">
        <v>1</v>
      </c>
      <c r="O2546">
        <v>0</v>
      </c>
      <c r="P2546">
        <v>0</v>
      </c>
      <c r="Q2546">
        <v>0</v>
      </c>
      <c r="R2546">
        <v>0</v>
      </c>
      <c r="S2546">
        <v>0</v>
      </c>
      <c r="T2546">
        <v>0</v>
      </c>
      <c r="W2546">
        <v>1</v>
      </c>
      <c r="X2546">
        <v>0</v>
      </c>
      <c r="Y2546">
        <v>1</v>
      </c>
      <c r="Z2546">
        <v>0</v>
      </c>
      <c r="AA2546">
        <v>0</v>
      </c>
      <c r="AB2546">
        <v>1</v>
      </c>
    </row>
    <row r="2547" spans="1:49" x14ac:dyDescent="0.25">
      <c r="A2547" t="str">
        <f>"2543"</f>
        <v>2543</v>
      </c>
      <c r="B2547" t="str">
        <f t="shared" si="146"/>
        <v>1</v>
      </c>
      <c r="C2547" t="str">
        <f t="shared" si="147"/>
        <v>112</v>
      </c>
      <c r="D2547" t="str">
        <f>"8"</f>
        <v>8</v>
      </c>
      <c r="E2547" t="str">
        <f>"1-112-8"</f>
        <v>1-112-8</v>
      </c>
      <c r="F2547" t="s">
        <v>83</v>
      </c>
      <c r="G2547" t="s">
        <v>84</v>
      </c>
      <c r="H2547" t="s">
        <v>85</v>
      </c>
      <c r="AC2547">
        <v>0</v>
      </c>
      <c r="AD2547">
        <v>1</v>
      </c>
      <c r="AE2547">
        <v>0</v>
      </c>
      <c r="AF2547">
        <v>0</v>
      </c>
      <c r="AG2547">
        <v>1</v>
      </c>
      <c r="AJ2547">
        <v>0</v>
      </c>
      <c r="AK2547">
        <v>1</v>
      </c>
      <c r="AL2547">
        <v>0</v>
      </c>
      <c r="AM2547">
        <v>1</v>
      </c>
      <c r="AN2547">
        <v>0</v>
      </c>
      <c r="AO2547">
        <v>1</v>
      </c>
      <c r="AP2547">
        <v>1</v>
      </c>
      <c r="AQ2547">
        <v>1</v>
      </c>
      <c r="AR2547">
        <v>1</v>
      </c>
      <c r="AS2547">
        <v>0</v>
      </c>
      <c r="AT2547">
        <v>1</v>
      </c>
      <c r="AV2547">
        <v>1</v>
      </c>
      <c r="AW2547">
        <v>1</v>
      </c>
    </row>
    <row r="2548" spans="1:49" x14ac:dyDescent="0.25">
      <c r="A2548" t="str">
        <f>"2544"</f>
        <v>2544</v>
      </c>
      <c r="B2548" t="str">
        <f t="shared" si="146"/>
        <v>1</v>
      </c>
      <c r="C2548" t="str">
        <f t="shared" si="147"/>
        <v>112</v>
      </c>
      <c r="D2548" t="str">
        <f>"2"</f>
        <v>2</v>
      </c>
      <c r="E2548" t="str">
        <f>"1-112-2"</f>
        <v>1-112-2</v>
      </c>
      <c r="F2548" t="s">
        <v>83</v>
      </c>
      <c r="G2548" t="s">
        <v>86</v>
      </c>
      <c r="H2548" t="s">
        <v>87</v>
      </c>
      <c r="AC2548">
        <v>1</v>
      </c>
      <c r="AD2548">
        <v>0</v>
      </c>
      <c r="AE2548">
        <v>0</v>
      </c>
      <c r="AF2548">
        <v>0</v>
      </c>
      <c r="AH2548">
        <v>1</v>
      </c>
      <c r="AI2548">
        <v>0</v>
      </c>
      <c r="AJ2548">
        <v>0</v>
      </c>
      <c r="AK2548">
        <v>1</v>
      </c>
      <c r="AL2548">
        <v>0</v>
      </c>
      <c r="AM2548">
        <v>1</v>
      </c>
      <c r="AN2548">
        <v>0</v>
      </c>
      <c r="AO2548">
        <v>1</v>
      </c>
      <c r="AP2548">
        <v>1</v>
      </c>
      <c r="AQ2548">
        <v>1</v>
      </c>
      <c r="AU2548">
        <v>1</v>
      </c>
      <c r="AV2548">
        <v>1</v>
      </c>
      <c r="AW2548">
        <v>1</v>
      </c>
    </row>
    <row r="2549" spans="1:49" x14ac:dyDescent="0.25">
      <c r="A2549" t="str">
        <f>"2545"</f>
        <v>2545</v>
      </c>
      <c r="B2549" t="str">
        <f t="shared" si="146"/>
        <v>1</v>
      </c>
      <c r="C2549" t="str">
        <f t="shared" si="147"/>
        <v>112</v>
      </c>
      <c r="D2549" t="str">
        <f>"23"</f>
        <v>23</v>
      </c>
      <c r="E2549" t="str">
        <f>"1-112-23"</f>
        <v>1-112-23</v>
      </c>
      <c r="F2549" t="s">
        <v>83</v>
      </c>
      <c r="G2549" t="s">
        <v>84</v>
      </c>
      <c r="H2549" t="s">
        <v>92</v>
      </c>
      <c r="I2549">
        <v>1</v>
      </c>
      <c r="J2549">
        <v>1</v>
      </c>
      <c r="N2549">
        <v>1</v>
      </c>
      <c r="O2549">
        <v>1</v>
      </c>
      <c r="P2549">
        <v>0</v>
      </c>
      <c r="Q2549">
        <v>0</v>
      </c>
      <c r="R2549">
        <v>1</v>
      </c>
      <c r="S2549">
        <v>1</v>
      </c>
      <c r="T2549">
        <v>0</v>
      </c>
      <c r="W2549">
        <v>1</v>
      </c>
      <c r="X2549">
        <v>1</v>
      </c>
      <c r="Y2549">
        <v>1</v>
      </c>
      <c r="Z2549">
        <v>1</v>
      </c>
      <c r="AA2549">
        <v>1</v>
      </c>
      <c r="AB2549">
        <v>1</v>
      </c>
    </row>
    <row r="2550" spans="1:49" x14ac:dyDescent="0.25">
      <c r="A2550" t="str">
        <f>"2546"</f>
        <v>2546</v>
      </c>
      <c r="B2550" t="str">
        <f t="shared" si="146"/>
        <v>1</v>
      </c>
      <c r="C2550" t="str">
        <f t="shared" si="147"/>
        <v>112</v>
      </c>
      <c r="D2550" t="str">
        <f>"22"</f>
        <v>22</v>
      </c>
      <c r="E2550" t="str">
        <f>"1-112-22"</f>
        <v>1-112-22</v>
      </c>
      <c r="F2550" t="s">
        <v>83</v>
      </c>
      <c r="G2550" t="s">
        <v>84</v>
      </c>
      <c r="H2550" t="s">
        <v>85</v>
      </c>
      <c r="AC2550">
        <v>0</v>
      </c>
      <c r="AD2550">
        <v>1</v>
      </c>
      <c r="AE2550">
        <v>0</v>
      </c>
      <c r="AF2550">
        <v>0</v>
      </c>
      <c r="AG2550">
        <v>0</v>
      </c>
      <c r="AJ2550">
        <v>0</v>
      </c>
      <c r="AK2550">
        <v>1</v>
      </c>
      <c r="AL2550">
        <v>0</v>
      </c>
      <c r="AM2550">
        <v>1</v>
      </c>
      <c r="AN2550">
        <v>0</v>
      </c>
      <c r="AO2550">
        <v>1</v>
      </c>
      <c r="AP2550">
        <v>1</v>
      </c>
      <c r="AQ2550">
        <v>1</v>
      </c>
      <c r="AR2550">
        <v>1</v>
      </c>
      <c r="AS2550">
        <v>1</v>
      </c>
      <c r="AT2550">
        <v>0</v>
      </c>
      <c r="AV2550">
        <v>1</v>
      </c>
      <c r="AW2550">
        <v>1</v>
      </c>
    </row>
    <row r="2551" spans="1:49" x14ac:dyDescent="0.25">
      <c r="A2551" t="str">
        <f>"2547"</f>
        <v>2547</v>
      </c>
      <c r="B2551" t="str">
        <f t="shared" si="146"/>
        <v>1</v>
      </c>
      <c r="C2551" t="str">
        <f t="shared" si="147"/>
        <v>112</v>
      </c>
      <c r="D2551" t="str">
        <f>"16"</f>
        <v>16</v>
      </c>
      <c r="E2551" t="str">
        <f>"1-112-16"</f>
        <v>1-112-16</v>
      </c>
      <c r="F2551" t="s">
        <v>83</v>
      </c>
      <c r="G2551" t="s">
        <v>84</v>
      </c>
      <c r="H2551" t="s">
        <v>85</v>
      </c>
      <c r="AC2551">
        <v>1</v>
      </c>
      <c r="AD2551">
        <v>0</v>
      </c>
      <c r="AE2551">
        <v>0</v>
      </c>
      <c r="AF2551">
        <v>0</v>
      </c>
      <c r="AG2551">
        <v>1</v>
      </c>
      <c r="AJ2551">
        <v>0</v>
      </c>
      <c r="AK2551">
        <v>1</v>
      </c>
      <c r="AL2551">
        <v>0</v>
      </c>
      <c r="AM2551">
        <v>0</v>
      </c>
      <c r="AN2551">
        <v>1</v>
      </c>
      <c r="AO2551">
        <v>1</v>
      </c>
      <c r="AP2551">
        <v>1</v>
      </c>
      <c r="AQ2551">
        <v>1</v>
      </c>
      <c r="AR2551">
        <v>1</v>
      </c>
      <c r="AS2551">
        <v>1</v>
      </c>
      <c r="AT2551">
        <v>0</v>
      </c>
      <c r="AV2551">
        <v>1</v>
      </c>
      <c r="AW2551">
        <v>1</v>
      </c>
    </row>
    <row r="2552" spans="1:49" x14ac:dyDescent="0.25">
      <c r="A2552" t="str">
        <f>"2548"</f>
        <v>2548</v>
      </c>
      <c r="B2552" t="str">
        <f t="shared" si="146"/>
        <v>1</v>
      </c>
      <c r="C2552" t="str">
        <f t="shared" si="147"/>
        <v>112</v>
      </c>
      <c r="D2552" t="str">
        <f>"9"</f>
        <v>9</v>
      </c>
      <c r="E2552" t="str">
        <f>"1-112-9"</f>
        <v>1-112-9</v>
      </c>
      <c r="F2552" t="s">
        <v>83</v>
      </c>
      <c r="G2552" t="s">
        <v>84</v>
      </c>
      <c r="H2552" t="s">
        <v>85</v>
      </c>
      <c r="AC2552">
        <v>0</v>
      </c>
      <c r="AD2552">
        <v>1</v>
      </c>
      <c r="AE2552">
        <v>0</v>
      </c>
      <c r="AF2552">
        <v>0</v>
      </c>
      <c r="AG2552">
        <v>0</v>
      </c>
      <c r="AJ2552">
        <v>0</v>
      </c>
      <c r="AK2552">
        <v>1</v>
      </c>
      <c r="AL2552">
        <v>0</v>
      </c>
      <c r="AM2552">
        <v>0</v>
      </c>
      <c r="AN2552">
        <v>1</v>
      </c>
      <c r="AO2552">
        <v>0</v>
      </c>
      <c r="AP2552">
        <v>0</v>
      </c>
      <c r="AQ2552">
        <v>0</v>
      </c>
      <c r="AR2552">
        <v>0</v>
      </c>
      <c r="AS2552">
        <v>0</v>
      </c>
      <c r="AT2552">
        <v>1</v>
      </c>
      <c r="AV2552">
        <v>0</v>
      </c>
      <c r="AW2552">
        <v>0</v>
      </c>
    </row>
    <row r="2553" spans="1:49" x14ac:dyDescent="0.25">
      <c r="A2553" t="str">
        <f>"2549"</f>
        <v>2549</v>
      </c>
      <c r="B2553" t="str">
        <f t="shared" si="146"/>
        <v>1</v>
      </c>
      <c r="C2553" t="str">
        <f t="shared" si="147"/>
        <v>112</v>
      </c>
      <c r="D2553" t="str">
        <f>"1"</f>
        <v>1</v>
      </c>
      <c r="E2553" t="str">
        <f>"1-112-1"</f>
        <v>1-112-1</v>
      </c>
      <c r="F2553" t="s">
        <v>83</v>
      </c>
      <c r="G2553" t="s">
        <v>84</v>
      </c>
      <c r="H2553" t="s">
        <v>85</v>
      </c>
      <c r="AC2553">
        <v>0</v>
      </c>
      <c r="AD2553">
        <v>1</v>
      </c>
      <c r="AE2553">
        <v>0</v>
      </c>
      <c r="AF2553">
        <v>0</v>
      </c>
      <c r="AG2553">
        <v>0</v>
      </c>
      <c r="AJ2553">
        <v>0</v>
      </c>
      <c r="AK2553">
        <v>1</v>
      </c>
      <c r="AL2553">
        <v>0</v>
      </c>
      <c r="AM2553">
        <v>0</v>
      </c>
      <c r="AN2553">
        <v>1</v>
      </c>
      <c r="AO2553">
        <v>0</v>
      </c>
      <c r="AP2553">
        <v>0</v>
      </c>
      <c r="AQ2553">
        <v>0</v>
      </c>
      <c r="AR2553">
        <v>0</v>
      </c>
      <c r="AS2553">
        <v>1</v>
      </c>
      <c r="AT2553">
        <v>0</v>
      </c>
      <c r="AV2553">
        <v>0</v>
      </c>
      <c r="AW2553">
        <v>0</v>
      </c>
    </row>
    <row r="2554" spans="1:49" x14ac:dyDescent="0.25">
      <c r="A2554" t="str">
        <f>"2550"</f>
        <v>2550</v>
      </c>
      <c r="B2554" t="str">
        <f t="shared" si="146"/>
        <v>1</v>
      </c>
      <c r="C2554" t="str">
        <f t="shared" si="147"/>
        <v>112</v>
      </c>
      <c r="D2554" t="str">
        <f>"25"</f>
        <v>25</v>
      </c>
      <c r="E2554" t="str">
        <f>"1-112-25"</f>
        <v>1-112-25</v>
      </c>
      <c r="F2554" t="s">
        <v>83</v>
      </c>
      <c r="G2554" t="s">
        <v>84</v>
      </c>
      <c r="H2554" t="s">
        <v>85</v>
      </c>
      <c r="AC2554">
        <v>1</v>
      </c>
      <c r="AD2554">
        <v>0</v>
      </c>
      <c r="AE2554">
        <v>0</v>
      </c>
      <c r="AF2554">
        <v>0</v>
      </c>
      <c r="AG2554">
        <v>1</v>
      </c>
      <c r="AJ2554">
        <v>0</v>
      </c>
      <c r="AK2554">
        <v>1</v>
      </c>
      <c r="AL2554">
        <v>0</v>
      </c>
      <c r="AM2554">
        <v>1</v>
      </c>
      <c r="AN2554">
        <v>0</v>
      </c>
      <c r="AO2554">
        <v>0</v>
      </c>
      <c r="AP2554">
        <v>1</v>
      </c>
      <c r="AQ2554">
        <v>1</v>
      </c>
      <c r="AR2554">
        <v>1</v>
      </c>
      <c r="AS2554">
        <v>0</v>
      </c>
      <c r="AT2554">
        <v>1</v>
      </c>
      <c r="AV2554">
        <v>1</v>
      </c>
      <c r="AW2554">
        <v>1</v>
      </c>
    </row>
    <row r="2555" spans="1:49" x14ac:dyDescent="0.25">
      <c r="A2555" t="str">
        <f>"2551"</f>
        <v>2551</v>
      </c>
      <c r="B2555" t="str">
        <f t="shared" si="146"/>
        <v>1</v>
      </c>
      <c r="C2555" t="str">
        <f t="shared" si="147"/>
        <v>112</v>
      </c>
      <c r="D2555" t="str">
        <f>"24"</f>
        <v>24</v>
      </c>
      <c r="E2555" t="str">
        <f>"1-112-24"</f>
        <v>1-112-24</v>
      </c>
      <c r="F2555" t="s">
        <v>83</v>
      </c>
      <c r="G2555" t="s">
        <v>84</v>
      </c>
      <c r="H2555" t="s">
        <v>92</v>
      </c>
      <c r="I2555">
        <v>1</v>
      </c>
      <c r="J2555">
        <v>1</v>
      </c>
      <c r="N2555">
        <v>1</v>
      </c>
      <c r="O2555">
        <v>1</v>
      </c>
      <c r="P2555">
        <v>1</v>
      </c>
      <c r="Q2555">
        <v>1</v>
      </c>
      <c r="R2555">
        <v>1</v>
      </c>
      <c r="S2555">
        <v>1</v>
      </c>
      <c r="T2555">
        <v>1</v>
      </c>
      <c r="W2555">
        <v>1</v>
      </c>
      <c r="X2555">
        <v>1</v>
      </c>
      <c r="Y2555">
        <v>1</v>
      </c>
      <c r="Z2555">
        <v>1</v>
      </c>
      <c r="AA2555">
        <v>1</v>
      </c>
      <c r="AB2555">
        <v>1</v>
      </c>
    </row>
    <row r="2556" spans="1:49" x14ac:dyDescent="0.25">
      <c r="A2556" t="str">
        <f>"2552"</f>
        <v>2552</v>
      </c>
      <c r="B2556" t="str">
        <f t="shared" si="146"/>
        <v>1</v>
      </c>
      <c r="C2556" t="str">
        <f t="shared" si="147"/>
        <v>112</v>
      </c>
      <c r="D2556" t="str">
        <f>"10"</f>
        <v>10</v>
      </c>
      <c r="E2556" t="str">
        <f>"1-112-10"</f>
        <v>1-112-10</v>
      </c>
      <c r="F2556" t="s">
        <v>83</v>
      </c>
      <c r="G2556" t="s">
        <v>84</v>
      </c>
      <c r="H2556" t="s">
        <v>85</v>
      </c>
      <c r="AC2556">
        <v>0</v>
      </c>
      <c r="AD2556">
        <v>1</v>
      </c>
      <c r="AE2556">
        <v>0</v>
      </c>
      <c r="AF2556">
        <v>0</v>
      </c>
      <c r="AG2556">
        <v>0</v>
      </c>
      <c r="AJ2556">
        <v>0</v>
      </c>
      <c r="AK2556">
        <v>1</v>
      </c>
      <c r="AL2556">
        <v>0</v>
      </c>
      <c r="AM2556">
        <v>0</v>
      </c>
      <c r="AN2556">
        <v>1</v>
      </c>
      <c r="AO2556">
        <v>0</v>
      </c>
      <c r="AP2556">
        <v>0</v>
      </c>
      <c r="AQ2556">
        <v>0</v>
      </c>
      <c r="AR2556">
        <v>0</v>
      </c>
      <c r="AS2556">
        <v>0</v>
      </c>
      <c r="AT2556">
        <v>1</v>
      </c>
      <c r="AV2556">
        <v>0</v>
      </c>
      <c r="AW2556">
        <v>0</v>
      </c>
    </row>
    <row r="2557" spans="1:49" x14ac:dyDescent="0.25">
      <c r="A2557" t="str">
        <f>"2553"</f>
        <v>2553</v>
      </c>
      <c r="B2557" t="str">
        <f t="shared" si="146"/>
        <v>1</v>
      </c>
      <c r="C2557" t="str">
        <f t="shared" si="147"/>
        <v>112</v>
      </c>
      <c r="D2557" t="str">
        <f>"5"</f>
        <v>5</v>
      </c>
      <c r="E2557" t="str">
        <f>"1-112-5"</f>
        <v>1-112-5</v>
      </c>
      <c r="F2557" t="s">
        <v>83</v>
      </c>
      <c r="G2557" t="s">
        <v>84</v>
      </c>
      <c r="H2557" t="s">
        <v>85</v>
      </c>
      <c r="AC2557">
        <v>0</v>
      </c>
      <c r="AD2557">
        <v>1</v>
      </c>
      <c r="AE2557">
        <v>0</v>
      </c>
      <c r="AF2557">
        <v>0</v>
      </c>
      <c r="AG2557">
        <v>0</v>
      </c>
      <c r="AJ2557">
        <v>0</v>
      </c>
      <c r="AK2557">
        <v>0</v>
      </c>
      <c r="AL2557">
        <v>0</v>
      </c>
      <c r="AM2557">
        <v>0</v>
      </c>
      <c r="AN2557">
        <v>0</v>
      </c>
      <c r="AO2557">
        <v>0</v>
      </c>
      <c r="AP2557">
        <v>0</v>
      </c>
      <c r="AQ2557">
        <v>0</v>
      </c>
      <c r="AR2557">
        <v>0</v>
      </c>
      <c r="AS2557">
        <v>0</v>
      </c>
      <c r="AT2557">
        <v>0</v>
      </c>
      <c r="AV2557">
        <v>0</v>
      </c>
      <c r="AW2557">
        <v>1</v>
      </c>
    </row>
    <row r="2558" spans="1:49" x14ac:dyDescent="0.25">
      <c r="A2558" t="str">
        <f>"2554"</f>
        <v>2554</v>
      </c>
      <c r="B2558" t="str">
        <f t="shared" si="146"/>
        <v>1</v>
      </c>
      <c r="C2558" t="str">
        <f t="shared" si="147"/>
        <v>112</v>
      </c>
      <c r="D2558" t="str">
        <f>"21"</f>
        <v>21</v>
      </c>
      <c r="E2558" t="str">
        <f>"1-112-21"</f>
        <v>1-112-21</v>
      </c>
      <c r="F2558" t="s">
        <v>83</v>
      </c>
      <c r="G2558" t="s">
        <v>84</v>
      </c>
      <c r="H2558" t="s">
        <v>92</v>
      </c>
      <c r="I2558">
        <v>1</v>
      </c>
      <c r="J2558">
        <v>1</v>
      </c>
      <c r="N2558">
        <v>1</v>
      </c>
      <c r="O2558">
        <v>1</v>
      </c>
      <c r="P2558">
        <v>1</v>
      </c>
      <c r="Q2558">
        <v>1</v>
      </c>
      <c r="R2558">
        <v>1</v>
      </c>
      <c r="S2558">
        <v>1</v>
      </c>
      <c r="T2558">
        <v>1</v>
      </c>
      <c r="W2558">
        <v>1</v>
      </c>
      <c r="X2558">
        <v>1</v>
      </c>
      <c r="Y2558">
        <v>1</v>
      </c>
      <c r="Z2558">
        <v>1</v>
      </c>
      <c r="AA2558">
        <v>1</v>
      </c>
      <c r="AB2558">
        <v>1</v>
      </c>
    </row>
    <row r="2559" spans="1:49" x14ac:dyDescent="0.25">
      <c r="A2559" t="str">
        <f>"2555"</f>
        <v>2555</v>
      </c>
      <c r="B2559" t="str">
        <f t="shared" si="146"/>
        <v>1</v>
      </c>
      <c r="C2559" t="str">
        <f t="shared" si="147"/>
        <v>112</v>
      </c>
      <c r="D2559" t="str">
        <f>"12"</f>
        <v>12</v>
      </c>
      <c r="E2559" t="str">
        <f>"1-112-12"</f>
        <v>1-112-12</v>
      </c>
      <c r="F2559" t="s">
        <v>83</v>
      </c>
      <c r="G2559" t="s">
        <v>84</v>
      </c>
      <c r="H2559" t="s">
        <v>85</v>
      </c>
      <c r="AC2559">
        <v>0</v>
      </c>
      <c r="AD2559">
        <v>1</v>
      </c>
      <c r="AE2559">
        <v>0</v>
      </c>
      <c r="AF2559">
        <v>0</v>
      </c>
      <c r="AG2559">
        <v>0</v>
      </c>
      <c r="AJ2559">
        <v>0</v>
      </c>
      <c r="AK2559">
        <v>1</v>
      </c>
      <c r="AL2559">
        <v>0</v>
      </c>
      <c r="AM2559">
        <v>0</v>
      </c>
      <c r="AN2559">
        <v>1</v>
      </c>
      <c r="AO2559">
        <v>0</v>
      </c>
      <c r="AP2559">
        <v>0</v>
      </c>
      <c r="AQ2559">
        <v>0</v>
      </c>
      <c r="AR2559">
        <v>0</v>
      </c>
      <c r="AS2559">
        <v>0</v>
      </c>
      <c r="AT2559">
        <v>1</v>
      </c>
      <c r="AV2559">
        <v>0</v>
      </c>
      <c r="AW2559">
        <v>0</v>
      </c>
    </row>
    <row r="2560" spans="1:49" x14ac:dyDescent="0.25">
      <c r="A2560" t="str">
        <f>"2556"</f>
        <v>2556</v>
      </c>
      <c r="B2560" t="str">
        <f t="shared" si="146"/>
        <v>1</v>
      </c>
      <c r="C2560" t="str">
        <f t="shared" si="147"/>
        <v>112</v>
      </c>
      <c r="D2560" t="str">
        <f>"4"</f>
        <v>4</v>
      </c>
      <c r="E2560" t="str">
        <f>"1-112-4"</f>
        <v>1-112-4</v>
      </c>
      <c r="F2560" t="s">
        <v>83</v>
      </c>
      <c r="G2560" t="s">
        <v>84</v>
      </c>
      <c r="H2560" t="s">
        <v>92</v>
      </c>
      <c r="I2560">
        <v>1</v>
      </c>
      <c r="J2560">
        <v>1</v>
      </c>
      <c r="N2560">
        <v>1</v>
      </c>
      <c r="O2560">
        <v>1</v>
      </c>
      <c r="P2560">
        <v>1</v>
      </c>
      <c r="Q2560">
        <v>1</v>
      </c>
      <c r="R2560">
        <v>1</v>
      </c>
      <c r="S2560">
        <v>1</v>
      </c>
      <c r="T2560">
        <v>1</v>
      </c>
      <c r="W2560">
        <v>1</v>
      </c>
      <c r="X2560">
        <v>1</v>
      </c>
      <c r="Y2560">
        <v>1</v>
      </c>
      <c r="Z2560">
        <v>1</v>
      </c>
      <c r="AA2560">
        <v>1</v>
      </c>
      <c r="AB2560">
        <v>1</v>
      </c>
    </row>
    <row r="2561" spans="1:49" x14ac:dyDescent="0.25">
      <c r="A2561" t="str">
        <f>"2557"</f>
        <v>2557</v>
      </c>
      <c r="B2561" t="str">
        <f t="shared" si="146"/>
        <v>1</v>
      </c>
      <c r="C2561" t="str">
        <f t="shared" si="147"/>
        <v>112</v>
      </c>
      <c r="D2561" t="str">
        <f>"20"</f>
        <v>20</v>
      </c>
      <c r="E2561" t="str">
        <f>"1-112-20"</f>
        <v>1-112-20</v>
      </c>
      <c r="F2561" t="s">
        <v>83</v>
      </c>
      <c r="G2561" t="s">
        <v>84</v>
      </c>
      <c r="H2561" t="s">
        <v>92</v>
      </c>
      <c r="I2561">
        <v>1</v>
      </c>
      <c r="J2561">
        <v>0</v>
      </c>
      <c r="N2561">
        <v>0</v>
      </c>
      <c r="O2561">
        <v>0</v>
      </c>
      <c r="P2561">
        <v>0</v>
      </c>
      <c r="Q2561">
        <v>0</v>
      </c>
      <c r="R2561">
        <v>0</v>
      </c>
      <c r="S2561">
        <v>0</v>
      </c>
      <c r="T2561">
        <v>0</v>
      </c>
      <c r="W2561">
        <v>0</v>
      </c>
      <c r="X2561">
        <v>0</v>
      </c>
      <c r="Y2561">
        <v>0</v>
      </c>
      <c r="Z2561">
        <v>0</v>
      </c>
      <c r="AA2561">
        <v>0</v>
      </c>
      <c r="AB2561">
        <v>0</v>
      </c>
    </row>
    <row r="2562" spans="1:49" x14ac:dyDescent="0.25">
      <c r="A2562" t="str">
        <f>"2558"</f>
        <v>2558</v>
      </c>
      <c r="B2562" t="str">
        <f t="shared" si="146"/>
        <v>1</v>
      </c>
      <c r="C2562" t="str">
        <f t="shared" si="147"/>
        <v>112</v>
      </c>
      <c r="D2562" t="str">
        <f>"13"</f>
        <v>13</v>
      </c>
      <c r="E2562" t="str">
        <f>"1-112-13"</f>
        <v>1-112-13</v>
      </c>
      <c r="F2562" t="s">
        <v>83</v>
      </c>
      <c r="G2562" t="s">
        <v>86</v>
      </c>
      <c r="H2562" t="s">
        <v>87</v>
      </c>
      <c r="AC2562">
        <v>0</v>
      </c>
      <c r="AD2562">
        <v>1</v>
      </c>
      <c r="AE2562">
        <v>0</v>
      </c>
      <c r="AF2562">
        <v>0</v>
      </c>
      <c r="AH2562">
        <v>1</v>
      </c>
      <c r="AI2562">
        <v>0</v>
      </c>
      <c r="AJ2562">
        <v>0</v>
      </c>
      <c r="AK2562">
        <v>1</v>
      </c>
      <c r="AL2562">
        <v>0</v>
      </c>
      <c r="AM2562">
        <v>0</v>
      </c>
      <c r="AN2562">
        <v>1</v>
      </c>
      <c r="AO2562">
        <v>1</v>
      </c>
      <c r="AP2562">
        <v>1</v>
      </c>
      <c r="AQ2562">
        <v>1</v>
      </c>
      <c r="AU2562">
        <v>1</v>
      </c>
      <c r="AV2562">
        <v>1</v>
      </c>
      <c r="AW2562">
        <v>1</v>
      </c>
    </row>
    <row r="2563" spans="1:49" x14ac:dyDescent="0.25">
      <c r="A2563" t="str">
        <f>"2559"</f>
        <v>2559</v>
      </c>
      <c r="B2563" t="str">
        <f t="shared" si="146"/>
        <v>1</v>
      </c>
      <c r="C2563" t="str">
        <f t="shared" si="147"/>
        <v>112</v>
      </c>
      <c r="D2563" t="str">
        <f>"3"</f>
        <v>3</v>
      </c>
      <c r="E2563" t="str">
        <f>"1-112-3"</f>
        <v>1-112-3</v>
      </c>
      <c r="F2563" t="s">
        <v>83</v>
      </c>
      <c r="G2563" t="s">
        <v>84</v>
      </c>
      <c r="H2563" t="s">
        <v>92</v>
      </c>
      <c r="I2563">
        <v>1</v>
      </c>
      <c r="J2563">
        <v>1</v>
      </c>
      <c r="N2563">
        <v>1</v>
      </c>
      <c r="O2563">
        <v>1</v>
      </c>
      <c r="P2563">
        <v>1</v>
      </c>
      <c r="Q2563">
        <v>1</v>
      </c>
      <c r="R2563">
        <v>1</v>
      </c>
      <c r="S2563">
        <v>1</v>
      </c>
      <c r="T2563">
        <v>1</v>
      </c>
      <c r="W2563">
        <v>1</v>
      </c>
      <c r="X2563">
        <v>1</v>
      </c>
      <c r="Y2563">
        <v>1</v>
      </c>
      <c r="Z2563">
        <v>1</v>
      </c>
      <c r="AA2563">
        <v>1</v>
      </c>
      <c r="AB2563">
        <v>1</v>
      </c>
    </row>
    <row r="2564" spans="1:49" x14ac:dyDescent="0.25">
      <c r="A2564" t="str">
        <f>"2560"</f>
        <v>2560</v>
      </c>
      <c r="B2564" t="str">
        <f t="shared" si="146"/>
        <v>1</v>
      </c>
      <c r="C2564" t="str">
        <f t="shared" si="147"/>
        <v>112</v>
      </c>
      <c r="D2564" t="str">
        <f>"18"</f>
        <v>18</v>
      </c>
      <c r="E2564" t="str">
        <f>"1-112-18"</f>
        <v>1-112-18</v>
      </c>
      <c r="F2564" t="s">
        <v>83</v>
      </c>
      <c r="G2564" t="s">
        <v>84</v>
      </c>
      <c r="H2564" t="s">
        <v>92</v>
      </c>
      <c r="I2564">
        <v>1</v>
      </c>
      <c r="J2564">
        <v>1</v>
      </c>
      <c r="N2564">
        <v>1</v>
      </c>
      <c r="O2564">
        <v>1</v>
      </c>
      <c r="P2564">
        <v>1</v>
      </c>
      <c r="Q2564">
        <v>1</v>
      </c>
      <c r="R2564">
        <v>1</v>
      </c>
      <c r="S2564">
        <v>1</v>
      </c>
      <c r="T2564">
        <v>1</v>
      </c>
      <c r="W2564">
        <v>1</v>
      </c>
      <c r="X2564">
        <v>1</v>
      </c>
      <c r="Y2564">
        <v>1</v>
      </c>
      <c r="Z2564">
        <v>1</v>
      </c>
      <c r="AA2564">
        <v>1</v>
      </c>
      <c r="AB2564">
        <v>1</v>
      </c>
    </row>
    <row r="2565" spans="1:49" x14ac:dyDescent="0.25">
      <c r="A2565" t="str">
        <f>"2561"</f>
        <v>2561</v>
      </c>
      <c r="B2565" t="str">
        <f t="shared" si="146"/>
        <v>1</v>
      </c>
      <c r="C2565" t="str">
        <f t="shared" si="147"/>
        <v>112</v>
      </c>
      <c r="D2565" t="str">
        <f>"7"</f>
        <v>7</v>
      </c>
      <c r="E2565" t="str">
        <f>"1-112-7"</f>
        <v>1-112-7</v>
      </c>
      <c r="F2565" t="s">
        <v>83</v>
      </c>
      <c r="G2565" t="s">
        <v>86</v>
      </c>
      <c r="H2565" t="s">
        <v>87</v>
      </c>
      <c r="AC2565">
        <v>0</v>
      </c>
      <c r="AD2565">
        <v>1</v>
      </c>
      <c r="AE2565">
        <v>0</v>
      </c>
      <c r="AF2565">
        <v>0</v>
      </c>
      <c r="AH2565">
        <v>0</v>
      </c>
      <c r="AI2565">
        <v>1</v>
      </c>
      <c r="AJ2565">
        <v>0</v>
      </c>
      <c r="AK2565">
        <v>1</v>
      </c>
      <c r="AL2565">
        <v>1</v>
      </c>
      <c r="AM2565">
        <v>0</v>
      </c>
      <c r="AN2565">
        <v>0</v>
      </c>
      <c r="AO2565">
        <v>1</v>
      </c>
      <c r="AP2565">
        <v>1</v>
      </c>
      <c r="AQ2565">
        <v>1</v>
      </c>
      <c r="AU2565">
        <v>1</v>
      </c>
      <c r="AV2565">
        <v>1</v>
      </c>
      <c r="AW2565">
        <v>1</v>
      </c>
    </row>
    <row r="2566" spans="1:49" x14ac:dyDescent="0.25">
      <c r="A2566" t="str">
        <f>"2562"</f>
        <v>2562</v>
      </c>
      <c r="B2566" t="str">
        <f t="shared" si="146"/>
        <v>1</v>
      </c>
      <c r="C2566" t="str">
        <f t="shared" si="147"/>
        <v>112</v>
      </c>
      <c r="D2566" t="str">
        <f>"19"</f>
        <v>19</v>
      </c>
      <c r="E2566" t="str">
        <f>"1-112-19"</f>
        <v>1-112-19</v>
      </c>
      <c r="F2566" t="s">
        <v>83</v>
      </c>
      <c r="G2566" t="s">
        <v>84</v>
      </c>
      <c r="H2566" t="s">
        <v>92</v>
      </c>
      <c r="I2566">
        <v>1</v>
      </c>
      <c r="J2566">
        <v>1</v>
      </c>
      <c r="N2566">
        <v>1</v>
      </c>
      <c r="O2566">
        <v>0</v>
      </c>
      <c r="P2566">
        <v>0</v>
      </c>
      <c r="Q2566">
        <v>0</v>
      </c>
      <c r="R2566">
        <v>0</v>
      </c>
      <c r="S2566">
        <v>0</v>
      </c>
      <c r="T2566">
        <v>0</v>
      </c>
      <c r="W2566">
        <v>1</v>
      </c>
      <c r="X2566">
        <v>1</v>
      </c>
      <c r="Y2566">
        <v>1</v>
      </c>
      <c r="Z2566">
        <v>1</v>
      </c>
      <c r="AA2566">
        <v>0</v>
      </c>
      <c r="AB2566">
        <v>1</v>
      </c>
    </row>
    <row r="2567" spans="1:49" x14ac:dyDescent="0.25">
      <c r="A2567" t="str">
        <f>"2563"</f>
        <v>2563</v>
      </c>
      <c r="B2567" t="str">
        <f t="shared" si="146"/>
        <v>1</v>
      </c>
      <c r="C2567" t="str">
        <f t="shared" si="147"/>
        <v>112</v>
      </c>
      <c r="D2567" t="str">
        <f>"6"</f>
        <v>6</v>
      </c>
      <c r="E2567" t="str">
        <f>"1-112-6"</f>
        <v>1-112-6</v>
      </c>
      <c r="F2567" t="s">
        <v>83</v>
      </c>
      <c r="G2567" t="s">
        <v>86</v>
      </c>
      <c r="H2567" t="s">
        <v>93</v>
      </c>
      <c r="I2567">
        <v>1</v>
      </c>
      <c r="K2567">
        <v>1</v>
      </c>
      <c r="L2567">
        <v>0</v>
      </c>
      <c r="M2567">
        <v>0</v>
      </c>
      <c r="N2567">
        <v>1</v>
      </c>
      <c r="O2567">
        <v>1</v>
      </c>
      <c r="P2567">
        <v>1</v>
      </c>
      <c r="Q2567">
        <v>0</v>
      </c>
      <c r="R2567">
        <v>0</v>
      </c>
      <c r="U2567">
        <v>0</v>
      </c>
      <c r="V2567">
        <v>1</v>
      </c>
      <c r="W2567">
        <v>0</v>
      </c>
      <c r="X2567">
        <v>0</v>
      </c>
      <c r="Y2567">
        <v>0</v>
      </c>
      <c r="Z2567">
        <v>0</v>
      </c>
      <c r="AA2567">
        <v>0</v>
      </c>
      <c r="AB2567">
        <v>0</v>
      </c>
    </row>
    <row r="2568" spans="1:49" x14ac:dyDescent="0.25">
      <c r="A2568" t="str">
        <f>"2564"</f>
        <v>2564</v>
      </c>
      <c r="B2568" t="str">
        <f t="shared" si="146"/>
        <v>1</v>
      </c>
      <c r="C2568" t="str">
        <f t="shared" si="147"/>
        <v>112</v>
      </c>
      <c r="D2568" t="str">
        <f>"17"</f>
        <v>17</v>
      </c>
      <c r="E2568" t="str">
        <f>"1-112-17"</f>
        <v>1-112-17</v>
      </c>
      <c r="F2568" t="s">
        <v>83</v>
      </c>
      <c r="G2568" t="s">
        <v>84</v>
      </c>
      <c r="H2568" t="s">
        <v>85</v>
      </c>
      <c r="AC2568">
        <v>0</v>
      </c>
      <c r="AD2568">
        <v>0</v>
      </c>
      <c r="AE2568">
        <v>0</v>
      </c>
      <c r="AF2568">
        <v>0</v>
      </c>
      <c r="AG2568">
        <v>1</v>
      </c>
      <c r="AJ2568">
        <v>0</v>
      </c>
      <c r="AK2568">
        <v>1</v>
      </c>
      <c r="AL2568">
        <v>0</v>
      </c>
      <c r="AM2568">
        <v>0</v>
      </c>
      <c r="AN2568">
        <v>1</v>
      </c>
      <c r="AO2568">
        <v>0</v>
      </c>
      <c r="AP2568">
        <v>0</v>
      </c>
      <c r="AQ2568">
        <v>0</v>
      </c>
      <c r="AR2568">
        <v>0</v>
      </c>
      <c r="AS2568">
        <v>0</v>
      </c>
      <c r="AT2568">
        <v>1</v>
      </c>
      <c r="AV2568">
        <v>0</v>
      </c>
      <c r="AW2568">
        <v>1</v>
      </c>
    </row>
    <row r="2569" spans="1:49" x14ac:dyDescent="0.25">
      <c r="A2569" t="str">
        <f>"2565"</f>
        <v>2565</v>
      </c>
      <c r="B2569" t="str">
        <f t="shared" si="146"/>
        <v>1</v>
      </c>
      <c r="C2569" t="str">
        <f t="shared" ref="C2569:C2589" si="148">"113"</f>
        <v>113</v>
      </c>
      <c r="D2569" t="str">
        <f>"20"</f>
        <v>20</v>
      </c>
      <c r="E2569" t="str">
        <f>"1-113-20"</f>
        <v>1-113-20</v>
      </c>
      <c r="F2569" t="s">
        <v>83</v>
      </c>
      <c r="G2569" t="s">
        <v>84</v>
      </c>
      <c r="H2569" t="s">
        <v>92</v>
      </c>
      <c r="I2569">
        <v>1</v>
      </c>
      <c r="J2569">
        <v>1</v>
      </c>
      <c r="N2569">
        <v>1</v>
      </c>
      <c r="O2569">
        <v>1</v>
      </c>
      <c r="P2569">
        <v>1</v>
      </c>
      <c r="Q2569">
        <v>1</v>
      </c>
      <c r="R2569">
        <v>1</v>
      </c>
      <c r="S2569">
        <v>1</v>
      </c>
      <c r="T2569">
        <v>1</v>
      </c>
      <c r="W2569">
        <v>1</v>
      </c>
      <c r="X2569">
        <v>1</v>
      </c>
      <c r="Y2569">
        <v>1</v>
      </c>
      <c r="Z2569">
        <v>1</v>
      </c>
      <c r="AA2569">
        <v>1</v>
      </c>
      <c r="AB2569">
        <v>1</v>
      </c>
    </row>
    <row r="2570" spans="1:49" x14ac:dyDescent="0.25">
      <c r="A2570" t="str">
        <f>"2566"</f>
        <v>2566</v>
      </c>
      <c r="B2570" t="str">
        <f t="shared" si="146"/>
        <v>1</v>
      </c>
      <c r="C2570" t="str">
        <f t="shared" si="148"/>
        <v>113</v>
      </c>
      <c r="D2570" t="str">
        <f>"19"</f>
        <v>19</v>
      </c>
      <c r="E2570" t="str">
        <f>"1-113-19"</f>
        <v>1-113-19</v>
      </c>
      <c r="F2570" t="s">
        <v>83</v>
      </c>
      <c r="G2570" t="s">
        <v>84</v>
      </c>
      <c r="H2570" t="s">
        <v>85</v>
      </c>
      <c r="AC2570">
        <v>1</v>
      </c>
      <c r="AD2570">
        <v>0</v>
      </c>
      <c r="AE2570">
        <v>0</v>
      </c>
      <c r="AF2570">
        <v>0</v>
      </c>
      <c r="AG2570">
        <v>1</v>
      </c>
      <c r="AJ2570">
        <v>0</v>
      </c>
      <c r="AK2570">
        <v>1</v>
      </c>
      <c r="AL2570">
        <v>0</v>
      </c>
      <c r="AM2570">
        <v>0</v>
      </c>
      <c r="AN2570">
        <v>1</v>
      </c>
      <c r="AO2570">
        <v>1</v>
      </c>
      <c r="AP2570">
        <v>1</v>
      </c>
      <c r="AQ2570">
        <v>1</v>
      </c>
      <c r="AR2570">
        <v>1</v>
      </c>
      <c r="AS2570">
        <v>0</v>
      </c>
      <c r="AT2570">
        <v>1</v>
      </c>
      <c r="AV2570">
        <v>1</v>
      </c>
      <c r="AW2570">
        <v>1</v>
      </c>
    </row>
    <row r="2571" spans="1:49" x14ac:dyDescent="0.25">
      <c r="A2571" t="str">
        <f>"2567"</f>
        <v>2567</v>
      </c>
      <c r="B2571" t="str">
        <f t="shared" si="146"/>
        <v>1</v>
      </c>
      <c r="C2571" t="str">
        <f t="shared" si="148"/>
        <v>113</v>
      </c>
      <c r="D2571" t="str">
        <f>"14"</f>
        <v>14</v>
      </c>
      <c r="E2571" t="str">
        <f>"1-113-14"</f>
        <v>1-113-14</v>
      </c>
      <c r="F2571" t="s">
        <v>83</v>
      </c>
      <c r="G2571" t="s">
        <v>84</v>
      </c>
      <c r="H2571" t="s">
        <v>92</v>
      </c>
      <c r="I2571">
        <v>1</v>
      </c>
      <c r="J2571">
        <v>1</v>
      </c>
      <c r="N2571">
        <v>1</v>
      </c>
      <c r="O2571">
        <v>1</v>
      </c>
      <c r="P2571">
        <v>1</v>
      </c>
      <c r="Q2571">
        <v>1</v>
      </c>
      <c r="R2571">
        <v>1</v>
      </c>
      <c r="S2571">
        <v>1</v>
      </c>
      <c r="T2571">
        <v>1</v>
      </c>
      <c r="W2571">
        <v>1</v>
      </c>
      <c r="X2571">
        <v>1</v>
      </c>
      <c r="Y2571">
        <v>1</v>
      </c>
      <c r="Z2571">
        <v>1</v>
      </c>
      <c r="AA2571">
        <v>1</v>
      </c>
      <c r="AB2571">
        <v>1</v>
      </c>
    </row>
    <row r="2572" spans="1:49" x14ac:dyDescent="0.25">
      <c r="A2572" t="str">
        <f>"2568"</f>
        <v>2568</v>
      </c>
      <c r="B2572" t="str">
        <f t="shared" si="146"/>
        <v>1</v>
      </c>
      <c r="C2572" t="str">
        <f t="shared" si="148"/>
        <v>113</v>
      </c>
      <c r="D2572" t="str">
        <f>"13"</f>
        <v>13</v>
      </c>
      <c r="E2572" t="str">
        <f>"1-113-13"</f>
        <v>1-113-13</v>
      </c>
      <c r="F2572" t="s">
        <v>83</v>
      </c>
      <c r="G2572" t="s">
        <v>84</v>
      </c>
      <c r="H2572" t="s">
        <v>92</v>
      </c>
      <c r="I2572">
        <v>1</v>
      </c>
      <c r="J2572">
        <v>0</v>
      </c>
      <c r="N2572">
        <v>1</v>
      </c>
      <c r="O2572">
        <v>1</v>
      </c>
      <c r="P2572">
        <v>1</v>
      </c>
      <c r="Q2572">
        <v>1</v>
      </c>
      <c r="R2572">
        <v>1</v>
      </c>
      <c r="S2572">
        <v>1</v>
      </c>
      <c r="T2572">
        <v>1</v>
      </c>
      <c r="W2572">
        <v>1</v>
      </c>
      <c r="X2572">
        <v>1</v>
      </c>
      <c r="Y2572">
        <v>1</v>
      </c>
      <c r="Z2572">
        <v>1</v>
      </c>
      <c r="AA2572">
        <v>1</v>
      </c>
      <c r="AB2572">
        <v>1</v>
      </c>
    </row>
    <row r="2573" spans="1:49" x14ac:dyDescent="0.25">
      <c r="A2573" t="str">
        <f>"2569"</f>
        <v>2569</v>
      </c>
      <c r="B2573" t="str">
        <f t="shared" si="146"/>
        <v>1</v>
      </c>
      <c r="C2573" t="str">
        <f t="shared" si="148"/>
        <v>113</v>
      </c>
      <c r="D2573" t="str">
        <f>"11"</f>
        <v>11</v>
      </c>
      <c r="E2573" t="str">
        <f>"1-113-11"</f>
        <v>1-113-11</v>
      </c>
      <c r="F2573" t="s">
        <v>83</v>
      </c>
      <c r="G2573" t="s">
        <v>84</v>
      </c>
      <c r="H2573" t="s">
        <v>85</v>
      </c>
      <c r="AC2573">
        <v>0</v>
      </c>
      <c r="AD2573">
        <v>1</v>
      </c>
      <c r="AE2573">
        <v>0</v>
      </c>
      <c r="AF2573">
        <v>0</v>
      </c>
      <c r="AG2573">
        <v>1</v>
      </c>
      <c r="AJ2573">
        <v>0</v>
      </c>
      <c r="AK2573">
        <v>1</v>
      </c>
      <c r="AL2573">
        <v>0</v>
      </c>
      <c r="AM2573">
        <v>0</v>
      </c>
      <c r="AN2573">
        <v>1</v>
      </c>
      <c r="AO2573">
        <v>1</v>
      </c>
      <c r="AP2573">
        <v>1</v>
      </c>
      <c r="AQ2573">
        <v>1</v>
      </c>
      <c r="AR2573">
        <v>1</v>
      </c>
      <c r="AS2573">
        <v>0</v>
      </c>
      <c r="AT2573">
        <v>1</v>
      </c>
      <c r="AV2573">
        <v>1</v>
      </c>
      <c r="AW2573">
        <v>1</v>
      </c>
    </row>
    <row r="2574" spans="1:49" x14ac:dyDescent="0.25">
      <c r="A2574" t="str">
        <f>"2570"</f>
        <v>2570</v>
      </c>
      <c r="B2574" t="str">
        <f t="shared" si="146"/>
        <v>1</v>
      </c>
      <c r="C2574" t="str">
        <f t="shared" si="148"/>
        <v>113</v>
      </c>
      <c r="D2574" t="str">
        <f>"8"</f>
        <v>8</v>
      </c>
      <c r="E2574" t="str">
        <f>"1-113-8"</f>
        <v>1-113-8</v>
      </c>
      <c r="F2574" t="s">
        <v>83</v>
      </c>
      <c r="G2574" t="s">
        <v>84</v>
      </c>
      <c r="H2574" t="s">
        <v>92</v>
      </c>
      <c r="I2574">
        <v>1</v>
      </c>
      <c r="J2574">
        <v>1</v>
      </c>
      <c r="N2574">
        <v>1</v>
      </c>
      <c r="O2574">
        <v>1</v>
      </c>
      <c r="P2574">
        <v>1</v>
      </c>
      <c r="Q2574">
        <v>1</v>
      </c>
      <c r="R2574">
        <v>1</v>
      </c>
      <c r="S2574">
        <v>1</v>
      </c>
      <c r="T2574">
        <v>1</v>
      </c>
      <c r="W2574">
        <v>1</v>
      </c>
      <c r="X2574">
        <v>1</v>
      </c>
      <c r="Y2574">
        <v>1</v>
      </c>
      <c r="Z2574">
        <v>1</v>
      </c>
      <c r="AA2574">
        <v>1</v>
      </c>
      <c r="AB2574">
        <v>1</v>
      </c>
    </row>
    <row r="2575" spans="1:49" x14ac:dyDescent="0.25">
      <c r="A2575" t="str">
        <f>"2571"</f>
        <v>2571</v>
      </c>
      <c r="B2575" t="str">
        <f t="shared" si="146"/>
        <v>1</v>
      </c>
      <c r="C2575" t="str">
        <f t="shared" si="148"/>
        <v>113</v>
      </c>
      <c r="D2575" t="str">
        <f>"3"</f>
        <v>3</v>
      </c>
      <c r="E2575" t="str">
        <f>"1-113-3"</f>
        <v>1-113-3</v>
      </c>
      <c r="F2575" t="s">
        <v>83</v>
      </c>
      <c r="G2575" t="s">
        <v>84</v>
      </c>
      <c r="H2575" t="s">
        <v>92</v>
      </c>
      <c r="I2575">
        <v>1</v>
      </c>
      <c r="J2575">
        <v>1</v>
      </c>
      <c r="N2575">
        <v>1</v>
      </c>
      <c r="O2575">
        <v>1</v>
      </c>
      <c r="P2575">
        <v>1</v>
      </c>
      <c r="Q2575">
        <v>1</v>
      </c>
      <c r="R2575">
        <v>1</v>
      </c>
      <c r="S2575">
        <v>1</v>
      </c>
      <c r="T2575">
        <v>1</v>
      </c>
      <c r="W2575">
        <v>1</v>
      </c>
      <c r="X2575">
        <v>1</v>
      </c>
      <c r="Y2575">
        <v>1</v>
      </c>
      <c r="Z2575">
        <v>1</v>
      </c>
      <c r="AA2575">
        <v>1</v>
      </c>
      <c r="AB2575">
        <v>1</v>
      </c>
    </row>
    <row r="2576" spans="1:49" x14ac:dyDescent="0.25">
      <c r="A2576" t="str">
        <f>"2572"</f>
        <v>2572</v>
      </c>
      <c r="B2576" t="str">
        <f t="shared" si="146"/>
        <v>1</v>
      </c>
      <c r="C2576" t="str">
        <f t="shared" si="148"/>
        <v>113</v>
      </c>
      <c r="D2576" t="str">
        <f>"16"</f>
        <v>16</v>
      </c>
      <c r="E2576" t="str">
        <f>"1-113-16"</f>
        <v>1-113-16</v>
      </c>
      <c r="F2576" t="s">
        <v>83</v>
      </c>
      <c r="G2576" t="s">
        <v>84</v>
      </c>
      <c r="H2576" t="s">
        <v>85</v>
      </c>
      <c r="AC2576">
        <v>0</v>
      </c>
      <c r="AD2576">
        <v>1</v>
      </c>
      <c r="AE2576">
        <v>0</v>
      </c>
      <c r="AF2576">
        <v>0</v>
      </c>
      <c r="AG2576">
        <v>1</v>
      </c>
      <c r="AJ2576">
        <v>1</v>
      </c>
      <c r="AK2576">
        <v>0</v>
      </c>
      <c r="AL2576">
        <v>0</v>
      </c>
      <c r="AM2576">
        <v>0</v>
      </c>
      <c r="AN2576">
        <v>1</v>
      </c>
      <c r="AO2576">
        <v>1</v>
      </c>
      <c r="AP2576">
        <v>1</v>
      </c>
      <c r="AQ2576">
        <v>1</v>
      </c>
      <c r="AR2576">
        <v>1</v>
      </c>
      <c r="AS2576">
        <v>1</v>
      </c>
      <c r="AT2576">
        <v>0</v>
      </c>
      <c r="AV2576">
        <v>1</v>
      </c>
      <c r="AW2576">
        <v>1</v>
      </c>
    </row>
    <row r="2577" spans="1:49" x14ac:dyDescent="0.25">
      <c r="A2577" t="str">
        <f>"2573"</f>
        <v>2573</v>
      </c>
      <c r="B2577" t="str">
        <f t="shared" si="146"/>
        <v>1</v>
      </c>
      <c r="C2577" t="str">
        <f t="shared" si="148"/>
        <v>113</v>
      </c>
      <c r="D2577" t="str">
        <f>"9"</f>
        <v>9</v>
      </c>
      <c r="E2577" t="str">
        <f>"1-113-9"</f>
        <v>1-113-9</v>
      </c>
      <c r="F2577" t="s">
        <v>83</v>
      </c>
      <c r="G2577" t="s">
        <v>84</v>
      </c>
      <c r="H2577" t="s">
        <v>85</v>
      </c>
      <c r="AC2577">
        <v>1</v>
      </c>
      <c r="AD2577">
        <v>0</v>
      </c>
      <c r="AE2577">
        <v>0</v>
      </c>
      <c r="AF2577">
        <v>0</v>
      </c>
      <c r="AG2577">
        <v>1</v>
      </c>
      <c r="AJ2577">
        <v>1</v>
      </c>
      <c r="AK2577">
        <v>0</v>
      </c>
      <c r="AL2577">
        <v>0</v>
      </c>
      <c r="AM2577">
        <v>1</v>
      </c>
      <c r="AN2577">
        <v>0</v>
      </c>
      <c r="AO2577">
        <v>1</v>
      </c>
      <c r="AP2577">
        <v>1</v>
      </c>
      <c r="AQ2577">
        <v>1</v>
      </c>
      <c r="AR2577">
        <v>1</v>
      </c>
      <c r="AS2577">
        <v>1</v>
      </c>
      <c r="AT2577">
        <v>0</v>
      </c>
      <c r="AV2577">
        <v>1</v>
      </c>
      <c r="AW2577">
        <v>1</v>
      </c>
    </row>
    <row r="2578" spans="1:49" x14ac:dyDescent="0.25">
      <c r="A2578" t="str">
        <f>"2574"</f>
        <v>2574</v>
      </c>
      <c r="B2578" t="str">
        <f t="shared" si="146"/>
        <v>1</v>
      </c>
      <c r="C2578" t="str">
        <f t="shared" si="148"/>
        <v>113</v>
      </c>
      <c r="D2578" t="str">
        <f>"1"</f>
        <v>1</v>
      </c>
      <c r="E2578" t="str">
        <f>"1-113-1"</f>
        <v>1-113-1</v>
      </c>
      <c r="F2578" t="s">
        <v>83</v>
      </c>
      <c r="G2578" t="s">
        <v>84</v>
      </c>
      <c r="H2578" t="s">
        <v>85</v>
      </c>
      <c r="AC2578">
        <v>0</v>
      </c>
      <c r="AD2578">
        <v>1</v>
      </c>
      <c r="AE2578">
        <v>0</v>
      </c>
      <c r="AF2578">
        <v>0</v>
      </c>
      <c r="AG2578">
        <v>1</v>
      </c>
      <c r="AJ2578">
        <v>0</v>
      </c>
      <c r="AK2578">
        <v>1</v>
      </c>
      <c r="AL2578">
        <v>0</v>
      </c>
      <c r="AM2578">
        <v>0</v>
      </c>
      <c r="AN2578">
        <v>1</v>
      </c>
      <c r="AO2578">
        <v>1</v>
      </c>
      <c r="AP2578">
        <v>1</v>
      </c>
      <c r="AQ2578">
        <v>1</v>
      </c>
      <c r="AR2578">
        <v>1</v>
      </c>
      <c r="AS2578">
        <v>0</v>
      </c>
      <c r="AT2578">
        <v>1</v>
      </c>
      <c r="AV2578">
        <v>1</v>
      </c>
      <c r="AW2578">
        <v>1</v>
      </c>
    </row>
    <row r="2579" spans="1:49" x14ac:dyDescent="0.25">
      <c r="A2579" t="str">
        <f>"2575"</f>
        <v>2575</v>
      </c>
      <c r="B2579" t="str">
        <f t="shared" si="146"/>
        <v>1</v>
      </c>
      <c r="C2579" t="str">
        <f t="shared" si="148"/>
        <v>113</v>
      </c>
      <c r="D2579" t="str">
        <f>"17"</f>
        <v>17</v>
      </c>
      <c r="E2579" t="str">
        <f>"1-113-17"</f>
        <v>1-113-17</v>
      </c>
      <c r="F2579" t="s">
        <v>83</v>
      </c>
      <c r="G2579" t="s">
        <v>84</v>
      </c>
      <c r="H2579" t="s">
        <v>85</v>
      </c>
      <c r="AC2579">
        <v>0</v>
      </c>
      <c r="AD2579">
        <v>1</v>
      </c>
      <c r="AE2579">
        <v>0</v>
      </c>
      <c r="AF2579">
        <v>0</v>
      </c>
      <c r="AG2579">
        <v>1</v>
      </c>
      <c r="AJ2579">
        <v>1</v>
      </c>
      <c r="AK2579">
        <v>0</v>
      </c>
      <c r="AL2579">
        <v>0</v>
      </c>
      <c r="AM2579">
        <v>1</v>
      </c>
      <c r="AN2579">
        <v>0</v>
      </c>
      <c r="AO2579">
        <v>1</v>
      </c>
      <c r="AP2579">
        <v>1</v>
      </c>
      <c r="AQ2579">
        <v>1</v>
      </c>
      <c r="AR2579">
        <v>1</v>
      </c>
      <c r="AS2579">
        <v>0</v>
      </c>
      <c r="AT2579">
        <v>1</v>
      </c>
      <c r="AV2579">
        <v>1</v>
      </c>
      <c r="AW2579">
        <v>1</v>
      </c>
    </row>
    <row r="2580" spans="1:49" x14ac:dyDescent="0.25">
      <c r="A2580" t="str">
        <f>"2576"</f>
        <v>2576</v>
      </c>
      <c r="B2580" t="str">
        <f t="shared" si="146"/>
        <v>1</v>
      </c>
      <c r="C2580" t="str">
        <f t="shared" si="148"/>
        <v>113</v>
      </c>
      <c r="D2580" t="str">
        <f>"10"</f>
        <v>10</v>
      </c>
      <c r="E2580" t="str">
        <f>"1-113-10"</f>
        <v>1-113-10</v>
      </c>
      <c r="F2580" t="s">
        <v>83</v>
      </c>
      <c r="G2580" t="s">
        <v>84</v>
      </c>
      <c r="H2580" t="s">
        <v>85</v>
      </c>
      <c r="AC2580">
        <v>1</v>
      </c>
      <c r="AD2580">
        <v>0</v>
      </c>
      <c r="AE2580">
        <v>0</v>
      </c>
      <c r="AF2580">
        <v>0</v>
      </c>
      <c r="AG2580">
        <v>1</v>
      </c>
      <c r="AJ2580">
        <v>1</v>
      </c>
      <c r="AK2580">
        <v>0</v>
      </c>
      <c r="AL2580">
        <v>1</v>
      </c>
      <c r="AM2580">
        <v>0</v>
      </c>
      <c r="AN2580">
        <v>0</v>
      </c>
      <c r="AO2580">
        <v>1</v>
      </c>
      <c r="AP2580">
        <v>1</v>
      </c>
      <c r="AQ2580">
        <v>1</v>
      </c>
      <c r="AR2580">
        <v>1</v>
      </c>
      <c r="AS2580">
        <v>1</v>
      </c>
      <c r="AT2580">
        <v>0</v>
      </c>
      <c r="AV2580">
        <v>0</v>
      </c>
      <c r="AW2580">
        <v>1</v>
      </c>
    </row>
    <row r="2581" spans="1:49" x14ac:dyDescent="0.25">
      <c r="A2581" t="str">
        <f>"2577"</f>
        <v>2577</v>
      </c>
      <c r="B2581" t="str">
        <f t="shared" si="146"/>
        <v>1</v>
      </c>
      <c r="C2581" t="str">
        <f t="shared" si="148"/>
        <v>113</v>
      </c>
      <c r="D2581" t="str">
        <f>"7"</f>
        <v>7</v>
      </c>
      <c r="E2581" t="str">
        <f>"1-113-7"</f>
        <v>1-113-7</v>
      </c>
      <c r="F2581" t="s">
        <v>83</v>
      </c>
      <c r="G2581" t="s">
        <v>84</v>
      </c>
      <c r="H2581" t="s">
        <v>85</v>
      </c>
      <c r="AC2581">
        <v>0</v>
      </c>
      <c r="AD2581">
        <v>1</v>
      </c>
      <c r="AE2581">
        <v>0</v>
      </c>
      <c r="AF2581">
        <v>0</v>
      </c>
      <c r="AG2581">
        <v>1</v>
      </c>
      <c r="AJ2581">
        <v>1</v>
      </c>
      <c r="AK2581">
        <v>0</v>
      </c>
      <c r="AL2581">
        <v>1</v>
      </c>
      <c r="AM2581">
        <v>0</v>
      </c>
      <c r="AN2581">
        <v>0</v>
      </c>
      <c r="AO2581">
        <v>1</v>
      </c>
      <c r="AP2581">
        <v>1</v>
      </c>
      <c r="AQ2581">
        <v>1</v>
      </c>
      <c r="AR2581">
        <v>1</v>
      </c>
      <c r="AS2581">
        <v>0</v>
      </c>
      <c r="AT2581">
        <v>1</v>
      </c>
      <c r="AV2581">
        <v>1</v>
      </c>
      <c r="AW2581">
        <v>1</v>
      </c>
    </row>
    <row r="2582" spans="1:49" x14ac:dyDescent="0.25">
      <c r="A2582" t="str">
        <f>"2578"</f>
        <v>2578</v>
      </c>
      <c r="B2582" t="str">
        <f t="shared" si="146"/>
        <v>1</v>
      </c>
      <c r="C2582" t="str">
        <f t="shared" si="148"/>
        <v>113</v>
      </c>
      <c r="D2582" t="str">
        <f>"12"</f>
        <v>12</v>
      </c>
      <c r="E2582" t="str">
        <f>"1-113-12"</f>
        <v>1-113-12</v>
      </c>
      <c r="F2582" t="s">
        <v>83</v>
      </c>
      <c r="G2582" t="s">
        <v>84</v>
      </c>
      <c r="H2582" t="s">
        <v>85</v>
      </c>
      <c r="AC2582">
        <v>0</v>
      </c>
      <c r="AD2582">
        <v>1</v>
      </c>
      <c r="AE2582">
        <v>0</v>
      </c>
      <c r="AF2582">
        <v>0</v>
      </c>
      <c r="AG2582">
        <v>0</v>
      </c>
      <c r="AJ2582">
        <v>0</v>
      </c>
      <c r="AK2582">
        <v>1</v>
      </c>
      <c r="AL2582">
        <v>0</v>
      </c>
      <c r="AM2582">
        <v>1</v>
      </c>
      <c r="AN2582">
        <v>0</v>
      </c>
      <c r="AO2582">
        <v>0</v>
      </c>
      <c r="AP2582">
        <v>0</v>
      </c>
      <c r="AQ2582">
        <v>0</v>
      </c>
      <c r="AR2582">
        <v>0</v>
      </c>
      <c r="AS2582">
        <v>0</v>
      </c>
      <c r="AT2582">
        <v>1</v>
      </c>
      <c r="AV2582">
        <v>1</v>
      </c>
      <c r="AW2582">
        <v>0</v>
      </c>
    </row>
    <row r="2583" spans="1:49" x14ac:dyDescent="0.25">
      <c r="A2583" t="str">
        <f>"2579"</f>
        <v>2579</v>
      </c>
      <c r="B2583" t="str">
        <f t="shared" si="146"/>
        <v>1</v>
      </c>
      <c r="C2583" t="str">
        <f t="shared" si="148"/>
        <v>113</v>
      </c>
      <c r="D2583" t="str">
        <f>"5"</f>
        <v>5</v>
      </c>
      <c r="E2583" t="str">
        <f>"1-113-5"</f>
        <v>1-113-5</v>
      </c>
      <c r="F2583" t="s">
        <v>83</v>
      </c>
      <c r="G2583" t="s">
        <v>84</v>
      </c>
      <c r="H2583" t="s">
        <v>85</v>
      </c>
      <c r="AC2583">
        <v>0</v>
      </c>
      <c r="AD2583">
        <v>1</v>
      </c>
      <c r="AE2583">
        <v>0</v>
      </c>
      <c r="AF2583">
        <v>0</v>
      </c>
      <c r="AG2583">
        <v>1</v>
      </c>
      <c r="AJ2583">
        <v>0</v>
      </c>
      <c r="AK2583">
        <v>0</v>
      </c>
      <c r="AL2583">
        <v>0</v>
      </c>
      <c r="AM2583">
        <v>0</v>
      </c>
      <c r="AN2583">
        <v>1</v>
      </c>
      <c r="AO2583">
        <v>1</v>
      </c>
      <c r="AP2583">
        <v>1</v>
      </c>
      <c r="AQ2583">
        <v>0</v>
      </c>
      <c r="AR2583">
        <v>0</v>
      </c>
      <c r="AS2583">
        <v>0</v>
      </c>
      <c r="AT2583">
        <v>1</v>
      </c>
      <c r="AV2583">
        <v>1</v>
      </c>
      <c r="AW2583">
        <v>1</v>
      </c>
    </row>
    <row r="2584" spans="1:49" x14ac:dyDescent="0.25">
      <c r="A2584" t="str">
        <f>"2580"</f>
        <v>2580</v>
      </c>
      <c r="B2584" t="str">
        <f t="shared" si="146"/>
        <v>1</v>
      </c>
      <c r="C2584" t="str">
        <f t="shared" si="148"/>
        <v>113</v>
      </c>
      <c r="D2584" t="str">
        <f>"15"</f>
        <v>15</v>
      </c>
      <c r="E2584" t="str">
        <f>"1-113-15"</f>
        <v>1-113-15</v>
      </c>
      <c r="F2584" t="s">
        <v>83</v>
      </c>
      <c r="G2584" t="s">
        <v>84</v>
      </c>
      <c r="H2584" t="s">
        <v>92</v>
      </c>
      <c r="I2584">
        <v>1</v>
      </c>
      <c r="J2584">
        <v>1</v>
      </c>
      <c r="N2584">
        <v>1</v>
      </c>
      <c r="O2584">
        <v>1</v>
      </c>
      <c r="P2584">
        <v>1</v>
      </c>
      <c r="Q2584">
        <v>1</v>
      </c>
      <c r="R2584">
        <v>1</v>
      </c>
      <c r="S2584">
        <v>1</v>
      </c>
      <c r="T2584">
        <v>1</v>
      </c>
      <c r="W2584">
        <v>1</v>
      </c>
      <c r="X2584">
        <v>1</v>
      </c>
      <c r="Y2584">
        <v>1</v>
      </c>
      <c r="Z2584">
        <v>1</v>
      </c>
      <c r="AA2584">
        <v>1</v>
      </c>
      <c r="AB2584">
        <v>1</v>
      </c>
    </row>
    <row r="2585" spans="1:49" x14ac:dyDescent="0.25">
      <c r="A2585" t="str">
        <f>"2581"</f>
        <v>2581</v>
      </c>
      <c r="B2585" t="str">
        <f t="shared" si="146"/>
        <v>1</v>
      </c>
      <c r="C2585" t="str">
        <f t="shared" si="148"/>
        <v>113</v>
      </c>
      <c r="D2585" t="str">
        <f>"4"</f>
        <v>4</v>
      </c>
      <c r="E2585" t="str">
        <f>"1-113-4"</f>
        <v>1-113-4</v>
      </c>
      <c r="F2585" t="s">
        <v>83</v>
      </c>
      <c r="G2585" t="s">
        <v>84</v>
      </c>
      <c r="H2585" t="s">
        <v>85</v>
      </c>
      <c r="AC2585">
        <v>0</v>
      </c>
      <c r="AD2585">
        <v>1</v>
      </c>
      <c r="AE2585">
        <v>0</v>
      </c>
      <c r="AF2585">
        <v>0</v>
      </c>
      <c r="AG2585">
        <v>0</v>
      </c>
      <c r="AJ2585">
        <v>0</v>
      </c>
      <c r="AK2585">
        <v>0</v>
      </c>
      <c r="AL2585">
        <v>0</v>
      </c>
      <c r="AM2585">
        <v>0</v>
      </c>
      <c r="AN2585">
        <v>1</v>
      </c>
      <c r="AO2585">
        <v>0</v>
      </c>
      <c r="AP2585">
        <v>0</v>
      </c>
      <c r="AQ2585">
        <v>0</v>
      </c>
      <c r="AR2585">
        <v>0</v>
      </c>
      <c r="AS2585">
        <v>0</v>
      </c>
      <c r="AT2585">
        <v>1</v>
      </c>
      <c r="AV2585">
        <v>0</v>
      </c>
      <c r="AW2585">
        <v>0</v>
      </c>
    </row>
    <row r="2586" spans="1:49" x14ac:dyDescent="0.25">
      <c r="A2586" t="str">
        <f>"2582"</f>
        <v>2582</v>
      </c>
      <c r="B2586" t="str">
        <f t="shared" si="146"/>
        <v>1</v>
      </c>
      <c r="C2586" t="str">
        <f t="shared" si="148"/>
        <v>113</v>
      </c>
      <c r="D2586" t="str">
        <f>"18"</f>
        <v>18</v>
      </c>
      <c r="E2586" t="str">
        <f>"1-113-18"</f>
        <v>1-113-18</v>
      </c>
      <c r="F2586" t="s">
        <v>83</v>
      </c>
      <c r="G2586" t="s">
        <v>84</v>
      </c>
      <c r="H2586" t="s">
        <v>92</v>
      </c>
      <c r="I2586">
        <v>1</v>
      </c>
      <c r="J2586">
        <v>0</v>
      </c>
      <c r="N2586">
        <v>1</v>
      </c>
      <c r="O2586">
        <v>0</v>
      </c>
      <c r="P2586">
        <v>0</v>
      </c>
      <c r="Q2586">
        <v>0</v>
      </c>
      <c r="R2586">
        <v>0</v>
      </c>
      <c r="S2586">
        <v>1</v>
      </c>
      <c r="T2586">
        <v>1</v>
      </c>
      <c r="W2586">
        <v>1</v>
      </c>
      <c r="X2586">
        <v>1</v>
      </c>
      <c r="Y2586">
        <v>1</v>
      </c>
      <c r="Z2586">
        <v>1</v>
      </c>
      <c r="AA2586">
        <v>0</v>
      </c>
      <c r="AB2586">
        <v>0</v>
      </c>
    </row>
    <row r="2587" spans="1:49" x14ac:dyDescent="0.25">
      <c r="A2587" t="str">
        <f>"2583"</f>
        <v>2583</v>
      </c>
      <c r="B2587" t="str">
        <f t="shared" si="146"/>
        <v>1</v>
      </c>
      <c r="C2587" t="str">
        <f t="shared" si="148"/>
        <v>113</v>
      </c>
      <c r="D2587" t="str">
        <f>"6"</f>
        <v>6</v>
      </c>
      <c r="E2587" t="str">
        <f>"1-113-6"</f>
        <v>1-113-6</v>
      </c>
      <c r="F2587" t="s">
        <v>83</v>
      </c>
      <c r="G2587" t="s">
        <v>84</v>
      </c>
      <c r="H2587" t="s">
        <v>85</v>
      </c>
      <c r="AC2587">
        <v>0</v>
      </c>
      <c r="AD2587">
        <v>1</v>
      </c>
      <c r="AE2587">
        <v>0</v>
      </c>
      <c r="AF2587">
        <v>0</v>
      </c>
      <c r="AG2587">
        <v>0</v>
      </c>
      <c r="AJ2587">
        <v>0</v>
      </c>
      <c r="AK2587">
        <v>0</v>
      </c>
      <c r="AL2587">
        <v>0</v>
      </c>
      <c r="AM2587">
        <v>0</v>
      </c>
      <c r="AN2587">
        <v>1</v>
      </c>
      <c r="AO2587">
        <v>0</v>
      </c>
      <c r="AP2587">
        <v>0</v>
      </c>
      <c r="AQ2587">
        <v>0</v>
      </c>
      <c r="AR2587">
        <v>0</v>
      </c>
      <c r="AS2587">
        <v>0</v>
      </c>
      <c r="AT2587">
        <v>1</v>
      </c>
      <c r="AV2587">
        <v>0</v>
      </c>
      <c r="AW2587">
        <v>0</v>
      </c>
    </row>
    <row r="2588" spans="1:49" x14ac:dyDescent="0.25">
      <c r="A2588" t="str">
        <f>"2584"</f>
        <v>2584</v>
      </c>
      <c r="B2588" t="str">
        <f t="shared" si="146"/>
        <v>1</v>
      </c>
      <c r="C2588" t="str">
        <f t="shared" si="148"/>
        <v>113</v>
      </c>
      <c r="D2588" t="str">
        <f>"21"</f>
        <v>21</v>
      </c>
      <c r="E2588" t="str">
        <f>"1-113-21"</f>
        <v>1-113-21</v>
      </c>
      <c r="F2588" t="s">
        <v>83</v>
      </c>
      <c r="G2588" t="s">
        <v>84</v>
      </c>
      <c r="H2588" t="s">
        <v>92</v>
      </c>
      <c r="I2588">
        <v>1</v>
      </c>
      <c r="J2588">
        <v>1</v>
      </c>
      <c r="N2588">
        <v>1</v>
      </c>
      <c r="O2588">
        <v>1</v>
      </c>
      <c r="P2588">
        <v>1</v>
      </c>
      <c r="Q2588">
        <v>1</v>
      </c>
      <c r="R2588">
        <v>0</v>
      </c>
      <c r="S2588">
        <v>1</v>
      </c>
      <c r="T2588">
        <v>0</v>
      </c>
      <c r="W2588">
        <v>0</v>
      </c>
      <c r="X2588">
        <v>1</v>
      </c>
      <c r="Y2588">
        <v>1</v>
      </c>
      <c r="Z2588">
        <v>1</v>
      </c>
      <c r="AA2588">
        <v>1</v>
      </c>
      <c r="AB2588">
        <v>1</v>
      </c>
    </row>
    <row r="2589" spans="1:49" x14ac:dyDescent="0.25">
      <c r="A2589" t="str">
        <f>"2585"</f>
        <v>2585</v>
      </c>
      <c r="B2589" t="str">
        <f t="shared" si="146"/>
        <v>1</v>
      </c>
      <c r="C2589" t="str">
        <f t="shared" si="148"/>
        <v>113</v>
      </c>
      <c r="D2589" t="str">
        <f>"2"</f>
        <v>2</v>
      </c>
      <c r="E2589" t="str">
        <f>"1-113-2"</f>
        <v>1-113-2</v>
      </c>
      <c r="F2589" t="s">
        <v>83</v>
      </c>
      <c r="G2589" t="s">
        <v>84</v>
      </c>
      <c r="H2589" t="s">
        <v>85</v>
      </c>
      <c r="AC2589">
        <v>0</v>
      </c>
      <c r="AD2589">
        <v>1</v>
      </c>
      <c r="AE2589">
        <v>0</v>
      </c>
      <c r="AF2589">
        <v>0</v>
      </c>
      <c r="AG2589">
        <v>0</v>
      </c>
      <c r="AJ2589">
        <v>1</v>
      </c>
      <c r="AK2589">
        <v>0</v>
      </c>
      <c r="AL2589">
        <v>0</v>
      </c>
      <c r="AM2589">
        <v>0</v>
      </c>
      <c r="AN2589">
        <v>1</v>
      </c>
      <c r="AO2589">
        <v>0</v>
      </c>
      <c r="AP2589">
        <v>0</v>
      </c>
      <c r="AQ2589">
        <v>0</v>
      </c>
      <c r="AR2589">
        <v>0</v>
      </c>
      <c r="AS2589">
        <v>0</v>
      </c>
      <c r="AT2589">
        <v>1</v>
      </c>
      <c r="AV2589">
        <v>0</v>
      </c>
      <c r="AW2589">
        <v>0</v>
      </c>
    </row>
    <row r="2590" spans="1:49" x14ac:dyDescent="0.25">
      <c r="A2590" t="str">
        <f>"2586"</f>
        <v>2586</v>
      </c>
      <c r="B2590" t="str">
        <f t="shared" ref="B2590:B2653" si="149">"1"</f>
        <v>1</v>
      </c>
      <c r="C2590" t="str">
        <f t="shared" ref="C2590:C2614" si="150">"114"</f>
        <v>114</v>
      </c>
      <c r="D2590" t="str">
        <f>"25"</f>
        <v>25</v>
      </c>
      <c r="E2590" t="str">
        <f>"1-114-25"</f>
        <v>1-114-25</v>
      </c>
      <c r="F2590" t="s">
        <v>83</v>
      </c>
      <c r="G2590" t="s">
        <v>86</v>
      </c>
      <c r="H2590" t="s">
        <v>87</v>
      </c>
      <c r="AC2590">
        <v>0</v>
      </c>
      <c r="AD2590">
        <v>0</v>
      </c>
      <c r="AE2590">
        <v>0</v>
      </c>
      <c r="AF2590">
        <v>0</v>
      </c>
      <c r="AH2590">
        <v>0</v>
      </c>
      <c r="AI2590">
        <v>1</v>
      </c>
      <c r="AJ2590">
        <v>0</v>
      </c>
      <c r="AK2590">
        <v>0</v>
      </c>
      <c r="AL2590">
        <v>0</v>
      </c>
      <c r="AM2590">
        <v>1</v>
      </c>
      <c r="AN2590">
        <v>0</v>
      </c>
      <c r="AO2590">
        <v>0</v>
      </c>
      <c r="AP2590">
        <v>0</v>
      </c>
      <c r="AQ2590">
        <v>0</v>
      </c>
      <c r="AU2590">
        <v>0</v>
      </c>
      <c r="AV2590">
        <v>0</v>
      </c>
      <c r="AW2590">
        <v>0</v>
      </c>
    </row>
    <row r="2591" spans="1:49" x14ac:dyDescent="0.25">
      <c r="A2591" t="str">
        <f>"2587"</f>
        <v>2587</v>
      </c>
      <c r="B2591" t="str">
        <f t="shared" si="149"/>
        <v>1</v>
      </c>
      <c r="C2591" t="str">
        <f t="shared" si="150"/>
        <v>114</v>
      </c>
      <c r="D2591" t="str">
        <f>"24"</f>
        <v>24</v>
      </c>
      <c r="E2591" t="str">
        <f>"1-114-24"</f>
        <v>1-114-24</v>
      </c>
      <c r="F2591" t="s">
        <v>83</v>
      </c>
      <c r="G2591" t="s">
        <v>86</v>
      </c>
      <c r="H2591" t="s">
        <v>87</v>
      </c>
      <c r="AC2591">
        <v>0</v>
      </c>
      <c r="AD2591">
        <v>0</v>
      </c>
      <c r="AE2591">
        <v>0</v>
      </c>
      <c r="AF2591">
        <v>0</v>
      </c>
      <c r="AH2591">
        <v>0</v>
      </c>
      <c r="AI2591">
        <v>1</v>
      </c>
      <c r="AJ2591">
        <v>0</v>
      </c>
      <c r="AK2591">
        <v>0</v>
      </c>
      <c r="AL2591">
        <v>0</v>
      </c>
      <c r="AM2591">
        <v>1</v>
      </c>
      <c r="AN2591">
        <v>0</v>
      </c>
      <c r="AO2591">
        <v>0</v>
      </c>
      <c r="AP2591">
        <v>0</v>
      </c>
      <c r="AQ2591">
        <v>0</v>
      </c>
      <c r="AU2591">
        <v>0</v>
      </c>
      <c r="AV2591">
        <v>0</v>
      </c>
      <c r="AW2591">
        <v>0</v>
      </c>
    </row>
    <row r="2592" spans="1:49" x14ac:dyDescent="0.25">
      <c r="A2592" t="str">
        <f>"2588"</f>
        <v>2588</v>
      </c>
      <c r="B2592" t="str">
        <f t="shared" si="149"/>
        <v>1</v>
      </c>
      <c r="C2592" t="str">
        <f t="shared" si="150"/>
        <v>114</v>
      </c>
      <c r="D2592" t="str">
        <f>"15"</f>
        <v>15</v>
      </c>
      <c r="E2592" t="str">
        <f>"1-114-15"</f>
        <v>1-114-15</v>
      </c>
      <c r="F2592" t="s">
        <v>83</v>
      </c>
      <c r="G2592" t="s">
        <v>86</v>
      </c>
      <c r="H2592" t="s">
        <v>87</v>
      </c>
      <c r="AC2592">
        <v>0</v>
      </c>
      <c r="AD2592">
        <v>0</v>
      </c>
      <c r="AE2592">
        <v>0</v>
      </c>
      <c r="AF2592">
        <v>0</v>
      </c>
      <c r="AH2592">
        <v>0</v>
      </c>
      <c r="AI2592">
        <v>1</v>
      </c>
      <c r="AJ2592">
        <v>0</v>
      </c>
      <c r="AK2592">
        <v>1</v>
      </c>
      <c r="AL2592">
        <v>0</v>
      </c>
      <c r="AM2592">
        <v>1</v>
      </c>
      <c r="AN2592">
        <v>0</v>
      </c>
      <c r="AO2592">
        <v>0</v>
      </c>
      <c r="AP2592">
        <v>0</v>
      </c>
      <c r="AQ2592">
        <v>0</v>
      </c>
      <c r="AU2592">
        <v>0</v>
      </c>
      <c r="AV2592">
        <v>0</v>
      </c>
      <c r="AW2592">
        <v>0</v>
      </c>
    </row>
    <row r="2593" spans="1:49" x14ac:dyDescent="0.25">
      <c r="A2593" t="str">
        <f>"2589"</f>
        <v>2589</v>
      </c>
      <c r="B2593" t="str">
        <f t="shared" si="149"/>
        <v>1</v>
      </c>
      <c r="C2593" t="str">
        <f t="shared" si="150"/>
        <v>114</v>
      </c>
      <c r="D2593" t="str">
        <f>"14"</f>
        <v>14</v>
      </c>
      <c r="E2593" t="str">
        <f>"1-114-14"</f>
        <v>1-114-14</v>
      </c>
      <c r="F2593" t="s">
        <v>83</v>
      </c>
      <c r="G2593" t="s">
        <v>86</v>
      </c>
      <c r="H2593" t="s">
        <v>87</v>
      </c>
      <c r="AC2593">
        <v>0</v>
      </c>
      <c r="AD2593">
        <v>1</v>
      </c>
      <c r="AE2593">
        <v>0</v>
      </c>
      <c r="AF2593">
        <v>0</v>
      </c>
      <c r="AH2593">
        <v>1</v>
      </c>
      <c r="AI2593">
        <v>0</v>
      </c>
      <c r="AJ2593">
        <v>1</v>
      </c>
      <c r="AK2593">
        <v>0</v>
      </c>
      <c r="AL2593">
        <v>0</v>
      </c>
      <c r="AM2593">
        <v>1</v>
      </c>
      <c r="AN2593">
        <v>0</v>
      </c>
      <c r="AO2593">
        <v>1</v>
      </c>
      <c r="AP2593">
        <v>1</v>
      </c>
      <c r="AQ2593">
        <v>1</v>
      </c>
      <c r="AU2593">
        <v>1</v>
      </c>
      <c r="AV2593">
        <v>1</v>
      </c>
      <c r="AW2593">
        <v>1</v>
      </c>
    </row>
    <row r="2594" spans="1:49" x14ac:dyDescent="0.25">
      <c r="A2594" t="str">
        <f>"2590"</f>
        <v>2590</v>
      </c>
      <c r="B2594" t="str">
        <f t="shared" si="149"/>
        <v>1</v>
      </c>
      <c r="C2594" t="str">
        <f t="shared" si="150"/>
        <v>114</v>
      </c>
      <c r="D2594" t="str">
        <f>"11"</f>
        <v>11</v>
      </c>
      <c r="E2594" t="str">
        <f>"1-114-11"</f>
        <v>1-114-11</v>
      </c>
      <c r="F2594" t="s">
        <v>83</v>
      </c>
      <c r="G2594" t="s">
        <v>86</v>
      </c>
      <c r="H2594" t="s">
        <v>93</v>
      </c>
      <c r="I2594">
        <v>1</v>
      </c>
      <c r="K2594">
        <v>0</v>
      </c>
      <c r="L2594">
        <v>1</v>
      </c>
      <c r="M2594">
        <v>0</v>
      </c>
      <c r="N2594">
        <v>1</v>
      </c>
      <c r="O2594">
        <v>1</v>
      </c>
      <c r="P2594">
        <v>1</v>
      </c>
      <c r="Q2594">
        <v>1</v>
      </c>
      <c r="R2594">
        <v>1</v>
      </c>
      <c r="U2594">
        <v>1</v>
      </c>
      <c r="V2594">
        <v>0</v>
      </c>
      <c r="W2594">
        <v>1</v>
      </c>
      <c r="X2594">
        <v>1</v>
      </c>
      <c r="Y2594">
        <v>1</v>
      </c>
      <c r="Z2594">
        <v>1</v>
      </c>
      <c r="AA2594">
        <v>1</v>
      </c>
      <c r="AB2594">
        <v>1</v>
      </c>
    </row>
    <row r="2595" spans="1:49" x14ac:dyDescent="0.25">
      <c r="A2595" t="str">
        <f>"2591"</f>
        <v>2591</v>
      </c>
      <c r="B2595" t="str">
        <f t="shared" si="149"/>
        <v>1</v>
      </c>
      <c r="C2595" t="str">
        <f t="shared" si="150"/>
        <v>114</v>
      </c>
      <c r="D2595" t="str">
        <f>"8"</f>
        <v>8</v>
      </c>
      <c r="E2595" t="str">
        <f>"1-114-8"</f>
        <v>1-114-8</v>
      </c>
      <c r="F2595" t="s">
        <v>83</v>
      </c>
      <c r="G2595" t="s">
        <v>86</v>
      </c>
      <c r="H2595" t="s">
        <v>87</v>
      </c>
      <c r="AC2595">
        <v>0</v>
      </c>
      <c r="AD2595">
        <v>1</v>
      </c>
      <c r="AE2595">
        <v>0</v>
      </c>
      <c r="AF2595">
        <v>0</v>
      </c>
      <c r="AH2595">
        <v>1</v>
      </c>
      <c r="AI2595">
        <v>0</v>
      </c>
      <c r="AJ2595">
        <v>0</v>
      </c>
      <c r="AK2595">
        <v>1</v>
      </c>
      <c r="AL2595">
        <v>0</v>
      </c>
      <c r="AM2595">
        <v>1</v>
      </c>
      <c r="AN2595">
        <v>0</v>
      </c>
      <c r="AO2595">
        <v>1</v>
      </c>
      <c r="AP2595">
        <v>1</v>
      </c>
      <c r="AQ2595">
        <v>1</v>
      </c>
      <c r="AU2595">
        <v>1</v>
      </c>
      <c r="AV2595">
        <v>1</v>
      </c>
      <c r="AW2595">
        <v>1</v>
      </c>
    </row>
    <row r="2596" spans="1:49" x14ac:dyDescent="0.25">
      <c r="A2596" t="str">
        <f>"2592"</f>
        <v>2592</v>
      </c>
      <c r="B2596" t="str">
        <f t="shared" si="149"/>
        <v>1</v>
      </c>
      <c r="C2596" t="str">
        <f t="shared" si="150"/>
        <v>114</v>
      </c>
      <c r="D2596" t="str">
        <f>"3"</f>
        <v>3</v>
      </c>
      <c r="E2596" t="str">
        <f>"1-114-3"</f>
        <v>1-114-3</v>
      </c>
      <c r="F2596" t="s">
        <v>83</v>
      </c>
      <c r="G2596" t="s">
        <v>86</v>
      </c>
      <c r="H2596" t="s">
        <v>93</v>
      </c>
      <c r="I2596">
        <v>1</v>
      </c>
      <c r="K2596">
        <v>1</v>
      </c>
      <c r="L2596">
        <v>0</v>
      </c>
      <c r="M2596">
        <v>0</v>
      </c>
      <c r="N2596">
        <v>1</v>
      </c>
      <c r="O2596">
        <v>1</v>
      </c>
      <c r="P2596">
        <v>1</v>
      </c>
      <c r="Q2596">
        <v>1</v>
      </c>
      <c r="R2596">
        <v>1</v>
      </c>
      <c r="U2596">
        <v>0</v>
      </c>
      <c r="V2596">
        <v>1</v>
      </c>
      <c r="W2596">
        <v>1</v>
      </c>
      <c r="X2596">
        <v>1</v>
      </c>
      <c r="Y2596">
        <v>1</v>
      </c>
      <c r="Z2596">
        <v>1</v>
      </c>
      <c r="AA2596">
        <v>1</v>
      </c>
      <c r="AB2596">
        <v>1</v>
      </c>
    </row>
    <row r="2597" spans="1:49" x14ac:dyDescent="0.25">
      <c r="A2597" t="str">
        <f>"2593"</f>
        <v>2593</v>
      </c>
      <c r="B2597" t="str">
        <f t="shared" si="149"/>
        <v>1</v>
      </c>
      <c r="C2597" t="str">
        <f t="shared" si="150"/>
        <v>114</v>
      </c>
      <c r="D2597" t="str">
        <f>"21"</f>
        <v>21</v>
      </c>
      <c r="E2597" t="str">
        <f>"1-114-21"</f>
        <v>1-114-21</v>
      </c>
      <c r="F2597" t="s">
        <v>83</v>
      </c>
      <c r="G2597" t="s">
        <v>86</v>
      </c>
      <c r="H2597" t="s">
        <v>93</v>
      </c>
      <c r="I2597">
        <v>1</v>
      </c>
      <c r="K2597">
        <v>1</v>
      </c>
      <c r="L2597">
        <v>0</v>
      </c>
      <c r="M2597">
        <v>0</v>
      </c>
      <c r="N2597">
        <v>1</v>
      </c>
      <c r="O2597">
        <v>1</v>
      </c>
      <c r="P2597">
        <v>1</v>
      </c>
      <c r="Q2597">
        <v>1</v>
      </c>
      <c r="R2597">
        <v>1</v>
      </c>
      <c r="U2597">
        <v>0</v>
      </c>
      <c r="V2597">
        <v>1</v>
      </c>
      <c r="W2597">
        <v>1</v>
      </c>
      <c r="X2597">
        <v>1</v>
      </c>
      <c r="Y2597">
        <v>1</v>
      </c>
      <c r="Z2597">
        <v>1</v>
      </c>
      <c r="AA2597">
        <v>1</v>
      </c>
      <c r="AB2597">
        <v>1</v>
      </c>
    </row>
    <row r="2598" spans="1:49" x14ac:dyDescent="0.25">
      <c r="A2598" t="str">
        <f>"2594"</f>
        <v>2594</v>
      </c>
      <c r="B2598" t="str">
        <f t="shared" si="149"/>
        <v>1</v>
      </c>
      <c r="C2598" t="str">
        <f t="shared" si="150"/>
        <v>114</v>
      </c>
      <c r="D2598" t="str">
        <f>"20"</f>
        <v>20</v>
      </c>
      <c r="E2598" t="str">
        <f>"1-114-20"</f>
        <v>1-114-20</v>
      </c>
      <c r="F2598" t="s">
        <v>83</v>
      </c>
      <c r="G2598" t="s">
        <v>86</v>
      </c>
      <c r="H2598" t="s">
        <v>87</v>
      </c>
      <c r="AC2598">
        <v>0</v>
      </c>
      <c r="AD2598">
        <v>1</v>
      </c>
      <c r="AE2598">
        <v>0</v>
      </c>
      <c r="AF2598">
        <v>0</v>
      </c>
      <c r="AH2598">
        <v>0</v>
      </c>
      <c r="AI2598">
        <v>1</v>
      </c>
      <c r="AJ2598">
        <v>0</v>
      </c>
      <c r="AK2598">
        <v>1</v>
      </c>
      <c r="AL2598">
        <v>0</v>
      </c>
      <c r="AM2598">
        <v>0</v>
      </c>
      <c r="AN2598">
        <v>1</v>
      </c>
      <c r="AO2598">
        <v>1</v>
      </c>
      <c r="AP2598">
        <v>1</v>
      </c>
      <c r="AQ2598">
        <v>1</v>
      </c>
      <c r="AU2598">
        <v>1</v>
      </c>
      <c r="AV2598">
        <v>1</v>
      </c>
      <c r="AW2598">
        <v>1</v>
      </c>
    </row>
    <row r="2599" spans="1:49" x14ac:dyDescent="0.25">
      <c r="A2599" t="str">
        <f>"2595"</f>
        <v>2595</v>
      </c>
      <c r="B2599" t="str">
        <f t="shared" si="149"/>
        <v>1</v>
      </c>
      <c r="C2599" t="str">
        <f t="shared" si="150"/>
        <v>114</v>
      </c>
      <c r="D2599" t="str">
        <f>"16"</f>
        <v>16</v>
      </c>
      <c r="E2599" t="str">
        <f>"1-114-16"</f>
        <v>1-114-16</v>
      </c>
      <c r="F2599" t="s">
        <v>83</v>
      </c>
      <c r="G2599" t="s">
        <v>86</v>
      </c>
      <c r="H2599" t="s">
        <v>87</v>
      </c>
      <c r="AC2599">
        <v>0</v>
      </c>
      <c r="AD2599">
        <v>0</v>
      </c>
      <c r="AE2599">
        <v>0</v>
      </c>
      <c r="AF2599">
        <v>0</v>
      </c>
      <c r="AH2599">
        <v>0</v>
      </c>
      <c r="AI2599">
        <v>1</v>
      </c>
      <c r="AJ2599">
        <v>0</v>
      </c>
      <c r="AK2599">
        <v>1</v>
      </c>
      <c r="AL2599">
        <v>0</v>
      </c>
      <c r="AM2599">
        <v>1</v>
      </c>
      <c r="AN2599">
        <v>0</v>
      </c>
      <c r="AO2599">
        <v>0</v>
      </c>
      <c r="AP2599">
        <v>0</v>
      </c>
      <c r="AQ2599">
        <v>0</v>
      </c>
      <c r="AU2599">
        <v>0</v>
      </c>
      <c r="AV2599">
        <v>0</v>
      </c>
      <c r="AW2599">
        <v>0</v>
      </c>
    </row>
    <row r="2600" spans="1:49" x14ac:dyDescent="0.25">
      <c r="A2600" t="str">
        <f>"2596"</f>
        <v>2596</v>
      </c>
      <c r="B2600" t="str">
        <f t="shared" si="149"/>
        <v>1</v>
      </c>
      <c r="C2600" t="str">
        <f t="shared" si="150"/>
        <v>114</v>
      </c>
      <c r="D2600" t="str">
        <f>"9"</f>
        <v>9</v>
      </c>
      <c r="E2600" t="str">
        <f>"1-114-9"</f>
        <v>1-114-9</v>
      </c>
      <c r="F2600" t="s">
        <v>83</v>
      </c>
      <c r="G2600" t="s">
        <v>86</v>
      </c>
      <c r="H2600" t="s">
        <v>87</v>
      </c>
      <c r="AC2600">
        <v>0</v>
      </c>
      <c r="AD2600">
        <v>1</v>
      </c>
      <c r="AE2600">
        <v>0</v>
      </c>
      <c r="AF2600">
        <v>0</v>
      </c>
      <c r="AH2600">
        <v>0</v>
      </c>
      <c r="AI2600">
        <v>1</v>
      </c>
      <c r="AJ2600">
        <v>0</v>
      </c>
      <c r="AK2600">
        <v>0</v>
      </c>
      <c r="AL2600">
        <v>0</v>
      </c>
      <c r="AM2600">
        <v>0</v>
      </c>
      <c r="AN2600">
        <v>1</v>
      </c>
      <c r="AO2600">
        <v>0</v>
      </c>
      <c r="AP2600">
        <v>0</v>
      </c>
      <c r="AQ2600">
        <v>0</v>
      </c>
      <c r="AU2600">
        <v>0</v>
      </c>
      <c r="AV2600">
        <v>0</v>
      </c>
      <c r="AW2600">
        <v>0</v>
      </c>
    </row>
    <row r="2601" spans="1:49" x14ac:dyDescent="0.25">
      <c r="A2601" t="str">
        <f>"2597"</f>
        <v>2597</v>
      </c>
      <c r="B2601" t="str">
        <f t="shared" si="149"/>
        <v>1</v>
      </c>
      <c r="C2601" t="str">
        <f t="shared" si="150"/>
        <v>114</v>
      </c>
      <c r="D2601" t="str">
        <f>"5"</f>
        <v>5</v>
      </c>
      <c r="E2601" t="str">
        <f>"1-114-5"</f>
        <v>1-114-5</v>
      </c>
      <c r="F2601" t="s">
        <v>83</v>
      </c>
      <c r="G2601" t="s">
        <v>86</v>
      </c>
      <c r="H2601" t="s">
        <v>87</v>
      </c>
      <c r="AC2601">
        <v>0</v>
      </c>
      <c r="AD2601">
        <v>1</v>
      </c>
      <c r="AE2601">
        <v>0</v>
      </c>
      <c r="AF2601">
        <v>0</v>
      </c>
      <c r="AH2601">
        <v>1</v>
      </c>
      <c r="AI2601">
        <v>0</v>
      </c>
      <c r="AJ2601">
        <v>1</v>
      </c>
      <c r="AK2601">
        <v>0</v>
      </c>
      <c r="AL2601">
        <v>0</v>
      </c>
      <c r="AM2601">
        <v>1</v>
      </c>
      <c r="AN2601">
        <v>0</v>
      </c>
      <c r="AO2601">
        <v>1</v>
      </c>
      <c r="AP2601">
        <v>1</v>
      </c>
      <c r="AQ2601">
        <v>1</v>
      </c>
      <c r="AU2601">
        <v>1</v>
      </c>
      <c r="AV2601">
        <v>1</v>
      </c>
      <c r="AW2601">
        <v>1</v>
      </c>
    </row>
    <row r="2602" spans="1:49" x14ac:dyDescent="0.25">
      <c r="A2602" t="str">
        <f>"2598"</f>
        <v>2598</v>
      </c>
      <c r="B2602" t="str">
        <f t="shared" si="149"/>
        <v>1</v>
      </c>
      <c r="C2602" t="str">
        <f t="shared" si="150"/>
        <v>114</v>
      </c>
      <c r="D2602" t="str">
        <f>"23"</f>
        <v>23</v>
      </c>
      <c r="E2602" t="str">
        <f>"1-114-23"</f>
        <v>1-114-23</v>
      </c>
      <c r="F2602" t="s">
        <v>83</v>
      </c>
      <c r="G2602" t="s">
        <v>86</v>
      </c>
      <c r="H2602" t="s">
        <v>87</v>
      </c>
      <c r="AC2602">
        <v>0</v>
      </c>
      <c r="AD2602">
        <v>0</v>
      </c>
      <c r="AE2602">
        <v>0</v>
      </c>
      <c r="AF2602">
        <v>0</v>
      </c>
      <c r="AH2602">
        <v>0</v>
      </c>
      <c r="AI2602">
        <v>1</v>
      </c>
      <c r="AJ2602">
        <v>0</v>
      </c>
      <c r="AK2602">
        <v>0</v>
      </c>
      <c r="AL2602">
        <v>0</v>
      </c>
      <c r="AM2602">
        <v>0</v>
      </c>
      <c r="AN2602">
        <v>0</v>
      </c>
      <c r="AO2602">
        <v>0</v>
      </c>
      <c r="AP2602">
        <v>0</v>
      </c>
      <c r="AQ2602">
        <v>0</v>
      </c>
      <c r="AU2602">
        <v>0</v>
      </c>
      <c r="AV2602">
        <v>0</v>
      </c>
      <c r="AW2602">
        <v>0</v>
      </c>
    </row>
    <row r="2603" spans="1:49" x14ac:dyDescent="0.25">
      <c r="A2603" t="str">
        <f>"2599"</f>
        <v>2599</v>
      </c>
      <c r="B2603" t="str">
        <f t="shared" si="149"/>
        <v>1</v>
      </c>
      <c r="C2603" t="str">
        <f t="shared" si="150"/>
        <v>114</v>
      </c>
      <c r="D2603" t="str">
        <f>"22"</f>
        <v>22</v>
      </c>
      <c r="E2603" t="str">
        <f>"1-114-22"</f>
        <v>1-114-22</v>
      </c>
      <c r="F2603" t="s">
        <v>83</v>
      </c>
      <c r="G2603" t="s">
        <v>86</v>
      </c>
      <c r="H2603" t="s">
        <v>87</v>
      </c>
      <c r="AC2603">
        <v>0</v>
      </c>
      <c r="AD2603">
        <v>1</v>
      </c>
      <c r="AE2603">
        <v>0</v>
      </c>
      <c r="AF2603">
        <v>0</v>
      </c>
      <c r="AH2603">
        <v>0</v>
      </c>
      <c r="AI2603">
        <v>1</v>
      </c>
      <c r="AJ2603">
        <v>0</v>
      </c>
      <c r="AK2603">
        <v>1</v>
      </c>
      <c r="AL2603">
        <v>0</v>
      </c>
      <c r="AM2603">
        <v>1</v>
      </c>
      <c r="AN2603">
        <v>0</v>
      </c>
      <c r="AO2603">
        <v>0</v>
      </c>
      <c r="AP2603">
        <v>0</v>
      </c>
      <c r="AQ2603">
        <v>0</v>
      </c>
      <c r="AU2603">
        <v>0</v>
      </c>
      <c r="AV2603">
        <v>0</v>
      </c>
      <c r="AW2603">
        <v>0</v>
      </c>
    </row>
    <row r="2604" spans="1:49" x14ac:dyDescent="0.25">
      <c r="A2604" t="str">
        <f>"2600"</f>
        <v>2600</v>
      </c>
      <c r="B2604" t="str">
        <f t="shared" si="149"/>
        <v>1</v>
      </c>
      <c r="C2604" t="str">
        <f t="shared" si="150"/>
        <v>114</v>
      </c>
      <c r="D2604" t="str">
        <f>"17"</f>
        <v>17</v>
      </c>
      <c r="E2604" t="str">
        <f>"1-114-17"</f>
        <v>1-114-17</v>
      </c>
      <c r="F2604" t="s">
        <v>83</v>
      </c>
      <c r="G2604" t="s">
        <v>86</v>
      </c>
      <c r="H2604" t="s">
        <v>93</v>
      </c>
      <c r="I2604">
        <v>1</v>
      </c>
      <c r="K2604">
        <v>1</v>
      </c>
      <c r="L2604">
        <v>0</v>
      </c>
      <c r="M2604">
        <v>0</v>
      </c>
      <c r="N2604">
        <v>1</v>
      </c>
      <c r="O2604">
        <v>1</v>
      </c>
      <c r="P2604">
        <v>1</v>
      </c>
      <c r="Q2604">
        <v>1</v>
      </c>
      <c r="R2604">
        <v>1</v>
      </c>
      <c r="U2604">
        <v>0</v>
      </c>
      <c r="V2604">
        <v>1</v>
      </c>
      <c r="W2604">
        <v>0</v>
      </c>
      <c r="X2604">
        <v>1</v>
      </c>
      <c r="Y2604">
        <v>1</v>
      </c>
      <c r="Z2604">
        <v>1</v>
      </c>
      <c r="AA2604">
        <v>1</v>
      </c>
      <c r="AB2604">
        <v>1</v>
      </c>
    </row>
    <row r="2605" spans="1:49" x14ac:dyDescent="0.25">
      <c r="A2605" t="str">
        <f>"2601"</f>
        <v>2601</v>
      </c>
      <c r="B2605" t="str">
        <f t="shared" si="149"/>
        <v>1</v>
      </c>
      <c r="C2605" t="str">
        <f t="shared" si="150"/>
        <v>114</v>
      </c>
      <c r="D2605" t="str">
        <f>"10"</f>
        <v>10</v>
      </c>
      <c r="E2605" t="str">
        <f>"1-114-10"</f>
        <v>1-114-10</v>
      </c>
      <c r="F2605" t="s">
        <v>83</v>
      </c>
      <c r="G2605" t="s">
        <v>86</v>
      </c>
      <c r="H2605" t="s">
        <v>87</v>
      </c>
      <c r="AC2605">
        <v>0</v>
      </c>
      <c r="AD2605">
        <v>1</v>
      </c>
      <c r="AE2605">
        <v>0</v>
      </c>
      <c r="AF2605">
        <v>0</v>
      </c>
      <c r="AH2605">
        <v>0</v>
      </c>
      <c r="AI2605">
        <v>1</v>
      </c>
      <c r="AJ2605">
        <v>0</v>
      </c>
      <c r="AK2605">
        <v>0</v>
      </c>
      <c r="AL2605">
        <v>0</v>
      </c>
      <c r="AM2605">
        <v>0</v>
      </c>
      <c r="AN2605">
        <v>1</v>
      </c>
      <c r="AO2605">
        <v>0</v>
      </c>
      <c r="AP2605">
        <v>0</v>
      </c>
      <c r="AQ2605">
        <v>0</v>
      </c>
      <c r="AU2605">
        <v>0</v>
      </c>
      <c r="AV2605">
        <v>0</v>
      </c>
      <c r="AW2605">
        <v>0</v>
      </c>
    </row>
    <row r="2606" spans="1:49" x14ac:dyDescent="0.25">
      <c r="A2606" t="str">
        <f>"2602"</f>
        <v>2602</v>
      </c>
      <c r="B2606" t="str">
        <f t="shared" si="149"/>
        <v>1</v>
      </c>
      <c r="C2606" t="str">
        <f t="shared" si="150"/>
        <v>114</v>
      </c>
      <c r="D2606" t="str">
        <f>"1"</f>
        <v>1</v>
      </c>
      <c r="E2606" t="str">
        <f>"1-114-1"</f>
        <v>1-114-1</v>
      </c>
      <c r="F2606" t="s">
        <v>83</v>
      </c>
      <c r="G2606" t="s">
        <v>84</v>
      </c>
      <c r="H2606" t="s">
        <v>85</v>
      </c>
      <c r="AC2606">
        <v>0</v>
      </c>
      <c r="AD2606">
        <v>1</v>
      </c>
      <c r="AE2606">
        <v>0</v>
      </c>
      <c r="AF2606">
        <v>0</v>
      </c>
      <c r="AG2606">
        <v>0</v>
      </c>
      <c r="AJ2606">
        <v>0</v>
      </c>
      <c r="AK2606">
        <v>1</v>
      </c>
      <c r="AL2606">
        <v>0</v>
      </c>
      <c r="AM2606">
        <v>0</v>
      </c>
      <c r="AN2606">
        <v>1</v>
      </c>
      <c r="AO2606">
        <v>0</v>
      </c>
      <c r="AP2606">
        <v>0</v>
      </c>
      <c r="AQ2606">
        <v>0</v>
      </c>
      <c r="AR2606">
        <v>0</v>
      </c>
      <c r="AS2606">
        <v>0</v>
      </c>
      <c r="AT2606">
        <v>1</v>
      </c>
      <c r="AV2606">
        <v>0</v>
      </c>
      <c r="AW2606">
        <v>0</v>
      </c>
    </row>
    <row r="2607" spans="1:49" x14ac:dyDescent="0.25">
      <c r="A2607" t="str">
        <f>"2603"</f>
        <v>2603</v>
      </c>
      <c r="B2607" t="str">
        <f t="shared" si="149"/>
        <v>1</v>
      </c>
      <c r="C2607" t="str">
        <f t="shared" si="150"/>
        <v>114</v>
      </c>
      <c r="D2607" t="str">
        <f>"12"</f>
        <v>12</v>
      </c>
      <c r="E2607" t="str">
        <f>"1-114-12"</f>
        <v>1-114-12</v>
      </c>
      <c r="F2607" t="s">
        <v>83</v>
      </c>
      <c r="G2607" t="s">
        <v>86</v>
      </c>
      <c r="H2607" t="s">
        <v>87</v>
      </c>
      <c r="AC2607">
        <v>0</v>
      </c>
      <c r="AD2607">
        <v>1</v>
      </c>
      <c r="AE2607">
        <v>0</v>
      </c>
      <c r="AF2607">
        <v>0</v>
      </c>
      <c r="AH2607">
        <v>1</v>
      </c>
      <c r="AI2607">
        <v>0</v>
      </c>
      <c r="AJ2607">
        <v>0</v>
      </c>
      <c r="AK2607">
        <v>1</v>
      </c>
      <c r="AL2607">
        <v>0</v>
      </c>
      <c r="AM2607">
        <v>0</v>
      </c>
      <c r="AN2607">
        <v>0</v>
      </c>
      <c r="AO2607">
        <v>0</v>
      </c>
      <c r="AP2607">
        <v>0</v>
      </c>
      <c r="AQ2607">
        <v>0</v>
      </c>
      <c r="AU2607">
        <v>0</v>
      </c>
      <c r="AV2607">
        <v>0</v>
      </c>
      <c r="AW2607">
        <v>0</v>
      </c>
    </row>
    <row r="2608" spans="1:49" x14ac:dyDescent="0.25">
      <c r="A2608" t="str">
        <f>"2604"</f>
        <v>2604</v>
      </c>
      <c r="B2608" t="str">
        <f t="shared" si="149"/>
        <v>1</v>
      </c>
      <c r="C2608" t="str">
        <f t="shared" si="150"/>
        <v>114</v>
      </c>
      <c r="D2608" t="str">
        <f>"7"</f>
        <v>7</v>
      </c>
      <c r="E2608" t="str">
        <f>"1-114-7"</f>
        <v>1-114-7</v>
      </c>
      <c r="F2608" t="s">
        <v>83</v>
      </c>
      <c r="G2608" t="s">
        <v>86</v>
      </c>
      <c r="H2608" t="s">
        <v>87</v>
      </c>
      <c r="AC2608">
        <v>0</v>
      </c>
      <c r="AD2608">
        <v>1</v>
      </c>
      <c r="AE2608">
        <v>0</v>
      </c>
      <c r="AF2608">
        <v>0</v>
      </c>
      <c r="AH2608">
        <v>1</v>
      </c>
      <c r="AI2608">
        <v>0</v>
      </c>
      <c r="AJ2608">
        <v>0</v>
      </c>
      <c r="AK2608">
        <v>1</v>
      </c>
      <c r="AL2608">
        <v>0</v>
      </c>
      <c r="AM2608">
        <v>0</v>
      </c>
      <c r="AN2608">
        <v>1</v>
      </c>
      <c r="AO2608">
        <v>1</v>
      </c>
      <c r="AP2608">
        <v>1</v>
      </c>
      <c r="AQ2608">
        <v>1</v>
      </c>
      <c r="AU2608">
        <v>1</v>
      </c>
      <c r="AV2608">
        <v>1</v>
      </c>
      <c r="AW2608">
        <v>1</v>
      </c>
    </row>
    <row r="2609" spans="1:49" x14ac:dyDescent="0.25">
      <c r="A2609" t="str">
        <f>"2605"</f>
        <v>2605</v>
      </c>
      <c r="B2609" t="str">
        <f t="shared" si="149"/>
        <v>1</v>
      </c>
      <c r="C2609" t="str">
        <f t="shared" si="150"/>
        <v>114</v>
      </c>
      <c r="D2609" t="str">
        <f>"13"</f>
        <v>13</v>
      </c>
      <c r="E2609" t="str">
        <f>"1-114-13"</f>
        <v>1-114-13</v>
      </c>
      <c r="F2609" t="s">
        <v>83</v>
      </c>
      <c r="G2609" t="s">
        <v>86</v>
      </c>
      <c r="H2609" t="s">
        <v>87</v>
      </c>
      <c r="AC2609">
        <v>1</v>
      </c>
      <c r="AD2609">
        <v>0</v>
      </c>
      <c r="AE2609">
        <v>0</v>
      </c>
      <c r="AF2609">
        <v>0</v>
      </c>
      <c r="AH2609">
        <v>1</v>
      </c>
      <c r="AI2609">
        <v>0</v>
      </c>
      <c r="AJ2609">
        <v>1</v>
      </c>
      <c r="AK2609">
        <v>0</v>
      </c>
      <c r="AL2609">
        <v>1</v>
      </c>
      <c r="AM2609">
        <v>0</v>
      </c>
      <c r="AN2609">
        <v>0</v>
      </c>
      <c r="AO2609">
        <v>1</v>
      </c>
      <c r="AP2609">
        <v>1</v>
      </c>
      <c r="AQ2609">
        <v>1</v>
      </c>
      <c r="AU2609">
        <v>1</v>
      </c>
      <c r="AV2609">
        <v>1</v>
      </c>
      <c r="AW2609">
        <v>1</v>
      </c>
    </row>
    <row r="2610" spans="1:49" x14ac:dyDescent="0.25">
      <c r="A2610" t="str">
        <f>"2606"</f>
        <v>2606</v>
      </c>
      <c r="B2610" t="str">
        <f t="shared" si="149"/>
        <v>1</v>
      </c>
      <c r="C2610" t="str">
        <f t="shared" si="150"/>
        <v>114</v>
      </c>
      <c r="D2610" t="str">
        <f>"2"</f>
        <v>2</v>
      </c>
      <c r="E2610" t="str">
        <f>"1-114-2"</f>
        <v>1-114-2</v>
      </c>
      <c r="F2610" t="s">
        <v>83</v>
      </c>
      <c r="G2610" t="s">
        <v>86</v>
      </c>
      <c r="H2610" t="s">
        <v>87</v>
      </c>
      <c r="AC2610">
        <v>0</v>
      </c>
      <c r="AD2610">
        <v>0</v>
      </c>
      <c r="AE2610">
        <v>0</v>
      </c>
      <c r="AF2610">
        <v>0</v>
      </c>
      <c r="AH2610">
        <v>0</v>
      </c>
      <c r="AI2610">
        <v>1</v>
      </c>
      <c r="AJ2610">
        <v>0</v>
      </c>
      <c r="AK2610">
        <v>0</v>
      </c>
      <c r="AL2610">
        <v>0</v>
      </c>
      <c r="AM2610">
        <v>0</v>
      </c>
      <c r="AN2610">
        <v>0</v>
      </c>
      <c r="AO2610">
        <v>0</v>
      </c>
      <c r="AP2610">
        <v>0</v>
      </c>
      <c r="AQ2610">
        <v>0</v>
      </c>
      <c r="AU2610">
        <v>0</v>
      </c>
      <c r="AV2610">
        <v>0</v>
      </c>
      <c r="AW2610">
        <v>0</v>
      </c>
    </row>
    <row r="2611" spans="1:49" x14ac:dyDescent="0.25">
      <c r="A2611" t="str">
        <f>"2607"</f>
        <v>2607</v>
      </c>
      <c r="B2611" t="str">
        <f t="shared" si="149"/>
        <v>1</v>
      </c>
      <c r="C2611" t="str">
        <f t="shared" si="150"/>
        <v>114</v>
      </c>
      <c r="D2611" t="str">
        <f>"18"</f>
        <v>18</v>
      </c>
      <c r="E2611" t="str">
        <f>"1-114-18"</f>
        <v>1-114-18</v>
      </c>
      <c r="F2611" t="s">
        <v>83</v>
      </c>
      <c r="G2611" t="s">
        <v>86</v>
      </c>
      <c r="H2611" t="s">
        <v>87</v>
      </c>
      <c r="AC2611">
        <v>1</v>
      </c>
      <c r="AD2611">
        <v>0</v>
      </c>
      <c r="AE2611">
        <v>0</v>
      </c>
      <c r="AF2611">
        <v>0</v>
      </c>
      <c r="AH2611">
        <v>0</v>
      </c>
      <c r="AI2611">
        <v>1</v>
      </c>
      <c r="AJ2611">
        <v>0</v>
      </c>
      <c r="AK2611">
        <v>0</v>
      </c>
      <c r="AL2611">
        <v>0</v>
      </c>
      <c r="AM2611">
        <v>0</v>
      </c>
      <c r="AN2611">
        <v>0</v>
      </c>
      <c r="AO2611">
        <v>0</v>
      </c>
      <c r="AP2611">
        <v>0</v>
      </c>
      <c r="AQ2611">
        <v>0</v>
      </c>
      <c r="AU2611">
        <v>0</v>
      </c>
      <c r="AV2611">
        <v>0</v>
      </c>
      <c r="AW2611">
        <v>0</v>
      </c>
    </row>
    <row r="2612" spans="1:49" x14ac:dyDescent="0.25">
      <c r="A2612" t="str">
        <f>"2608"</f>
        <v>2608</v>
      </c>
      <c r="B2612" t="str">
        <f t="shared" si="149"/>
        <v>1</v>
      </c>
      <c r="C2612" t="str">
        <f t="shared" si="150"/>
        <v>114</v>
      </c>
      <c r="D2612" t="str">
        <f>"6"</f>
        <v>6</v>
      </c>
      <c r="E2612" t="str">
        <f>"1-114-6"</f>
        <v>1-114-6</v>
      </c>
      <c r="F2612" t="s">
        <v>83</v>
      </c>
      <c r="G2612" t="s">
        <v>90</v>
      </c>
      <c r="H2612" t="s">
        <v>91</v>
      </c>
      <c r="AC2612">
        <v>1</v>
      </c>
      <c r="AD2612">
        <v>0</v>
      </c>
      <c r="AE2612">
        <v>0</v>
      </c>
      <c r="AF2612">
        <v>0</v>
      </c>
      <c r="AH2612">
        <v>1</v>
      </c>
      <c r="AI2612">
        <v>0</v>
      </c>
      <c r="AJ2612">
        <v>1</v>
      </c>
      <c r="AK2612">
        <v>0</v>
      </c>
      <c r="AL2612">
        <v>1</v>
      </c>
      <c r="AM2612">
        <v>0</v>
      </c>
      <c r="AN2612">
        <v>0</v>
      </c>
      <c r="AO2612">
        <v>1</v>
      </c>
      <c r="AP2612">
        <v>1</v>
      </c>
      <c r="AQ2612">
        <v>1</v>
      </c>
      <c r="AR2612">
        <v>1</v>
      </c>
      <c r="AU2612">
        <v>1</v>
      </c>
      <c r="AV2612">
        <v>1</v>
      </c>
      <c r="AW2612">
        <v>1</v>
      </c>
    </row>
    <row r="2613" spans="1:49" x14ac:dyDescent="0.25">
      <c r="A2613" t="str">
        <f>"2609"</f>
        <v>2609</v>
      </c>
      <c r="B2613" t="str">
        <f t="shared" si="149"/>
        <v>1</v>
      </c>
      <c r="C2613" t="str">
        <f t="shared" si="150"/>
        <v>114</v>
      </c>
      <c r="D2613" t="str">
        <f>"19"</f>
        <v>19</v>
      </c>
      <c r="E2613" t="str">
        <f>"1-114-19"</f>
        <v>1-114-19</v>
      </c>
      <c r="F2613" t="s">
        <v>83</v>
      </c>
      <c r="G2613" t="s">
        <v>86</v>
      </c>
      <c r="H2613" t="s">
        <v>87</v>
      </c>
      <c r="AC2613">
        <v>0</v>
      </c>
      <c r="AD2613">
        <v>1</v>
      </c>
      <c r="AE2613">
        <v>0</v>
      </c>
      <c r="AF2613">
        <v>0</v>
      </c>
      <c r="AH2613">
        <v>0</v>
      </c>
      <c r="AI2613">
        <v>1</v>
      </c>
      <c r="AJ2613">
        <v>1</v>
      </c>
      <c r="AK2613">
        <v>0</v>
      </c>
      <c r="AL2613">
        <v>0</v>
      </c>
      <c r="AM2613">
        <v>0</v>
      </c>
      <c r="AN2613">
        <v>1</v>
      </c>
      <c r="AO2613">
        <v>1</v>
      </c>
      <c r="AP2613">
        <v>1</v>
      </c>
      <c r="AQ2613">
        <v>1</v>
      </c>
      <c r="AU2613">
        <v>1</v>
      </c>
      <c r="AV2613">
        <v>1</v>
      </c>
      <c r="AW2613">
        <v>1</v>
      </c>
    </row>
    <row r="2614" spans="1:49" x14ac:dyDescent="0.25">
      <c r="A2614" t="str">
        <f>"2610"</f>
        <v>2610</v>
      </c>
      <c r="B2614" t="str">
        <f t="shared" si="149"/>
        <v>1</v>
      </c>
      <c r="C2614" t="str">
        <f t="shared" si="150"/>
        <v>114</v>
      </c>
      <c r="D2614" t="str">
        <f>"4"</f>
        <v>4</v>
      </c>
      <c r="E2614" t="str">
        <f>"1-114-4"</f>
        <v>1-114-4</v>
      </c>
      <c r="F2614" t="s">
        <v>83</v>
      </c>
      <c r="G2614" t="s">
        <v>86</v>
      </c>
      <c r="H2614" t="s">
        <v>87</v>
      </c>
      <c r="AC2614">
        <v>0</v>
      </c>
      <c r="AD2614">
        <v>1</v>
      </c>
      <c r="AE2614">
        <v>0</v>
      </c>
      <c r="AF2614">
        <v>0</v>
      </c>
      <c r="AH2614">
        <v>1</v>
      </c>
      <c r="AI2614">
        <v>0</v>
      </c>
      <c r="AJ2614">
        <v>1</v>
      </c>
      <c r="AK2614">
        <v>0</v>
      </c>
      <c r="AL2614">
        <v>0</v>
      </c>
      <c r="AM2614">
        <v>1</v>
      </c>
      <c r="AN2614">
        <v>0</v>
      </c>
      <c r="AO2614">
        <v>1</v>
      </c>
      <c r="AP2614">
        <v>1</v>
      </c>
      <c r="AQ2614">
        <v>1</v>
      </c>
      <c r="AU2614">
        <v>1</v>
      </c>
      <c r="AV2614">
        <v>1</v>
      </c>
      <c r="AW2614">
        <v>1</v>
      </c>
    </row>
    <row r="2615" spans="1:49" x14ac:dyDescent="0.25">
      <c r="A2615" t="str">
        <f>"2611"</f>
        <v>2611</v>
      </c>
      <c r="B2615" t="str">
        <f t="shared" si="149"/>
        <v>1</v>
      </c>
      <c r="C2615" t="str">
        <f t="shared" ref="C2615:C2639" si="151">"115"</f>
        <v>115</v>
      </c>
      <c r="D2615" t="str">
        <f>"21"</f>
        <v>21</v>
      </c>
      <c r="E2615" t="str">
        <f>"1-115-21"</f>
        <v>1-115-21</v>
      </c>
      <c r="F2615" t="s">
        <v>83</v>
      </c>
      <c r="G2615" t="s">
        <v>84</v>
      </c>
      <c r="H2615" t="s">
        <v>85</v>
      </c>
      <c r="AC2615">
        <v>0</v>
      </c>
      <c r="AD2615">
        <v>1</v>
      </c>
      <c r="AE2615">
        <v>0</v>
      </c>
      <c r="AF2615">
        <v>0</v>
      </c>
      <c r="AG2615">
        <v>0</v>
      </c>
      <c r="AJ2615">
        <v>0</v>
      </c>
      <c r="AK2615">
        <v>1</v>
      </c>
      <c r="AL2615">
        <v>0</v>
      </c>
      <c r="AM2615">
        <v>0</v>
      </c>
      <c r="AN2615">
        <v>1</v>
      </c>
      <c r="AO2615">
        <v>0</v>
      </c>
      <c r="AP2615">
        <v>0</v>
      </c>
      <c r="AQ2615">
        <v>0</v>
      </c>
      <c r="AR2615">
        <v>0</v>
      </c>
      <c r="AS2615">
        <v>1</v>
      </c>
      <c r="AT2615">
        <v>0</v>
      </c>
      <c r="AV2615">
        <v>0</v>
      </c>
      <c r="AW2615">
        <v>0</v>
      </c>
    </row>
    <row r="2616" spans="1:49" x14ac:dyDescent="0.25">
      <c r="A2616" t="str">
        <f>"2612"</f>
        <v>2612</v>
      </c>
      <c r="B2616" t="str">
        <f t="shared" si="149"/>
        <v>1</v>
      </c>
      <c r="C2616" t="str">
        <f t="shared" si="151"/>
        <v>115</v>
      </c>
      <c r="D2616" t="str">
        <f>"20"</f>
        <v>20</v>
      </c>
      <c r="E2616" t="str">
        <f>"1-115-20"</f>
        <v>1-115-20</v>
      </c>
      <c r="F2616" t="s">
        <v>83</v>
      </c>
      <c r="G2616" t="s">
        <v>84</v>
      </c>
      <c r="H2616" t="s">
        <v>85</v>
      </c>
      <c r="AC2616">
        <v>0</v>
      </c>
      <c r="AD2616">
        <v>1</v>
      </c>
      <c r="AE2616">
        <v>0</v>
      </c>
      <c r="AF2616">
        <v>0</v>
      </c>
      <c r="AG2616">
        <v>0</v>
      </c>
      <c r="AJ2616">
        <v>0</v>
      </c>
      <c r="AK2616">
        <v>0</v>
      </c>
      <c r="AL2616">
        <v>0</v>
      </c>
      <c r="AM2616">
        <v>0</v>
      </c>
      <c r="AN2616">
        <v>0</v>
      </c>
      <c r="AO2616">
        <v>0</v>
      </c>
      <c r="AP2616">
        <v>0</v>
      </c>
      <c r="AQ2616">
        <v>0</v>
      </c>
      <c r="AR2616">
        <v>0</v>
      </c>
      <c r="AS2616">
        <v>0</v>
      </c>
      <c r="AT2616">
        <v>0</v>
      </c>
      <c r="AV2616">
        <v>0</v>
      </c>
      <c r="AW2616">
        <v>0</v>
      </c>
    </row>
    <row r="2617" spans="1:49" x14ac:dyDescent="0.25">
      <c r="A2617" t="str">
        <f>"2613"</f>
        <v>2613</v>
      </c>
      <c r="B2617" t="str">
        <f t="shared" si="149"/>
        <v>1</v>
      </c>
      <c r="C2617" t="str">
        <f t="shared" si="151"/>
        <v>115</v>
      </c>
      <c r="D2617" t="str">
        <f>"15"</f>
        <v>15</v>
      </c>
      <c r="E2617" t="str">
        <f>"1-115-15"</f>
        <v>1-115-15</v>
      </c>
      <c r="F2617" t="s">
        <v>83</v>
      </c>
      <c r="G2617" t="s">
        <v>84</v>
      </c>
      <c r="H2617" t="s">
        <v>92</v>
      </c>
      <c r="I2617">
        <v>1</v>
      </c>
      <c r="J2617">
        <v>1</v>
      </c>
      <c r="N2617">
        <v>1</v>
      </c>
      <c r="O2617">
        <v>1</v>
      </c>
      <c r="P2617">
        <v>1</v>
      </c>
      <c r="Q2617">
        <v>1</v>
      </c>
      <c r="R2617">
        <v>1</v>
      </c>
      <c r="S2617">
        <v>1</v>
      </c>
      <c r="T2617">
        <v>1</v>
      </c>
      <c r="W2617">
        <v>1</v>
      </c>
      <c r="X2617">
        <v>1</v>
      </c>
      <c r="Y2617">
        <v>1</v>
      </c>
      <c r="Z2617">
        <v>1</v>
      </c>
      <c r="AA2617">
        <v>1</v>
      </c>
      <c r="AB2617">
        <v>1</v>
      </c>
    </row>
    <row r="2618" spans="1:49" x14ac:dyDescent="0.25">
      <c r="A2618" t="str">
        <f>"2614"</f>
        <v>2614</v>
      </c>
      <c r="B2618" t="str">
        <f t="shared" si="149"/>
        <v>1</v>
      </c>
      <c r="C2618" t="str">
        <f t="shared" si="151"/>
        <v>115</v>
      </c>
      <c r="D2618" t="str">
        <f>"8"</f>
        <v>8</v>
      </c>
      <c r="E2618" t="str">
        <f>"1-115-8"</f>
        <v>1-115-8</v>
      </c>
      <c r="F2618" t="s">
        <v>83</v>
      </c>
      <c r="G2618" t="s">
        <v>84</v>
      </c>
      <c r="H2618" t="s">
        <v>92</v>
      </c>
      <c r="I2618">
        <v>1</v>
      </c>
      <c r="J2618">
        <v>1</v>
      </c>
      <c r="N2618">
        <v>1</v>
      </c>
      <c r="O2618">
        <v>1</v>
      </c>
      <c r="P2618">
        <v>1</v>
      </c>
      <c r="Q2618">
        <v>1</v>
      </c>
      <c r="R2618">
        <v>1</v>
      </c>
      <c r="S2618">
        <v>1</v>
      </c>
      <c r="T2618">
        <v>1</v>
      </c>
      <c r="W2618">
        <v>1</v>
      </c>
      <c r="X2618">
        <v>1</v>
      </c>
      <c r="Y2618">
        <v>1</v>
      </c>
      <c r="Z2618">
        <v>1</v>
      </c>
      <c r="AA2618">
        <v>1</v>
      </c>
      <c r="AB2618">
        <v>1</v>
      </c>
    </row>
    <row r="2619" spans="1:49" x14ac:dyDescent="0.25">
      <c r="A2619" t="str">
        <f>"2615"</f>
        <v>2615</v>
      </c>
      <c r="B2619" t="str">
        <f t="shared" si="149"/>
        <v>1</v>
      </c>
      <c r="C2619" t="str">
        <f t="shared" si="151"/>
        <v>115</v>
      </c>
      <c r="D2619" t="str">
        <f>"4"</f>
        <v>4</v>
      </c>
      <c r="E2619" t="str">
        <f>"1-115-4"</f>
        <v>1-115-4</v>
      </c>
      <c r="F2619" t="s">
        <v>83</v>
      </c>
      <c r="G2619" t="s">
        <v>84</v>
      </c>
      <c r="H2619" t="s">
        <v>85</v>
      </c>
      <c r="AC2619">
        <v>1</v>
      </c>
      <c r="AD2619">
        <v>0</v>
      </c>
      <c r="AE2619">
        <v>0</v>
      </c>
      <c r="AF2619">
        <v>0</v>
      </c>
      <c r="AG2619">
        <v>0</v>
      </c>
      <c r="AJ2619">
        <v>1</v>
      </c>
      <c r="AK2619">
        <v>0</v>
      </c>
      <c r="AL2619">
        <v>1</v>
      </c>
      <c r="AM2619">
        <v>0</v>
      </c>
      <c r="AN2619">
        <v>0</v>
      </c>
      <c r="AO2619">
        <v>0</v>
      </c>
      <c r="AP2619">
        <v>0</v>
      </c>
      <c r="AQ2619">
        <v>0</v>
      </c>
      <c r="AR2619">
        <v>0</v>
      </c>
      <c r="AS2619">
        <v>0</v>
      </c>
      <c r="AT2619">
        <v>1</v>
      </c>
      <c r="AV2619">
        <v>0</v>
      </c>
      <c r="AW2619">
        <v>0</v>
      </c>
    </row>
    <row r="2620" spans="1:49" x14ac:dyDescent="0.25">
      <c r="A2620" t="str">
        <f>"2616"</f>
        <v>2616</v>
      </c>
      <c r="B2620" t="str">
        <f t="shared" si="149"/>
        <v>1</v>
      </c>
      <c r="C2620" t="str">
        <f t="shared" si="151"/>
        <v>115</v>
      </c>
      <c r="D2620" t="str">
        <f>"16"</f>
        <v>16</v>
      </c>
      <c r="E2620" t="str">
        <f>"1-115-16"</f>
        <v>1-115-16</v>
      </c>
      <c r="F2620" t="s">
        <v>83</v>
      </c>
      <c r="G2620" t="s">
        <v>84</v>
      </c>
      <c r="H2620" t="s">
        <v>92</v>
      </c>
      <c r="I2620">
        <v>1</v>
      </c>
      <c r="J2620">
        <v>1</v>
      </c>
      <c r="N2620">
        <v>1</v>
      </c>
      <c r="O2620">
        <v>1</v>
      </c>
      <c r="P2620">
        <v>1</v>
      </c>
      <c r="Q2620">
        <v>1</v>
      </c>
      <c r="R2620">
        <v>1</v>
      </c>
      <c r="S2620">
        <v>1</v>
      </c>
      <c r="T2620">
        <v>1</v>
      </c>
      <c r="W2620">
        <v>1</v>
      </c>
      <c r="X2620">
        <v>1</v>
      </c>
      <c r="Y2620">
        <v>1</v>
      </c>
      <c r="Z2620">
        <v>1</v>
      </c>
      <c r="AA2620">
        <v>1</v>
      </c>
      <c r="AB2620">
        <v>1</v>
      </c>
    </row>
    <row r="2621" spans="1:49" x14ac:dyDescent="0.25">
      <c r="A2621" t="str">
        <f>"2617"</f>
        <v>2617</v>
      </c>
      <c r="B2621" t="str">
        <f t="shared" si="149"/>
        <v>1</v>
      </c>
      <c r="C2621" t="str">
        <f t="shared" si="151"/>
        <v>115</v>
      </c>
      <c r="D2621" t="str">
        <f>"9"</f>
        <v>9</v>
      </c>
      <c r="E2621" t="str">
        <f>"1-115-9"</f>
        <v>1-115-9</v>
      </c>
      <c r="F2621" t="s">
        <v>83</v>
      </c>
      <c r="G2621" t="s">
        <v>84</v>
      </c>
      <c r="H2621" t="s">
        <v>85</v>
      </c>
      <c r="AC2621">
        <v>0</v>
      </c>
      <c r="AD2621">
        <v>1</v>
      </c>
      <c r="AE2621">
        <v>0</v>
      </c>
      <c r="AF2621">
        <v>0</v>
      </c>
      <c r="AG2621">
        <v>1</v>
      </c>
      <c r="AJ2621">
        <v>1</v>
      </c>
      <c r="AK2621">
        <v>0</v>
      </c>
      <c r="AL2621">
        <v>0</v>
      </c>
      <c r="AM2621">
        <v>0</v>
      </c>
      <c r="AN2621">
        <v>1</v>
      </c>
      <c r="AO2621">
        <v>1</v>
      </c>
      <c r="AP2621">
        <v>1</v>
      </c>
      <c r="AQ2621">
        <v>1</v>
      </c>
      <c r="AR2621">
        <v>1</v>
      </c>
      <c r="AS2621">
        <v>1</v>
      </c>
      <c r="AT2621">
        <v>0</v>
      </c>
      <c r="AV2621">
        <v>1</v>
      </c>
      <c r="AW2621">
        <v>1</v>
      </c>
    </row>
    <row r="2622" spans="1:49" x14ac:dyDescent="0.25">
      <c r="A2622" t="str">
        <f>"2618"</f>
        <v>2618</v>
      </c>
      <c r="B2622" t="str">
        <f t="shared" si="149"/>
        <v>1</v>
      </c>
      <c r="C2622" t="str">
        <f t="shared" si="151"/>
        <v>115</v>
      </c>
      <c r="D2622" t="str">
        <f>"7"</f>
        <v>7</v>
      </c>
      <c r="E2622" t="str">
        <f>"1-115-7"</f>
        <v>1-115-7</v>
      </c>
      <c r="F2622" t="s">
        <v>83</v>
      </c>
      <c r="G2622" t="s">
        <v>84</v>
      </c>
      <c r="H2622" t="s">
        <v>85</v>
      </c>
      <c r="AC2622">
        <v>0</v>
      </c>
      <c r="AD2622">
        <v>1</v>
      </c>
      <c r="AE2622">
        <v>0</v>
      </c>
      <c r="AF2622">
        <v>0</v>
      </c>
      <c r="AG2622">
        <v>1</v>
      </c>
      <c r="AJ2622">
        <v>0</v>
      </c>
      <c r="AK2622">
        <v>1</v>
      </c>
      <c r="AL2622">
        <v>0</v>
      </c>
      <c r="AM2622">
        <v>0</v>
      </c>
      <c r="AN2622">
        <v>1</v>
      </c>
      <c r="AO2622">
        <v>1</v>
      </c>
      <c r="AP2622">
        <v>1</v>
      </c>
      <c r="AQ2622">
        <v>1</v>
      </c>
      <c r="AR2622">
        <v>1</v>
      </c>
      <c r="AS2622">
        <v>0</v>
      </c>
      <c r="AT2622">
        <v>1</v>
      </c>
      <c r="AV2622">
        <v>1</v>
      </c>
      <c r="AW2622">
        <v>1</v>
      </c>
    </row>
    <row r="2623" spans="1:49" x14ac:dyDescent="0.25">
      <c r="A2623" t="str">
        <f>"2619"</f>
        <v>2619</v>
      </c>
      <c r="B2623" t="str">
        <f t="shared" si="149"/>
        <v>1</v>
      </c>
      <c r="C2623" t="str">
        <f t="shared" si="151"/>
        <v>115</v>
      </c>
      <c r="D2623" t="str">
        <f>"25"</f>
        <v>25</v>
      </c>
      <c r="E2623" t="str">
        <f>"1-115-25"</f>
        <v>1-115-25</v>
      </c>
      <c r="F2623" t="s">
        <v>83</v>
      </c>
      <c r="G2623" t="s">
        <v>84</v>
      </c>
      <c r="H2623" t="s">
        <v>92</v>
      </c>
      <c r="I2623">
        <v>1</v>
      </c>
      <c r="J2623">
        <v>1</v>
      </c>
      <c r="N2623">
        <v>1</v>
      </c>
      <c r="O2623">
        <v>1</v>
      </c>
      <c r="P2623">
        <v>1</v>
      </c>
      <c r="Q2623">
        <v>1</v>
      </c>
      <c r="R2623">
        <v>1</v>
      </c>
      <c r="S2623">
        <v>1</v>
      </c>
      <c r="T2623">
        <v>1</v>
      </c>
      <c r="W2623">
        <v>1</v>
      </c>
      <c r="X2623">
        <v>1</v>
      </c>
      <c r="Y2623">
        <v>1</v>
      </c>
      <c r="Z2623">
        <v>1</v>
      </c>
      <c r="AA2623">
        <v>1</v>
      </c>
      <c r="AB2623">
        <v>1</v>
      </c>
    </row>
    <row r="2624" spans="1:49" x14ac:dyDescent="0.25">
      <c r="A2624" t="str">
        <f>"2620"</f>
        <v>2620</v>
      </c>
      <c r="B2624" t="str">
        <f t="shared" si="149"/>
        <v>1</v>
      </c>
      <c r="C2624" t="str">
        <f t="shared" si="151"/>
        <v>115</v>
      </c>
      <c r="D2624" t="str">
        <f>"24"</f>
        <v>24</v>
      </c>
      <c r="E2624" t="str">
        <f>"1-115-24"</f>
        <v>1-115-24</v>
      </c>
      <c r="F2624" t="s">
        <v>83</v>
      </c>
      <c r="G2624" t="s">
        <v>84</v>
      </c>
      <c r="H2624" t="s">
        <v>92</v>
      </c>
      <c r="I2624">
        <v>1</v>
      </c>
      <c r="J2624">
        <v>1</v>
      </c>
      <c r="N2624">
        <v>1</v>
      </c>
      <c r="O2624">
        <v>1</v>
      </c>
      <c r="P2624">
        <v>1</v>
      </c>
      <c r="Q2624">
        <v>1</v>
      </c>
      <c r="R2624">
        <v>1</v>
      </c>
      <c r="S2624">
        <v>1</v>
      </c>
      <c r="T2624">
        <v>1</v>
      </c>
      <c r="W2624">
        <v>1</v>
      </c>
      <c r="X2624">
        <v>1</v>
      </c>
      <c r="Y2624">
        <v>1</v>
      </c>
      <c r="Z2624">
        <v>1</v>
      </c>
      <c r="AA2624">
        <v>1</v>
      </c>
      <c r="AB2624">
        <v>1</v>
      </c>
    </row>
    <row r="2625" spans="1:49" x14ac:dyDescent="0.25">
      <c r="A2625" t="str">
        <f>"2621"</f>
        <v>2621</v>
      </c>
      <c r="B2625" t="str">
        <f t="shared" si="149"/>
        <v>1</v>
      </c>
      <c r="C2625" t="str">
        <f t="shared" si="151"/>
        <v>115</v>
      </c>
      <c r="D2625" t="str">
        <f>"17"</f>
        <v>17</v>
      </c>
      <c r="E2625" t="str">
        <f>"1-115-17"</f>
        <v>1-115-17</v>
      </c>
      <c r="F2625" t="s">
        <v>83</v>
      </c>
      <c r="G2625" t="s">
        <v>84</v>
      </c>
      <c r="H2625" t="s">
        <v>92</v>
      </c>
      <c r="I2625">
        <v>1</v>
      </c>
      <c r="J2625">
        <v>1</v>
      </c>
      <c r="N2625">
        <v>1</v>
      </c>
      <c r="O2625">
        <v>1</v>
      </c>
      <c r="P2625">
        <v>1</v>
      </c>
      <c r="Q2625">
        <v>1</v>
      </c>
      <c r="R2625">
        <v>1</v>
      </c>
      <c r="S2625">
        <v>1</v>
      </c>
      <c r="T2625">
        <v>1</v>
      </c>
      <c r="W2625">
        <v>1</v>
      </c>
      <c r="X2625">
        <v>1</v>
      </c>
      <c r="Y2625">
        <v>1</v>
      </c>
      <c r="Z2625">
        <v>1</v>
      </c>
      <c r="AA2625">
        <v>1</v>
      </c>
      <c r="AB2625">
        <v>1</v>
      </c>
    </row>
    <row r="2626" spans="1:49" x14ac:dyDescent="0.25">
      <c r="A2626" t="str">
        <f>"2622"</f>
        <v>2622</v>
      </c>
      <c r="B2626" t="str">
        <f t="shared" si="149"/>
        <v>1</v>
      </c>
      <c r="C2626" t="str">
        <f t="shared" si="151"/>
        <v>115</v>
      </c>
      <c r="D2626" t="str">
        <f>"10"</f>
        <v>10</v>
      </c>
      <c r="E2626" t="str">
        <f>"1-115-10"</f>
        <v>1-115-10</v>
      </c>
      <c r="F2626" t="s">
        <v>83</v>
      </c>
      <c r="G2626" t="s">
        <v>84</v>
      </c>
      <c r="H2626" t="s">
        <v>85</v>
      </c>
      <c r="AC2626">
        <v>0</v>
      </c>
      <c r="AD2626">
        <v>1</v>
      </c>
      <c r="AE2626">
        <v>0</v>
      </c>
      <c r="AF2626">
        <v>0</v>
      </c>
      <c r="AG2626">
        <v>1</v>
      </c>
      <c r="AJ2626">
        <v>0</v>
      </c>
      <c r="AK2626">
        <v>1</v>
      </c>
      <c r="AL2626">
        <v>0</v>
      </c>
      <c r="AM2626">
        <v>0</v>
      </c>
      <c r="AN2626">
        <v>1</v>
      </c>
      <c r="AO2626">
        <v>1</v>
      </c>
      <c r="AP2626">
        <v>1</v>
      </c>
      <c r="AQ2626">
        <v>1</v>
      </c>
      <c r="AR2626">
        <v>1</v>
      </c>
      <c r="AS2626">
        <v>1</v>
      </c>
      <c r="AT2626">
        <v>0</v>
      </c>
      <c r="AV2626">
        <v>1</v>
      </c>
      <c r="AW2626">
        <v>1</v>
      </c>
    </row>
    <row r="2627" spans="1:49" x14ac:dyDescent="0.25">
      <c r="A2627" t="str">
        <f>"2623"</f>
        <v>2623</v>
      </c>
      <c r="B2627" t="str">
        <f t="shared" si="149"/>
        <v>1</v>
      </c>
      <c r="C2627" t="str">
        <f t="shared" si="151"/>
        <v>115</v>
      </c>
      <c r="D2627" t="str">
        <f>"1"</f>
        <v>1</v>
      </c>
      <c r="E2627" t="str">
        <f>"1-115-1"</f>
        <v>1-115-1</v>
      </c>
      <c r="F2627" t="s">
        <v>83</v>
      </c>
      <c r="G2627" t="s">
        <v>84</v>
      </c>
      <c r="H2627" t="s">
        <v>85</v>
      </c>
      <c r="AC2627">
        <v>1</v>
      </c>
      <c r="AD2627">
        <v>0</v>
      </c>
      <c r="AE2627">
        <v>0</v>
      </c>
      <c r="AF2627">
        <v>0</v>
      </c>
      <c r="AG2627">
        <v>1</v>
      </c>
      <c r="AJ2627">
        <v>1</v>
      </c>
      <c r="AK2627">
        <v>0</v>
      </c>
      <c r="AL2627">
        <v>1</v>
      </c>
      <c r="AM2627">
        <v>0</v>
      </c>
      <c r="AN2627">
        <v>0</v>
      </c>
      <c r="AO2627">
        <v>1</v>
      </c>
      <c r="AP2627">
        <v>1</v>
      </c>
      <c r="AQ2627">
        <v>1</v>
      </c>
      <c r="AR2627">
        <v>1</v>
      </c>
      <c r="AS2627">
        <v>1</v>
      </c>
      <c r="AT2627">
        <v>0</v>
      </c>
      <c r="AV2627">
        <v>1</v>
      </c>
      <c r="AW2627">
        <v>0</v>
      </c>
    </row>
    <row r="2628" spans="1:49" x14ac:dyDescent="0.25">
      <c r="A2628" t="str">
        <f>"2624"</f>
        <v>2624</v>
      </c>
      <c r="B2628" t="str">
        <f t="shared" si="149"/>
        <v>1</v>
      </c>
      <c r="C2628" t="str">
        <f t="shared" si="151"/>
        <v>115</v>
      </c>
      <c r="D2628" t="str">
        <f>"18"</f>
        <v>18</v>
      </c>
      <c r="E2628" t="str">
        <f>"1-115-18"</f>
        <v>1-115-18</v>
      </c>
      <c r="F2628" t="s">
        <v>83</v>
      </c>
      <c r="G2628" t="s">
        <v>84</v>
      </c>
      <c r="H2628" t="s">
        <v>92</v>
      </c>
      <c r="I2628">
        <v>1</v>
      </c>
      <c r="J2628">
        <v>1</v>
      </c>
      <c r="N2628">
        <v>1</v>
      </c>
      <c r="O2628">
        <v>1</v>
      </c>
      <c r="P2628">
        <v>1</v>
      </c>
      <c r="Q2628">
        <v>1</v>
      </c>
      <c r="R2628">
        <v>0</v>
      </c>
      <c r="S2628">
        <v>1</v>
      </c>
      <c r="T2628">
        <v>1</v>
      </c>
      <c r="W2628">
        <v>1</v>
      </c>
      <c r="X2628">
        <v>1</v>
      </c>
      <c r="Y2628">
        <v>1</v>
      </c>
      <c r="Z2628">
        <v>1</v>
      </c>
      <c r="AA2628">
        <v>0</v>
      </c>
      <c r="AB2628">
        <v>0</v>
      </c>
    </row>
    <row r="2629" spans="1:49" x14ac:dyDescent="0.25">
      <c r="A2629" t="str">
        <f>"2625"</f>
        <v>2625</v>
      </c>
      <c r="B2629" t="str">
        <f t="shared" si="149"/>
        <v>1</v>
      </c>
      <c r="C2629" t="str">
        <f t="shared" si="151"/>
        <v>115</v>
      </c>
      <c r="D2629" t="str">
        <f>"11"</f>
        <v>11</v>
      </c>
      <c r="E2629" t="str">
        <f>"1-115-11"</f>
        <v>1-115-11</v>
      </c>
      <c r="F2629" t="s">
        <v>83</v>
      </c>
      <c r="G2629" t="s">
        <v>84</v>
      </c>
      <c r="H2629" t="s">
        <v>85</v>
      </c>
      <c r="AC2629">
        <v>0</v>
      </c>
      <c r="AD2629">
        <v>0</v>
      </c>
      <c r="AE2629">
        <v>0</v>
      </c>
      <c r="AF2629">
        <v>0</v>
      </c>
      <c r="AG2629">
        <v>1</v>
      </c>
      <c r="AJ2629">
        <v>0</v>
      </c>
      <c r="AK2629">
        <v>1</v>
      </c>
      <c r="AL2629">
        <v>0</v>
      </c>
      <c r="AM2629">
        <v>0</v>
      </c>
      <c r="AN2629">
        <v>1</v>
      </c>
      <c r="AO2629">
        <v>1</v>
      </c>
      <c r="AP2629">
        <v>1</v>
      </c>
      <c r="AQ2629">
        <v>1</v>
      </c>
      <c r="AR2629">
        <v>1</v>
      </c>
      <c r="AS2629">
        <v>1</v>
      </c>
      <c r="AT2629">
        <v>0</v>
      </c>
      <c r="AV2629">
        <v>1</v>
      </c>
      <c r="AW2629">
        <v>1</v>
      </c>
    </row>
    <row r="2630" spans="1:49" x14ac:dyDescent="0.25">
      <c r="A2630" t="str">
        <f>"2626"</f>
        <v>2626</v>
      </c>
      <c r="B2630" t="str">
        <f t="shared" si="149"/>
        <v>1</v>
      </c>
      <c r="C2630" t="str">
        <f t="shared" si="151"/>
        <v>115</v>
      </c>
      <c r="D2630" t="str">
        <f>"6"</f>
        <v>6</v>
      </c>
      <c r="E2630" t="str">
        <f>"1-115-6"</f>
        <v>1-115-6</v>
      </c>
      <c r="F2630" t="s">
        <v>83</v>
      </c>
      <c r="G2630" t="s">
        <v>84</v>
      </c>
      <c r="H2630" t="s">
        <v>85</v>
      </c>
      <c r="AC2630">
        <v>0</v>
      </c>
      <c r="AD2630">
        <v>1</v>
      </c>
      <c r="AE2630">
        <v>0</v>
      </c>
      <c r="AF2630">
        <v>0</v>
      </c>
      <c r="AG2630">
        <v>1</v>
      </c>
      <c r="AJ2630">
        <v>0</v>
      </c>
      <c r="AK2630">
        <v>1</v>
      </c>
      <c r="AL2630">
        <v>0</v>
      </c>
      <c r="AM2630">
        <v>0</v>
      </c>
      <c r="AN2630">
        <v>1</v>
      </c>
      <c r="AO2630">
        <v>1</v>
      </c>
      <c r="AP2630">
        <v>1</v>
      </c>
      <c r="AQ2630">
        <v>1</v>
      </c>
      <c r="AR2630">
        <v>1</v>
      </c>
      <c r="AS2630">
        <v>0</v>
      </c>
      <c r="AT2630">
        <v>1</v>
      </c>
      <c r="AV2630">
        <v>1</v>
      </c>
      <c r="AW2630">
        <v>1</v>
      </c>
    </row>
    <row r="2631" spans="1:49" x14ac:dyDescent="0.25">
      <c r="A2631" t="str">
        <f>"2627"</f>
        <v>2627</v>
      </c>
      <c r="B2631" t="str">
        <f t="shared" si="149"/>
        <v>1</v>
      </c>
      <c r="C2631" t="str">
        <f t="shared" si="151"/>
        <v>115</v>
      </c>
      <c r="D2631" t="str">
        <f>"19"</f>
        <v>19</v>
      </c>
      <c r="E2631" t="str">
        <f>"1-115-19"</f>
        <v>1-115-19</v>
      </c>
      <c r="F2631" t="s">
        <v>83</v>
      </c>
      <c r="G2631" t="s">
        <v>84</v>
      </c>
      <c r="H2631" t="s">
        <v>92</v>
      </c>
      <c r="I2631">
        <v>0</v>
      </c>
      <c r="J2631">
        <v>0</v>
      </c>
      <c r="N2631">
        <v>1</v>
      </c>
      <c r="O2631">
        <v>0</v>
      </c>
      <c r="P2631">
        <v>0</v>
      </c>
      <c r="Q2631">
        <v>0</v>
      </c>
      <c r="R2631">
        <v>0</v>
      </c>
      <c r="S2631">
        <v>1</v>
      </c>
      <c r="T2631">
        <v>0</v>
      </c>
      <c r="W2631">
        <v>0</v>
      </c>
      <c r="X2631">
        <v>0</v>
      </c>
      <c r="Y2631">
        <v>0</v>
      </c>
      <c r="Z2631">
        <v>0</v>
      </c>
      <c r="AA2631">
        <v>0</v>
      </c>
      <c r="AB2631">
        <v>0</v>
      </c>
    </row>
    <row r="2632" spans="1:49" x14ac:dyDescent="0.25">
      <c r="A2632" t="str">
        <f>"2628"</f>
        <v>2628</v>
      </c>
      <c r="B2632" t="str">
        <f t="shared" si="149"/>
        <v>1</v>
      </c>
      <c r="C2632" t="str">
        <f t="shared" si="151"/>
        <v>115</v>
      </c>
      <c r="D2632" t="str">
        <f>"12"</f>
        <v>12</v>
      </c>
      <c r="E2632" t="str">
        <f>"1-115-12"</f>
        <v>1-115-12</v>
      </c>
      <c r="F2632" t="s">
        <v>83</v>
      </c>
      <c r="G2632" t="s">
        <v>84</v>
      </c>
      <c r="H2632" t="s">
        <v>85</v>
      </c>
      <c r="AC2632">
        <v>1</v>
      </c>
      <c r="AD2632">
        <v>0</v>
      </c>
      <c r="AE2632">
        <v>0</v>
      </c>
      <c r="AF2632">
        <v>0</v>
      </c>
      <c r="AG2632">
        <v>1</v>
      </c>
      <c r="AJ2632">
        <v>1</v>
      </c>
      <c r="AK2632">
        <v>0</v>
      </c>
      <c r="AL2632">
        <v>0</v>
      </c>
      <c r="AM2632">
        <v>1</v>
      </c>
      <c r="AN2632">
        <v>0</v>
      </c>
      <c r="AO2632">
        <v>1</v>
      </c>
      <c r="AP2632">
        <v>1</v>
      </c>
      <c r="AQ2632">
        <v>1</v>
      </c>
      <c r="AR2632">
        <v>1</v>
      </c>
      <c r="AS2632">
        <v>0</v>
      </c>
      <c r="AT2632">
        <v>1</v>
      </c>
      <c r="AV2632">
        <v>1</v>
      </c>
      <c r="AW2632">
        <v>1</v>
      </c>
    </row>
    <row r="2633" spans="1:49" x14ac:dyDescent="0.25">
      <c r="A2633" t="str">
        <f>"2629"</f>
        <v>2629</v>
      </c>
      <c r="B2633" t="str">
        <f t="shared" si="149"/>
        <v>1</v>
      </c>
      <c r="C2633" t="str">
        <f t="shared" si="151"/>
        <v>115</v>
      </c>
      <c r="D2633" t="str">
        <f>"2"</f>
        <v>2</v>
      </c>
      <c r="E2633" t="str">
        <f>"1-115-2"</f>
        <v>1-115-2</v>
      </c>
      <c r="F2633" t="s">
        <v>83</v>
      </c>
      <c r="G2633" t="s">
        <v>84</v>
      </c>
      <c r="H2633" t="s">
        <v>85</v>
      </c>
      <c r="AC2633">
        <v>0</v>
      </c>
      <c r="AD2633">
        <v>1</v>
      </c>
      <c r="AE2633">
        <v>0</v>
      </c>
      <c r="AF2633">
        <v>0</v>
      </c>
      <c r="AG2633">
        <v>1</v>
      </c>
      <c r="AJ2633">
        <v>1</v>
      </c>
      <c r="AK2633">
        <v>0</v>
      </c>
      <c r="AL2633">
        <v>0</v>
      </c>
      <c r="AM2633">
        <v>1</v>
      </c>
      <c r="AN2633">
        <v>0</v>
      </c>
      <c r="AO2633">
        <v>1</v>
      </c>
      <c r="AP2633">
        <v>1</v>
      </c>
      <c r="AQ2633">
        <v>1</v>
      </c>
      <c r="AR2633">
        <v>1</v>
      </c>
      <c r="AS2633">
        <v>0</v>
      </c>
      <c r="AT2633">
        <v>1</v>
      </c>
      <c r="AV2633">
        <v>1</v>
      </c>
      <c r="AW2633">
        <v>0</v>
      </c>
    </row>
    <row r="2634" spans="1:49" x14ac:dyDescent="0.25">
      <c r="A2634" t="str">
        <f>"2630"</f>
        <v>2630</v>
      </c>
      <c r="B2634" t="str">
        <f t="shared" si="149"/>
        <v>1</v>
      </c>
      <c r="C2634" t="str">
        <f t="shared" si="151"/>
        <v>115</v>
      </c>
      <c r="D2634" t="str">
        <f>"23"</f>
        <v>23</v>
      </c>
      <c r="E2634" t="str">
        <f>"1-115-23"</f>
        <v>1-115-23</v>
      </c>
      <c r="F2634" t="s">
        <v>83</v>
      </c>
      <c r="G2634" t="s">
        <v>84</v>
      </c>
      <c r="H2634" t="s">
        <v>85</v>
      </c>
      <c r="AC2634">
        <v>1</v>
      </c>
      <c r="AD2634">
        <v>0</v>
      </c>
      <c r="AE2634">
        <v>0</v>
      </c>
      <c r="AF2634">
        <v>0</v>
      </c>
      <c r="AG2634">
        <v>1</v>
      </c>
      <c r="AJ2634">
        <v>1</v>
      </c>
      <c r="AK2634">
        <v>0</v>
      </c>
      <c r="AL2634">
        <v>1</v>
      </c>
      <c r="AM2634">
        <v>0</v>
      </c>
      <c r="AN2634">
        <v>0</v>
      </c>
      <c r="AO2634">
        <v>1</v>
      </c>
      <c r="AP2634">
        <v>1</v>
      </c>
      <c r="AQ2634">
        <v>1</v>
      </c>
      <c r="AR2634">
        <v>1</v>
      </c>
      <c r="AS2634">
        <v>1</v>
      </c>
      <c r="AT2634">
        <v>0</v>
      </c>
      <c r="AV2634">
        <v>1</v>
      </c>
      <c r="AW2634">
        <v>1</v>
      </c>
    </row>
    <row r="2635" spans="1:49" x14ac:dyDescent="0.25">
      <c r="A2635" t="str">
        <f>"2631"</f>
        <v>2631</v>
      </c>
      <c r="B2635" t="str">
        <f t="shared" si="149"/>
        <v>1</v>
      </c>
      <c r="C2635" t="str">
        <f t="shared" si="151"/>
        <v>115</v>
      </c>
      <c r="D2635" t="str">
        <f>"13"</f>
        <v>13</v>
      </c>
      <c r="E2635" t="str">
        <f>"1-115-13"</f>
        <v>1-115-13</v>
      </c>
      <c r="F2635" t="s">
        <v>83</v>
      </c>
      <c r="G2635" t="s">
        <v>84</v>
      </c>
      <c r="H2635" t="s">
        <v>92</v>
      </c>
      <c r="I2635">
        <v>1</v>
      </c>
      <c r="J2635">
        <v>1</v>
      </c>
      <c r="N2635">
        <v>1</v>
      </c>
      <c r="O2635">
        <v>1</v>
      </c>
      <c r="P2635">
        <v>1</v>
      </c>
      <c r="Q2635">
        <v>1</v>
      </c>
      <c r="R2635">
        <v>0</v>
      </c>
      <c r="S2635">
        <v>1</v>
      </c>
      <c r="T2635">
        <v>0</v>
      </c>
      <c r="W2635">
        <v>1</v>
      </c>
      <c r="X2635">
        <v>1</v>
      </c>
      <c r="Y2635">
        <v>1</v>
      </c>
      <c r="Z2635">
        <v>1</v>
      </c>
      <c r="AA2635">
        <v>1</v>
      </c>
      <c r="AB2635">
        <v>1</v>
      </c>
    </row>
    <row r="2636" spans="1:49" x14ac:dyDescent="0.25">
      <c r="A2636" t="str">
        <f>"2632"</f>
        <v>2632</v>
      </c>
      <c r="B2636" t="str">
        <f t="shared" si="149"/>
        <v>1</v>
      </c>
      <c r="C2636" t="str">
        <f t="shared" si="151"/>
        <v>115</v>
      </c>
      <c r="D2636" t="str">
        <f>"5"</f>
        <v>5</v>
      </c>
      <c r="E2636" t="str">
        <f>"1-115-5"</f>
        <v>1-115-5</v>
      </c>
      <c r="F2636" t="s">
        <v>83</v>
      </c>
      <c r="G2636" t="s">
        <v>84</v>
      </c>
      <c r="H2636" t="s">
        <v>92</v>
      </c>
      <c r="I2636">
        <v>1</v>
      </c>
      <c r="J2636">
        <v>1</v>
      </c>
      <c r="N2636">
        <v>1</v>
      </c>
      <c r="O2636">
        <v>1</v>
      </c>
      <c r="P2636">
        <v>1</v>
      </c>
      <c r="Q2636">
        <v>1</v>
      </c>
      <c r="R2636">
        <v>1</v>
      </c>
      <c r="S2636">
        <v>1</v>
      </c>
      <c r="T2636">
        <v>1</v>
      </c>
      <c r="W2636">
        <v>1</v>
      </c>
      <c r="X2636">
        <v>1</v>
      </c>
      <c r="Y2636">
        <v>1</v>
      </c>
      <c r="Z2636">
        <v>1</v>
      </c>
      <c r="AA2636">
        <v>1</v>
      </c>
      <c r="AB2636">
        <v>1</v>
      </c>
    </row>
    <row r="2637" spans="1:49" x14ac:dyDescent="0.25">
      <c r="A2637" t="str">
        <f>"2633"</f>
        <v>2633</v>
      </c>
      <c r="B2637" t="str">
        <f t="shared" si="149"/>
        <v>1</v>
      </c>
      <c r="C2637" t="str">
        <f t="shared" si="151"/>
        <v>115</v>
      </c>
      <c r="D2637" t="str">
        <f>"22"</f>
        <v>22</v>
      </c>
      <c r="E2637" t="str">
        <f>"1-115-22"</f>
        <v>1-115-22</v>
      </c>
      <c r="F2637" t="s">
        <v>83</v>
      </c>
      <c r="G2637" t="s">
        <v>84</v>
      </c>
      <c r="H2637" t="s">
        <v>92</v>
      </c>
      <c r="I2637">
        <v>1</v>
      </c>
      <c r="J2637">
        <v>1</v>
      </c>
      <c r="N2637">
        <v>1</v>
      </c>
      <c r="O2637">
        <v>1</v>
      </c>
      <c r="P2637">
        <v>1</v>
      </c>
      <c r="Q2637">
        <v>1</v>
      </c>
      <c r="R2637">
        <v>1</v>
      </c>
      <c r="S2637">
        <v>1</v>
      </c>
      <c r="T2637">
        <v>1</v>
      </c>
      <c r="W2637">
        <v>1</v>
      </c>
      <c r="X2637">
        <v>1</v>
      </c>
      <c r="Y2637">
        <v>1</v>
      </c>
      <c r="Z2637">
        <v>1</v>
      </c>
      <c r="AA2637">
        <v>1</v>
      </c>
      <c r="AB2637">
        <v>1</v>
      </c>
    </row>
    <row r="2638" spans="1:49" x14ac:dyDescent="0.25">
      <c r="A2638" t="str">
        <f>"2634"</f>
        <v>2634</v>
      </c>
      <c r="B2638" t="str">
        <f t="shared" si="149"/>
        <v>1</v>
      </c>
      <c r="C2638" t="str">
        <f t="shared" si="151"/>
        <v>115</v>
      </c>
      <c r="D2638" t="str">
        <f>"14"</f>
        <v>14</v>
      </c>
      <c r="E2638" t="str">
        <f>"1-115-14"</f>
        <v>1-115-14</v>
      </c>
      <c r="F2638" t="s">
        <v>83</v>
      </c>
      <c r="G2638" t="s">
        <v>84</v>
      </c>
      <c r="H2638" t="s">
        <v>92</v>
      </c>
      <c r="I2638">
        <v>1</v>
      </c>
      <c r="J2638">
        <v>1</v>
      </c>
      <c r="N2638">
        <v>1</v>
      </c>
      <c r="O2638">
        <v>1</v>
      </c>
      <c r="P2638">
        <v>1</v>
      </c>
      <c r="Q2638">
        <v>1</v>
      </c>
      <c r="R2638">
        <v>1</v>
      </c>
      <c r="S2638">
        <v>1</v>
      </c>
      <c r="T2638">
        <v>1</v>
      </c>
      <c r="W2638">
        <v>1</v>
      </c>
      <c r="X2638">
        <v>1</v>
      </c>
      <c r="Y2638">
        <v>1</v>
      </c>
      <c r="Z2638">
        <v>1</v>
      </c>
      <c r="AA2638">
        <v>1</v>
      </c>
      <c r="AB2638">
        <v>1</v>
      </c>
    </row>
    <row r="2639" spans="1:49" x14ac:dyDescent="0.25">
      <c r="A2639" t="str">
        <f>"2635"</f>
        <v>2635</v>
      </c>
      <c r="B2639" t="str">
        <f t="shared" si="149"/>
        <v>1</v>
      </c>
      <c r="C2639" t="str">
        <f t="shared" si="151"/>
        <v>115</v>
      </c>
      <c r="D2639" t="str">
        <f>"3"</f>
        <v>3</v>
      </c>
      <c r="E2639" t="str">
        <f>"1-115-3"</f>
        <v>1-115-3</v>
      </c>
      <c r="F2639" t="s">
        <v>83</v>
      </c>
      <c r="G2639" t="s">
        <v>84</v>
      </c>
      <c r="H2639" t="s">
        <v>85</v>
      </c>
      <c r="AC2639">
        <v>1</v>
      </c>
      <c r="AD2639">
        <v>0</v>
      </c>
      <c r="AE2639">
        <v>0</v>
      </c>
      <c r="AF2639">
        <v>0</v>
      </c>
      <c r="AG2639">
        <v>1</v>
      </c>
      <c r="AJ2639">
        <v>0</v>
      </c>
      <c r="AK2639">
        <v>1</v>
      </c>
      <c r="AL2639">
        <v>1</v>
      </c>
      <c r="AM2639">
        <v>0</v>
      </c>
      <c r="AN2639">
        <v>0</v>
      </c>
      <c r="AO2639">
        <v>1</v>
      </c>
      <c r="AP2639">
        <v>1</v>
      </c>
      <c r="AQ2639">
        <v>1</v>
      </c>
      <c r="AR2639">
        <v>0</v>
      </c>
      <c r="AS2639">
        <v>0</v>
      </c>
      <c r="AT2639">
        <v>1</v>
      </c>
      <c r="AV2639">
        <v>1</v>
      </c>
      <c r="AW2639">
        <v>1</v>
      </c>
    </row>
    <row r="2640" spans="1:49" x14ac:dyDescent="0.25">
      <c r="A2640" t="str">
        <f>"2636"</f>
        <v>2636</v>
      </c>
      <c r="B2640" t="str">
        <f t="shared" si="149"/>
        <v>1</v>
      </c>
      <c r="C2640" t="str">
        <f t="shared" ref="C2640:C2646" si="152">"116"</f>
        <v>116</v>
      </c>
      <c r="D2640" t="str">
        <f>"1"</f>
        <v>1</v>
      </c>
      <c r="E2640" t="str">
        <f>"1-116-1"</f>
        <v>1-116-1</v>
      </c>
      <c r="F2640" t="s">
        <v>83</v>
      </c>
      <c r="G2640" t="s">
        <v>84</v>
      </c>
      <c r="H2640" t="s">
        <v>85</v>
      </c>
      <c r="AC2640">
        <v>0</v>
      </c>
      <c r="AD2640">
        <v>1</v>
      </c>
      <c r="AE2640">
        <v>0</v>
      </c>
      <c r="AF2640">
        <v>0</v>
      </c>
      <c r="AG2640">
        <v>0</v>
      </c>
      <c r="AJ2640">
        <v>0</v>
      </c>
      <c r="AK2640">
        <v>1</v>
      </c>
      <c r="AL2640">
        <v>0</v>
      </c>
      <c r="AM2640">
        <v>0</v>
      </c>
      <c r="AN2640">
        <v>1</v>
      </c>
      <c r="AO2640">
        <v>0</v>
      </c>
      <c r="AP2640">
        <v>0</v>
      </c>
      <c r="AQ2640">
        <v>0</v>
      </c>
      <c r="AR2640">
        <v>0</v>
      </c>
      <c r="AS2640">
        <v>0</v>
      </c>
      <c r="AT2640">
        <v>1</v>
      </c>
      <c r="AV2640">
        <v>0</v>
      </c>
      <c r="AW2640">
        <v>0</v>
      </c>
    </row>
    <row r="2641" spans="1:49" x14ac:dyDescent="0.25">
      <c r="A2641" t="str">
        <f>"2637"</f>
        <v>2637</v>
      </c>
      <c r="B2641" t="str">
        <f t="shared" si="149"/>
        <v>1</v>
      </c>
      <c r="C2641" t="str">
        <f t="shared" si="152"/>
        <v>116</v>
      </c>
      <c r="D2641" t="str">
        <f>"4"</f>
        <v>4</v>
      </c>
      <c r="E2641" t="str">
        <f>"1-116-4"</f>
        <v>1-116-4</v>
      </c>
      <c r="F2641" t="s">
        <v>83</v>
      </c>
      <c r="G2641" t="s">
        <v>84</v>
      </c>
      <c r="H2641" t="s">
        <v>85</v>
      </c>
      <c r="AC2641">
        <v>0</v>
      </c>
      <c r="AD2641">
        <v>1</v>
      </c>
      <c r="AE2641">
        <v>0</v>
      </c>
      <c r="AF2641">
        <v>0</v>
      </c>
      <c r="AG2641">
        <v>0</v>
      </c>
      <c r="AJ2641">
        <v>0</v>
      </c>
      <c r="AK2641">
        <v>1</v>
      </c>
      <c r="AL2641">
        <v>0</v>
      </c>
      <c r="AM2641">
        <v>0</v>
      </c>
      <c r="AN2641">
        <v>1</v>
      </c>
      <c r="AO2641">
        <v>0</v>
      </c>
      <c r="AP2641">
        <v>0</v>
      </c>
      <c r="AQ2641">
        <v>0</v>
      </c>
      <c r="AR2641">
        <v>0</v>
      </c>
      <c r="AS2641">
        <v>0</v>
      </c>
      <c r="AT2641">
        <v>1</v>
      </c>
      <c r="AV2641">
        <v>0</v>
      </c>
      <c r="AW2641">
        <v>1</v>
      </c>
    </row>
    <row r="2642" spans="1:49" x14ac:dyDescent="0.25">
      <c r="A2642" t="str">
        <f>"2638"</f>
        <v>2638</v>
      </c>
      <c r="B2642" t="str">
        <f t="shared" si="149"/>
        <v>1</v>
      </c>
      <c r="C2642" t="str">
        <f t="shared" si="152"/>
        <v>116</v>
      </c>
      <c r="D2642" t="str">
        <f>"5"</f>
        <v>5</v>
      </c>
      <c r="E2642" t="str">
        <f>"1-116-5"</f>
        <v>1-116-5</v>
      </c>
      <c r="F2642" t="s">
        <v>83</v>
      </c>
      <c r="G2642" t="s">
        <v>84</v>
      </c>
      <c r="H2642" t="s">
        <v>85</v>
      </c>
      <c r="AC2642">
        <v>0</v>
      </c>
      <c r="AD2642">
        <v>1</v>
      </c>
      <c r="AE2642">
        <v>0</v>
      </c>
      <c r="AF2642">
        <v>0</v>
      </c>
      <c r="AG2642">
        <v>0</v>
      </c>
      <c r="AJ2642">
        <v>0</v>
      </c>
      <c r="AK2642">
        <v>1</v>
      </c>
      <c r="AL2642">
        <v>0</v>
      </c>
      <c r="AM2642">
        <v>0</v>
      </c>
      <c r="AN2642">
        <v>1</v>
      </c>
      <c r="AO2642">
        <v>0</v>
      </c>
      <c r="AP2642">
        <v>0</v>
      </c>
      <c r="AQ2642">
        <v>0</v>
      </c>
      <c r="AR2642">
        <v>0</v>
      </c>
      <c r="AS2642">
        <v>0</v>
      </c>
      <c r="AT2642">
        <v>0</v>
      </c>
      <c r="AV2642">
        <v>0</v>
      </c>
      <c r="AW2642">
        <v>0</v>
      </c>
    </row>
    <row r="2643" spans="1:49" x14ac:dyDescent="0.25">
      <c r="A2643" t="str">
        <f>"2639"</f>
        <v>2639</v>
      </c>
      <c r="B2643" t="str">
        <f t="shared" si="149"/>
        <v>1</v>
      </c>
      <c r="C2643" t="str">
        <f t="shared" si="152"/>
        <v>116</v>
      </c>
      <c r="D2643" t="str">
        <f>"6"</f>
        <v>6</v>
      </c>
      <c r="E2643" t="str">
        <f>"1-116-6"</f>
        <v>1-116-6</v>
      </c>
      <c r="F2643" t="s">
        <v>83</v>
      </c>
      <c r="G2643" t="s">
        <v>84</v>
      </c>
      <c r="H2643" t="s">
        <v>92</v>
      </c>
      <c r="I2643">
        <v>1</v>
      </c>
      <c r="J2643">
        <v>1</v>
      </c>
      <c r="N2643">
        <v>1</v>
      </c>
      <c r="O2643">
        <v>1</v>
      </c>
      <c r="P2643">
        <v>1</v>
      </c>
      <c r="Q2643">
        <v>1</v>
      </c>
      <c r="R2643">
        <v>1</v>
      </c>
      <c r="S2643">
        <v>1</v>
      </c>
      <c r="T2643">
        <v>1</v>
      </c>
      <c r="W2643">
        <v>1</v>
      </c>
      <c r="X2643">
        <v>1</v>
      </c>
      <c r="Y2643">
        <v>1</v>
      </c>
      <c r="Z2643">
        <v>1</v>
      </c>
      <c r="AA2643">
        <v>1</v>
      </c>
      <c r="AB2643">
        <v>1</v>
      </c>
    </row>
    <row r="2644" spans="1:49" x14ac:dyDescent="0.25">
      <c r="A2644" t="str">
        <f>"2640"</f>
        <v>2640</v>
      </c>
      <c r="B2644" t="str">
        <f t="shared" si="149"/>
        <v>1</v>
      </c>
      <c r="C2644" t="str">
        <f t="shared" si="152"/>
        <v>116</v>
      </c>
      <c r="D2644" t="str">
        <f>"2"</f>
        <v>2</v>
      </c>
      <c r="E2644" t="str">
        <f>"1-116-2"</f>
        <v>1-116-2</v>
      </c>
      <c r="F2644" t="s">
        <v>83</v>
      </c>
      <c r="G2644" t="s">
        <v>84</v>
      </c>
      <c r="H2644" t="s">
        <v>85</v>
      </c>
      <c r="AC2644">
        <v>0</v>
      </c>
      <c r="AD2644">
        <v>1</v>
      </c>
      <c r="AE2644">
        <v>0</v>
      </c>
      <c r="AF2644">
        <v>0</v>
      </c>
      <c r="AG2644">
        <v>1</v>
      </c>
      <c r="AJ2644">
        <v>1</v>
      </c>
      <c r="AK2644">
        <v>0</v>
      </c>
      <c r="AL2644">
        <v>0</v>
      </c>
      <c r="AM2644">
        <v>1</v>
      </c>
      <c r="AN2644">
        <v>0</v>
      </c>
      <c r="AO2644">
        <v>1</v>
      </c>
      <c r="AP2644">
        <v>1</v>
      </c>
      <c r="AQ2644">
        <v>1</v>
      </c>
      <c r="AR2644">
        <v>1</v>
      </c>
      <c r="AS2644">
        <v>0</v>
      </c>
      <c r="AT2644">
        <v>1</v>
      </c>
      <c r="AV2644">
        <v>1</v>
      </c>
      <c r="AW2644">
        <v>1</v>
      </c>
    </row>
    <row r="2645" spans="1:49" x14ac:dyDescent="0.25">
      <c r="A2645" t="str">
        <f>"2641"</f>
        <v>2641</v>
      </c>
      <c r="B2645" t="str">
        <f t="shared" si="149"/>
        <v>1</v>
      </c>
      <c r="C2645" t="str">
        <f t="shared" si="152"/>
        <v>116</v>
      </c>
      <c r="D2645" t="str">
        <f>"3"</f>
        <v>3</v>
      </c>
      <c r="E2645" t="str">
        <f>"1-116-3"</f>
        <v>1-116-3</v>
      </c>
      <c r="F2645" t="s">
        <v>83</v>
      </c>
      <c r="G2645" t="s">
        <v>84</v>
      </c>
      <c r="H2645" t="s">
        <v>92</v>
      </c>
      <c r="I2645">
        <v>1</v>
      </c>
      <c r="J2645">
        <v>1</v>
      </c>
      <c r="N2645">
        <v>1</v>
      </c>
      <c r="O2645">
        <v>1</v>
      </c>
      <c r="P2645">
        <v>1</v>
      </c>
      <c r="Q2645">
        <v>1</v>
      </c>
      <c r="R2645">
        <v>1</v>
      </c>
      <c r="S2645">
        <v>1</v>
      </c>
      <c r="T2645">
        <v>1</v>
      </c>
      <c r="W2645">
        <v>1</v>
      </c>
      <c r="X2645">
        <v>1</v>
      </c>
      <c r="Y2645">
        <v>1</v>
      </c>
      <c r="Z2645">
        <v>1</v>
      </c>
      <c r="AA2645">
        <v>1</v>
      </c>
      <c r="AB2645">
        <v>1</v>
      </c>
    </row>
    <row r="2646" spans="1:49" x14ac:dyDescent="0.25">
      <c r="A2646" t="str">
        <f>"2642"</f>
        <v>2642</v>
      </c>
      <c r="B2646" t="str">
        <f t="shared" si="149"/>
        <v>1</v>
      </c>
      <c r="C2646" t="str">
        <f t="shared" si="152"/>
        <v>116</v>
      </c>
      <c r="D2646" t="str">
        <f>"7"</f>
        <v>7</v>
      </c>
      <c r="E2646" t="str">
        <f>"1-116-7"</f>
        <v>1-116-7</v>
      </c>
      <c r="F2646" t="s">
        <v>83</v>
      </c>
      <c r="G2646" t="s">
        <v>84</v>
      </c>
      <c r="H2646" t="s">
        <v>92</v>
      </c>
      <c r="I2646">
        <v>1</v>
      </c>
      <c r="J2646">
        <v>1</v>
      </c>
      <c r="N2646">
        <v>1</v>
      </c>
      <c r="O2646">
        <v>1</v>
      </c>
      <c r="P2646">
        <v>1</v>
      </c>
      <c r="Q2646">
        <v>1</v>
      </c>
      <c r="R2646">
        <v>1</v>
      </c>
      <c r="S2646">
        <v>1</v>
      </c>
      <c r="T2646">
        <v>1</v>
      </c>
      <c r="W2646">
        <v>1</v>
      </c>
      <c r="X2646">
        <v>1</v>
      </c>
      <c r="Y2646">
        <v>1</v>
      </c>
      <c r="Z2646">
        <v>1</v>
      </c>
      <c r="AA2646">
        <v>1</v>
      </c>
      <c r="AB2646">
        <v>1</v>
      </c>
    </row>
    <row r="2647" spans="1:49" x14ac:dyDescent="0.25">
      <c r="A2647" t="str">
        <f>"2643"</f>
        <v>2643</v>
      </c>
      <c r="B2647" t="str">
        <f t="shared" si="149"/>
        <v>1</v>
      </c>
      <c r="C2647" t="str">
        <f t="shared" ref="C2647:C2665" si="153">"117"</f>
        <v>117</v>
      </c>
      <c r="D2647" t="str">
        <f>"15"</f>
        <v>15</v>
      </c>
      <c r="E2647" t="str">
        <f>"1-117-15"</f>
        <v>1-117-15</v>
      </c>
      <c r="F2647" t="s">
        <v>83</v>
      </c>
      <c r="G2647" t="s">
        <v>86</v>
      </c>
      <c r="H2647" t="s">
        <v>87</v>
      </c>
      <c r="AC2647">
        <v>0</v>
      </c>
      <c r="AD2647">
        <v>1</v>
      </c>
      <c r="AE2647">
        <v>0</v>
      </c>
      <c r="AF2647">
        <v>0</v>
      </c>
      <c r="AH2647">
        <v>1</v>
      </c>
      <c r="AI2647">
        <v>0</v>
      </c>
      <c r="AJ2647">
        <v>1</v>
      </c>
      <c r="AK2647">
        <v>0</v>
      </c>
      <c r="AL2647">
        <v>0</v>
      </c>
      <c r="AM2647">
        <v>1</v>
      </c>
      <c r="AN2647">
        <v>0</v>
      </c>
      <c r="AO2647">
        <v>1</v>
      </c>
      <c r="AP2647">
        <v>1</v>
      </c>
      <c r="AQ2647">
        <v>1</v>
      </c>
      <c r="AU2647">
        <v>1</v>
      </c>
      <c r="AV2647">
        <v>1</v>
      </c>
      <c r="AW2647">
        <v>1</v>
      </c>
    </row>
    <row r="2648" spans="1:49" x14ac:dyDescent="0.25">
      <c r="A2648" t="str">
        <f>"2644"</f>
        <v>2644</v>
      </c>
      <c r="B2648" t="str">
        <f t="shared" si="149"/>
        <v>1</v>
      </c>
      <c r="C2648" t="str">
        <f t="shared" si="153"/>
        <v>117</v>
      </c>
      <c r="D2648" t="str">
        <f>"8"</f>
        <v>8</v>
      </c>
      <c r="E2648" t="str">
        <f>"1-117-8"</f>
        <v>1-117-8</v>
      </c>
      <c r="F2648" t="s">
        <v>83</v>
      </c>
      <c r="G2648" t="s">
        <v>84</v>
      </c>
      <c r="H2648" t="s">
        <v>92</v>
      </c>
      <c r="I2648">
        <v>1</v>
      </c>
      <c r="J2648">
        <v>1</v>
      </c>
      <c r="N2648">
        <v>1</v>
      </c>
      <c r="O2648">
        <v>1</v>
      </c>
      <c r="P2648">
        <v>1</v>
      </c>
      <c r="Q2648">
        <v>0</v>
      </c>
      <c r="R2648">
        <v>1</v>
      </c>
      <c r="S2648">
        <v>1</v>
      </c>
      <c r="T2648">
        <v>1</v>
      </c>
      <c r="W2648">
        <v>1</v>
      </c>
      <c r="X2648">
        <v>1</v>
      </c>
      <c r="Y2648">
        <v>1</v>
      </c>
      <c r="Z2648">
        <v>1</v>
      </c>
      <c r="AA2648">
        <v>1</v>
      </c>
      <c r="AB2648">
        <v>1</v>
      </c>
    </row>
    <row r="2649" spans="1:49" x14ac:dyDescent="0.25">
      <c r="A2649" t="str">
        <f>"2645"</f>
        <v>2645</v>
      </c>
      <c r="B2649" t="str">
        <f t="shared" si="149"/>
        <v>1</v>
      </c>
      <c r="C2649" t="str">
        <f t="shared" si="153"/>
        <v>117</v>
      </c>
      <c r="D2649" t="str">
        <f>"1"</f>
        <v>1</v>
      </c>
      <c r="E2649" t="str">
        <f>"1-117-1"</f>
        <v>1-117-1</v>
      </c>
      <c r="F2649" t="s">
        <v>83</v>
      </c>
      <c r="G2649" t="s">
        <v>84</v>
      </c>
      <c r="H2649" t="s">
        <v>92</v>
      </c>
      <c r="I2649">
        <v>1</v>
      </c>
      <c r="J2649">
        <v>1</v>
      </c>
      <c r="N2649">
        <v>1</v>
      </c>
      <c r="O2649">
        <v>1</v>
      </c>
      <c r="P2649">
        <v>1</v>
      </c>
      <c r="Q2649">
        <v>1</v>
      </c>
      <c r="R2649">
        <v>1</v>
      </c>
      <c r="S2649">
        <v>1</v>
      </c>
      <c r="T2649">
        <v>1</v>
      </c>
      <c r="W2649">
        <v>1</v>
      </c>
      <c r="X2649">
        <v>1</v>
      </c>
      <c r="Y2649">
        <v>1</v>
      </c>
      <c r="Z2649">
        <v>1</v>
      </c>
      <c r="AA2649">
        <v>1</v>
      </c>
      <c r="AB2649">
        <v>1</v>
      </c>
    </row>
    <row r="2650" spans="1:49" x14ac:dyDescent="0.25">
      <c r="A2650" t="str">
        <f>"2646"</f>
        <v>2646</v>
      </c>
      <c r="B2650" t="str">
        <f t="shared" si="149"/>
        <v>1</v>
      </c>
      <c r="C2650" t="str">
        <f t="shared" si="153"/>
        <v>117</v>
      </c>
      <c r="D2650" t="str">
        <f>"16"</f>
        <v>16</v>
      </c>
      <c r="E2650" t="str">
        <f>"1-117-16"</f>
        <v>1-117-16</v>
      </c>
      <c r="F2650" t="s">
        <v>83</v>
      </c>
      <c r="G2650" t="s">
        <v>86</v>
      </c>
      <c r="H2650" t="s">
        <v>93</v>
      </c>
      <c r="I2650">
        <v>1</v>
      </c>
      <c r="K2650">
        <v>0</v>
      </c>
      <c r="L2650">
        <v>0</v>
      </c>
      <c r="M2650">
        <v>1</v>
      </c>
      <c r="N2650">
        <v>1</v>
      </c>
      <c r="O2650">
        <v>1</v>
      </c>
      <c r="P2650">
        <v>1</v>
      </c>
      <c r="Q2650">
        <v>1</v>
      </c>
      <c r="R2650">
        <v>1</v>
      </c>
      <c r="U2650">
        <v>1</v>
      </c>
      <c r="V2650">
        <v>0</v>
      </c>
      <c r="W2650">
        <v>1</v>
      </c>
      <c r="X2650">
        <v>1</v>
      </c>
      <c r="Y2650">
        <v>1</v>
      </c>
      <c r="Z2650">
        <v>1</v>
      </c>
      <c r="AA2650">
        <v>1</v>
      </c>
      <c r="AB2650">
        <v>1</v>
      </c>
    </row>
    <row r="2651" spans="1:49" x14ac:dyDescent="0.25">
      <c r="A2651" t="str">
        <f>"2647"</f>
        <v>2647</v>
      </c>
      <c r="B2651" t="str">
        <f t="shared" si="149"/>
        <v>1</v>
      </c>
      <c r="C2651" t="str">
        <f t="shared" si="153"/>
        <v>117</v>
      </c>
      <c r="D2651" t="str">
        <f>"9"</f>
        <v>9</v>
      </c>
      <c r="E2651" t="str">
        <f>"1-117-9"</f>
        <v>1-117-9</v>
      </c>
      <c r="F2651" t="s">
        <v>83</v>
      </c>
      <c r="G2651" t="s">
        <v>84</v>
      </c>
      <c r="H2651" t="s">
        <v>85</v>
      </c>
      <c r="AC2651">
        <v>1</v>
      </c>
      <c r="AD2651">
        <v>0</v>
      </c>
      <c r="AE2651">
        <v>0</v>
      </c>
      <c r="AF2651">
        <v>0</v>
      </c>
      <c r="AG2651">
        <v>0</v>
      </c>
      <c r="AJ2651">
        <v>1</v>
      </c>
      <c r="AK2651">
        <v>0</v>
      </c>
      <c r="AL2651">
        <v>0</v>
      </c>
      <c r="AM2651">
        <v>1</v>
      </c>
      <c r="AN2651">
        <v>0</v>
      </c>
      <c r="AO2651">
        <v>0</v>
      </c>
      <c r="AP2651">
        <v>0</v>
      </c>
      <c r="AQ2651">
        <v>0</v>
      </c>
      <c r="AR2651">
        <v>0</v>
      </c>
      <c r="AS2651">
        <v>0</v>
      </c>
      <c r="AT2651">
        <v>0</v>
      </c>
      <c r="AV2651">
        <v>0</v>
      </c>
      <c r="AW2651">
        <v>0</v>
      </c>
    </row>
    <row r="2652" spans="1:49" x14ac:dyDescent="0.25">
      <c r="A2652" t="str">
        <f>"2648"</f>
        <v>2648</v>
      </c>
      <c r="B2652" t="str">
        <f t="shared" si="149"/>
        <v>1</v>
      </c>
      <c r="C2652" t="str">
        <f t="shared" si="153"/>
        <v>117</v>
      </c>
      <c r="D2652" t="str">
        <f>"7"</f>
        <v>7</v>
      </c>
      <c r="E2652" t="str">
        <f>"1-117-7"</f>
        <v>1-117-7</v>
      </c>
      <c r="F2652" t="s">
        <v>83</v>
      </c>
      <c r="G2652" t="s">
        <v>84</v>
      </c>
      <c r="H2652" t="s">
        <v>92</v>
      </c>
      <c r="I2652">
        <v>1</v>
      </c>
      <c r="J2652">
        <v>1</v>
      </c>
      <c r="N2652">
        <v>1</v>
      </c>
      <c r="O2652">
        <v>1</v>
      </c>
      <c r="P2652">
        <v>1</v>
      </c>
      <c r="Q2652">
        <v>1</v>
      </c>
      <c r="R2652">
        <v>1</v>
      </c>
      <c r="S2652">
        <v>1</v>
      </c>
      <c r="T2652">
        <v>1</v>
      </c>
      <c r="W2652">
        <v>1</v>
      </c>
      <c r="X2652">
        <v>1</v>
      </c>
      <c r="Y2652">
        <v>1</v>
      </c>
      <c r="Z2652">
        <v>1</v>
      </c>
      <c r="AA2652">
        <v>1</v>
      </c>
      <c r="AB2652">
        <v>1</v>
      </c>
    </row>
    <row r="2653" spans="1:49" x14ac:dyDescent="0.25">
      <c r="A2653" t="str">
        <f>"2649"</f>
        <v>2649</v>
      </c>
      <c r="B2653" t="str">
        <f t="shared" si="149"/>
        <v>1</v>
      </c>
      <c r="C2653" t="str">
        <f t="shared" si="153"/>
        <v>117</v>
      </c>
      <c r="D2653" t="str">
        <f>"17"</f>
        <v>17</v>
      </c>
      <c r="E2653" t="str">
        <f>"1-117-17"</f>
        <v>1-117-17</v>
      </c>
      <c r="F2653" t="s">
        <v>83</v>
      </c>
      <c r="G2653" t="s">
        <v>86</v>
      </c>
      <c r="H2653" t="s">
        <v>87</v>
      </c>
      <c r="AC2653">
        <v>0</v>
      </c>
      <c r="AD2653">
        <v>0</v>
      </c>
      <c r="AE2653">
        <v>0</v>
      </c>
      <c r="AF2653">
        <v>0</v>
      </c>
      <c r="AH2653">
        <v>0</v>
      </c>
      <c r="AI2653">
        <v>1</v>
      </c>
      <c r="AJ2653">
        <v>0</v>
      </c>
      <c r="AK2653">
        <v>0</v>
      </c>
      <c r="AL2653">
        <v>0</v>
      </c>
      <c r="AM2653">
        <v>0</v>
      </c>
      <c r="AN2653">
        <v>0</v>
      </c>
      <c r="AO2653">
        <v>0</v>
      </c>
      <c r="AP2653">
        <v>0</v>
      </c>
      <c r="AQ2653">
        <v>0</v>
      </c>
      <c r="AU2653">
        <v>0</v>
      </c>
      <c r="AV2653">
        <v>0</v>
      </c>
      <c r="AW2653">
        <v>0</v>
      </c>
    </row>
    <row r="2654" spans="1:49" x14ac:dyDescent="0.25">
      <c r="A2654" t="str">
        <f>"2650"</f>
        <v>2650</v>
      </c>
      <c r="B2654" t="str">
        <f t="shared" ref="B2654:B2717" si="154">"1"</f>
        <v>1</v>
      </c>
      <c r="C2654" t="str">
        <f t="shared" si="153"/>
        <v>117</v>
      </c>
      <c r="D2654" t="str">
        <f>"10"</f>
        <v>10</v>
      </c>
      <c r="E2654" t="str">
        <f>"1-117-10"</f>
        <v>1-117-10</v>
      </c>
      <c r="F2654" t="s">
        <v>83</v>
      </c>
      <c r="G2654" t="s">
        <v>84</v>
      </c>
      <c r="H2654" t="s">
        <v>92</v>
      </c>
      <c r="I2654">
        <v>1</v>
      </c>
      <c r="J2654">
        <v>1</v>
      </c>
      <c r="N2654">
        <v>1</v>
      </c>
      <c r="O2654">
        <v>1</v>
      </c>
      <c r="P2654">
        <v>1</v>
      </c>
      <c r="Q2654">
        <v>1</v>
      </c>
      <c r="R2654">
        <v>1</v>
      </c>
      <c r="S2654">
        <v>1</v>
      </c>
      <c r="T2654">
        <v>1</v>
      </c>
      <c r="W2654">
        <v>1</v>
      </c>
      <c r="X2654">
        <v>1</v>
      </c>
      <c r="Y2654">
        <v>1</v>
      </c>
      <c r="Z2654">
        <v>1</v>
      </c>
      <c r="AA2654">
        <v>1</v>
      </c>
      <c r="AB2654">
        <v>1</v>
      </c>
    </row>
    <row r="2655" spans="1:49" x14ac:dyDescent="0.25">
      <c r="A2655" t="str">
        <f>"2651"</f>
        <v>2651</v>
      </c>
      <c r="B2655" t="str">
        <f t="shared" si="154"/>
        <v>1</v>
      </c>
      <c r="C2655" t="str">
        <f t="shared" si="153"/>
        <v>117</v>
      </c>
      <c r="D2655" t="str">
        <f>"6"</f>
        <v>6</v>
      </c>
      <c r="E2655" t="str">
        <f>"1-117-6"</f>
        <v>1-117-6</v>
      </c>
      <c r="F2655" t="s">
        <v>83</v>
      </c>
      <c r="G2655" t="s">
        <v>84</v>
      </c>
      <c r="H2655" t="s">
        <v>92</v>
      </c>
      <c r="I2655">
        <v>1</v>
      </c>
      <c r="J2655">
        <v>1</v>
      </c>
      <c r="N2655">
        <v>1</v>
      </c>
      <c r="O2655">
        <v>0</v>
      </c>
      <c r="P2655">
        <v>0</v>
      </c>
      <c r="Q2655">
        <v>0</v>
      </c>
      <c r="R2655">
        <v>0</v>
      </c>
      <c r="S2655">
        <v>0</v>
      </c>
      <c r="T2655">
        <v>0</v>
      </c>
      <c r="W2655">
        <v>0</v>
      </c>
      <c r="X2655">
        <v>1</v>
      </c>
      <c r="Y2655">
        <v>0</v>
      </c>
      <c r="Z2655">
        <v>0</v>
      </c>
      <c r="AA2655">
        <v>0</v>
      </c>
      <c r="AB2655">
        <v>0</v>
      </c>
    </row>
    <row r="2656" spans="1:49" x14ac:dyDescent="0.25">
      <c r="A2656" t="str">
        <f>"2652"</f>
        <v>2652</v>
      </c>
      <c r="B2656" t="str">
        <f t="shared" si="154"/>
        <v>1</v>
      </c>
      <c r="C2656" t="str">
        <f t="shared" si="153"/>
        <v>117</v>
      </c>
      <c r="D2656" t="str">
        <f>"18"</f>
        <v>18</v>
      </c>
      <c r="E2656" t="str">
        <f>"1-117-18"</f>
        <v>1-117-18</v>
      </c>
      <c r="F2656" t="s">
        <v>83</v>
      </c>
      <c r="G2656" t="s">
        <v>86</v>
      </c>
      <c r="H2656" t="s">
        <v>87</v>
      </c>
      <c r="AC2656">
        <v>1</v>
      </c>
      <c r="AD2656">
        <v>0</v>
      </c>
      <c r="AE2656">
        <v>0</v>
      </c>
      <c r="AF2656">
        <v>0</v>
      </c>
      <c r="AH2656">
        <v>0</v>
      </c>
      <c r="AI2656">
        <v>1</v>
      </c>
      <c r="AJ2656">
        <v>0</v>
      </c>
      <c r="AK2656">
        <v>1</v>
      </c>
      <c r="AL2656">
        <v>0</v>
      </c>
      <c r="AM2656">
        <v>0</v>
      </c>
      <c r="AN2656">
        <v>1</v>
      </c>
      <c r="AO2656">
        <v>1</v>
      </c>
      <c r="AP2656">
        <v>1</v>
      </c>
      <c r="AQ2656">
        <v>1</v>
      </c>
      <c r="AU2656">
        <v>1</v>
      </c>
      <c r="AV2656">
        <v>1</v>
      </c>
      <c r="AW2656">
        <v>0</v>
      </c>
    </row>
    <row r="2657" spans="1:49" x14ac:dyDescent="0.25">
      <c r="A2657" t="str">
        <f>"2653"</f>
        <v>2653</v>
      </c>
      <c r="B2657" t="str">
        <f t="shared" si="154"/>
        <v>1</v>
      </c>
      <c r="C2657" t="str">
        <f t="shared" si="153"/>
        <v>117</v>
      </c>
      <c r="D2657" t="str">
        <f>"11"</f>
        <v>11</v>
      </c>
      <c r="E2657" t="str">
        <f>"1-117-11"</f>
        <v>1-117-11</v>
      </c>
      <c r="F2657" t="s">
        <v>83</v>
      </c>
      <c r="G2657" t="s">
        <v>88</v>
      </c>
      <c r="H2657" t="s">
        <v>89</v>
      </c>
      <c r="AC2657">
        <v>1</v>
      </c>
      <c r="AD2657">
        <v>0</v>
      </c>
      <c r="AE2657">
        <v>0</v>
      </c>
      <c r="AF2657">
        <v>0</v>
      </c>
      <c r="AH2657">
        <v>0</v>
      </c>
      <c r="AI2657">
        <v>1</v>
      </c>
      <c r="AJ2657">
        <v>0</v>
      </c>
      <c r="AK2657">
        <v>1</v>
      </c>
      <c r="AL2657">
        <v>1</v>
      </c>
      <c r="AM2657">
        <v>0</v>
      </c>
      <c r="AN2657">
        <v>0</v>
      </c>
      <c r="AO2657">
        <v>1</v>
      </c>
      <c r="AP2657">
        <v>1</v>
      </c>
      <c r="AQ2657">
        <v>1</v>
      </c>
      <c r="AR2657">
        <v>1</v>
      </c>
      <c r="AS2657">
        <v>1</v>
      </c>
      <c r="AT2657">
        <v>0</v>
      </c>
      <c r="AV2657">
        <v>1</v>
      </c>
      <c r="AW2657">
        <v>1</v>
      </c>
    </row>
    <row r="2658" spans="1:49" x14ac:dyDescent="0.25">
      <c r="A2658" t="str">
        <f>"2654"</f>
        <v>2654</v>
      </c>
      <c r="B2658" t="str">
        <f t="shared" si="154"/>
        <v>1</v>
      </c>
      <c r="C2658" t="str">
        <f t="shared" si="153"/>
        <v>117</v>
      </c>
      <c r="D2658" t="str">
        <f>"5"</f>
        <v>5</v>
      </c>
      <c r="E2658" t="str">
        <f>"1-117-5"</f>
        <v>1-117-5</v>
      </c>
      <c r="F2658" t="s">
        <v>83</v>
      </c>
      <c r="G2658" t="s">
        <v>84</v>
      </c>
      <c r="H2658" t="s">
        <v>92</v>
      </c>
      <c r="I2658">
        <v>1</v>
      </c>
      <c r="J2658">
        <v>1</v>
      </c>
      <c r="N2658">
        <v>1</v>
      </c>
      <c r="O2658">
        <v>1</v>
      </c>
      <c r="P2658">
        <v>1</v>
      </c>
      <c r="Q2658">
        <v>1</v>
      </c>
      <c r="R2658">
        <v>1</v>
      </c>
      <c r="S2658">
        <v>1</v>
      </c>
      <c r="T2658">
        <v>1</v>
      </c>
      <c r="W2658">
        <v>1</v>
      </c>
      <c r="X2658">
        <v>1</v>
      </c>
      <c r="Y2658">
        <v>1</v>
      </c>
      <c r="Z2658">
        <v>1</v>
      </c>
      <c r="AA2658">
        <v>1</v>
      </c>
      <c r="AB2658">
        <v>1</v>
      </c>
    </row>
    <row r="2659" spans="1:49" x14ac:dyDescent="0.25">
      <c r="A2659" t="str">
        <f>"2655"</f>
        <v>2655</v>
      </c>
      <c r="B2659" t="str">
        <f t="shared" si="154"/>
        <v>1</v>
      </c>
      <c r="C2659" t="str">
        <f t="shared" si="153"/>
        <v>117</v>
      </c>
      <c r="D2659" t="str">
        <f>"19"</f>
        <v>19</v>
      </c>
      <c r="E2659" t="str">
        <f>"1-117-19"</f>
        <v>1-117-19</v>
      </c>
      <c r="F2659" t="s">
        <v>83</v>
      </c>
      <c r="G2659" t="s">
        <v>84</v>
      </c>
      <c r="H2659" t="s">
        <v>92</v>
      </c>
      <c r="I2659">
        <v>1</v>
      </c>
      <c r="J2659">
        <v>1</v>
      </c>
      <c r="N2659">
        <v>1</v>
      </c>
      <c r="O2659">
        <v>1</v>
      </c>
      <c r="P2659">
        <v>1</v>
      </c>
      <c r="Q2659">
        <v>1</v>
      </c>
      <c r="R2659">
        <v>1</v>
      </c>
      <c r="S2659">
        <v>1</v>
      </c>
      <c r="T2659">
        <v>1</v>
      </c>
      <c r="W2659">
        <v>1</v>
      </c>
      <c r="X2659">
        <v>1</v>
      </c>
      <c r="Y2659">
        <v>1</v>
      </c>
      <c r="Z2659">
        <v>1</v>
      </c>
      <c r="AA2659">
        <v>1</v>
      </c>
      <c r="AB2659">
        <v>1</v>
      </c>
    </row>
    <row r="2660" spans="1:49" x14ac:dyDescent="0.25">
      <c r="A2660" t="str">
        <f>"2656"</f>
        <v>2656</v>
      </c>
      <c r="B2660" t="str">
        <f t="shared" si="154"/>
        <v>1</v>
      </c>
      <c r="C2660" t="str">
        <f t="shared" si="153"/>
        <v>117</v>
      </c>
      <c r="D2660" t="str">
        <f>"12"</f>
        <v>12</v>
      </c>
      <c r="E2660" t="str">
        <f>"1-117-12"</f>
        <v>1-117-12</v>
      </c>
      <c r="F2660" t="s">
        <v>83</v>
      </c>
      <c r="G2660" t="s">
        <v>84</v>
      </c>
      <c r="H2660" t="s">
        <v>85</v>
      </c>
      <c r="AC2660">
        <v>0</v>
      </c>
      <c r="AD2660">
        <v>1</v>
      </c>
      <c r="AE2660">
        <v>0</v>
      </c>
      <c r="AF2660">
        <v>0</v>
      </c>
      <c r="AG2660">
        <v>0</v>
      </c>
      <c r="AJ2660">
        <v>1</v>
      </c>
      <c r="AK2660">
        <v>0</v>
      </c>
      <c r="AL2660">
        <v>1</v>
      </c>
      <c r="AM2660">
        <v>0</v>
      </c>
      <c r="AN2660">
        <v>0</v>
      </c>
      <c r="AO2660">
        <v>0</v>
      </c>
      <c r="AP2660">
        <v>0</v>
      </c>
      <c r="AQ2660">
        <v>0</v>
      </c>
      <c r="AR2660">
        <v>0</v>
      </c>
      <c r="AS2660">
        <v>0</v>
      </c>
      <c r="AT2660">
        <v>0</v>
      </c>
      <c r="AV2660">
        <v>0</v>
      </c>
      <c r="AW2660">
        <v>0</v>
      </c>
    </row>
    <row r="2661" spans="1:49" x14ac:dyDescent="0.25">
      <c r="A2661" t="str">
        <f>"2657"</f>
        <v>2657</v>
      </c>
      <c r="B2661" t="str">
        <f t="shared" si="154"/>
        <v>1</v>
      </c>
      <c r="C2661" t="str">
        <f t="shared" si="153"/>
        <v>117</v>
      </c>
      <c r="D2661" t="str">
        <f>"2"</f>
        <v>2</v>
      </c>
      <c r="E2661" t="str">
        <f>"1-117-2"</f>
        <v>1-117-2</v>
      </c>
      <c r="F2661" t="s">
        <v>83</v>
      </c>
      <c r="G2661" t="s">
        <v>84</v>
      </c>
      <c r="H2661" t="s">
        <v>85</v>
      </c>
      <c r="AC2661">
        <v>0</v>
      </c>
      <c r="AD2661">
        <v>1</v>
      </c>
      <c r="AE2661">
        <v>0</v>
      </c>
      <c r="AF2661">
        <v>0</v>
      </c>
      <c r="AG2661">
        <v>1</v>
      </c>
      <c r="AJ2661">
        <v>0</v>
      </c>
      <c r="AK2661">
        <v>1</v>
      </c>
      <c r="AL2661">
        <v>1</v>
      </c>
      <c r="AM2661">
        <v>0</v>
      </c>
      <c r="AN2661">
        <v>0</v>
      </c>
      <c r="AO2661">
        <v>1</v>
      </c>
      <c r="AP2661">
        <v>1</v>
      </c>
      <c r="AQ2661">
        <v>1</v>
      </c>
      <c r="AR2661">
        <v>1</v>
      </c>
      <c r="AS2661">
        <v>0</v>
      </c>
      <c r="AT2661">
        <v>1</v>
      </c>
      <c r="AV2661">
        <v>1</v>
      </c>
      <c r="AW2661">
        <v>1</v>
      </c>
    </row>
    <row r="2662" spans="1:49" x14ac:dyDescent="0.25">
      <c r="A2662" t="str">
        <f>"2658"</f>
        <v>2658</v>
      </c>
      <c r="B2662" t="str">
        <f t="shared" si="154"/>
        <v>1</v>
      </c>
      <c r="C2662" t="str">
        <f t="shared" si="153"/>
        <v>117</v>
      </c>
      <c r="D2662" t="str">
        <f>"13"</f>
        <v>13</v>
      </c>
      <c r="E2662" t="str">
        <f>"1-117-13"</f>
        <v>1-117-13</v>
      </c>
      <c r="F2662" t="s">
        <v>83</v>
      </c>
      <c r="G2662" t="s">
        <v>84</v>
      </c>
      <c r="H2662" t="s">
        <v>92</v>
      </c>
      <c r="I2662">
        <v>1</v>
      </c>
      <c r="J2662">
        <v>1</v>
      </c>
      <c r="N2662">
        <v>1</v>
      </c>
      <c r="O2662">
        <v>1</v>
      </c>
      <c r="P2662">
        <v>1</v>
      </c>
      <c r="Q2662">
        <v>1</v>
      </c>
      <c r="R2662">
        <v>1</v>
      </c>
      <c r="S2662">
        <v>1</v>
      </c>
      <c r="T2662">
        <v>1</v>
      </c>
      <c r="W2662">
        <v>1</v>
      </c>
      <c r="X2662">
        <v>1</v>
      </c>
      <c r="Y2662">
        <v>1</v>
      </c>
      <c r="Z2662">
        <v>1</v>
      </c>
      <c r="AA2662">
        <v>1</v>
      </c>
      <c r="AB2662">
        <v>1</v>
      </c>
    </row>
    <row r="2663" spans="1:49" x14ac:dyDescent="0.25">
      <c r="A2663" t="str">
        <f>"2659"</f>
        <v>2659</v>
      </c>
      <c r="B2663" t="str">
        <f t="shared" si="154"/>
        <v>1</v>
      </c>
      <c r="C2663" t="str">
        <f t="shared" si="153"/>
        <v>117</v>
      </c>
      <c r="D2663" t="str">
        <f>"3"</f>
        <v>3</v>
      </c>
      <c r="E2663" t="str">
        <f>"1-117-3"</f>
        <v>1-117-3</v>
      </c>
      <c r="F2663" t="s">
        <v>83</v>
      </c>
      <c r="G2663" t="s">
        <v>84</v>
      </c>
      <c r="H2663" t="s">
        <v>92</v>
      </c>
      <c r="I2663">
        <v>1</v>
      </c>
      <c r="J2663">
        <v>1</v>
      </c>
      <c r="N2663">
        <v>1</v>
      </c>
      <c r="O2663">
        <v>1</v>
      </c>
      <c r="P2663">
        <v>1</v>
      </c>
      <c r="Q2663">
        <v>1</v>
      </c>
      <c r="R2663">
        <v>1</v>
      </c>
      <c r="S2663">
        <v>1</v>
      </c>
      <c r="T2663">
        <v>1</v>
      </c>
      <c r="W2663">
        <v>1</v>
      </c>
      <c r="X2663">
        <v>1</v>
      </c>
      <c r="Y2663">
        <v>1</v>
      </c>
      <c r="Z2663">
        <v>1</v>
      </c>
      <c r="AA2663">
        <v>1</v>
      </c>
      <c r="AB2663">
        <v>1</v>
      </c>
    </row>
    <row r="2664" spans="1:49" x14ac:dyDescent="0.25">
      <c r="A2664" t="str">
        <f>"2660"</f>
        <v>2660</v>
      </c>
      <c r="B2664" t="str">
        <f t="shared" si="154"/>
        <v>1</v>
      </c>
      <c r="C2664" t="str">
        <f t="shared" si="153"/>
        <v>117</v>
      </c>
      <c r="D2664" t="str">
        <f>"14"</f>
        <v>14</v>
      </c>
      <c r="E2664" t="str">
        <f>"1-117-14"</f>
        <v>1-117-14</v>
      </c>
      <c r="F2664" t="s">
        <v>83</v>
      </c>
      <c r="G2664" t="s">
        <v>84</v>
      </c>
      <c r="H2664" t="s">
        <v>85</v>
      </c>
      <c r="AC2664">
        <v>0</v>
      </c>
      <c r="AD2664">
        <v>1</v>
      </c>
      <c r="AE2664">
        <v>0</v>
      </c>
      <c r="AF2664">
        <v>0</v>
      </c>
      <c r="AG2664">
        <v>1</v>
      </c>
      <c r="AJ2664">
        <v>0</v>
      </c>
      <c r="AK2664">
        <v>1</v>
      </c>
      <c r="AL2664">
        <v>1</v>
      </c>
      <c r="AM2664">
        <v>0</v>
      </c>
      <c r="AN2664">
        <v>0</v>
      </c>
      <c r="AO2664">
        <v>1</v>
      </c>
      <c r="AP2664">
        <v>1</v>
      </c>
      <c r="AQ2664">
        <v>1</v>
      </c>
      <c r="AR2664">
        <v>1</v>
      </c>
      <c r="AS2664">
        <v>1</v>
      </c>
      <c r="AT2664">
        <v>0</v>
      </c>
      <c r="AV2664">
        <v>1</v>
      </c>
      <c r="AW2664">
        <v>1</v>
      </c>
    </row>
    <row r="2665" spans="1:49" x14ac:dyDescent="0.25">
      <c r="A2665" t="str">
        <f>"2661"</f>
        <v>2661</v>
      </c>
      <c r="B2665" t="str">
        <f t="shared" si="154"/>
        <v>1</v>
      </c>
      <c r="C2665" t="str">
        <f t="shared" si="153"/>
        <v>117</v>
      </c>
      <c r="D2665" t="str">
        <f>"4"</f>
        <v>4</v>
      </c>
      <c r="E2665" t="str">
        <f>"1-117-4"</f>
        <v>1-117-4</v>
      </c>
      <c r="F2665" t="s">
        <v>83</v>
      </c>
      <c r="G2665" t="s">
        <v>84</v>
      </c>
      <c r="H2665" t="s">
        <v>85</v>
      </c>
      <c r="AC2665">
        <v>1</v>
      </c>
      <c r="AD2665">
        <v>0</v>
      </c>
      <c r="AE2665">
        <v>0</v>
      </c>
      <c r="AF2665">
        <v>0</v>
      </c>
      <c r="AG2665">
        <v>1</v>
      </c>
      <c r="AJ2665">
        <v>0</v>
      </c>
      <c r="AK2665">
        <v>1</v>
      </c>
      <c r="AL2665">
        <v>0</v>
      </c>
      <c r="AM2665">
        <v>0</v>
      </c>
      <c r="AN2665">
        <v>1</v>
      </c>
      <c r="AO2665">
        <v>1</v>
      </c>
      <c r="AP2665">
        <v>1</v>
      </c>
      <c r="AQ2665">
        <v>1</v>
      </c>
      <c r="AR2665">
        <v>1</v>
      </c>
      <c r="AS2665">
        <v>0</v>
      </c>
      <c r="AT2665">
        <v>1</v>
      </c>
      <c r="AV2665">
        <v>1</v>
      </c>
      <c r="AW2665">
        <v>1</v>
      </c>
    </row>
    <row r="2666" spans="1:49" x14ac:dyDescent="0.25">
      <c r="A2666" t="str">
        <f>"2662"</f>
        <v>2662</v>
      </c>
      <c r="B2666" t="str">
        <f t="shared" si="154"/>
        <v>1</v>
      </c>
      <c r="C2666" t="str">
        <f t="shared" ref="C2666:C2689" si="155">"118"</f>
        <v>118</v>
      </c>
      <c r="D2666" t="str">
        <f>"20"</f>
        <v>20</v>
      </c>
      <c r="E2666" t="str">
        <f>"1-118-20"</f>
        <v>1-118-20</v>
      </c>
      <c r="F2666" t="s">
        <v>83</v>
      </c>
      <c r="G2666" t="s">
        <v>84</v>
      </c>
      <c r="H2666" t="s">
        <v>85</v>
      </c>
      <c r="AC2666">
        <v>0</v>
      </c>
      <c r="AD2666">
        <v>1</v>
      </c>
      <c r="AE2666">
        <v>0</v>
      </c>
      <c r="AF2666">
        <v>0</v>
      </c>
      <c r="AG2666">
        <v>1</v>
      </c>
      <c r="AJ2666">
        <v>0</v>
      </c>
      <c r="AK2666">
        <v>1</v>
      </c>
      <c r="AL2666">
        <v>0</v>
      </c>
      <c r="AM2666">
        <v>0</v>
      </c>
      <c r="AN2666">
        <v>1</v>
      </c>
      <c r="AO2666">
        <v>1</v>
      </c>
      <c r="AP2666">
        <v>1</v>
      </c>
      <c r="AQ2666">
        <v>1</v>
      </c>
      <c r="AR2666">
        <v>1</v>
      </c>
      <c r="AS2666">
        <v>0</v>
      </c>
      <c r="AT2666">
        <v>1</v>
      </c>
      <c r="AV2666">
        <v>1</v>
      </c>
      <c r="AW2666">
        <v>1</v>
      </c>
    </row>
    <row r="2667" spans="1:49" x14ac:dyDescent="0.25">
      <c r="A2667" t="str">
        <f>"2663"</f>
        <v>2663</v>
      </c>
      <c r="B2667" t="str">
        <f t="shared" si="154"/>
        <v>1</v>
      </c>
      <c r="C2667" t="str">
        <f t="shared" si="155"/>
        <v>118</v>
      </c>
      <c r="D2667" t="str">
        <f>"19"</f>
        <v>19</v>
      </c>
      <c r="E2667" t="str">
        <f>"1-118-19"</f>
        <v>1-118-19</v>
      </c>
      <c r="F2667" t="s">
        <v>83</v>
      </c>
      <c r="G2667" t="s">
        <v>88</v>
      </c>
      <c r="H2667" t="s">
        <v>95</v>
      </c>
      <c r="I2667">
        <v>1</v>
      </c>
      <c r="K2667">
        <v>1</v>
      </c>
      <c r="L2667">
        <v>0</v>
      </c>
      <c r="M2667">
        <v>0</v>
      </c>
      <c r="N2667">
        <v>1</v>
      </c>
      <c r="O2667">
        <v>1</v>
      </c>
      <c r="P2667">
        <v>1</v>
      </c>
      <c r="Q2667">
        <v>1</v>
      </c>
      <c r="R2667">
        <v>1</v>
      </c>
      <c r="S2667">
        <v>1</v>
      </c>
      <c r="T2667">
        <v>1</v>
      </c>
      <c r="W2667">
        <v>1</v>
      </c>
      <c r="X2667">
        <v>1</v>
      </c>
      <c r="Y2667">
        <v>1</v>
      </c>
      <c r="Z2667">
        <v>1</v>
      </c>
      <c r="AA2667">
        <v>1</v>
      </c>
      <c r="AB2667">
        <v>1</v>
      </c>
    </row>
    <row r="2668" spans="1:49" x14ac:dyDescent="0.25">
      <c r="A2668" t="str">
        <f>"2664"</f>
        <v>2664</v>
      </c>
      <c r="B2668" t="str">
        <f t="shared" si="154"/>
        <v>1</v>
      </c>
      <c r="C2668" t="str">
        <f t="shared" si="155"/>
        <v>118</v>
      </c>
      <c r="D2668" t="str">
        <f>"15"</f>
        <v>15</v>
      </c>
      <c r="E2668" t="str">
        <f>"1-118-15"</f>
        <v>1-118-15</v>
      </c>
      <c r="F2668" t="s">
        <v>83</v>
      </c>
      <c r="G2668" t="s">
        <v>84</v>
      </c>
      <c r="H2668" t="s">
        <v>92</v>
      </c>
      <c r="I2668">
        <v>1</v>
      </c>
      <c r="J2668">
        <v>1</v>
      </c>
      <c r="N2668">
        <v>1</v>
      </c>
      <c r="O2668">
        <v>1</v>
      </c>
      <c r="P2668">
        <v>1</v>
      </c>
      <c r="Q2668">
        <v>1</v>
      </c>
      <c r="R2668">
        <v>1</v>
      </c>
      <c r="S2668">
        <v>1</v>
      </c>
      <c r="T2668">
        <v>1</v>
      </c>
      <c r="W2668">
        <v>1</v>
      </c>
      <c r="X2668">
        <v>1</v>
      </c>
      <c r="Y2668">
        <v>1</v>
      </c>
      <c r="Z2668">
        <v>1</v>
      </c>
      <c r="AA2668">
        <v>1</v>
      </c>
      <c r="AB2668">
        <v>1</v>
      </c>
    </row>
    <row r="2669" spans="1:49" x14ac:dyDescent="0.25">
      <c r="A2669" t="str">
        <f>"2665"</f>
        <v>2665</v>
      </c>
      <c r="B2669" t="str">
        <f t="shared" si="154"/>
        <v>1</v>
      </c>
      <c r="C2669" t="str">
        <f t="shared" si="155"/>
        <v>118</v>
      </c>
      <c r="D2669" t="str">
        <f>"14"</f>
        <v>14</v>
      </c>
      <c r="E2669" t="str">
        <f>"1-118-14"</f>
        <v>1-118-14</v>
      </c>
      <c r="F2669" t="s">
        <v>83</v>
      </c>
      <c r="G2669" t="s">
        <v>88</v>
      </c>
      <c r="H2669" t="s">
        <v>89</v>
      </c>
      <c r="AC2669">
        <v>0</v>
      </c>
      <c r="AD2669">
        <v>1</v>
      </c>
      <c r="AE2669">
        <v>0</v>
      </c>
      <c r="AF2669">
        <v>0</v>
      </c>
      <c r="AH2669">
        <v>0</v>
      </c>
      <c r="AI2669">
        <v>1</v>
      </c>
      <c r="AJ2669">
        <v>0</v>
      </c>
      <c r="AK2669">
        <v>0</v>
      </c>
      <c r="AL2669">
        <v>0</v>
      </c>
      <c r="AM2669">
        <v>0</v>
      </c>
      <c r="AN2669">
        <v>0</v>
      </c>
      <c r="AO2669">
        <v>0</v>
      </c>
      <c r="AP2669">
        <v>0</v>
      </c>
      <c r="AQ2669">
        <v>0</v>
      </c>
      <c r="AR2669">
        <v>0</v>
      </c>
      <c r="AS2669">
        <v>0</v>
      </c>
      <c r="AT2669">
        <v>1</v>
      </c>
      <c r="AV2669">
        <v>0</v>
      </c>
      <c r="AW2669">
        <v>1</v>
      </c>
    </row>
    <row r="2670" spans="1:49" x14ac:dyDescent="0.25">
      <c r="A2670" t="str">
        <f>"2666"</f>
        <v>2666</v>
      </c>
      <c r="B2670" t="str">
        <f t="shared" si="154"/>
        <v>1</v>
      </c>
      <c r="C2670" t="str">
        <f t="shared" si="155"/>
        <v>118</v>
      </c>
      <c r="D2670" t="str">
        <f>"11"</f>
        <v>11</v>
      </c>
      <c r="E2670" t="str">
        <f>"1-118-11"</f>
        <v>1-118-11</v>
      </c>
      <c r="F2670" t="s">
        <v>83</v>
      </c>
      <c r="G2670" t="s">
        <v>84</v>
      </c>
      <c r="H2670" t="s">
        <v>92</v>
      </c>
      <c r="I2670">
        <v>1</v>
      </c>
      <c r="J2670">
        <v>1</v>
      </c>
      <c r="N2670">
        <v>1</v>
      </c>
      <c r="O2670">
        <v>1</v>
      </c>
      <c r="P2670">
        <v>1</v>
      </c>
      <c r="Q2670">
        <v>1</v>
      </c>
      <c r="R2670">
        <v>1</v>
      </c>
      <c r="S2670">
        <v>1</v>
      </c>
      <c r="T2670">
        <v>1</v>
      </c>
      <c r="W2670">
        <v>1</v>
      </c>
      <c r="X2670">
        <v>1</v>
      </c>
      <c r="Y2670">
        <v>1</v>
      </c>
      <c r="Z2670">
        <v>1</v>
      </c>
      <c r="AA2670">
        <v>1</v>
      </c>
      <c r="AB2670">
        <v>1</v>
      </c>
    </row>
    <row r="2671" spans="1:49" x14ac:dyDescent="0.25">
      <c r="A2671" t="str">
        <f>"2667"</f>
        <v>2667</v>
      </c>
      <c r="B2671" t="str">
        <f t="shared" si="154"/>
        <v>1</v>
      </c>
      <c r="C2671" t="str">
        <f t="shared" si="155"/>
        <v>118</v>
      </c>
      <c r="D2671" t="str">
        <f>"8"</f>
        <v>8</v>
      </c>
      <c r="E2671" t="str">
        <f>"1-118-8"</f>
        <v>1-118-8</v>
      </c>
      <c r="F2671" t="s">
        <v>83</v>
      </c>
      <c r="G2671" t="s">
        <v>84</v>
      </c>
      <c r="H2671" t="s">
        <v>92</v>
      </c>
      <c r="I2671">
        <v>0</v>
      </c>
      <c r="J2671">
        <v>0</v>
      </c>
      <c r="N2671">
        <v>1</v>
      </c>
      <c r="O2671">
        <v>0</v>
      </c>
      <c r="P2671">
        <v>0</v>
      </c>
      <c r="Q2671">
        <v>0</v>
      </c>
      <c r="R2671">
        <v>0</v>
      </c>
      <c r="S2671">
        <v>0</v>
      </c>
      <c r="T2671">
        <v>0</v>
      </c>
      <c r="W2671">
        <v>0</v>
      </c>
      <c r="X2671">
        <v>0</v>
      </c>
      <c r="Y2671">
        <v>0</v>
      </c>
      <c r="Z2671">
        <v>0</v>
      </c>
      <c r="AA2671">
        <v>0</v>
      </c>
      <c r="AB2671">
        <v>0</v>
      </c>
    </row>
    <row r="2672" spans="1:49" x14ac:dyDescent="0.25">
      <c r="A2672" t="str">
        <f>"2668"</f>
        <v>2668</v>
      </c>
      <c r="B2672" t="str">
        <f t="shared" si="154"/>
        <v>1</v>
      </c>
      <c r="C2672" t="str">
        <f t="shared" si="155"/>
        <v>118</v>
      </c>
      <c r="D2672" t="str">
        <f>"6"</f>
        <v>6</v>
      </c>
      <c r="E2672" t="str">
        <f>"1-118-6"</f>
        <v>1-118-6</v>
      </c>
      <c r="F2672" t="s">
        <v>83</v>
      </c>
      <c r="G2672" t="s">
        <v>86</v>
      </c>
      <c r="H2672" t="s">
        <v>87</v>
      </c>
      <c r="AC2672">
        <v>1</v>
      </c>
      <c r="AD2672">
        <v>0</v>
      </c>
      <c r="AE2672">
        <v>0</v>
      </c>
      <c r="AF2672">
        <v>0</v>
      </c>
      <c r="AH2672">
        <v>1</v>
      </c>
      <c r="AI2672">
        <v>0</v>
      </c>
      <c r="AJ2672">
        <v>0</v>
      </c>
      <c r="AK2672">
        <v>1</v>
      </c>
      <c r="AL2672">
        <v>0</v>
      </c>
      <c r="AM2672">
        <v>1</v>
      </c>
      <c r="AN2672">
        <v>0</v>
      </c>
      <c r="AO2672">
        <v>1</v>
      </c>
      <c r="AP2672">
        <v>1</v>
      </c>
      <c r="AQ2672">
        <v>1</v>
      </c>
      <c r="AU2672">
        <v>1</v>
      </c>
      <c r="AV2672">
        <v>1</v>
      </c>
      <c r="AW2672">
        <v>0</v>
      </c>
    </row>
    <row r="2673" spans="1:49" s="2" customFormat="1" x14ac:dyDescent="0.25">
      <c r="A2673" s="1" t="str">
        <f>"2669"</f>
        <v>2669</v>
      </c>
      <c r="B2673" s="1" t="str">
        <f t="shared" si="154"/>
        <v>1</v>
      </c>
      <c r="C2673" s="1" t="str">
        <f t="shared" si="155"/>
        <v>118</v>
      </c>
      <c r="D2673" s="1" t="str">
        <f>"9"</f>
        <v>9</v>
      </c>
      <c r="E2673" s="1" t="str">
        <f>"1-118-9"</f>
        <v>1-118-9</v>
      </c>
      <c r="F2673" s="1" t="s">
        <v>83</v>
      </c>
      <c r="G2673" s="4" t="s">
        <v>96</v>
      </c>
      <c r="I2673" s="4"/>
    </row>
    <row r="2674" spans="1:49" x14ac:dyDescent="0.25">
      <c r="A2674" t="str">
        <f>"2670"</f>
        <v>2670</v>
      </c>
      <c r="B2674" t="str">
        <f t="shared" si="154"/>
        <v>1</v>
      </c>
      <c r="C2674" t="str">
        <f t="shared" si="155"/>
        <v>118</v>
      </c>
      <c r="D2674" t="str">
        <f>"5"</f>
        <v>5</v>
      </c>
      <c r="E2674" t="str">
        <f>"1-118-5"</f>
        <v>1-118-5</v>
      </c>
      <c r="F2674" t="s">
        <v>83</v>
      </c>
      <c r="G2674" t="s">
        <v>84</v>
      </c>
      <c r="H2674" t="s">
        <v>92</v>
      </c>
      <c r="I2674">
        <v>1</v>
      </c>
      <c r="J2674">
        <v>1</v>
      </c>
      <c r="N2674">
        <v>1</v>
      </c>
      <c r="O2674">
        <v>1</v>
      </c>
      <c r="P2674">
        <v>1</v>
      </c>
      <c r="Q2674">
        <v>1</v>
      </c>
      <c r="R2674">
        <v>1</v>
      </c>
      <c r="S2674">
        <v>1</v>
      </c>
      <c r="T2674">
        <v>1</v>
      </c>
      <c r="W2674">
        <v>1</v>
      </c>
      <c r="X2674">
        <v>1</v>
      </c>
      <c r="Y2674">
        <v>1</v>
      </c>
      <c r="Z2674">
        <v>1</v>
      </c>
      <c r="AA2674">
        <v>1</v>
      </c>
      <c r="AB2674">
        <v>1</v>
      </c>
    </row>
    <row r="2675" spans="1:49" x14ac:dyDescent="0.25">
      <c r="A2675" t="str">
        <f>"2671"</f>
        <v>2671</v>
      </c>
      <c r="B2675" t="str">
        <f t="shared" si="154"/>
        <v>1</v>
      </c>
      <c r="C2675" t="str">
        <f t="shared" si="155"/>
        <v>118</v>
      </c>
      <c r="D2675" t="str">
        <f>"22"</f>
        <v>22</v>
      </c>
      <c r="E2675" t="str">
        <f>"1-118-22"</f>
        <v>1-118-22</v>
      </c>
      <c r="F2675" t="s">
        <v>83</v>
      </c>
      <c r="G2675" t="s">
        <v>84</v>
      </c>
      <c r="H2675" t="s">
        <v>92</v>
      </c>
      <c r="I2675">
        <v>1</v>
      </c>
      <c r="J2675">
        <v>1</v>
      </c>
      <c r="N2675">
        <v>1</v>
      </c>
      <c r="O2675">
        <v>1</v>
      </c>
      <c r="P2675">
        <v>0</v>
      </c>
      <c r="Q2675">
        <v>0</v>
      </c>
      <c r="R2675">
        <v>0</v>
      </c>
      <c r="S2675">
        <v>1</v>
      </c>
      <c r="T2675">
        <v>0</v>
      </c>
      <c r="W2675">
        <v>0</v>
      </c>
      <c r="X2675">
        <v>0</v>
      </c>
      <c r="Y2675">
        <v>0</v>
      </c>
      <c r="Z2675">
        <v>0</v>
      </c>
      <c r="AA2675">
        <v>0</v>
      </c>
      <c r="AB2675">
        <v>0</v>
      </c>
    </row>
    <row r="2676" spans="1:49" x14ac:dyDescent="0.25">
      <c r="A2676" t="str">
        <f>"2672"</f>
        <v>2672</v>
      </c>
      <c r="B2676" t="str">
        <f t="shared" si="154"/>
        <v>1</v>
      </c>
      <c r="C2676" t="str">
        <f t="shared" si="155"/>
        <v>118</v>
      </c>
      <c r="D2676" t="str">
        <f>"21"</f>
        <v>21</v>
      </c>
      <c r="E2676" t="str">
        <f>"1-118-21"</f>
        <v>1-118-21</v>
      </c>
      <c r="F2676" t="s">
        <v>83</v>
      </c>
      <c r="G2676" t="s">
        <v>84</v>
      </c>
      <c r="H2676" t="s">
        <v>92</v>
      </c>
      <c r="I2676">
        <v>1</v>
      </c>
      <c r="J2676">
        <v>1</v>
      </c>
      <c r="N2676">
        <v>1</v>
      </c>
      <c r="O2676">
        <v>1</v>
      </c>
      <c r="P2676">
        <v>1</v>
      </c>
      <c r="Q2676">
        <v>1</v>
      </c>
      <c r="R2676">
        <v>1</v>
      </c>
      <c r="S2676">
        <v>1</v>
      </c>
      <c r="T2676">
        <v>1</v>
      </c>
      <c r="W2676">
        <v>1</v>
      </c>
      <c r="X2676">
        <v>1</v>
      </c>
      <c r="Y2676">
        <v>1</v>
      </c>
      <c r="Z2676">
        <v>1</v>
      </c>
      <c r="AA2676">
        <v>1</v>
      </c>
      <c r="AB2676">
        <v>1</v>
      </c>
    </row>
    <row r="2677" spans="1:49" x14ac:dyDescent="0.25">
      <c r="A2677" t="str">
        <f>"2673"</f>
        <v>2673</v>
      </c>
      <c r="B2677" t="str">
        <f t="shared" si="154"/>
        <v>1</v>
      </c>
      <c r="C2677" t="str">
        <f t="shared" si="155"/>
        <v>118</v>
      </c>
      <c r="D2677" t="str">
        <f>"16"</f>
        <v>16</v>
      </c>
      <c r="E2677" t="str">
        <f>"1-118-16"</f>
        <v>1-118-16</v>
      </c>
      <c r="F2677" t="s">
        <v>83</v>
      </c>
      <c r="G2677" t="s">
        <v>86</v>
      </c>
      <c r="H2677" t="s">
        <v>93</v>
      </c>
      <c r="I2677">
        <v>1</v>
      </c>
      <c r="K2677">
        <v>1</v>
      </c>
      <c r="L2677">
        <v>0</v>
      </c>
      <c r="M2677">
        <v>0</v>
      </c>
      <c r="N2677">
        <v>1</v>
      </c>
      <c r="O2677">
        <v>1</v>
      </c>
      <c r="P2677">
        <v>1</v>
      </c>
      <c r="Q2677">
        <v>1</v>
      </c>
      <c r="R2677">
        <v>1</v>
      </c>
      <c r="U2677">
        <v>0</v>
      </c>
      <c r="V2677">
        <v>1</v>
      </c>
      <c r="W2677">
        <v>1</v>
      </c>
      <c r="X2677">
        <v>1</v>
      </c>
      <c r="Y2677">
        <v>1</v>
      </c>
      <c r="Z2677">
        <v>1</v>
      </c>
      <c r="AA2677">
        <v>1</v>
      </c>
      <c r="AB2677">
        <v>1</v>
      </c>
    </row>
    <row r="2678" spans="1:49" x14ac:dyDescent="0.25">
      <c r="A2678" t="str">
        <f>"2674"</f>
        <v>2674</v>
      </c>
      <c r="B2678" t="str">
        <f t="shared" si="154"/>
        <v>1</v>
      </c>
      <c r="C2678" t="str">
        <f t="shared" si="155"/>
        <v>118</v>
      </c>
      <c r="D2678" t="str">
        <f>"10"</f>
        <v>10</v>
      </c>
      <c r="E2678" t="str">
        <f>"1-118-10"</f>
        <v>1-118-10</v>
      </c>
      <c r="F2678" t="s">
        <v>83</v>
      </c>
      <c r="G2678" t="s">
        <v>88</v>
      </c>
      <c r="H2678" t="s">
        <v>89</v>
      </c>
      <c r="AC2678">
        <v>0</v>
      </c>
      <c r="AD2678">
        <v>0</v>
      </c>
      <c r="AE2678">
        <v>0</v>
      </c>
      <c r="AF2678">
        <v>0</v>
      </c>
      <c r="AH2678">
        <v>0</v>
      </c>
      <c r="AI2678">
        <v>1</v>
      </c>
      <c r="AJ2678">
        <v>0</v>
      </c>
      <c r="AK2678">
        <v>0</v>
      </c>
      <c r="AL2678">
        <v>0</v>
      </c>
      <c r="AM2678">
        <v>0</v>
      </c>
      <c r="AN2678">
        <v>0</v>
      </c>
      <c r="AO2678">
        <v>0</v>
      </c>
      <c r="AP2678">
        <v>0</v>
      </c>
      <c r="AQ2678">
        <v>0</v>
      </c>
      <c r="AR2678">
        <v>0</v>
      </c>
      <c r="AS2678">
        <v>0</v>
      </c>
      <c r="AT2678">
        <v>1</v>
      </c>
      <c r="AV2678">
        <v>0</v>
      </c>
      <c r="AW2678">
        <v>1</v>
      </c>
    </row>
    <row r="2679" spans="1:49" x14ac:dyDescent="0.25">
      <c r="A2679" t="str">
        <f>"2675"</f>
        <v>2675</v>
      </c>
      <c r="B2679" t="str">
        <f t="shared" si="154"/>
        <v>1</v>
      </c>
      <c r="C2679" t="str">
        <f t="shared" si="155"/>
        <v>118</v>
      </c>
      <c r="D2679" t="str">
        <f>"1"</f>
        <v>1</v>
      </c>
      <c r="E2679" t="str">
        <f>"1-118-1"</f>
        <v>1-118-1</v>
      </c>
      <c r="F2679" t="s">
        <v>83</v>
      </c>
      <c r="G2679" t="s">
        <v>84</v>
      </c>
      <c r="H2679" t="s">
        <v>85</v>
      </c>
      <c r="AC2679">
        <v>1</v>
      </c>
      <c r="AD2679">
        <v>0</v>
      </c>
      <c r="AE2679">
        <v>0</v>
      </c>
      <c r="AF2679">
        <v>0</v>
      </c>
      <c r="AG2679">
        <v>0</v>
      </c>
      <c r="AJ2679">
        <v>1</v>
      </c>
      <c r="AK2679">
        <v>0</v>
      </c>
      <c r="AL2679">
        <v>0</v>
      </c>
      <c r="AM2679">
        <v>1</v>
      </c>
      <c r="AN2679">
        <v>0</v>
      </c>
      <c r="AO2679">
        <v>0</v>
      </c>
      <c r="AP2679">
        <v>0</v>
      </c>
      <c r="AQ2679">
        <v>0</v>
      </c>
      <c r="AR2679">
        <v>0</v>
      </c>
      <c r="AS2679">
        <v>0</v>
      </c>
      <c r="AT2679">
        <v>1</v>
      </c>
      <c r="AV2679">
        <v>0</v>
      </c>
      <c r="AW2679">
        <v>0</v>
      </c>
    </row>
    <row r="2680" spans="1:49" x14ac:dyDescent="0.25">
      <c r="A2680" t="str">
        <f>"2676"</f>
        <v>2676</v>
      </c>
      <c r="B2680" t="str">
        <f t="shared" si="154"/>
        <v>1</v>
      </c>
      <c r="C2680" t="str">
        <f t="shared" si="155"/>
        <v>118</v>
      </c>
      <c r="D2680" t="str">
        <f>"23"</f>
        <v>23</v>
      </c>
      <c r="E2680" t="str">
        <f>"1-118-23"</f>
        <v>1-118-23</v>
      </c>
      <c r="F2680" t="s">
        <v>83</v>
      </c>
      <c r="G2680" t="s">
        <v>84</v>
      </c>
      <c r="H2680" t="s">
        <v>85</v>
      </c>
      <c r="AC2680">
        <v>0</v>
      </c>
      <c r="AD2680">
        <v>1</v>
      </c>
      <c r="AE2680">
        <v>0</v>
      </c>
      <c r="AF2680">
        <v>0</v>
      </c>
      <c r="AG2680">
        <v>0</v>
      </c>
      <c r="AJ2680">
        <v>1</v>
      </c>
      <c r="AK2680">
        <v>0</v>
      </c>
      <c r="AL2680">
        <v>0</v>
      </c>
      <c r="AM2680">
        <v>0</v>
      </c>
      <c r="AN2680">
        <v>1</v>
      </c>
      <c r="AO2680">
        <v>0</v>
      </c>
      <c r="AP2680">
        <v>0</v>
      </c>
      <c r="AQ2680">
        <v>0</v>
      </c>
      <c r="AR2680">
        <v>0</v>
      </c>
      <c r="AS2680">
        <v>1</v>
      </c>
      <c r="AT2680">
        <v>0</v>
      </c>
      <c r="AV2680">
        <v>0</v>
      </c>
      <c r="AW2680">
        <v>1</v>
      </c>
    </row>
    <row r="2681" spans="1:49" x14ac:dyDescent="0.25">
      <c r="A2681" t="str">
        <f>"2677"</f>
        <v>2677</v>
      </c>
      <c r="B2681" t="str">
        <f t="shared" si="154"/>
        <v>1</v>
      </c>
      <c r="C2681" t="str">
        <f t="shared" si="155"/>
        <v>118</v>
      </c>
      <c r="D2681" t="str">
        <f>"12"</f>
        <v>12</v>
      </c>
      <c r="E2681" t="str">
        <f>"1-118-12"</f>
        <v>1-118-12</v>
      </c>
      <c r="F2681" t="s">
        <v>83</v>
      </c>
      <c r="G2681" t="s">
        <v>84</v>
      </c>
      <c r="H2681" t="s">
        <v>85</v>
      </c>
      <c r="AC2681">
        <v>0</v>
      </c>
      <c r="AD2681">
        <v>1</v>
      </c>
      <c r="AE2681">
        <v>0</v>
      </c>
      <c r="AF2681">
        <v>0</v>
      </c>
      <c r="AG2681">
        <v>1</v>
      </c>
      <c r="AJ2681">
        <v>0</v>
      </c>
      <c r="AK2681">
        <v>0</v>
      </c>
      <c r="AL2681">
        <v>0</v>
      </c>
      <c r="AM2681">
        <v>1</v>
      </c>
      <c r="AN2681">
        <v>0</v>
      </c>
      <c r="AO2681">
        <v>1</v>
      </c>
      <c r="AP2681">
        <v>1</v>
      </c>
      <c r="AQ2681">
        <v>1</v>
      </c>
      <c r="AR2681">
        <v>1</v>
      </c>
      <c r="AS2681">
        <v>0</v>
      </c>
      <c r="AT2681">
        <v>1</v>
      </c>
      <c r="AV2681">
        <v>0</v>
      </c>
      <c r="AW2681">
        <v>0</v>
      </c>
    </row>
    <row r="2682" spans="1:49" x14ac:dyDescent="0.25">
      <c r="A2682" t="str">
        <f>"2678"</f>
        <v>2678</v>
      </c>
      <c r="B2682" t="str">
        <f t="shared" si="154"/>
        <v>1</v>
      </c>
      <c r="C2682" t="str">
        <f t="shared" si="155"/>
        <v>118</v>
      </c>
      <c r="D2682" t="str">
        <f>"3"</f>
        <v>3</v>
      </c>
      <c r="E2682" t="str">
        <f>"1-118-3"</f>
        <v>1-118-3</v>
      </c>
      <c r="F2682" t="s">
        <v>83</v>
      </c>
      <c r="G2682" t="s">
        <v>84</v>
      </c>
      <c r="H2682" t="s">
        <v>92</v>
      </c>
      <c r="I2682">
        <v>1</v>
      </c>
      <c r="J2682">
        <v>1</v>
      </c>
      <c r="N2682">
        <v>1</v>
      </c>
      <c r="O2682">
        <v>1</v>
      </c>
      <c r="P2682">
        <v>1</v>
      </c>
      <c r="Q2682">
        <v>1</v>
      </c>
      <c r="R2682">
        <v>1</v>
      </c>
      <c r="S2682">
        <v>1</v>
      </c>
      <c r="T2682">
        <v>1</v>
      </c>
      <c r="W2682">
        <v>1</v>
      </c>
      <c r="X2682">
        <v>1</v>
      </c>
      <c r="Y2682">
        <v>1</v>
      </c>
      <c r="Z2682">
        <v>1</v>
      </c>
      <c r="AA2682">
        <v>1</v>
      </c>
      <c r="AB2682">
        <v>1</v>
      </c>
    </row>
    <row r="2683" spans="1:49" x14ac:dyDescent="0.25">
      <c r="A2683" t="str">
        <f>"2679"</f>
        <v>2679</v>
      </c>
      <c r="B2683" t="str">
        <f t="shared" si="154"/>
        <v>1</v>
      </c>
      <c r="C2683" t="str">
        <f t="shared" si="155"/>
        <v>118</v>
      </c>
      <c r="D2683" t="str">
        <f>"24"</f>
        <v>24</v>
      </c>
      <c r="E2683" t="str">
        <f>"1-118-24"</f>
        <v>1-118-24</v>
      </c>
      <c r="F2683" t="s">
        <v>83</v>
      </c>
      <c r="G2683" t="s">
        <v>84</v>
      </c>
      <c r="H2683" t="s">
        <v>92</v>
      </c>
      <c r="I2683">
        <v>1</v>
      </c>
      <c r="J2683">
        <v>1</v>
      </c>
      <c r="N2683">
        <v>1</v>
      </c>
      <c r="O2683">
        <v>1</v>
      </c>
      <c r="P2683">
        <v>0</v>
      </c>
      <c r="Q2683">
        <v>0</v>
      </c>
      <c r="R2683">
        <v>0</v>
      </c>
      <c r="S2683">
        <v>0</v>
      </c>
      <c r="T2683">
        <v>0</v>
      </c>
      <c r="W2683">
        <v>0</v>
      </c>
      <c r="X2683">
        <v>1</v>
      </c>
      <c r="Y2683">
        <v>0</v>
      </c>
      <c r="Z2683">
        <v>0</v>
      </c>
      <c r="AA2683">
        <v>0</v>
      </c>
      <c r="AB2683">
        <v>0</v>
      </c>
    </row>
    <row r="2684" spans="1:49" x14ac:dyDescent="0.25">
      <c r="A2684" t="str">
        <f>"2680"</f>
        <v>2680</v>
      </c>
      <c r="B2684" t="str">
        <f t="shared" si="154"/>
        <v>1</v>
      </c>
      <c r="C2684" t="str">
        <f t="shared" si="155"/>
        <v>118</v>
      </c>
      <c r="D2684" t="str">
        <f>"13"</f>
        <v>13</v>
      </c>
      <c r="E2684" t="str">
        <f>"1-118-13"</f>
        <v>1-118-13</v>
      </c>
      <c r="F2684" t="s">
        <v>83</v>
      </c>
      <c r="G2684" t="s">
        <v>84</v>
      </c>
      <c r="H2684" t="s">
        <v>85</v>
      </c>
      <c r="AC2684">
        <v>0</v>
      </c>
      <c r="AD2684">
        <v>1</v>
      </c>
      <c r="AE2684">
        <v>0</v>
      </c>
      <c r="AF2684">
        <v>0</v>
      </c>
      <c r="AG2684">
        <v>0</v>
      </c>
      <c r="AJ2684">
        <v>1</v>
      </c>
      <c r="AK2684">
        <v>0</v>
      </c>
      <c r="AL2684">
        <v>0</v>
      </c>
      <c r="AM2684">
        <v>0</v>
      </c>
      <c r="AN2684">
        <v>1</v>
      </c>
      <c r="AO2684">
        <v>0</v>
      </c>
      <c r="AP2684">
        <v>0</v>
      </c>
      <c r="AQ2684">
        <v>0</v>
      </c>
      <c r="AR2684">
        <v>0</v>
      </c>
      <c r="AS2684">
        <v>0</v>
      </c>
      <c r="AT2684">
        <v>0</v>
      </c>
      <c r="AV2684">
        <v>0</v>
      </c>
      <c r="AW2684">
        <v>1</v>
      </c>
    </row>
    <row r="2685" spans="1:49" x14ac:dyDescent="0.25">
      <c r="A2685" t="str">
        <f>"2681"</f>
        <v>2681</v>
      </c>
      <c r="B2685" t="str">
        <f t="shared" si="154"/>
        <v>1</v>
      </c>
      <c r="C2685" t="str">
        <f t="shared" si="155"/>
        <v>118</v>
      </c>
      <c r="D2685" t="str">
        <f>"4"</f>
        <v>4</v>
      </c>
      <c r="E2685" t="str">
        <f>"1-118-4"</f>
        <v>1-118-4</v>
      </c>
      <c r="F2685" t="s">
        <v>83</v>
      </c>
      <c r="G2685" t="s">
        <v>84</v>
      </c>
      <c r="H2685" t="s">
        <v>92</v>
      </c>
      <c r="I2685">
        <v>1</v>
      </c>
      <c r="J2685">
        <v>0</v>
      </c>
      <c r="N2685">
        <v>1</v>
      </c>
      <c r="O2685">
        <v>1</v>
      </c>
      <c r="P2685">
        <v>1</v>
      </c>
      <c r="Q2685">
        <v>1</v>
      </c>
      <c r="R2685">
        <v>1</v>
      </c>
      <c r="S2685">
        <v>1</v>
      </c>
      <c r="T2685">
        <v>0</v>
      </c>
      <c r="W2685">
        <v>1</v>
      </c>
      <c r="X2685">
        <v>1</v>
      </c>
      <c r="Y2685">
        <v>0</v>
      </c>
      <c r="Z2685">
        <v>0</v>
      </c>
      <c r="AA2685">
        <v>0</v>
      </c>
      <c r="AB2685">
        <v>0</v>
      </c>
    </row>
    <row r="2686" spans="1:49" x14ac:dyDescent="0.25">
      <c r="A2686" t="str">
        <f>"2682"</f>
        <v>2682</v>
      </c>
      <c r="B2686" t="str">
        <f t="shared" si="154"/>
        <v>1</v>
      </c>
      <c r="C2686" t="str">
        <f t="shared" si="155"/>
        <v>118</v>
      </c>
      <c r="D2686" t="str">
        <f>"17"</f>
        <v>17</v>
      </c>
      <c r="E2686" t="str">
        <f>"1-118-17"</f>
        <v>1-118-17</v>
      </c>
      <c r="F2686" t="s">
        <v>83</v>
      </c>
      <c r="G2686" t="s">
        <v>86</v>
      </c>
      <c r="H2686" t="s">
        <v>93</v>
      </c>
      <c r="I2686">
        <v>1</v>
      </c>
      <c r="K2686">
        <v>0</v>
      </c>
      <c r="L2686">
        <v>0</v>
      </c>
      <c r="M2686">
        <v>1</v>
      </c>
      <c r="N2686">
        <v>0</v>
      </c>
      <c r="O2686">
        <v>0</v>
      </c>
      <c r="P2686">
        <v>0</v>
      </c>
      <c r="Q2686">
        <v>0</v>
      </c>
      <c r="R2686">
        <v>0</v>
      </c>
      <c r="U2686">
        <v>1</v>
      </c>
      <c r="V2686">
        <v>0</v>
      </c>
      <c r="W2686">
        <v>0</v>
      </c>
      <c r="X2686">
        <v>0</v>
      </c>
      <c r="Y2686">
        <v>0</v>
      </c>
      <c r="Z2686">
        <v>0</v>
      </c>
      <c r="AA2686">
        <v>0</v>
      </c>
      <c r="AB2686">
        <v>0</v>
      </c>
    </row>
    <row r="2687" spans="1:49" x14ac:dyDescent="0.25">
      <c r="A2687" t="str">
        <f>"2683"</f>
        <v>2683</v>
      </c>
      <c r="B2687" t="str">
        <f t="shared" si="154"/>
        <v>1</v>
      </c>
      <c r="C2687" t="str">
        <f t="shared" si="155"/>
        <v>118</v>
      </c>
      <c r="D2687" t="str">
        <f>"7"</f>
        <v>7</v>
      </c>
      <c r="E2687" t="str">
        <f>"1-118-7"</f>
        <v>1-118-7</v>
      </c>
      <c r="F2687" t="s">
        <v>83</v>
      </c>
      <c r="G2687" t="s">
        <v>84</v>
      </c>
      <c r="H2687" t="s">
        <v>92</v>
      </c>
      <c r="I2687">
        <v>1</v>
      </c>
      <c r="J2687">
        <v>0</v>
      </c>
      <c r="N2687">
        <v>1</v>
      </c>
      <c r="O2687">
        <v>1</v>
      </c>
      <c r="P2687">
        <v>1</v>
      </c>
      <c r="Q2687">
        <v>1</v>
      </c>
      <c r="R2687">
        <v>1</v>
      </c>
      <c r="S2687">
        <v>1</v>
      </c>
      <c r="T2687">
        <v>0</v>
      </c>
      <c r="W2687">
        <v>1</v>
      </c>
      <c r="X2687">
        <v>1</v>
      </c>
      <c r="Y2687">
        <v>1</v>
      </c>
      <c r="Z2687">
        <v>1</v>
      </c>
      <c r="AA2687">
        <v>1</v>
      </c>
      <c r="AB2687">
        <v>1</v>
      </c>
    </row>
    <row r="2688" spans="1:49" x14ac:dyDescent="0.25">
      <c r="A2688" t="str">
        <f>"2684"</f>
        <v>2684</v>
      </c>
      <c r="B2688" t="str">
        <f t="shared" si="154"/>
        <v>1</v>
      </c>
      <c r="C2688" t="str">
        <f t="shared" si="155"/>
        <v>118</v>
      </c>
      <c r="D2688" t="str">
        <f>"18"</f>
        <v>18</v>
      </c>
      <c r="E2688" t="str">
        <f>"1-118-18"</f>
        <v>1-118-18</v>
      </c>
      <c r="F2688" t="s">
        <v>83</v>
      </c>
      <c r="G2688" t="s">
        <v>86</v>
      </c>
      <c r="H2688" t="s">
        <v>87</v>
      </c>
      <c r="AC2688">
        <v>1</v>
      </c>
      <c r="AD2688">
        <v>0</v>
      </c>
      <c r="AE2688">
        <v>0</v>
      </c>
      <c r="AF2688">
        <v>0</v>
      </c>
      <c r="AH2688">
        <v>1</v>
      </c>
      <c r="AI2688">
        <v>0</v>
      </c>
      <c r="AJ2688">
        <v>1</v>
      </c>
      <c r="AK2688">
        <v>0</v>
      </c>
      <c r="AL2688">
        <v>0</v>
      </c>
      <c r="AM2688">
        <v>1</v>
      </c>
      <c r="AN2688">
        <v>0</v>
      </c>
      <c r="AO2688">
        <v>1</v>
      </c>
      <c r="AP2688">
        <v>1</v>
      </c>
      <c r="AQ2688">
        <v>1</v>
      </c>
      <c r="AU2688">
        <v>1</v>
      </c>
      <c r="AV2688">
        <v>1</v>
      </c>
      <c r="AW2688">
        <v>1</v>
      </c>
    </row>
    <row r="2689" spans="1:49" x14ac:dyDescent="0.25">
      <c r="A2689" t="str">
        <f>"2685"</f>
        <v>2685</v>
      </c>
      <c r="B2689" t="str">
        <f t="shared" si="154"/>
        <v>1</v>
      </c>
      <c r="C2689" t="str">
        <f t="shared" si="155"/>
        <v>118</v>
      </c>
      <c r="D2689" t="str">
        <f>"2"</f>
        <v>2</v>
      </c>
      <c r="E2689" t="str">
        <f>"1-118-2"</f>
        <v>1-118-2</v>
      </c>
      <c r="F2689" t="s">
        <v>83</v>
      </c>
      <c r="G2689" t="s">
        <v>84</v>
      </c>
      <c r="H2689" t="s">
        <v>85</v>
      </c>
      <c r="AC2689">
        <v>0</v>
      </c>
      <c r="AD2689">
        <v>1</v>
      </c>
      <c r="AE2689">
        <v>0</v>
      </c>
      <c r="AF2689">
        <v>0</v>
      </c>
      <c r="AG2689">
        <v>0</v>
      </c>
      <c r="AJ2689">
        <v>0</v>
      </c>
      <c r="AK2689">
        <v>0</v>
      </c>
      <c r="AL2689">
        <v>0</v>
      </c>
      <c r="AM2689">
        <v>0</v>
      </c>
      <c r="AN2689">
        <v>1</v>
      </c>
      <c r="AO2689">
        <v>0</v>
      </c>
      <c r="AP2689">
        <v>0</v>
      </c>
      <c r="AQ2689">
        <v>0</v>
      </c>
      <c r="AR2689">
        <v>0</v>
      </c>
      <c r="AS2689">
        <v>0</v>
      </c>
      <c r="AT2689">
        <v>0</v>
      </c>
      <c r="AV2689">
        <v>0</v>
      </c>
      <c r="AW2689">
        <v>0</v>
      </c>
    </row>
    <row r="2690" spans="1:49" x14ac:dyDescent="0.25">
      <c r="A2690" t="str">
        <f>"2686"</f>
        <v>2686</v>
      </c>
      <c r="B2690" t="str">
        <f t="shared" si="154"/>
        <v>1</v>
      </c>
      <c r="C2690" t="str">
        <f>"119"</f>
        <v>119</v>
      </c>
      <c r="D2690" t="str">
        <f>"2"</f>
        <v>2</v>
      </c>
      <c r="E2690" t="str">
        <f>"1-119-2"</f>
        <v>1-119-2</v>
      </c>
      <c r="F2690" t="s">
        <v>83</v>
      </c>
      <c r="G2690" t="s">
        <v>86</v>
      </c>
      <c r="H2690" t="s">
        <v>87</v>
      </c>
      <c r="AC2690">
        <v>0</v>
      </c>
      <c r="AD2690">
        <v>1</v>
      </c>
      <c r="AE2690">
        <v>0</v>
      </c>
      <c r="AF2690">
        <v>0</v>
      </c>
      <c r="AH2690">
        <v>0</v>
      </c>
      <c r="AI2690">
        <v>1</v>
      </c>
      <c r="AJ2690">
        <v>1</v>
      </c>
      <c r="AK2690">
        <v>0</v>
      </c>
      <c r="AL2690">
        <v>0</v>
      </c>
      <c r="AM2690">
        <v>0</v>
      </c>
      <c r="AN2690">
        <v>0</v>
      </c>
      <c r="AO2690">
        <v>1</v>
      </c>
      <c r="AP2690">
        <v>1</v>
      </c>
      <c r="AQ2690">
        <v>1</v>
      </c>
      <c r="AU2690">
        <v>1</v>
      </c>
      <c r="AV2690">
        <v>1</v>
      </c>
      <c r="AW2690">
        <v>1</v>
      </c>
    </row>
    <row r="2691" spans="1:49" x14ac:dyDescent="0.25">
      <c r="A2691" t="str">
        <f>"2687"</f>
        <v>2687</v>
      </c>
      <c r="B2691" t="str">
        <f t="shared" si="154"/>
        <v>1</v>
      </c>
      <c r="C2691" t="str">
        <f>"119"</f>
        <v>119</v>
      </c>
      <c r="D2691" t="str">
        <f>"3"</f>
        <v>3</v>
      </c>
      <c r="E2691" t="str">
        <f>"1-119-3"</f>
        <v>1-119-3</v>
      </c>
      <c r="F2691" t="s">
        <v>83</v>
      </c>
      <c r="G2691" t="s">
        <v>86</v>
      </c>
      <c r="H2691" t="s">
        <v>87</v>
      </c>
      <c r="AC2691">
        <v>0</v>
      </c>
      <c r="AD2691">
        <v>0</v>
      </c>
      <c r="AE2691">
        <v>0</v>
      </c>
      <c r="AF2691">
        <v>0</v>
      </c>
      <c r="AH2691">
        <v>0</v>
      </c>
      <c r="AI2691">
        <v>1</v>
      </c>
      <c r="AJ2691">
        <v>0</v>
      </c>
      <c r="AK2691">
        <v>0</v>
      </c>
      <c r="AL2691">
        <v>0</v>
      </c>
      <c r="AM2691">
        <v>0</v>
      </c>
      <c r="AN2691">
        <v>0</v>
      </c>
      <c r="AO2691">
        <v>0</v>
      </c>
      <c r="AP2691">
        <v>0</v>
      </c>
      <c r="AQ2691">
        <v>0</v>
      </c>
      <c r="AU2691">
        <v>0</v>
      </c>
      <c r="AV2691">
        <v>0</v>
      </c>
      <c r="AW2691">
        <v>0</v>
      </c>
    </row>
    <row r="2692" spans="1:49" x14ac:dyDescent="0.25">
      <c r="A2692" t="str">
        <f>"2688"</f>
        <v>2688</v>
      </c>
      <c r="B2692" t="str">
        <f t="shared" si="154"/>
        <v>1</v>
      </c>
      <c r="C2692" t="str">
        <f>"119"</f>
        <v>119</v>
      </c>
      <c r="D2692" t="str">
        <f>"4"</f>
        <v>4</v>
      </c>
      <c r="E2692" t="str">
        <f>"1-119-4"</f>
        <v>1-119-4</v>
      </c>
      <c r="F2692" t="s">
        <v>83</v>
      </c>
      <c r="G2692" t="s">
        <v>86</v>
      </c>
      <c r="H2692" t="s">
        <v>87</v>
      </c>
      <c r="AC2692">
        <v>0</v>
      </c>
      <c r="AD2692">
        <v>0</v>
      </c>
      <c r="AE2692">
        <v>0</v>
      </c>
      <c r="AF2692">
        <v>0</v>
      </c>
      <c r="AH2692">
        <v>0</v>
      </c>
      <c r="AI2692">
        <v>1</v>
      </c>
      <c r="AJ2692">
        <v>0</v>
      </c>
      <c r="AK2692">
        <v>0</v>
      </c>
      <c r="AL2692">
        <v>0</v>
      </c>
      <c r="AM2692">
        <v>0</v>
      </c>
      <c r="AN2692">
        <v>0</v>
      </c>
      <c r="AO2692">
        <v>0</v>
      </c>
      <c r="AP2692">
        <v>0</v>
      </c>
      <c r="AQ2692">
        <v>0</v>
      </c>
      <c r="AU2692">
        <v>0</v>
      </c>
      <c r="AV2692">
        <v>0</v>
      </c>
      <c r="AW2692">
        <v>0</v>
      </c>
    </row>
    <row r="2693" spans="1:49" x14ac:dyDescent="0.25">
      <c r="A2693" t="str">
        <f>"2689"</f>
        <v>2689</v>
      </c>
      <c r="B2693" t="str">
        <f t="shared" si="154"/>
        <v>1</v>
      </c>
      <c r="C2693" t="str">
        <f>"119"</f>
        <v>119</v>
      </c>
      <c r="D2693" t="str">
        <f>"5"</f>
        <v>5</v>
      </c>
      <c r="E2693" t="str">
        <f>"1-119-5"</f>
        <v>1-119-5</v>
      </c>
      <c r="F2693" t="s">
        <v>83</v>
      </c>
      <c r="G2693" t="s">
        <v>86</v>
      </c>
      <c r="H2693" t="s">
        <v>87</v>
      </c>
      <c r="AC2693">
        <v>0</v>
      </c>
      <c r="AD2693">
        <v>0</v>
      </c>
      <c r="AE2693">
        <v>0</v>
      </c>
      <c r="AF2693">
        <v>0</v>
      </c>
      <c r="AH2693">
        <v>0</v>
      </c>
      <c r="AI2693">
        <v>1</v>
      </c>
      <c r="AJ2693">
        <v>0</v>
      </c>
      <c r="AK2693">
        <v>0</v>
      </c>
      <c r="AL2693">
        <v>0</v>
      </c>
      <c r="AM2693">
        <v>0</v>
      </c>
      <c r="AN2693">
        <v>1</v>
      </c>
      <c r="AO2693">
        <v>0</v>
      </c>
      <c r="AP2693">
        <v>0</v>
      </c>
      <c r="AQ2693">
        <v>0</v>
      </c>
      <c r="AU2693">
        <v>0</v>
      </c>
      <c r="AV2693">
        <v>0</v>
      </c>
      <c r="AW2693">
        <v>0</v>
      </c>
    </row>
    <row r="2694" spans="1:49" x14ac:dyDescent="0.25">
      <c r="A2694" t="str">
        <f>"2690"</f>
        <v>2690</v>
      </c>
      <c r="B2694" t="str">
        <f t="shared" si="154"/>
        <v>1</v>
      </c>
      <c r="C2694" t="str">
        <f>"119"</f>
        <v>119</v>
      </c>
      <c r="D2694" t="str">
        <f>"1"</f>
        <v>1</v>
      </c>
      <c r="E2694" t="str">
        <f>"1-119-1"</f>
        <v>1-119-1</v>
      </c>
      <c r="F2694" t="s">
        <v>83</v>
      </c>
      <c r="G2694" t="s">
        <v>86</v>
      </c>
      <c r="H2694" t="s">
        <v>87</v>
      </c>
      <c r="AC2694">
        <v>0</v>
      </c>
      <c r="AD2694">
        <v>0</v>
      </c>
      <c r="AE2694">
        <v>0</v>
      </c>
      <c r="AF2694">
        <v>0</v>
      </c>
      <c r="AH2694">
        <v>0</v>
      </c>
      <c r="AI2694">
        <v>1</v>
      </c>
      <c r="AJ2694">
        <v>0</v>
      </c>
      <c r="AK2694">
        <v>0</v>
      </c>
      <c r="AL2694">
        <v>0</v>
      </c>
      <c r="AM2694">
        <v>0</v>
      </c>
      <c r="AN2694">
        <v>1</v>
      </c>
      <c r="AO2694">
        <v>0</v>
      </c>
      <c r="AP2694">
        <v>0</v>
      </c>
      <c r="AQ2694">
        <v>0</v>
      </c>
      <c r="AU2694">
        <v>0</v>
      </c>
      <c r="AV2694">
        <v>0</v>
      </c>
      <c r="AW2694">
        <v>0</v>
      </c>
    </row>
    <row r="2695" spans="1:49" x14ac:dyDescent="0.25">
      <c r="A2695" t="str">
        <f>"2691"</f>
        <v>2691</v>
      </c>
      <c r="B2695" t="str">
        <f t="shared" si="154"/>
        <v>1</v>
      </c>
      <c r="C2695" t="str">
        <f t="shared" ref="C2695:C2719" si="156">"120"</f>
        <v>120</v>
      </c>
      <c r="D2695" t="str">
        <f>"21"</f>
        <v>21</v>
      </c>
      <c r="E2695" t="str">
        <f>"1-120-21"</f>
        <v>1-120-21</v>
      </c>
      <c r="F2695" t="s">
        <v>83</v>
      </c>
      <c r="G2695" t="s">
        <v>84</v>
      </c>
      <c r="H2695" t="s">
        <v>85</v>
      </c>
      <c r="AC2695">
        <v>1</v>
      </c>
      <c r="AD2695">
        <v>0</v>
      </c>
      <c r="AE2695">
        <v>0</v>
      </c>
      <c r="AF2695">
        <v>0</v>
      </c>
      <c r="AG2695">
        <v>1</v>
      </c>
      <c r="AJ2695">
        <v>0</v>
      </c>
      <c r="AK2695">
        <v>1</v>
      </c>
      <c r="AL2695">
        <v>0</v>
      </c>
      <c r="AM2695">
        <v>1</v>
      </c>
      <c r="AN2695">
        <v>0</v>
      </c>
      <c r="AO2695">
        <v>1</v>
      </c>
      <c r="AP2695">
        <v>1</v>
      </c>
      <c r="AQ2695">
        <v>1</v>
      </c>
      <c r="AR2695">
        <v>1</v>
      </c>
      <c r="AS2695">
        <v>0</v>
      </c>
      <c r="AT2695">
        <v>1</v>
      </c>
      <c r="AV2695">
        <v>1</v>
      </c>
      <c r="AW2695">
        <v>1</v>
      </c>
    </row>
    <row r="2696" spans="1:49" x14ac:dyDescent="0.25">
      <c r="A2696" t="str">
        <f>"2692"</f>
        <v>2692</v>
      </c>
      <c r="B2696" t="str">
        <f t="shared" si="154"/>
        <v>1</v>
      </c>
      <c r="C2696" t="str">
        <f t="shared" si="156"/>
        <v>120</v>
      </c>
      <c r="D2696" t="str">
        <f>"20"</f>
        <v>20</v>
      </c>
      <c r="E2696" t="str">
        <f>"1-120-20"</f>
        <v>1-120-20</v>
      </c>
      <c r="F2696" t="s">
        <v>83</v>
      </c>
      <c r="G2696" t="s">
        <v>84</v>
      </c>
      <c r="H2696" t="s">
        <v>85</v>
      </c>
      <c r="AC2696">
        <v>0</v>
      </c>
      <c r="AD2696">
        <v>1</v>
      </c>
      <c r="AE2696">
        <v>0</v>
      </c>
      <c r="AF2696">
        <v>0</v>
      </c>
      <c r="AG2696">
        <v>0</v>
      </c>
      <c r="AJ2696">
        <v>0</v>
      </c>
      <c r="AK2696">
        <v>1</v>
      </c>
      <c r="AL2696">
        <v>0</v>
      </c>
      <c r="AM2696">
        <v>0</v>
      </c>
      <c r="AN2696">
        <v>1</v>
      </c>
      <c r="AO2696">
        <v>0</v>
      </c>
      <c r="AP2696">
        <v>0</v>
      </c>
      <c r="AQ2696">
        <v>0</v>
      </c>
      <c r="AR2696">
        <v>0</v>
      </c>
      <c r="AS2696">
        <v>1</v>
      </c>
      <c r="AT2696">
        <v>0</v>
      </c>
      <c r="AV2696">
        <v>0</v>
      </c>
      <c r="AW2696">
        <v>1</v>
      </c>
    </row>
    <row r="2697" spans="1:49" x14ac:dyDescent="0.25">
      <c r="A2697" t="str">
        <f>"2693"</f>
        <v>2693</v>
      </c>
      <c r="B2697" t="str">
        <f t="shared" si="154"/>
        <v>1</v>
      </c>
      <c r="C2697" t="str">
        <f t="shared" si="156"/>
        <v>120</v>
      </c>
      <c r="D2697" t="str">
        <f>"14"</f>
        <v>14</v>
      </c>
      <c r="E2697" t="str">
        <f>"1-120-14"</f>
        <v>1-120-14</v>
      </c>
      <c r="F2697" t="s">
        <v>83</v>
      </c>
      <c r="G2697" t="s">
        <v>84</v>
      </c>
      <c r="H2697" t="s">
        <v>92</v>
      </c>
      <c r="I2697">
        <v>1</v>
      </c>
      <c r="J2697">
        <v>1</v>
      </c>
      <c r="N2697">
        <v>1</v>
      </c>
      <c r="O2697">
        <v>1</v>
      </c>
      <c r="P2697">
        <v>1</v>
      </c>
      <c r="Q2697">
        <v>1</v>
      </c>
      <c r="R2697">
        <v>1</v>
      </c>
      <c r="S2697">
        <v>1</v>
      </c>
      <c r="T2697">
        <v>0</v>
      </c>
      <c r="W2697">
        <v>1</v>
      </c>
      <c r="X2697">
        <v>1</v>
      </c>
      <c r="Y2697">
        <v>1</v>
      </c>
      <c r="Z2697">
        <v>1</v>
      </c>
      <c r="AA2697">
        <v>1</v>
      </c>
      <c r="AB2697">
        <v>1</v>
      </c>
    </row>
    <row r="2698" spans="1:49" x14ac:dyDescent="0.25">
      <c r="A2698" t="str">
        <f>"2694"</f>
        <v>2694</v>
      </c>
      <c r="B2698" t="str">
        <f t="shared" si="154"/>
        <v>1</v>
      </c>
      <c r="C2698" t="str">
        <f t="shared" si="156"/>
        <v>120</v>
      </c>
      <c r="D2698" t="str">
        <f>"13"</f>
        <v>13</v>
      </c>
      <c r="E2698" t="str">
        <f>"1-120-13"</f>
        <v>1-120-13</v>
      </c>
      <c r="F2698" t="s">
        <v>83</v>
      </c>
      <c r="G2698" t="s">
        <v>84</v>
      </c>
      <c r="H2698" t="s">
        <v>92</v>
      </c>
      <c r="I2698">
        <v>1</v>
      </c>
      <c r="J2698">
        <v>1</v>
      </c>
      <c r="N2698">
        <v>1</v>
      </c>
      <c r="O2698">
        <v>1</v>
      </c>
      <c r="P2698">
        <v>1</v>
      </c>
      <c r="Q2698">
        <v>1</v>
      </c>
      <c r="R2698">
        <v>1</v>
      </c>
      <c r="S2698">
        <v>1</v>
      </c>
      <c r="T2698">
        <v>1</v>
      </c>
      <c r="W2698">
        <v>1</v>
      </c>
      <c r="X2698">
        <v>1</v>
      </c>
      <c r="Y2698">
        <v>1</v>
      </c>
      <c r="Z2698">
        <v>1</v>
      </c>
      <c r="AA2698">
        <v>1</v>
      </c>
      <c r="AB2698">
        <v>1</v>
      </c>
    </row>
    <row r="2699" spans="1:49" x14ac:dyDescent="0.25">
      <c r="A2699" t="str">
        <f>"2695"</f>
        <v>2695</v>
      </c>
      <c r="B2699" t="str">
        <f t="shared" si="154"/>
        <v>1</v>
      </c>
      <c r="C2699" t="str">
        <f t="shared" si="156"/>
        <v>120</v>
      </c>
      <c r="D2699" t="str">
        <f>"10"</f>
        <v>10</v>
      </c>
      <c r="E2699" t="str">
        <f>"1-120-10"</f>
        <v>1-120-10</v>
      </c>
      <c r="F2699" t="s">
        <v>83</v>
      </c>
      <c r="G2699" t="s">
        <v>84</v>
      </c>
      <c r="H2699" t="s">
        <v>92</v>
      </c>
      <c r="I2699">
        <v>1</v>
      </c>
      <c r="J2699">
        <v>1</v>
      </c>
      <c r="N2699">
        <v>1</v>
      </c>
      <c r="O2699">
        <v>1</v>
      </c>
      <c r="P2699">
        <v>1</v>
      </c>
      <c r="Q2699">
        <v>1</v>
      </c>
      <c r="R2699">
        <v>1</v>
      </c>
      <c r="S2699">
        <v>1</v>
      </c>
      <c r="T2699">
        <v>1</v>
      </c>
      <c r="W2699">
        <v>1</v>
      </c>
      <c r="X2699">
        <v>1</v>
      </c>
      <c r="Y2699">
        <v>1</v>
      </c>
      <c r="Z2699">
        <v>1</v>
      </c>
      <c r="AA2699">
        <v>1</v>
      </c>
      <c r="AB2699">
        <v>1</v>
      </c>
    </row>
    <row r="2700" spans="1:49" x14ac:dyDescent="0.25">
      <c r="A2700" t="str">
        <f>"2696"</f>
        <v>2696</v>
      </c>
      <c r="B2700" t="str">
        <f t="shared" si="154"/>
        <v>1</v>
      </c>
      <c r="C2700" t="str">
        <f t="shared" si="156"/>
        <v>120</v>
      </c>
      <c r="D2700" t="str">
        <f>"8"</f>
        <v>8</v>
      </c>
      <c r="E2700" t="str">
        <f>"1-120-8"</f>
        <v>1-120-8</v>
      </c>
      <c r="F2700" t="s">
        <v>83</v>
      </c>
      <c r="G2700" t="s">
        <v>84</v>
      </c>
      <c r="H2700" t="s">
        <v>92</v>
      </c>
      <c r="I2700">
        <v>1</v>
      </c>
      <c r="J2700">
        <v>0</v>
      </c>
      <c r="N2700">
        <v>1</v>
      </c>
      <c r="O2700">
        <v>0</v>
      </c>
      <c r="P2700">
        <v>0</v>
      </c>
      <c r="Q2700">
        <v>0</v>
      </c>
      <c r="R2700">
        <v>0</v>
      </c>
      <c r="S2700">
        <v>1</v>
      </c>
      <c r="T2700">
        <v>0</v>
      </c>
      <c r="W2700">
        <v>1</v>
      </c>
      <c r="X2700">
        <v>0</v>
      </c>
      <c r="Y2700">
        <v>0</v>
      </c>
      <c r="Z2700">
        <v>0</v>
      </c>
      <c r="AA2700">
        <v>1</v>
      </c>
      <c r="AB2700">
        <v>0</v>
      </c>
    </row>
    <row r="2701" spans="1:49" x14ac:dyDescent="0.25">
      <c r="A2701" t="str">
        <f>"2697"</f>
        <v>2697</v>
      </c>
      <c r="B2701" t="str">
        <f t="shared" si="154"/>
        <v>1</v>
      </c>
      <c r="C2701" t="str">
        <f t="shared" si="156"/>
        <v>120</v>
      </c>
      <c r="D2701" t="str">
        <f>"2"</f>
        <v>2</v>
      </c>
      <c r="E2701" t="str">
        <f>"1-120-2"</f>
        <v>1-120-2</v>
      </c>
      <c r="F2701" t="s">
        <v>83</v>
      </c>
      <c r="G2701" t="s">
        <v>84</v>
      </c>
      <c r="H2701" t="s">
        <v>85</v>
      </c>
      <c r="AC2701">
        <v>0</v>
      </c>
      <c r="AD2701">
        <v>1</v>
      </c>
      <c r="AE2701">
        <v>0</v>
      </c>
      <c r="AF2701">
        <v>0</v>
      </c>
      <c r="AG2701">
        <v>0</v>
      </c>
      <c r="AJ2701">
        <v>0</v>
      </c>
      <c r="AK2701">
        <v>1</v>
      </c>
      <c r="AL2701">
        <v>0</v>
      </c>
      <c r="AM2701">
        <v>0</v>
      </c>
      <c r="AN2701">
        <v>1</v>
      </c>
      <c r="AO2701">
        <v>0</v>
      </c>
      <c r="AP2701">
        <v>0</v>
      </c>
      <c r="AQ2701">
        <v>0</v>
      </c>
      <c r="AR2701">
        <v>0</v>
      </c>
      <c r="AS2701">
        <v>0</v>
      </c>
      <c r="AT2701">
        <v>1</v>
      </c>
      <c r="AV2701">
        <v>0</v>
      </c>
      <c r="AW2701">
        <v>0</v>
      </c>
    </row>
    <row r="2702" spans="1:49" x14ac:dyDescent="0.25">
      <c r="A2702" t="str">
        <f>"2698"</f>
        <v>2698</v>
      </c>
      <c r="B2702" t="str">
        <f t="shared" si="154"/>
        <v>1</v>
      </c>
      <c r="C2702" t="str">
        <f t="shared" si="156"/>
        <v>120</v>
      </c>
      <c r="D2702" t="str">
        <f>"17"</f>
        <v>17</v>
      </c>
      <c r="E2702" t="str">
        <f>"1-120-17"</f>
        <v>1-120-17</v>
      </c>
      <c r="F2702" t="s">
        <v>83</v>
      </c>
      <c r="G2702" t="s">
        <v>84</v>
      </c>
      <c r="H2702" t="s">
        <v>92</v>
      </c>
      <c r="I2702">
        <v>1</v>
      </c>
      <c r="J2702">
        <v>1</v>
      </c>
      <c r="N2702">
        <v>1</v>
      </c>
      <c r="O2702">
        <v>1</v>
      </c>
      <c r="P2702">
        <v>1</v>
      </c>
      <c r="Q2702">
        <v>1</v>
      </c>
      <c r="R2702">
        <v>1</v>
      </c>
      <c r="S2702">
        <v>1</v>
      </c>
      <c r="T2702">
        <v>1</v>
      </c>
      <c r="W2702">
        <v>1</v>
      </c>
      <c r="X2702">
        <v>1</v>
      </c>
      <c r="Y2702">
        <v>1</v>
      </c>
      <c r="Z2702">
        <v>1</v>
      </c>
      <c r="AA2702">
        <v>1</v>
      </c>
      <c r="AB2702">
        <v>1</v>
      </c>
    </row>
    <row r="2703" spans="1:49" x14ac:dyDescent="0.25">
      <c r="A2703" t="str">
        <f>"2699"</f>
        <v>2699</v>
      </c>
      <c r="B2703" t="str">
        <f t="shared" si="154"/>
        <v>1</v>
      </c>
      <c r="C2703" t="str">
        <f t="shared" si="156"/>
        <v>120</v>
      </c>
      <c r="D2703" t="str">
        <f>"9"</f>
        <v>9</v>
      </c>
      <c r="E2703" t="str">
        <f>"1-120-9"</f>
        <v>1-120-9</v>
      </c>
      <c r="F2703" t="s">
        <v>83</v>
      </c>
      <c r="G2703" t="s">
        <v>84</v>
      </c>
      <c r="H2703" t="s">
        <v>92</v>
      </c>
      <c r="I2703">
        <v>1</v>
      </c>
      <c r="J2703">
        <v>1</v>
      </c>
      <c r="N2703">
        <v>1</v>
      </c>
      <c r="O2703">
        <v>1</v>
      </c>
      <c r="P2703">
        <v>1</v>
      </c>
      <c r="Q2703">
        <v>1</v>
      </c>
      <c r="R2703">
        <v>1</v>
      </c>
      <c r="S2703">
        <v>1</v>
      </c>
      <c r="T2703">
        <v>1</v>
      </c>
      <c r="W2703">
        <v>1</v>
      </c>
      <c r="X2703">
        <v>1</v>
      </c>
      <c r="Y2703">
        <v>1</v>
      </c>
      <c r="Z2703">
        <v>1</v>
      </c>
      <c r="AA2703">
        <v>1</v>
      </c>
      <c r="AB2703">
        <v>1</v>
      </c>
    </row>
    <row r="2704" spans="1:49" x14ac:dyDescent="0.25">
      <c r="A2704" t="str">
        <f>"2700"</f>
        <v>2700</v>
      </c>
      <c r="B2704" t="str">
        <f t="shared" si="154"/>
        <v>1</v>
      </c>
      <c r="C2704" t="str">
        <f t="shared" si="156"/>
        <v>120</v>
      </c>
      <c r="D2704" t="str">
        <f>"5"</f>
        <v>5</v>
      </c>
      <c r="E2704" t="str">
        <f>"1-120-5"</f>
        <v>1-120-5</v>
      </c>
      <c r="F2704" t="s">
        <v>83</v>
      </c>
      <c r="G2704" t="s">
        <v>84</v>
      </c>
      <c r="H2704" t="s">
        <v>92</v>
      </c>
      <c r="I2704">
        <v>1</v>
      </c>
      <c r="J2704">
        <v>1</v>
      </c>
      <c r="N2704">
        <v>1</v>
      </c>
      <c r="O2704">
        <v>1</v>
      </c>
      <c r="P2704">
        <v>1</v>
      </c>
      <c r="Q2704">
        <v>1</v>
      </c>
      <c r="R2704">
        <v>1</v>
      </c>
      <c r="S2704">
        <v>1</v>
      </c>
      <c r="T2704">
        <v>1</v>
      </c>
      <c r="W2704">
        <v>1</v>
      </c>
      <c r="X2704">
        <v>1</v>
      </c>
      <c r="Y2704">
        <v>1</v>
      </c>
      <c r="Z2704">
        <v>1</v>
      </c>
      <c r="AA2704">
        <v>1</v>
      </c>
      <c r="AB2704">
        <v>1</v>
      </c>
    </row>
    <row r="2705" spans="1:49" x14ac:dyDescent="0.25">
      <c r="A2705" t="str">
        <f>"2701"</f>
        <v>2701</v>
      </c>
      <c r="B2705" t="str">
        <f t="shared" si="154"/>
        <v>1</v>
      </c>
      <c r="C2705" t="str">
        <f t="shared" si="156"/>
        <v>120</v>
      </c>
      <c r="D2705" t="str">
        <f>"23"</f>
        <v>23</v>
      </c>
      <c r="E2705" t="str">
        <f>"1-120-23"</f>
        <v>1-120-23</v>
      </c>
      <c r="F2705" t="s">
        <v>83</v>
      </c>
      <c r="G2705" t="s">
        <v>84</v>
      </c>
      <c r="H2705" t="s">
        <v>85</v>
      </c>
      <c r="AC2705">
        <v>0</v>
      </c>
      <c r="AD2705">
        <v>1</v>
      </c>
      <c r="AE2705">
        <v>0</v>
      </c>
      <c r="AF2705">
        <v>0</v>
      </c>
      <c r="AG2705">
        <v>1</v>
      </c>
      <c r="AJ2705">
        <v>1</v>
      </c>
      <c r="AK2705">
        <v>0</v>
      </c>
      <c r="AL2705">
        <v>1</v>
      </c>
      <c r="AM2705">
        <v>0</v>
      </c>
      <c r="AN2705">
        <v>0</v>
      </c>
      <c r="AO2705">
        <v>1</v>
      </c>
      <c r="AP2705">
        <v>1</v>
      </c>
      <c r="AQ2705">
        <v>1</v>
      </c>
      <c r="AR2705">
        <v>1</v>
      </c>
      <c r="AS2705">
        <v>0</v>
      </c>
      <c r="AT2705">
        <v>0</v>
      </c>
      <c r="AV2705">
        <v>1</v>
      </c>
      <c r="AW2705">
        <v>1</v>
      </c>
    </row>
    <row r="2706" spans="1:49" x14ac:dyDescent="0.25">
      <c r="A2706" t="str">
        <f>"2702"</f>
        <v>2702</v>
      </c>
      <c r="B2706" t="str">
        <f t="shared" si="154"/>
        <v>1</v>
      </c>
      <c r="C2706" t="str">
        <f t="shared" si="156"/>
        <v>120</v>
      </c>
      <c r="D2706" t="str">
        <f>"22"</f>
        <v>22</v>
      </c>
      <c r="E2706" t="str">
        <f>"1-120-22"</f>
        <v>1-120-22</v>
      </c>
      <c r="F2706" t="s">
        <v>83</v>
      </c>
      <c r="G2706" t="s">
        <v>84</v>
      </c>
      <c r="H2706" t="s">
        <v>92</v>
      </c>
      <c r="I2706">
        <v>1</v>
      </c>
      <c r="J2706">
        <v>1</v>
      </c>
      <c r="N2706">
        <v>1</v>
      </c>
      <c r="O2706">
        <v>1</v>
      </c>
      <c r="P2706">
        <v>1</v>
      </c>
      <c r="Q2706">
        <v>1</v>
      </c>
      <c r="R2706">
        <v>1</v>
      </c>
      <c r="S2706">
        <v>1</v>
      </c>
      <c r="T2706">
        <v>1</v>
      </c>
      <c r="W2706">
        <v>1</v>
      </c>
      <c r="X2706">
        <v>1</v>
      </c>
      <c r="Y2706">
        <v>1</v>
      </c>
      <c r="Z2706">
        <v>1</v>
      </c>
      <c r="AA2706">
        <v>1</v>
      </c>
      <c r="AB2706">
        <v>1</v>
      </c>
    </row>
    <row r="2707" spans="1:49" x14ac:dyDescent="0.25">
      <c r="A2707" t="str">
        <f>"2703"</f>
        <v>2703</v>
      </c>
      <c r="B2707" t="str">
        <f t="shared" si="154"/>
        <v>1</v>
      </c>
      <c r="C2707" t="str">
        <f t="shared" si="156"/>
        <v>120</v>
      </c>
      <c r="D2707" t="str">
        <f>"16"</f>
        <v>16</v>
      </c>
      <c r="E2707" t="str">
        <f>"1-120-16"</f>
        <v>1-120-16</v>
      </c>
      <c r="F2707" t="s">
        <v>83</v>
      </c>
      <c r="G2707" t="s">
        <v>84</v>
      </c>
      <c r="H2707" t="s">
        <v>85</v>
      </c>
      <c r="AC2707">
        <v>0</v>
      </c>
      <c r="AD2707">
        <v>1</v>
      </c>
      <c r="AE2707">
        <v>0</v>
      </c>
      <c r="AF2707">
        <v>0</v>
      </c>
      <c r="AG2707">
        <v>0</v>
      </c>
      <c r="AJ2707">
        <v>0</v>
      </c>
      <c r="AK2707">
        <v>1</v>
      </c>
      <c r="AL2707">
        <v>0</v>
      </c>
      <c r="AM2707">
        <v>0</v>
      </c>
      <c r="AN2707">
        <v>1</v>
      </c>
      <c r="AO2707">
        <v>0</v>
      </c>
      <c r="AP2707">
        <v>0</v>
      </c>
      <c r="AQ2707">
        <v>0</v>
      </c>
      <c r="AR2707">
        <v>0</v>
      </c>
      <c r="AS2707">
        <v>0</v>
      </c>
      <c r="AT2707">
        <v>1</v>
      </c>
      <c r="AV2707">
        <v>0</v>
      </c>
      <c r="AW2707">
        <v>0</v>
      </c>
    </row>
    <row r="2708" spans="1:49" x14ac:dyDescent="0.25">
      <c r="A2708" t="str">
        <f>"2704"</f>
        <v>2704</v>
      </c>
      <c r="B2708" t="str">
        <f t="shared" si="154"/>
        <v>1</v>
      </c>
      <c r="C2708" t="str">
        <f t="shared" si="156"/>
        <v>120</v>
      </c>
      <c r="D2708" t="str">
        <f>"11"</f>
        <v>11</v>
      </c>
      <c r="E2708" t="str">
        <f>"1-120-11"</f>
        <v>1-120-11</v>
      </c>
      <c r="F2708" t="s">
        <v>83</v>
      </c>
      <c r="G2708" t="s">
        <v>84</v>
      </c>
      <c r="H2708" t="s">
        <v>92</v>
      </c>
      <c r="I2708">
        <v>1</v>
      </c>
      <c r="J2708">
        <v>1</v>
      </c>
      <c r="N2708">
        <v>1</v>
      </c>
      <c r="O2708">
        <v>1</v>
      </c>
      <c r="P2708">
        <v>1</v>
      </c>
      <c r="Q2708">
        <v>1</v>
      </c>
      <c r="R2708">
        <v>1</v>
      </c>
      <c r="S2708">
        <v>1</v>
      </c>
      <c r="T2708">
        <v>1</v>
      </c>
      <c r="W2708">
        <v>1</v>
      </c>
      <c r="X2708">
        <v>1</v>
      </c>
      <c r="Y2708">
        <v>1</v>
      </c>
      <c r="Z2708">
        <v>1</v>
      </c>
      <c r="AA2708">
        <v>1</v>
      </c>
      <c r="AB2708">
        <v>1</v>
      </c>
    </row>
    <row r="2709" spans="1:49" x14ac:dyDescent="0.25">
      <c r="A2709" t="str">
        <f>"2705"</f>
        <v>2705</v>
      </c>
      <c r="B2709" t="str">
        <f t="shared" si="154"/>
        <v>1</v>
      </c>
      <c r="C2709" t="str">
        <f t="shared" si="156"/>
        <v>120</v>
      </c>
      <c r="D2709" t="str">
        <f>"3"</f>
        <v>3</v>
      </c>
      <c r="E2709" t="str">
        <f>"1-120-3"</f>
        <v>1-120-3</v>
      </c>
      <c r="F2709" t="s">
        <v>83</v>
      </c>
      <c r="G2709" t="s">
        <v>84</v>
      </c>
      <c r="H2709" t="s">
        <v>85</v>
      </c>
      <c r="AC2709">
        <v>0</v>
      </c>
      <c r="AD2709">
        <v>1</v>
      </c>
      <c r="AE2709">
        <v>0</v>
      </c>
      <c r="AF2709">
        <v>0</v>
      </c>
      <c r="AG2709">
        <v>0</v>
      </c>
      <c r="AJ2709">
        <v>0</v>
      </c>
      <c r="AK2709">
        <v>1</v>
      </c>
      <c r="AL2709">
        <v>0</v>
      </c>
      <c r="AM2709">
        <v>0</v>
      </c>
      <c r="AN2709">
        <v>1</v>
      </c>
      <c r="AO2709">
        <v>0</v>
      </c>
      <c r="AP2709">
        <v>0</v>
      </c>
      <c r="AQ2709">
        <v>0</v>
      </c>
      <c r="AR2709">
        <v>0</v>
      </c>
      <c r="AS2709">
        <v>0</v>
      </c>
      <c r="AT2709">
        <v>1</v>
      </c>
      <c r="AV2709">
        <v>0</v>
      </c>
      <c r="AW2709">
        <v>0</v>
      </c>
    </row>
    <row r="2710" spans="1:49" x14ac:dyDescent="0.25">
      <c r="A2710" t="str">
        <f>"2706"</f>
        <v>2706</v>
      </c>
      <c r="B2710" t="str">
        <f t="shared" si="154"/>
        <v>1</v>
      </c>
      <c r="C2710" t="str">
        <f t="shared" si="156"/>
        <v>120</v>
      </c>
      <c r="D2710" t="str">
        <f>"24"</f>
        <v>24</v>
      </c>
      <c r="E2710" t="str">
        <f>"1-120-24"</f>
        <v>1-120-24</v>
      </c>
      <c r="F2710" t="s">
        <v>83</v>
      </c>
      <c r="G2710" t="s">
        <v>84</v>
      </c>
      <c r="H2710" t="s">
        <v>92</v>
      </c>
      <c r="I2710">
        <v>1</v>
      </c>
      <c r="J2710">
        <v>1</v>
      </c>
      <c r="N2710">
        <v>1</v>
      </c>
      <c r="O2710">
        <v>1</v>
      </c>
      <c r="P2710">
        <v>1</v>
      </c>
      <c r="Q2710">
        <v>1</v>
      </c>
      <c r="R2710">
        <v>1</v>
      </c>
      <c r="S2710">
        <v>1</v>
      </c>
      <c r="T2710">
        <v>1</v>
      </c>
      <c r="W2710">
        <v>1</v>
      </c>
      <c r="X2710">
        <v>1</v>
      </c>
      <c r="Y2710">
        <v>1</v>
      </c>
      <c r="Z2710">
        <v>1</v>
      </c>
      <c r="AA2710">
        <v>1</v>
      </c>
      <c r="AB2710">
        <v>1</v>
      </c>
    </row>
    <row r="2711" spans="1:49" x14ac:dyDescent="0.25">
      <c r="A2711" t="str">
        <f>"2707"</f>
        <v>2707</v>
      </c>
      <c r="B2711" t="str">
        <f t="shared" si="154"/>
        <v>1</v>
      </c>
      <c r="C2711" t="str">
        <f t="shared" si="156"/>
        <v>120</v>
      </c>
      <c r="D2711" t="str">
        <f>"12"</f>
        <v>12</v>
      </c>
      <c r="E2711" t="str">
        <f>"1-120-12"</f>
        <v>1-120-12</v>
      </c>
      <c r="F2711" t="s">
        <v>83</v>
      </c>
      <c r="G2711" t="s">
        <v>84</v>
      </c>
      <c r="H2711" t="s">
        <v>85</v>
      </c>
      <c r="AC2711">
        <v>0</v>
      </c>
      <c r="AD2711">
        <v>0</v>
      </c>
      <c r="AE2711">
        <v>0</v>
      </c>
      <c r="AF2711">
        <v>0</v>
      </c>
      <c r="AG2711">
        <v>0</v>
      </c>
      <c r="AJ2711">
        <v>0</v>
      </c>
      <c r="AK2711">
        <v>0</v>
      </c>
      <c r="AL2711">
        <v>0</v>
      </c>
      <c r="AM2711">
        <v>0</v>
      </c>
      <c r="AN2711">
        <v>0</v>
      </c>
      <c r="AO2711">
        <v>0</v>
      </c>
      <c r="AP2711">
        <v>0</v>
      </c>
      <c r="AQ2711">
        <v>0</v>
      </c>
      <c r="AR2711">
        <v>1</v>
      </c>
      <c r="AS2711">
        <v>0</v>
      </c>
      <c r="AT2711">
        <v>1</v>
      </c>
      <c r="AV2711">
        <v>1</v>
      </c>
      <c r="AW2711">
        <v>1</v>
      </c>
    </row>
    <row r="2712" spans="1:49" x14ac:dyDescent="0.25">
      <c r="A2712" t="str">
        <f>"2708"</f>
        <v>2708</v>
      </c>
      <c r="B2712" t="str">
        <f t="shared" si="154"/>
        <v>1</v>
      </c>
      <c r="C2712" t="str">
        <f t="shared" si="156"/>
        <v>120</v>
      </c>
      <c r="D2712" t="str">
        <f>"6"</f>
        <v>6</v>
      </c>
      <c r="E2712" t="str">
        <f>"1-120-6"</f>
        <v>1-120-6</v>
      </c>
      <c r="F2712" t="s">
        <v>83</v>
      </c>
      <c r="G2712" t="s">
        <v>84</v>
      </c>
      <c r="H2712" t="s">
        <v>85</v>
      </c>
      <c r="AC2712">
        <v>0</v>
      </c>
      <c r="AD2712">
        <v>0</v>
      </c>
      <c r="AE2712">
        <v>0</v>
      </c>
      <c r="AF2712">
        <v>0</v>
      </c>
      <c r="AG2712">
        <v>0</v>
      </c>
      <c r="AJ2712">
        <v>0</v>
      </c>
      <c r="AK2712">
        <v>0</v>
      </c>
      <c r="AL2712">
        <v>0</v>
      </c>
      <c r="AM2712">
        <v>0</v>
      </c>
      <c r="AN2712">
        <v>0</v>
      </c>
      <c r="AO2712">
        <v>0</v>
      </c>
      <c r="AP2712">
        <v>0</v>
      </c>
      <c r="AQ2712">
        <v>0</v>
      </c>
      <c r="AR2712">
        <v>1</v>
      </c>
      <c r="AS2712">
        <v>0</v>
      </c>
      <c r="AT2712">
        <v>0</v>
      </c>
      <c r="AV2712">
        <v>1</v>
      </c>
      <c r="AW2712">
        <v>1</v>
      </c>
    </row>
    <row r="2713" spans="1:49" x14ac:dyDescent="0.25">
      <c r="A2713" t="str">
        <f>"2709"</f>
        <v>2709</v>
      </c>
      <c r="B2713" t="str">
        <f t="shared" si="154"/>
        <v>1</v>
      </c>
      <c r="C2713" t="str">
        <f t="shared" si="156"/>
        <v>120</v>
      </c>
      <c r="D2713" t="str">
        <f>"15"</f>
        <v>15</v>
      </c>
      <c r="E2713" t="str">
        <f>"1-120-15"</f>
        <v>1-120-15</v>
      </c>
      <c r="F2713" t="s">
        <v>83</v>
      </c>
      <c r="G2713" t="s">
        <v>88</v>
      </c>
      <c r="H2713" t="s">
        <v>89</v>
      </c>
      <c r="AC2713">
        <v>0</v>
      </c>
      <c r="AD2713">
        <v>1</v>
      </c>
      <c r="AE2713">
        <v>0</v>
      </c>
      <c r="AF2713">
        <v>0</v>
      </c>
      <c r="AH2713">
        <v>1</v>
      </c>
      <c r="AI2713">
        <v>0</v>
      </c>
      <c r="AJ2713">
        <v>0</v>
      </c>
      <c r="AK2713">
        <v>1</v>
      </c>
      <c r="AL2713">
        <v>0</v>
      </c>
      <c r="AM2713">
        <v>1</v>
      </c>
      <c r="AN2713">
        <v>0</v>
      </c>
      <c r="AO2713">
        <v>0</v>
      </c>
      <c r="AP2713">
        <v>0</v>
      </c>
      <c r="AQ2713">
        <v>0</v>
      </c>
      <c r="AR2713">
        <v>1</v>
      </c>
      <c r="AS2713">
        <v>0</v>
      </c>
      <c r="AT2713">
        <v>1</v>
      </c>
      <c r="AV2713">
        <v>0</v>
      </c>
      <c r="AW2713">
        <v>1</v>
      </c>
    </row>
    <row r="2714" spans="1:49" x14ac:dyDescent="0.25">
      <c r="A2714" t="str">
        <f>"2710"</f>
        <v>2710</v>
      </c>
      <c r="B2714" t="str">
        <f t="shared" si="154"/>
        <v>1</v>
      </c>
      <c r="C2714" t="str">
        <f t="shared" si="156"/>
        <v>120</v>
      </c>
      <c r="D2714" t="str">
        <f>"1"</f>
        <v>1</v>
      </c>
      <c r="E2714" t="str">
        <f>"1-120-1"</f>
        <v>1-120-1</v>
      </c>
      <c r="F2714" t="s">
        <v>83</v>
      </c>
      <c r="G2714" t="s">
        <v>84</v>
      </c>
      <c r="H2714" t="s">
        <v>85</v>
      </c>
      <c r="AC2714">
        <v>0</v>
      </c>
      <c r="AD2714">
        <v>1</v>
      </c>
      <c r="AE2714">
        <v>0</v>
      </c>
      <c r="AF2714">
        <v>0</v>
      </c>
      <c r="AG2714">
        <v>1</v>
      </c>
      <c r="AJ2714">
        <v>1</v>
      </c>
      <c r="AK2714">
        <v>0</v>
      </c>
      <c r="AL2714">
        <v>1</v>
      </c>
      <c r="AM2714">
        <v>0</v>
      </c>
      <c r="AN2714">
        <v>0</v>
      </c>
      <c r="AO2714">
        <v>1</v>
      </c>
      <c r="AP2714">
        <v>1</v>
      </c>
      <c r="AQ2714">
        <v>1</v>
      </c>
      <c r="AR2714">
        <v>1</v>
      </c>
      <c r="AS2714">
        <v>0</v>
      </c>
      <c r="AT2714">
        <v>0</v>
      </c>
      <c r="AV2714">
        <v>1</v>
      </c>
      <c r="AW2714">
        <v>1</v>
      </c>
    </row>
    <row r="2715" spans="1:49" x14ac:dyDescent="0.25">
      <c r="A2715" t="str">
        <f>"2711"</f>
        <v>2711</v>
      </c>
      <c r="B2715" t="str">
        <f t="shared" si="154"/>
        <v>1</v>
      </c>
      <c r="C2715" t="str">
        <f t="shared" si="156"/>
        <v>120</v>
      </c>
      <c r="D2715" t="str">
        <f>"18"</f>
        <v>18</v>
      </c>
      <c r="E2715" t="str">
        <f>"1-120-18"</f>
        <v>1-120-18</v>
      </c>
      <c r="F2715" t="s">
        <v>83</v>
      </c>
      <c r="G2715" t="s">
        <v>84</v>
      </c>
      <c r="H2715" t="s">
        <v>92</v>
      </c>
      <c r="I2715">
        <v>1</v>
      </c>
      <c r="J2715">
        <v>1</v>
      </c>
      <c r="N2715">
        <v>1</v>
      </c>
      <c r="O2715">
        <v>1</v>
      </c>
      <c r="P2715">
        <v>1</v>
      </c>
      <c r="Q2715">
        <v>1</v>
      </c>
      <c r="R2715">
        <v>1</v>
      </c>
      <c r="S2715">
        <v>1</v>
      </c>
      <c r="T2715">
        <v>1</v>
      </c>
      <c r="W2715">
        <v>1</v>
      </c>
      <c r="X2715">
        <v>1</v>
      </c>
      <c r="Y2715">
        <v>1</v>
      </c>
      <c r="Z2715">
        <v>1</v>
      </c>
      <c r="AA2715">
        <v>1</v>
      </c>
      <c r="AB2715">
        <v>1</v>
      </c>
    </row>
    <row r="2716" spans="1:49" x14ac:dyDescent="0.25">
      <c r="A2716" t="str">
        <f>"2712"</f>
        <v>2712</v>
      </c>
      <c r="B2716" t="str">
        <f t="shared" si="154"/>
        <v>1</v>
      </c>
      <c r="C2716" t="str">
        <f t="shared" si="156"/>
        <v>120</v>
      </c>
      <c r="D2716" t="str">
        <f>"7"</f>
        <v>7</v>
      </c>
      <c r="E2716" t="str">
        <f>"1-120-7"</f>
        <v>1-120-7</v>
      </c>
      <c r="F2716" t="s">
        <v>83</v>
      </c>
      <c r="G2716" t="s">
        <v>84</v>
      </c>
      <c r="H2716" t="s">
        <v>92</v>
      </c>
      <c r="I2716">
        <v>1</v>
      </c>
      <c r="J2716">
        <v>1</v>
      </c>
      <c r="N2716">
        <v>1</v>
      </c>
      <c r="O2716">
        <v>1</v>
      </c>
      <c r="P2716">
        <v>1</v>
      </c>
      <c r="Q2716">
        <v>1</v>
      </c>
      <c r="R2716">
        <v>1</v>
      </c>
      <c r="S2716">
        <v>1</v>
      </c>
      <c r="T2716">
        <v>1</v>
      </c>
      <c r="W2716">
        <v>1</v>
      </c>
      <c r="X2716">
        <v>1</v>
      </c>
      <c r="Y2716">
        <v>1</v>
      </c>
      <c r="Z2716">
        <v>1</v>
      </c>
      <c r="AA2716">
        <v>1</v>
      </c>
      <c r="AB2716">
        <v>1</v>
      </c>
    </row>
    <row r="2717" spans="1:49" x14ac:dyDescent="0.25">
      <c r="A2717" t="str">
        <f>"2713"</f>
        <v>2713</v>
      </c>
      <c r="B2717" t="str">
        <f t="shared" si="154"/>
        <v>1</v>
      </c>
      <c r="C2717" t="str">
        <f t="shared" si="156"/>
        <v>120</v>
      </c>
      <c r="D2717" t="str">
        <f>"19"</f>
        <v>19</v>
      </c>
      <c r="E2717" t="str">
        <f>"1-120-19"</f>
        <v>1-120-19</v>
      </c>
      <c r="F2717" t="s">
        <v>83</v>
      </c>
      <c r="G2717" t="s">
        <v>84</v>
      </c>
      <c r="H2717" t="s">
        <v>85</v>
      </c>
      <c r="AC2717">
        <v>0</v>
      </c>
      <c r="AD2717">
        <v>1</v>
      </c>
      <c r="AE2717">
        <v>0</v>
      </c>
      <c r="AF2717">
        <v>0</v>
      </c>
      <c r="AG2717">
        <v>1</v>
      </c>
      <c r="AJ2717">
        <v>0</v>
      </c>
      <c r="AK2717">
        <v>1</v>
      </c>
      <c r="AL2717">
        <v>0</v>
      </c>
      <c r="AM2717">
        <v>0</v>
      </c>
      <c r="AN2717">
        <v>1</v>
      </c>
      <c r="AO2717">
        <v>1</v>
      </c>
      <c r="AP2717">
        <v>1</v>
      </c>
      <c r="AQ2717">
        <v>1</v>
      </c>
      <c r="AR2717">
        <v>1</v>
      </c>
      <c r="AS2717">
        <v>1</v>
      </c>
      <c r="AT2717">
        <v>0</v>
      </c>
      <c r="AV2717">
        <v>1</v>
      </c>
      <c r="AW2717">
        <v>1</v>
      </c>
    </row>
    <row r="2718" spans="1:49" x14ac:dyDescent="0.25">
      <c r="A2718" t="str">
        <f>"2714"</f>
        <v>2714</v>
      </c>
      <c r="B2718" t="str">
        <f t="shared" ref="B2718:B2781" si="157">"1"</f>
        <v>1</v>
      </c>
      <c r="C2718" t="str">
        <f t="shared" si="156"/>
        <v>120</v>
      </c>
      <c r="D2718" t="str">
        <f>"4"</f>
        <v>4</v>
      </c>
      <c r="E2718" t="str">
        <f>"1-120-4"</f>
        <v>1-120-4</v>
      </c>
      <c r="F2718" t="s">
        <v>83</v>
      </c>
      <c r="G2718" t="s">
        <v>84</v>
      </c>
      <c r="H2718" t="s">
        <v>92</v>
      </c>
      <c r="I2718">
        <v>1</v>
      </c>
      <c r="J2718">
        <v>1</v>
      </c>
      <c r="N2718">
        <v>1</v>
      </c>
      <c r="O2718">
        <v>1</v>
      </c>
      <c r="P2718">
        <v>1</v>
      </c>
      <c r="Q2718">
        <v>1</v>
      </c>
      <c r="R2718">
        <v>1</v>
      </c>
      <c r="S2718">
        <v>1</v>
      </c>
      <c r="T2718">
        <v>1</v>
      </c>
      <c r="W2718">
        <v>1</v>
      </c>
      <c r="X2718">
        <v>1</v>
      </c>
      <c r="Y2718">
        <v>1</v>
      </c>
      <c r="Z2718">
        <v>1</v>
      </c>
      <c r="AA2718">
        <v>1</v>
      </c>
      <c r="AB2718">
        <v>1</v>
      </c>
    </row>
    <row r="2719" spans="1:49" x14ac:dyDescent="0.25">
      <c r="A2719" t="str">
        <f>"2715"</f>
        <v>2715</v>
      </c>
      <c r="B2719" t="str">
        <f t="shared" si="157"/>
        <v>1</v>
      </c>
      <c r="C2719" t="str">
        <f t="shared" si="156"/>
        <v>120</v>
      </c>
      <c r="D2719" t="str">
        <f>"25"</f>
        <v>25</v>
      </c>
      <c r="E2719" t="str">
        <f>"1-120-25"</f>
        <v>1-120-25</v>
      </c>
      <c r="F2719" t="s">
        <v>83</v>
      </c>
      <c r="G2719" t="s">
        <v>84</v>
      </c>
      <c r="H2719" t="s">
        <v>85</v>
      </c>
      <c r="AC2719">
        <v>0</v>
      </c>
      <c r="AD2719">
        <v>0</v>
      </c>
      <c r="AE2719">
        <v>0</v>
      </c>
      <c r="AF2719">
        <v>0</v>
      </c>
      <c r="AG2719">
        <v>0</v>
      </c>
      <c r="AJ2719">
        <v>0</v>
      </c>
      <c r="AK2719">
        <v>0</v>
      </c>
      <c r="AL2719">
        <v>0</v>
      </c>
      <c r="AM2719">
        <v>0</v>
      </c>
      <c r="AN2719">
        <v>0</v>
      </c>
      <c r="AO2719">
        <v>0</v>
      </c>
      <c r="AP2719">
        <v>0</v>
      </c>
      <c r="AQ2719">
        <v>0</v>
      </c>
      <c r="AR2719">
        <v>0</v>
      </c>
      <c r="AS2719">
        <v>0</v>
      </c>
      <c r="AT2719">
        <v>0</v>
      </c>
      <c r="AV2719">
        <v>0</v>
      </c>
      <c r="AW2719">
        <v>0</v>
      </c>
    </row>
    <row r="2720" spans="1:49" x14ac:dyDescent="0.25">
      <c r="A2720" t="str">
        <f>"2716"</f>
        <v>2716</v>
      </c>
      <c r="B2720" t="str">
        <f t="shared" si="157"/>
        <v>1</v>
      </c>
      <c r="C2720" t="str">
        <f t="shared" ref="C2720:C2738" si="158">"121"</f>
        <v>121</v>
      </c>
      <c r="D2720" t="str">
        <f>"19"</f>
        <v>19</v>
      </c>
      <c r="E2720" t="str">
        <f>"1-121-19"</f>
        <v>1-121-19</v>
      </c>
      <c r="F2720" t="s">
        <v>83</v>
      </c>
      <c r="G2720" t="s">
        <v>84</v>
      </c>
      <c r="H2720" t="s">
        <v>92</v>
      </c>
      <c r="I2720">
        <v>1</v>
      </c>
      <c r="J2720">
        <v>1</v>
      </c>
      <c r="N2720">
        <v>1</v>
      </c>
      <c r="O2720">
        <v>1</v>
      </c>
      <c r="P2720">
        <v>1</v>
      </c>
      <c r="Q2720">
        <v>1</v>
      </c>
      <c r="R2720">
        <v>1</v>
      </c>
      <c r="S2720">
        <v>1</v>
      </c>
      <c r="T2720">
        <v>1</v>
      </c>
      <c r="W2720">
        <v>1</v>
      </c>
      <c r="X2720">
        <v>1</v>
      </c>
      <c r="Y2720">
        <v>1</v>
      </c>
      <c r="Z2720">
        <v>1</v>
      </c>
      <c r="AA2720">
        <v>1</v>
      </c>
      <c r="AB2720">
        <v>1</v>
      </c>
    </row>
    <row r="2721" spans="1:49" x14ac:dyDescent="0.25">
      <c r="A2721" t="str">
        <f>"2717"</f>
        <v>2717</v>
      </c>
      <c r="B2721" t="str">
        <f t="shared" si="157"/>
        <v>1</v>
      </c>
      <c r="C2721" t="str">
        <f t="shared" si="158"/>
        <v>121</v>
      </c>
      <c r="D2721" t="str">
        <f>"18"</f>
        <v>18</v>
      </c>
      <c r="E2721" t="str">
        <f>"1-121-18"</f>
        <v>1-121-18</v>
      </c>
      <c r="F2721" t="s">
        <v>83</v>
      </c>
      <c r="G2721" t="s">
        <v>84</v>
      </c>
      <c r="H2721" t="s">
        <v>85</v>
      </c>
      <c r="AC2721">
        <v>1</v>
      </c>
      <c r="AD2721">
        <v>0</v>
      </c>
      <c r="AE2721">
        <v>0</v>
      </c>
      <c r="AF2721">
        <v>0</v>
      </c>
      <c r="AG2721">
        <v>1</v>
      </c>
      <c r="AJ2721">
        <v>0</v>
      </c>
      <c r="AK2721">
        <v>0</v>
      </c>
      <c r="AL2721">
        <v>1</v>
      </c>
      <c r="AM2721">
        <v>0</v>
      </c>
      <c r="AN2721">
        <v>0</v>
      </c>
      <c r="AO2721">
        <v>1</v>
      </c>
      <c r="AP2721">
        <v>1</v>
      </c>
      <c r="AQ2721">
        <v>1</v>
      </c>
      <c r="AR2721">
        <v>1</v>
      </c>
      <c r="AS2721">
        <v>0</v>
      </c>
      <c r="AT2721">
        <v>1</v>
      </c>
      <c r="AV2721">
        <v>1</v>
      </c>
      <c r="AW2721">
        <v>0</v>
      </c>
    </row>
    <row r="2722" spans="1:49" x14ac:dyDescent="0.25">
      <c r="A2722" t="str">
        <f>"2718"</f>
        <v>2718</v>
      </c>
      <c r="B2722" t="str">
        <f t="shared" si="157"/>
        <v>1</v>
      </c>
      <c r="C2722" t="str">
        <f t="shared" si="158"/>
        <v>121</v>
      </c>
      <c r="D2722" t="str">
        <f>"13"</f>
        <v>13</v>
      </c>
      <c r="E2722" t="str">
        <f>"1-121-13"</f>
        <v>1-121-13</v>
      </c>
      <c r="F2722" t="s">
        <v>83</v>
      </c>
      <c r="G2722" t="s">
        <v>84</v>
      </c>
      <c r="H2722" t="s">
        <v>85</v>
      </c>
      <c r="AC2722">
        <v>0</v>
      </c>
      <c r="AD2722">
        <v>1</v>
      </c>
      <c r="AE2722">
        <v>0</v>
      </c>
      <c r="AF2722">
        <v>0</v>
      </c>
      <c r="AG2722">
        <v>0</v>
      </c>
      <c r="AJ2722">
        <v>0</v>
      </c>
      <c r="AK2722">
        <v>1</v>
      </c>
      <c r="AL2722">
        <v>0</v>
      </c>
      <c r="AM2722">
        <v>0</v>
      </c>
      <c r="AN2722">
        <v>1</v>
      </c>
      <c r="AO2722">
        <v>0</v>
      </c>
      <c r="AP2722">
        <v>0</v>
      </c>
      <c r="AQ2722">
        <v>0</v>
      </c>
      <c r="AR2722">
        <v>1</v>
      </c>
      <c r="AS2722">
        <v>1</v>
      </c>
      <c r="AT2722">
        <v>0</v>
      </c>
      <c r="AV2722">
        <v>0</v>
      </c>
      <c r="AW2722">
        <v>1</v>
      </c>
    </row>
    <row r="2723" spans="1:49" x14ac:dyDescent="0.25">
      <c r="A2723" t="str">
        <f>"2719"</f>
        <v>2719</v>
      </c>
      <c r="B2723" t="str">
        <f t="shared" si="157"/>
        <v>1</v>
      </c>
      <c r="C2723" t="str">
        <f t="shared" si="158"/>
        <v>121</v>
      </c>
      <c r="D2723" t="str">
        <f>"8"</f>
        <v>8</v>
      </c>
      <c r="E2723" t="str">
        <f>"1-121-8"</f>
        <v>1-121-8</v>
      </c>
      <c r="F2723" t="s">
        <v>83</v>
      </c>
      <c r="G2723" t="s">
        <v>84</v>
      </c>
      <c r="H2723" t="s">
        <v>85</v>
      </c>
      <c r="AC2723">
        <v>0</v>
      </c>
      <c r="AD2723">
        <v>1</v>
      </c>
      <c r="AE2723">
        <v>0</v>
      </c>
      <c r="AF2723">
        <v>0</v>
      </c>
      <c r="AG2723">
        <v>1</v>
      </c>
      <c r="AJ2723">
        <v>0</v>
      </c>
      <c r="AK2723">
        <v>1</v>
      </c>
      <c r="AL2723">
        <v>1</v>
      </c>
      <c r="AM2723">
        <v>0</v>
      </c>
      <c r="AN2723">
        <v>0</v>
      </c>
      <c r="AO2723">
        <v>1</v>
      </c>
      <c r="AP2723">
        <v>1</v>
      </c>
      <c r="AQ2723">
        <v>1</v>
      </c>
      <c r="AR2723">
        <v>1</v>
      </c>
      <c r="AS2723">
        <v>0</v>
      </c>
      <c r="AT2723">
        <v>1</v>
      </c>
      <c r="AV2723">
        <v>1</v>
      </c>
      <c r="AW2723">
        <v>1</v>
      </c>
    </row>
    <row r="2724" spans="1:49" x14ac:dyDescent="0.25">
      <c r="A2724" t="str">
        <f>"2720"</f>
        <v>2720</v>
      </c>
      <c r="B2724" t="str">
        <f t="shared" si="157"/>
        <v>1</v>
      </c>
      <c r="C2724" t="str">
        <f t="shared" si="158"/>
        <v>121</v>
      </c>
      <c r="D2724" t="str">
        <f>"1"</f>
        <v>1</v>
      </c>
      <c r="E2724" t="str">
        <f>"1-121-1"</f>
        <v>1-121-1</v>
      </c>
      <c r="F2724" t="s">
        <v>83</v>
      </c>
      <c r="G2724" t="s">
        <v>84</v>
      </c>
      <c r="H2724" t="s">
        <v>85</v>
      </c>
      <c r="AC2724">
        <v>0</v>
      </c>
      <c r="AD2724">
        <v>1</v>
      </c>
      <c r="AE2724">
        <v>0</v>
      </c>
      <c r="AF2724">
        <v>0</v>
      </c>
      <c r="AG2724">
        <v>1</v>
      </c>
      <c r="AJ2724">
        <v>0</v>
      </c>
      <c r="AK2724">
        <v>1</v>
      </c>
      <c r="AL2724">
        <v>0</v>
      </c>
      <c r="AM2724">
        <v>0</v>
      </c>
      <c r="AN2724">
        <v>1</v>
      </c>
      <c r="AO2724">
        <v>1</v>
      </c>
      <c r="AP2724">
        <v>1</v>
      </c>
      <c r="AQ2724">
        <v>1</v>
      </c>
      <c r="AR2724">
        <v>1</v>
      </c>
      <c r="AS2724">
        <v>0</v>
      </c>
      <c r="AT2724">
        <v>1</v>
      </c>
      <c r="AV2724">
        <v>1</v>
      </c>
      <c r="AW2724">
        <v>1</v>
      </c>
    </row>
    <row r="2725" spans="1:49" x14ac:dyDescent="0.25">
      <c r="A2725" t="str">
        <f>"2721"</f>
        <v>2721</v>
      </c>
      <c r="B2725" t="str">
        <f t="shared" si="157"/>
        <v>1</v>
      </c>
      <c r="C2725" t="str">
        <f t="shared" si="158"/>
        <v>121</v>
      </c>
      <c r="D2725" t="str">
        <f>"14"</f>
        <v>14</v>
      </c>
      <c r="E2725" t="str">
        <f>"1-121-14"</f>
        <v>1-121-14</v>
      </c>
      <c r="F2725" t="s">
        <v>83</v>
      </c>
      <c r="G2725" t="s">
        <v>84</v>
      </c>
      <c r="H2725" t="s">
        <v>92</v>
      </c>
      <c r="I2725">
        <v>1</v>
      </c>
      <c r="J2725">
        <v>1</v>
      </c>
      <c r="N2725">
        <v>1</v>
      </c>
      <c r="O2725">
        <v>1</v>
      </c>
      <c r="P2725">
        <v>1</v>
      </c>
      <c r="Q2725">
        <v>1</v>
      </c>
      <c r="R2725">
        <v>1</v>
      </c>
      <c r="S2725">
        <v>1</v>
      </c>
      <c r="T2725">
        <v>1</v>
      </c>
      <c r="W2725">
        <v>1</v>
      </c>
      <c r="X2725">
        <v>1</v>
      </c>
      <c r="Y2725">
        <v>1</v>
      </c>
      <c r="Z2725">
        <v>1</v>
      </c>
      <c r="AA2725">
        <v>1</v>
      </c>
      <c r="AB2725">
        <v>1</v>
      </c>
    </row>
    <row r="2726" spans="1:49" x14ac:dyDescent="0.25">
      <c r="A2726" t="str">
        <f>"2722"</f>
        <v>2722</v>
      </c>
      <c r="B2726" t="str">
        <f t="shared" si="157"/>
        <v>1</v>
      </c>
      <c r="C2726" t="str">
        <f t="shared" si="158"/>
        <v>121</v>
      </c>
      <c r="D2726" t="str">
        <f>"9"</f>
        <v>9</v>
      </c>
      <c r="E2726" t="str">
        <f>"1-121-9"</f>
        <v>1-121-9</v>
      </c>
      <c r="F2726" t="s">
        <v>83</v>
      </c>
      <c r="G2726" t="s">
        <v>84</v>
      </c>
      <c r="H2726" t="s">
        <v>85</v>
      </c>
      <c r="AC2726">
        <v>0</v>
      </c>
      <c r="AD2726">
        <v>1</v>
      </c>
      <c r="AE2726">
        <v>0</v>
      </c>
      <c r="AF2726">
        <v>0</v>
      </c>
      <c r="AG2726">
        <v>0</v>
      </c>
      <c r="AJ2726">
        <v>1</v>
      </c>
      <c r="AK2726">
        <v>0</v>
      </c>
      <c r="AL2726">
        <v>0</v>
      </c>
      <c r="AM2726">
        <v>0</v>
      </c>
      <c r="AN2726">
        <v>1</v>
      </c>
      <c r="AO2726">
        <v>1</v>
      </c>
      <c r="AP2726">
        <v>0</v>
      </c>
      <c r="AQ2726">
        <v>1</v>
      </c>
      <c r="AR2726">
        <v>1</v>
      </c>
      <c r="AS2726">
        <v>0</v>
      </c>
      <c r="AT2726">
        <v>1</v>
      </c>
      <c r="AV2726">
        <v>1</v>
      </c>
      <c r="AW2726">
        <v>0</v>
      </c>
    </row>
    <row r="2727" spans="1:49" x14ac:dyDescent="0.25">
      <c r="A2727" t="str">
        <f>"2723"</f>
        <v>2723</v>
      </c>
      <c r="B2727" t="str">
        <f t="shared" si="157"/>
        <v>1</v>
      </c>
      <c r="C2727" t="str">
        <f t="shared" si="158"/>
        <v>121</v>
      </c>
      <c r="D2727" t="str">
        <f>"2"</f>
        <v>2</v>
      </c>
      <c r="E2727" t="str">
        <f>"1-121-2"</f>
        <v>1-121-2</v>
      </c>
      <c r="F2727" t="s">
        <v>83</v>
      </c>
      <c r="G2727" t="s">
        <v>84</v>
      </c>
      <c r="H2727" t="s">
        <v>92</v>
      </c>
      <c r="I2727">
        <v>1</v>
      </c>
      <c r="J2727">
        <v>1</v>
      </c>
      <c r="N2727">
        <v>1</v>
      </c>
      <c r="O2727">
        <v>1</v>
      </c>
      <c r="P2727">
        <v>0</v>
      </c>
      <c r="Q2727">
        <v>1</v>
      </c>
      <c r="R2727">
        <v>0</v>
      </c>
      <c r="S2727">
        <v>1</v>
      </c>
      <c r="T2727">
        <v>0</v>
      </c>
      <c r="W2727">
        <v>1</v>
      </c>
      <c r="X2727">
        <v>1</v>
      </c>
      <c r="Y2727">
        <v>1</v>
      </c>
      <c r="Z2727">
        <v>1</v>
      </c>
      <c r="AA2727">
        <v>1</v>
      </c>
      <c r="AB2727">
        <v>1</v>
      </c>
    </row>
    <row r="2728" spans="1:49" x14ac:dyDescent="0.25">
      <c r="A2728" t="str">
        <f>"2724"</f>
        <v>2724</v>
      </c>
      <c r="B2728" t="str">
        <f t="shared" si="157"/>
        <v>1</v>
      </c>
      <c r="C2728" t="str">
        <f t="shared" si="158"/>
        <v>121</v>
      </c>
      <c r="D2728" t="str">
        <f>"15"</f>
        <v>15</v>
      </c>
      <c r="E2728" t="str">
        <f>"1-121-15"</f>
        <v>1-121-15</v>
      </c>
      <c r="F2728" t="s">
        <v>83</v>
      </c>
      <c r="G2728" t="s">
        <v>84</v>
      </c>
      <c r="H2728" t="s">
        <v>92</v>
      </c>
      <c r="I2728">
        <v>1</v>
      </c>
      <c r="J2728">
        <v>1</v>
      </c>
      <c r="N2728">
        <v>1</v>
      </c>
      <c r="O2728">
        <v>1</v>
      </c>
      <c r="P2728">
        <v>1</v>
      </c>
      <c r="Q2728">
        <v>1</v>
      </c>
      <c r="R2728">
        <v>1</v>
      </c>
      <c r="S2728">
        <v>1</v>
      </c>
      <c r="T2728">
        <v>1</v>
      </c>
      <c r="W2728">
        <v>1</v>
      </c>
      <c r="X2728">
        <v>1</v>
      </c>
      <c r="Y2728">
        <v>1</v>
      </c>
      <c r="Z2728">
        <v>1</v>
      </c>
      <c r="AA2728">
        <v>1</v>
      </c>
      <c r="AB2728">
        <v>1</v>
      </c>
    </row>
    <row r="2729" spans="1:49" x14ac:dyDescent="0.25">
      <c r="A2729" t="str">
        <f>"2725"</f>
        <v>2725</v>
      </c>
      <c r="B2729" t="str">
        <f t="shared" si="157"/>
        <v>1</v>
      </c>
      <c r="C2729" t="str">
        <f t="shared" si="158"/>
        <v>121</v>
      </c>
      <c r="D2729" t="str">
        <f>"10"</f>
        <v>10</v>
      </c>
      <c r="E2729" t="str">
        <f>"1-121-10"</f>
        <v>1-121-10</v>
      </c>
      <c r="F2729" t="s">
        <v>83</v>
      </c>
      <c r="G2729" t="s">
        <v>84</v>
      </c>
      <c r="H2729" t="s">
        <v>85</v>
      </c>
      <c r="AC2729">
        <v>0</v>
      </c>
      <c r="AD2729">
        <v>1</v>
      </c>
      <c r="AE2729">
        <v>0</v>
      </c>
      <c r="AF2729">
        <v>0</v>
      </c>
      <c r="AG2729">
        <v>0</v>
      </c>
      <c r="AJ2729">
        <v>0</v>
      </c>
      <c r="AK2729">
        <v>1</v>
      </c>
      <c r="AL2729">
        <v>0</v>
      </c>
      <c r="AM2729">
        <v>1</v>
      </c>
      <c r="AN2729">
        <v>0</v>
      </c>
      <c r="AO2729">
        <v>0</v>
      </c>
      <c r="AP2729">
        <v>0</v>
      </c>
      <c r="AQ2729">
        <v>0</v>
      </c>
      <c r="AR2729">
        <v>0</v>
      </c>
      <c r="AS2729">
        <v>0</v>
      </c>
      <c r="AT2729">
        <v>1</v>
      </c>
      <c r="AV2729">
        <v>0</v>
      </c>
      <c r="AW2729">
        <v>0</v>
      </c>
    </row>
    <row r="2730" spans="1:49" x14ac:dyDescent="0.25">
      <c r="A2730" t="str">
        <f>"2726"</f>
        <v>2726</v>
      </c>
      <c r="B2730" t="str">
        <f t="shared" si="157"/>
        <v>1</v>
      </c>
      <c r="C2730" t="str">
        <f t="shared" si="158"/>
        <v>121</v>
      </c>
      <c r="D2730" t="str">
        <f>"5"</f>
        <v>5</v>
      </c>
      <c r="E2730" t="str">
        <f>"1-121-5"</f>
        <v>1-121-5</v>
      </c>
      <c r="F2730" t="s">
        <v>83</v>
      </c>
      <c r="G2730" t="s">
        <v>88</v>
      </c>
      <c r="H2730" t="s">
        <v>89</v>
      </c>
      <c r="AC2730">
        <v>1</v>
      </c>
      <c r="AD2730">
        <v>0</v>
      </c>
      <c r="AE2730">
        <v>0</v>
      </c>
      <c r="AF2730">
        <v>0</v>
      </c>
      <c r="AH2730">
        <v>1</v>
      </c>
      <c r="AI2730">
        <v>0</v>
      </c>
      <c r="AJ2730">
        <v>1</v>
      </c>
      <c r="AK2730">
        <v>0</v>
      </c>
      <c r="AL2730">
        <v>0</v>
      </c>
      <c r="AM2730">
        <v>1</v>
      </c>
      <c r="AN2730">
        <v>0</v>
      </c>
      <c r="AO2730">
        <v>1</v>
      </c>
      <c r="AP2730">
        <v>1</v>
      </c>
      <c r="AQ2730">
        <v>1</v>
      </c>
      <c r="AR2730">
        <v>1</v>
      </c>
      <c r="AS2730">
        <v>0</v>
      </c>
      <c r="AT2730">
        <v>1</v>
      </c>
      <c r="AV2730">
        <v>1</v>
      </c>
      <c r="AW2730">
        <v>1</v>
      </c>
    </row>
    <row r="2731" spans="1:49" x14ac:dyDescent="0.25">
      <c r="A2731" t="str">
        <f>"2727"</f>
        <v>2727</v>
      </c>
      <c r="B2731" t="str">
        <f t="shared" si="157"/>
        <v>1</v>
      </c>
      <c r="C2731" t="str">
        <f t="shared" si="158"/>
        <v>121</v>
      </c>
      <c r="D2731" t="str">
        <f>"17"</f>
        <v>17</v>
      </c>
      <c r="E2731" t="str">
        <f>"1-121-17"</f>
        <v>1-121-17</v>
      </c>
      <c r="F2731" t="s">
        <v>83</v>
      </c>
      <c r="G2731" t="s">
        <v>84</v>
      </c>
      <c r="H2731" t="s">
        <v>92</v>
      </c>
      <c r="I2731">
        <v>1</v>
      </c>
      <c r="J2731">
        <v>1</v>
      </c>
      <c r="N2731">
        <v>1</v>
      </c>
      <c r="O2731">
        <v>1</v>
      </c>
      <c r="P2731">
        <v>1</v>
      </c>
      <c r="Q2731">
        <v>1</v>
      </c>
      <c r="R2731">
        <v>1</v>
      </c>
      <c r="S2731">
        <v>1</v>
      </c>
      <c r="T2731">
        <v>1</v>
      </c>
      <c r="W2731">
        <v>1</v>
      </c>
      <c r="X2731">
        <v>1</v>
      </c>
      <c r="Y2731">
        <v>1</v>
      </c>
      <c r="Z2731">
        <v>1</v>
      </c>
      <c r="AA2731">
        <v>1</v>
      </c>
      <c r="AB2731">
        <v>1</v>
      </c>
    </row>
    <row r="2732" spans="1:49" x14ac:dyDescent="0.25">
      <c r="A2732" t="str">
        <f>"2728"</f>
        <v>2728</v>
      </c>
      <c r="B2732" t="str">
        <f t="shared" si="157"/>
        <v>1</v>
      </c>
      <c r="C2732" t="str">
        <f t="shared" si="158"/>
        <v>121</v>
      </c>
      <c r="D2732" t="str">
        <f>"11"</f>
        <v>11</v>
      </c>
      <c r="E2732" t="str">
        <f>"1-121-11"</f>
        <v>1-121-11</v>
      </c>
      <c r="F2732" t="s">
        <v>83</v>
      </c>
      <c r="G2732" t="s">
        <v>84</v>
      </c>
      <c r="H2732" t="s">
        <v>85</v>
      </c>
      <c r="AC2732">
        <v>1</v>
      </c>
      <c r="AD2732">
        <v>0</v>
      </c>
      <c r="AE2732">
        <v>0</v>
      </c>
      <c r="AF2732">
        <v>0</v>
      </c>
      <c r="AG2732">
        <v>1</v>
      </c>
      <c r="AJ2732">
        <v>1</v>
      </c>
      <c r="AK2732">
        <v>0</v>
      </c>
      <c r="AL2732">
        <v>0</v>
      </c>
      <c r="AM2732">
        <v>1</v>
      </c>
      <c r="AN2732">
        <v>0</v>
      </c>
      <c r="AO2732">
        <v>1</v>
      </c>
      <c r="AP2732">
        <v>1</v>
      </c>
      <c r="AQ2732">
        <v>1</v>
      </c>
      <c r="AR2732">
        <v>1</v>
      </c>
      <c r="AS2732">
        <v>1</v>
      </c>
      <c r="AT2732">
        <v>0</v>
      </c>
      <c r="AV2732">
        <v>1</v>
      </c>
      <c r="AW2732">
        <v>1</v>
      </c>
    </row>
    <row r="2733" spans="1:49" x14ac:dyDescent="0.25">
      <c r="A2733" t="str">
        <f>"2729"</f>
        <v>2729</v>
      </c>
      <c r="B2733" t="str">
        <f t="shared" si="157"/>
        <v>1</v>
      </c>
      <c r="C2733" t="str">
        <f t="shared" si="158"/>
        <v>121</v>
      </c>
      <c r="D2733" t="str">
        <f>"3"</f>
        <v>3</v>
      </c>
      <c r="E2733" t="str">
        <f>"1-121-3"</f>
        <v>1-121-3</v>
      </c>
      <c r="F2733" t="s">
        <v>83</v>
      </c>
      <c r="G2733" t="s">
        <v>84</v>
      </c>
      <c r="H2733" t="s">
        <v>92</v>
      </c>
      <c r="I2733">
        <v>1</v>
      </c>
      <c r="J2733">
        <v>1</v>
      </c>
      <c r="N2733">
        <v>1</v>
      </c>
      <c r="O2733">
        <v>1</v>
      </c>
      <c r="P2733">
        <v>1</v>
      </c>
      <c r="Q2733">
        <v>1</v>
      </c>
      <c r="R2733">
        <v>1</v>
      </c>
      <c r="S2733">
        <v>1</v>
      </c>
      <c r="T2733">
        <v>1</v>
      </c>
      <c r="W2733">
        <v>1</v>
      </c>
      <c r="X2733">
        <v>1</v>
      </c>
      <c r="Y2733">
        <v>1</v>
      </c>
      <c r="Z2733">
        <v>1</v>
      </c>
      <c r="AA2733">
        <v>1</v>
      </c>
      <c r="AB2733">
        <v>1</v>
      </c>
    </row>
    <row r="2734" spans="1:49" x14ac:dyDescent="0.25">
      <c r="A2734" t="str">
        <f>"2730"</f>
        <v>2730</v>
      </c>
      <c r="B2734" t="str">
        <f t="shared" si="157"/>
        <v>1</v>
      </c>
      <c r="C2734" t="str">
        <f t="shared" si="158"/>
        <v>121</v>
      </c>
      <c r="D2734" t="str">
        <f>"16"</f>
        <v>16</v>
      </c>
      <c r="E2734" t="str">
        <f>"1-121-16"</f>
        <v>1-121-16</v>
      </c>
      <c r="F2734" t="s">
        <v>83</v>
      </c>
      <c r="G2734" t="s">
        <v>84</v>
      </c>
      <c r="H2734" t="s">
        <v>92</v>
      </c>
      <c r="I2734">
        <v>1</v>
      </c>
      <c r="J2734">
        <v>1</v>
      </c>
      <c r="N2734">
        <v>1</v>
      </c>
      <c r="O2734">
        <v>1</v>
      </c>
      <c r="P2734">
        <v>1</v>
      </c>
      <c r="Q2734">
        <v>1</v>
      </c>
      <c r="R2734">
        <v>1</v>
      </c>
      <c r="S2734">
        <v>1</v>
      </c>
      <c r="T2734">
        <v>1</v>
      </c>
      <c r="W2734">
        <v>1</v>
      </c>
      <c r="X2734">
        <v>1</v>
      </c>
      <c r="Y2734">
        <v>1</v>
      </c>
      <c r="Z2734">
        <v>1</v>
      </c>
      <c r="AA2734">
        <v>1</v>
      </c>
      <c r="AB2734">
        <v>1</v>
      </c>
    </row>
    <row r="2735" spans="1:49" x14ac:dyDescent="0.25">
      <c r="A2735" t="str">
        <f>"2731"</f>
        <v>2731</v>
      </c>
      <c r="B2735" t="str">
        <f t="shared" si="157"/>
        <v>1</v>
      </c>
      <c r="C2735" t="str">
        <f t="shared" si="158"/>
        <v>121</v>
      </c>
      <c r="D2735" t="str">
        <f>"12"</f>
        <v>12</v>
      </c>
      <c r="E2735" t="str">
        <f>"1-121-12"</f>
        <v>1-121-12</v>
      </c>
      <c r="F2735" t="s">
        <v>83</v>
      </c>
      <c r="G2735" t="s">
        <v>84</v>
      </c>
      <c r="H2735" t="s">
        <v>92</v>
      </c>
      <c r="I2735">
        <v>1</v>
      </c>
      <c r="J2735">
        <v>1</v>
      </c>
      <c r="N2735">
        <v>1</v>
      </c>
      <c r="O2735">
        <v>0</v>
      </c>
      <c r="P2735">
        <v>0</v>
      </c>
      <c r="Q2735">
        <v>1</v>
      </c>
      <c r="R2735">
        <v>0</v>
      </c>
      <c r="S2735">
        <v>1</v>
      </c>
      <c r="T2735">
        <v>1</v>
      </c>
      <c r="W2735">
        <v>0</v>
      </c>
      <c r="X2735">
        <v>0</v>
      </c>
      <c r="Y2735">
        <v>0</v>
      </c>
      <c r="Z2735">
        <v>1</v>
      </c>
      <c r="AA2735">
        <v>0</v>
      </c>
      <c r="AB2735">
        <v>1</v>
      </c>
    </row>
    <row r="2736" spans="1:49" x14ac:dyDescent="0.25">
      <c r="A2736" t="str">
        <f>"2732"</f>
        <v>2732</v>
      </c>
      <c r="B2736" t="str">
        <f t="shared" si="157"/>
        <v>1</v>
      </c>
      <c r="C2736" t="str">
        <f t="shared" si="158"/>
        <v>121</v>
      </c>
      <c r="D2736" t="str">
        <f>"6"</f>
        <v>6</v>
      </c>
      <c r="E2736" t="str">
        <f>"1-121-6"</f>
        <v>1-121-6</v>
      </c>
      <c r="F2736" t="s">
        <v>83</v>
      </c>
      <c r="G2736" t="s">
        <v>84</v>
      </c>
      <c r="H2736" t="s">
        <v>92</v>
      </c>
      <c r="I2736">
        <v>1</v>
      </c>
      <c r="J2736">
        <v>1</v>
      </c>
      <c r="N2736">
        <v>1</v>
      </c>
      <c r="O2736">
        <v>1</v>
      </c>
      <c r="P2736">
        <v>1</v>
      </c>
      <c r="Q2736">
        <v>1</v>
      </c>
      <c r="R2736">
        <v>1</v>
      </c>
      <c r="S2736">
        <v>1</v>
      </c>
      <c r="T2736">
        <v>1</v>
      </c>
      <c r="W2736">
        <v>1</v>
      </c>
      <c r="X2736">
        <v>1</v>
      </c>
      <c r="Y2736">
        <v>1</v>
      </c>
      <c r="Z2736">
        <v>1</v>
      </c>
      <c r="AA2736">
        <v>1</v>
      </c>
      <c r="AB2736">
        <v>1</v>
      </c>
    </row>
    <row r="2737" spans="1:49" x14ac:dyDescent="0.25">
      <c r="A2737" t="str">
        <f>"2733"</f>
        <v>2733</v>
      </c>
      <c r="B2737" t="str">
        <f t="shared" si="157"/>
        <v>1</v>
      </c>
      <c r="C2737" t="str">
        <f t="shared" si="158"/>
        <v>121</v>
      </c>
      <c r="D2737" t="str">
        <f>"7"</f>
        <v>7</v>
      </c>
      <c r="E2737" t="str">
        <f>"1-121-7"</f>
        <v>1-121-7</v>
      </c>
      <c r="F2737" t="s">
        <v>83</v>
      </c>
      <c r="G2737" t="s">
        <v>84</v>
      </c>
      <c r="H2737" t="s">
        <v>92</v>
      </c>
      <c r="I2737">
        <v>1</v>
      </c>
      <c r="J2737">
        <v>1</v>
      </c>
      <c r="N2737">
        <v>1</v>
      </c>
      <c r="O2737">
        <v>1</v>
      </c>
      <c r="P2737">
        <v>1</v>
      </c>
      <c r="Q2737">
        <v>1</v>
      </c>
      <c r="R2737">
        <v>1</v>
      </c>
      <c r="S2737">
        <v>1</v>
      </c>
      <c r="T2737">
        <v>1</v>
      </c>
      <c r="W2737">
        <v>0</v>
      </c>
      <c r="X2737">
        <v>1</v>
      </c>
      <c r="Y2737">
        <v>1</v>
      </c>
      <c r="Z2737">
        <v>1</v>
      </c>
      <c r="AA2737">
        <v>1</v>
      </c>
      <c r="AB2737">
        <v>1</v>
      </c>
    </row>
    <row r="2738" spans="1:49" x14ac:dyDescent="0.25">
      <c r="A2738" t="str">
        <f>"2734"</f>
        <v>2734</v>
      </c>
      <c r="B2738" t="str">
        <f t="shared" si="157"/>
        <v>1</v>
      </c>
      <c r="C2738" t="str">
        <f t="shared" si="158"/>
        <v>121</v>
      </c>
      <c r="D2738" t="str">
        <f>"4"</f>
        <v>4</v>
      </c>
      <c r="E2738" t="str">
        <f>"1-121-4"</f>
        <v>1-121-4</v>
      </c>
      <c r="F2738" t="s">
        <v>83</v>
      </c>
      <c r="G2738" t="s">
        <v>84</v>
      </c>
      <c r="H2738" t="s">
        <v>92</v>
      </c>
      <c r="I2738">
        <v>1</v>
      </c>
      <c r="J2738">
        <v>1</v>
      </c>
      <c r="N2738">
        <v>1</v>
      </c>
      <c r="O2738">
        <v>1</v>
      </c>
      <c r="P2738">
        <v>1</v>
      </c>
      <c r="Q2738">
        <v>1</v>
      </c>
      <c r="R2738">
        <v>1</v>
      </c>
      <c r="S2738">
        <v>1</v>
      </c>
      <c r="T2738">
        <v>1</v>
      </c>
      <c r="W2738">
        <v>1</v>
      </c>
      <c r="X2738">
        <v>1</v>
      </c>
      <c r="Y2738">
        <v>1</v>
      </c>
      <c r="Z2738">
        <v>1</v>
      </c>
      <c r="AA2738">
        <v>1</v>
      </c>
      <c r="AB2738">
        <v>1</v>
      </c>
    </row>
    <row r="2739" spans="1:49" x14ac:dyDescent="0.25">
      <c r="A2739" t="str">
        <f>"2735"</f>
        <v>2735</v>
      </c>
      <c r="B2739" t="str">
        <f t="shared" si="157"/>
        <v>1</v>
      </c>
      <c r="C2739" t="str">
        <f t="shared" ref="C2739:C2763" si="159">"122"</f>
        <v>122</v>
      </c>
      <c r="D2739" t="str">
        <f>"21"</f>
        <v>21</v>
      </c>
      <c r="E2739" t="str">
        <f>"1-122-21"</f>
        <v>1-122-21</v>
      </c>
      <c r="F2739" t="s">
        <v>83</v>
      </c>
      <c r="G2739" t="s">
        <v>90</v>
      </c>
      <c r="H2739" t="s">
        <v>94</v>
      </c>
      <c r="I2739">
        <v>1</v>
      </c>
      <c r="K2739">
        <v>0</v>
      </c>
      <c r="L2739">
        <v>1</v>
      </c>
      <c r="M2739">
        <v>0</v>
      </c>
      <c r="N2739">
        <v>1</v>
      </c>
      <c r="O2739">
        <v>1</v>
      </c>
      <c r="P2739">
        <v>1</v>
      </c>
      <c r="Q2739">
        <v>1</v>
      </c>
      <c r="R2739">
        <v>1</v>
      </c>
      <c r="S2739">
        <v>1</v>
      </c>
      <c r="U2739">
        <v>1</v>
      </c>
      <c r="V2739">
        <v>0</v>
      </c>
      <c r="W2739">
        <v>1</v>
      </c>
      <c r="X2739">
        <v>1</v>
      </c>
      <c r="Y2739">
        <v>1</v>
      </c>
      <c r="Z2739">
        <v>1</v>
      </c>
      <c r="AA2739">
        <v>1</v>
      </c>
      <c r="AB2739">
        <v>1</v>
      </c>
    </row>
    <row r="2740" spans="1:49" x14ac:dyDescent="0.25">
      <c r="A2740" t="str">
        <f>"2736"</f>
        <v>2736</v>
      </c>
      <c r="B2740" t="str">
        <f t="shared" si="157"/>
        <v>1</v>
      </c>
      <c r="C2740" t="str">
        <f t="shared" si="159"/>
        <v>122</v>
      </c>
      <c r="D2740" t="str">
        <f>"20"</f>
        <v>20</v>
      </c>
      <c r="E2740" t="str">
        <f>"1-122-20"</f>
        <v>1-122-20</v>
      </c>
      <c r="F2740" t="s">
        <v>83</v>
      </c>
      <c r="G2740" t="s">
        <v>84</v>
      </c>
      <c r="H2740" t="s">
        <v>92</v>
      </c>
      <c r="I2740">
        <v>1</v>
      </c>
      <c r="J2740">
        <v>1</v>
      </c>
      <c r="N2740">
        <v>1</v>
      </c>
      <c r="O2740">
        <v>1</v>
      </c>
      <c r="P2740">
        <v>1</v>
      </c>
      <c r="Q2740">
        <v>1</v>
      </c>
      <c r="R2740">
        <v>1</v>
      </c>
      <c r="S2740">
        <v>1</v>
      </c>
      <c r="T2740">
        <v>1</v>
      </c>
      <c r="W2740">
        <v>1</v>
      </c>
      <c r="X2740">
        <v>1</v>
      </c>
      <c r="Y2740">
        <v>1</v>
      </c>
      <c r="Z2740">
        <v>1</v>
      </c>
      <c r="AA2740">
        <v>1</v>
      </c>
      <c r="AB2740">
        <v>0</v>
      </c>
    </row>
    <row r="2741" spans="1:49" x14ac:dyDescent="0.25">
      <c r="A2741" t="str">
        <f>"2737"</f>
        <v>2737</v>
      </c>
      <c r="B2741" t="str">
        <f t="shared" si="157"/>
        <v>1</v>
      </c>
      <c r="C2741" t="str">
        <f t="shared" si="159"/>
        <v>122</v>
      </c>
      <c r="D2741" t="str">
        <f>"15"</f>
        <v>15</v>
      </c>
      <c r="E2741" t="str">
        <f>"1-122-15"</f>
        <v>1-122-15</v>
      </c>
      <c r="F2741" t="s">
        <v>83</v>
      </c>
      <c r="G2741" t="s">
        <v>84</v>
      </c>
      <c r="H2741" t="s">
        <v>85</v>
      </c>
      <c r="AC2741">
        <v>0</v>
      </c>
      <c r="AD2741">
        <v>1</v>
      </c>
      <c r="AE2741">
        <v>0</v>
      </c>
      <c r="AF2741">
        <v>0</v>
      </c>
      <c r="AG2741">
        <v>1</v>
      </c>
      <c r="AJ2741">
        <v>0</v>
      </c>
      <c r="AK2741">
        <v>1</v>
      </c>
      <c r="AL2741">
        <v>0</v>
      </c>
      <c r="AM2741">
        <v>0</v>
      </c>
      <c r="AN2741">
        <v>1</v>
      </c>
      <c r="AO2741">
        <v>1</v>
      </c>
      <c r="AP2741">
        <v>1</v>
      </c>
      <c r="AQ2741">
        <v>1</v>
      </c>
      <c r="AR2741">
        <v>1</v>
      </c>
      <c r="AS2741">
        <v>1</v>
      </c>
      <c r="AT2741">
        <v>0</v>
      </c>
      <c r="AV2741">
        <v>1</v>
      </c>
      <c r="AW2741">
        <v>1</v>
      </c>
    </row>
    <row r="2742" spans="1:49" x14ac:dyDescent="0.25">
      <c r="A2742" t="str">
        <f>"2738"</f>
        <v>2738</v>
      </c>
      <c r="B2742" t="str">
        <f t="shared" si="157"/>
        <v>1</v>
      </c>
      <c r="C2742" t="str">
        <f t="shared" si="159"/>
        <v>122</v>
      </c>
      <c r="D2742" t="str">
        <f>"14"</f>
        <v>14</v>
      </c>
      <c r="E2742" t="str">
        <f>"1-122-14"</f>
        <v>1-122-14</v>
      </c>
      <c r="F2742" t="s">
        <v>83</v>
      </c>
      <c r="G2742" t="s">
        <v>84</v>
      </c>
      <c r="H2742" t="s">
        <v>85</v>
      </c>
      <c r="AC2742">
        <v>0</v>
      </c>
      <c r="AD2742">
        <v>1</v>
      </c>
      <c r="AE2742">
        <v>0</v>
      </c>
      <c r="AF2742">
        <v>0</v>
      </c>
      <c r="AG2742">
        <v>1</v>
      </c>
      <c r="AJ2742">
        <v>1</v>
      </c>
      <c r="AK2742">
        <v>0</v>
      </c>
      <c r="AL2742">
        <v>1</v>
      </c>
      <c r="AM2742">
        <v>0</v>
      </c>
      <c r="AN2742">
        <v>0</v>
      </c>
      <c r="AO2742">
        <v>1</v>
      </c>
      <c r="AP2742">
        <v>1</v>
      </c>
      <c r="AQ2742">
        <v>1</v>
      </c>
      <c r="AR2742">
        <v>1</v>
      </c>
      <c r="AS2742">
        <v>0</v>
      </c>
      <c r="AT2742">
        <v>1</v>
      </c>
      <c r="AV2742">
        <v>1</v>
      </c>
      <c r="AW2742">
        <v>1</v>
      </c>
    </row>
    <row r="2743" spans="1:49" x14ac:dyDescent="0.25">
      <c r="A2743" t="str">
        <f>"2739"</f>
        <v>2739</v>
      </c>
      <c r="B2743" t="str">
        <f t="shared" si="157"/>
        <v>1</v>
      </c>
      <c r="C2743" t="str">
        <f t="shared" si="159"/>
        <v>122</v>
      </c>
      <c r="D2743" t="str">
        <f>"11"</f>
        <v>11</v>
      </c>
      <c r="E2743" t="str">
        <f>"1-122-11"</f>
        <v>1-122-11</v>
      </c>
      <c r="F2743" t="s">
        <v>83</v>
      </c>
      <c r="G2743" t="s">
        <v>84</v>
      </c>
      <c r="H2743" t="s">
        <v>92</v>
      </c>
      <c r="I2743">
        <v>1</v>
      </c>
      <c r="J2743">
        <v>1</v>
      </c>
      <c r="N2743">
        <v>1</v>
      </c>
      <c r="O2743">
        <v>1</v>
      </c>
      <c r="P2743">
        <v>1</v>
      </c>
      <c r="Q2743">
        <v>1</v>
      </c>
      <c r="R2743">
        <v>1</v>
      </c>
      <c r="S2743">
        <v>1</v>
      </c>
      <c r="T2743">
        <v>1</v>
      </c>
      <c r="W2743">
        <v>1</v>
      </c>
      <c r="X2743">
        <v>1</v>
      </c>
      <c r="Y2743">
        <v>1</v>
      </c>
      <c r="Z2743">
        <v>1</v>
      </c>
      <c r="AA2743">
        <v>1</v>
      </c>
      <c r="AB2743">
        <v>1</v>
      </c>
    </row>
    <row r="2744" spans="1:49" x14ac:dyDescent="0.25">
      <c r="A2744" t="str">
        <f>"2740"</f>
        <v>2740</v>
      </c>
      <c r="B2744" t="str">
        <f t="shared" si="157"/>
        <v>1</v>
      </c>
      <c r="C2744" t="str">
        <f t="shared" si="159"/>
        <v>122</v>
      </c>
      <c r="D2744" t="str">
        <f>"8"</f>
        <v>8</v>
      </c>
      <c r="E2744" t="str">
        <f>"1-122-8"</f>
        <v>1-122-8</v>
      </c>
      <c r="F2744" t="s">
        <v>83</v>
      </c>
      <c r="G2744" t="s">
        <v>84</v>
      </c>
      <c r="H2744" t="s">
        <v>85</v>
      </c>
      <c r="AC2744">
        <v>1</v>
      </c>
      <c r="AD2744">
        <v>0</v>
      </c>
      <c r="AE2744">
        <v>0</v>
      </c>
      <c r="AF2744">
        <v>0</v>
      </c>
      <c r="AG2744">
        <v>0</v>
      </c>
      <c r="AJ2744">
        <v>0</v>
      </c>
      <c r="AK2744">
        <v>1</v>
      </c>
      <c r="AL2744">
        <v>1</v>
      </c>
      <c r="AM2744">
        <v>0</v>
      </c>
      <c r="AN2744">
        <v>0</v>
      </c>
      <c r="AO2744">
        <v>0</v>
      </c>
      <c r="AP2744">
        <v>0</v>
      </c>
      <c r="AQ2744">
        <v>0</v>
      </c>
      <c r="AR2744">
        <v>0</v>
      </c>
      <c r="AS2744">
        <v>1</v>
      </c>
      <c r="AT2744">
        <v>0</v>
      </c>
      <c r="AV2744">
        <v>0</v>
      </c>
      <c r="AW2744">
        <v>1</v>
      </c>
    </row>
    <row r="2745" spans="1:49" x14ac:dyDescent="0.25">
      <c r="A2745" t="str">
        <f>"2741"</f>
        <v>2741</v>
      </c>
      <c r="B2745" t="str">
        <f t="shared" si="157"/>
        <v>1</v>
      </c>
      <c r="C2745" t="str">
        <f t="shared" si="159"/>
        <v>122</v>
      </c>
      <c r="D2745" t="str">
        <f>"4"</f>
        <v>4</v>
      </c>
      <c r="E2745" t="str">
        <f>"1-122-4"</f>
        <v>1-122-4</v>
      </c>
      <c r="F2745" t="s">
        <v>83</v>
      </c>
      <c r="G2745" t="s">
        <v>84</v>
      </c>
      <c r="H2745" t="s">
        <v>85</v>
      </c>
      <c r="AC2745">
        <v>0</v>
      </c>
      <c r="AD2745">
        <v>1</v>
      </c>
      <c r="AE2745">
        <v>0</v>
      </c>
      <c r="AF2745">
        <v>0</v>
      </c>
      <c r="AG2745">
        <v>0</v>
      </c>
      <c r="AJ2745">
        <v>1</v>
      </c>
      <c r="AK2745">
        <v>0</v>
      </c>
      <c r="AL2745">
        <v>0</v>
      </c>
      <c r="AM2745">
        <v>0</v>
      </c>
      <c r="AN2745">
        <v>1</v>
      </c>
      <c r="AO2745">
        <v>0</v>
      </c>
      <c r="AP2745">
        <v>0</v>
      </c>
      <c r="AQ2745">
        <v>0</v>
      </c>
      <c r="AR2745">
        <v>0</v>
      </c>
      <c r="AS2745">
        <v>0</v>
      </c>
      <c r="AT2745">
        <v>1</v>
      </c>
      <c r="AV2745">
        <v>0</v>
      </c>
      <c r="AW2745">
        <v>0</v>
      </c>
    </row>
    <row r="2746" spans="1:49" x14ac:dyDescent="0.25">
      <c r="A2746" t="str">
        <f>"2742"</f>
        <v>2742</v>
      </c>
      <c r="B2746" t="str">
        <f t="shared" si="157"/>
        <v>1</v>
      </c>
      <c r="C2746" t="str">
        <f t="shared" si="159"/>
        <v>122</v>
      </c>
      <c r="D2746" t="str">
        <f>"17"</f>
        <v>17</v>
      </c>
      <c r="E2746" t="str">
        <f>"1-122-17"</f>
        <v>1-122-17</v>
      </c>
      <c r="F2746" t="s">
        <v>83</v>
      </c>
      <c r="G2746" t="s">
        <v>84</v>
      </c>
      <c r="H2746" t="s">
        <v>92</v>
      </c>
      <c r="I2746">
        <v>1</v>
      </c>
      <c r="J2746">
        <v>1</v>
      </c>
      <c r="N2746">
        <v>1</v>
      </c>
      <c r="O2746">
        <v>1</v>
      </c>
      <c r="P2746">
        <v>1</v>
      </c>
      <c r="Q2746">
        <v>1</v>
      </c>
      <c r="R2746">
        <v>1</v>
      </c>
      <c r="S2746">
        <v>1</v>
      </c>
      <c r="T2746">
        <v>1</v>
      </c>
      <c r="W2746">
        <v>1</v>
      </c>
      <c r="X2746">
        <v>1</v>
      </c>
      <c r="Y2746">
        <v>1</v>
      </c>
      <c r="Z2746">
        <v>1</v>
      </c>
      <c r="AA2746">
        <v>1</v>
      </c>
      <c r="AB2746">
        <v>1</v>
      </c>
    </row>
    <row r="2747" spans="1:49" x14ac:dyDescent="0.25">
      <c r="A2747" t="str">
        <f>"2743"</f>
        <v>2743</v>
      </c>
      <c r="B2747" t="str">
        <f t="shared" si="157"/>
        <v>1</v>
      </c>
      <c r="C2747" t="str">
        <f t="shared" si="159"/>
        <v>122</v>
      </c>
      <c r="D2747" t="str">
        <f>"9"</f>
        <v>9</v>
      </c>
      <c r="E2747" t="str">
        <f>"1-122-9"</f>
        <v>1-122-9</v>
      </c>
      <c r="F2747" t="s">
        <v>83</v>
      </c>
      <c r="G2747" t="s">
        <v>84</v>
      </c>
      <c r="H2747" t="s">
        <v>85</v>
      </c>
      <c r="AC2747">
        <v>0</v>
      </c>
      <c r="AD2747">
        <v>1</v>
      </c>
      <c r="AE2747">
        <v>0</v>
      </c>
      <c r="AF2747">
        <v>0</v>
      </c>
      <c r="AG2747">
        <v>0</v>
      </c>
      <c r="AJ2747">
        <v>0</v>
      </c>
      <c r="AK2747">
        <v>0</v>
      </c>
      <c r="AL2747">
        <v>0</v>
      </c>
      <c r="AM2747">
        <v>0</v>
      </c>
      <c r="AN2747">
        <v>0</v>
      </c>
      <c r="AO2747">
        <v>0</v>
      </c>
      <c r="AP2747">
        <v>0</v>
      </c>
      <c r="AQ2747">
        <v>0</v>
      </c>
      <c r="AR2747">
        <v>0</v>
      </c>
      <c r="AS2747">
        <v>0</v>
      </c>
      <c r="AT2747">
        <v>0</v>
      </c>
      <c r="AV2747">
        <v>1</v>
      </c>
      <c r="AW2747">
        <v>1</v>
      </c>
    </row>
    <row r="2748" spans="1:49" x14ac:dyDescent="0.25">
      <c r="A2748" t="str">
        <f>"2744"</f>
        <v>2744</v>
      </c>
      <c r="B2748" t="str">
        <f t="shared" si="157"/>
        <v>1</v>
      </c>
      <c r="C2748" t="str">
        <f t="shared" si="159"/>
        <v>122</v>
      </c>
      <c r="D2748" t="str">
        <f>"5"</f>
        <v>5</v>
      </c>
      <c r="E2748" t="str">
        <f>"1-122-5"</f>
        <v>1-122-5</v>
      </c>
      <c r="F2748" t="s">
        <v>83</v>
      </c>
      <c r="G2748" t="s">
        <v>84</v>
      </c>
      <c r="H2748" t="s">
        <v>85</v>
      </c>
      <c r="AC2748">
        <v>0</v>
      </c>
      <c r="AD2748">
        <v>1</v>
      </c>
      <c r="AE2748">
        <v>0</v>
      </c>
      <c r="AF2748">
        <v>0</v>
      </c>
      <c r="AG2748">
        <v>1</v>
      </c>
      <c r="AJ2748">
        <v>1</v>
      </c>
      <c r="AK2748">
        <v>0</v>
      </c>
      <c r="AL2748">
        <v>0</v>
      </c>
      <c r="AM2748">
        <v>1</v>
      </c>
      <c r="AN2748">
        <v>0</v>
      </c>
      <c r="AO2748">
        <v>1</v>
      </c>
      <c r="AP2748">
        <v>1</v>
      </c>
      <c r="AQ2748">
        <v>1</v>
      </c>
      <c r="AR2748">
        <v>1</v>
      </c>
      <c r="AS2748">
        <v>0</v>
      </c>
      <c r="AT2748">
        <v>1</v>
      </c>
      <c r="AV2748">
        <v>1</v>
      </c>
      <c r="AW2748">
        <v>1</v>
      </c>
    </row>
    <row r="2749" spans="1:49" x14ac:dyDescent="0.25">
      <c r="A2749" t="str">
        <f>"2745"</f>
        <v>2745</v>
      </c>
      <c r="B2749" t="str">
        <f t="shared" si="157"/>
        <v>1</v>
      </c>
      <c r="C2749" t="str">
        <f t="shared" si="159"/>
        <v>122</v>
      </c>
      <c r="D2749" t="str">
        <f>"24"</f>
        <v>24</v>
      </c>
      <c r="E2749" t="str">
        <f>"1-122-24"</f>
        <v>1-122-24</v>
      </c>
      <c r="F2749" t="s">
        <v>83</v>
      </c>
      <c r="G2749" t="s">
        <v>84</v>
      </c>
      <c r="H2749" t="s">
        <v>92</v>
      </c>
      <c r="I2749">
        <v>1</v>
      </c>
      <c r="J2749">
        <v>1</v>
      </c>
      <c r="N2749">
        <v>1</v>
      </c>
      <c r="O2749">
        <v>1</v>
      </c>
      <c r="P2749">
        <v>1</v>
      </c>
      <c r="Q2749">
        <v>1</v>
      </c>
      <c r="R2749">
        <v>1</v>
      </c>
      <c r="S2749">
        <v>1</v>
      </c>
      <c r="T2749">
        <v>1</v>
      </c>
      <c r="W2749">
        <v>1</v>
      </c>
      <c r="X2749">
        <v>1</v>
      </c>
      <c r="Y2749">
        <v>1</v>
      </c>
      <c r="Z2749">
        <v>1</v>
      </c>
      <c r="AA2749">
        <v>1</v>
      </c>
      <c r="AB2749">
        <v>1</v>
      </c>
    </row>
    <row r="2750" spans="1:49" x14ac:dyDescent="0.25">
      <c r="A2750" t="str">
        <f>"2746"</f>
        <v>2746</v>
      </c>
      <c r="B2750" t="str">
        <f t="shared" si="157"/>
        <v>1</v>
      </c>
      <c r="C2750" t="str">
        <f t="shared" si="159"/>
        <v>122</v>
      </c>
      <c r="D2750" t="str">
        <f>"23"</f>
        <v>23</v>
      </c>
      <c r="E2750" t="str">
        <f>"1-122-23"</f>
        <v>1-122-23</v>
      </c>
      <c r="F2750" t="s">
        <v>83</v>
      </c>
      <c r="G2750" t="s">
        <v>84</v>
      </c>
      <c r="H2750" t="s">
        <v>85</v>
      </c>
      <c r="AC2750">
        <v>1</v>
      </c>
      <c r="AD2750">
        <v>0</v>
      </c>
      <c r="AE2750">
        <v>0</v>
      </c>
      <c r="AF2750">
        <v>0</v>
      </c>
      <c r="AG2750">
        <v>1</v>
      </c>
      <c r="AJ2750">
        <v>1</v>
      </c>
      <c r="AK2750">
        <v>0</v>
      </c>
      <c r="AL2750">
        <v>1</v>
      </c>
      <c r="AM2750">
        <v>0</v>
      </c>
      <c r="AN2750">
        <v>0</v>
      </c>
      <c r="AO2750">
        <v>1</v>
      </c>
      <c r="AP2750">
        <v>1</v>
      </c>
      <c r="AQ2750">
        <v>1</v>
      </c>
      <c r="AR2750">
        <v>1</v>
      </c>
      <c r="AS2750">
        <v>0</v>
      </c>
      <c r="AT2750">
        <v>0</v>
      </c>
      <c r="AV2750">
        <v>1</v>
      </c>
      <c r="AW2750">
        <v>1</v>
      </c>
    </row>
    <row r="2751" spans="1:49" x14ac:dyDescent="0.25">
      <c r="A2751" t="str">
        <f>"2747"</f>
        <v>2747</v>
      </c>
      <c r="B2751" t="str">
        <f t="shared" si="157"/>
        <v>1</v>
      </c>
      <c r="C2751" t="str">
        <f t="shared" si="159"/>
        <v>122</v>
      </c>
      <c r="D2751" t="str">
        <f>"16"</f>
        <v>16</v>
      </c>
      <c r="E2751" t="str">
        <f>"1-122-16"</f>
        <v>1-122-16</v>
      </c>
      <c r="F2751" t="s">
        <v>83</v>
      </c>
      <c r="G2751" t="s">
        <v>84</v>
      </c>
      <c r="H2751" t="s">
        <v>92</v>
      </c>
      <c r="I2751">
        <v>1</v>
      </c>
      <c r="J2751">
        <v>1</v>
      </c>
      <c r="N2751">
        <v>1</v>
      </c>
      <c r="O2751">
        <v>1</v>
      </c>
      <c r="P2751">
        <v>1</v>
      </c>
      <c r="Q2751">
        <v>1</v>
      </c>
      <c r="R2751">
        <v>1</v>
      </c>
      <c r="S2751">
        <v>1</v>
      </c>
      <c r="T2751">
        <v>1</v>
      </c>
      <c r="W2751">
        <v>1</v>
      </c>
      <c r="X2751">
        <v>1</v>
      </c>
      <c r="Y2751">
        <v>1</v>
      </c>
      <c r="Z2751">
        <v>1</v>
      </c>
      <c r="AA2751">
        <v>1</v>
      </c>
      <c r="AB2751">
        <v>1</v>
      </c>
    </row>
    <row r="2752" spans="1:49" x14ac:dyDescent="0.25">
      <c r="A2752" t="str">
        <f>"2748"</f>
        <v>2748</v>
      </c>
      <c r="B2752" t="str">
        <f t="shared" si="157"/>
        <v>1</v>
      </c>
      <c r="C2752" t="str">
        <f t="shared" si="159"/>
        <v>122</v>
      </c>
      <c r="D2752" t="str">
        <f>"10"</f>
        <v>10</v>
      </c>
      <c r="E2752" t="str">
        <f>"1-122-10"</f>
        <v>1-122-10</v>
      </c>
      <c r="F2752" t="s">
        <v>83</v>
      </c>
      <c r="G2752" t="s">
        <v>84</v>
      </c>
      <c r="H2752" t="s">
        <v>85</v>
      </c>
      <c r="AC2752">
        <v>0</v>
      </c>
      <c r="AD2752">
        <v>1</v>
      </c>
      <c r="AE2752">
        <v>0</v>
      </c>
      <c r="AF2752">
        <v>0</v>
      </c>
      <c r="AG2752">
        <v>1</v>
      </c>
      <c r="AJ2752">
        <v>0</v>
      </c>
      <c r="AK2752">
        <v>1</v>
      </c>
      <c r="AL2752">
        <v>0</v>
      </c>
      <c r="AM2752">
        <v>0</v>
      </c>
      <c r="AN2752">
        <v>1</v>
      </c>
      <c r="AO2752">
        <v>1</v>
      </c>
      <c r="AP2752">
        <v>1</v>
      </c>
      <c r="AQ2752">
        <v>1</v>
      </c>
      <c r="AR2752">
        <v>1</v>
      </c>
      <c r="AS2752">
        <v>0</v>
      </c>
      <c r="AT2752">
        <v>1</v>
      </c>
      <c r="AV2752">
        <v>1</v>
      </c>
      <c r="AW2752">
        <v>1</v>
      </c>
    </row>
    <row r="2753" spans="1:49" x14ac:dyDescent="0.25">
      <c r="A2753" t="str">
        <f>"2749"</f>
        <v>2749</v>
      </c>
      <c r="B2753" t="str">
        <f t="shared" si="157"/>
        <v>1</v>
      </c>
      <c r="C2753" t="str">
        <f t="shared" si="159"/>
        <v>122</v>
      </c>
      <c r="D2753" t="str">
        <f>"3"</f>
        <v>3</v>
      </c>
      <c r="E2753" t="str">
        <f>"1-122-3"</f>
        <v>1-122-3</v>
      </c>
      <c r="F2753" t="s">
        <v>83</v>
      </c>
      <c r="G2753" t="s">
        <v>84</v>
      </c>
      <c r="H2753" t="s">
        <v>85</v>
      </c>
      <c r="AC2753">
        <v>0</v>
      </c>
      <c r="AD2753">
        <v>1</v>
      </c>
      <c r="AE2753">
        <v>0</v>
      </c>
      <c r="AF2753">
        <v>0</v>
      </c>
      <c r="AG2753">
        <v>0</v>
      </c>
      <c r="AJ2753">
        <v>1</v>
      </c>
      <c r="AK2753">
        <v>0</v>
      </c>
      <c r="AL2753">
        <v>0</v>
      </c>
      <c r="AM2753">
        <v>0</v>
      </c>
      <c r="AN2753">
        <v>1</v>
      </c>
      <c r="AO2753">
        <v>0</v>
      </c>
      <c r="AP2753">
        <v>0</v>
      </c>
      <c r="AQ2753">
        <v>0</v>
      </c>
      <c r="AR2753">
        <v>0</v>
      </c>
      <c r="AS2753">
        <v>0</v>
      </c>
      <c r="AT2753">
        <v>1</v>
      </c>
      <c r="AV2753">
        <v>0</v>
      </c>
      <c r="AW2753">
        <v>0</v>
      </c>
    </row>
    <row r="2754" spans="1:49" x14ac:dyDescent="0.25">
      <c r="A2754" t="str">
        <f>"2750"</f>
        <v>2750</v>
      </c>
      <c r="B2754" t="str">
        <f t="shared" si="157"/>
        <v>1</v>
      </c>
      <c r="C2754" t="str">
        <f t="shared" si="159"/>
        <v>122</v>
      </c>
      <c r="D2754" t="str">
        <f>"22"</f>
        <v>22</v>
      </c>
      <c r="E2754" t="str">
        <f>"1-122-22"</f>
        <v>1-122-22</v>
      </c>
      <c r="F2754" t="s">
        <v>83</v>
      </c>
      <c r="G2754" t="s">
        <v>84</v>
      </c>
      <c r="H2754" t="s">
        <v>85</v>
      </c>
      <c r="AC2754">
        <v>0</v>
      </c>
      <c r="AD2754">
        <v>1</v>
      </c>
      <c r="AE2754">
        <v>0</v>
      </c>
      <c r="AF2754">
        <v>0</v>
      </c>
      <c r="AG2754">
        <v>1</v>
      </c>
      <c r="AJ2754">
        <v>1</v>
      </c>
      <c r="AK2754">
        <v>0</v>
      </c>
      <c r="AL2754">
        <v>0</v>
      </c>
      <c r="AM2754">
        <v>0</v>
      </c>
      <c r="AN2754">
        <v>1</v>
      </c>
      <c r="AO2754">
        <v>1</v>
      </c>
      <c r="AP2754">
        <v>1</v>
      </c>
      <c r="AQ2754">
        <v>1</v>
      </c>
      <c r="AR2754">
        <v>1</v>
      </c>
      <c r="AS2754">
        <v>0</v>
      </c>
      <c r="AT2754">
        <v>1</v>
      </c>
      <c r="AV2754">
        <v>1</v>
      </c>
      <c r="AW2754">
        <v>1</v>
      </c>
    </row>
    <row r="2755" spans="1:49" x14ac:dyDescent="0.25">
      <c r="A2755" t="str">
        <f>"2751"</f>
        <v>2751</v>
      </c>
      <c r="B2755" t="str">
        <f t="shared" si="157"/>
        <v>1</v>
      </c>
      <c r="C2755" t="str">
        <f t="shared" si="159"/>
        <v>122</v>
      </c>
      <c r="D2755" t="str">
        <f>"12"</f>
        <v>12</v>
      </c>
      <c r="E2755" t="str">
        <f>"1-122-12"</f>
        <v>1-122-12</v>
      </c>
      <c r="F2755" t="s">
        <v>83</v>
      </c>
      <c r="G2755" t="s">
        <v>84</v>
      </c>
      <c r="H2755" t="s">
        <v>92</v>
      </c>
      <c r="I2755">
        <v>1</v>
      </c>
      <c r="J2755">
        <v>1</v>
      </c>
      <c r="N2755">
        <v>1</v>
      </c>
      <c r="O2755">
        <v>1</v>
      </c>
      <c r="P2755">
        <v>1</v>
      </c>
      <c r="Q2755">
        <v>1</v>
      </c>
      <c r="R2755">
        <v>0</v>
      </c>
      <c r="S2755">
        <v>1</v>
      </c>
      <c r="T2755">
        <v>1</v>
      </c>
      <c r="W2755">
        <v>1</v>
      </c>
      <c r="X2755">
        <v>1</v>
      </c>
      <c r="Y2755">
        <v>1</v>
      </c>
      <c r="Z2755">
        <v>1</v>
      </c>
      <c r="AA2755">
        <v>1</v>
      </c>
      <c r="AB2755">
        <v>1</v>
      </c>
    </row>
    <row r="2756" spans="1:49" x14ac:dyDescent="0.25">
      <c r="A2756" t="str">
        <f>"2752"</f>
        <v>2752</v>
      </c>
      <c r="B2756" t="str">
        <f t="shared" si="157"/>
        <v>1</v>
      </c>
      <c r="C2756" t="str">
        <f t="shared" si="159"/>
        <v>122</v>
      </c>
      <c r="D2756" t="str">
        <f>"1"</f>
        <v>1</v>
      </c>
      <c r="E2756" t="str">
        <f>"1-122-1"</f>
        <v>1-122-1</v>
      </c>
      <c r="F2756" t="s">
        <v>83</v>
      </c>
      <c r="G2756" t="s">
        <v>84</v>
      </c>
      <c r="H2756" t="s">
        <v>85</v>
      </c>
      <c r="AC2756">
        <v>0</v>
      </c>
      <c r="AD2756">
        <v>1</v>
      </c>
      <c r="AE2756">
        <v>0</v>
      </c>
      <c r="AF2756">
        <v>0</v>
      </c>
      <c r="AG2756">
        <v>1</v>
      </c>
      <c r="AJ2756">
        <v>1</v>
      </c>
      <c r="AK2756">
        <v>0</v>
      </c>
      <c r="AL2756">
        <v>0</v>
      </c>
      <c r="AM2756">
        <v>0</v>
      </c>
      <c r="AN2756">
        <v>1</v>
      </c>
      <c r="AO2756">
        <v>1</v>
      </c>
      <c r="AP2756">
        <v>1</v>
      </c>
      <c r="AQ2756">
        <v>1</v>
      </c>
      <c r="AR2756">
        <v>1</v>
      </c>
      <c r="AS2756">
        <v>0</v>
      </c>
      <c r="AT2756">
        <v>1</v>
      </c>
      <c r="AV2756">
        <v>1</v>
      </c>
      <c r="AW2756">
        <v>1</v>
      </c>
    </row>
    <row r="2757" spans="1:49" x14ac:dyDescent="0.25">
      <c r="A2757" t="str">
        <f>"2753"</f>
        <v>2753</v>
      </c>
      <c r="B2757" t="str">
        <f t="shared" si="157"/>
        <v>1</v>
      </c>
      <c r="C2757" t="str">
        <f t="shared" si="159"/>
        <v>122</v>
      </c>
      <c r="D2757" t="str">
        <f>"25"</f>
        <v>25</v>
      </c>
      <c r="E2757" t="str">
        <f>"1-122-25"</f>
        <v>1-122-25</v>
      </c>
      <c r="F2757" t="s">
        <v>83</v>
      </c>
      <c r="G2757" t="s">
        <v>84</v>
      </c>
      <c r="H2757" t="s">
        <v>85</v>
      </c>
      <c r="AC2757">
        <v>1</v>
      </c>
      <c r="AD2757">
        <v>0</v>
      </c>
      <c r="AE2757">
        <v>0</v>
      </c>
      <c r="AF2757">
        <v>0</v>
      </c>
      <c r="AG2757">
        <v>0</v>
      </c>
      <c r="AJ2757">
        <v>0</v>
      </c>
      <c r="AK2757">
        <v>1</v>
      </c>
      <c r="AL2757">
        <v>0</v>
      </c>
      <c r="AM2757">
        <v>0</v>
      </c>
      <c r="AN2757">
        <v>1</v>
      </c>
      <c r="AO2757">
        <v>0</v>
      </c>
      <c r="AP2757">
        <v>0</v>
      </c>
      <c r="AQ2757">
        <v>0</v>
      </c>
      <c r="AR2757">
        <v>0</v>
      </c>
      <c r="AS2757">
        <v>1</v>
      </c>
      <c r="AT2757">
        <v>0</v>
      </c>
      <c r="AV2757">
        <v>0</v>
      </c>
      <c r="AW2757">
        <v>0</v>
      </c>
    </row>
    <row r="2758" spans="1:49" x14ac:dyDescent="0.25">
      <c r="A2758" t="str">
        <f>"2754"</f>
        <v>2754</v>
      </c>
      <c r="B2758" t="str">
        <f t="shared" si="157"/>
        <v>1</v>
      </c>
      <c r="C2758" t="str">
        <f t="shared" si="159"/>
        <v>122</v>
      </c>
      <c r="D2758" t="str">
        <f>"13"</f>
        <v>13</v>
      </c>
      <c r="E2758" t="str">
        <f>"1-122-13"</f>
        <v>1-122-13</v>
      </c>
      <c r="F2758" t="s">
        <v>83</v>
      </c>
      <c r="G2758" t="s">
        <v>84</v>
      </c>
      <c r="H2758" t="s">
        <v>85</v>
      </c>
      <c r="AC2758">
        <v>0</v>
      </c>
      <c r="AD2758">
        <v>1</v>
      </c>
      <c r="AE2758">
        <v>0</v>
      </c>
      <c r="AF2758">
        <v>0</v>
      </c>
      <c r="AG2758">
        <v>1</v>
      </c>
      <c r="AJ2758">
        <v>1</v>
      </c>
      <c r="AK2758">
        <v>0</v>
      </c>
      <c r="AL2758">
        <v>0</v>
      </c>
      <c r="AM2758">
        <v>1</v>
      </c>
      <c r="AN2758">
        <v>0</v>
      </c>
      <c r="AO2758">
        <v>0</v>
      </c>
      <c r="AP2758">
        <v>1</v>
      </c>
      <c r="AQ2758">
        <v>1</v>
      </c>
      <c r="AR2758">
        <v>1</v>
      </c>
      <c r="AS2758">
        <v>0</v>
      </c>
      <c r="AT2758">
        <v>1</v>
      </c>
      <c r="AV2758">
        <v>1</v>
      </c>
      <c r="AW2758">
        <v>1</v>
      </c>
    </row>
    <row r="2759" spans="1:49" x14ac:dyDescent="0.25">
      <c r="A2759" t="str">
        <f>"2755"</f>
        <v>2755</v>
      </c>
      <c r="B2759" t="str">
        <f t="shared" si="157"/>
        <v>1</v>
      </c>
      <c r="C2759" t="str">
        <f t="shared" si="159"/>
        <v>122</v>
      </c>
      <c r="D2759" t="str">
        <f>"7"</f>
        <v>7</v>
      </c>
      <c r="E2759" t="str">
        <f>"1-122-7"</f>
        <v>1-122-7</v>
      </c>
      <c r="F2759" t="s">
        <v>83</v>
      </c>
      <c r="G2759" t="s">
        <v>84</v>
      </c>
      <c r="H2759" t="s">
        <v>85</v>
      </c>
      <c r="AC2759">
        <v>0</v>
      </c>
      <c r="AD2759">
        <v>1</v>
      </c>
      <c r="AE2759">
        <v>0</v>
      </c>
      <c r="AF2759">
        <v>0</v>
      </c>
      <c r="AG2759">
        <v>1</v>
      </c>
      <c r="AJ2759">
        <v>1</v>
      </c>
      <c r="AK2759">
        <v>0</v>
      </c>
      <c r="AL2759">
        <v>0</v>
      </c>
      <c r="AM2759">
        <v>1</v>
      </c>
      <c r="AN2759">
        <v>0</v>
      </c>
      <c r="AO2759">
        <v>1</v>
      </c>
      <c r="AP2759">
        <v>1</v>
      </c>
      <c r="AQ2759">
        <v>1</v>
      </c>
      <c r="AR2759">
        <v>1</v>
      </c>
      <c r="AS2759">
        <v>0</v>
      </c>
      <c r="AT2759">
        <v>1</v>
      </c>
      <c r="AV2759">
        <v>1</v>
      </c>
      <c r="AW2759">
        <v>1</v>
      </c>
    </row>
    <row r="2760" spans="1:49" x14ac:dyDescent="0.25">
      <c r="A2760" t="str">
        <f>"2756"</f>
        <v>2756</v>
      </c>
      <c r="B2760" t="str">
        <f t="shared" si="157"/>
        <v>1</v>
      </c>
      <c r="C2760" t="str">
        <f t="shared" si="159"/>
        <v>122</v>
      </c>
      <c r="D2760" t="str">
        <f>"18"</f>
        <v>18</v>
      </c>
      <c r="E2760" t="str">
        <f>"1-122-18"</f>
        <v>1-122-18</v>
      </c>
      <c r="F2760" t="s">
        <v>83</v>
      </c>
      <c r="G2760" t="s">
        <v>84</v>
      </c>
      <c r="H2760" t="s">
        <v>85</v>
      </c>
      <c r="AC2760">
        <v>0</v>
      </c>
      <c r="AD2760">
        <v>1</v>
      </c>
      <c r="AE2760">
        <v>0</v>
      </c>
      <c r="AF2760">
        <v>0</v>
      </c>
      <c r="AG2760">
        <v>1</v>
      </c>
      <c r="AJ2760">
        <v>0</v>
      </c>
      <c r="AK2760">
        <v>1</v>
      </c>
      <c r="AL2760">
        <v>0</v>
      </c>
      <c r="AM2760">
        <v>0</v>
      </c>
      <c r="AN2760">
        <v>1</v>
      </c>
      <c r="AO2760">
        <v>1</v>
      </c>
      <c r="AP2760">
        <v>1</v>
      </c>
      <c r="AQ2760">
        <v>1</v>
      </c>
      <c r="AR2760">
        <v>1</v>
      </c>
      <c r="AS2760">
        <v>1</v>
      </c>
      <c r="AT2760">
        <v>0</v>
      </c>
      <c r="AV2760">
        <v>1</v>
      </c>
      <c r="AW2760">
        <v>1</v>
      </c>
    </row>
    <row r="2761" spans="1:49" x14ac:dyDescent="0.25">
      <c r="A2761" t="str">
        <f>"2757"</f>
        <v>2757</v>
      </c>
      <c r="B2761" t="str">
        <f t="shared" si="157"/>
        <v>1</v>
      </c>
      <c r="C2761" t="str">
        <f t="shared" si="159"/>
        <v>122</v>
      </c>
      <c r="D2761" t="str">
        <f>"6"</f>
        <v>6</v>
      </c>
      <c r="E2761" t="str">
        <f>"1-122-6"</f>
        <v>1-122-6</v>
      </c>
      <c r="F2761" t="s">
        <v>83</v>
      </c>
      <c r="G2761" t="s">
        <v>84</v>
      </c>
      <c r="H2761" t="s">
        <v>85</v>
      </c>
      <c r="AC2761">
        <v>1</v>
      </c>
      <c r="AD2761">
        <v>0</v>
      </c>
      <c r="AE2761">
        <v>0</v>
      </c>
      <c r="AF2761">
        <v>0</v>
      </c>
      <c r="AG2761">
        <v>1</v>
      </c>
      <c r="AJ2761">
        <v>1</v>
      </c>
      <c r="AK2761">
        <v>0</v>
      </c>
      <c r="AL2761">
        <v>0</v>
      </c>
      <c r="AM2761">
        <v>0</v>
      </c>
      <c r="AN2761">
        <v>1</v>
      </c>
      <c r="AO2761">
        <v>1</v>
      </c>
      <c r="AP2761">
        <v>1</v>
      </c>
      <c r="AQ2761">
        <v>1</v>
      </c>
      <c r="AR2761">
        <v>1</v>
      </c>
      <c r="AS2761">
        <v>0</v>
      </c>
      <c r="AT2761">
        <v>1</v>
      </c>
      <c r="AV2761">
        <v>0</v>
      </c>
      <c r="AW2761">
        <v>1</v>
      </c>
    </row>
    <row r="2762" spans="1:49" x14ac:dyDescent="0.25">
      <c r="A2762" t="str">
        <f>"2758"</f>
        <v>2758</v>
      </c>
      <c r="B2762" t="str">
        <f t="shared" si="157"/>
        <v>1</v>
      </c>
      <c r="C2762" t="str">
        <f t="shared" si="159"/>
        <v>122</v>
      </c>
      <c r="D2762" t="str">
        <f>"19"</f>
        <v>19</v>
      </c>
      <c r="E2762" t="str">
        <f>"1-122-19"</f>
        <v>1-122-19</v>
      </c>
      <c r="F2762" t="s">
        <v>83</v>
      </c>
      <c r="G2762" t="s">
        <v>84</v>
      </c>
      <c r="H2762" t="s">
        <v>92</v>
      </c>
      <c r="I2762">
        <v>1</v>
      </c>
      <c r="J2762">
        <v>1</v>
      </c>
      <c r="N2762">
        <v>1</v>
      </c>
      <c r="O2762">
        <v>1</v>
      </c>
      <c r="P2762">
        <v>1</v>
      </c>
      <c r="Q2762">
        <v>1</v>
      </c>
      <c r="R2762">
        <v>0</v>
      </c>
      <c r="S2762">
        <v>1</v>
      </c>
      <c r="T2762">
        <v>1</v>
      </c>
      <c r="W2762">
        <v>1</v>
      </c>
      <c r="X2762">
        <v>1</v>
      </c>
      <c r="Y2762">
        <v>1</v>
      </c>
      <c r="Z2762">
        <v>1</v>
      </c>
      <c r="AA2762">
        <v>1</v>
      </c>
      <c r="AB2762">
        <v>1</v>
      </c>
    </row>
    <row r="2763" spans="1:49" x14ac:dyDescent="0.25">
      <c r="A2763" t="str">
        <f>"2759"</f>
        <v>2759</v>
      </c>
      <c r="B2763" t="str">
        <f t="shared" si="157"/>
        <v>1</v>
      </c>
      <c r="C2763" t="str">
        <f t="shared" si="159"/>
        <v>122</v>
      </c>
      <c r="D2763" t="str">
        <f>"2"</f>
        <v>2</v>
      </c>
      <c r="E2763" t="str">
        <f>"1-122-2"</f>
        <v>1-122-2</v>
      </c>
      <c r="F2763" t="s">
        <v>83</v>
      </c>
      <c r="G2763" t="s">
        <v>84</v>
      </c>
      <c r="H2763" t="s">
        <v>85</v>
      </c>
      <c r="AC2763">
        <v>0</v>
      </c>
      <c r="AD2763">
        <v>1</v>
      </c>
      <c r="AE2763">
        <v>0</v>
      </c>
      <c r="AF2763">
        <v>0</v>
      </c>
      <c r="AG2763">
        <v>0</v>
      </c>
      <c r="AJ2763">
        <v>0</v>
      </c>
      <c r="AK2763">
        <v>1</v>
      </c>
      <c r="AL2763">
        <v>0</v>
      </c>
      <c r="AM2763">
        <v>0</v>
      </c>
      <c r="AN2763">
        <v>1</v>
      </c>
      <c r="AO2763">
        <v>1</v>
      </c>
      <c r="AP2763">
        <v>1</v>
      </c>
      <c r="AQ2763">
        <v>1</v>
      </c>
      <c r="AR2763">
        <v>1</v>
      </c>
      <c r="AS2763">
        <v>0</v>
      </c>
      <c r="AT2763">
        <v>1</v>
      </c>
      <c r="AV2763">
        <v>1</v>
      </c>
      <c r="AW2763">
        <v>1</v>
      </c>
    </row>
    <row r="2764" spans="1:49" x14ac:dyDescent="0.25">
      <c r="A2764" t="str">
        <f>"2760"</f>
        <v>2760</v>
      </c>
      <c r="B2764" t="str">
        <f t="shared" si="157"/>
        <v>1</v>
      </c>
      <c r="C2764" t="str">
        <f t="shared" ref="C2764:C2787" si="160">"123"</f>
        <v>123</v>
      </c>
      <c r="D2764" t="str">
        <f>"21"</f>
        <v>21</v>
      </c>
      <c r="E2764" t="str">
        <f>"1-123-21"</f>
        <v>1-123-21</v>
      </c>
      <c r="F2764" t="s">
        <v>83</v>
      </c>
      <c r="G2764" t="s">
        <v>84</v>
      </c>
      <c r="H2764" t="s">
        <v>85</v>
      </c>
      <c r="AC2764">
        <v>0</v>
      </c>
      <c r="AD2764">
        <v>1</v>
      </c>
      <c r="AE2764">
        <v>0</v>
      </c>
      <c r="AF2764">
        <v>0</v>
      </c>
      <c r="AG2764">
        <v>0</v>
      </c>
      <c r="AJ2764">
        <v>0</v>
      </c>
      <c r="AK2764">
        <v>1</v>
      </c>
      <c r="AL2764">
        <v>0</v>
      </c>
      <c r="AM2764">
        <v>0</v>
      </c>
      <c r="AN2764">
        <v>1</v>
      </c>
      <c r="AO2764">
        <v>0</v>
      </c>
      <c r="AP2764">
        <v>0</v>
      </c>
      <c r="AQ2764">
        <v>0</v>
      </c>
      <c r="AR2764">
        <v>0</v>
      </c>
      <c r="AS2764">
        <v>0</v>
      </c>
      <c r="AT2764">
        <v>1</v>
      </c>
      <c r="AV2764">
        <v>0</v>
      </c>
      <c r="AW2764">
        <v>0</v>
      </c>
    </row>
    <row r="2765" spans="1:49" x14ac:dyDescent="0.25">
      <c r="A2765" t="str">
        <f>"2761"</f>
        <v>2761</v>
      </c>
      <c r="B2765" t="str">
        <f t="shared" si="157"/>
        <v>1</v>
      </c>
      <c r="C2765" t="str">
        <f t="shared" si="160"/>
        <v>123</v>
      </c>
      <c r="D2765" t="str">
        <f>"20"</f>
        <v>20</v>
      </c>
      <c r="E2765" t="str">
        <f>"1-123-20"</f>
        <v>1-123-20</v>
      </c>
      <c r="F2765" t="s">
        <v>83</v>
      </c>
      <c r="G2765" t="s">
        <v>84</v>
      </c>
      <c r="H2765" t="s">
        <v>85</v>
      </c>
      <c r="AC2765">
        <v>1</v>
      </c>
      <c r="AD2765">
        <v>0</v>
      </c>
      <c r="AE2765">
        <v>0</v>
      </c>
      <c r="AF2765">
        <v>0</v>
      </c>
      <c r="AG2765">
        <v>1</v>
      </c>
      <c r="AJ2765">
        <v>1</v>
      </c>
      <c r="AK2765">
        <v>0</v>
      </c>
      <c r="AL2765">
        <v>1</v>
      </c>
      <c r="AM2765">
        <v>0</v>
      </c>
      <c r="AN2765">
        <v>0</v>
      </c>
      <c r="AO2765">
        <v>0</v>
      </c>
      <c r="AP2765">
        <v>1</v>
      </c>
      <c r="AQ2765">
        <v>1</v>
      </c>
      <c r="AR2765">
        <v>1</v>
      </c>
      <c r="AS2765">
        <v>0</v>
      </c>
      <c r="AT2765">
        <v>1</v>
      </c>
      <c r="AV2765">
        <v>1</v>
      </c>
      <c r="AW2765">
        <v>1</v>
      </c>
    </row>
    <row r="2766" spans="1:49" x14ac:dyDescent="0.25">
      <c r="A2766" t="str">
        <f>"2762"</f>
        <v>2762</v>
      </c>
      <c r="B2766" t="str">
        <f t="shared" si="157"/>
        <v>1</v>
      </c>
      <c r="C2766" t="str">
        <f t="shared" si="160"/>
        <v>123</v>
      </c>
      <c r="D2766" t="str">
        <f>"15"</f>
        <v>15</v>
      </c>
      <c r="E2766" t="str">
        <f>"1-123-15"</f>
        <v>1-123-15</v>
      </c>
      <c r="F2766" t="s">
        <v>83</v>
      </c>
      <c r="G2766" t="s">
        <v>84</v>
      </c>
      <c r="H2766" t="s">
        <v>85</v>
      </c>
      <c r="AC2766">
        <v>1</v>
      </c>
      <c r="AD2766">
        <v>0</v>
      </c>
      <c r="AE2766">
        <v>0</v>
      </c>
      <c r="AF2766">
        <v>0</v>
      </c>
      <c r="AG2766">
        <v>1</v>
      </c>
      <c r="AJ2766">
        <v>0</v>
      </c>
      <c r="AK2766">
        <v>1</v>
      </c>
      <c r="AL2766">
        <v>0</v>
      </c>
      <c r="AM2766">
        <v>1</v>
      </c>
      <c r="AN2766">
        <v>0</v>
      </c>
      <c r="AO2766">
        <v>1</v>
      </c>
      <c r="AP2766">
        <v>1</v>
      </c>
      <c r="AQ2766">
        <v>1</v>
      </c>
      <c r="AR2766">
        <v>1</v>
      </c>
      <c r="AS2766">
        <v>1</v>
      </c>
      <c r="AT2766">
        <v>0</v>
      </c>
      <c r="AV2766">
        <v>1</v>
      </c>
      <c r="AW2766">
        <v>1</v>
      </c>
    </row>
    <row r="2767" spans="1:49" x14ac:dyDescent="0.25">
      <c r="A2767" t="str">
        <f>"2763"</f>
        <v>2763</v>
      </c>
      <c r="B2767" t="str">
        <f t="shared" si="157"/>
        <v>1</v>
      </c>
      <c r="C2767" t="str">
        <f t="shared" si="160"/>
        <v>123</v>
      </c>
      <c r="D2767" t="str">
        <f>"14"</f>
        <v>14</v>
      </c>
      <c r="E2767" t="str">
        <f>"1-123-14"</f>
        <v>1-123-14</v>
      </c>
      <c r="F2767" t="s">
        <v>83</v>
      </c>
      <c r="G2767" t="s">
        <v>84</v>
      </c>
      <c r="H2767" t="s">
        <v>85</v>
      </c>
      <c r="AC2767">
        <v>0</v>
      </c>
      <c r="AD2767">
        <v>1</v>
      </c>
      <c r="AE2767">
        <v>0</v>
      </c>
      <c r="AF2767">
        <v>0</v>
      </c>
      <c r="AG2767">
        <v>0</v>
      </c>
      <c r="AJ2767">
        <v>0</v>
      </c>
      <c r="AK2767">
        <v>1</v>
      </c>
      <c r="AL2767">
        <v>0</v>
      </c>
      <c r="AM2767">
        <v>0</v>
      </c>
      <c r="AN2767">
        <v>1</v>
      </c>
      <c r="AO2767">
        <v>0</v>
      </c>
      <c r="AP2767">
        <v>0</v>
      </c>
      <c r="AQ2767">
        <v>0</v>
      </c>
      <c r="AR2767">
        <v>0</v>
      </c>
      <c r="AS2767">
        <v>0</v>
      </c>
      <c r="AT2767">
        <v>1</v>
      </c>
      <c r="AV2767">
        <v>0</v>
      </c>
      <c r="AW2767">
        <v>0</v>
      </c>
    </row>
    <row r="2768" spans="1:49" x14ac:dyDescent="0.25">
      <c r="A2768" t="str">
        <f>"2764"</f>
        <v>2764</v>
      </c>
      <c r="B2768" t="str">
        <f t="shared" si="157"/>
        <v>1</v>
      </c>
      <c r="C2768" t="str">
        <f t="shared" si="160"/>
        <v>123</v>
      </c>
      <c r="D2768" t="str">
        <f>"10"</f>
        <v>10</v>
      </c>
      <c r="E2768" t="str">
        <f>"1-123-10"</f>
        <v>1-123-10</v>
      </c>
      <c r="F2768" t="s">
        <v>83</v>
      </c>
      <c r="G2768" t="s">
        <v>84</v>
      </c>
      <c r="H2768" t="s">
        <v>85</v>
      </c>
      <c r="AC2768">
        <v>1</v>
      </c>
      <c r="AD2768">
        <v>0</v>
      </c>
      <c r="AE2768">
        <v>0</v>
      </c>
      <c r="AF2768">
        <v>0</v>
      </c>
      <c r="AG2768">
        <v>1</v>
      </c>
      <c r="AJ2768">
        <v>1</v>
      </c>
      <c r="AK2768">
        <v>0</v>
      </c>
      <c r="AL2768">
        <v>0</v>
      </c>
      <c r="AM2768">
        <v>1</v>
      </c>
      <c r="AN2768">
        <v>0</v>
      </c>
      <c r="AO2768">
        <v>1</v>
      </c>
      <c r="AP2768">
        <v>1</v>
      </c>
      <c r="AQ2768">
        <v>1</v>
      </c>
      <c r="AR2768">
        <v>1</v>
      </c>
      <c r="AS2768">
        <v>0</v>
      </c>
      <c r="AT2768">
        <v>1</v>
      </c>
      <c r="AV2768">
        <v>1</v>
      </c>
      <c r="AW2768">
        <v>1</v>
      </c>
    </row>
    <row r="2769" spans="1:49" x14ac:dyDescent="0.25">
      <c r="A2769" t="str">
        <f>"2765"</f>
        <v>2765</v>
      </c>
      <c r="B2769" t="str">
        <f t="shared" si="157"/>
        <v>1</v>
      </c>
      <c r="C2769" t="str">
        <f t="shared" si="160"/>
        <v>123</v>
      </c>
      <c r="D2769" t="str">
        <f>"8"</f>
        <v>8</v>
      </c>
      <c r="E2769" t="str">
        <f>"1-123-8"</f>
        <v>1-123-8</v>
      </c>
      <c r="F2769" t="s">
        <v>83</v>
      </c>
      <c r="G2769" t="s">
        <v>84</v>
      </c>
      <c r="H2769" t="s">
        <v>85</v>
      </c>
      <c r="AC2769">
        <v>1</v>
      </c>
      <c r="AD2769">
        <v>0</v>
      </c>
      <c r="AE2769">
        <v>0</v>
      </c>
      <c r="AF2769">
        <v>0</v>
      </c>
      <c r="AG2769">
        <v>1</v>
      </c>
      <c r="AJ2769">
        <v>1</v>
      </c>
      <c r="AK2769">
        <v>0</v>
      </c>
      <c r="AL2769">
        <v>1</v>
      </c>
      <c r="AM2769">
        <v>0</v>
      </c>
      <c r="AN2769">
        <v>0</v>
      </c>
      <c r="AO2769">
        <v>0</v>
      </c>
      <c r="AP2769">
        <v>0</v>
      </c>
      <c r="AQ2769">
        <v>0</v>
      </c>
      <c r="AR2769">
        <v>1</v>
      </c>
      <c r="AS2769">
        <v>0</v>
      </c>
      <c r="AT2769">
        <v>1</v>
      </c>
      <c r="AV2769">
        <v>1</v>
      </c>
      <c r="AW2769">
        <v>1</v>
      </c>
    </row>
    <row r="2770" spans="1:49" x14ac:dyDescent="0.25">
      <c r="A2770" t="str">
        <f>"2766"</f>
        <v>2766</v>
      </c>
      <c r="B2770" t="str">
        <f t="shared" si="157"/>
        <v>1</v>
      </c>
      <c r="C2770" t="str">
        <f t="shared" si="160"/>
        <v>123</v>
      </c>
      <c r="D2770" t="str">
        <f>"2"</f>
        <v>2</v>
      </c>
      <c r="E2770" t="str">
        <f>"1-123-2"</f>
        <v>1-123-2</v>
      </c>
      <c r="F2770" t="s">
        <v>83</v>
      </c>
      <c r="G2770" t="s">
        <v>84</v>
      </c>
      <c r="H2770" t="s">
        <v>85</v>
      </c>
      <c r="AC2770">
        <v>1</v>
      </c>
      <c r="AD2770">
        <v>0</v>
      </c>
      <c r="AE2770">
        <v>0</v>
      </c>
      <c r="AF2770">
        <v>0</v>
      </c>
      <c r="AG2770">
        <v>1</v>
      </c>
      <c r="AJ2770">
        <v>1</v>
      </c>
      <c r="AK2770">
        <v>0</v>
      </c>
      <c r="AL2770">
        <v>1</v>
      </c>
      <c r="AM2770">
        <v>0</v>
      </c>
      <c r="AN2770">
        <v>0</v>
      </c>
      <c r="AO2770">
        <v>1</v>
      </c>
      <c r="AP2770">
        <v>1</v>
      </c>
      <c r="AQ2770">
        <v>1</v>
      </c>
      <c r="AR2770">
        <v>1</v>
      </c>
      <c r="AS2770">
        <v>0</v>
      </c>
      <c r="AT2770">
        <v>1</v>
      </c>
      <c r="AV2770">
        <v>1</v>
      </c>
      <c r="AW2770">
        <v>1</v>
      </c>
    </row>
    <row r="2771" spans="1:49" x14ac:dyDescent="0.25">
      <c r="A2771" t="str">
        <f>"2767"</f>
        <v>2767</v>
      </c>
      <c r="B2771" t="str">
        <f t="shared" si="157"/>
        <v>1</v>
      </c>
      <c r="C2771" t="str">
        <f t="shared" si="160"/>
        <v>123</v>
      </c>
      <c r="D2771" t="str">
        <f>"16"</f>
        <v>16</v>
      </c>
      <c r="E2771" t="str">
        <f>"1-123-16"</f>
        <v>1-123-16</v>
      </c>
      <c r="F2771" t="s">
        <v>83</v>
      </c>
      <c r="G2771" t="s">
        <v>84</v>
      </c>
      <c r="H2771" t="s">
        <v>85</v>
      </c>
      <c r="AC2771">
        <v>0</v>
      </c>
      <c r="AD2771">
        <v>1</v>
      </c>
      <c r="AE2771">
        <v>0</v>
      </c>
      <c r="AF2771">
        <v>0</v>
      </c>
      <c r="AG2771">
        <v>0</v>
      </c>
      <c r="AJ2771">
        <v>0</v>
      </c>
      <c r="AK2771">
        <v>0</v>
      </c>
      <c r="AL2771">
        <v>0</v>
      </c>
      <c r="AM2771">
        <v>0</v>
      </c>
      <c r="AN2771">
        <v>0</v>
      </c>
      <c r="AO2771">
        <v>0</v>
      </c>
      <c r="AP2771">
        <v>0</v>
      </c>
      <c r="AQ2771">
        <v>0</v>
      </c>
      <c r="AR2771">
        <v>0</v>
      </c>
      <c r="AS2771">
        <v>0</v>
      </c>
      <c r="AT2771">
        <v>1</v>
      </c>
      <c r="AV2771">
        <v>0</v>
      </c>
      <c r="AW2771">
        <v>1</v>
      </c>
    </row>
    <row r="2772" spans="1:49" x14ac:dyDescent="0.25">
      <c r="A2772" t="str">
        <f>"2768"</f>
        <v>2768</v>
      </c>
      <c r="B2772" t="str">
        <f t="shared" si="157"/>
        <v>1</v>
      </c>
      <c r="C2772" t="str">
        <f t="shared" si="160"/>
        <v>123</v>
      </c>
      <c r="D2772" t="str">
        <f>"9"</f>
        <v>9</v>
      </c>
      <c r="E2772" t="str">
        <f>"1-123-9"</f>
        <v>1-123-9</v>
      </c>
      <c r="F2772" t="s">
        <v>83</v>
      </c>
      <c r="G2772" t="s">
        <v>84</v>
      </c>
      <c r="H2772" t="s">
        <v>85</v>
      </c>
      <c r="AC2772">
        <v>0</v>
      </c>
      <c r="AD2772">
        <v>1</v>
      </c>
      <c r="AE2772">
        <v>0</v>
      </c>
      <c r="AF2772">
        <v>0</v>
      </c>
      <c r="AG2772">
        <v>1</v>
      </c>
      <c r="AJ2772">
        <v>1</v>
      </c>
      <c r="AK2772">
        <v>0</v>
      </c>
      <c r="AL2772">
        <v>0</v>
      </c>
      <c r="AM2772">
        <v>1</v>
      </c>
      <c r="AN2772">
        <v>0</v>
      </c>
      <c r="AO2772">
        <v>1</v>
      </c>
      <c r="AP2772">
        <v>1</v>
      </c>
      <c r="AQ2772">
        <v>1</v>
      </c>
      <c r="AR2772">
        <v>1</v>
      </c>
      <c r="AS2772">
        <v>0</v>
      </c>
      <c r="AT2772">
        <v>1</v>
      </c>
      <c r="AV2772">
        <v>1</v>
      </c>
      <c r="AW2772">
        <v>1</v>
      </c>
    </row>
    <row r="2773" spans="1:49" x14ac:dyDescent="0.25">
      <c r="A2773" t="str">
        <f>"2769"</f>
        <v>2769</v>
      </c>
      <c r="B2773" t="str">
        <f t="shared" si="157"/>
        <v>1</v>
      </c>
      <c r="C2773" t="str">
        <f t="shared" si="160"/>
        <v>123</v>
      </c>
      <c r="D2773" t="str">
        <f>"3"</f>
        <v>3</v>
      </c>
      <c r="E2773" t="str">
        <f>"1-123-3"</f>
        <v>1-123-3</v>
      </c>
      <c r="F2773" t="s">
        <v>83</v>
      </c>
      <c r="G2773" t="s">
        <v>84</v>
      </c>
      <c r="H2773" t="s">
        <v>85</v>
      </c>
      <c r="AC2773">
        <v>0</v>
      </c>
      <c r="AD2773">
        <v>1</v>
      </c>
      <c r="AE2773">
        <v>0</v>
      </c>
      <c r="AF2773">
        <v>0</v>
      </c>
      <c r="AG2773">
        <v>1</v>
      </c>
      <c r="AJ2773">
        <v>0</v>
      </c>
      <c r="AK2773">
        <v>1</v>
      </c>
      <c r="AL2773">
        <v>0</v>
      </c>
      <c r="AM2773">
        <v>0</v>
      </c>
      <c r="AN2773">
        <v>1</v>
      </c>
      <c r="AO2773">
        <v>1</v>
      </c>
      <c r="AP2773">
        <v>1</v>
      </c>
      <c r="AQ2773">
        <v>1</v>
      </c>
      <c r="AR2773">
        <v>1</v>
      </c>
      <c r="AS2773">
        <v>0</v>
      </c>
      <c r="AT2773">
        <v>1</v>
      </c>
      <c r="AV2773">
        <v>1</v>
      </c>
      <c r="AW2773">
        <v>1</v>
      </c>
    </row>
    <row r="2774" spans="1:49" x14ac:dyDescent="0.25">
      <c r="A2774" t="str">
        <f>"2770"</f>
        <v>2770</v>
      </c>
      <c r="B2774" t="str">
        <f t="shared" si="157"/>
        <v>1</v>
      </c>
      <c r="C2774" t="str">
        <f t="shared" si="160"/>
        <v>123</v>
      </c>
      <c r="D2774" t="str">
        <f>"24"</f>
        <v>24</v>
      </c>
      <c r="E2774" t="str">
        <f>"1-123-24"</f>
        <v>1-123-24</v>
      </c>
      <c r="F2774" t="s">
        <v>83</v>
      </c>
      <c r="G2774" t="s">
        <v>84</v>
      </c>
      <c r="H2774" t="s">
        <v>85</v>
      </c>
      <c r="AC2774">
        <v>1</v>
      </c>
      <c r="AD2774">
        <v>0</v>
      </c>
      <c r="AE2774">
        <v>0</v>
      </c>
      <c r="AF2774">
        <v>0</v>
      </c>
      <c r="AG2774">
        <v>1</v>
      </c>
      <c r="AJ2774">
        <v>0</v>
      </c>
      <c r="AK2774">
        <v>1</v>
      </c>
      <c r="AL2774">
        <v>1</v>
      </c>
      <c r="AM2774">
        <v>0</v>
      </c>
      <c r="AN2774">
        <v>0</v>
      </c>
      <c r="AO2774">
        <v>1</v>
      </c>
      <c r="AP2774">
        <v>1</v>
      </c>
      <c r="AQ2774">
        <v>1</v>
      </c>
      <c r="AR2774">
        <v>1</v>
      </c>
      <c r="AS2774">
        <v>1</v>
      </c>
      <c r="AT2774">
        <v>0</v>
      </c>
      <c r="AV2774">
        <v>1</v>
      </c>
      <c r="AW2774">
        <v>1</v>
      </c>
    </row>
    <row r="2775" spans="1:49" x14ac:dyDescent="0.25">
      <c r="A2775" t="str">
        <f>"2771"</f>
        <v>2771</v>
      </c>
      <c r="B2775" t="str">
        <f t="shared" si="157"/>
        <v>1</v>
      </c>
      <c r="C2775" t="str">
        <f t="shared" si="160"/>
        <v>123</v>
      </c>
      <c r="D2775" t="str">
        <f>"17"</f>
        <v>17</v>
      </c>
      <c r="E2775" t="str">
        <f>"1-123-17"</f>
        <v>1-123-17</v>
      </c>
      <c r="F2775" t="s">
        <v>83</v>
      </c>
      <c r="G2775" t="s">
        <v>88</v>
      </c>
      <c r="H2775" t="s">
        <v>89</v>
      </c>
      <c r="AC2775">
        <v>1</v>
      </c>
      <c r="AD2775">
        <v>0</v>
      </c>
      <c r="AE2775">
        <v>0</v>
      </c>
      <c r="AF2775">
        <v>0</v>
      </c>
      <c r="AH2775">
        <v>1</v>
      </c>
      <c r="AI2775">
        <v>0</v>
      </c>
      <c r="AJ2775">
        <v>1</v>
      </c>
      <c r="AK2775">
        <v>0</v>
      </c>
      <c r="AL2775">
        <v>0</v>
      </c>
      <c r="AM2775">
        <v>1</v>
      </c>
      <c r="AN2775">
        <v>0</v>
      </c>
      <c r="AO2775">
        <v>1</v>
      </c>
      <c r="AP2775">
        <v>1</v>
      </c>
      <c r="AQ2775">
        <v>1</v>
      </c>
      <c r="AR2775">
        <v>1</v>
      </c>
      <c r="AS2775">
        <v>0</v>
      </c>
      <c r="AT2775">
        <v>1</v>
      </c>
      <c r="AV2775">
        <v>1</v>
      </c>
      <c r="AW2775">
        <v>1</v>
      </c>
    </row>
    <row r="2776" spans="1:49" x14ac:dyDescent="0.25">
      <c r="A2776" t="str">
        <f>"2772"</f>
        <v>2772</v>
      </c>
      <c r="B2776" t="str">
        <f t="shared" si="157"/>
        <v>1</v>
      </c>
      <c r="C2776" t="str">
        <f t="shared" si="160"/>
        <v>123</v>
      </c>
      <c r="D2776" t="str">
        <f>"11"</f>
        <v>11</v>
      </c>
      <c r="E2776" t="str">
        <f>"1-123-11"</f>
        <v>1-123-11</v>
      </c>
      <c r="F2776" t="s">
        <v>83</v>
      </c>
      <c r="G2776" t="s">
        <v>84</v>
      </c>
      <c r="H2776" t="s">
        <v>85</v>
      </c>
      <c r="AC2776">
        <v>0</v>
      </c>
      <c r="AD2776">
        <v>0</v>
      </c>
      <c r="AE2776">
        <v>0</v>
      </c>
      <c r="AF2776">
        <v>0</v>
      </c>
      <c r="AG2776">
        <v>0</v>
      </c>
      <c r="AJ2776">
        <v>0</v>
      </c>
      <c r="AK2776">
        <v>0</v>
      </c>
      <c r="AL2776">
        <v>0</v>
      </c>
      <c r="AM2776">
        <v>0</v>
      </c>
      <c r="AN2776">
        <v>0</v>
      </c>
      <c r="AO2776">
        <v>0</v>
      </c>
      <c r="AP2776">
        <v>0</v>
      </c>
      <c r="AQ2776">
        <v>0</v>
      </c>
      <c r="AR2776">
        <v>0</v>
      </c>
      <c r="AS2776">
        <v>0</v>
      </c>
      <c r="AT2776">
        <v>0</v>
      </c>
      <c r="AV2776">
        <v>0</v>
      </c>
      <c r="AW2776">
        <v>1</v>
      </c>
    </row>
    <row r="2777" spans="1:49" x14ac:dyDescent="0.25">
      <c r="A2777" t="str">
        <f>"2773"</f>
        <v>2773</v>
      </c>
      <c r="B2777" t="str">
        <f t="shared" si="157"/>
        <v>1</v>
      </c>
      <c r="C2777" t="str">
        <f t="shared" si="160"/>
        <v>123</v>
      </c>
      <c r="D2777" t="str">
        <f>"6"</f>
        <v>6</v>
      </c>
      <c r="E2777" t="str">
        <f>"1-123-6"</f>
        <v>1-123-6</v>
      </c>
      <c r="F2777" t="s">
        <v>83</v>
      </c>
      <c r="G2777" t="s">
        <v>84</v>
      </c>
      <c r="H2777" t="s">
        <v>85</v>
      </c>
      <c r="AC2777">
        <v>0</v>
      </c>
      <c r="AD2777">
        <v>1</v>
      </c>
      <c r="AE2777">
        <v>0</v>
      </c>
      <c r="AF2777">
        <v>0</v>
      </c>
      <c r="AG2777">
        <v>1</v>
      </c>
      <c r="AJ2777">
        <v>1</v>
      </c>
      <c r="AK2777">
        <v>0</v>
      </c>
      <c r="AL2777">
        <v>1</v>
      </c>
      <c r="AM2777">
        <v>0</v>
      </c>
      <c r="AN2777">
        <v>0</v>
      </c>
      <c r="AO2777">
        <v>1</v>
      </c>
      <c r="AP2777">
        <v>1</v>
      </c>
      <c r="AQ2777">
        <v>1</v>
      </c>
      <c r="AR2777">
        <v>1</v>
      </c>
      <c r="AS2777">
        <v>0</v>
      </c>
      <c r="AT2777">
        <v>1</v>
      </c>
      <c r="AV2777">
        <v>1</v>
      </c>
      <c r="AW2777">
        <v>1</v>
      </c>
    </row>
    <row r="2778" spans="1:49" x14ac:dyDescent="0.25">
      <c r="A2778" t="str">
        <f>"2774"</f>
        <v>2774</v>
      </c>
      <c r="B2778" t="str">
        <f t="shared" si="157"/>
        <v>1</v>
      </c>
      <c r="C2778" t="str">
        <f t="shared" si="160"/>
        <v>123</v>
      </c>
      <c r="D2778" t="str">
        <f>"22"</f>
        <v>22</v>
      </c>
      <c r="E2778" t="str">
        <f>"1-123-22"</f>
        <v>1-123-22</v>
      </c>
      <c r="F2778" t="s">
        <v>83</v>
      </c>
      <c r="G2778" t="s">
        <v>84</v>
      </c>
      <c r="H2778" t="s">
        <v>85</v>
      </c>
      <c r="AC2778">
        <v>0</v>
      </c>
      <c r="AD2778">
        <v>1</v>
      </c>
      <c r="AE2778">
        <v>0</v>
      </c>
      <c r="AF2778">
        <v>0</v>
      </c>
      <c r="AG2778">
        <v>0</v>
      </c>
      <c r="AJ2778">
        <v>0</v>
      </c>
      <c r="AK2778">
        <v>1</v>
      </c>
      <c r="AL2778">
        <v>0</v>
      </c>
      <c r="AM2778">
        <v>0</v>
      </c>
      <c r="AN2778">
        <v>1</v>
      </c>
      <c r="AO2778">
        <v>0</v>
      </c>
      <c r="AP2778">
        <v>0</v>
      </c>
      <c r="AQ2778">
        <v>0</v>
      </c>
      <c r="AR2778">
        <v>0</v>
      </c>
      <c r="AS2778">
        <v>0</v>
      </c>
      <c r="AT2778">
        <v>1</v>
      </c>
      <c r="AV2778">
        <v>0</v>
      </c>
      <c r="AW2778">
        <v>0</v>
      </c>
    </row>
    <row r="2779" spans="1:49" x14ac:dyDescent="0.25">
      <c r="A2779" t="str">
        <f>"2775"</f>
        <v>2775</v>
      </c>
      <c r="B2779" t="str">
        <f t="shared" si="157"/>
        <v>1</v>
      </c>
      <c r="C2779" t="str">
        <f t="shared" si="160"/>
        <v>123</v>
      </c>
      <c r="D2779" t="str">
        <f>"12"</f>
        <v>12</v>
      </c>
      <c r="E2779" t="str">
        <f>"1-123-12"</f>
        <v>1-123-12</v>
      </c>
      <c r="F2779" t="s">
        <v>83</v>
      </c>
      <c r="G2779" t="s">
        <v>84</v>
      </c>
      <c r="H2779" t="s">
        <v>85</v>
      </c>
      <c r="AC2779">
        <v>0</v>
      </c>
      <c r="AD2779">
        <v>0</v>
      </c>
      <c r="AE2779">
        <v>0</v>
      </c>
      <c r="AF2779">
        <v>0</v>
      </c>
      <c r="AG2779">
        <v>0</v>
      </c>
      <c r="AJ2779">
        <v>0</v>
      </c>
      <c r="AK2779">
        <v>0</v>
      </c>
      <c r="AL2779">
        <v>0</v>
      </c>
      <c r="AM2779">
        <v>0</v>
      </c>
      <c r="AN2779">
        <v>0</v>
      </c>
      <c r="AO2779">
        <v>0</v>
      </c>
      <c r="AP2779">
        <v>0</v>
      </c>
      <c r="AQ2779">
        <v>0</v>
      </c>
      <c r="AR2779">
        <v>0</v>
      </c>
      <c r="AS2779">
        <v>0</v>
      </c>
      <c r="AT2779">
        <v>0</v>
      </c>
      <c r="AV2779">
        <v>0</v>
      </c>
      <c r="AW2779">
        <v>1</v>
      </c>
    </row>
    <row r="2780" spans="1:49" x14ac:dyDescent="0.25">
      <c r="A2780" t="str">
        <f>"2776"</f>
        <v>2776</v>
      </c>
      <c r="B2780" t="str">
        <f t="shared" si="157"/>
        <v>1</v>
      </c>
      <c r="C2780" t="str">
        <f t="shared" si="160"/>
        <v>123</v>
      </c>
      <c r="D2780" t="str">
        <f>"4"</f>
        <v>4</v>
      </c>
      <c r="E2780" t="str">
        <f>"1-123-4"</f>
        <v>1-123-4</v>
      </c>
      <c r="F2780" t="s">
        <v>83</v>
      </c>
      <c r="G2780" t="s">
        <v>84</v>
      </c>
      <c r="H2780" t="s">
        <v>85</v>
      </c>
      <c r="AC2780">
        <v>1</v>
      </c>
      <c r="AD2780">
        <v>0</v>
      </c>
      <c r="AE2780">
        <v>0</v>
      </c>
      <c r="AF2780">
        <v>0</v>
      </c>
      <c r="AG2780">
        <v>1</v>
      </c>
      <c r="AJ2780">
        <v>1</v>
      </c>
      <c r="AK2780">
        <v>0</v>
      </c>
      <c r="AL2780">
        <v>0</v>
      </c>
      <c r="AM2780">
        <v>1</v>
      </c>
      <c r="AN2780">
        <v>0</v>
      </c>
      <c r="AO2780">
        <v>1</v>
      </c>
      <c r="AP2780">
        <v>1</v>
      </c>
      <c r="AQ2780">
        <v>1</v>
      </c>
      <c r="AR2780">
        <v>1</v>
      </c>
      <c r="AS2780">
        <v>0</v>
      </c>
      <c r="AT2780">
        <v>1</v>
      </c>
      <c r="AV2780">
        <v>1</v>
      </c>
      <c r="AW2780">
        <v>1</v>
      </c>
    </row>
    <row r="2781" spans="1:49" x14ac:dyDescent="0.25">
      <c r="A2781" t="str">
        <f>"2777"</f>
        <v>2777</v>
      </c>
      <c r="B2781" t="str">
        <f t="shared" si="157"/>
        <v>1</v>
      </c>
      <c r="C2781" t="str">
        <f t="shared" si="160"/>
        <v>123</v>
      </c>
      <c r="D2781" t="str">
        <f>"23"</f>
        <v>23</v>
      </c>
      <c r="E2781" t="str">
        <f>"1-123-23"</f>
        <v>1-123-23</v>
      </c>
      <c r="F2781" t="s">
        <v>83</v>
      </c>
      <c r="G2781" t="s">
        <v>84</v>
      </c>
      <c r="H2781" t="s">
        <v>85</v>
      </c>
      <c r="AC2781">
        <v>1</v>
      </c>
      <c r="AD2781">
        <v>0</v>
      </c>
      <c r="AE2781">
        <v>0</v>
      </c>
      <c r="AF2781">
        <v>0</v>
      </c>
      <c r="AG2781">
        <v>1</v>
      </c>
      <c r="AJ2781">
        <v>0</v>
      </c>
      <c r="AK2781">
        <v>1</v>
      </c>
      <c r="AL2781">
        <v>1</v>
      </c>
      <c r="AM2781">
        <v>0</v>
      </c>
      <c r="AN2781">
        <v>0</v>
      </c>
      <c r="AO2781">
        <v>1</v>
      </c>
      <c r="AP2781">
        <v>1</v>
      </c>
      <c r="AQ2781">
        <v>1</v>
      </c>
      <c r="AR2781">
        <v>1</v>
      </c>
      <c r="AS2781">
        <v>0</v>
      </c>
      <c r="AT2781">
        <v>1</v>
      </c>
      <c r="AV2781">
        <v>1</v>
      </c>
      <c r="AW2781">
        <v>1</v>
      </c>
    </row>
    <row r="2782" spans="1:49" x14ac:dyDescent="0.25">
      <c r="A2782" t="str">
        <f>"2778"</f>
        <v>2778</v>
      </c>
      <c r="B2782" t="str">
        <f t="shared" ref="B2782:B2845" si="161">"1"</f>
        <v>1</v>
      </c>
      <c r="C2782" t="str">
        <f t="shared" si="160"/>
        <v>123</v>
      </c>
      <c r="D2782" t="str">
        <f>"13"</f>
        <v>13</v>
      </c>
      <c r="E2782" t="str">
        <f>"1-123-13"</f>
        <v>1-123-13</v>
      </c>
      <c r="F2782" t="s">
        <v>83</v>
      </c>
      <c r="G2782" t="s">
        <v>84</v>
      </c>
      <c r="H2782" t="s">
        <v>85</v>
      </c>
      <c r="AC2782">
        <v>0</v>
      </c>
      <c r="AD2782">
        <v>1</v>
      </c>
      <c r="AE2782">
        <v>0</v>
      </c>
      <c r="AF2782">
        <v>0</v>
      </c>
      <c r="AG2782">
        <v>1</v>
      </c>
      <c r="AJ2782">
        <v>0</v>
      </c>
      <c r="AK2782">
        <v>1</v>
      </c>
      <c r="AL2782">
        <v>0</v>
      </c>
      <c r="AM2782">
        <v>0</v>
      </c>
      <c r="AN2782">
        <v>1</v>
      </c>
      <c r="AO2782">
        <v>1</v>
      </c>
      <c r="AP2782">
        <v>1</v>
      </c>
      <c r="AQ2782">
        <v>1</v>
      </c>
      <c r="AR2782">
        <v>1</v>
      </c>
      <c r="AS2782">
        <v>0</v>
      </c>
      <c r="AT2782">
        <v>1</v>
      </c>
      <c r="AV2782">
        <v>1</v>
      </c>
      <c r="AW2782">
        <v>1</v>
      </c>
    </row>
    <row r="2783" spans="1:49" x14ac:dyDescent="0.25">
      <c r="A2783" t="str">
        <f>"2779"</f>
        <v>2779</v>
      </c>
      <c r="B2783" t="str">
        <f t="shared" si="161"/>
        <v>1</v>
      </c>
      <c r="C2783" t="str">
        <f t="shared" si="160"/>
        <v>123</v>
      </c>
      <c r="D2783" t="str">
        <f>"1"</f>
        <v>1</v>
      </c>
      <c r="E2783" t="str">
        <f>"1-123-1"</f>
        <v>1-123-1</v>
      </c>
      <c r="F2783" t="s">
        <v>83</v>
      </c>
      <c r="G2783" t="s">
        <v>84</v>
      </c>
      <c r="H2783" t="s">
        <v>85</v>
      </c>
      <c r="AC2783">
        <v>1</v>
      </c>
      <c r="AD2783">
        <v>0</v>
      </c>
      <c r="AE2783">
        <v>0</v>
      </c>
      <c r="AF2783">
        <v>0</v>
      </c>
      <c r="AG2783">
        <v>1</v>
      </c>
      <c r="AJ2783">
        <v>1</v>
      </c>
      <c r="AK2783">
        <v>0</v>
      </c>
      <c r="AL2783">
        <v>1</v>
      </c>
      <c r="AM2783">
        <v>0</v>
      </c>
      <c r="AN2783">
        <v>0</v>
      </c>
      <c r="AO2783">
        <v>1</v>
      </c>
      <c r="AP2783">
        <v>1</v>
      </c>
      <c r="AQ2783">
        <v>1</v>
      </c>
      <c r="AR2783">
        <v>1</v>
      </c>
      <c r="AS2783">
        <v>1</v>
      </c>
      <c r="AT2783">
        <v>0</v>
      </c>
      <c r="AV2783">
        <v>1</v>
      </c>
      <c r="AW2783">
        <v>1</v>
      </c>
    </row>
    <row r="2784" spans="1:49" x14ac:dyDescent="0.25">
      <c r="A2784" t="str">
        <f>"2780"</f>
        <v>2780</v>
      </c>
      <c r="B2784" t="str">
        <f t="shared" si="161"/>
        <v>1</v>
      </c>
      <c r="C2784" t="str">
        <f t="shared" si="160"/>
        <v>123</v>
      </c>
      <c r="D2784" t="str">
        <f>"18"</f>
        <v>18</v>
      </c>
      <c r="E2784" t="str">
        <f>"1-123-18"</f>
        <v>1-123-18</v>
      </c>
      <c r="F2784" t="s">
        <v>83</v>
      </c>
      <c r="G2784" t="s">
        <v>84</v>
      </c>
      <c r="H2784" t="s">
        <v>85</v>
      </c>
      <c r="AC2784">
        <v>1</v>
      </c>
      <c r="AD2784">
        <v>0</v>
      </c>
      <c r="AE2784">
        <v>0</v>
      </c>
      <c r="AF2784">
        <v>0</v>
      </c>
      <c r="AG2784">
        <v>0</v>
      </c>
      <c r="AJ2784">
        <v>0</v>
      </c>
      <c r="AK2784">
        <v>1</v>
      </c>
      <c r="AL2784">
        <v>0</v>
      </c>
      <c r="AM2784">
        <v>1</v>
      </c>
      <c r="AN2784">
        <v>0</v>
      </c>
      <c r="AO2784">
        <v>0</v>
      </c>
      <c r="AP2784">
        <v>0</v>
      </c>
      <c r="AQ2784">
        <v>0</v>
      </c>
      <c r="AR2784">
        <v>0</v>
      </c>
      <c r="AS2784">
        <v>1</v>
      </c>
      <c r="AT2784">
        <v>0</v>
      </c>
      <c r="AV2784">
        <v>0</v>
      </c>
      <c r="AW2784">
        <v>0</v>
      </c>
    </row>
    <row r="2785" spans="1:49" x14ac:dyDescent="0.25">
      <c r="A2785" t="str">
        <f>"2781"</f>
        <v>2781</v>
      </c>
      <c r="B2785" t="str">
        <f t="shared" si="161"/>
        <v>1</v>
      </c>
      <c r="C2785" t="str">
        <f t="shared" si="160"/>
        <v>123</v>
      </c>
      <c r="D2785" t="str">
        <f>"5"</f>
        <v>5</v>
      </c>
      <c r="E2785" t="str">
        <f>"1-123-5"</f>
        <v>1-123-5</v>
      </c>
      <c r="F2785" t="s">
        <v>83</v>
      </c>
      <c r="G2785" t="s">
        <v>84</v>
      </c>
      <c r="H2785" t="s">
        <v>85</v>
      </c>
      <c r="AC2785">
        <v>0</v>
      </c>
      <c r="AD2785">
        <v>1</v>
      </c>
      <c r="AE2785">
        <v>0</v>
      </c>
      <c r="AF2785">
        <v>0</v>
      </c>
      <c r="AG2785">
        <v>1</v>
      </c>
      <c r="AJ2785">
        <v>0</v>
      </c>
      <c r="AK2785">
        <v>1</v>
      </c>
      <c r="AL2785">
        <v>0</v>
      </c>
      <c r="AM2785">
        <v>1</v>
      </c>
      <c r="AN2785">
        <v>0</v>
      </c>
      <c r="AO2785">
        <v>1</v>
      </c>
      <c r="AP2785">
        <v>1</v>
      </c>
      <c r="AQ2785">
        <v>1</v>
      </c>
      <c r="AR2785">
        <v>1</v>
      </c>
      <c r="AS2785">
        <v>0</v>
      </c>
      <c r="AT2785">
        <v>1</v>
      </c>
      <c r="AV2785">
        <v>1</v>
      </c>
      <c r="AW2785">
        <v>1</v>
      </c>
    </row>
    <row r="2786" spans="1:49" x14ac:dyDescent="0.25">
      <c r="A2786" t="str">
        <f>"2782"</f>
        <v>2782</v>
      </c>
      <c r="B2786" t="str">
        <f t="shared" si="161"/>
        <v>1</v>
      </c>
      <c r="C2786" t="str">
        <f t="shared" si="160"/>
        <v>123</v>
      </c>
      <c r="D2786" t="str">
        <f>"19"</f>
        <v>19</v>
      </c>
      <c r="E2786" t="str">
        <f>"1-123-19"</f>
        <v>1-123-19</v>
      </c>
      <c r="F2786" t="s">
        <v>83</v>
      </c>
      <c r="G2786" t="s">
        <v>84</v>
      </c>
      <c r="H2786" t="s">
        <v>85</v>
      </c>
      <c r="AC2786">
        <v>1</v>
      </c>
      <c r="AD2786">
        <v>0</v>
      </c>
      <c r="AE2786">
        <v>0</v>
      </c>
      <c r="AF2786">
        <v>0</v>
      </c>
      <c r="AG2786">
        <v>1</v>
      </c>
      <c r="AJ2786">
        <v>1</v>
      </c>
      <c r="AK2786">
        <v>0</v>
      </c>
      <c r="AL2786">
        <v>1</v>
      </c>
      <c r="AM2786">
        <v>0</v>
      </c>
      <c r="AN2786">
        <v>0</v>
      </c>
      <c r="AO2786">
        <v>1</v>
      </c>
      <c r="AP2786">
        <v>1</v>
      </c>
      <c r="AQ2786">
        <v>1</v>
      </c>
      <c r="AR2786">
        <v>1</v>
      </c>
      <c r="AS2786">
        <v>1</v>
      </c>
      <c r="AT2786">
        <v>0</v>
      </c>
      <c r="AV2786">
        <v>1</v>
      </c>
      <c r="AW2786">
        <v>1</v>
      </c>
    </row>
    <row r="2787" spans="1:49" x14ac:dyDescent="0.25">
      <c r="A2787" t="str">
        <f>"2783"</f>
        <v>2783</v>
      </c>
      <c r="B2787" t="str">
        <f t="shared" si="161"/>
        <v>1</v>
      </c>
      <c r="C2787" t="str">
        <f t="shared" si="160"/>
        <v>123</v>
      </c>
      <c r="D2787" t="str">
        <f>"7"</f>
        <v>7</v>
      </c>
      <c r="E2787" t="str">
        <f>"1-123-7"</f>
        <v>1-123-7</v>
      </c>
      <c r="F2787" t="s">
        <v>83</v>
      </c>
      <c r="G2787" t="s">
        <v>84</v>
      </c>
      <c r="H2787" t="s">
        <v>85</v>
      </c>
      <c r="AC2787">
        <v>1</v>
      </c>
      <c r="AD2787">
        <v>0</v>
      </c>
      <c r="AE2787">
        <v>0</v>
      </c>
      <c r="AF2787">
        <v>0</v>
      </c>
      <c r="AG2787">
        <v>0</v>
      </c>
      <c r="AJ2787">
        <v>1</v>
      </c>
      <c r="AK2787">
        <v>0</v>
      </c>
      <c r="AL2787">
        <v>1</v>
      </c>
      <c r="AM2787">
        <v>0</v>
      </c>
      <c r="AN2787">
        <v>0</v>
      </c>
      <c r="AO2787">
        <v>1</v>
      </c>
      <c r="AP2787">
        <v>1</v>
      </c>
      <c r="AQ2787">
        <v>1</v>
      </c>
      <c r="AR2787">
        <v>1</v>
      </c>
      <c r="AS2787">
        <v>0</v>
      </c>
      <c r="AT2787">
        <v>1</v>
      </c>
      <c r="AV2787">
        <v>1</v>
      </c>
      <c r="AW2787">
        <v>1</v>
      </c>
    </row>
    <row r="2788" spans="1:49" x14ac:dyDescent="0.25">
      <c r="A2788" t="str">
        <f>"2784"</f>
        <v>2784</v>
      </c>
      <c r="B2788" t="str">
        <f t="shared" si="161"/>
        <v>1</v>
      </c>
      <c r="C2788" t="str">
        <f t="shared" ref="C2788:C2812" si="162">"124"</f>
        <v>124</v>
      </c>
      <c r="D2788" t="str">
        <f>"21"</f>
        <v>21</v>
      </c>
      <c r="E2788" t="str">
        <f>"1-124-21"</f>
        <v>1-124-21</v>
      </c>
      <c r="F2788" t="s">
        <v>83</v>
      </c>
      <c r="G2788" t="s">
        <v>84</v>
      </c>
      <c r="H2788" t="s">
        <v>85</v>
      </c>
      <c r="AC2788">
        <v>0</v>
      </c>
      <c r="AD2788">
        <v>1</v>
      </c>
      <c r="AE2788">
        <v>0</v>
      </c>
      <c r="AF2788">
        <v>0</v>
      </c>
      <c r="AG2788">
        <v>1</v>
      </c>
      <c r="AJ2788">
        <v>0</v>
      </c>
      <c r="AK2788">
        <v>1</v>
      </c>
      <c r="AL2788">
        <v>0</v>
      </c>
      <c r="AM2788">
        <v>0</v>
      </c>
      <c r="AN2788">
        <v>1</v>
      </c>
      <c r="AO2788">
        <v>1</v>
      </c>
      <c r="AP2788">
        <v>1</v>
      </c>
      <c r="AQ2788">
        <v>1</v>
      </c>
      <c r="AR2788">
        <v>1</v>
      </c>
      <c r="AS2788">
        <v>0</v>
      </c>
      <c r="AT2788">
        <v>1</v>
      </c>
      <c r="AV2788">
        <v>1</v>
      </c>
      <c r="AW2788">
        <v>0</v>
      </c>
    </row>
    <row r="2789" spans="1:49" x14ac:dyDescent="0.25">
      <c r="A2789" t="str">
        <f>"2785"</f>
        <v>2785</v>
      </c>
      <c r="B2789" t="str">
        <f t="shared" si="161"/>
        <v>1</v>
      </c>
      <c r="C2789" t="str">
        <f t="shared" si="162"/>
        <v>124</v>
      </c>
      <c r="D2789" t="str">
        <f>"20"</f>
        <v>20</v>
      </c>
      <c r="E2789" t="str">
        <f>"1-124-20"</f>
        <v>1-124-20</v>
      </c>
      <c r="F2789" t="s">
        <v>83</v>
      </c>
      <c r="G2789" t="s">
        <v>84</v>
      </c>
      <c r="H2789" t="s">
        <v>85</v>
      </c>
      <c r="AC2789">
        <v>1</v>
      </c>
      <c r="AD2789">
        <v>0</v>
      </c>
      <c r="AE2789">
        <v>0</v>
      </c>
      <c r="AF2789">
        <v>0</v>
      </c>
      <c r="AG2789">
        <v>1</v>
      </c>
      <c r="AJ2789">
        <v>0</v>
      </c>
      <c r="AK2789">
        <v>1</v>
      </c>
      <c r="AL2789">
        <v>1</v>
      </c>
      <c r="AM2789">
        <v>0</v>
      </c>
      <c r="AN2789">
        <v>0</v>
      </c>
      <c r="AO2789">
        <v>1</v>
      </c>
      <c r="AP2789">
        <v>1</v>
      </c>
      <c r="AQ2789">
        <v>1</v>
      </c>
      <c r="AR2789">
        <v>1</v>
      </c>
      <c r="AS2789">
        <v>1</v>
      </c>
      <c r="AT2789">
        <v>0</v>
      </c>
      <c r="AV2789">
        <v>1</v>
      </c>
      <c r="AW2789">
        <v>1</v>
      </c>
    </row>
    <row r="2790" spans="1:49" x14ac:dyDescent="0.25">
      <c r="A2790" t="str">
        <f>"2786"</f>
        <v>2786</v>
      </c>
      <c r="B2790" t="str">
        <f t="shared" si="161"/>
        <v>1</v>
      </c>
      <c r="C2790" t="str">
        <f t="shared" si="162"/>
        <v>124</v>
      </c>
      <c r="D2790" t="str">
        <f>"15"</f>
        <v>15</v>
      </c>
      <c r="E2790" t="str">
        <f>"1-124-15"</f>
        <v>1-124-15</v>
      </c>
      <c r="F2790" t="s">
        <v>83</v>
      </c>
      <c r="G2790" t="s">
        <v>84</v>
      </c>
      <c r="H2790" t="s">
        <v>85</v>
      </c>
      <c r="AC2790">
        <v>1</v>
      </c>
      <c r="AD2790">
        <v>0</v>
      </c>
      <c r="AE2790">
        <v>0</v>
      </c>
      <c r="AF2790">
        <v>0</v>
      </c>
      <c r="AG2790">
        <v>1</v>
      </c>
      <c r="AJ2790">
        <v>1</v>
      </c>
      <c r="AK2790">
        <v>0</v>
      </c>
      <c r="AL2790">
        <v>1</v>
      </c>
      <c r="AM2790">
        <v>0</v>
      </c>
      <c r="AN2790">
        <v>0</v>
      </c>
      <c r="AO2790">
        <v>1</v>
      </c>
      <c r="AP2790">
        <v>1</v>
      </c>
      <c r="AQ2790">
        <v>1</v>
      </c>
      <c r="AR2790">
        <v>1</v>
      </c>
      <c r="AS2790">
        <v>1</v>
      </c>
      <c r="AT2790">
        <v>0</v>
      </c>
      <c r="AV2790">
        <v>1</v>
      </c>
      <c r="AW2790">
        <v>1</v>
      </c>
    </row>
    <row r="2791" spans="1:49" x14ac:dyDescent="0.25">
      <c r="A2791" t="str">
        <f>"2787"</f>
        <v>2787</v>
      </c>
      <c r="B2791" t="str">
        <f t="shared" si="161"/>
        <v>1</v>
      </c>
      <c r="C2791" t="str">
        <f t="shared" si="162"/>
        <v>124</v>
      </c>
      <c r="D2791" t="str">
        <f>"8"</f>
        <v>8</v>
      </c>
      <c r="E2791" t="str">
        <f>"1-124-8"</f>
        <v>1-124-8</v>
      </c>
      <c r="F2791" t="s">
        <v>83</v>
      </c>
      <c r="G2791" t="s">
        <v>84</v>
      </c>
      <c r="H2791" t="s">
        <v>85</v>
      </c>
      <c r="AC2791">
        <v>1</v>
      </c>
      <c r="AD2791">
        <v>0</v>
      </c>
      <c r="AE2791">
        <v>0</v>
      </c>
      <c r="AF2791">
        <v>0</v>
      </c>
      <c r="AG2791">
        <v>1</v>
      </c>
      <c r="AJ2791">
        <v>0</v>
      </c>
      <c r="AK2791">
        <v>1</v>
      </c>
      <c r="AL2791">
        <v>0</v>
      </c>
      <c r="AM2791">
        <v>0</v>
      </c>
      <c r="AN2791">
        <v>1</v>
      </c>
      <c r="AO2791">
        <v>1</v>
      </c>
      <c r="AP2791">
        <v>1</v>
      </c>
      <c r="AQ2791">
        <v>1</v>
      </c>
      <c r="AR2791">
        <v>1</v>
      </c>
      <c r="AS2791">
        <v>1</v>
      </c>
      <c r="AT2791">
        <v>0</v>
      </c>
      <c r="AV2791">
        <v>1</v>
      </c>
      <c r="AW2791">
        <v>1</v>
      </c>
    </row>
    <row r="2792" spans="1:49" x14ac:dyDescent="0.25">
      <c r="A2792" t="str">
        <f>"2788"</f>
        <v>2788</v>
      </c>
      <c r="B2792" t="str">
        <f t="shared" si="161"/>
        <v>1</v>
      </c>
      <c r="C2792" t="str">
        <f t="shared" si="162"/>
        <v>124</v>
      </c>
      <c r="D2792" t="str">
        <f>"6"</f>
        <v>6</v>
      </c>
      <c r="E2792" t="str">
        <f>"1-124-6"</f>
        <v>1-124-6</v>
      </c>
      <c r="F2792" t="s">
        <v>83</v>
      </c>
      <c r="G2792" t="s">
        <v>84</v>
      </c>
      <c r="H2792" t="s">
        <v>85</v>
      </c>
      <c r="AC2792">
        <v>1</v>
      </c>
      <c r="AD2792">
        <v>0</v>
      </c>
      <c r="AE2792">
        <v>0</v>
      </c>
      <c r="AF2792">
        <v>0</v>
      </c>
      <c r="AG2792">
        <v>0</v>
      </c>
      <c r="AJ2792">
        <v>0</v>
      </c>
      <c r="AK2792">
        <v>1</v>
      </c>
      <c r="AL2792">
        <v>0</v>
      </c>
      <c r="AM2792">
        <v>0</v>
      </c>
      <c r="AN2792">
        <v>1</v>
      </c>
      <c r="AO2792">
        <v>0</v>
      </c>
      <c r="AP2792">
        <v>0</v>
      </c>
      <c r="AQ2792">
        <v>0</v>
      </c>
      <c r="AR2792">
        <v>0</v>
      </c>
      <c r="AS2792">
        <v>1</v>
      </c>
      <c r="AT2792">
        <v>0</v>
      </c>
      <c r="AV2792">
        <v>0</v>
      </c>
      <c r="AW2792">
        <v>0</v>
      </c>
    </row>
    <row r="2793" spans="1:49" x14ac:dyDescent="0.25">
      <c r="A2793" t="str">
        <f>"2789"</f>
        <v>2789</v>
      </c>
      <c r="B2793" t="str">
        <f t="shared" si="161"/>
        <v>1</v>
      </c>
      <c r="C2793" t="str">
        <f t="shared" si="162"/>
        <v>124</v>
      </c>
      <c r="D2793" t="str">
        <f>"17"</f>
        <v>17</v>
      </c>
      <c r="E2793" t="str">
        <f>"1-124-17"</f>
        <v>1-124-17</v>
      </c>
      <c r="F2793" t="s">
        <v>83</v>
      </c>
      <c r="G2793" t="s">
        <v>84</v>
      </c>
      <c r="H2793" t="s">
        <v>85</v>
      </c>
      <c r="AC2793">
        <v>1</v>
      </c>
      <c r="AD2793">
        <v>0</v>
      </c>
      <c r="AE2793">
        <v>0</v>
      </c>
      <c r="AF2793">
        <v>0</v>
      </c>
      <c r="AG2793">
        <v>1</v>
      </c>
      <c r="AJ2793">
        <v>1</v>
      </c>
      <c r="AK2793">
        <v>0</v>
      </c>
      <c r="AL2793">
        <v>1</v>
      </c>
      <c r="AM2793">
        <v>0</v>
      </c>
      <c r="AN2793">
        <v>0</v>
      </c>
      <c r="AO2793">
        <v>1</v>
      </c>
      <c r="AP2793">
        <v>1</v>
      </c>
      <c r="AQ2793">
        <v>1</v>
      </c>
      <c r="AR2793">
        <v>1</v>
      </c>
      <c r="AS2793">
        <v>1</v>
      </c>
      <c r="AT2793">
        <v>0</v>
      </c>
      <c r="AV2793">
        <v>1</v>
      </c>
      <c r="AW2793">
        <v>1</v>
      </c>
    </row>
    <row r="2794" spans="1:49" x14ac:dyDescent="0.25">
      <c r="A2794" t="str">
        <f>"2790"</f>
        <v>2790</v>
      </c>
      <c r="B2794" t="str">
        <f t="shared" si="161"/>
        <v>1</v>
      </c>
      <c r="C2794" t="str">
        <f t="shared" si="162"/>
        <v>124</v>
      </c>
      <c r="D2794" t="str">
        <f>"9"</f>
        <v>9</v>
      </c>
      <c r="E2794" t="str">
        <f>"1-124-9"</f>
        <v>1-124-9</v>
      </c>
      <c r="F2794" t="s">
        <v>83</v>
      </c>
      <c r="G2794" t="s">
        <v>84</v>
      </c>
      <c r="H2794" t="s">
        <v>85</v>
      </c>
      <c r="AC2794">
        <v>1</v>
      </c>
      <c r="AD2794">
        <v>0</v>
      </c>
      <c r="AE2794">
        <v>0</v>
      </c>
      <c r="AF2794">
        <v>0</v>
      </c>
      <c r="AG2794">
        <v>1</v>
      </c>
      <c r="AJ2794">
        <v>1</v>
      </c>
      <c r="AK2794">
        <v>0</v>
      </c>
      <c r="AL2794">
        <v>1</v>
      </c>
      <c r="AM2794">
        <v>0</v>
      </c>
      <c r="AN2794">
        <v>0</v>
      </c>
      <c r="AO2794">
        <v>1</v>
      </c>
      <c r="AP2794">
        <v>1</v>
      </c>
      <c r="AQ2794">
        <v>1</v>
      </c>
      <c r="AR2794">
        <v>1</v>
      </c>
      <c r="AS2794">
        <v>0</v>
      </c>
      <c r="AT2794">
        <v>1</v>
      </c>
      <c r="AV2794">
        <v>1</v>
      </c>
      <c r="AW2794">
        <v>1</v>
      </c>
    </row>
    <row r="2795" spans="1:49" x14ac:dyDescent="0.25">
      <c r="A2795" t="str">
        <f>"2791"</f>
        <v>2791</v>
      </c>
      <c r="B2795" t="str">
        <f t="shared" si="161"/>
        <v>1</v>
      </c>
      <c r="C2795" t="str">
        <f t="shared" si="162"/>
        <v>124</v>
      </c>
      <c r="D2795" t="str">
        <f>"5"</f>
        <v>5</v>
      </c>
      <c r="E2795" t="str">
        <f>"1-124-5"</f>
        <v>1-124-5</v>
      </c>
      <c r="F2795" t="s">
        <v>83</v>
      </c>
      <c r="G2795" t="s">
        <v>84</v>
      </c>
      <c r="H2795" t="s">
        <v>85</v>
      </c>
      <c r="AC2795">
        <v>1</v>
      </c>
      <c r="AD2795">
        <v>0</v>
      </c>
      <c r="AE2795">
        <v>0</v>
      </c>
      <c r="AF2795">
        <v>0</v>
      </c>
      <c r="AG2795">
        <v>1</v>
      </c>
      <c r="AJ2795">
        <v>1</v>
      </c>
      <c r="AK2795">
        <v>0</v>
      </c>
      <c r="AL2795">
        <v>1</v>
      </c>
      <c r="AM2795">
        <v>0</v>
      </c>
      <c r="AN2795">
        <v>0</v>
      </c>
      <c r="AO2795">
        <v>1</v>
      </c>
      <c r="AP2795">
        <v>1</v>
      </c>
      <c r="AQ2795">
        <v>1</v>
      </c>
      <c r="AR2795">
        <v>1</v>
      </c>
      <c r="AS2795">
        <v>0</v>
      </c>
      <c r="AT2795">
        <v>1</v>
      </c>
      <c r="AV2795">
        <v>1</v>
      </c>
      <c r="AW2795">
        <v>1</v>
      </c>
    </row>
    <row r="2796" spans="1:49" x14ac:dyDescent="0.25">
      <c r="A2796" t="str">
        <f>"2792"</f>
        <v>2792</v>
      </c>
      <c r="B2796" t="str">
        <f t="shared" si="161"/>
        <v>1</v>
      </c>
      <c r="C2796" t="str">
        <f t="shared" si="162"/>
        <v>124</v>
      </c>
      <c r="D2796" t="str">
        <f>"18"</f>
        <v>18</v>
      </c>
      <c r="E2796" t="str">
        <f>"1-124-18"</f>
        <v>1-124-18</v>
      </c>
      <c r="F2796" t="s">
        <v>83</v>
      </c>
      <c r="G2796" t="s">
        <v>84</v>
      </c>
      <c r="H2796" t="s">
        <v>85</v>
      </c>
      <c r="AC2796">
        <v>1</v>
      </c>
      <c r="AD2796">
        <v>0</v>
      </c>
      <c r="AE2796">
        <v>0</v>
      </c>
      <c r="AF2796">
        <v>0</v>
      </c>
      <c r="AG2796">
        <v>1</v>
      </c>
      <c r="AJ2796">
        <v>1</v>
      </c>
      <c r="AK2796">
        <v>0</v>
      </c>
      <c r="AL2796">
        <v>1</v>
      </c>
      <c r="AM2796">
        <v>0</v>
      </c>
      <c r="AN2796">
        <v>0</v>
      </c>
      <c r="AO2796">
        <v>1</v>
      </c>
      <c r="AP2796">
        <v>1</v>
      </c>
      <c r="AQ2796">
        <v>1</v>
      </c>
      <c r="AR2796">
        <v>1</v>
      </c>
      <c r="AS2796">
        <v>1</v>
      </c>
      <c r="AT2796">
        <v>0</v>
      </c>
      <c r="AV2796">
        <v>1</v>
      </c>
      <c r="AW2796">
        <v>1</v>
      </c>
    </row>
    <row r="2797" spans="1:49" x14ac:dyDescent="0.25">
      <c r="A2797" t="str">
        <f>"2793"</f>
        <v>2793</v>
      </c>
      <c r="B2797" t="str">
        <f t="shared" si="161"/>
        <v>1</v>
      </c>
      <c r="C2797" t="str">
        <f t="shared" si="162"/>
        <v>124</v>
      </c>
      <c r="D2797" t="str">
        <f>"10"</f>
        <v>10</v>
      </c>
      <c r="E2797" t="str">
        <f>"1-124-10"</f>
        <v>1-124-10</v>
      </c>
      <c r="F2797" t="s">
        <v>83</v>
      </c>
      <c r="G2797" t="s">
        <v>84</v>
      </c>
      <c r="H2797" t="s">
        <v>85</v>
      </c>
      <c r="AC2797">
        <v>0</v>
      </c>
      <c r="AD2797">
        <v>1</v>
      </c>
      <c r="AE2797">
        <v>0</v>
      </c>
      <c r="AF2797">
        <v>0</v>
      </c>
      <c r="AG2797">
        <v>1</v>
      </c>
      <c r="AJ2797">
        <v>0</v>
      </c>
      <c r="AK2797">
        <v>1</v>
      </c>
      <c r="AL2797">
        <v>0</v>
      </c>
      <c r="AM2797">
        <v>0</v>
      </c>
      <c r="AN2797">
        <v>1</v>
      </c>
      <c r="AO2797">
        <v>1</v>
      </c>
      <c r="AP2797">
        <v>1</v>
      </c>
      <c r="AQ2797">
        <v>1</v>
      </c>
      <c r="AR2797">
        <v>1</v>
      </c>
      <c r="AS2797">
        <v>1</v>
      </c>
      <c r="AT2797">
        <v>0</v>
      </c>
      <c r="AV2797">
        <v>1</v>
      </c>
      <c r="AW2797">
        <v>1</v>
      </c>
    </row>
    <row r="2798" spans="1:49" x14ac:dyDescent="0.25">
      <c r="A2798" t="str">
        <f>"2794"</f>
        <v>2794</v>
      </c>
      <c r="B2798" t="str">
        <f t="shared" si="161"/>
        <v>1</v>
      </c>
      <c r="C2798" t="str">
        <f t="shared" si="162"/>
        <v>124</v>
      </c>
      <c r="D2798" t="str">
        <f>"25"</f>
        <v>25</v>
      </c>
      <c r="E2798" t="str">
        <f>"1-124-25"</f>
        <v>1-124-25</v>
      </c>
      <c r="F2798" t="s">
        <v>83</v>
      </c>
      <c r="G2798" t="s">
        <v>84</v>
      </c>
      <c r="H2798" t="s">
        <v>85</v>
      </c>
      <c r="AC2798">
        <v>0</v>
      </c>
      <c r="AD2798">
        <v>0</v>
      </c>
      <c r="AE2798">
        <v>0</v>
      </c>
      <c r="AF2798">
        <v>0</v>
      </c>
      <c r="AG2798">
        <v>0</v>
      </c>
      <c r="AJ2798">
        <v>0</v>
      </c>
      <c r="AK2798">
        <v>0</v>
      </c>
      <c r="AL2798">
        <v>0</v>
      </c>
      <c r="AM2798">
        <v>0</v>
      </c>
      <c r="AN2798">
        <v>0</v>
      </c>
      <c r="AO2798">
        <v>0</v>
      </c>
      <c r="AP2798">
        <v>0</v>
      </c>
      <c r="AQ2798">
        <v>0</v>
      </c>
      <c r="AR2798">
        <v>0</v>
      </c>
      <c r="AS2798">
        <v>0</v>
      </c>
      <c r="AT2798">
        <v>1</v>
      </c>
      <c r="AV2798">
        <v>1</v>
      </c>
      <c r="AW2798">
        <v>0</v>
      </c>
    </row>
    <row r="2799" spans="1:49" x14ac:dyDescent="0.25">
      <c r="A2799" t="str">
        <f>"2795"</f>
        <v>2795</v>
      </c>
      <c r="B2799" t="str">
        <f t="shared" si="161"/>
        <v>1</v>
      </c>
      <c r="C2799" t="str">
        <f t="shared" si="162"/>
        <v>124</v>
      </c>
      <c r="D2799" t="str">
        <f>"24"</f>
        <v>24</v>
      </c>
      <c r="E2799" t="str">
        <f>"1-124-24"</f>
        <v>1-124-24</v>
      </c>
      <c r="F2799" t="s">
        <v>83</v>
      </c>
      <c r="G2799" t="s">
        <v>84</v>
      </c>
      <c r="H2799" t="s">
        <v>85</v>
      </c>
      <c r="AC2799">
        <v>0</v>
      </c>
      <c r="AD2799">
        <v>0</v>
      </c>
      <c r="AE2799">
        <v>0</v>
      </c>
      <c r="AF2799">
        <v>0</v>
      </c>
      <c r="AG2799">
        <v>0</v>
      </c>
      <c r="AJ2799">
        <v>0</v>
      </c>
      <c r="AK2799">
        <v>0</v>
      </c>
      <c r="AL2799">
        <v>0</v>
      </c>
      <c r="AM2799">
        <v>0</v>
      </c>
      <c r="AN2799">
        <v>0</v>
      </c>
      <c r="AO2799">
        <v>1</v>
      </c>
      <c r="AP2799">
        <v>1</v>
      </c>
      <c r="AQ2799">
        <v>1</v>
      </c>
      <c r="AR2799">
        <v>1</v>
      </c>
      <c r="AS2799">
        <v>0</v>
      </c>
      <c r="AT2799">
        <v>1</v>
      </c>
      <c r="AV2799">
        <v>1</v>
      </c>
      <c r="AW2799">
        <v>0</v>
      </c>
    </row>
    <row r="2800" spans="1:49" x14ac:dyDescent="0.25">
      <c r="A2800" t="str">
        <f>"2796"</f>
        <v>2796</v>
      </c>
      <c r="B2800" t="str">
        <f t="shared" si="161"/>
        <v>1</v>
      </c>
      <c r="C2800" t="str">
        <f t="shared" si="162"/>
        <v>124</v>
      </c>
      <c r="D2800" t="str">
        <f>"16"</f>
        <v>16</v>
      </c>
      <c r="E2800" t="str">
        <f>"1-124-16"</f>
        <v>1-124-16</v>
      </c>
      <c r="F2800" t="s">
        <v>83</v>
      </c>
      <c r="G2800" t="s">
        <v>84</v>
      </c>
      <c r="H2800" t="s">
        <v>85</v>
      </c>
      <c r="AC2800">
        <v>0</v>
      </c>
      <c r="AD2800">
        <v>1</v>
      </c>
      <c r="AE2800">
        <v>0</v>
      </c>
      <c r="AF2800">
        <v>0</v>
      </c>
      <c r="AG2800">
        <v>0</v>
      </c>
      <c r="AJ2800">
        <v>0</v>
      </c>
      <c r="AK2800">
        <v>1</v>
      </c>
      <c r="AL2800">
        <v>0</v>
      </c>
      <c r="AM2800">
        <v>0</v>
      </c>
      <c r="AN2800">
        <v>1</v>
      </c>
      <c r="AO2800">
        <v>0</v>
      </c>
      <c r="AP2800">
        <v>0</v>
      </c>
      <c r="AQ2800">
        <v>0</v>
      </c>
      <c r="AR2800">
        <v>0</v>
      </c>
      <c r="AS2800">
        <v>0</v>
      </c>
      <c r="AT2800">
        <v>1</v>
      </c>
      <c r="AV2800">
        <v>0</v>
      </c>
      <c r="AW2800">
        <v>0</v>
      </c>
    </row>
    <row r="2801" spans="1:49" x14ac:dyDescent="0.25">
      <c r="A2801" t="str">
        <f>"2797"</f>
        <v>2797</v>
      </c>
      <c r="B2801" t="str">
        <f t="shared" si="161"/>
        <v>1</v>
      </c>
      <c r="C2801" t="str">
        <f t="shared" si="162"/>
        <v>124</v>
      </c>
      <c r="D2801" t="str">
        <f>"11"</f>
        <v>11</v>
      </c>
      <c r="E2801" t="str">
        <f>"1-124-11"</f>
        <v>1-124-11</v>
      </c>
      <c r="F2801" t="s">
        <v>83</v>
      </c>
      <c r="G2801" t="s">
        <v>84</v>
      </c>
      <c r="H2801" t="s">
        <v>85</v>
      </c>
      <c r="AC2801">
        <v>1</v>
      </c>
      <c r="AD2801">
        <v>0</v>
      </c>
      <c r="AE2801">
        <v>0</v>
      </c>
      <c r="AF2801">
        <v>0</v>
      </c>
      <c r="AG2801">
        <v>1</v>
      </c>
      <c r="AJ2801">
        <v>1</v>
      </c>
      <c r="AK2801">
        <v>0</v>
      </c>
      <c r="AL2801">
        <v>0</v>
      </c>
      <c r="AM2801">
        <v>1</v>
      </c>
      <c r="AN2801">
        <v>0</v>
      </c>
      <c r="AO2801">
        <v>1</v>
      </c>
      <c r="AP2801">
        <v>1</v>
      </c>
      <c r="AQ2801">
        <v>1</v>
      </c>
      <c r="AR2801">
        <v>1</v>
      </c>
      <c r="AS2801">
        <v>0</v>
      </c>
      <c r="AT2801">
        <v>1</v>
      </c>
      <c r="AV2801">
        <v>1</v>
      </c>
      <c r="AW2801">
        <v>1</v>
      </c>
    </row>
    <row r="2802" spans="1:49" x14ac:dyDescent="0.25">
      <c r="A2802" t="str">
        <f>"2798"</f>
        <v>2798</v>
      </c>
      <c r="B2802" t="str">
        <f t="shared" si="161"/>
        <v>1</v>
      </c>
      <c r="C2802" t="str">
        <f t="shared" si="162"/>
        <v>124</v>
      </c>
      <c r="D2802" t="str">
        <f>"19"</f>
        <v>19</v>
      </c>
      <c r="E2802" t="str">
        <f>"1-124-19"</f>
        <v>1-124-19</v>
      </c>
      <c r="F2802" t="s">
        <v>83</v>
      </c>
      <c r="G2802" t="s">
        <v>84</v>
      </c>
      <c r="H2802" t="s">
        <v>85</v>
      </c>
      <c r="AC2802">
        <v>0</v>
      </c>
      <c r="AD2802">
        <v>1</v>
      </c>
      <c r="AE2802">
        <v>0</v>
      </c>
      <c r="AF2802">
        <v>0</v>
      </c>
      <c r="AG2802">
        <v>1</v>
      </c>
      <c r="AJ2802">
        <v>1</v>
      </c>
      <c r="AK2802">
        <v>0</v>
      </c>
      <c r="AL2802">
        <v>1</v>
      </c>
      <c r="AM2802">
        <v>0</v>
      </c>
      <c r="AN2802">
        <v>0</v>
      </c>
      <c r="AO2802">
        <v>1</v>
      </c>
      <c r="AP2802">
        <v>1</v>
      </c>
      <c r="AQ2802">
        <v>1</v>
      </c>
      <c r="AR2802">
        <v>1</v>
      </c>
      <c r="AS2802">
        <v>0</v>
      </c>
      <c r="AT2802">
        <v>1</v>
      </c>
      <c r="AV2802">
        <v>1</v>
      </c>
      <c r="AW2802">
        <v>1</v>
      </c>
    </row>
    <row r="2803" spans="1:49" x14ac:dyDescent="0.25">
      <c r="A2803" t="str">
        <f>"2799"</f>
        <v>2799</v>
      </c>
      <c r="B2803" t="str">
        <f t="shared" si="161"/>
        <v>1</v>
      </c>
      <c r="C2803" t="str">
        <f t="shared" si="162"/>
        <v>124</v>
      </c>
      <c r="D2803" t="str">
        <f>"12"</f>
        <v>12</v>
      </c>
      <c r="E2803" t="str">
        <f>"1-124-12"</f>
        <v>1-124-12</v>
      </c>
      <c r="F2803" t="s">
        <v>83</v>
      </c>
      <c r="G2803" t="s">
        <v>84</v>
      </c>
      <c r="H2803" t="s">
        <v>85</v>
      </c>
      <c r="AC2803">
        <v>1</v>
      </c>
      <c r="AD2803">
        <v>0</v>
      </c>
      <c r="AE2803">
        <v>0</v>
      </c>
      <c r="AF2803">
        <v>0</v>
      </c>
      <c r="AG2803">
        <v>1</v>
      </c>
      <c r="AJ2803">
        <v>1</v>
      </c>
      <c r="AK2803">
        <v>0</v>
      </c>
      <c r="AL2803">
        <v>1</v>
      </c>
      <c r="AM2803">
        <v>0</v>
      </c>
      <c r="AN2803">
        <v>0</v>
      </c>
      <c r="AO2803">
        <v>0</v>
      </c>
      <c r="AP2803">
        <v>0</v>
      </c>
      <c r="AQ2803">
        <v>1</v>
      </c>
      <c r="AR2803">
        <v>0</v>
      </c>
      <c r="AS2803">
        <v>1</v>
      </c>
      <c r="AT2803">
        <v>0</v>
      </c>
      <c r="AV2803">
        <v>1</v>
      </c>
      <c r="AW2803">
        <v>1</v>
      </c>
    </row>
    <row r="2804" spans="1:49" x14ac:dyDescent="0.25">
      <c r="A2804" t="str">
        <f>"2800"</f>
        <v>2800</v>
      </c>
      <c r="B2804" t="str">
        <f t="shared" si="161"/>
        <v>1</v>
      </c>
      <c r="C2804" t="str">
        <f t="shared" si="162"/>
        <v>124</v>
      </c>
      <c r="D2804" t="str">
        <f>"22"</f>
        <v>22</v>
      </c>
      <c r="E2804" t="str">
        <f>"1-124-22"</f>
        <v>1-124-22</v>
      </c>
      <c r="F2804" t="s">
        <v>83</v>
      </c>
      <c r="G2804" t="s">
        <v>84</v>
      </c>
      <c r="H2804" t="s">
        <v>85</v>
      </c>
      <c r="AC2804">
        <v>1</v>
      </c>
      <c r="AD2804">
        <v>0</v>
      </c>
      <c r="AE2804">
        <v>0</v>
      </c>
      <c r="AF2804">
        <v>0</v>
      </c>
      <c r="AG2804">
        <v>1</v>
      </c>
      <c r="AJ2804">
        <v>1</v>
      </c>
      <c r="AK2804">
        <v>0</v>
      </c>
      <c r="AL2804">
        <v>0</v>
      </c>
      <c r="AM2804">
        <v>0</v>
      </c>
      <c r="AN2804">
        <v>1</v>
      </c>
      <c r="AO2804">
        <v>1</v>
      </c>
      <c r="AP2804">
        <v>1</v>
      </c>
      <c r="AQ2804">
        <v>1</v>
      </c>
      <c r="AR2804">
        <v>1</v>
      </c>
      <c r="AS2804">
        <v>0</v>
      </c>
      <c r="AT2804">
        <v>1</v>
      </c>
      <c r="AV2804">
        <v>1</v>
      </c>
      <c r="AW2804">
        <v>1</v>
      </c>
    </row>
    <row r="2805" spans="1:49" x14ac:dyDescent="0.25">
      <c r="A2805" t="str">
        <f>"2801"</f>
        <v>2801</v>
      </c>
      <c r="B2805" t="str">
        <f t="shared" si="161"/>
        <v>1</v>
      </c>
      <c r="C2805" t="str">
        <f t="shared" si="162"/>
        <v>124</v>
      </c>
      <c r="D2805" t="str">
        <f>"13"</f>
        <v>13</v>
      </c>
      <c r="E2805" t="str">
        <f>"1-124-13"</f>
        <v>1-124-13</v>
      </c>
      <c r="F2805" t="s">
        <v>83</v>
      </c>
      <c r="G2805" t="s">
        <v>84</v>
      </c>
      <c r="H2805" t="s">
        <v>85</v>
      </c>
      <c r="AC2805">
        <v>0</v>
      </c>
      <c r="AD2805">
        <v>1</v>
      </c>
      <c r="AE2805">
        <v>0</v>
      </c>
      <c r="AF2805">
        <v>0</v>
      </c>
      <c r="AG2805">
        <v>1</v>
      </c>
      <c r="AJ2805">
        <v>1</v>
      </c>
      <c r="AK2805">
        <v>0</v>
      </c>
      <c r="AL2805">
        <v>0</v>
      </c>
      <c r="AM2805">
        <v>0</v>
      </c>
      <c r="AN2805">
        <v>1</v>
      </c>
      <c r="AO2805">
        <v>1</v>
      </c>
      <c r="AP2805">
        <v>1</v>
      </c>
      <c r="AQ2805">
        <v>1</v>
      </c>
      <c r="AR2805">
        <v>1</v>
      </c>
      <c r="AS2805">
        <v>0</v>
      </c>
      <c r="AT2805">
        <v>1</v>
      </c>
      <c r="AV2805">
        <v>1</v>
      </c>
      <c r="AW2805">
        <v>1</v>
      </c>
    </row>
    <row r="2806" spans="1:49" x14ac:dyDescent="0.25">
      <c r="A2806" t="str">
        <f>"2802"</f>
        <v>2802</v>
      </c>
      <c r="B2806" t="str">
        <f t="shared" si="161"/>
        <v>1</v>
      </c>
      <c r="C2806" t="str">
        <f t="shared" si="162"/>
        <v>124</v>
      </c>
      <c r="D2806" t="str">
        <f>"7"</f>
        <v>7</v>
      </c>
      <c r="E2806" t="str">
        <f>"1-124-7"</f>
        <v>1-124-7</v>
      </c>
      <c r="F2806" t="s">
        <v>83</v>
      </c>
      <c r="G2806" t="s">
        <v>84</v>
      </c>
      <c r="H2806" t="s">
        <v>85</v>
      </c>
      <c r="AC2806">
        <v>0</v>
      </c>
      <c r="AD2806">
        <v>1</v>
      </c>
      <c r="AE2806">
        <v>0</v>
      </c>
      <c r="AF2806">
        <v>0</v>
      </c>
      <c r="AG2806">
        <v>1</v>
      </c>
      <c r="AJ2806">
        <v>0</v>
      </c>
      <c r="AK2806">
        <v>1</v>
      </c>
      <c r="AL2806">
        <v>0</v>
      </c>
      <c r="AM2806">
        <v>0</v>
      </c>
      <c r="AN2806">
        <v>1</v>
      </c>
      <c r="AO2806">
        <v>1</v>
      </c>
      <c r="AP2806">
        <v>1</v>
      </c>
      <c r="AQ2806">
        <v>1</v>
      </c>
      <c r="AR2806">
        <v>1</v>
      </c>
      <c r="AS2806">
        <v>0</v>
      </c>
      <c r="AT2806">
        <v>1</v>
      </c>
      <c r="AV2806">
        <v>1</v>
      </c>
      <c r="AW2806">
        <v>1</v>
      </c>
    </row>
    <row r="2807" spans="1:49" x14ac:dyDescent="0.25">
      <c r="A2807" t="str">
        <f>"2803"</f>
        <v>2803</v>
      </c>
      <c r="B2807" t="str">
        <f t="shared" si="161"/>
        <v>1</v>
      </c>
      <c r="C2807" t="str">
        <f t="shared" si="162"/>
        <v>124</v>
      </c>
      <c r="D2807" t="str">
        <f>"23"</f>
        <v>23</v>
      </c>
      <c r="E2807" t="str">
        <f>"1-124-23"</f>
        <v>1-124-23</v>
      </c>
      <c r="F2807" t="s">
        <v>83</v>
      </c>
      <c r="G2807" t="s">
        <v>84</v>
      </c>
      <c r="H2807" t="s">
        <v>85</v>
      </c>
      <c r="AC2807">
        <v>0</v>
      </c>
      <c r="AD2807">
        <v>1</v>
      </c>
      <c r="AE2807">
        <v>0</v>
      </c>
      <c r="AF2807">
        <v>0</v>
      </c>
      <c r="AG2807">
        <v>1</v>
      </c>
      <c r="AJ2807">
        <v>0</v>
      </c>
      <c r="AK2807">
        <v>1</v>
      </c>
      <c r="AL2807">
        <v>0</v>
      </c>
      <c r="AM2807">
        <v>0</v>
      </c>
      <c r="AN2807">
        <v>1</v>
      </c>
      <c r="AO2807">
        <v>1</v>
      </c>
      <c r="AP2807">
        <v>1</v>
      </c>
      <c r="AQ2807">
        <v>0</v>
      </c>
      <c r="AR2807">
        <v>1</v>
      </c>
      <c r="AS2807">
        <v>1</v>
      </c>
      <c r="AT2807">
        <v>0</v>
      </c>
      <c r="AV2807">
        <v>1</v>
      </c>
      <c r="AW2807">
        <v>1</v>
      </c>
    </row>
    <row r="2808" spans="1:49" x14ac:dyDescent="0.25">
      <c r="A2808" t="str">
        <f>"2804"</f>
        <v>2804</v>
      </c>
      <c r="B2808" t="str">
        <f t="shared" si="161"/>
        <v>1</v>
      </c>
      <c r="C2808" t="str">
        <f t="shared" si="162"/>
        <v>124</v>
      </c>
      <c r="D2808" t="str">
        <f>"14"</f>
        <v>14</v>
      </c>
      <c r="E2808" t="str">
        <f>"1-124-14"</f>
        <v>1-124-14</v>
      </c>
      <c r="F2808" t="s">
        <v>83</v>
      </c>
      <c r="G2808" t="s">
        <v>84</v>
      </c>
      <c r="H2808" t="s">
        <v>85</v>
      </c>
      <c r="AC2808">
        <v>1</v>
      </c>
      <c r="AD2808">
        <v>0</v>
      </c>
      <c r="AE2808">
        <v>0</v>
      </c>
      <c r="AF2808">
        <v>0</v>
      </c>
      <c r="AG2808">
        <v>1</v>
      </c>
      <c r="AJ2808">
        <v>1</v>
      </c>
      <c r="AK2808">
        <v>0</v>
      </c>
      <c r="AL2808">
        <v>1</v>
      </c>
      <c r="AM2808">
        <v>0</v>
      </c>
      <c r="AN2808">
        <v>0</v>
      </c>
      <c r="AO2808">
        <v>1</v>
      </c>
      <c r="AP2808">
        <v>1</v>
      </c>
      <c r="AQ2808">
        <v>1</v>
      </c>
      <c r="AR2808">
        <v>1</v>
      </c>
      <c r="AS2808">
        <v>1</v>
      </c>
      <c r="AT2808">
        <v>0</v>
      </c>
      <c r="AV2808">
        <v>1</v>
      </c>
      <c r="AW2808">
        <v>1</v>
      </c>
    </row>
    <row r="2809" spans="1:49" x14ac:dyDescent="0.25">
      <c r="A2809" t="str">
        <f>"2805"</f>
        <v>2805</v>
      </c>
      <c r="B2809" t="str">
        <f t="shared" si="161"/>
        <v>1</v>
      </c>
      <c r="C2809" t="str">
        <f t="shared" si="162"/>
        <v>124</v>
      </c>
      <c r="D2809" t="str">
        <f>"1"</f>
        <v>1</v>
      </c>
      <c r="E2809" t="str">
        <f>"1-124-1"</f>
        <v>1-124-1</v>
      </c>
      <c r="F2809" t="s">
        <v>83</v>
      </c>
      <c r="G2809" t="s">
        <v>84</v>
      </c>
      <c r="H2809" t="s">
        <v>85</v>
      </c>
      <c r="AC2809">
        <v>0</v>
      </c>
      <c r="AD2809">
        <v>1</v>
      </c>
      <c r="AE2809">
        <v>0</v>
      </c>
      <c r="AF2809">
        <v>0</v>
      </c>
      <c r="AG2809">
        <v>1</v>
      </c>
      <c r="AJ2809">
        <v>1</v>
      </c>
      <c r="AK2809">
        <v>0</v>
      </c>
      <c r="AL2809">
        <v>1</v>
      </c>
      <c r="AM2809">
        <v>0</v>
      </c>
      <c r="AN2809">
        <v>0</v>
      </c>
      <c r="AO2809">
        <v>1</v>
      </c>
      <c r="AP2809">
        <v>1</v>
      </c>
      <c r="AQ2809">
        <v>1</v>
      </c>
      <c r="AR2809">
        <v>1</v>
      </c>
      <c r="AS2809">
        <v>1</v>
      </c>
      <c r="AT2809">
        <v>0</v>
      </c>
      <c r="AV2809">
        <v>1</v>
      </c>
      <c r="AW2809">
        <v>1</v>
      </c>
    </row>
    <row r="2810" spans="1:49" x14ac:dyDescent="0.25">
      <c r="A2810" t="str">
        <f>"2806"</f>
        <v>2806</v>
      </c>
      <c r="B2810" t="str">
        <f t="shared" si="161"/>
        <v>1</v>
      </c>
      <c r="C2810" t="str">
        <f t="shared" si="162"/>
        <v>124</v>
      </c>
      <c r="D2810" t="str">
        <f>"3"</f>
        <v>3</v>
      </c>
      <c r="E2810" t="str">
        <f>"1-124-3"</f>
        <v>1-124-3</v>
      </c>
      <c r="F2810" t="s">
        <v>83</v>
      </c>
      <c r="G2810" t="s">
        <v>84</v>
      </c>
      <c r="H2810" t="s">
        <v>85</v>
      </c>
      <c r="AC2810">
        <v>0</v>
      </c>
      <c r="AD2810">
        <v>1</v>
      </c>
      <c r="AE2810">
        <v>0</v>
      </c>
      <c r="AF2810">
        <v>0</v>
      </c>
      <c r="AG2810">
        <v>0</v>
      </c>
      <c r="AJ2810">
        <v>1</v>
      </c>
      <c r="AK2810">
        <v>0</v>
      </c>
      <c r="AL2810">
        <v>0</v>
      </c>
      <c r="AM2810">
        <v>0</v>
      </c>
      <c r="AN2810">
        <v>1</v>
      </c>
      <c r="AO2810">
        <v>0</v>
      </c>
      <c r="AP2810">
        <v>0</v>
      </c>
      <c r="AQ2810">
        <v>0</v>
      </c>
      <c r="AR2810">
        <v>0</v>
      </c>
      <c r="AS2810">
        <v>0</v>
      </c>
      <c r="AT2810">
        <v>1</v>
      </c>
      <c r="AV2810">
        <v>0</v>
      </c>
      <c r="AW2810">
        <v>0</v>
      </c>
    </row>
    <row r="2811" spans="1:49" s="2" customFormat="1" x14ac:dyDescent="0.25">
      <c r="A2811" s="3" t="str">
        <f>"2807"</f>
        <v>2807</v>
      </c>
      <c r="B2811" s="3" t="str">
        <f t="shared" si="161"/>
        <v>1</v>
      </c>
      <c r="C2811" s="3" t="str">
        <f t="shared" si="162"/>
        <v>124</v>
      </c>
      <c r="D2811" s="3" t="str">
        <f>"4"</f>
        <v>4</v>
      </c>
      <c r="E2811" s="3" t="str">
        <f>"1-124-4"</f>
        <v>1-124-4</v>
      </c>
      <c r="F2811" s="3" t="s">
        <v>83</v>
      </c>
      <c r="G2811" s="4" t="s">
        <v>96</v>
      </c>
      <c r="I2811" s="4"/>
    </row>
    <row r="2812" spans="1:49" x14ac:dyDescent="0.25">
      <c r="A2812" t="str">
        <f>"2808"</f>
        <v>2808</v>
      </c>
      <c r="B2812" t="str">
        <f t="shared" si="161"/>
        <v>1</v>
      </c>
      <c r="C2812" t="str">
        <f t="shared" si="162"/>
        <v>124</v>
      </c>
      <c r="D2812" t="str">
        <f>"2"</f>
        <v>2</v>
      </c>
      <c r="E2812" t="str">
        <f>"1-124-2"</f>
        <v>1-124-2</v>
      </c>
      <c r="F2812" t="s">
        <v>83</v>
      </c>
      <c r="G2812" t="s">
        <v>84</v>
      </c>
      <c r="H2812" t="s">
        <v>85</v>
      </c>
      <c r="AC2812">
        <v>0</v>
      </c>
      <c r="AD2812">
        <v>1</v>
      </c>
      <c r="AE2812">
        <v>0</v>
      </c>
      <c r="AF2812">
        <v>0</v>
      </c>
      <c r="AG2812">
        <v>0</v>
      </c>
      <c r="AJ2812">
        <v>1</v>
      </c>
      <c r="AK2812">
        <v>0</v>
      </c>
      <c r="AL2812">
        <v>0</v>
      </c>
      <c r="AM2812">
        <v>0</v>
      </c>
      <c r="AN2812">
        <v>1</v>
      </c>
      <c r="AO2812">
        <v>0</v>
      </c>
      <c r="AP2812">
        <v>0</v>
      </c>
      <c r="AQ2812">
        <v>0</v>
      </c>
      <c r="AR2812">
        <v>0</v>
      </c>
      <c r="AS2812">
        <v>0</v>
      </c>
      <c r="AT2812">
        <v>1</v>
      </c>
      <c r="AV2812">
        <v>0</v>
      </c>
      <c r="AW2812">
        <v>0</v>
      </c>
    </row>
    <row r="2813" spans="1:49" x14ac:dyDescent="0.25">
      <c r="A2813" t="str">
        <f>"2809"</f>
        <v>2809</v>
      </c>
      <c r="B2813" t="str">
        <f t="shared" si="161"/>
        <v>1</v>
      </c>
      <c r="C2813" t="str">
        <f t="shared" ref="C2813:C2837" si="163">"125"</f>
        <v>125</v>
      </c>
      <c r="D2813" t="str">
        <f>"22"</f>
        <v>22</v>
      </c>
      <c r="E2813" t="str">
        <f>"1-125-22"</f>
        <v>1-125-22</v>
      </c>
      <c r="F2813" t="s">
        <v>83</v>
      </c>
      <c r="G2813" t="s">
        <v>84</v>
      </c>
      <c r="H2813" t="s">
        <v>92</v>
      </c>
      <c r="I2813">
        <v>1</v>
      </c>
      <c r="J2813">
        <v>1</v>
      </c>
      <c r="N2813">
        <v>1</v>
      </c>
      <c r="O2813">
        <v>1</v>
      </c>
      <c r="P2813">
        <v>1</v>
      </c>
      <c r="Q2813">
        <v>1</v>
      </c>
      <c r="R2813">
        <v>1</v>
      </c>
      <c r="S2813">
        <v>1</v>
      </c>
      <c r="T2813">
        <v>1</v>
      </c>
      <c r="W2813">
        <v>1</v>
      </c>
      <c r="X2813">
        <v>1</v>
      </c>
      <c r="Y2813">
        <v>1</v>
      </c>
      <c r="Z2813">
        <v>1</v>
      </c>
      <c r="AA2813">
        <v>1</v>
      </c>
      <c r="AB2813">
        <v>1</v>
      </c>
    </row>
    <row r="2814" spans="1:49" x14ac:dyDescent="0.25">
      <c r="A2814" t="str">
        <f>"2810"</f>
        <v>2810</v>
      </c>
      <c r="B2814" t="str">
        <f t="shared" si="161"/>
        <v>1</v>
      </c>
      <c r="C2814" t="str">
        <f t="shared" si="163"/>
        <v>125</v>
      </c>
      <c r="D2814" t="str">
        <f>"21"</f>
        <v>21</v>
      </c>
      <c r="E2814" t="str">
        <f>"1-125-21"</f>
        <v>1-125-21</v>
      </c>
      <c r="F2814" t="s">
        <v>83</v>
      </c>
      <c r="G2814" t="s">
        <v>84</v>
      </c>
      <c r="H2814" t="s">
        <v>92</v>
      </c>
      <c r="I2814">
        <v>1</v>
      </c>
      <c r="J2814">
        <v>1</v>
      </c>
      <c r="N2814">
        <v>1</v>
      </c>
      <c r="O2814">
        <v>1</v>
      </c>
      <c r="P2814">
        <v>1</v>
      </c>
      <c r="Q2814">
        <v>1</v>
      </c>
      <c r="R2814">
        <v>1</v>
      </c>
      <c r="S2814">
        <v>1</v>
      </c>
      <c r="T2814">
        <v>1</v>
      </c>
      <c r="W2814">
        <v>1</v>
      </c>
      <c r="X2814">
        <v>1</v>
      </c>
      <c r="Y2814">
        <v>1</v>
      </c>
      <c r="Z2814">
        <v>1</v>
      </c>
      <c r="AA2814">
        <v>1</v>
      </c>
      <c r="AB2814">
        <v>1</v>
      </c>
    </row>
    <row r="2815" spans="1:49" x14ac:dyDescent="0.25">
      <c r="A2815" t="str">
        <f>"2811"</f>
        <v>2811</v>
      </c>
      <c r="B2815" t="str">
        <f t="shared" si="161"/>
        <v>1</v>
      </c>
      <c r="C2815" t="str">
        <f t="shared" si="163"/>
        <v>125</v>
      </c>
      <c r="D2815" t="str">
        <f>"15"</f>
        <v>15</v>
      </c>
      <c r="E2815" t="str">
        <f>"1-125-15"</f>
        <v>1-125-15</v>
      </c>
      <c r="F2815" t="s">
        <v>83</v>
      </c>
      <c r="G2815" t="s">
        <v>84</v>
      </c>
      <c r="H2815" t="s">
        <v>92</v>
      </c>
      <c r="I2815">
        <v>1</v>
      </c>
      <c r="J2815">
        <v>0</v>
      </c>
      <c r="N2815">
        <v>1</v>
      </c>
      <c r="O2815">
        <v>1</v>
      </c>
      <c r="P2815">
        <v>1</v>
      </c>
      <c r="Q2815">
        <v>1</v>
      </c>
      <c r="R2815">
        <v>1</v>
      </c>
      <c r="S2815">
        <v>1</v>
      </c>
      <c r="T2815">
        <v>1</v>
      </c>
      <c r="W2815">
        <v>1</v>
      </c>
      <c r="X2815">
        <v>1</v>
      </c>
      <c r="Y2815">
        <v>1</v>
      </c>
      <c r="Z2815">
        <v>1</v>
      </c>
      <c r="AA2815">
        <v>1</v>
      </c>
      <c r="AB2815">
        <v>1</v>
      </c>
    </row>
    <row r="2816" spans="1:49" x14ac:dyDescent="0.25">
      <c r="A2816" t="str">
        <f>"2812"</f>
        <v>2812</v>
      </c>
      <c r="B2816" t="str">
        <f t="shared" si="161"/>
        <v>1</v>
      </c>
      <c r="C2816" t="str">
        <f t="shared" si="163"/>
        <v>125</v>
      </c>
      <c r="D2816" t="str">
        <f>"8"</f>
        <v>8</v>
      </c>
      <c r="E2816" t="str">
        <f>"1-125-8"</f>
        <v>1-125-8</v>
      </c>
      <c r="F2816" t="s">
        <v>83</v>
      </c>
      <c r="G2816" t="s">
        <v>84</v>
      </c>
      <c r="H2816" t="s">
        <v>92</v>
      </c>
      <c r="I2816">
        <v>1</v>
      </c>
      <c r="J2816">
        <v>1</v>
      </c>
      <c r="N2816">
        <v>1</v>
      </c>
      <c r="O2816">
        <v>1</v>
      </c>
      <c r="P2816">
        <v>1</v>
      </c>
      <c r="Q2816">
        <v>1</v>
      </c>
      <c r="R2816">
        <v>1</v>
      </c>
      <c r="S2816">
        <v>1</v>
      </c>
      <c r="T2816">
        <v>1</v>
      </c>
      <c r="W2816">
        <v>1</v>
      </c>
      <c r="X2816">
        <v>1</v>
      </c>
      <c r="Y2816">
        <v>1</v>
      </c>
      <c r="Z2816">
        <v>1</v>
      </c>
      <c r="AA2816">
        <v>1</v>
      </c>
      <c r="AB2816">
        <v>1</v>
      </c>
    </row>
    <row r="2817" spans="1:28" x14ac:dyDescent="0.25">
      <c r="A2817" t="str">
        <f>"2813"</f>
        <v>2813</v>
      </c>
      <c r="B2817" t="str">
        <f t="shared" si="161"/>
        <v>1</v>
      </c>
      <c r="C2817" t="str">
        <f t="shared" si="163"/>
        <v>125</v>
      </c>
      <c r="D2817" t="str">
        <f>"7"</f>
        <v>7</v>
      </c>
      <c r="E2817" t="str">
        <f>"1-125-7"</f>
        <v>1-125-7</v>
      </c>
      <c r="F2817" t="s">
        <v>83</v>
      </c>
      <c r="G2817" t="s">
        <v>84</v>
      </c>
      <c r="H2817" t="s">
        <v>92</v>
      </c>
      <c r="I2817">
        <v>1</v>
      </c>
      <c r="J2817">
        <v>1</v>
      </c>
      <c r="N2817">
        <v>1</v>
      </c>
      <c r="O2817">
        <v>1</v>
      </c>
      <c r="P2817">
        <v>1</v>
      </c>
      <c r="Q2817">
        <v>1</v>
      </c>
      <c r="R2817">
        <v>1</v>
      </c>
      <c r="S2817">
        <v>1</v>
      </c>
      <c r="T2817">
        <v>1</v>
      </c>
      <c r="W2817">
        <v>1</v>
      </c>
      <c r="X2817">
        <v>1</v>
      </c>
      <c r="Y2817">
        <v>1</v>
      </c>
      <c r="Z2817">
        <v>1</v>
      </c>
      <c r="AA2817">
        <v>1</v>
      </c>
      <c r="AB2817">
        <v>1</v>
      </c>
    </row>
    <row r="2818" spans="1:28" x14ac:dyDescent="0.25">
      <c r="A2818" t="str">
        <f>"2814"</f>
        <v>2814</v>
      </c>
      <c r="B2818" t="str">
        <f t="shared" si="161"/>
        <v>1</v>
      </c>
      <c r="C2818" t="str">
        <f t="shared" si="163"/>
        <v>125</v>
      </c>
      <c r="D2818" t="str">
        <f>"18"</f>
        <v>18</v>
      </c>
      <c r="E2818" t="str">
        <f>"1-125-18"</f>
        <v>1-125-18</v>
      </c>
      <c r="F2818" t="s">
        <v>83</v>
      </c>
      <c r="G2818" t="s">
        <v>84</v>
      </c>
      <c r="H2818" t="s">
        <v>92</v>
      </c>
      <c r="I2818">
        <v>1</v>
      </c>
      <c r="J2818">
        <v>1</v>
      </c>
      <c r="N2818">
        <v>1</v>
      </c>
      <c r="O2818">
        <v>1</v>
      </c>
      <c r="P2818">
        <v>1</v>
      </c>
      <c r="Q2818">
        <v>1</v>
      </c>
      <c r="R2818">
        <v>1</v>
      </c>
      <c r="S2818">
        <v>1</v>
      </c>
      <c r="T2818">
        <v>1</v>
      </c>
      <c r="W2818">
        <v>1</v>
      </c>
      <c r="X2818">
        <v>1</v>
      </c>
      <c r="Y2818">
        <v>1</v>
      </c>
      <c r="Z2818">
        <v>1</v>
      </c>
      <c r="AA2818">
        <v>1</v>
      </c>
      <c r="AB2818">
        <v>1</v>
      </c>
    </row>
    <row r="2819" spans="1:28" x14ac:dyDescent="0.25">
      <c r="A2819" t="str">
        <f>"2815"</f>
        <v>2815</v>
      </c>
      <c r="B2819" t="str">
        <f t="shared" si="161"/>
        <v>1</v>
      </c>
      <c r="C2819" t="str">
        <f t="shared" si="163"/>
        <v>125</v>
      </c>
      <c r="D2819" t="str">
        <f>"9"</f>
        <v>9</v>
      </c>
      <c r="E2819" t="str">
        <f>"1-125-9"</f>
        <v>1-125-9</v>
      </c>
      <c r="F2819" t="s">
        <v>83</v>
      </c>
      <c r="G2819" t="s">
        <v>84</v>
      </c>
      <c r="H2819" t="s">
        <v>92</v>
      </c>
      <c r="I2819">
        <v>1</v>
      </c>
      <c r="J2819">
        <v>1</v>
      </c>
      <c r="N2819">
        <v>1</v>
      </c>
      <c r="O2819">
        <v>1</v>
      </c>
      <c r="P2819">
        <v>1</v>
      </c>
      <c r="Q2819">
        <v>1</v>
      </c>
      <c r="R2819">
        <v>1</v>
      </c>
      <c r="S2819">
        <v>1</v>
      </c>
      <c r="T2819">
        <v>1</v>
      </c>
      <c r="W2819">
        <v>1</v>
      </c>
      <c r="X2819">
        <v>1</v>
      </c>
      <c r="Y2819">
        <v>1</v>
      </c>
      <c r="Z2819">
        <v>1</v>
      </c>
      <c r="AA2819">
        <v>1</v>
      </c>
      <c r="AB2819">
        <v>1</v>
      </c>
    </row>
    <row r="2820" spans="1:28" x14ac:dyDescent="0.25">
      <c r="A2820" t="str">
        <f>"2816"</f>
        <v>2816</v>
      </c>
      <c r="B2820" t="str">
        <f t="shared" si="161"/>
        <v>1</v>
      </c>
      <c r="C2820" t="str">
        <f t="shared" si="163"/>
        <v>125</v>
      </c>
      <c r="D2820" t="str">
        <f>"5"</f>
        <v>5</v>
      </c>
      <c r="E2820" t="str">
        <f>"1-125-5"</f>
        <v>1-125-5</v>
      </c>
      <c r="F2820" t="s">
        <v>83</v>
      </c>
      <c r="G2820" t="s">
        <v>84</v>
      </c>
      <c r="H2820" t="s">
        <v>92</v>
      </c>
      <c r="I2820">
        <v>1</v>
      </c>
      <c r="J2820">
        <v>1</v>
      </c>
      <c r="N2820">
        <v>1</v>
      </c>
      <c r="O2820">
        <v>1</v>
      </c>
      <c r="P2820">
        <v>1</v>
      </c>
      <c r="Q2820">
        <v>1</v>
      </c>
      <c r="R2820">
        <v>1</v>
      </c>
      <c r="S2820">
        <v>0</v>
      </c>
      <c r="T2820">
        <v>1</v>
      </c>
      <c r="W2820">
        <v>1</v>
      </c>
      <c r="X2820">
        <v>1</v>
      </c>
      <c r="Y2820">
        <v>1</v>
      </c>
      <c r="Z2820">
        <v>1</v>
      </c>
      <c r="AA2820">
        <v>1</v>
      </c>
      <c r="AB2820">
        <v>1</v>
      </c>
    </row>
    <row r="2821" spans="1:28" x14ac:dyDescent="0.25">
      <c r="A2821" t="str">
        <f>"2817"</f>
        <v>2817</v>
      </c>
      <c r="B2821" t="str">
        <f t="shared" si="161"/>
        <v>1</v>
      </c>
      <c r="C2821" t="str">
        <f t="shared" si="163"/>
        <v>125</v>
      </c>
      <c r="D2821" t="str">
        <f>"25"</f>
        <v>25</v>
      </c>
      <c r="E2821" t="str">
        <f>"1-125-25"</f>
        <v>1-125-25</v>
      </c>
      <c r="F2821" t="s">
        <v>83</v>
      </c>
      <c r="G2821" t="s">
        <v>86</v>
      </c>
      <c r="H2821" t="s">
        <v>93</v>
      </c>
      <c r="I2821">
        <v>1</v>
      </c>
      <c r="K2821">
        <v>1</v>
      </c>
      <c r="L2821">
        <v>0</v>
      </c>
      <c r="M2821">
        <v>0</v>
      </c>
      <c r="N2821">
        <v>1</v>
      </c>
      <c r="O2821">
        <v>0</v>
      </c>
      <c r="P2821">
        <v>0</v>
      </c>
      <c r="Q2821">
        <v>0</v>
      </c>
      <c r="R2821">
        <v>0</v>
      </c>
      <c r="U2821">
        <v>0</v>
      </c>
      <c r="V2821">
        <v>1</v>
      </c>
      <c r="W2821">
        <v>1</v>
      </c>
      <c r="X2821">
        <v>0</v>
      </c>
      <c r="Y2821">
        <v>0</v>
      </c>
      <c r="Z2821">
        <v>1</v>
      </c>
      <c r="AA2821">
        <v>0</v>
      </c>
      <c r="AB2821">
        <v>0</v>
      </c>
    </row>
    <row r="2822" spans="1:28" x14ac:dyDescent="0.25">
      <c r="A2822" t="str">
        <f>"2818"</f>
        <v>2818</v>
      </c>
      <c r="B2822" t="str">
        <f t="shared" si="161"/>
        <v>1</v>
      </c>
      <c r="C2822" t="str">
        <f t="shared" si="163"/>
        <v>125</v>
      </c>
      <c r="D2822" t="str">
        <f>"16"</f>
        <v>16</v>
      </c>
      <c r="E2822" t="str">
        <f>"1-125-16"</f>
        <v>1-125-16</v>
      </c>
      <c r="F2822" t="s">
        <v>83</v>
      </c>
      <c r="G2822" t="s">
        <v>84</v>
      </c>
      <c r="H2822" t="s">
        <v>92</v>
      </c>
      <c r="I2822">
        <v>1</v>
      </c>
      <c r="J2822">
        <v>1</v>
      </c>
      <c r="N2822">
        <v>1</v>
      </c>
      <c r="O2822">
        <v>1</v>
      </c>
      <c r="P2822">
        <v>1</v>
      </c>
      <c r="Q2822">
        <v>1</v>
      </c>
      <c r="R2822">
        <v>1</v>
      </c>
      <c r="S2822">
        <v>1</v>
      </c>
      <c r="T2822">
        <v>1</v>
      </c>
      <c r="W2822">
        <v>1</v>
      </c>
      <c r="X2822">
        <v>1</v>
      </c>
      <c r="Y2822">
        <v>1</v>
      </c>
      <c r="Z2822">
        <v>1</v>
      </c>
      <c r="AA2822">
        <v>1</v>
      </c>
      <c r="AB2822">
        <v>1</v>
      </c>
    </row>
    <row r="2823" spans="1:28" x14ac:dyDescent="0.25">
      <c r="A2823" t="str">
        <f>"2819"</f>
        <v>2819</v>
      </c>
      <c r="B2823" t="str">
        <f t="shared" si="161"/>
        <v>1</v>
      </c>
      <c r="C2823" t="str">
        <f t="shared" si="163"/>
        <v>125</v>
      </c>
      <c r="D2823" t="str">
        <f>"10"</f>
        <v>10</v>
      </c>
      <c r="E2823" t="str">
        <f>"1-125-10"</f>
        <v>1-125-10</v>
      </c>
      <c r="F2823" t="s">
        <v>83</v>
      </c>
      <c r="G2823" t="s">
        <v>84</v>
      </c>
      <c r="H2823" t="s">
        <v>92</v>
      </c>
      <c r="I2823">
        <v>1</v>
      </c>
      <c r="J2823">
        <v>1</v>
      </c>
      <c r="N2823">
        <v>1</v>
      </c>
      <c r="O2823">
        <v>1</v>
      </c>
      <c r="P2823">
        <v>1</v>
      </c>
      <c r="Q2823">
        <v>1</v>
      </c>
      <c r="R2823">
        <v>1</v>
      </c>
      <c r="S2823">
        <v>1</v>
      </c>
      <c r="T2823">
        <v>1</v>
      </c>
      <c r="W2823">
        <v>1</v>
      </c>
      <c r="X2823">
        <v>1</v>
      </c>
      <c r="Y2823">
        <v>1</v>
      </c>
      <c r="Z2823">
        <v>1</v>
      </c>
      <c r="AA2823">
        <v>1</v>
      </c>
      <c r="AB2823">
        <v>1</v>
      </c>
    </row>
    <row r="2824" spans="1:28" x14ac:dyDescent="0.25">
      <c r="A2824" t="str">
        <f>"2820"</f>
        <v>2820</v>
      </c>
      <c r="B2824" t="str">
        <f t="shared" si="161"/>
        <v>1</v>
      </c>
      <c r="C2824" t="str">
        <f t="shared" si="163"/>
        <v>125</v>
      </c>
      <c r="D2824" t="str">
        <f>"3"</f>
        <v>3</v>
      </c>
      <c r="E2824" t="str">
        <f>"1-125-3"</f>
        <v>1-125-3</v>
      </c>
      <c r="F2824" t="s">
        <v>83</v>
      </c>
      <c r="G2824" t="s">
        <v>84</v>
      </c>
      <c r="H2824" t="s">
        <v>92</v>
      </c>
      <c r="I2824">
        <v>1</v>
      </c>
      <c r="J2824">
        <v>1</v>
      </c>
      <c r="N2824">
        <v>1</v>
      </c>
      <c r="O2824">
        <v>1</v>
      </c>
      <c r="P2824">
        <v>1</v>
      </c>
      <c r="Q2824">
        <v>1</v>
      </c>
      <c r="R2824">
        <v>1</v>
      </c>
      <c r="S2824">
        <v>1</v>
      </c>
      <c r="T2824">
        <v>1</v>
      </c>
      <c r="W2824">
        <v>1</v>
      </c>
      <c r="X2824">
        <v>1</v>
      </c>
      <c r="Y2824">
        <v>1</v>
      </c>
      <c r="Z2824">
        <v>1</v>
      </c>
      <c r="AA2824">
        <v>1</v>
      </c>
      <c r="AB2824">
        <v>1</v>
      </c>
    </row>
    <row r="2825" spans="1:28" x14ac:dyDescent="0.25">
      <c r="A2825" t="str">
        <f>"2821"</f>
        <v>2821</v>
      </c>
      <c r="B2825" t="str">
        <f t="shared" si="161"/>
        <v>1</v>
      </c>
      <c r="C2825" t="str">
        <f t="shared" si="163"/>
        <v>125</v>
      </c>
      <c r="D2825" t="str">
        <f>"24"</f>
        <v>24</v>
      </c>
      <c r="E2825" t="str">
        <f>"1-125-24"</f>
        <v>1-125-24</v>
      </c>
      <c r="F2825" t="s">
        <v>83</v>
      </c>
      <c r="G2825" t="s">
        <v>84</v>
      </c>
      <c r="H2825" t="s">
        <v>92</v>
      </c>
      <c r="I2825">
        <v>1</v>
      </c>
      <c r="J2825">
        <v>1</v>
      </c>
      <c r="N2825">
        <v>1</v>
      </c>
      <c r="O2825">
        <v>1</v>
      </c>
      <c r="P2825">
        <v>1</v>
      </c>
      <c r="Q2825">
        <v>1</v>
      </c>
      <c r="R2825">
        <v>1</v>
      </c>
      <c r="S2825">
        <v>1</v>
      </c>
      <c r="T2825">
        <v>1</v>
      </c>
      <c r="W2825">
        <v>1</v>
      </c>
      <c r="X2825">
        <v>1</v>
      </c>
      <c r="Y2825">
        <v>1</v>
      </c>
      <c r="Z2825">
        <v>1</v>
      </c>
      <c r="AA2825">
        <v>1</v>
      </c>
      <c r="AB2825">
        <v>1</v>
      </c>
    </row>
    <row r="2826" spans="1:28" x14ac:dyDescent="0.25">
      <c r="A2826" t="str">
        <f>"2822"</f>
        <v>2822</v>
      </c>
      <c r="B2826" t="str">
        <f t="shared" si="161"/>
        <v>1</v>
      </c>
      <c r="C2826" t="str">
        <f t="shared" si="163"/>
        <v>125</v>
      </c>
      <c r="D2826" t="str">
        <f>"23"</f>
        <v>23</v>
      </c>
      <c r="E2826" t="str">
        <f>"1-125-23"</f>
        <v>1-125-23</v>
      </c>
      <c r="F2826" t="s">
        <v>83</v>
      </c>
      <c r="G2826" t="s">
        <v>84</v>
      </c>
      <c r="H2826" t="s">
        <v>92</v>
      </c>
      <c r="I2826">
        <v>1</v>
      </c>
      <c r="J2826">
        <v>1</v>
      </c>
      <c r="N2826">
        <v>1</v>
      </c>
      <c r="O2826">
        <v>0</v>
      </c>
      <c r="P2826">
        <v>1</v>
      </c>
      <c r="Q2826">
        <v>1</v>
      </c>
      <c r="R2826">
        <v>1</v>
      </c>
      <c r="S2826">
        <v>1</v>
      </c>
      <c r="T2826">
        <v>1</v>
      </c>
      <c r="W2826">
        <v>0</v>
      </c>
      <c r="X2826">
        <v>1</v>
      </c>
      <c r="Y2826">
        <v>1</v>
      </c>
      <c r="Z2826">
        <v>1</v>
      </c>
      <c r="AA2826">
        <v>1</v>
      </c>
      <c r="AB2826">
        <v>1</v>
      </c>
    </row>
    <row r="2827" spans="1:28" x14ac:dyDescent="0.25">
      <c r="A2827" t="str">
        <f>"2823"</f>
        <v>2823</v>
      </c>
      <c r="B2827" t="str">
        <f t="shared" si="161"/>
        <v>1</v>
      </c>
      <c r="C2827" t="str">
        <f t="shared" si="163"/>
        <v>125</v>
      </c>
      <c r="D2827" t="str">
        <f>"17"</f>
        <v>17</v>
      </c>
      <c r="E2827" t="str">
        <f>"1-125-17"</f>
        <v>1-125-17</v>
      </c>
      <c r="F2827" t="s">
        <v>83</v>
      </c>
      <c r="G2827" t="s">
        <v>84</v>
      </c>
      <c r="H2827" t="s">
        <v>92</v>
      </c>
      <c r="I2827">
        <v>1</v>
      </c>
      <c r="J2827">
        <v>1</v>
      </c>
      <c r="N2827">
        <v>1</v>
      </c>
      <c r="O2827">
        <v>1</v>
      </c>
      <c r="P2827">
        <v>1</v>
      </c>
      <c r="Q2827">
        <v>1</v>
      </c>
      <c r="R2827">
        <v>1</v>
      </c>
      <c r="S2827">
        <v>1</v>
      </c>
      <c r="T2827">
        <v>1</v>
      </c>
      <c r="W2827">
        <v>1</v>
      </c>
      <c r="X2827">
        <v>1</v>
      </c>
      <c r="Y2827">
        <v>1</v>
      </c>
      <c r="Z2827">
        <v>1</v>
      </c>
      <c r="AA2827">
        <v>1</v>
      </c>
      <c r="AB2827">
        <v>1</v>
      </c>
    </row>
    <row r="2828" spans="1:28" x14ac:dyDescent="0.25">
      <c r="A2828" t="str">
        <f>"2824"</f>
        <v>2824</v>
      </c>
      <c r="B2828" t="str">
        <f t="shared" si="161"/>
        <v>1</v>
      </c>
      <c r="C2828" t="str">
        <f t="shared" si="163"/>
        <v>125</v>
      </c>
      <c r="D2828" t="str">
        <f>"11"</f>
        <v>11</v>
      </c>
      <c r="E2828" t="str">
        <f>"1-125-11"</f>
        <v>1-125-11</v>
      </c>
      <c r="F2828" t="s">
        <v>83</v>
      </c>
      <c r="G2828" t="s">
        <v>84</v>
      </c>
      <c r="H2828" t="s">
        <v>92</v>
      </c>
      <c r="I2828">
        <v>1</v>
      </c>
      <c r="J2828">
        <v>1</v>
      </c>
      <c r="N2828">
        <v>1</v>
      </c>
      <c r="O2828">
        <v>1</v>
      </c>
      <c r="P2828">
        <v>1</v>
      </c>
      <c r="Q2828">
        <v>1</v>
      </c>
      <c r="R2828">
        <v>1</v>
      </c>
      <c r="S2828">
        <v>1</v>
      </c>
      <c r="T2828">
        <v>1</v>
      </c>
      <c r="W2828">
        <v>1</v>
      </c>
      <c r="X2828">
        <v>1</v>
      </c>
      <c r="Y2828">
        <v>1</v>
      </c>
      <c r="Z2828">
        <v>1</v>
      </c>
      <c r="AA2828">
        <v>1</v>
      </c>
      <c r="AB2828">
        <v>1</v>
      </c>
    </row>
    <row r="2829" spans="1:28" x14ac:dyDescent="0.25">
      <c r="A2829" t="str">
        <f>"2825"</f>
        <v>2825</v>
      </c>
      <c r="B2829" t="str">
        <f t="shared" si="161"/>
        <v>1</v>
      </c>
      <c r="C2829" t="str">
        <f t="shared" si="163"/>
        <v>125</v>
      </c>
      <c r="D2829" t="str">
        <f>"2"</f>
        <v>2</v>
      </c>
      <c r="E2829" t="str">
        <f>"1-125-2"</f>
        <v>1-125-2</v>
      </c>
      <c r="F2829" t="s">
        <v>83</v>
      </c>
      <c r="G2829" t="s">
        <v>84</v>
      </c>
      <c r="H2829" t="s">
        <v>92</v>
      </c>
      <c r="I2829">
        <v>1</v>
      </c>
      <c r="J2829">
        <v>1</v>
      </c>
      <c r="N2829">
        <v>1</v>
      </c>
      <c r="O2829">
        <v>1</v>
      </c>
      <c r="P2829">
        <v>1</v>
      </c>
      <c r="Q2829">
        <v>1</v>
      </c>
      <c r="R2829">
        <v>1</v>
      </c>
      <c r="S2829">
        <v>1</v>
      </c>
      <c r="T2829">
        <v>1</v>
      </c>
      <c r="W2829">
        <v>1</v>
      </c>
      <c r="X2829">
        <v>1</v>
      </c>
      <c r="Y2829">
        <v>1</v>
      </c>
      <c r="Z2829">
        <v>1</v>
      </c>
      <c r="AA2829">
        <v>1</v>
      </c>
      <c r="AB2829">
        <v>1</v>
      </c>
    </row>
    <row r="2830" spans="1:28" x14ac:dyDescent="0.25">
      <c r="A2830" t="str">
        <f>"2826"</f>
        <v>2826</v>
      </c>
      <c r="B2830" t="str">
        <f t="shared" si="161"/>
        <v>1</v>
      </c>
      <c r="C2830" t="str">
        <f t="shared" si="163"/>
        <v>125</v>
      </c>
      <c r="D2830" t="str">
        <f>"19"</f>
        <v>19</v>
      </c>
      <c r="E2830" t="str">
        <f>"1-125-19"</f>
        <v>1-125-19</v>
      </c>
      <c r="F2830" t="s">
        <v>83</v>
      </c>
      <c r="G2830" t="s">
        <v>84</v>
      </c>
      <c r="H2830" t="s">
        <v>92</v>
      </c>
      <c r="I2830">
        <v>1</v>
      </c>
      <c r="J2830">
        <v>1</v>
      </c>
      <c r="N2830">
        <v>1</v>
      </c>
      <c r="O2830">
        <v>1</v>
      </c>
      <c r="P2830">
        <v>1</v>
      </c>
      <c r="Q2830">
        <v>1</v>
      </c>
      <c r="R2830">
        <v>1</v>
      </c>
      <c r="S2830">
        <v>1</v>
      </c>
      <c r="T2830">
        <v>1</v>
      </c>
      <c r="W2830">
        <v>1</v>
      </c>
      <c r="X2830">
        <v>1</v>
      </c>
      <c r="Y2830">
        <v>1</v>
      </c>
      <c r="Z2830">
        <v>1</v>
      </c>
      <c r="AA2830">
        <v>1</v>
      </c>
      <c r="AB2830">
        <v>1</v>
      </c>
    </row>
    <row r="2831" spans="1:28" x14ac:dyDescent="0.25">
      <c r="A2831" t="str">
        <f>"2827"</f>
        <v>2827</v>
      </c>
      <c r="B2831" t="str">
        <f t="shared" si="161"/>
        <v>1</v>
      </c>
      <c r="C2831" t="str">
        <f t="shared" si="163"/>
        <v>125</v>
      </c>
      <c r="D2831" t="str">
        <f>"12"</f>
        <v>12</v>
      </c>
      <c r="E2831" t="str">
        <f>"1-125-12"</f>
        <v>1-125-12</v>
      </c>
      <c r="F2831" t="s">
        <v>83</v>
      </c>
      <c r="G2831" t="s">
        <v>84</v>
      </c>
      <c r="H2831" t="s">
        <v>92</v>
      </c>
      <c r="I2831">
        <v>1</v>
      </c>
      <c r="J2831">
        <v>1</v>
      </c>
      <c r="N2831">
        <v>1</v>
      </c>
      <c r="O2831">
        <v>1</v>
      </c>
      <c r="P2831">
        <v>1</v>
      </c>
      <c r="Q2831">
        <v>1</v>
      </c>
      <c r="R2831">
        <v>1</v>
      </c>
      <c r="S2831">
        <v>1</v>
      </c>
      <c r="T2831">
        <v>1</v>
      </c>
      <c r="W2831">
        <v>1</v>
      </c>
      <c r="X2831">
        <v>1</v>
      </c>
      <c r="Y2831">
        <v>1</v>
      </c>
      <c r="Z2831">
        <v>1</v>
      </c>
      <c r="AA2831">
        <v>1</v>
      </c>
      <c r="AB2831">
        <v>1</v>
      </c>
    </row>
    <row r="2832" spans="1:28" x14ac:dyDescent="0.25">
      <c r="A2832" t="str">
        <f>"2828"</f>
        <v>2828</v>
      </c>
      <c r="B2832" t="str">
        <f t="shared" si="161"/>
        <v>1</v>
      </c>
      <c r="C2832" t="str">
        <f t="shared" si="163"/>
        <v>125</v>
      </c>
      <c r="D2832" t="str">
        <f>"4"</f>
        <v>4</v>
      </c>
      <c r="E2832" t="str">
        <f>"1-125-4"</f>
        <v>1-125-4</v>
      </c>
      <c r="F2832" t="s">
        <v>83</v>
      </c>
      <c r="G2832" t="s">
        <v>84</v>
      </c>
      <c r="H2832" t="s">
        <v>92</v>
      </c>
      <c r="I2832">
        <v>1</v>
      </c>
      <c r="J2832">
        <v>1</v>
      </c>
      <c r="N2832">
        <v>1</v>
      </c>
      <c r="O2832">
        <v>1</v>
      </c>
      <c r="P2832">
        <v>1</v>
      </c>
      <c r="Q2832">
        <v>1</v>
      </c>
      <c r="R2832">
        <v>1</v>
      </c>
      <c r="S2832">
        <v>1</v>
      </c>
      <c r="T2832">
        <v>1</v>
      </c>
      <c r="W2832">
        <v>1</v>
      </c>
      <c r="X2832">
        <v>1</v>
      </c>
      <c r="Y2832">
        <v>1</v>
      </c>
      <c r="Z2832">
        <v>1</v>
      </c>
      <c r="AA2832">
        <v>1</v>
      </c>
      <c r="AB2832">
        <v>1</v>
      </c>
    </row>
    <row r="2833" spans="1:28" x14ac:dyDescent="0.25">
      <c r="A2833" t="str">
        <f>"2829"</f>
        <v>2829</v>
      </c>
      <c r="B2833" t="str">
        <f t="shared" si="161"/>
        <v>1</v>
      </c>
      <c r="C2833" t="str">
        <f t="shared" si="163"/>
        <v>125</v>
      </c>
      <c r="D2833" t="str">
        <f>"20"</f>
        <v>20</v>
      </c>
      <c r="E2833" t="str">
        <f>"1-125-20"</f>
        <v>1-125-20</v>
      </c>
      <c r="F2833" t="s">
        <v>83</v>
      </c>
      <c r="G2833" t="s">
        <v>84</v>
      </c>
      <c r="H2833" t="s">
        <v>92</v>
      </c>
      <c r="I2833">
        <v>1</v>
      </c>
      <c r="J2833">
        <v>1</v>
      </c>
      <c r="N2833">
        <v>1</v>
      </c>
      <c r="O2833">
        <v>1</v>
      </c>
      <c r="P2833">
        <v>1</v>
      </c>
      <c r="Q2833">
        <v>1</v>
      </c>
      <c r="R2833">
        <v>1</v>
      </c>
      <c r="S2833">
        <v>1</v>
      </c>
      <c r="T2833">
        <v>1</v>
      </c>
      <c r="W2833">
        <v>1</v>
      </c>
      <c r="X2833">
        <v>1</v>
      </c>
      <c r="Y2833">
        <v>1</v>
      </c>
      <c r="Z2833">
        <v>1</v>
      </c>
      <c r="AA2833">
        <v>1</v>
      </c>
      <c r="AB2833">
        <v>1</v>
      </c>
    </row>
    <row r="2834" spans="1:28" x14ac:dyDescent="0.25">
      <c r="A2834" t="str">
        <f>"2830"</f>
        <v>2830</v>
      </c>
      <c r="B2834" t="str">
        <f t="shared" si="161"/>
        <v>1</v>
      </c>
      <c r="C2834" t="str">
        <f t="shared" si="163"/>
        <v>125</v>
      </c>
      <c r="D2834" t="str">
        <f>"13"</f>
        <v>13</v>
      </c>
      <c r="E2834" t="str">
        <f>"1-125-13"</f>
        <v>1-125-13</v>
      </c>
      <c r="F2834" t="s">
        <v>83</v>
      </c>
      <c r="G2834" t="s">
        <v>84</v>
      </c>
      <c r="H2834" t="s">
        <v>92</v>
      </c>
      <c r="I2834">
        <v>1</v>
      </c>
      <c r="J2834">
        <v>1</v>
      </c>
      <c r="N2834">
        <v>1</v>
      </c>
      <c r="O2834">
        <v>1</v>
      </c>
      <c r="P2834">
        <v>1</v>
      </c>
      <c r="Q2834">
        <v>1</v>
      </c>
      <c r="R2834">
        <v>1</v>
      </c>
      <c r="S2834">
        <v>1</v>
      </c>
      <c r="T2834">
        <v>1</v>
      </c>
      <c r="W2834">
        <v>1</v>
      </c>
      <c r="X2834">
        <v>1</v>
      </c>
      <c r="Y2834">
        <v>1</v>
      </c>
      <c r="Z2834">
        <v>1</v>
      </c>
      <c r="AA2834">
        <v>1</v>
      </c>
      <c r="AB2834">
        <v>1</v>
      </c>
    </row>
    <row r="2835" spans="1:28" x14ac:dyDescent="0.25">
      <c r="A2835" t="str">
        <f>"2831"</f>
        <v>2831</v>
      </c>
      <c r="B2835" t="str">
        <f t="shared" si="161"/>
        <v>1</v>
      </c>
      <c r="C2835" t="str">
        <f t="shared" si="163"/>
        <v>125</v>
      </c>
      <c r="D2835" t="str">
        <f>"1"</f>
        <v>1</v>
      </c>
      <c r="E2835" t="str">
        <f>"1-125-1"</f>
        <v>1-125-1</v>
      </c>
      <c r="F2835" t="s">
        <v>83</v>
      </c>
      <c r="G2835" t="s">
        <v>84</v>
      </c>
      <c r="H2835" t="s">
        <v>92</v>
      </c>
      <c r="I2835">
        <v>1</v>
      </c>
      <c r="J2835">
        <v>1</v>
      </c>
      <c r="N2835">
        <v>1</v>
      </c>
      <c r="O2835">
        <v>1</v>
      </c>
      <c r="P2835">
        <v>1</v>
      </c>
      <c r="Q2835">
        <v>1</v>
      </c>
      <c r="R2835">
        <v>1</v>
      </c>
      <c r="S2835">
        <v>1</v>
      </c>
      <c r="T2835">
        <v>1</v>
      </c>
      <c r="W2835">
        <v>1</v>
      </c>
      <c r="X2835">
        <v>1</v>
      </c>
      <c r="Y2835">
        <v>1</v>
      </c>
      <c r="Z2835">
        <v>1</v>
      </c>
      <c r="AA2835">
        <v>1</v>
      </c>
      <c r="AB2835">
        <v>1</v>
      </c>
    </row>
    <row r="2836" spans="1:28" x14ac:dyDescent="0.25">
      <c r="A2836" t="str">
        <f>"2832"</f>
        <v>2832</v>
      </c>
      <c r="B2836" t="str">
        <f t="shared" si="161"/>
        <v>1</v>
      </c>
      <c r="C2836" t="str">
        <f t="shared" si="163"/>
        <v>125</v>
      </c>
      <c r="D2836" t="str">
        <f>"14"</f>
        <v>14</v>
      </c>
      <c r="E2836" t="str">
        <f>"1-125-14"</f>
        <v>1-125-14</v>
      </c>
      <c r="F2836" t="s">
        <v>83</v>
      </c>
      <c r="G2836" t="s">
        <v>84</v>
      </c>
      <c r="H2836" t="s">
        <v>92</v>
      </c>
      <c r="I2836">
        <v>1</v>
      </c>
      <c r="J2836">
        <v>1</v>
      </c>
      <c r="N2836">
        <v>1</v>
      </c>
      <c r="O2836">
        <v>1</v>
      </c>
      <c r="P2836">
        <v>1</v>
      </c>
      <c r="Q2836">
        <v>1</v>
      </c>
      <c r="R2836">
        <v>1</v>
      </c>
      <c r="S2836">
        <v>1</v>
      </c>
      <c r="T2836">
        <v>1</v>
      </c>
      <c r="W2836">
        <v>1</v>
      </c>
      <c r="X2836">
        <v>1</v>
      </c>
      <c r="Y2836">
        <v>1</v>
      </c>
      <c r="Z2836">
        <v>1</v>
      </c>
      <c r="AA2836">
        <v>1</v>
      </c>
      <c r="AB2836">
        <v>1</v>
      </c>
    </row>
    <row r="2837" spans="1:28" x14ac:dyDescent="0.25">
      <c r="A2837" t="str">
        <f>"2833"</f>
        <v>2833</v>
      </c>
      <c r="B2837" t="str">
        <f t="shared" si="161"/>
        <v>1</v>
      </c>
      <c r="C2837" t="str">
        <f t="shared" si="163"/>
        <v>125</v>
      </c>
      <c r="D2837" t="str">
        <f>"6"</f>
        <v>6</v>
      </c>
      <c r="E2837" t="str">
        <f>"1-125-6"</f>
        <v>1-125-6</v>
      </c>
      <c r="F2837" t="s">
        <v>83</v>
      </c>
      <c r="G2837" t="s">
        <v>84</v>
      </c>
      <c r="H2837" t="s">
        <v>92</v>
      </c>
      <c r="I2837">
        <v>1</v>
      </c>
      <c r="J2837">
        <v>1</v>
      </c>
      <c r="N2837">
        <v>1</v>
      </c>
      <c r="O2837">
        <v>1</v>
      </c>
      <c r="P2837">
        <v>1</v>
      </c>
      <c r="Q2837">
        <v>1</v>
      </c>
      <c r="R2837">
        <v>1</v>
      </c>
      <c r="S2837">
        <v>1</v>
      </c>
      <c r="T2837">
        <v>1</v>
      </c>
      <c r="W2837">
        <v>1</v>
      </c>
      <c r="X2837">
        <v>1</v>
      </c>
      <c r="Y2837">
        <v>1</v>
      </c>
      <c r="Z2837">
        <v>1</v>
      </c>
      <c r="AA2837">
        <v>1</v>
      </c>
      <c r="AB2837">
        <v>1</v>
      </c>
    </row>
    <row r="2838" spans="1:28" x14ac:dyDescent="0.25">
      <c r="A2838" t="str">
        <f>"2834"</f>
        <v>2834</v>
      </c>
      <c r="B2838" t="str">
        <f t="shared" si="161"/>
        <v>1</v>
      </c>
      <c r="C2838" t="str">
        <f t="shared" ref="C2838:C2862" si="164">"126"</f>
        <v>126</v>
      </c>
      <c r="D2838" t="str">
        <f>"21"</f>
        <v>21</v>
      </c>
      <c r="E2838" t="str">
        <f>"1-126-21"</f>
        <v>1-126-21</v>
      </c>
      <c r="F2838" t="s">
        <v>83</v>
      </c>
      <c r="G2838" t="s">
        <v>84</v>
      </c>
      <c r="H2838" t="s">
        <v>92</v>
      </c>
      <c r="I2838">
        <v>1</v>
      </c>
      <c r="J2838">
        <v>1</v>
      </c>
      <c r="N2838">
        <v>1</v>
      </c>
      <c r="O2838">
        <v>1</v>
      </c>
      <c r="P2838">
        <v>1</v>
      </c>
      <c r="Q2838">
        <v>1</v>
      </c>
      <c r="R2838">
        <v>1</v>
      </c>
      <c r="S2838">
        <v>1</v>
      </c>
      <c r="T2838">
        <v>1</v>
      </c>
      <c r="W2838">
        <v>1</v>
      </c>
      <c r="X2838">
        <v>0</v>
      </c>
      <c r="Y2838">
        <v>1</v>
      </c>
      <c r="Z2838">
        <v>1</v>
      </c>
      <c r="AA2838">
        <v>1</v>
      </c>
      <c r="AB2838">
        <v>1</v>
      </c>
    </row>
    <row r="2839" spans="1:28" x14ac:dyDescent="0.25">
      <c r="A2839" t="str">
        <f>"2835"</f>
        <v>2835</v>
      </c>
      <c r="B2839" t="str">
        <f t="shared" si="161"/>
        <v>1</v>
      </c>
      <c r="C2839" t="str">
        <f t="shared" si="164"/>
        <v>126</v>
      </c>
      <c r="D2839" t="str">
        <f>"20"</f>
        <v>20</v>
      </c>
      <c r="E2839" t="str">
        <f>"1-126-20"</f>
        <v>1-126-20</v>
      </c>
      <c r="F2839" t="s">
        <v>83</v>
      </c>
      <c r="G2839" t="s">
        <v>84</v>
      </c>
      <c r="H2839" t="s">
        <v>92</v>
      </c>
      <c r="I2839">
        <v>1</v>
      </c>
      <c r="J2839">
        <v>1</v>
      </c>
      <c r="N2839">
        <v>1</v>
      </c>
      <c r="O2839">
        <v>1</v>
      </c>
      <c r="P2839">
        <v>1</v>
      </c>
      <c r="Q2839">
        <v>1</v>
      </c>
      <c r="R2839">
        <v>1</v>
      </c>
      <c r="S2839">
        <v>1</v>
      </c>
      <c r="T2839">
        <v>1</v>
      </c>
      <c r="W2839">
        <v>1</v>
      </c>
      <c r="X2839">
        <v>1</v>
      </c>
      <c r="Y2839">
        <v>1</v>
      </c>
      <c r="Z2839">
        <v>1</v>
      </c>
      <c r="AA2839">
        <v>1</v>
      </c>
      <c r="AB2839">
        <v>1</v>
      </c>
    </row>
    <row r="2840" spans="1:28" x14ac:dyDescent="0.25">
      <c r="A2840" t="str">
        <f>"2836"</f>
        <v>2836</v>
      </c>
      <c r="B2840" t="str">
        <f t="shared" si="161"/>
        <v>1</v>
      </c>
      <c r="C2840" t="str">
        <f t="shared" si="164"/>
        <v>126</v>
      </c>
      <c r="D2840" t="str">
        <f>"15"</f>
        <v>15</v>
      </c>
      <c r="E2840" t="str">
        <f>"1-126-15"</f>
        <v>1-126-15</v>
      </c>
      <c r="F2840" t="s">
        <v>83</v>
      </c>
      <c r="G2840" t="s">
        <v>84</v>
      </c>
      <c r="H2840" t="s">
        <v>92</v>
      </c>
      <c r="I2840">
        <v>1</v>
      </c>
      <c r="J2840">
        <v>1</v>
      </c>
      <c r="N2840">
        <v>1</v>
      </c>
      <c r="O2840">
        <v>1</v>
      </c>
      <c r="P2840">
        <v>1</v>
      </c>
      <c r="Q2840">
        <v>1</v>
      </c>
      <c r="R2840">
        <v>1</v>
      </c>
      <c r="S2840">
        <v>1</v>
      </c>
      <c r="T2840">
        <v>1</v>
      </c>
      <c r="W2840">
        <v>1</v>
      </c>
      <c r="X2840">
        <v>1</v>
      </c>
      <c r="Y2840">
        <v>1</v>
      </c>
      <c r="Z2840">
        <v>1</v>
      </c>
      <c r="AA2840">
        <v>1</v>
      </c>
      <c r="AB2840">
        <v>1</v>
      </c>
    </row>
    <row r="2841" spans="1:28" x14ac:dyDescent="0.25">
      <c r="A2841" t="str">
        <f>"2837"</f>
        <v>2837</v>
      </c>
      <c r="B2841" t="str">
        <f t="shared" si="161"/>
        <v>1</v>
      </c>
      <c r="C2841" t="str">
        <f t="shared" si="164"/>
        <v>126</v>
      </c>
      <c r="D2841" t="str">
        <f>"8"</f>
        <v>8</v>
      </c>
      <c r="E2841" t="str">
        <f>"1-126-8"</f>
        <v>1-126-8</v>
      </c>
      <c r="F2841" t="s">
        <v>83</v>
      </c>
      <c r="G2841" t="s">
        <v>84</v>
      </c>
      <c r="H2841" t="s">
        <v>92</v>
      </c>
      <c r="I2841">
        <v>1</v>
      </c>
      <c r="J2841">
        <v>1</v>
      </c>
      <c r="N2841">
        <v>1</v>
      </c>
      <c r="O2841">
        <v>1</v>
      </c>
      <c r="P2841">
        <v>1</v>
      </c>
      <c r="Q2841">
        <v>1</v>
      </c>
      <c r="R2841">
        <v>1</v>
      </c>
      <c r="S2841">
        <v>1</v>
      </c>
      <c r="T2841">
        <v>1</v>
      </c>
      <c r="W2841">
        <v>1</v>
      </c>
      <c r="X2841">
        <v>1</v>
      </c>
      <c r="Y2841">
        <v>1</v>
      </c>
      <c r="Z2841">
        <v>1</v>
      </c>
      <c r="AA2841">
        <v>1</v>
      </c>
      <c r="AB2841">
        <v>1</v>
      </c>
    </row>
    <row r="2842" spans="1:28" x14ac:dyDescent="0.25">
      <c r="A2842" t="str">
        <f>"2838"</f>
        <v>2838</v>
      </c>
      <c r="B2842" t="str">
        <f t="shared" si="161"/>
        <v>1</v>
      </c>
      <c r="C2842" t="str">
        <f t="shared" si="164"/>
        <v>126</v>
      </c>
      <c r="D2842" t="str">
        <f>"5"</f>
        <v>5</v>
      </c>
      <c r="E2842" t="str">
        <f>"1-126-5"</f>
        <v>1-126-5</v>
      </c>
      <c r="F2842" t="s">
        <v>83</v>
      </c>
      <c r="G2842" t="s">
        <v>84</v>
      </c>
      <c r="H2842" t="s">
        <v>92</v>
      </c>
      <c r="I2842">
        <v>1</v>
      </c>
      <c r="J2842">
        <v>1</v>
      </c>
      <c r="N2842">
        <v>1</v>
      </c>
      <c r="O2842">
        <v>1</v>
      </c>
      <c r="P2842">
        <v>1</v>
      </c>
      <c r="Q2842">
        <v>1</v>
      </c>
      <c r="R2842">
        <v>1</v>
      </c>
      <c r="S2842">
        <v>1</v>
      </c>
      <c r="T2842">
        <v>1</v>
      </c>
      <c r="W2842">
        <v>1</v>
      </c>
      <c r="X2842">
        <v>1</v>
      </c>
      <c r="Y2842">
        <v>1</v>
      </c>
      <c r="Z2842">
        <v>1</v>
      </c>
      <c r="AA2842">
        <v>1</v>
      </c>
      <c r="AB2842">
        <v>1</v>
      </c>
    </row>
    <row r="2843" spans="1:28" x14ac:dyDescent="0.25">
      <c r="A2843" t="str">
        <f>"2839"</f>
        <v>2839</v>
      </c>
      <c r="B2843" t="str">
        <f t="shared" si="161"/>
        <v>1</v>
      </c>
      <c r="C2843" t="str">
        <f t="shared" si="164"/>
        <v>126</v>
      </c>
      <c r="D2843" t="str">
        <f>"25"</f>
        <v>25</v>
      </c>
      <c r="E2843" t="str">
        <f>"1-126-25"</f>
        <v>1-126-25</v>
      </c>
      <c r="F2843" t="s">
        <v>83</v>
      </c>
      <c r="G2843" t="s">
        <v>84</v>
      </c>
      <c r="H2843" t="s">
        <v>92</v>
      </c>
      <c r="I2843">
        <v>1</v>
      </c>
      <c r="J2843">
        <v>1</v>
      </c>
      <c r="N2843">
        <v>1</v>
      </c>
      <c r="O2843">
        <v>1</v>
      </c>
      <c r="P2843">
        <v>1</v>
      </c>
      <c r="Q2843">
        <v>1</v>
      </c>
      <c r="R2843">
        <v>1</v>
      </c>
      <c r="S2843">
        <v>1</v>
      </c>
      <c r="T2843">
        <v>1</v>
      </c>
      <c r="W2843">
        <v>1</v>
      </c>
      <c r="X2843">
        <v>1</v>
      </c>
      <c r="Y2843">
        <v>1</v>
      </c>
      <c r="Z2843">
        <v>1</v>
      </c>
      <c r="AA2843">
        <v>1</v>
      </c>
      <c r="AB2843">
        <v>1</v>
      </c>
    </row>
    <row r="2844" spans="1:28" x14ac:dyDescent="0.25">
      <c r="A2844" t="str">
        <f>"2840"</f>
        <v>2840</v>
      </c>
      <c r="B2844" t="str">
        <f t="shared" si="161"/>
        <v>1</v>
      </c>
      <c r="C2844" t="str">
        <f t="shared" si="164"/>
        <v>126</v>
      </c>
      <c r="D2844" t="str">
        <f>"16"</f>
        <v>16</v>
      </c>
      <c r="E2844" t="str">
        <f>"1-126-16"</f>
        <v>1-126-16</v>
      </c>
      <c r="F2844" t="s">
        <v>83</v>
      </c>
      <c r="G2844" t="s">
        <v>84</v>
      </c>
      <c r="H2844" t="s">
        <v>92</v>
      </c>
      <c r="I2844">
        <v>1</v>
      </c>
      <c r="J2844">
        <v>1</v>
      </c>
      <c r="N2844">
        <v>1</v>
      </c>
      <c r="O2844">
        <v>1</v>
      </c>
      <c r="P2844">
        <v>1</v>
      </c>
      <c r="Q2844">
        <v>1</v>
      </c>
      <c r="R2844">
        <v>1</v>
      </c>
      <c r="S2844">
        <v>1</v>
      </c>
      <c r="T2844">
        <v>1</v>
      </c>
      <c r="W2844">
        <v>1</v>
      </c>
      <c r="X2844">
        <v>1</v>
      </c>
      <c r="Y2844">
        <v>1</v>
      </c>
      <c r="Z2844">
        <v>1</v>
      </c>
      <c r="AA2844">
        <v>1</v>
      </c>
      <c r="AB2844">
        <v>1</v>
      </c>
    </row>
    <row r="2845" spans="1:28" x14ac:dyDescent="0.25">
      <c r="A2845" t="str">
        <f>"2841"</f>
        <v>2841</v>
      </c>
      <c r="B2845" t="str">
        <f t="shared" si="161"/>
        <v>1</v>
      </c>
      <c r="C2845" t="str">
        <f t="shared" si="164"/>
        <v>126</v>
      </c>
      <c r="D2845" t="str">
        <f>"9"</f>
        <v>9</v>
      </c>
      <c r="E2845" t="str">
        <f>"1-126-9"</f>
        <v>1-126-9</v>
      </c>
      <c r="F2845" t="s">
        <v>83</v>
      </c>
      <c r="G2845" t="s">
        <v>84</v>
      </c>
      <c r="H2845" t="s">
        <v>92</v>
      </c>
      <c r="I2845">
        <v>1</v>
      </c>
      <c r="J2845">
        <v>1</v>
      </c>
      <c r="N2845">
        <v>1</v>
      </c>
      <c r="O2845">
        <v>1</v>
      </c>
      <c r="P2845">
        <v>1</v>
      </c>
      <c r="Q2845">
        <v>1</v>
      </c>
      <c r="R2845">
        <v>1</v>
      </c>
      <c r="S2845">
        <v>1</v>
      </c>
      <c r="T2845">
        <v>1</v>
      </c>
      <c r="W2845">
        <v>1</v>
      </c>
      <c r="X2845">
        <v>1</v>
      </c>
      <c r="Y2845">
        <v>1</v>
      </c>
      <c r="Z2845">
        <v>1</v>
      </c>
      <c r="AA2845">
        <v>1</v>
      </c>
      <c r="AB2845">
        <v>1</v>
      </c>
    </row>
    <row r="2846" spans="1:28" x14ac:dyDescent="0.25">
      <c r="A2846" t="str">
        <f>"2842"</f>
        <v>2842</v>
      </c>
      <c r="B2846" t="str">
        <f t="shared" ref="B2846:B2909" si="165">"1"</f>
        <v>1</v>
      </c>
      <c r="C2846" t="str">
        <f t="shared" si="164"/>
        <v>126</v>
      </c>
      <c r="D2846" t="str">
        <f>"7"</f>
        <v>7</v>
      </c>
      <c r="E2846" t="str">
        <f>"1-126-7"</f>
        <v>1-126-7</v>
      </c>
      <c r="F2846" t="s">
        <v>83</v>
      </c>
      <c r="G2846" t="s">
        <v>84</v>
      </c>
      <c r="H2846" t="s">
        <v>92</v>
      </c>
      <c r="I2846">
        <v>1</v>
      </c>
      <c r="J2846">
        <v>1</v>
      </c>
      <c r="N2846">
        <v>1</v>
      </c>
      <c r="O2846">
        <v>1</v>
      </c>
      <c r="P2846">
        <v>1</v>
      </c>
      <c r="Q2846">
        <v>1</v>
      </c>
      <c r="R2846">
        <v>1</v>
      </c>
      <c r="S2846">
        <v>1</v>
      </c>
      <c r="T2846">
        <v>1</v>
      </c>
      <c r="W2846">
        <v>1</v>
      </c>
      <c r="X2846">
        <v>1</v>
      </c>
      <c r="Y2846">
        <v>1</v>
      </c>
      <c r="Z2846">
        <v>1</v>
      </c>
      <c r="AA2846">
        <v>1</v>
      </c>
      <c r="AB2846">
        <v>1</v>
      </c>
    </row>
    <row r="2847" spans="1:28" x14ac:dyDescent="0.25">
      <c r="A2847" t="str">
        <f>"2843"</f>
        <v>2843</v>
      </c>
      <c r="B2847" t="str">
        <f t="shared" si="165"/>
        <v>1</v>
      </c>
      <c r="C2847" t="str">
        <f t="shared" si="164"/>
        <v>126</v>
      </c>
      <c r="D2847" t="str">
        <f>"23"</f>
        <v>23</v>
      </c>
      <c r="E2847" t="str">
        <f>"1-126-23"</f>
        <v>1-126-23</v>
      </c>
      <c r="F2847" t="s">
        <v>83</v>
      </c>
      <c r="G2847" t="s">
        <v>84</v>
      </c>
      <c r="H2847" t="s">
        <v>92</v>
      </c>
      <c r="I2847">
        <v>1</v>
      </c>
      <c r="J2847">
        <v>1</v>
      </c>
      <c r="N2847">
        <v>1</v>
      </c>
      <c r="O2847">
        <v>1</v>
      </c>
      <c r="P2847">
        <v>1</v>
      </c>
      <c r="Q2847">
        <v>1</v>
      </c>
      <c r="R2847">
        <v>1</v>
      </c>
      <c r="S2847">
        <v>1</v>
      </c>
      <c r="T2847">
        <v>1</v>
      </c>
      <c r="W2847">
        <v>1</v>
      </c>
      <c r="X2847">
        <v>1</v>
      </c>
      <c r="Y2847">
        <v>1</v>
      </c>
      <c r="Z2847">
        <v>1</v>
      </c>
      <c r="AA2847">
        <v>1</v>
      </c>
      <c r="AB2847">
        <v>1</v>
      </c>
    </row>
    <row r="2848" spans="1:28" x14ac:dyDescent="0.25">
      <c r="A2848" t="str">
        <f>"2844"</f>
        <v>2844</v>
      </c>
      <c r="B2848" t="str">
        <f t="shared" si="165"/>
        <v>1</v>
      </c>
      <c r="C2848" t="str">
        <f t="shared" si="164"/>
        <v>126</v>
      </c>
      <c r="D2848" t="str">
        <f>"22"</f>
        <v>22</v>
      </c>
      <c r="E2848" t="str">
        <f>"1-126-22"</f>
        <v>1-126-22</v>
      </c>
      <c r="F2848" t="s">
        <v>83</v>
      </c>
      <c r="G2848" t="s">
        <v>84</v>
      </c>
      <c r="H2848" t="s">
        <v>92</v>
      </c>
      <c r="I2848">
        <v>1</v>
      </c>
      <c r="J2848">
        <v>1</v>
      </c>
      <c r="N2848">
        <v>1</v>
      </c>
      <c r="O2848">
        <v>1</v>
      </c>
      <c r="P2848">
        <v>1</v>
      </c>
      <c r="Q2848">
        <v>1</v>
      </c>
      <c r="R2848">
        <v>1</v>
      </c>
      <c r="S2848">
        <v>1</v>
      </c>
      <c r="T2848">
        <v>1</v>
      </c>
      <c r="W2848">
        <v>1</v>
      </c>
      <c r="X2848">
        <v>1</v>
      </c>
      <c r="Y2848">
        <v>1</v>
      </c>
      <c r="Z2848">
        <v>1</v>
      </c>
      <c r="AA2848">
        <v>1</v>
      </c>
      <c r="AB2848">
        <v>1</v>
      </c>
    </row>
    <row r="2849" spans="1:28" x14ac:dyDescent="0.25">
      <c r="A2849" t="str">
        <f>"2845"</f>
        <v>2845</v>
      </c>
      <c r="B2849" t="str">
        <f t="shared" si="165"/>
        <v>1</v>
      </c>
      <c r="C2849" t="str">
        <f t="shared" si="164"/>
        <v>126</v>
      </c>
      <c r="D2849" t="str">
        <f>"17"</f>
        <v>17</v>
      </c>
      <c r="E2849" t="str">
        <f>"1-126-17"</f>
        <v>1-126-17</v>
      </c>
      <c r="F2849" t="s">
        <v>83</v>
      </c>
      <c r="G2849" t="s">
        <v>84</v>
      </c>
      <c r="H2849" t="s">
        <v>92</v>
      </c>
      <c r="I2849">
        <v>1</v>
      </c>
      <c r="J2849">
        <v>1</v>
      </c>
      <c r="N2849">
        <v>1</v>
      </c>
      <c r="O2849">
        <v>1</v>
      </c>
      <c r="P2849">
        <v>1</v>
      </c>
      <c r="Q2849">
        <v>1</v>
      </c>
      <c r="R2849">
        <v>1</v>
      </c>
      <c r="S2849">
        <v>1</v>
      </c>
      <c r="T2849">
        <v>1</v>
      </c>
      <c r="W2849">
        <v>1</v>
      </c>
      <c r="X2849">
        <v>1</v>
      </c>
      <c r="Y2849">
        <v>1</v>
      </c>
      <c r="Z2849">
        <v>1</v>
      </c>
      <c r="AA2849">
        <v>1</v>
      </c>
      <c r="AB2849">
        <v>1</v>
      </c>
    </row>
    <row r="2850" spans="1:28" x14ac:dyDescent="0.25">
      <c r="A2850" t="str">
        <f>"2846"</f>
        <v>2846</v>
      </c>
      <c r="B2850" t="str">
        <f t="shared" si="165"/>
        <v>1</v>
      </c>
      <c r="C2850" t="str">
        <f t="shared" si="164"/>
        <v>126</v>
      </c>
      <c r="D2850" t="str">
        <f>"10"</f>
        <v>10</v>
      </c>
      <c r="E2850" t="str">
        <f>"1-126-10"</f>
        <v>1-126-10</v>
      </c>
      <c r="F2850" t="s">
        <v>83</v>
      </c>
      <c r="G2850" t="s">
        <v>84</v>
      </c>
      <c r="H2850" t="s">
        <v>92</v>
      </c>
      <c r="I2850">
        <v>1</v>
      </c>
      <c r="J2850">
        <v>1</v>
      </c>
      <c r="N2850">
        <v>1</v>
      </c>
      <c r="O2850">
        <v>0</v>
      </c>
      <c r="P2850">
        <v>0</v>
      </c>
      <c r="Q2850">
        <v>0</v>
      </c>
      <c r="R2850">
        <v>0</v>
      </c>
      <c r="S2850">
        <v>1</v>
      </c>
      <c r="T2850">
        <v>1</v>
      </c>
      <c r="W2850">
        <v>0</v>
      </c>
      <c r="X2850">
        <v>0</v>
      </c>
      <c r="Y2850">
        <v>0</v>
      </c>
      <c r="Z2850">
        <v>0</v>
      </c>
      <c r="AA2850">
        <v>0</v>
      </c>
      <c r="AB2850">
        <v>0</v>
      </c>
    </row>
    <row r="2851" spans="1:28" x14ac:dyDescent="0.25">
      <c r="A2851" t="str">
        <f>"2847"</f>
        <v>2847</v>
      </c>
      <c r="B2851" t="str">
        <f t="shared" si="165"/>
        <v>1</v>
      </c>
      <c r="C2851" t="str">
        <f t="shared" si="164"/>
        <v>126</v>
      </c>
      <c r="D2851" t="str">
        <f>"3"</f>
        <v>3</v>
      </c>
      <c r="E2851" t="str">
        <f>"1-126-3"</f>
        <v>1-126-3</v>
      </c>
      <c r="F2851" t="s">
        <v>83</v>
      </c>
      <c r="G2851" t="s">
        <v>84</v>
      </c>
      <c r="H2851" t="s">
        <v>92</v>
      </c>
      <c r="I2851">
        <v>1</v>
      </c>
      <c r="J2851">
        <v>1</v>
      </c>
      <c r="N2851">
        <v>1</v>
      </c>
      <c r="O2851">
        <v>1</v>
      </c>
      <c r="P2851">
        <v>1</v>
      </c>
      <c r="Q2851">
        <v>1</v>
      </c>
      <c r="R2851">
        <v>1</v>
      </c>
      <c r="S2851">
        <v>1</v>
      </c>
      <c r="T2851">
        <v>1</v>
      </c>
      <c r="W2851">
        <v>1</v>
      </c>
      <c r="X2851">
        <v>1</v>
      </c>
      <c r="Y2851">
        <v>1</v>
      </c>
      <c r="Z2851">
        <v>1</v>
      </c>
      <c r="AA2851">
        <v>1</v>
      </c>
      <c r="AB2851">
        <v>1</v>
      </c>
    </row>
    <row r="2852" spans="1:28" x14ac:dyDescent="0.25">
      <c r="A2852" t="str">
        <f>"2848"</f>
        <v>2848</v>
      </c>
      <c r="B2852" t="str">
        <f t="shared" si="165"/>
        <v>1</v>
      </c>
      <c r="C2852" t="str">
        <f t="shared" si="164"/>
        <v>126</v>
      </c>
      <c r="D2852" t="str">
        <f>"18"</f>
        <v>18</v>
      </c>
      <c r="E2852" t="str">
        <f>"1-126-18"</f>
        <v>1-126-18</v>
      </c>
      <c r="F2852" t="s">
        <v>83</v>
      </c>
      <c r="G2852" t="s">
        <v>84</v>
      </c>
      <c r="H2852" t="s">
        <v>92</v>
      </c>
      <c r="I2852">
        <v>1</v>
      </c>
      <c r="J2852">
        <v>1</v>
      </c>
      <c r="N2852">
        <v>1</v>
      </c>
      <c r="O2852">
        <v>1</v>
      </c>
      <c r="P2852">
        <v>1</v>
      </c>
      <c r="Q2852">
        <v>1</v>
      </c>
      <c r="R2852">
        <v>1</v>
      </c>
      <c r="S2852">
        <v>1</v>
      </c>
      <c r="T2852">
        <v>1</v>
      </c>
      <c r="W2852">
        <v>1</v>
      </c>
      <c r="X2852">
        <v>1</v>
      </c>
      <c r="Y2852">
        <v>1</v>
      </c>
      <c r="Z2852">
        <v>1</v>
      </c>
      <c r="AA2852">
        <v>1</v>
      </c>
      <c r="AB2852">
        <v>1</v>
      </c>
    </row>
    <row r="2853" spans="1:28" x14ac:dyDescent="0.25">
      <c r="A2853" t="str">
        <f>"2849"</f>
        <v>2849</v>
      </c>
      <c r="B2853" t="str">
        <f t="shared" si="165"/>
        <v>1</v>
      </c>
      <c r="C2853" t="str">
        <f t="shared" si="164"/>
        <v>126</v>
      </c>
      <c r="D2853" t="str">
        <f>"11"</f>
        <v>11</v>
      </c>
      <c r="E2853" t="str">
        <f>"1-126-11"</f>
        <v>1-126-11</v>
      </c>
      <c r="F2853" t="s">
        <v>83</v>
      </c>
      <c r="G2853" t="s">
        <v>84</v>
      </c>
      <c r="H2853" t="s">
        <v>92</v>
      </c>
      <c r="I2853">
        <v>1</v>
      </c>
      <c r="J2853">
        <v>1</v>
      </c>
      <c r="N2853">
        <v>1</v>
      </c>
      <c r="O2853">
        <v>1</v>
      </c>
      <c r="P2853">
        <v>1</v>
      </c>
      <c r="Q2853">
        <v>1</v>
      </c>
      <c r="R2853">
        <v>1</v>
      </c>
      <c r="S2853">
        <v>1</v>
      </c>
      <c r="T2853">
        <v>1</v>
      </c>
      <c r="W2853">
        <v>1</v>
      </c>
      <c r="X2853">
        <v>1</v>
      </c>
      <c r="Y2853">
        <v>1</v>
      </c>
      <c r="Z2853">
        <v>1</v>
      </c>
      <c r="AA2853">
        <v>1</v>
      </c>
      <c r="AB2853">
        <v>1</v>
      </c>
    </row>
    <row r="2854" spans="1:28" x14ac:dyDescent="0.25">
      <c r="A2854" t="str">
        <f>"2850"</f>
        <v>2850</v>
      </c>
      <c r="B2854" t="str">
        <f t="shared" si="165"/>
        <v>1</v>
      </c>
      <c r="C2854" t="str">
        <f t="shared" si="164"/>
        <v>126</v>
      </c>
      <c r="D2854" t="str">
        <f>"19"</f>
        <v>19</v>
      </c>
      <c r="E2854" t="str">
        <f>"1-126-19"</f>
        <v>1-126-19</v>
      </c>
      <c r="F2854" t="s">
        <v>83</v>
      </c>
      <c r="G2854" t="s">
        <v>84</v>
      </c>
      <c r="H2854" t="s">
        <v>92</v>
      </c>
      <c r="I2854">
        <v>1</v>
      </c>
      <c r="J2854">
        <v>1</v>
      </c>
      <c r="N2854">
        <v>1</v>
      </c>
      <c r="O2854">
        <v>1</v>
      </c>
      <c r="P2854">
        <v>1</v>
      </c>
      <c r="Q2854">
        <v>1</v>
      </c>
      <c r="R2854">
        <v>1</v>
      </c>
      <c r="S2854">
        <v>1</v>
      </c>
      <c r="T2854">
        <v>1</v>
      </c>
      <c r="W2854">
        <v>1</v>
      </c>
      <c r="X2854">
        <v>1</v>
      </c>
      <c r="Y2854">
        <v>1</v>
      </c>
      <c r="Z2854">
        <v>1</v>
      </c>
      <c r="AA2854">
        <v>1</v>
      </c>
      <c r="AB2854">
        <v>1</v>
      </c>
    </row>
    <row r="2855" spans="1:28" x14ac:dyDescent="0.25">
      <c r="A2855" t="str">
        <f>"2851"</f>
        <v>2851</v>
      </c>
      <c r="B2855" t="str">
        <f t="shared" si="165"/>
        <v>1</v>
      </c>
      <c r="C2855" t="str">
        <f t="shared" si="164"/>
        <v>126</v>
      </c>
      <c r="D2855" t="str">
        <f>"12"</f>
        <v>12</v>
      </c>
      <c r="E2855" t="str">
        <f>"1-126-12"</f>
        <v>1-126-12</v>
      </c>
      <c r="F2855" t="s">
        <v>83</v>
      </c>
      <c r="G2855" t="s">
        <v>84</v>
      </c>
      <c r="H2855" t="s">
        <v>92</v>
      </c>
      <c r="I2855">
        <v>1</v>
      </c>
      <c r="J2855">
        <v>1</v>
      </c>
      <c r="N2855">
        <v>1</v>
      </c>
      <c r="O2855">
        <v>1</v>
      </c>
      <c r="P2855">
        <v>1</v>
      </c>
      <c r="Q2855">
        <v>1</v>
      </c>
      <c r="R2855">
        <v>1</v>
      </c>
      <c r="S2855">
        <v>1</v>
      </c>
      <c r="T2855">
        <v>1</v>
      </c>
      <c r="W2855">
        <v>1</v>
      </c>
      <c r="X2855">
        <v>1</v>
      </c>
      <c r="Y2855">
        <v>1</v>
      </c>
      <c r="Z2855">
        <v>1</v>
      </c>
      <c r="AA2855">
        <v>1</v>
      </c>
      <c r="AB2855">
        <v>1</v>
      </c>
    </row>
    <row r="2856" spans="1:28" x14ac:dyDescent="0.25">
      <c r="A2856" t="str">
        <f>"2852"</f>
        <v>2852</v>
      </c>
      <c r="B2856" t="str">
        <f t="shared" si="165"/>
        <v>1</v>
      </c>
      <c r="C2856" t="str">
        <f t="shared" si="164"/>
        <v>126</v>
      </c>
      <c r="D2856" t="str">
        <f>"2"</f>
        <v>2</v>
      </c>
      <c r="E2856" t="str">
        <f>"1-126-2"</f>
        <v>1-126-2</v>
      </c>
      <c r="F2856" t="s">
        <v>83</v>
      </c>
      <c r="G2856" t="s">
        <v>84</v>
      </c>
      <c r="H2856" t="s">
        <v>92</v>
      </c>
      <c r="I2856">
        <v>1</v>
      </c>
      <c r="J2856">
        <v>1</v>
      </c>
      <c r="N2856">
        <v>1</v>
      </c>
      <c r="O2856">
        <v>1</v>
      </c>
      <c r="P2856">
        <v>1</v>
      </c>
      <c r="Q2856">
        <v>1</v>
      </c>
      <c r="R2856">
        <v>1</v>
      </c>
      <c r="S2856">
        <v>1</v>
      </c>
      <c r="T2856">
        <v>1</v>
      </c>
      <c r="W2856">
        <v>1</v>
      </c>
      <c r="X2856">
        <v>1</v>
      </c>
      <c r="Y2856">
        <v>1</v>
      </c>
      <c r="Z2856">
        <v>1</v>
      </c>
      <c r="AA2856">
        <v>1</v>
      </c>
      <c r="AB2856">
        <v>1</v>
      </c>
    </row>
    <row r="2857" spans="1:28" x14ac:dyDescent="0.25">
      <c r="A2857" t="str">
        <f>"2853"</f>
        <v>2853</v>
      </c>
      <c r="B2857" t="str">
        <f t="shared" si="165"/>
        <v>1</v>
      </c>
      <c r="C2857" t="str">
        <f t="shared" si="164"/>
        <v>126</v>
      </c>
      <c r="D2857" t="str">
        <f>"24"</f>
        <v>24</v>
      </c>
      <c r="E2857" t="str">
        <f>"1-126-24"</f>
        <v>1-126-24</v>
      </c>
      <c r="F2857" t="s">
        <v>83</v>
      </c>
      <c r="G2857" t="s">
        <v>84</v>
      </c>
      <c r="H2857" t="s">
        <v>92</v>
      </c>
      <c r="I2857">
        <v>1</v>
      </c>
      <c r="J2857">
        <v>1</v>
      </c>
      <c r="N2857">
        <v>1</v>
      </c>
      <c r="O2857">
        <v>1</v>
      </c>
      <c r="P2857">
        <v>1</v>
      </c>
      <c r="Q2857">
        <v>1</v>
      </c>
      <c r="R2857">
        <v>1</v>
      </c>
      <c r="S2857">
        <v>1</v>
      </c>
      <c r="T2857">
        <v>1</v>
      </c>
      <c r="W2857">
        <v>1</v>
      </c>
      <c r="X2857">
        <v>1</v>
      </c>
      <c r="Y2857">
        <v>1</v>
      </c>
      <c r="Z2857">
        <v>1</v>
      </c>
      <c r="AA2857">
        <v>1</v>
      </c>
      <c r="AB2857">
        <v>1</v>
      </c>
    </row>
    <row r="2858" spans="1:28" x14ac:dyDescent="0.25">
      <c r="A2858" t="str">
        <f>"2854"</f>
        <v>2854</v>
      </c>
      <c r="B2858" t="str">
        <f t="shared" si="165"/>
        <v>1</v>
      </c>
      <c r="C2858" t="str">
        <f t="shared" si="164"/>
        <v>126</v>
      </c>
      <c r="D2858" t="str">
        <f>"13"</f>
        <v>13</v>
      </c>
      <c r="E2858" t="str">
        <f>"1-126-13"</f>
        <v>1-126-13</v>
      </c>
      <c r="F2858" t="s">
        <v>83</v>
      </c>
      <c r="G2858" t="s">
        <v>84</v>
      </c>
      <c r="H2858" t="s">
        <v>92</v>
      </c>
      <c r="I2858">
        <v>1</v>
      </c>
      <c r="J2858">
        <v>1</v>
      </c>
      <c r="N2858">
        <v>1</v>
      </c>
      <c r="O2858">
        <v>1</v>
      </c>
      <c r="P2858">
        <v>1</v>
      </c>
      <c r="Q2858">
        <v>1</v>
      </c>
      <c r="R2858">
        <v>1</v>
      </c>
      <c r="S2858">
        <v>1</v>
      </c>
      <c r="T2858">
        <v>1</v>
      </c>
      <c r="W2858">
        <v>1</v>
      </c>
      <c r="X2858">
        <v>1</v>
      </c>
      <c r="Y2858">
        <v>1</v>
      </c>
      <c r="Z2858">
        <v>1</v>
      </c>
      <c r="AA2858">
        <v>1</v>
      </c>
      <c r="AB2858">
        <v>1</v>
      </c>
    </row>
    <row r="2859" spans="1:28" x14ac:dyDescent="0.25">
      <c r="A2859" t="str">
        <f>"2855"</f>
        <v>2855</v>
      </c>
      <c r="B2859" t="str">
        <f t="shared" si="165"/>
        <v>1</v>
      </c>
      <c r="C2859" t="str">
        <f t="shared" si="164"/>
        <v>126</v>
      </c>
      <c r="D2859" t="str">
        <f>"1"</f>
        <v>1</v>
      </c>
      <c r="E2859" t="str">
        <f>"1-126-1"</f>
        <v>1-126-1</v>
      </c>
      <c r="F2859" t="s">
        <v>83</v>
      </c>
      <c r="G2859" t="s">
        <v>84</v>
      </c>
      <c r="H2859" t="s">
        <v>92</v>
      </c>
      <c r="I2859">
        <v>1</v>
      </c>
      <c r="J2859">
        <v>1</v>
      </c>
      <c r="N2859">
        <v>1</v>
      </c>
      <c r="O2859">
        <v>1</v>
      </c>
      <c r="P2859">
        <v>1</v>
      </c>
      <c r="Q2859">
        <v>1</v>
      </c>
      <c r="R2859">
        <v>1</v>
      </c>
      <c r="S2859">
        <v>1</v>
      </c>
      <c r="T2859">
        <v>1</v>
      </c>
      <c r="W2859">
        <v>1</v>
      </c>
      <c r="X2859">
        <v>1</v>
      </c>
      <c r="Y2859">
        <v>1</v>
      </c>
      <c r="Z2859">
        <v>1</v>
      </c>
      <c r="AA2859">
        <v>1</v>
      </c>
      <c r="AB2859">
        <v>1</v>
      </c>
    </row>
    <row r="2860" spans="1:28" x14ac:dyDescent="0.25">
      <c r="A2860" t="str">
        <f>"2856"</f>
        <v>2856</v>
      </c>
      <c r="B2860" t="str">
        <f t="shared" si="165"/>
        <v>1</v>
      </c>
      <c r="C2860" t="str">
        <f t="shared" si="164"/>
        <v>126</v>
      </c>
      <c r="D2860" t="str">
        <f>"14"</f>
        <v>14</v>
      </c>
      <c r="E2860" t="str">
        <f>"1-126-14"</f>
        <v>1-126-14</v>
      </c>
      <c r="F2860" t="s">
        <v>83</v>
      </c>
      <c r="G2860" t="s">
        <v>84</v>
      </c>
      <c r="H2860" t="s">
        <v>92</v>
      </c>
      <c r="I2860">
        <v>1</v>
      </c>
      <c r="J2860">
        <v>1</v>
      </c>
      <c r="N2860">
        <v>1</v>
      </c>
      <c r="O2860">
        <v>1</v>
      </c>
      <c r="P2860">
        <v>1</v>
      </c>
      <c r="Q2860">
        <v>1</v>
      </c>
      <c r="R2860">
        <v>1</v>
      </c>
      <c r="S2860">
        <v>1</v>
      </c>
      <c r="T2860">
        <v>1</v>
      </c>
      <c r="W2860">
        <v>1</v>
      </c>
      <c r="X2860">
        <v>1</v>
      </c>
      <c r="Y2860">
        <v>1</v>
      </c>
      <c r="Z2860">
        <v>1</v>
      </c>
      <c r="AA2860">
        <v>1</v>
      </c>
      <c r="AB2860">
        <v>1</v>
      </c>
    </row>
    <row r="2861" spans="1:28" x14ac:dyDescent="0.25">
      <c r="A2861" t="str">
        <f>"2857"</f>
        <v>2857</v>
      </c>
      <c r="B2861" t="str">
        <f t="shared" si="165"/>
        <v>1</v>
      </c>
      <c r="C2861" t="str">
        <f t="shared" si="164"/>
        <v>126</v>
      </c>
      <c r="D2861" t="str">
        <f>"6"</f>
        <v>6</v>
      </c>
      <c r="E2861" t="str">
        <f>"1-126-6"</f>
        <v>1-126-6</v>
      </c>
      <c r="F2861" t="s">
        <v>83</v>
      </c>
      <c r="G2861" t="s">
        <v>84</v>
      </c>
      <c r="H2861" t="s">
        <v>92</v>
      </c>
      <c r="I2861">
        <v>1</v>
      </c>
      <c r="J2861">
        <v>1</v>
      </c>
      <c r="N2861">
        <v>1</v>
      </c>
      <c r="O2861">
        <v>1</v>
      </c>
      <c r="P2861">
        <v>1</v>
      </c>
      <c r="Q2861">
        <v>1</v>
      </c>
      <c r="R2861">
        <v>1</v>
      </c>
      <c r="S2861">
        <v>1</v>
      </c>
      <c r="T2861">
        <v>1</v>
      </c>
      <c r="W2861">
        <v>1</v>
      </c>
      <c r="X2861">
        <v>1</v>
      </c>
      <c r="Y2861">
        <v>1</v>
      </c>
      <c r="Z2861">
        <v>1</v>
      </c>
      <c r="AA2861">
        <v>1</v>
      </c>
      <c r="AB2861">
        <v>1</v>
      </c>
    </row>
    <row r="2862" spans="1:28" x14ac:dyDescent="0.25">
      <c r="A2862" t="str">
        <f>"2858"</f>
        <v>2858</v>
      </c>
      <c r="B2862" t="str">
        <f t="shared" si="165"/>
        <v>1</v>
      </c>
      <c r="C2862" t="str">
        <f t="shared" si="164"/>
        <v>126</v>
      </c>
      <c r="D2862" t="str">
        <f>"4"</f>
        <v>4</v>
      </c>
      <c r="E2862" t="str">
        <f>"1-126-4"</f>
        <v>1-126-4</v>
      </c>
      <c r="F2862" t="s">
        <v>83</v>
      </c>
      <c r="G2862" t="s">
        <v>84</v>
      </c>
      <c r="H2862" t="s">
        <v>92</v>
      </c>
      <c r="I2862">
        <v>0</v>
      </c>
      <c r="J2862">
        <v>0</v>
      </c>
      <c r="N2862">
        <v>0</v>
      </c>
      <c r="O2862">
        <v>0</v>
      </c>
      <c r="P2862">
        <v>0</v>
      </c>
      <c r="Q2862">
        <v>0</v>
      </c>
      <c r="R2862">
        <v>0</v>
      </c>
      <c r="S2862">
        <v>0</v>
      </c>
      <c r="T2862">
        <v>0</v>
      </c>
      <c r="W2862">
        <v>0</v>
      </c>
      <c r="X2862">
        <v>0</v>
      </c>
      <c r="Y2862">
        <v>0</v>
      </c>
      <c r="Z2862">
        <v>0</v>
      </c>
      <c r="AA2862">
        <v>0</v>
      </c>
      <c r="AB2862">
        <v>0</v>
      </c>
    </row>
    <row r="2863" spans="1:28" x14ac:dyDescent="0.25">
      <c r="A2863" t="str">
        <f>"2859"</f>
        <v>2859</v>
      </c>
      <c r="B2863" t="str">
        <f t="shared" si="165"/>
        <v>1</v>
      </c>
      <c r="C2863" t="str">
        <f t="shared" ref="C2863:C2884" si="166">"127"</f>
        <v>127</v>
      </c>
      <c r="D2863" t="str">
        <f>"21"</f>
        <v>21</v>
      </c>
      <c r="E2863" t="str">
        <f>"1-127-21"</f>
        <v>1-127-21</v>
      </c>
      <c r="F2863" t="s">
        <v>83</v>
      </c>
      <c r="G2863" t="s">
        <v>84</v>
      </c>
      <c r="H2863" t="s">
        <v>92</v>
      </c>
      <c r="I2863">
        <v>1</v>
      </c>
      <c r="J2863">
        <v>1</v>
      </c>
      <c r="N2863">
        <v>1</v>
      </c>
      <c r="O2863">
        <v>1</v>
      </c>
      <c r="P2863">
        <v>1</v>
      </c>
      <c r="Q2863">
        <v>1</v>
      </c>
      <c r="R2863">
        <v>1</v>
      </c>
      <c r="S2863">
        <v>1</v>
      </c>
      <c r="T2863">
        <v>1</v>
      </c>
      <c r="W2863">
        <v>1</v>
      </c>
      <c r="X2863">
        <v>1</v>
      </c>
      <c r="Y2863">
        <v>1</v>
      </c>
      <c r="Z2863">
        <v>1</v>
      </c>
      <c r="AA2863">
        <v>1</v>
      </c>
      <c r="AB2863">
        <v>0</v>
      </c>
    </row>
    <row r="2864" spans="1:28" x14ac:dyDescent="0.25">
      <c r="A2864" t="str">
        <f>"2860"</f>
        <v>2860</v>
      </c>
      <c r="B2864" t="str">
        <f t="shared" si="165"/>
        <v>1</v>
      </c>
      <c r="C2864" t="str">
        <f t="shared" si="166"/>
        <v>127</v>
      </c>
      <c r="D2864" t="str">
        <f>"20"</f>
        <v>20</v>
      </c>
      <c r="E2864" t="str">
        <f>"1-127-20"</f>
        <v>1-127-20</v>
      </c>
      <c r="F2864" t="s">
        <v>83</v>
      </c>
      <c r="G2864" t="s">
        <v>84</v>
      </c>
      <c r="H2864" t="s">
        <v>92</v>
      </c>
      <c r="I2864">
        <v>1</v>
      </c>
      <c r="J2864">
        <v>1</v>
      </c>
      <c r="N2864">
        <v>1</v>
      </c>
      <c r="O2864">
        <v>1</v>
      </c>
      <c r="P2864">
        <v>1</v>
      </c>
      <c r="Q2864">
        <v>1</v>
      </c>
      <c r="R2864">
        <v>1</v>
      </c>
      <c r="S2864">
        <v>1</v>
      </c>
      <c r="T2864">
        <v>1</v>
      </c>
      <c r="W2864">
        <v>1</v>
      </c>
      <c r="X2864">
        <v>1</v>
      </c>
      <c r="Y2864">
        <v>1</v>
      </c>
      <c r="Z2864">
        <v>1</v>
      </c>
      <c r="AA2864">
        <v>1</v>
      </c>
      <c r="AB2864">
        <v>1</v>
      </c>
    </row>
    <row r="2865" spans="1:28" x14ac:dyDescent="0.25">
      <c r="A2865" t="str">
        <f>"2861"</f>
        <v>2861</v>
      </c>
      <c r="B2865" t="str">
        <f t="shared" si="165"/>
        <v>1</v>
      </c>
      <c r="C2865" t="str">
        <f t="shared" si="166"/>
        <v>127</v>
      </c>
      <c r="D2865" t="str">
        <f>"13"</f>
        <v>13</v>
      </c>
      <c r="E2865" t="str">
        <f>"1-127-13"</f>
        <v>1-127-13</v>
      </c>
      <c r="F2865" t="s">
        <v>83</v>
      </c>
      <c r="G2865" t="s">
        <v>84</v>
      </c>
      <c r="H2865" t="s">
        <v>92</v>
      </c>
      <c r="I2865">
        <v>1</v>
      </c>
      <c r="J2865">
        <v>1</v>
      </c>
      <c r="N2865">
        <v>1</v>
      </c>
      <c r="O2865">
        <v>1</v>
      </c>
      <c r="P2865">
        <v>1</v>
      </c>
      <c r="Q2865">
        <v>1</v>
      </c>
      <c r="R2865">
        <v>1</v>
      </c>
      <c r="S2865">
        <v>1</v>
      </c>
      <c r="T2865">
        <v>1</v>
      </c>
      <c r="W2865">
        <v>1</v>
      </c>
      <c r="X2865">
        <v>1</v>
      </c>
      <c r="Y2865">
        <v>1</v>
      </c>
      <c r="Z2865">
        <v>1</v>
      </c>
      <c r="AA2865">
        <v>1</v>
      </c>
      <c r="AB2865">
        <v>1</v>
      </c>
    </row>
    <row r="2866" spans="1:28" x14ac:dyDescent="0.25">
      <c r="A2866" t="str">
        <f>"2862"</f>
        <v>2862</v>
      </c>
      <c r="B2866" t="str">
        <f t="shared" si="165"/>
        <v>1</v>
      </c>
      <c r="C2866" t="str">
        <f t="shared" si="166"/>
        <v>127</v>
      </c>
      <c r="D2866" t="str">
        <f>"8"</f>
        <v>8</v>
      </c>
      <c r="E2866" t="str">
        <f>"1-127-8"</f>
        <v>1-127-8</v>
      </c>
      <c r="F2866" t="s">
        <v>83</v>
      </c>
      <c r="G2866" t="s">
        <v>84</v>
      </c>
      <c r="H2866" t="s">
        <v>92</v>
      </c>
      <c r="I2866">
        <v>1</v>
      </c>
      <c r="J2866">
        <v>1</v>
      </c>
      <c r="N2866">
        <v>1</v>
      </c>
      <c r="O2866">
        <v>1</v>
      </c>
      <c r="P2866">
        <v>1</v>
      </c>
      <c r="Q2866">
        <v>1</v>
      </c>
      <c r="R2866">
        <v>1</v>
      </c>
      <c r="S2866">
        <v>1</v>
      </c>
      <c r="T2866">
        <v>1</v>
      </c>
      <c r="W2866">
        <v>1</v>
      </c>
      <c r="X2866">
        <v>1</v>
      </c>
      <c r="Y2866">
        <v>1</v>
      </c>
      <c r="Z2866">
        <v>1</v>
      </c>
      <c r="AA2866">
        <v>1</v>
      </c>
      <c r="AB2866">
        <v>1</v>
      </c>
    </row>
    <row r="2867" spans="1:28" x14ac:dyDescent="0.25">
      <c r="A2867" t="str">
        <f>"2863"</f>
        <v>2863</v>
      </c>
      <c r="B2867" t="str">
        <f t="shared" si="165"/>
        <v>1</v>
      </c>
      <c r="C2867" t="str">
        <f t="shared" si="166"/>
        <v>127</v>
      </c>
      <c r="D2867" t="str">
        <f>"1"</f>
        <v>1</v>
      </c>
      <c r="E2867" t="str">
        <f>"1-127-1"</f>
        <v>1-127-1</v>
      </c>
      <c r="F2867" t="s">
        <v>83</v>
      </c>
      <c r="G2867" t="s">
        <v>84</v>
      </c>
      <c r="H2867" t="s">
        <v>92</v>
      </c>
      <c r="I2867">
        <v>0</v>
      </c>
      <c r="J2867">
        <v>0</v>
      </c>
      <c r="N2867">
        <v>0</v>
      </c>
      <c r="O2867">
        <v>1</v>
      </c>
      <c r="P2867">
        <v>0</v>
      </c>
      <c r="Q2867">
        <v>1</v>
      </c>
      <c r="R2867">
        <v>1</v>
      </c>
      <c r="S2867">
        <v>1</v>
      </c>
      <c r="T2867">
        <v>1</v>
      </c>
      <c r="W2867">
        <v>0</v>
      </c>
      <c r="X2867">
        <v>0</v>
      </c>
      <c r="Y2867">
        <v>1</v>
      </c>
      <c r="Z2867">
        <v>1</v>
      </c>
      <c r="AA2867">
        <v>1</v>
      </c>
      <c r="AB2867">
        <v>1</v>
      </c>
    </row>
    <row r="2868" spans="1:28" x14ac:dyDescent="0.25">
      <c r="A2868" t="str">
        <f>"2864"</f>
        <v>2864</v>
      </c>
      <c r="B2868" t="str">
        <f t="shared" si="165"/>
        <v>1</v>
      </c>
      <c r="C2868" t="str">
        <f t="shared" si="166"/>
        <v>127</v>
      </c>
      <c r="D2868" t="str">
        <f>"22"</f>
        <v>22</v>
      </c>
      <c r="E2868" t="str">
        <f>"1-127-22"</f>
        <v>1-127-22</v>
      </c>
      <c r="F2868" t="s">
        <v>83</v>
      </c>
      <c r="G2868" t="s">
        <v>84</v>
      </c>
      <c r="H2868" t="s">
        <v>92</v>
      </c>
      <c r="I2868">
        <v>1</v>
      </c>
      <c r="J2868">
        <v>0</v>
      </c>
      <c r="N2868">
        <v>1</v>
      </c>
      <c r="O2868">
        <v>1</v>
      </c>
      <c r="P2868">
        <v>0</v>
      </c>
      <c r="Q2868">
        <v>1</v>
      </c>
      <c r="R2868">
        <v>0</v>
      </c>
      <c r="S2868">
        <v>0</v>
      </c>
      <c r="T2868">
        <v>0</v>
      </c>
      <c r="W2868">
        <v>0</v>
      </c>
      <c r="X2868">
        <v>0</v>
      </c>
      <c r="Y2868">
        <v>0</v>
      </c>
      <c r="Z2868">
        <v>0</v>
      </c>
      <c r="AA2868">
        <v>0</v>
      </c>
      <c r="AB2868">
        <v>0</v>
      </c>
    </row>
    <row r="2869" spans="1:28" x14ac:dyDescent="0.25">
      <c r="A2869" t="str">
        <f>"2865"</f>
        <v>2865</v>
      </c>
      <c r="B2869" t="str">
        <f t="shared" si="165"/>
        <v>1</v>
      </c>
      <c r="C2869" t="str">
        <f t="shared" si="166"/>
        <v>127</v>
      </c>
      <c r="D2869" t="str">
        <f>"14"</f>
        <v>14</v>
      </c>
      <c r="E2869" t="str">
        <f>"1-127-14"</f>
        <v>1-127-14</v>
      </c>
      <c r="F2869" t="s">
        <v>83</v>
      </c>
      <c r="G2869" t="s">
        <v>84</v>
      </c>
      <c r="H2869" t="s">
        <v>92</v>
      </c>
      <c r="I2869">
        <v>1</v>
      </c>
      <c r="J2869">
        <v>1</v>
      </c>
      <c r="N2869">
        <v>1</v>
      </c>
      <c r="O2869">
        <v>1</v>
      </c>
      <c r="P2869">
        <v>1</v>
      </c>
      <c r="Q2869">
        <v>1</v>
      </c>
      <c r="R2869">
        <v>1</v>
      </c>
      <c r="S2869">
        <v>1</v>
      </c>
      <c r="T2869">
        <v>1</v>
      </c>
      <c r="W2869">
        <v>1</v>
      </c>
      <c r="X2869">
        <v>1</v>
      </c>
      <c r="Y2869">
        <v>1</v>
      </c>
      <c r="Z2869">
        <v>1</v>
      </c>
      <c r="AA2869">
        <v>1</v>
      </c>
      <c r="AB2869">
        <v>1</v>
      </c>
    </row>
    <row r="2870" spans="1:28" x14ac:dyDescent="0.25">
      <c r="A2870" t="str">
        <f>"2866"</f>
        <v>2866</v>
      </c>
      <c r="B2870" t="str">
        <f t="shared" si="165"/>
        <v>1</v>
      </c>
      <c r="C2870" t="str">
        <f t="shared" si="166"/>
        <v>127</v>
      </c>
      <c r="D2870" t="str">
        <f>"9"</f>
        <v>9</v>
      </c>
      <c r="E2870" t="str">
        <f>"1-127-9"</f>
        <v>1-127-9</v>
      </c>
      <c r="F2870" t="s">
        <v>83</v>
      </c>
      <c r="G2870" t="s">
        <v>84</v>
      </c>
      <c r="H2870" t="s">
        <v>92</v>
      </c>
      <c r="I2870">
        <v>1</v>
      </c>
      <c r="J2870">
        <v>1</v>
      </c>
      <c r="N2870">
        <v>1</v>
      </c>
      <c r="O2870">
        <v>1</v>
      </c>
      <c r="P2870">
        <v>1</v>
      </c>
      <c r="Q2870">
        <v>1</v>
      </c>
      <c r="R2870">
        <v>1</v>
      </c>
      <c r="S2870">
        <v>1</v>
      </c>
      <c r="T2870">
        <v>1</v>
      </c>
      <c r="W2870">
        <v>1</v>
      </c>
      <c r="X2870">
        <v>1</v>
      </c>
      <c r="Y2870">
        <v>1</v>
      </c>
      <c r="Z2870">
        <v>1</v>
      </c>
      <c r="AA2870">
        <v>1</v>
      </c>
      <c r="AB2870">
        <v>1</v>
      </c>
    </row>
    <row r="2871" spans="1:28" x14ac:dyDescent="0.25">
      <c r="A2871" t="str">
        <f>"2867"</f>
        <v>2867</v>
      </c>
      <c r="B2871" t="str">
        <f t="shared" si="165"/>
        <v>1</v>
      </c>
      <c r="C2871" t="str">
        <f t="shared" si="166"/>
        <v>127</v>
      </c>
      <c r="D2871" t="str">
        <f>"6"</f>
        <v>6</v>
      </c>
      <c r="E2871" t="str">
        <f>"1-127-6"</f>
        <v>1-127-6</v>
      </c>
      <c r="F2871" t="s">
        <v>83</v>
      </c>
      <c r="G2871" t="s">
        <v>84</v>
      </c>
      <c r="H2871" t="s">
        <v>92</v>
      </c>
      <c r="I2871">
        <v>1</v>
      </c>
      <c r="J2871">
        <v>1</v>
      </c>
      <c r="N2871">
        <v>1</v>
      </c>
      <c r="O2871">
        <v>1</v>
      </c>
      <c r="P2871">
        <v>1</v>
      </c>
      <c r="Q2871">
        <v>1</v>
      </c>
      <c r="R2871">
        <v>1</v>
      </c>
      <c r="S2871">
        <v>1</v>
      </c>
      <c r="T2871">
        <v>1</v>
      </c>
      <c r="W2871">
        <v>1</v>
      </c>
      <c r="X2871">
        <v>1</v>
      </c>
      <c r="Y2871">
        <v>1</v>
      </c>
      <c r="Z2871">
        <v>1</v>
      </c>
      <c r="AA2871">
        <v>1</v>
      </c>
      <c r="AB2871">
        <v>1</v>
      </c>
    </row>
    <row r="2872" spans="1:28" x14ac:dyDescent="0.25">
      <c r="A2872" t="str">
        <f>"2868"</f>
        <v>2868</v>
      </c>
      <c r="B2872" t="str">
        <f t="shared" si="165"/>
        <v>1</v>
      </c>
      <c r="C2872" t="str">
        <f t="shared" si="166"/>
        <v>127</v>
      </c>
      <c r="D2872" t="str">
        <f>"16"</f>
        <v>16</v>
      </c>
      <c r="E2872" t="str">
        <f>"1-127-16"</f>
        <v>1-127-16</v>
      </c>
      <c r="F2872" t="s">
        <v>83</v>
      </c>
      <c r="G2872" t="s">
        <v>84</v>
      </c>
      <c r="H2872" t="s">
        <v>92</v>
      </c>
      <c r="I2872">
        <v>1</v>
      </c>
      <c r="J2872">
        <v>1</v>
      </c>
      <c r="N2872">
        <v>1</v>
      </c>
      <c r="O2872">
        <v>1</v>
      </c>
      <c r="P2872">
        <v>1</v>
      </c>
      <c r="Q2872">
        <v>1</v>
      </c>
      <c r="R2872">
        <v>1</v>
      </c>
      <c r="S2872">
        <v>1</v>
      </c>
      <c r="T2872">
        <v>1</v>
      </c>
      <c r="W2872">
        <v>1</v>
      </c>
      <c r="X2872">
        <v>1</v>
      </c>
      <c r="Y2872">
        <v>1</v>
      </c>
      <c r="Z2872">
        <v>1</v>
      </c>
      <c r="AA2872">
        <v>1</v>
      </c>
      <c r="AB2872">
        <v>1</v>
      </c>
    </row>
    <row r="2873" spans="1:28" x14ac:dyDescent="0.25">
      <c r="A2873" t="str">
        <f>"2869"</f>
        <v>2869</v>
      </c>
      <c r="B2873" t="str">
        <f t="shared" si="165"/>
        <v>1</v>
      </c>
      <c r="C2873" t="str">
        <f t="shared" si="166"/>
        <v>127</v>
      </c>
      <c r="D2873" t="str">
        <f>"10"</f>
        <v>10</v>
      </c>
      <c r="E2873" t="str">
        <f>"1-127-10"</f>
        <v>1-127-10</v>
      </c>
      <c r="F2873" t="s">
        <v>83</v>
      </c>
      <c r="G2873" t="s">
        <v>84</v>
      </c>
      <c r="H2873" t="s">
        <v>92</v>
      </c>
      <c r="I2873">
        <v>1</v>
      </c>
      <c r="J2873">
        <v>1</v>
      </c>
      <c r="N2873">
        <v>1</v>
      </c>
      <c r="O2873">
        <v>1</v>
      </c>
      <c r="P2873">
        <v>1</v>
      </c>
      <c r="Q2873">
        <v>1</v>
      </c>
      <c r="R2873">
        <v>1</v>
      </c>
      <c r="S2873">
        <v>1</v>
      </c>
      <c r="T2873">
        <v>1</v>
      </c>
      <c r="W2873">
        <v>1</v>
      </c>
      <c r="X2873">
        <v>1</v>
      </c>
      <c r="Y2873">
        <v>1</v>
      </c>
      <c r="Z2873">
        <v>1</v>
      </c>
      <c r="AA2873">
        <v>1</v>
      </c>
      <c r="AB2873">
        <v>1</v>
      </c>
    </row>
    <row r="2874" spans="1:28" x14ac:dyDescent="0.25">
      <c r="A2874" t="str">
        <f>"2870"</f>
        <v>2870</v>
      </c>
      <c r="B2874" t="str">
        <f t="shared" si="165"/>
        <v>1</v>
      </c>
      <c r="C2874" t="str">
        <f t="shared" si="166"/>
        <v>127</v>
      </c>
      <c r="D2874" t="str">
        <f>"3"</f>
        <v>3</v>
      </c>
      <c r="E2874" t="str">
        <f>"1-127-3"</f>
        <v>1-127-3</v>
      </c>
      <c r="F2874" t="s">
        <v>83</v>
      </c>
      <c r="G2874" t="s">
        <v>84</v>
      </c>
      <c r="H2874" t="s">
        <v>92</v>
      </c>
      <c r="I2874">
        <v>1</v>
      </c>
      <c r="J2874">
        <v>1</v>
      </c>
      <c r="N2874">
        <v>1</v>
      </c>
      <c r="O2874">
        <v>1</v>
      </c>
      <c r="P2874">
        <v>1</v>
      </c>
      <c r="Q2874">
        <v>1</v>
      </c>
      <c r="R2874">
        <v>1</v>
      </c>
      <c r="S2874">
        <v>1</v>
      </c>
      <c r="T2874">
        <v>1</v>
      </c>
      <c r="W2874">
        <v>1</v>
      </c>
      <c r="X2874">
        <v>1</v>
      </c>
      <c r="Y2874">
        <v>1</v>
      </c>
      <c r="Z2874">
        <v>1</v>
      </c>
      <c r="AA2874">
        <v>1</v>
      </c>
      <c r="AB2874">
        <v>1</v>
      </c>
    </row>
    <row r="2875" spans="1:28" x14ac:dyDescent="0.25">
      <c r="A2875" t="str">
        <f>"2871"</f>
        <v>2871</v>
      </c>
      <c r="B2875" t="str">
        <f t="shared" si="165"/>
        <v>1</v>
      </c>
      <c r="C2875" t="str">
        <f t="shared" si="166"/>
        <v>127</v>
      </c>
      <c r="D2875" t="str">
        <f>"15"</f>
        <v>15</v>
      </c>
      <c r="E2875" t="str">
        <f>"1-127-15"</f>
        <v>1-127-15</v>
      </c>
      <c r="F2875" t="s">
        <v>83</v>
      </c>
      <c r="G2875" t="s">
        <v>84</v>
      </c>
      <c r="H2875" t="s">
        <v>92</v>
      </c>
      <c r="I2875">
        <v>1</v>
      </c>
      <c r="J2875">
        <v>1</v>
      </c>
      <c r="N2875">
        <v>1</v>
      </c>
      <c r="O2875">
        <v>1</v>
      </c>
      <c r="P2875">
        <v>1</v>
      </c>
      <c r="Q2875">
        <v>1</v>
      </c>
      <c r="R2875">
        <v>1</v>
      </c>
      <c r="S2875">
        <v>1</v>
      </c>
      <c r="T2875">
        <v>1</v>
      </c>
      <c r="W2875">
        <v>1</v>
      </c>
      <c r="X2875">
        <v>1</v>
      </c>
      <c r="Y2875">
        <v>1</v>
      </c>
      <c r="Z2875">
        <v>1</v>
      </c>
      <c r="AA2875">
        <v>1</v>
      </c>
      <c r="AB2875">
        <v>1</v>
      </c>
    </row>
    <row r="2876" spans="1:28" x14ac:dyDescent="0.25">
      <c r="A2876" t="str">
        <f>"2872"</f>
        <v>2872</v>
      </c>
      <c r="B2876" t="str">
        <f t="shared" si="165"/>
        <v>1</v>
      </c>
      <c r="C2876" t="str">
        <f t="shared" si="166"/>
        <v>127</v>
      </c>
      <c r="D2876" t="str">
        <f>"11"</f>
        <v>11</v>
      </c>
      <c r="E2876" t="str">
        <f>"1-127-11"</f>
        <v>1-127-11</v>
      </c>
      <c r="F2876" t="s">
        <v>83</v>
      </c>
      <c r="G2876" t="s">
        <v>84</v>
      </c>
      <c r="H2876" t="s">
        <v>92</v>
      </c>
      <c r="I2876">
        <v>1</v>
      </c>
      <c r="J2876">
        <v>1</v>
      </c>
      <c r="N2876">
        <v>1</v>
      </c>
      <c r="O2876">
        <v>1</v>
      </c>
      <c r="P2876">
        <v>1</v>
      </c>
      <c r="Q2876">
        <v>1</v>
      </c>
      <c r="R2876">
        <v>1</v>
      </c>
      <c r="S2876">
        <v>1</v>
      </c>
      <c r="T2876">
        <v>1</v>
      </c>
      <c r="W2876">
        <v>1</v>
      </c>
      <c r="X2876">
        <v>1</v>
      </c>
      <c r="Y2876">
        <v>1</v>
      </c>
      <c r="Z2876">
        <v>1</v>
      </c>
      <c r="AA2876">
        <v>1</v>
      </c>
      <c r="AB2876">
        <v>1</v>
      </c>
    </row>
    <row r="2877" spans="1:28" x14ac:dyDescent="0.25">
      <c r="A2877" t="str">
        <f>"2873"</f>
        <v>2873</v>
      </c>
      <c r="B2877" t="str">
        <f t="shared" si="165"/>
        <v>1</v>
      </c>
      <c r="C2877" t="str">
        <f t="shared" si="166"/>
        <v>127</v>
      </c>
      <c r="D2877" t="str">
        <f>"2"</f>
        <v>2</v>
      </c>
      <c r="E2877" t="str">
        <f>"1-127-2"</f>
        <v>1-127-2</v>
      </c>
      <c r="F2877" t="s">
        <v>83</v>
      </c>
      <c r="G2877" t="s">
        <v>84</v>
      </c>
      <c r="H2877" t="s">
        <v>92</v>
      </c>
      <c r="I2877">
        <v>1</v>
      </c>
      <c r="J2877">
        <v>1</v>
      </c>
      <c r="N2877">
        <v>1</v>
      </c>
      <c r="O2877">
        <v>1</v>
      </c>
      <c r="P2877">
        <v>1</v>
      </c>
      <c r="Q2877">
        <v>1</v>
      </c>
      <c r="R2877">
        <v>1</v>
      </c>
      <c r="S2877">
        <v>0</v>
      </c>
      <c r="T2877">
        <v>0</v>
      </c>
      <c r="W2877">
        <v>0</v>
      </c>
      <c r="X2877">
        <v>1</v>
      </c>
      <c r="Y2877">
        <v>1</v>
      </c>
      <c r="Z2877">
        <v>1</v>
      </c>
      <c r="AA2877">
        <v>0</v>
      </c>
      <c r="AB2877">
        <v>0</v>
      </c>
    </row>
    <row r="2878" spans="1:28" x14ac:dyDescent="0.25">
      <c r="A2878" t="str">
        <f>"2874"</f>
        <v>2874</v>
      </c>
      <c r="B2878" t="str">
        <f t="shared" si="165"/>
        <v>1</v>
      </c>
      <c r="C2878" t="str">
        <f t="shared" si="166"/>
        <v>127</v>
      </c>
      <c r="D2878" t="str">
        <f>"17"</f>
        <v>17</v>
      </c>
      <c r="E2878" t="str">
        <f>"1-127-17"</f>
        <v>1-127-17</v>
      </c>
      <c r="F2878" t="s">
        <v>83</v>
      </c>
      <c r="G2878" t="s">
        <v>84</v>
      </c>
      <c r="H2878" t="s">
        <v>92</v>
      </c>
      <c r="I2878">
        <v>1</v>
      </c>
      <c r="J2878">
        <v>1</v>
      </c>
      <c r="N2878">
        <v>1</v>
      </c>
      <c r="O2878">
        <v>1</v>
      </c>
      <c r="P2878">
        <v>1</v>
      </c>
      <c r="Q2878">
        <v>1</v>
      </c>
      <c r="R2878">
        <v>1</v>
      </c>
      <c r="S2878">
        <v>1</v>
      </c>
      <c r="T2878">
        <v>1</v>
      </c>
      <c r="W2878">
        <v>1</v>
      </c>
      <c r="X2878">
        <v>1</v>
      </c>
      <c r="Y2878">
        <v>1</v>
      </c>
      <c r="Z2878">
        <v>1</v>
      </c>
      <c r="AA2878">
        <v>1</v>
      </c>
      <c r="AB2878">
        <v>1</v>
      </c>
    </row>
    <row r="2879" spans="1:28" x14ac:dyDescent="0.25">
      <c r="A2879" t="str">
        <f>"2875"</f>
        <v>2875</v>
      </c>
      <c r="B2879" t="str">
        <f t="shared" si="165"/>
        <v>1</v>
      </c>
      <c r="C2879" t="str">
        <f t="shared" si="166"/>
        <v>127</v>
      </c>
      <c r="D2879" t="str">
        <f>"12"</f>
        <v>12</v>
      </c>
      <c r="E2879" t="str">
        <f>"1-127-12"</f>
        <v>1-127-12</v>
      </c>
      <c r="F2879" t="s">
        <v>83</v>
      </c>
      <c r="G2879" t="s">
        <v>84</v>
      </c>
      <c r="H2879" t="s">
        <v>92</v>
      </c>
      <c r="I2879">
        <v>1</v>
      </c>
      <c r="J2879">
        <v>1</v>
      </c>
      <c r="N2879">
        <v>1</v>
      </c>
      <c r="O2879">
        <v>1</v>
      </c>
      <c r="P2879">
        <v>1</v>
      </c>
      <c r="Q2879">
        <v>1</v>
      </c>
      <c r="R2879">
        <v>1</v>
      </c>
      <c r="S2879">
        <v>1</v>
      </c>
      <c r="T2879">
        <v>1</v>
      </c>
      <c r="W2879">
        <v>1</v>
      </c>
      <c r="X2879">
        <v>1</v>
      </c>
      <c r="Y2879">
        <v>1</v>
      </c>
      <c r="Z2879">
        <v>1</v>
      </c>
      <c r="AA2879">
        <v>1</v>
      </c>
      <c r="AB2879">
        <v>1</v>
      </c>
    </row>
    <row r="2880" spans="1:28" x14ac:dyDescent="0.25">
      <c r="A2880" t="str">
        <f>"2876"</f>
        <v>2876</v>
      </c>
      <c r="B2880" t="str">
        <f t="shared" si="165"/>
        <v>1</v>
      </c>
      <c r="C2880" t="str">
        <f t="shared" si="166"/>
        <v>127</v>
      </c>
      <c r="D2880" t="str">
        <f>"7"</f>
        <v>7</v>
      </c>
      <c r="E2880" t="str">
        <f>"1-127-7"</f>
        <v>1-127-7</v>
      </c>
      <c r="F2880" t="s">
        <v>83</v>
      </c>
      <c r="G2880" t="s">
        <v>84</v>
      </c>
      <c r="H2880" t="s">
        <v>92</v>
      </c>
      <c r="I2880">
        <v>1</v>
      </c>
      <c r="J2880">
        <v>1</v>
      </c>
      <c r="N2880">
        <v>1</v>
      </c>
      <c r="O2880">
        <v>1</v>
      </c>
      <c r="P2880">
        <v>1</v>
      </c>
      <c r="Q2880">
        <v>1</v>
      </c>
      <c r="R2880">
        <v>1</v>
      </c>
      <c r="S2880">
        <v>1</v>
      </c>
      <c r="T2880">
        <v>1</v>
      </c>
      <c r="W2880">
        <v>1</v>
      </c>
      <c r="X2880">
        <v>1</v>
      </c>
      <c r="Y2880">
        <v>1</v>
      </c>
      <c r="Z2880">
        <v>1</v>
      </c>
      <c r="AA2880">
        <v>1</v>
      </c>
      <c r="AB2880">
        <v>1</v>
      </c>
    </row>
    <row r="2881" spans="1:28" x14ac:dyDescent="0.25">
      <c r="A2881" t="str">
        <f>"2877"</f>
        <v>2877</v>
      </c>
      <c r="B2881" t="str">
        <f t="shared" si="165"/>
        <v>1</v>
      </c>
      <c r="C2881" t="str">
        <f t="shared" si="166"/>
        <v>127</v>
      </c>
      <c r="D2881" t="str">
        <f>"18"</f>
        <v>18</v>
      </c>
      <c r="E2881" t="str">
        <f>"1-127-18"</f>
        <v>1-127-18</v>
      </c>
      <c r="F2881" t="s">
        <v>83</v>
      </c>
      <c r="G2881" t="s">
        <v>84</v>
      </c>
      <c r="H2881" t="s">
        <v>92</v>
      </c>
      <c r="I2881">
        <v>1</v>
      </c>
      <c r="J2881">
        <v>1</v>
      </c>
      <c r="N2881">
        <v>1</v>
      </c>
      <c r="O2881">
        <v>1</v>
      </c>
      <c r="P2881">
        <v>1</v>
      </c>
      <c r="Q2881">
        <v>1</v>
      </c>
      <c r="R2881">
        <v>1</v>
      </c>
      <c r="S2881">
        <v>1</v>
      </c>
      <c r="T2881">
        <v>1</v>
      </c>
      <c r="W2881">
        <v>1</v>
      </c>
      <c r="X2881">
        <v>1</v>
      </c>
      <c r="Y2881">
        <v>1</v>
      </c>
      <c r="Z2881">
        <v>1</v>
      </c>
      <c r="AA2881">
        <v>1</v>
      </c>
      <c r="AB2881">
        <v>1</v>
      </c>
    </row>
    <row r="2882" spans="1:28" x14ac:dyDescent="0.25">
      <c r="A2882" t="str">
        <f>"2878"</f>
        <v>2878</v>
      </c>
      <c r="B2882" t="str">
        <f t="shared" si="165"/>
        <v>1</v>
      </c>
      <c r="C2882" t="str">
        <f t="shared" si="166"/>
        <v>127</v>
      </c>
      <c r="D2882" t="str">
        <f>"4"</f>
        <v>4</v>
      </c>
      <c r="E2882" t="str">
        <f>"1-127-4"</f>
        <v>1-127-4</v>
      </c>
      <c r="F2882" t="s">
        <v>83</v>
      </c>
      <c r="G2882" t="s">
        <v>84</v>
      </c>
      <c r="H2882" t="s">
        <v>92</v>
      </c>
      <c r="I2882">
        <v>1</v>
      </c>
      <c r="J2882">
        <v>1</v>
      </c>
      <c r="N2882">
        <v>1</v>
      </c>
      <c r="O2882">
        <v>1</v>
      </c>
      <c r="P2882">
        <v>1</v>
      </c>
      <c r="Q2882">
        <v>1</v>
      </c>
      <c r="R2882">
        <v>1</v>
      </c>
      <c r="S2882">
        <v>1</v>
      </c>
      <c r="T2882">
        <v>1</v>
      </c>
      <c r="W2882">
        <v>1</v>
      </c>
      <c r="X2882">
        <v>1</v>
      </c>
      <c r="Y2882">
        <v>1</v>
      </c>
      <c r="Z2882">
        <v>1</v>
      </c>
      <c r="AA2882">
        <v>1</v>
      </c>
      <c r="AB2882">
        <v>1</v>
      </c>
    </row>
    <row r="2883" spans="1:28" x14ac:dyDescent="0.25">
      <c r="A2883" t="str">
        <f>"2879"</f>
        <v>2879</v>
      </c>
      <c r="B2883" t="str">
        <f t="shared" si="165"/>
        <v>1</v>
      </c>
      <c r="C2883" t="str">
        <f t="shared" si="166"/>
        <v>127</v>
      </c>
      <c r="D2883" t="str">
        <f>"19"</f>
        <v>19</v>
      </c>
      <c r="E2883" t="str">
        <f>"1-127-19"</f>
        <v>1-127-19</v>
      </c>
      <c r="F2883" t="s">
        <v>83</v>
      </c>
      <c r="G2883" t="s">
        <v>84</v>
      </c>
      <c r="H2883" t="s">
        <v>92</v>
      </c>
      <c r="I2883">
        <v>1</v>
      </c>
      <c r="J2883">
        <v>1</v>
      </c>
      <c r="N2883">
        <v>1</v>
      </c>
      <c r="O2883">
        <v>1</v>
      </c>
      <c r="P2883">
        <v>1</v>
      </c>
      <c r="Q2883">
        <v>1</v>
      </c>
      <c r="R2883">
        <v>1</v>
      </c>
      <c r="S2883">
        <v>1</v>
      </c>
      <c r="T2883">
        <v>1</v>
      </c>
      <c r="W2883">
        <v>1</v>
      </c>
      <c r="X2883">
        <v>1</v>
      </c>
      <c r="Y2883">
        <v>1</v>
      </c>
      <c r="Z2883">
        <v>1</v>
      </c>
      <c r="AA2883">
        <v>1</v>
      </c>
      <c r="AB2883">
        <v>1</v>
      </c>
    </row>
    <row r="2884" spans="1:28" x14ac:dyDescent="0.25">
      <c r="A2884" t="str">
        <f>"2880"</f>
        <v>2880</v>
      </c>
      <c r="B2884" t="str">
        <f t="shared" si="165"/>
        <v>1</v>
      </c>
      <c r="C2884" t="str">
        <f t="shared" si="166"/>
        <v>127</v>
      </c>
      <c r="D2884" t="str">
        <f>"5"</f>
        <v>5</v>
      </c>
      <c r="E2884" t="str">
        <f>"1-127-5"</f>
        <v>1-127-5</v>
      </c>
      <c r="F2884" t="s">
        <v>83</v>
      </c>
      <c r="G2884" t="s">
        <v>84</v>
      </c>
      <c r="H2884" t="s">
        <v>92</v>
      </c>
      <c r="I2884">
        <v>1</v>
      </c>
      <c r="J2884">
        <v>1</v>
      </c>
      <c r="N2884">
        <v>1</v>
      </c>
      <c r="O2884">
        <v>1</v>
      </c>
      <c r="P2884">
        <v>1</v>
      </c>
      <c r="Q2884">
        <v>1</v>
      </c>
      <c r="R2884">
        <v>1</v>
      </c>
      <c r="S2884">
        <v>1</v>
      </c>
      <c r="T2884">
        <v>1</v>
      </c>
      <c r="W2884">
        <v>1</v>
      </c>
      <c r="X2884">
        <v>1</v>
      </c>
      <c r="Y2884">
        <v>1</v>
      </c>
      <c r="Z2884">
        <v>1</v>
      </c>
      <c r="AA2884">
        <v>1</v>
      </c>
      <c r="AB2884">
        <v>1</v>
      </c>
    </row>
    <row r="2885" spans="1:28" x14ac:dyDescent="0.25">
      <c r="A2885" t="str">
        <f>"2881"</f>
        <v>2881</v>
      </c>
      <c r="B2885" t="str">
        <f t="shared" si="165"/>
        <v>1</v>
      </c>
      <c r="C2885" t="str">
        <f t="shared" ref="C2885:C2909" si="167">"128"</f>
        <v>128</v>
      </c>
      <c r="D2885" t="str">
        <f>"21"</f>
        <v>21</v>
      </c>
      <c r="E2885" t="str">
        <f>"1-128-21"</f>
        <v>1-128-21</v>
      </c>
      <c r="F2885" t="s">
        <v>83</v>
      </c>
      <c r="G2885" t="s">
        <v>84</v>
      </c>
      <c r="H2885" t="s">
        <v>92</v>
      </c>
      <c r="I2885">
        <v>1</v>
      </c>
      <c r="J2885">
        <v>1</v>
      </c>
      <c r="N2885">
        <v>1</v>
      </c>
      <c r="O2885">
        <v>1</v>
      </c>
      <c r="P2885">
        <v>1</v>
      </c>
      <c r="Q2885">
        <v>1</v>
      </c>
      <c r="R2885">
        <v>1</v>
      </c>
      <c r="S2885">
        <v>1</v>
      </c>
      <c r="T2885">
        <v>1</v>
      </c>
      <c r="W2885">
        <v>1</v>
      </c>
      <c r="X2885">
        <v>1</v>
      </c>
      <c r="Y2885">
        <v>1</v>
      </c>
      <c r="Z2885">
        <v>1</v>
      </c>
      <c r="AA2885">
        <v>1</v>
      </c>
      <c r="AB2885">
        <v>1</v>
      </c>
    </row>
    <row r="2886" spans="1:28" x14ac:dyDescent="0.25">
      <c r="A2886" t="str">
        <f>"2882"</f>
        <v>2882</v>
      </c>
      <c r="B2886" t="str">
        <f t="shared" si="165"/>
        <v>1</v>
      </c>
      <c r="C2886" t="str">
        <f t="shared" si="167"/>
        <v>128</v>
      </c>
      <c r="D2886" t="str">
        <f>"20"</f>
        <v>20</v>
      </c>
      <c r="E2886" t="str">
        <f>"1-128-20"</f>
        <v>1-128-20</v>
      </c>
      <c r="F2886" t="s">
        <v>83</v>
      </c>
      <c r="G2886" t="s">
        <v>84</v>
      </c>
      <c r="H2886" t="s">
        <v>92</v>
      </c>
      <c r="I2886">
        <v>1</v>
      </c>
      <c r="J2886">
        <v>1</v>
      </c>
      <c r="N2886">
        <v>1</v>
      </c>
      <c r="O2886">
        <v>1</v>
      </c>
      <c r="P2886">
        <v>1</v>
      </c>
      <c r="Q2886">
        <v>1</v>
      </c>
      <c r="R2886">
        <v>1</v>
      </c>
      <c r="S2886">
        <v>1</v>
      </c>
      <c r="T2886">
        <v>1</v>
      </c>
      <c r="W2886">
        <v>1</v>
      </c>
      <c r="X2886">
        <v>1</v>
      </c>
      <c r="Y2886">
        <v>1</v>
      </c>
      <c r="Z2886">
        <v>1</v>
      </c>
      <c r="AA2886">
        <v>1</v>
      </c>
      <c r="AB2886">
        <v>1</v>
      </c>
    </row>
    <row r="2887" spans="1:28" x14ac:dyDescent="0.25">
      <c r="A2887" t="str">
        <f>"2883"</f>
        <v>2883</v>
      </c>
      <c r="B2887" t="str">
        <f t="shared" si="165"/>
        <v>1</v>
      </c>
      <c r="C2887" t="str">
        <f t="shared" si="167"/>
        <v>128</v>
      </c>
      <c r="D2887" t="str">
        <f>"15"</f>
        <v>15</v>
      </c>
      <c r="E2887" t="str">
        <f>"1-128-15"</f>
        <v>1-128-15</v>
      </c>
      <c r="F2887" t="s">
        <v>83</v>
      </c>
      <c r="G2887" t="s">
        <v>84</v>
      </c>
      <c r="H2887" t="s">
        <v>92</v>
      </c>
      <c r="I2887">
        <v>1</v>
      </c>
      <c r="J2887">
        <v>1</v>
      </c>
      <c r="N2887">
        <v>1</v>
      </c>
      <c r="O2887">
        <v>1</v>
      </c>
      <c r="P2887">
        <v>1</v>
      </c>
      <c r="Q2887">
        <v>1</v>
      </c>
      <c r="R2887">
        <v>1</v>
      </c>
      <c r="S2887">
        <v>1</v>
      </c>
      <c r="T2887">
        <v>1</v>
      </c>
      <c r="W2887">
        <v>1</v>
      </c>
      <c r="X2887">
        <v>1</v>
      </c>
      <c r="Y2887">
        <v>1</v>
      </c>
      <c r="Z2887">
        <v>1</v>
      </c>
      <c r="AA2887">
        <v>1</v>
      </c>
      <c r="AB2887">
        <v>1</v>
      </c>
    </row>
    <row r="2888" spans="1:28" x14ac:dyDescent="0.25">
      <c r="A2888" t="str">
        <f>"2884"</f>
        <v>2884</v>
      </c>
      <c r="B2888" t="str">
        <f t="shared" si="165"/>
        <v>1</v>
      </c>
      <c r="C2888" t="str">
        <f t="shared" si="167"/>
        <v>128</v>
      </c>
      <c r="D2888" t="str">
        <f>"8"</f>
        <v>8</v>
      </c>
      <c r="E2888" t="str">
        <f>"1-128-8"</f>
        <v>1-128-8</v>
      </c>
      <c r="F2888" t="s">
        <v>83</v>
      </c>
      <c r="G2888" t="s">
        <v>86</v>
      </c>
      <c r="H2888" t="s">
        <v>93</v>
      </c>
      <c r="I2888">
        <v>1</v>
      </c>
      <c r="K2888">
        <v>0</v>
      </c>
      <c r="L2888">
        <v>0</v>
      </c>
      <c r="M2888">
        <v>1</v>
      </c>
      <c r="N2888">
        <v>1</v>
      </c>
      <c r="O2888">
        <v>1</v>
      </c>
      <c r="P2888">
        <v>1</v>
      </c>
      <c r="Q2888">
        <v>1</v>
      </c>
      <c r="R2888">
        <v>1</v>
      </c>
      <c r="U2888">
        <v>1</v>
      </c>
      <c r="V2888">
        <v>0</v>
      </c>
      <c r="W2888">
        <v>1</v>
      </c>
      <c r="X2888">
        <v>1</v>
      </c>
      <c r="Y2888">
        <v>1</v>
      </c>
      <c r="Z2888">
        <v>1</v>
      </c>
      <c r="AA2888">
        <v>1</v>
      </c>
      <c r="AB2888">
        <v>1</v>
      </c>
    </row>
    <row r="2889" spans="1:28" x14ac:dyDescent="0.25">
      <c r="A2889" t="str">
        <f>"2885"</f>
        <v>2885</v>
      </c>
      <c r="B2889" t="str">
        <f t="shared" si="165"/>
        <v>1</v>
      </c>
      <c r="C2889" t="str">
        <f t="shared" si="167"/>
        <v>128</v>
      </c>
      <c r="D2889" t="str">
        <f>"4"</f>
        <v>4</v>
      </c>
      <c r="E2889" t="str">
        <f>"1-128-4"</f>
        <v>1-128-4</v>
      </c>
      <c r="F2889" t="s">
        <v>83</v>
      </c>
      <c r="G2889" t="s">
        <v>86</v>
      </c>
      <c r="H2889" t="s">
        <v>93</v>
      </c>
      <c r="I2889">
        <v>1</v>
      </c>
      <c r="K2889">
        <v>0</v>
      </c>
      <c r="L2889">
        <v>0</v>
      </c>
      <c r="M2889">
        <v>1</v>
      </c>
      <c r="N2889">
        <v>1</v>
      </c>
      <c r="O2889">
        <v>1</v>
      </c>
      <c r="P2889">
        <v>1</v>
      </c>
      <c r="Q2889">
        <v>1</v>
      </c>
      <c r="R2889">
        <v>1</v>
      </c>
      <c r="U2889">
        <v>0</v>
      </c>
      <c r="V2889">
        <v>1</v>
      </c>
      <c r="W2889">
        <v>1</v>
      </c>
      <c r="X2889">
        <v>1</v>
      </c>
      <c r="Y2889">
        <v>1</v>
      </c>
      <c r="Z2889">
        <v>1</v>
      </c>
      <c r="AA2889">
        <v>1</v>
      </c>
      <c r="AB2889">
        <v>1</v>
      </c>
    </row>
    <row r="2890" spans="1:28" x14ac:dyDescent="0.25">
      <c r="A2890" t="str">
        <f>"2886"</f>
        <v>2886</v>
      </c>
      <c r="B2890" t="str">
        <f t="shared" si="165"/>
        <v>1</v>
      </c>
      <c r="C2890" t="str">
        <f t="shared" si="167"/>
        <v>128</v>
      </c>
      <c r="D2890" t="str">
        <f>"25"</f>
        <v>25</v>
      </c>
      <c r="E2890" t="str">
        <f>"1-128-25"</f>
        <v>1-128-25</v>
      </c>
      <c r="F2890" t="s">
        <v>83</v>
      </c>
      <c r="G2890" t="s">
        <v>84</v>
      </c>
      <c r="H2890" t="s">
        <v>92</v>
      </c>
      <c r="I2890">
        <v>1</v>
      </c>
      <c r="J2890">
        <v>1</v>
      </c>
      <c r="N2890">
        <v>1</v>
      </c>
      <c r="O2890">
        <v>1</v>
      </c>
      <c r="P2890">
        <v>1</v>
      </c>
      <c r="Q2890">
        <v>1</v>
      </c>
      <c r="R2890">
        <v>1</v>
      </c>
      <c r="S2890">
        <v>1</v>
      </c>
      <c r="T2890">
        <v>1</v>
      </c>
      <c r="W2890">
        <v>1</v>
      </c>
      <c r="X2890">
        <v>1</v>
      </c>
      <c r="Y2890">
        <v>1</v>
      </c>
      <c r="Z2890">
        <v>1</v>
      </c>
      <c r="AA2890">
        <v>1</v>
      </c>
      <c r="AB2890">
        <v>1</v>
      </c>
    </row>
    <row r="2891" spans="1:28" x14ac:dyDescent="0.25">
      <c r="A2891" t="str">
        <f>"2887"</f>
        <v>2887</v>
      </c>
      <c r="B2891" t="str">
        <f t="shared" si="165"/>
        <v>1</v>
      </c>
      <c r="C2891" t="str">
        <f t="shared" si="167"/>
        <v>128</v>
      </c>
      <c r="D2891" t="str">
        <f>"16"</f>
        <v>16</v>
      </c>
      <c r="E2891" t="str">
        <f>"1-128-16"</f>
        <v>1-128-16</v>
      </c>
      <c r="F2891" t="s">
        <v>83</v>
      </c>
      <c r="G2891" t="s">
        <v>84</v>
      </c>
      <c r="H2891" t="s">
        <v>92</v>
      </c>
      <c r="I2891">
        <v>1</v>
      </c>
      <c r="J2891">
        <v>1</v>
      </c>
      <c r="N2891">
        <v>1</v>
      </c>
      <c r="O2891">
        <v>1</v>
      </c>
      <c r="P2891">
        <v>1</v>
      </c>
      <c r="Q2891">
        <v>1</v>
      </c>
      <c r="R2891">
        <v>1</v>
      </c>
      <c r="S2891">
        <v>1</v>
      </c>
      <c r="T2891">
        <v>1</v>
      </c>
      <c r="W2891">
        <v>1</v>
      </c>
      <c r="X2891">
        <v>1</v>
      </c>
      <c r="Y2891">
        <v>1</v>
      </c>
      <c r="Z2891">
        <v>1</v>
      </c>
      <c r="AA2891">
        <v>1</v>
      </c>
      <c r="AB2891">
        <v>1</v>
      </c>
    </row>
    <row r="2892" spans="1:28" x14ac:dyDescent="0.25">
      <c r="A2892" t="str">
        <f>"2888"</f>
        <v>2888</v>
      </c>
      <c r="B2892" t="str">
        <f t="shared" si="165"/>
        <v>1</v>
      </c>
      <c r="C2892" t="str">
        <f t="shared" si="167"/>
        <v>128</v>
      </c>
      <c r="D2892" t="str">
        <f>"9"</f>
        <v>9</v>
      </c>
      <c r="E2892" t="str">
        <f>"1-128-9"</f>
        <v>1-128-9</v>
      </c>
      <c r="F2892" t="s">
        <v>83</v>
      </c>
      <c r="G2892" t="s">
        <v>84</v>
      </c>
      <c r="H2892" t="s">
        <v>92</v>
      </c>
      <c r="I2892">
        <v>1</v>
      </c>
      <c r="J2892">
        <v>1</v>
      </c>
      <c r="N2892">
        <v>1</v>
      </c>
      <c r="O2892">
        <v>1</v>
      </c>
      <c r="P2892">
        <v>1</v>
      </c>
      <c r="Q2892">
        <v>1</v>
      </c>
      <c r="R2892">
        <v>1</v>
      </c>
      <c r="S2892">
        <v>1</v>
      </c>
      <c r="T2892">
        <v>1</v>
      </c>
      <c r="W2892">
        <v>1</v>
      </c>
      <c r="X2892">
        <v>1</v>
      </c>
      <c r="Y2892">
        <v>1</v>
      </c>
      <c r="Z2892">
        <v>1</v>
      </c>
      <c r="AA2892">
        <v>1</v>
      </c>
      <c r="AB2892">
        <v>1</v>
      </c>
    </row>
    <row r="2893" spans="1:28" x14ac:dyDescent="0.25">
      <c r="A2893" t="str">
        <f>"2889"</f>
        <v>2889</v>
      </c>
      <c r="B2893" t="str">
        <f t="shared" si="165"/>
        <v>1</v>
      </c>
      <c r="C2893" t="str">
        <f t="shared" si="167"/>
        <v>128</v>
      </c>
      <c r="D2893" t="str">
        <f>"3"</f>
        <v>3</v>
      </c>
      <c r="E2893" t="str">
        <f>"1-128-3"</f>
        <v>1-128-3</v>
      </c>
      <c r="F2893" t="s">
        <v>83</v>
      </c>
      <c r="G2893" t="s">
        <v>86</v>
      </c>
      <c r="H2893" t="s">
        <v>93</v>
      </c>
      <c r="I2893">
        <v>1</v>
      </c>
      <c r="K2893">
        <v>0</v>
      </c>
      <c r="L2893">
        <v>0</v>
      </c>
      <c r="M2893">
        <v>1</v>
      </c>
      <c r="N2893">
        <v>1</v>
      </c>
      <c r="O2893">
        <v>0</v>
      </c>
      <c r="P2893">
        <v>0</v>
      </c>
      <c r="Q2893">
        <v>0</v>
      </c>
      <c r="R2893">
        <v>0</v>
      </c>
      <c r="U2893">
        <v>0</v>
      </c>
      <c r="V2893">
        <v>0</v>
      </c>
      <c r="W2893">
        <v>0</v>
      </c>
      <c r="X2893">
        <v>0</v>
      </c>
      <c r="Y2893">
        <v>0</v>
      </c>
      <c r="Z2893">
        <v>0</v>
      </c>
      <c r="AA2893">
        <v>0</v>
      </c>
      <c r="AB2893">
        <v>0</v>
      </c>
    </row>
    <row r="2894" spans="1:28" x14ac:dyDescent="0.25">
      <c r="A2894" t="str">
        <f>"2890"</f>
        <v>2890</v>
      </c>
      <c r="B2894" t="str">
        <f t="shared" si="165"/>
        <v>1</v>
      </c>
      <c r="C2894" t="str">
        <f t="shared" si="167"/>
        <v>128</v>
      </c>
      <c r="D2894" t="str">
        <f>"24"</f>
        <v>24</v>
      </c>
      <c r="E2894" t="str">
        <f>"1-128-24"</f>
        <v>1-128-24</v>
      </c>
      <c r="F2894" t="s">
        <v>83</v>
      </c>
      <c r="G2894" t="s">
        <v>84</v>
      </c>
      <c r="H2894" t="s">
        <v>92</v>
      </c>
      <c r="I2894">
        <v>1</v>
      </c>
      <c r="J2894">
        <v>1</v>
      </c>
      <c r="N2894">
        <v>1</v>
      </c>
      <c r="O2894">
        <v>1</v>
      </c>
      <c r="P2894">
        <v>1</v>
      </c>
      <c r="Q2894">
        <v>1</v>
      </c>
      <c r="R2894">
        <v>1</v>
      </c>
      <c r="S2894">
        <v>1</v>
      </c>
      <c r="T2894">
        <v>1</v>
      </c>
      <c r="W2894">
        <v>1</v>
      </c>
      <c r="X2894">
        <v>1</v>
      </c>
      <c r="Y2894">
        <v>1</v>
      </c>
      <c r="Z2894">
        <v>1</v>
      </c>
      <c r="AA2894">
        <v>1</v>
      </c>
      <c r="AB2894">
        <v>1</v>
      </c>
    </row>
    <row r="2895" spans="1:28" x14ac:dyDescent="0.25">
      <c r="A2895" t="str">
        <f>"2891"</f>
        <v>2891</v>
      </c>
      <c r="B2895" t="str">
        <f t="shared" si="165"/>
        <v>1</v>
      </c>
      <c r="C2895" t="str">
        <f t="shared" si="167"/>
        <v>128</v>
      </c>
      <c r="D2895" t="str">
        <f>"23"</f>
        <v>23</v>
      </c>
      <c r="E2895" t="str">
        <f>"1-128-23"</f>
        <v>1-128-23</v>
      </c>
      <c r="F2895" t="s">
        <v>83</v>
      </c>
      <c r="G2895" t="s">
        <v>86</v>
      </c>
      <c r="H2895" t="s">
        <v>93</v>
      </c>
      <c r="I2895">
        <v>0</v>
      </c>
      <c r="K2895">
        <v>0</v>
      </c>
      <c r="L2895">
        <v>0</v>
      </c>
      <c r="M2895">
        <v>1</v>
      </c>
      <c r="N2895">
        <v>1</v>
      </c>
      <c r="O2895">
        <v>0</v>
      </c>
      <c r="P2895">
        <v>0</v>
      </c>
      <c r="Q2895">
        <v>0</v>
      </c>
      <c r="R2895">
        <v>0</v>
      </c>
      <c r="U2895">
        <v>0</v>
      </c>
      <c r="V2895">
        <v>1</v>
      </c>
      <c r="W2895">
        <v>0</v>
      </c>
      <c r="X2895">
        <v>0</v>
      </c>
      <c r="Y2895">
        <v>0</v>
      </c>
      <c r="Z2895">
        <v>0</v>
      </c>
      <c r="AA2895">
        <v>0</v>
      </c>
      <c r="AB2895">
        <v>0</v>
      </c>
    </row>
    <row r="2896" spans="1:28" x14ac:dyDescent="0.25">
      <c r="A2896" t="str">
        <f>"2892"</f>
        <v>2892</v>
      </c>
      <c r="B2896" t="str">
        <f t="shared" si="165"/>
        <v>1</v>
      </c>
      <c r="C2896" t="str">
        <f t="shared" si="167"/>
        <v>128</v>
      </c>
      <c r="D2896" t="str">
        <f>"17"</f>
        <v>17</v>
      </c>
      <c r="E2896" t="str">
        <f>"1-128-17"</f>
        <v>1-128-17</v>
      </c>
      <c r="F2896" t="s">
        <v>83</v>
      </c>
      <c r="G2896" t="s">
        <v>84</v>
      </c>
      <c r="H2896" t="s">
        <v>92</v>
      </c>
      <c r="I2896">
        <v>1</v>
      </c>
      <c r="J2896">
        <v>1</v>
      </c>
      <c r="N2896">
        <v>1</v>
      </c>
      <c r="O2896">
        <v>1</v>
      </c>
      <c r="P2896">
        <v>1</v>
      </c>
      <c r="Q2896">
        <v>1</v>
      </c>
      <c r="R2896">
        <v>1</v>
      </c>
      <c r="S2896">
        <v>1</v>
      </c>
      <c r="T2896">
        <v>1</v>
      </c>
      <c r="W2896">
        <v>1</v>
      </c>
      <c r="X2896">
        <v>1</v>
      </c>
      <c r="Y2896">
        <v>1</v>
      </c>
      <c r="Z2896">
        <v>1</v>
      </c>
      <c r="AA2896">
        <v>1</v>
      </c>
      <c r="AB2896">
        <v>1</v>
      </c>
    </row>
    <row r="2897" spans="1:49" x14ac:dyDescent="0.25">
      <c r="A2897" t="str">
        <f>"2893"</f>
        <v>2893</v>
      </c>
      <c r="B2897" t="str">
        <f t="shared" si="165"/>
        <v>1</v>
      </c>
      <c r="C2897" t="str">
        <f t="shared" si="167"/>
        <v>128</v>
      </c>
      <c r="D2897" t="str">
        <f>"10"</f>
        <v>10</v>
      </c>
      <c r="E2897" t="str">
        <f>"1-128-10"</f>
        <v>1-128-10</v>
      </c>
      <c r="F2897" t="s">
        <v>83</v>
      </c>
      <c r="G2897" t="s">
        <v>84</v>
      </c>
      <c r="H2897" t="s">
        <v>92</v>
      </c>
      <c r="I2897">
        <v>1</v>
      </c>
      <c r="J2897">
        <v>1</v>
      </c>
      <c r="N2897">
        <v>1</v>
      </c>
      <c r="O2897">
        <v>1</v>
      </c>
      <c r="P2897">
        <v>1</v>
      </c>
      <c r="Q2897">
        <v>1</v>
      </c>
      <c r="R2897">
        <v>1</v>
      </c>
      <c r="S2897">
        <v>1</v>
      </c>
      <c r="T2897">
        <v>1</v>
      </c>
      <c r="W2897">
        <v>1</v>
      </c>
      <c r="X2897">
        <v>1</v>
      </c>
      <c r="Y2897">
        <v>1</v>
      </c>
      <c r="Z2897">
        <v>1</v>
      </c>
      <c r="AA2897">
        <v>1</v>
      </c>
      <c r="AB2897">
        <v>1</v>
      </c>
    </row>
    <row r="2898" spans="1:49" x14ac:dyDescent="0.25">
      <c r="A2898" t="str">
        <f>"2894"</f>
        <v>2894</v>
      </c>
      <c r="B2898" t="str">
        <f t="shared" si="165"/>
        <v>1</v>
      </c>
      <c r="C2898" t="str">
        <f t="shared" si="167"/>
        <v>128</v>
      </c>
      <c r="D2898" t="str">
        <f>"6"</f>
        <v>6</v>
      </c>
      <c r="E2898" t="str">
        <f>"1-128-6"</f>
        <v>1-128-6</v>
      </c>
      <c r="F2898" t="s">
        <v>83</v>
      </c>
      <c r="G2898" t="s">
        <v>86</v>
      </c>
      <c r="H2898" t="s">
        <v>93</v>
      </c>
      <c r="I2898">
        <v>1</v>
      </c>
      <c r="K2898">
        <v>0</v>
      </c>
      <c r="L2898">
        <v>0</v>
      </c>
      <c r="M2898">
        <v>1</v>
      </c>
      <c r="N2898">
        <v>1</v>
      </c>
      <c r="O2898">
        <v>1</v>
      </c>
      <c r="P2898">
        <v>1</v>
      </c>
      <c r="Q2898">
        <v>1</v>
      </c>
      <c r="R2898">
        <v>1</v>
      </c>
      <c r="U2898">
        <v>1</v>
      </c>
      <c r="V2898">
        <v>0</v>
      </c>
      <c r="W2898">
        <v>1</v>
      </c>
      <c r="X2898">
        <v>1</v>
      </c>
      <c r="Y2898">
        <v>1</v>
      </c>
      <c r="Z2898">
        <v>1</v>
      </c>
      <c r="AA2898">
        <v>1</v>
      </c>
      <c r="AB2898">
        <v>1</v>
      </c>
    </row>
    <row r="2899" spans="1:49" x14ac:dyDescent="0.25">
      <c r="A2899" t="str">
        <f>"2895"</f>
        <v>2895</v>
      </c>
      <c r="B2899" t="str">
        <f t="shared" si="165"/>
        <v>1</v>
      </c>
      <c r="C2899" t="str">
        <f t="shared" si="167"/>
        <v>128</v>
      </c>
      <c r="D2899" t="str">
        <f>"18"</f>
        <v>18</v>
      </c>
      <c r="E2899" t="str">
        <f>"1-128-18"</f>
        <v>1-128-18</v>
      </c>
      <c r="F2899" t="s">
        <v>83</v>
      </c>
      <c r="G2899" t="s">
        <v>84</v>
      </c>
      <c r="H2899" t="s">
        <v>92</v>
      </c>
      <c r="I2899">
        <v>1</v>
      </c>
      <c r="J2899">
        <v>1</v>
      </c>
      <c r="N2899">
        <v>1</v>
      </c>
      <c r="O2899">
        <v>1</v>
      </c>
      <c r="P2899">
        <v>1</v>
      </c>
      <c r="Q2899">
        <v>1</v>
      </c>
      <c r="R2899">
        <v>1</v>
      </c>
      <c r="S2899">
        <v>1</v>
      </c>
      <c r="T2899">
        <v>1</v>
      </c>
      <c r="W2899">
        <v>1</v>
      </c>
      <c r="X2899">
        <v>1</v>
      </c>
      <c r="Y2899">
        <v>1</v>
      </c>
      <c r="Z2899">
        <v>1</v>
      </c>
      <c r="AA2899">
        <v>1</v>
      </c>
      <c r="AB2899">
        <v>1</v>
      </c>
    </row>
    <row r="2900" spans="1:49" x14ac:dyDescent="0.25">
      <c r="A2900" t="str">
        <f>"2896"</f>
        <v>2896</v>
      </c>
      <c r="B2900" t="str">
        <f t="shared" si="165"/>
        <v>1</v>
      </c>
      <c r="C2900" t="str">
        <f t="shared" si="167"/>
        <v>128</v>
      </c>
      <c r="D2900" t="str">
        <f>"11"</f>
        <v>11</v>
      </c>
      <c r="E2900" t="str">
        <f>"1-128-11"</f>
        <v>1-128-11</v>
      </c>
      <c r="F2900" t="s">
        <v>83</v>
      </c>
      <c r="G2900" t="s">
        <v>84</v>
      </c>
      <c r="H2900" t="s">
        <v>92</v>
      </c>
      <c r="I2900">
        <v>0</v>
      </c>
      <c r="J2900">
        <v>1</v>
      </c>
      <c r="N2900">
        <v>1</v>
      </c>
      <c r="O2900">
        <v>1</v>
      </c>
      <c r="P2900">
        <v>1</v>
      </c>
      <c r="Q2900">
        <v>1</v>
      </c>
      <c r="R2900">
        <v>1</v>
      </c>
      <c r="S2900">
        <v>1</v>
      </c>
      <c r="T2900">
        <v>1</v>
      </c>
      <c r="W2900">
        <v>1</v>
      </c>
      <c r="X2900">
        <v>1</v>
      </c>
      <c r="Y2900">
        <v>1</v>
      </c>
      <c r="Z2900">
        <v>1</v>
      </c>
      <c r="AA2900">
        <v>1</v>
      </c>
      <c r="AB2900">
        <v>1</v>
      </c>
    </row>
    <row r="2901" spans="1:49" x14ac:dyDescent="0.25">
      <c r="A2901" t="str">
        <f>"2897"</f>
        <v>2897</v>
      </c>
      <c r="B2901" t="str">
        <f t="shared" si="165"/>
        <v>1</v>
      </c>
      <c r="C2901" t="str">
        <f t="shared" si="167"/>
        <v>128</v>
      </c>
      <c r="D2901" t="str">
        <f>"5"</f>
        <v>5</v>
      </c>
      <c r="E2901" t="str">
        <f>"1-128-5"</f>
        <v>1-128-5</v>
      </c>
      <c r="F2901" t="s">
        <v>83</v>
      </c>
      <c r="G2901" t="s">
        <v>86</v>
      </c>
      <c r="H2901" t="s">
        <v>93</v>
      </c>
      <c r="I2901">
        <v>1</v>
      </c>
      <c r="K2901">
        <v>0</v>
      </c>
      <c r="L2901">
        <v>0</v>
      </c>
      <c r="M2901">
        <v>1</v>
      </c>
      <c r="N2901">
        <v>1</v>
      </c>
      <c r="O2901">
        <v>1</v>
      </c>
      <c r="P2901">
        <v>1</v>
      </c>
      <c r="Q2901">
        <v>1</v>
      </c>
      <c r="R2901">
        <v>1</v>
      </c>
      <c r="U2901">
        <v>1</v>
      </c>
      <c r="V2901">
        <v>0</v>
      </c>
      <c r="W2901">
        <v>1</v>
      </c>
      <c r="X2901">
        <v>1</v>
      </c>
      <c r="Y2901">
        <v>1</v>
      </c>
      <c r="Z2901">
        <v>1</v>
      </c>
      <c r="AA2901">
        <v>1</v>
      </c>
      <c r="AB2901">
        <v>1</v>
      </c>
    </row>
    <row r="2902" spans="1:49" x14ac:dyDescent="0.25">
      <c r="A2902" t="str">
        <f>"2898"</f>
        <v>2898</v>
      </c>
      <c r="B2902" t="str">
        <f t="shared" si="165"/>
        <v>1</v>
      </c>
      <c r="C2902" t="str">
        <f t="shared" si="167"/>
        <v>128</v>
      </c>
      <c r="D2902" t="str">
        <f>"19"</f>
        <v>19</v>
      </c>
      <c r="E2902" t="str">
        <f>"1-128-19"</f>
        <v>1-128-19</v>
      </c>
      <c r="F2902" t="s">
        <v>83</v>
      </c>
      <c r="G2902" t="s">
        <v>84</v>
      </c>
      <c r="H2902" t="s">
        <v>92</v>
      </c>
      <c r="I2902">
        <v>1</v>
      </c>
      <c r="J2902">
        <v>1</v>
      </c>
      <c r="N2902">
        <v>1</v>
      </c>
      <c r="O2902">
        <v>1</v>
      </c>
      <c r="P2902">
        <v>1</v>
      </c>
      <c r="Q2902">
        <v>1</v>
      </c>
      <c r="R2902">
        <v>1</v>
      </c>
      <c r="S2902">
        <v>1</v>
      </c>
      <c r="T2902">
        <v>1</v>
      </c>
      <c r="W2902">
        <v>1</v>
      </c>
      <c r="X2902">
        <v>1</v>
      </c>
      <c r="Y2902">
        <v>1</v>
      </c>
      <c r="Z2902">
        <v>1</v>
      </c>
      <c r="AA2902">
        <v>1</v>
      </c>
      <c r="AB2902">
        <v>1</v>
      </c>
    </row>
    <row r="2903" spans="1:49" x14ac:dyDescent="0.25">
      <c r="A2903" t="str">
        <f>"2899"</f>
        <v>2899</v>
      </c>
      <c r="B2903" t="str">
        <f t="shared" si="165"/>
        <v>1</v>
      </c>
      <c r="C2903" t="str">
        <f t="shared" si="167"/>
        <v>128</v>
      </c>
      <c r="D2903" t="str">
        <f>"12"</f>
        <v>12</v>
      </c>
      <c r="E2903" t="str">
        <f>"1-128-12"</f>
        <v>1-128-12</v>
      </c>
      <c r="F2903" t="s">
        <v>83</v>
      </c>
      <c r="G2903" t="s">
        <v>84</v>
      </c>
      <c r="H2903" t="s">
        <v>92</v>
      </c>
      <c r="I2903">
        <v>1</v>
      </c>
      <c r="J2903">
        <v>1</v>
      </c>
      <c r="N2903">
        <v>1</v>
      </c>
      <c r="O2903">
        <v>1</v>
      </c>
      <c r="P2903">
        <v>1</v>
      </c>
      <c r="Q2903">
        <v>1</v>
      </c>
      <c r="R2903">
        <v>1</v>
      </c>
      <c r="S2903">
        <v>1</v>
      </c>
      <c r="T2903">
        <v>1</v>
      </c>
      <c r="W2903">
        <v>1</v>
      </c>
      <c r="X2903">
        <v>1</v>
      </c>
      <c r="Y2903">
        <v>1</v>
      </c>
      <c r="Z2903">
        <v>1</v>
      </c>
      <c r="AA2903">
        <v>1</v>
      </c>
      <c r="AB2903">
        <v>1</v>
      </c>
    </row>
    <row r="2904" spans="1:49" x14ac:dyDescent="0.25">
      <c r="A2904" t="str">
        <f>"2900"</f>
        <v>2900</v>
      </c>
      <c r="B2904" t="str">
        <f t="shared" si="165"/>
        <v>1</v>
      </c>
      <c r="C2904" t="str">
        <f t="shared" si="167"/>
        <v>128</v>
      </c>
      <c r="D2904" t="str">
        <f>"2"</f>
        <v>2</v>
      </c>
      <c r="E2904" t="str">
        <f>"1-128-2"</f>
        <v>1-128-2</v>
      </c>
      <c r="F2904" t="s">
        <v>83</v>
      </c>
      <c r="G2904" t="s">
        <v>86</v>
      </c>
      <c r="H2904" t="s">
        <v>93</v>
      </c>
      <c r="I2904">
        <v>1</v>
      </c>
      <c r="K2904">
        <v>1</v>
      </c>
      <c r="L2904">
        <v>0</v>
      </c>
      <c r="M2904">
        <v>0</v>
      </c>
      <c r="N2904">
        <v>1</v>
      </c>
      <c r="O2904">
        <v>1</v>
      </c>
      <c r="P2904">
        <v>1</v>
      </c>
      <c r="Q2904">
        <v>1</v>
      </c>
      <c r="R2904">
        <v>1</v>
      </c>
      <c r="U2904">
        <v>0</v>
      </c>
      <c r="V2904">
        <v>1</v>
      </c>
      <c r="W2904">
        <v>1</v>
      </c>
      <c r="X2904">
        <v>1</v>
      </c>
      <c r="Y2904">
        <v>1</v>
      </c>
      <c r="Z2904">
        <v>1</v>
      </c>
      <c r="AA2904">
        <v>1</v>
      </c>
      <c r="AB2904">
        <v>1</v>
      </c>
    </row>
    <row r="2905" spans="1:49" x14ac:dyDescent="0.25">
      <c r="A2905" t="str">
        <f>"2901"</f>
        <v>2901</v>
      </c>
      <c r="B2905" t="str">
        <f t="shared" si="165"/>
        <v>1</v>
      </c>
      <c r="C2905" t="str">
        <f t="shared" si="167"/>
        <v>128</v>
      </c>
      <c r="D2905" t="str">
        <f>"22"</f>
        <v>22</v>
      </c>
      <c r="E2905" t="str">
        <f>"1-128-22"</f>
        <v>1-128-22</v>
      </c>
      <c r="F2905" t="s">
        <v>83</v>
      </c>
      <c r="G2905" t="s">
        <v>86</v>
      </c>
      <c r="H2905" t="s">
        <v>93</v>
      </c>
      <c r="I2905">
        <v>1</v>
      </c>
      <c r="K2905">
        <v>0</v>
      </c>
      <c r="L2905">
        <v>0</v>
      </c>
      <c r="M2905">
        <v>1</v>
      </c>
      <c r="N2905">
        <v>1</v>
      </c>
      <c r="O2905">
        <v>0</v>
      </c>
      <c r="P2905">
        <v>0</v>
      </c>
      <c r="Q2905">
        <v>0</v>
      </c>
      <c r="R2905">
        <v>0</v>
      </c>
      <c r="U2905">
        <v>0</v>
      </c>
      <c r="V2905">
        <v>0</v>
      </c>
      <c r="W2905">
        <v>0</v>
      </c>
      <c r="X2905">
        <v>0</v>
      </c>
      <c r="Y2905">
        <v>0</v>
      </c>
      <c r="Z2905">
        <v>0</v>
      </c>
      <c r="AA2905">
        <v>0</v>
      </c>
      <c r="AB2905">
        <v>0</v>
      </c>
    </row>
    <row r="2906" spans="1:49" x14ac:dyDescent="0.25">
      <c r="A2906" t="str">
        <f>"2902"</f>
        <v>2902</v>
      </c>
      <c r="B2906" t="str">
        <f t="shared" si="165"/>
        <v>1</v>
      </c>
      <c r="C2906" t="str">
        <f t="shared" si="167"/>
        <v>128</v>
      </c>
      <c r="D2906" t="str">
        <f>"13"</f>
        <v>13</v>
      </c>
      <c r="E2906" t="str">
        <f>"1-128-13"</f>
        <v>1-128-13</v>
      </c>
      <c r="F2906" t="s">
        <v>83</v>
      </c>
      <c r="G2906" t="s">
        <v>90</v>
      </c>
      <c r="H2906" t="s">
        <v>94</v>
      </c>
      <c r="I2906">
        <v>1</v>
      </c>
      <c r="K2906">
        <v>1</v>
      </c>
      <c r="L2906">
        <v>0</v>
      </c>
      <c r="M2906">
        <v>0</v>
      </c>
      <c r="N2906">
        <v>1</v>
      </c>
      <c r="O2906">
        <v>1</v>
      </c>
      <c r="P2906">
        <v>1</v>
      </c>
      <c r="Q2906">
        <v>1</v>
      </c>
      <c r="R2906">
        <v>1</v>
      </c>
      <c r="S2906">
        <v>1</v>
      </c>
      <c r="U2906">
        <v>0</v>
      </c>
      <c r="V2906">
        <v>1</v>
      </c>
      <c r="W2906">
        <v>1</v>
      </c>
      <c r="X2906">
        <v>1</v>
      </c>
      <c r="Y2906">
        <v>1</v>
      </c>
      <c r="Z2906">
        <v>1</v>
      </c>
      <c r="AA2906">
        <v>1</v>
      </c>
      <c r="AB2906">
        <v>1</v>
      </c>
    </row>
    <row r="2907" spans="1:49" x14ac:dyDescent="0.25">
      <c r="A2907" t="str">
        <f>"2903"</f>
        <v>2903</v>
      </c>
      <c r="B2907" t="str">
        <f t="shared" si="165"/>
        <v>1</v>
      </c>
      <c r="C2907" t="str">
        <f t="shared" si="167"/>
        <v>128</v>
      </c>
      <c r="D2907" t="str">
        <f>"7"</f>
        <v>7</v>
      </c>
      <c r="E2907" t="str">
        <f>"1-128-7"</f>
        <v>1-128-7</v>
      </c>
      <c r="F2907" t="s">
        <v>83</v>
      </c>
      <c r="G2907" t="s">
        <v>86</v>
      </c>
      <c r="H2907" t="s">
        <v>93</v>
      </c>
      <c r="I2907">
        <v>1</v>
      </c>
      <c r="K2907">
        <v>0</v>
      </c>
      <c r="L2907">
        <v>0</v>
      </c>
      <c r="M2907">
        <v>1</v>
      </c>
      <c r="N2907">
        <v>1</v>
      </c>
      <c r="O2907">
        <v>1</v>
      </c>
      <c r="P2907">
        <v>1</v>
      </c>
      <c r="Q2907">
        <v>1</v>
      </c>
      <c r="R2907">
        <v>1</v>
      </c>
      <c r="U2907">
        <v>0</v>
      </c>
      <c r="V2907">
        <v>1</v>
      </c>
      <c r="W2907">
        <v>1</v>
      </c>
      <c r="X2907">
        <v>1</v>
      </c>
      <c r="Y2907">
        <v>1</v>
      </c>
      <c r="Z2907">
        <v>1</v>
      </c>
      <c r="AA2907">
        <v>1</v>
      </c>
      <c r="AB2907">
        <v>1</v>
      </c>
    </row>
    <row r="2908" spans="1:49" x14ac:dyDescent="0.25">
      <c r="A2908" t="str">
        <f>"2904"</f>
        <v>2904</v>
      </c>
      <c r="B2908" t="str">
        <f t="shared" si="165"/>
        <v>1</v>
      </c>
      <c r="C2908" t="str">
        <f t="shared" si="167"/>
        <v>128</v>
      </c>
      <c r="D2908" t="str">
        <f>"14"</f>
        <v>14</v>
      </c>
      <c r="E2908" t="str">
        <f>"1-128-14"</f>
        <v>1-128-14</v>
      </c>
      <c r="F2908" t="s">
        <v>83</v>
      </c>
      <c r="G2908" t="s">
        <v>84</v>
      </c>
      <c r="H2908" t="s">
        <v>92</v>
      </c>
      <c r="I2908">
        <v>1</v>
      </c>
      <c r="J2908">
        <v>1</v>
      </c>
      <c r="N2908">
        <v>1</v>
      </c>
      <c r="O2908">
        <v>1</v>
      </c>
      <c r="P2908">
        <v>1</v>
      </c>
      <c r="Q2908">
        <v>1</v>
      </c>
      <c r="R2908">
        <v>1</v>
      </c>
      <c r="S2908">
        <v>1</v>
      </c>
      <c r="T2908">
        <v>1</v>
      </c>
      <c r="W2908">
        <v>1</v>
      </c>
      <c r="X2908">
        <v>1</v>
      </c>
      <c r="Y2908">
        <v>1</v>
      </c>
      <c r="Z2908">
        <v>1</v>
      </c>
      <c r="AA2908">
        <v>1</v>
      </c>
      <c r="AB2908">
        <v>1</v>
      </c>
    </row>
    <row r="2909" spans="1:49" x14ac:dyDescent="0.25">
      <c r="A2909" t="str">
        <f>"2905"</f>
        <v>2905</v>
      </c>
      <c r="B2909" t="str">
        <f t="shared" si="165"/>
        <v>1</v>
      </c>
      <c r="C2909" t="str">
        <f t="shared" si="167"/>
        <v>128</v>
      </c>
      <c r="D2909" t="str">
        <f>"1"</f>
        <v>1</v>
      </c>
      <c r="E2909" t="str">
        <f>"1-128-1"</f>
        <v>1-128-1</v>
      </c>
      <c r="F2909" t="s">
        <v>83</v>
      </c>
      <c r="G2909" t="s">
        <v>86</v>
      </c>
      <c r="H2909" t="s">
        <v>93</v>
      </c>
      <c r="I2909">
        <v>1</v>
      </c>
      <c r="K2909">
        <v>0</v>
      </c>
      <c r="L2909">
        <v>0</v>
      </c>
      <c r="M2909">
        <v>1</v>
      </c>
      <c r="N2909">
        <v>1</v>
      </c>
      <c r="O2909">
        <v>1</v>
      </c>
      <c r="P2909">
        <v>1</v>
      </c>
      <c r="Q2909">
        <v>1</v>
      </c>
      <c r="R2909">
        <v>0</v>
      </c>
      <c r="U2909">
        <v>1</v>
      </c>
      <c r="V2909">
        <v>0</v>
      </c>
      <c r="W2909">
        <v>0</v>
      </c>
      <c r="X2909">
        <v>1</v>
      </c>
      <c r="Y2909">
        <v>1</v>
      </c>
      <c r="Z2909">
        <v>0</v>
      </c>
      <c r="AA2909">
        <v>0</v>
      </c>
      <c r="AB2909">
        <v>1</v>
      </c>
    </row>
    <row r="2910" spans="1:49" x14ac:dyDescent="0.25">
      <c r="A2910" t="str">
        <f>"2906"</f>
        <v>2906</v>
      </c>
      <c r="B2910" t="str">
        <f t="shared" ref="B2910:B2973" si="168">"1"</f>
        <v>1</v>
      </c>
      <c r="C2910" t="str">
        <f t="shared" ref="C2910:C2929" si="169">"129"</f>
        <v>129</v>
      </c>
      <c r="D2910" t="str">
        <f>"20"</f>
        <v>20</v>
      </c>
      <c r="E2910" t="str">
        <f>"1-129-20"</f>
        <v>1-129-20</v>
      </c>
      <c r="F2910" t="s">
        <v>83</v>
      </c>
      <c r="G2910" t="s">
        <v>84</v>
      </c>
      <c r="H2910" t="s">
        <v>92</v>
      </c>
      <c r="I2910">
        <v>1</v>
      </c>
      <c r="J2910">
        <v>1</v>
      </c>
      <c r="N2910">
        <v>1</v>
      </c>
      <c r="O2910">
        <v>1</v>
      </c>
      <c r="P2910">
        <v>1</v>
      </c>
      <c r="Q2910">
        <v>1</v>
      </c>
      <c r="R2910">
        <v>1</v>
      </c>
      <c r="S2910">
        <v>1</v>
      </c>
      <c r="T2910">
        <v>1</v>
      </c>
      <c r="W2910">
        <v>1</v>
      </c>
      <c r="X2910">
        <v>1</v>
      </c>
      <c r="Y2910">
        <v>1</v>
      </c>
      <c r="Z2910">
        <v>1</v>
      </c>
      <c r="AA2910">
        <v>1</v>
      </c>
      <c r="AB2910">
        <v>1</v>
      </c>
    </row>
    <row r="2911" spans="1:49" x14ac:dyDescent="0.25">
      <c r="A2911" t="str">
        <f>"2907"</f>
        <v>2907</v>
      </c>
      <c r="B2911" t="str">
        <f t="shared" si="168"/>
        <v>1</v>
      </c>
      <c r="C2911" t="str">
        <f t="shared" si="169"/>
        <v>129</v>
      </c>
      <c r="D2911" t="str">
        <f>"15"</f>
        <v>15</v>
      </c>
      <c r="E2911" t="str">
        <f>"1-129-15"</f>
        <v>1-129-15</v>
      </c>
      <c r="F2911" t="s">
        <v>83</v>
      </c>
      <c r="G2911" t="s">
        <v>86</v>
      </c>
      <c r="H2911" t="s">
        <v>87</v>
      </c>
      <c r="AC2911">
        <v>1</v>
      </c>
      <c r="AD2911">
        <v>0</v>
      </c>
      <c r="AE2911">
        <v>0</v>
      </c>
      <c r="AF2911">
        <v>0</v>
      </c>
      <c r="AH2911">
        <v>1</v>
      </c>
      <c r="AI2911">
        <v>0</v>
      </c>
      <c r="AJ2911">
        <v>1</v>
      </c>
      <c r="AK2911">
        <v>0</v>
      </c>
      <c r="AL2911">
        <v>1</v>
      </c>
      <c r="AM2911">
        <v>0</v>
      </c>
      <c r="AN2911">
        <v>0</v>
      </c>
      <c r="AO2911">
        <v>1</v>
      </c>
      <c r="AP2911">
        <v>1</v>
      </c>
      <c r="AQ2911">
        <v>1</v>
      </c>
      <c r="AU2911">
        <v>1</v>
      </c>
      <c r="AV2911">
        <v>1</v>
      </c>
      <c r="AW2911">
        <v>1</v>
      </c>
    </row>
    <row r="2912" spans="1:49" x14ac:dyDescent="0.25">
      <c r="A2912" t="str">
        <f>"2908"</f>
        <v>2908</v>
      </c>
      <c r="B2912" t="str">
        <f t="shared" si="168"/>
        <v>1</v>
      </c>
      <c r="C2912" t="str">
        <f t="shared" si="169"/>
        <v>129</v>
      </c>
      <c r="D2912" t="str">
        <f>"8"</f>
        <v>8</v>
      </c>
      <c r="E2912" t="str">
        <f>"1-129-8"</f>
        <v>1-129-8</v>
      </c>
      <c r="F2912" t="s">
        <v>83</v>
      </c>
      <c r="G2912" t="s">
        <v>86</v>
      </c>
      <c r="H2912" t="s">
        <v>93</v>
      </c>
      <c r="I2912">
        <v>1</v>
      </c>
      <c r="K2912">
        <v>0</v>
      </c>
      <c r="L2912">
        <v>0</v>
      </c>
      <c r="M2912">
        <v>1</v>
      </c>
      <c r="N2912">
        <v>1</v>
      </c>
      <c r="O2912">
        <v>1</v>
      </c>
      <c r="P2912">
        <v>1</v>
      </c>
      <c r="Q2912">
        <v>1</v>
      </c>
      <c r="R2912">
        <v>1</v>
      </c>
      <c r="U2912">
        <v>0</v>
      </c>
      <c r="V2912">
        <v>1</v>
      </c>
      <c r="W2912">
        <v>1</v>
      </c>
      <c r="X2912">
        <v>1</v>
      </c>
      <c r="Y2912">
        <v>1</v>
      </c>
      <c r="Z2912">
        <v>1</v>
      </c>
      <c r="AA2912">
        <v>1</v>
      </c>
      <c r="AB2912">
        <v>1</v>
      </c>
    </row>
    <row r="2913" spans="1:49" x14ac:dyDescent="0.25">
      <c r="A2913" t="str">
        <f>"2909"</f>
        <v>2909</v>
      </c>
      <c r="B2913" t="str">
        <f t="shared" si="168"/>
        <v>1</v>
      </c>
      <c r="C2913" t="str">
        <f t="shared" si="169"/>
        <v>129</v>
      </c>
      <c r="D2913" t="str">
        <f>"5"</f>
        <v>5</v>
      </c>
      <c r="E2913" t="str">
        <f>"1-129-5"</f>
        <v>1-129-5</v>
      </c>
      <c r="F2913" t="s">
        <v>83</v>
      </c>
      <c r="G2913" t="s">
        <v>86</v>
      </c>
      <c r="H2913" t="s">
        <v>87</v>
      </c>
      <c r="AC2913">
        <v>0</v>
      </c>
      <c r="AD2913">
        <v>1</v>
      </c>
      <c r="AE2913">
        <v>0</v>
      </c>
      <c r="AF2913">
        <v>0</v>
      </c>
      <c r="AH2913">
        <v>0</v>
      </c>
      <c r="AI2913">
        <v>1</v>
      </c>
      <c r="AJ2913">
        <v>0</v>
      </c>
      <c r="AK2913">
        <v>0</v>
      </c>
      <c r="AL2913">
        <v>0</v>
      </c>
      <c r="AM2913">
        <v>0</v>
      </c>
      <c r="AN2913">
        <v>0</v>
      </c>
      <c r="AO2913">
        <v>0</v>
      </c>
      <c r="AP2913">
        <v>0</v>
      </c>
      <c r="AQ2913">
        <v>0</v>
      </c>
      <c r="AU2913">
        <v>0</v>
      </c>
      <c r="AV2913">
        <v>0</v>
      </c>
      <c r="AW2913">
        <v>0</v>
      </c>
    </row>
    <row r="2914" spans="1:49" x14ac:dyDescent="0.25">
      <c r="A2914" t="str">
        <f>"2910"</f>
        <v>2910</v>
      </c>
      <c r="B2914" t="str">
        <f t="shared" si="168"/>
        <v>1</v>
      </c>
      <c r="C2914" t="str">
        <f t="shared" si="169"/>
        <v>129</v>
      </c>
      <c r="D2914" t="str">
        <f>"16"</f>
        <v>16</v>
      </c>
      <c r="E2914" t="str">
        <f>"1-129-16"</f>
        <v>1-129-16</v>
      </c>
      <c r="F2914" t="s">
        <v>83</v>
      </c>
      <c r="G2914" t="s">
        <v>86</v>
      </c>
      <c r="H2914" t="s">
        <v>87</v>
      </c>
      <c r="AC2914">
        <v>1</v>
      </c>
      <c r="AD2914">
        <v>0</v>
      </c>
      <c r="AE2914">
        <v>0</v>
      </c>
      <c r="AF2914">
        <v>0</v>
      </c>
      <c r="AH2914">
        <v>1</v>
      </c>
      <c r="AI2914">
        <v>0</v>
      </c>
      <c r="AJ2914">
        <v>1</v>
      </c>
      <c r="AK2914">
        <v>0</v>
      </c>
      <c r="AL2914">
        <v>1</v>
      </c>
      <c r="AM2914">
        <v>0</v>
      </c>
      <c r="AN2914">
        <v>0</v>
      </c>
      <c r="AO2914">
        <v>0</v>
      </c>
      <c r="AP2914">
        <v>0</v>
      </c>
      <c r="AQ2914">
        <v>0</v>
      </c>
      <c r="AU2914">
        <v>0</v>
      </c>
      <c r="AV2914">
        <v>0</v>
      </c>
      <c r="AW2914">
        <v>0</v>
      </c>
    </row>
    <row r="2915" spans="1:49" x14ac:dyDescent="0.25">
      <c r="A2915" t="str">
        <f>"2911"</f>
        <v>2911</v>
      </c>
      <c r="B2915" t="str">
        <f t="shared" si="168"/>
        <v>1</v>
      </c>
      <c r="C2915" t="str">
        <f t="shared" si="169"/>
        <v>129</v>
      </c>
      <c r="D2915" t="str">
        <f>"9"</f>
        <v>9</v>
      </c>
      <c r="E2915" t="str">
        <f>"1-129-9"</f>
        <v>1-129-9</v>
      </c>
      <c r="F2915" t="s">
        <v>83</v>
      </c>
      <c r="G2915" t="s">
        <v>84</v>
      </c>
      <c r="H2915" t="s">
        <v>92</v>
      </c>
      <c r="I2915">
        <v>1</v>
      </c>
      <c r="J2915">
        <v>1</v>
      </c>
      <c r="N2915">
        <v>1</v>
      </c>
      <c r="O2915">
        <v>1</v>
      </c>
      <c r="P2915">
        <v>1</v>
      </c>
      <c r="Q2915">
        <v>1</v>
      </c>
      <c r="R2915">
        <v>1</v>
      </c>
      <c r="S2915">
        <v>1</v>
      </c>
      <c r="T2915">
        <v>1</v>
      </c>
      <c r="W2915">
        <v>1</v>
      </c>
      <c r="X2915">
        <v>1</v>
      </c>
      <c r="Y2915">
        <v>1</v>
      </c>
      <c r="Z2915">
        <v>1</v>
      </c>
      <c r="AA2915">
        <v>1</v>
      </c>
      <c r="AB2915">
        <v>1</v>
      </c>
    </row>
    <row r="2916" spans="1:49" x14ac:dyDescent="0.25">
      <c r="A2916" t="str">
        <f>"2912"</f>
        <v>2912</v>
      </c>
      <c r="B2916" t="str">
        <f t="shared" si="168"/>
        <v>1</v>
      </c>
      <c r="C2916" t="str">
        <f t="shared" si="169"/>
        <v>129</v>
      </c>
      <c r="D2916" t="str">
        <f>"3"</f>
        <v>3</v>
      </c>
      <c r="E2916" t="str">
        <f>"1-129-3"</f>
        <v>1-129-3</v>
      </c>
      <c r="F2916" t="s">
        <v>83</v>
      </c>
      <c r="G2916" t="s">
        <v>84</v>
      </c>
      <c r="H2916" t="s">
        <v>92</v>
      </c>
      <c r="I2916">
        <v>1</v>
      </c>
      <c r="J2916">
        <v>1</v>
      </c>
      <c r="N2916">
        <v>1</v>
      </c>
      <c r="O2916">
        <v>1</v>
      </c>
      <c r="P2916">
        <v>1</v>
      </c>
      <c r="Q2916">
        <v>1</v>
      </c>
      <c r="R2916">
        <v>1</v>
      </c>
      <c r="S2916">
        <v>1</v>
      </c>
      <c r="T2916">
        <v>1</v>
      </c>
      <c r="W2916">
        <v>1</v>
      </c>
      <c r="X2916">
        <v>1</v>
      </c>
      <c r="Y2916">
        <v>1</v>
      </c>
      <c r="Z2916">
        <v>1</v>
      </c>
      <c r="AA2916">
        <v>1</v>
      </c>
      <c r="AB2916">
        <v>1</v>
      </c>
    </row>
    <row r="2917" spans="1:49" x14ac:dyDescent="0.25">
      <c r="A2917" t="str">
        <f>"2913"</f>
        <v>2913</v>
      </c>
      <c r="B2917" t="str">
        <f t="shared" si="168"/>
        <v>1</v>
      </c>
      <c r="C2917" t="str">
        <f t="shared" si="169"/>
        <v>129</v>
      </c>
      <c r="D2917" t="str">
        <f>"17"</f>
        <v>17</v>
      </c>
      <c r="E2917" t="str">
        <f>"1-129-17"</f>
        <v>1-129-17</v>
      </c>
      <c r="F2917" t="s">
        <v>83</v>
      </c>
      <c r="G2917" t="s">
        <v>86</v>
      </c>
      <c r="H2917" t="s">
        <v>87</v>
      </c>
      <c r="AC2917">
        <v>1</v>
      </c>
      <c r="AD2917">
        <v>0</v>
      </c>
      <c r="AE2917">
        <v>0</v>
      </c>
      <c r="AF2917">
        <v>0</v>
      </c>
      <c r="AH2917">
        <v>1</v>
      </c>
      <c r="AI2917">
        <v>0</v>
      </c>
      <c r="AJ2917">
        <v>1</v>
      </c>
      <c r="AK2917">
        <v>0</v>
      </c>
      <c r="AL2917">
        <v>0</v>
      </c>
      <c r="AM2917">
        <v>0</v>
      </c>
      <c r="AN2917">
        <v>1</v>
      </c>
      <c r="AO2917">
        <v>1</v>
      </c>
      <c r="AP2917">
        <v>1</v>
      </c>
      <c r="AQ2917">
        <v>1</v>
      </c>
      <c r="AU2917">
        <v>1</v>
      </c>
      <c r="AV2917">
        <v>1</v>
      </c>
      <c r="AW2917">
        <v>1</v>
      </c>
    </row>
    <row r="2918" spans="1:49" x14ac:dyDescent="0.25">
      <c r="A2918" t="str">
        <f>"2914"</f>
        <v>2914</v>
      </c>
      <c r="B2918" t="str">
        <f t="shared" si="168"/>
        <v>1</v>
      </c>
      <c r="C2918" t="str">
        <f t="shared" si="169"/>
        <v>129</v>
      </c>
      <c r="D2918" t="str">
        <f>"10"</f>
        <v>10</v>
      </c>
      <c r="E2918" t="str">
        <f>"1-129-10"</f>
        <v>1-129-10</v>
      </c>
      <c r="F2918" t="s">
        <v>83</v>
      </c>
      <c r="G2918" t="s">
        <v>84</v>
      </c>
      <c r="H2918" t="s">
        <v>92</v>
      </c>
      <c r="I2918">
        <v>1</v>
      </c>
      <c r="J2918">
        <v>1</v>
      </c>
      <c r="N2918">
        <v>1</v>
      </c>
      <c r="O2918">
        <v>1</v>
      </c>
      <c r="P2918">
        <v>1</v>
      </c>
      <c r="Q2918">
        <v>1</v>
      </c>
      <c r="R2918">
        <v>1</v>
      </c>
      <c r="S2918">
        <v>1</v>
      </c>
      <c r="T2918">
        <v>1</v>
      </c>
      <c r="W2918">
        <v>1</v>
      </c>
      <c r="X2918">
        <v>0</v>
      </c>
      <c r="Y2918">
        <v>0</v>
      </c>
      <c r="Z2918">
        <v>1</v>
      </c>
      <c r="AA2918">
        <v>1</v>
      </c>
      <c r="AB2918">
        <v>1</v>
      </c>
    </row>
    <row r="2919" spans="1:49" x14ac:dyDescent="0.25">
      <c r="A2919" t="str">
        <f>"2915"</f>
        <v>2915</v>
      </c>
      <c r="B2919" t="str">
        <f t="shared" si="168"/>
        <v>1</v>
      </c>
      <c r="C2919" t="str">
        <f t="shared" si="169"/>
        <v>129</v>
      </c>
      <c r="D2919" t="str">
        <f>"4"</f>
        <v>4</v>
      </c>
      <c r="E2919" t="str">
        <f>"1-129-4"</f>
        <v>1-129-4</v>
      </c>
      <c r="F2919" t="s">
        <v>83</v>
      </c>
      <c r="G2919" t="s">
        <v>86</v>
      </c>
      <c r="H2919" t="s">
        <v>87</v>
      </c>
      <c r="AC2919">
        <v>1</v>
      </c>
      <c r="AD2919">
        <v>0</v>
      </c>
      <c r="AE2919">
        <v>0</v>
      </c>
      <c r="AF2919">
        <v>0</v>
      </c>
      <c r="AH2919">
        <v>1</v>
      </c>
      <c r="AI2919">
        <v>0</v>
      </c>
      <c r="AJ2919">
        <v>1</v>
      </c>
      <c r="AK2919">
        <v>0</v>
      </c>
      <c r="AL2919">
        <v>1</v>
      </c>
      <c r="AM2919">
        <v>0</v>
      </c>
      <c r="AN2919">
        <v>0</v>
      </c>
      <c r="AO2919">
        <v>1</v>
      </c>
      <c r="AP2919">
        <v>1</v>
      </c>
      <c r="AQ2919">
        <v>1</v>
      </c>
      <c r="AU2919">
        <v>1</v>
      </c>
      <c r="AV2919">
        <v>1</v>
      </c>
      <c r="AW2919">
        <v>1</v>
      </c>
    </row>
    <row r="2920" spans="1:49" s="2" customFormat="1" x14ac:dyDescent="0.25">
      <c r="A2920" s="2" t="str">
        <f>"2916"</f>
        <v>2916</v>
      </c>
      <c r="B2920" s="2" t="str">
        <f t="shared" si="168"/>
        <v>1</v>
      </c>
      <c r="C2920" s="2" t="str">
        <f t="shared" si="169"/>
        <v>129</v>
      </c>
      <c r="D2920" s="2" t="str">
        <f>"18"</f>
        <v>18</v>
      </c>
      <c r="E2920" s="2" t="str">
        <f>"1-129-18"</f>
        <v>1-129-18</v>
      </c>
      <c r="F2920" s="2" t="s">
        <v>83</v>
      </c>
      <c r="G2920" s="2" t="s">
        <v>84</v>
      </c>
      <c r="H2920" s="2" t="s">
        <v>85</v>
      </c>
      <c r="AC2920" s="2">
        <v>0</v>
      </c>
      <c r="AD2920" s="2">
        <v>1</v>
      </c>
      <c r="AE2920" s="2">
        <v>0</v>
      </c>
      <c r="AF2920" s="2">
        <v>0</v>
      </c>
      <c r="AG2920" s="2">
        <v>1</v>
      </c>
      <c r="AJ2920" s="2">
        <v>0</v>
      </c>
      <c r="AK2920" s="2">
        <v>1</v>
      </c>
      <c r="AL2920" s="2">
        <v>0</v>
      </c>
      <c r="AM2920" s="2">
        <v>1</v>
      </c>
      <c r="AN2920" s="2">
        <v>0</v>
      </c>
      <c r="AO2920" s="2">
        <v>1</v>
      </c>
      <c r="AP2920" s="2">
        <v>1</v>
      </c>
      <c r="AQ2920" s="2">
        <v>1</v>
      </c>
      <c r="AR2920" s="2">
        <v>1</v>
      </c>
      <c r="AS2920" s="2">
        <v>0</v>
      </c>
      <c r="AT2920" s="2">
        <v>1</v>
      </c>
      <c r="AV2920" s="2">
        <v>1</v>
      </c>
      <c r="AW2920" s="2">
        <v>1</v>
      </c>
    </row>
    <row r="2921" spans="1:49" x14ac:dyDescent="0.25">
      <c r="A2921" t="str">
        <f>"2917"</f>
        <v>2917</v>
      </c>
      <c r="B2921" t="str">
        <f t="shared" si="168"/>
        <v>1</v>
      </c>
      <c r="C2921" t="str">
        <f t="shared" si="169"/>
        <v>129</v>
      </c>
      <c r="D2921" t="str">
        <f>"11"</f>
        <v>11</v>
      </c>
      <c r="E2921" t="str">
        <f>"1-129-11"</f>
        <v>1-129-11</v>
      </c>
      <c r="F2921" t="s">
        <v>83</v>
      </c>
      <c r="G2921" t="s">
        <v>86</v>
      </c>
      <c r="H2921" t="s">
        <v>87</v>
      </c>
      <c r="AC2921">
        <v>0</v>
      </c>
      <c r="AD2921">
        <v>1</v>
      </c>
      <c r="AE2921">
        <v>0</v>
      </c>
      <c r="AF2921">
        <v>0</v>
      </c>
      <c r="AH2921">
        <v>1</v>
      </c>
      <c r="AI2921">
        <v>0</v>
      </c>
      <c r="AJ2921">
        <v>1</v>
      </c>
      <c r="AK2921">
        <v>0</v>
      </c>
      <c r="AL2921">
        <v>0</v>
      </c>
      <c r="AM2921">
        <v>1</v>
      </c>
      <c r="AN2921">
        <v>0</v>
      </c>
      <c r="AO2921">
        <v>1</v>
      </c>
      <c r="AP2921">
        <v>1</v>
      </c>
      <c r="AQ2921">
        <v>1</v>
      </c>
      <c r="AU2921">
        <v>1</v>
      </c>
      <c r="AV2921">
        <v>1</v>
      </c>
      <c r="AW2921">
        <v>1</v>
      </c>
    </row>
    <row r="2922" spans="1:49" x14ac:dyDescent="0.25">
      <c r="A2922" t="str">
        <f>"2918"</f>
        <v>2918</v>
      </c>
      <c r="B2922" t="str">
        <f t="shared" si="168"/>
        <v>1</v>
      </c>
      <c r="C2922" t="str">
        <f t="shared" si="169"/>
        <v>129</v>
      </c>
      <c r="D2922" t="str">
        <f>"2"</f>
        <v>2</v>
      </c>
      <c r="E2922" t="str">
        <f>"1-129-2"</f>
        <v>1-129-2</v>
      </c>
      <c r="F2922" t="s">
        <v>83</v>
      </c>
      <c r="G2922" t="s">
        <v>84</v>
      </c>
      <c r="H2922" t="s">
        <v>85</v>
      </c>
      <c r="AC2922">
        <v>0</v>
      </c>
      <c r="AD2922">
        <v>1</v>
      </c>
      <c r="AE2922">
        <v>0</v>
      </c>
      <c r="AF2922">
        <v>0</v>
      </c>
      <c r="AG2922">
        <v>1</v>
      </c>
      <c r="AJ2922">
        <v>0</v>
      </c>
      <c r="AK2922">
        <v>1</v>
      </c>
      <c r="AL2922">
        <v>0</v>
      </c>
      <c r="AM2922">
        <v>0</v>
      </c>
      <c r="AN2922">
        <v>1</v>
      </c>
      <c r="AO2922">
        <v>0</v>
      </c>
      <c r="AP2922">
        <v>1</v>
      </c>
      <c r="AQ2922">
        <v>0</v>
      </c>
      <c r="AR2922">
        <v>0</v>
      </c>
      <c r="AS2922">
        <v>0</v>
      </c>
      <c r="AT2922">
        <v>0</v>
      </c>
      <c r="AV2922">
        <v>0</v>
      </c>
      <c r="AW2922">
        <v>0</v>
      </c>
    </row>
    <row r="2923" spans="1:49" x14ac:dyDescent="0.25">
      <c r="A2923" t="str">
        <f>"2919"</f>
        <v>2919</v>
      </c>
      <c r="B2923" t="str">
        <f t="shared" si="168"/>
        <v>1</v>
      </c>
      <c r="C2923" t="str">
        <f t="shared" si="169"/>
        <v>129</v>
      </c>
      <c r="D2923" t="str">
        <f>"19"</f>
        <v>19</v>
      </c>
      <c r="E2923" t="str">
        <f>"1-129-19"</f>
        <v>1-129-19</v>
      </c>
      <c r="F2923" t="s">
        <v>83</v>
      </c>
      <c r="G2923" t="s">
        <v>84</v>
      </c>
      <c r="H2923" t="s">
        <v>92</v>
      </c>
      <c r="I2923">
        <v>1</v>
      </c>
      <c r="J2923">
        <v>1</v>
      </c>
      <c r="N2923">
        <v>1</v>
      </c>
      <c r="O2923">
        <v>1</v>
      </c>
      <c r="P2923">
        <v>1</v>
      </c>
      <c r="Q2923">
        <v>1</v>
      </c>
      <c r="R2923">
        <v>1</v>
      </c>
      <c r="S2923">
        <v>1</v>
      </c>
      <c r="T2923">
        <v>1</v>
      </c>
      <c r="W2923">
        <v>1</v>
      </c>
      <c r="X2923">
        <v>1</v>
      </c>
      <c r="Y2923">
        <v>1</v>
      </c>
      <c r="Z2923">
        <v>1</v>
      </c>
      <c r="AA2923">
        <v>1</v>
      </c>
      <c r="AB2923">
        <v>1</v>
      </c>
    </row>
    <row r="2924" spans="1:49" x14ac:dyDescent="0.25">
      <c r="A2924" t="str">
        <f>"2920"</f>
        <v>2920</v>
      </c>
      <c r="B2924" t="str">
        <f t="shared" si="168"/>
        <v>1</v>
      </c>
      <c r="C2924" t="str">
        <f t="shared" si="169"/>
        <v>129</v>
      </c>
      <c r="D2924" t="str">
        <f>"12"</f>
        <v>12</v>
      </c>
      <c r="E2924" t="str">
        <f>"1-129-12"</f>
        <v>1-129-12</v>
      </c>
      <c r="F2924" t="s">
        <v>83</v>
      </c>
      <c r="G2924" t="s">
        <v>86</v>
      </c>
      <c r="H2924" t="s">
        <v>87</v>
      </c>
      <c r="AC2924">
        <v>0</v>
      </c>
      <c r="AD2924">
        <v>0</v>
      </c>
      <c r="AE2924">
        <v>0</v>
      </c>
      <c r="AF2924">
        <v>0</v>
      </c>
      <c r="AH2924">
        <v>0</v>
      </c>
      <c r="AI2924">
        <v>1</v>
      </c>
      <c r="AJ2924">
        <v>0</v>
      </c>
      <c r="AK2924">
        <v>0</v>
      </c>
      <c r="AL2924">
        <v>0</v>
      </c>
      <c r="AM2924">
        <v>0</v>
      </c>
      <c r="AN2924">
        <v>0</v>
      </c>
      <c r="AO2924">
        <v>0</v>
      </c>
      <c r="AP2924">
        <v>0</v>
      </c>
      <c r="AQ2924">
        <v>0</v>
      </c>
      <c r="AU2924">
        <v>0</v>
      </c>
      <c r="AV2924">
        <v>0</v>
      </c>
      <c r="AW2924">
        <v>0</v>
      </c>
    </row>
    <row r="2925" spans="1:49" x14ac:dyDescent="0.25">
      <c r="A2925" t="str">
        <f>"2921"</f>
        <v>2921</v>
      </c>
      <c r="B2925" t="str">
        <f t="shared" si="168"/>
        <v>1</v>
      </c>
      <c r="C2925" t="str">
        <f t="shared" si="169"/>
        <v>129</v>
      </c>
      <c r="D2925" t="str">
        <f>"7"</f>
        <v>7</v>
      </c>
      <c r="E2925" t="str">
        <f>"1-129-7"</f>
        <v>1-129-7</v>
      </c>
      <c r="F2925" t="s">
        <v>83</v>
      </c>
      <c r="G2925" t="s">
        <v>86</v>
      </c>
      <c r="H2925" t="s">
        <v>93</v>
      </c>
      <c r="I2925">
        <v>1</v>
      </c>
      <c r="K2925">
        <v>1</v>
      </c>
      <c r="L2925">
        <v>0</v>
      </c>
      <c r="M2925">
        <v>0</v>
      </c>
      <c r="N2925">
        <v>1</v>
      </c>
      <c r="O2925">
        <v>1</v>
      </c>
      <c r="P2925">
        <v>1</v>
      </c>
      <c r="Q2925">
        <v>1</v>
      </c>
      <c r="R2925">
        <v>1</v>
      </c>
      <c r="U2925">
        <v>0</v>
      </c>
      <c r="V2925">
        <v>1</v>
      </c>
      <c r="W2925">
        <v>1</v>
      </c>
      <c r="X2925">
        <v>1</v>
      </c>
      <c r="Y2925">
        <v>1</v>
      </c>
      <c r="Z2925">
        <v>1</v>
      </c>
      <c r="AA2925">
        <v>1</v>
      </c>
      <c r="AB2925">
        <v>1</v>
      </c>
    </row>
    <row r="2926" spans="1:49" x14ac:dyDescent="0.25">
      <c r="A2926" t="str">
        <f>"2922"</f>
        <v>2922</v>
      </c>
      <c r="B2926" t="str">
        <f t="shared" si="168"/>
        <v>1</v>
      </c>
      <c r="C2926" t="str">
        <f t="shared" si="169"/>
        <v>129</v>
      </c>
      <c r="D2926" t="str">
        <f>"13"</f>
        <v>13</v>
      </c>
      <c r="E2926" t="str">
        <f>"1-129-13"</f>
        <v>1-129-13</v>
      </c>
      <c r="F2926" t="s">
        <v>83</v>
      </c>
      <c r="G2926" t="s">
        <v>86</v>
      </c>
      <c r="H2926" t="s">
        <v>87</v>
      </c>
      <c r="AC2926">
        <v>0</v>
      </c>
      <c r="AD2926">
        <v>0</v>
      </c>
      <c r="AE2926">
        <v>0</v>
      </c>
      <c r="AF2926">
        <v>0</v>
      </c>
      <c r="AH2926">
        <v>1</v>
      </c>
      <c r="AI2926">
        <v>0</v>
      </c>
      <c r="AJ2926">
        <v>1</v>
      </c>
      <c r="AK2926">
        <v>0</v>
      </c>
      <c r="AL2926">
        <v>0</v>
      </c>
      <c r="AM2926">
        <v>0</v>
      </c>
      <c r="AN2926">
        <v>0</v>
      </c>
      <c r="AO2926">
        <v>0</v>
      </c>
      <c r="AP2926">
        <v>0</v>
      </c>
      <c r="AQ2926">
        <v>0</v>
      </c>
      <c r="AU2926">
        <v>0</v>
      </c>
      <c r="AV2926">
        <v>0</v>
      </c>
      <c r="AW2926">
        <v>0</v>
      </c>
    </row>
    <row r="2927" spans="1:49" x14ac:dyDescent="0.25">
      <c r="A2927" t="str">
        <f>"2923"</f>
        <v>2923</v>
      </c>
      <c r="B2927" t="str">
        <f t="shared" si="168"/>
        <v>1</v>
      </c>
      <c r="C2927" t="str">
        <f t="shared" si="169"/>
        <v>129</v>
      </c>
      <c r="D2927" t="str">
        <f>"6"</f>
        <v>6</v>
      </c>
      <c r="E2927" t="str">
        <f>"1-129-6"</f>
        <v>1-129-6</v>
      </c>
      <c r="F2927" t="s">
        <v>83</v>
      </c>
      <c r="G2927" t="s">
        <v>84</v>
      </c>
      <c r="H2927" t="s">
        <v>85</v>
      </c>
      <c r="AC2927">
        <v>0</v>
      </c>
      <c r="AD2927">
        <v>1</v>
      </c>
      <c r="AE2927">
        <v>0</v>
      </c>
      <c r="AF2927">
        <v>0</v>
      </c>
      <c r="AG2927">
        <v>0</v>
      </c>
      <c r="AJ2927">
        <v>0</v>
      </c>
      <c r="AK2927">
        <v>1</v>
      </c>
      <c r="AL2927">
        <v>1</v>
      </c>
      <c r="AM2927">
        <v>0</v>
      </c>
      <c r="AN2927">
        <v>0</v>
      </c>
      <c r="AO2927">
        <v>0</v>
      </c>
      <c r="AP2927">
        <v>0</v>
      </c>
      <c r="AQ2927">
        <v>0</v>
      </c>
      <c r="AR2927">
        <v>1</v>
      </c>
      <c r="AS2927">
        <v>1</v>
      </c>
      <c r="AT2927">
        <v>0</v>
      </c>
      <c r="AV2927">
        <v>0</v>
      </c>
      <c r="AW2927">
        <v>1</v>
      </c>
    </row>
    <row r="2928" spans="1:49" x14ac:dyDescent="0.25">
      <c r="A2928" t="str">
        <f>"2924"</f>
        <v>2924</v>
      </c>
      <c r="B2928" t="str">
        <f t="shared" si="168"/>
        <v>1</v>
      </c>
      <c r="C2928" t="str">
        <f t="shared" si="169"/>
        <v>129</v>
      </c>
      <c r="D2928" t="str">
        <f>"14"</f>
        <v>14</v>
      </c>
      <c r="E2928" t="str">
        <f>"1-129-14"</f>
        <v>1-129-14</v>
      </c>
      <c r="F2928" t="s">
        <v>83</v>
      </c>
      <c r="G2928" t="s">
        <v>86</v>
      </c>
      <c r="H2928" t="s">
        <v>87</v>
      </c>
      <c r="AC2928">
        <v>1</v>
      </c>
      <c r="AD2928">
        <v>0</v>
      </c>
      <c r="AE2928">
        <v>0</v>
      </c>
      <c r="AF2928">
        <v>0</v>
      </c>
      <c r="AH2928">
        <v>1</v>
      </c>
      <c r="AI2928">
        <v>0</v>
      </c>
      <c r="AJ2928">
        <v>1</v>
      </c>
      <c r="AK2928">
        <v>0</v>
      </c>
      <c r="AL2928">
        <v>1</v>
      </c>
      <c r="AM2928">
        <v>0</v>
      </c>
      <c r="AN2928">
        <v>0</v>
      </c>
      <c r="AO2928">
        <v>1</v>
      </c>
      <c r="AP2928">
        <v>1</v>
      </c>
      <c r="AQ2928">
        <v>1</v>
      </c>
      <c r="AU2928">
        <v>1</v>
      </c>
      <c r="AV2928">
        <v>1</v>
      </c>
      <c r="AW2928">
        <v>1</v>
      </c>
    </row>
    <row r="2929" spans="1:28" x14ac:dyDescent="0.25">
      <c r="A2929" t="str">
        <f>"2925"</f>
        <v>2925</v>
      </c>
      <c r="B2929" t="str">
        <f t="shared" si="168"/>
        <v>1</v>
      </c>
      <c r="C2929" t="str">
        <f t="shared" si="169"/>
        <v>129</v>
      </c>
      <c r="D2929" t="str">
        <f>"1"</f>
        <v>1</v>
      </c>
      <c r="E2929" t="str">
        <f>"1-129-1"</f>
        <v>1-129-1</v>
      </c>
      <c r="F2929" t="s">
        <v>83</v>
      </c>
      <c r="G2929" t="s">
        <v>84</v>
      </c>
      <c r="H2929" t="s">
        <v>92</v>
      </c>
      <c r="I2929">
        <v>1</v>
      </c>
      <c r="J2929">
        <v>1</v>
      </c>
      <c r="N2929">
        <v>1</v>
      </c>
      <c r="O2929">
        <v>1</v>
      </c>
      <c r="P2929">
        <v>1</v>
      </c>
      <c r="Q2929">
        <v>1</v>
      </c>
      <c r="R2929">
        <v>1</v>
      </c>
      <c r="S2929">
        <v>1</v>
      </c>
      <c r="T2929">
        <v>1</v>
      </c>
      <c r="W2929">
        <v>1</v>
      </c>
      <c r="X2929">
        <v>1</v>
      </c>
      <c r="Y2929">
        <v>1</v>
      </c>
      <c r="Z2929">
        <v>1</v>
      </c>
      <c r="AA2929">
        <v>1</v>
      </c>
      <c r="AB2929">
        <v>1</v>
      </c>
    </row>
    <row r="2930" spans="1:28" x14ac:dyDescent="0.25">
      <c r="A2930" t="str">
        <f>"2926"</f>
        <v>2926</v>
      </c>
      <c r="B2930" t="str">
        <f t="shared" si="168"/>
        <v>1</v>
      </c>
      <c r="C2930" t="str">
        <f t="shared" ref="C2930:C2952" si="170">"130"</f>
        <v>130</v>
      </c>
      <c r="D2930" t="str">
        <f>"21"</f>
        <v>21</v>
      </c>
      <c r="E2930" t="str">
        <f>"1-130-21"</f>
        <v>1-130-21</v>
      </c>
      <c r="F2930" t="s">
        <v>83</v>
      </c>
      <c r="G2930" t="s">
        <v>84</v>
      </c>
      <c r="H2930" t="s">
        <v>92</v>
      </c>
      <c r="I2930">
        <v>1</v>
      </c>
      <c r="J2930">
        <v>1</v>
      </c>
      <c r="N2930">
        <v>1</v>
      </c>
      <c r="O2930">
        <v>1</v>
      </c>
      <c r="P2930">
        <v>1</v>
      </c>
      <c r="Q2930">
        <v>1</v>
      </c>
      <c r="R2930">
        <v>1</v>
      </c>
      <c r="S2930">
        <v>1</v>
      </c>
      <c r="T2930">
        <v>1</v>
      </c>
      <c r="W2930">
        <v>1</v>
      </c>
      <c r="X2930">
        <v>1</v>
      </c>
      <c r="Y2930">
        <v>1</v>
      </c>
      <c r="Z2930">
        <v>1</v>
      </c>
      <c r="AA2930">
        <v>1</v>
      </c>
      <c r="AB2930">
        <v>1</v>
      </c>
    </row>
    <row r="2931" spans="1:28" x14ac:dyDescent="0.25">
      <c r="A2931" t="str">
        <f>"2927"</f>
        <v>2927</v>
      </c>
      <c r="B2931" t="str">
        <f t="shared" si="168"/>
        <v>1</v>
      </c>
      <c r="C2931" t="str">
        <f t="shared" si="170"/>
        <v>130</v>
      </c>
      <c r="D2931" t="str">
        <f>"20"</f>
        <v>20</v>
      </c>
      <c r="E2931" t="str">
        <f>"1-130-20"</f>
        <v>1-130-20</v>
      </c>
      <c r="F2931" t="s">
        <v>83</v>
      </c>
      <c r="G2931" t="s">
        <v>86</v>
      </c>
      <c r="H2931" t="s">
        <v>93</v>
      </c>
      <c r="I2931">
        <v>1</v>
      </c>
      <c r="K2931">
        <v>0</v>
      </c>
      <c r="L2931">
        <v>0</v>
      </c>
      <c r="M2931">
        <v>1</v>
      </c>
      <c r="N2931">
        <v>1</v>
      </c>
      <c r="O2931">
        <v>1</v>
      </c>
      <c r="P2931">
        <v>1</v>
      </c>
      <c r="Q2931">
        <v>1</v>
      </c>
      <c r="R2931">
        <v>1</v>
      </c>
      <c r="U2931">
        <v>0</v>
      </c>
      <c r="V2931">
        <v>1</v>
      </c>
      <c r="W2931">
        <v>1</v>
      </c>
      <c r="X2931">
        <v>1</v>
      </c>
      <c r="Y2931">
        <v>1</v>
      </c>
      <c r="Z2931">
        <v>1</v>
      </c>
      <c r="AA2931">
        <v>1</v>
      </c>
      <c r="AB2931">
        <v>1</v>
      </c>
    </row>
    <row r="2932" spans="1:28" x14ac:dyDescent="0.25">
      <c r="A2932" t="str">
        <f>"2928"</f>
        <v>2928</v>
      </c>
      <c r="B2932" t="str">
        <f t="shared" si="168"/>
        <v>1</v>
      </c>
      <c r="C2932" t="str">
        <f t="shared" si="170"/>
        <v>130</v>
      </c>
      <c r="D2932" t="str">
        <f>"13"</f>
        <v>13</v>
      </c>
      <c r="E2932" t="str">
        <f>"1-130-13"</f>
        <v>1-130-13</v>
      </c>
      <c r="F2932" t="s">
        <v>83</v>
      </c>
      <c r="G2932" t="s">
        <v>84</v>
      </c>
      <c r="H2932" t="s">
        <v>92</v>
      </c>
      <c r="I2932">
        <v>1</v>
      </c>
      <c r="J2932">
        <v>1</v>
      </c>
      <c r="N2932">
        <v>1</v>
      </c>
      <c r="O2932">
        <v>1</v>
      </c>
      <c r="P2932">
        <v>1</v>
      </c>
      <c r="Q2932">
        <v>1</v>
      </c>
      <c r="R2932">
        <v>1</v>
      </c>
      <c r="S2932">
        <v>1</v>
      </c>
      <c r="T2932">
        <v>1</v>
      </c>
      <c r="W2932">
        <v>1</v>
      </c>
      <c r="X2932">
        <v>1</v>
      </c>
      <c r="Y2932">
        <v>1</v>
      </c>
      <c r="Z2932">
        <v>1</v>
      </c>
      <c r="AA2932">
        <v>1</v>
      </c>
      <c r="AB2932">
        <v>1</v>
      </c>
    </row>
    <row r="2933" spans="1:28" x14ac:dyDescent="0.25">
      <c r="A2933" t="str">
        <f>"2929"</f>
        <v>2929</v>
      </c>
      <c r="B2933" t="str">
        <f t="shared" si="168"/>
        <v>1</v>
      </c>
      <c r="C2933" t="str">
        <f t="shared" si="170"/>
        <v>130</v>
      </c>
      <c r="D2933" t="str">
        <f>"8"</f>
        <v>8</v>
      </c>
      <c r="E2933" t="str">
        <f>"1-130-8"</f>
        <v>1-130-8</v>
      </c>
      <c r="F2933" t="s">
        <v>83</v>
      </c>
      <c r="G2933" t="s">
        <v>86</v>
      </c>
      <c r="H2933" t="s">
        <v>93</v>
      </c>
      <c r="I2933">
        <v>1</v>
      </c>
      <c r="K2933">
        <v>0</v>
      </c>
      <c r="L2933">
        <v>0</v>
      </c>
      <c r="M2933">
        <v>1</v>
      </c>
      <c r="N2933">
        <v>1</v>
      </c>
      <c r="O2933">
        <v>1</v>
      </c>
      <c r="P2933">
        <v>1</v>
      </c>
      <c r="Q2933">
        <v>1</v>
      </c>
      <c r="R2933">
        <v>1</v>
      </c>
      <c r="U2933">
        <v>1</v>
      </c>
      <c r="V2933">
        <v>0</v>
      </c>
      <c r="W2933">
        <v>1</v>
      </c>
      <c r="X2933">
        <v>1</v>
      </c>
      <c r="Y2933">
        <v>1</v>
      </c>
      <c r="Z2933">
        <v>1</v>
      </c>
      <c r="AA2933">
        <v>1</v>
      </c>
      <c r="AB2933">
        <v>1</v>
      </c>
    </row>
    <row r="2934" spans="1:28" x14ac:dyDescent="0.25">
      <c r="A2934" t="str">
        <f>"2930"</f>
        <v>2930</v>
      </c>
      <c r="B2934" t="str">
        <f t="shared" si="168"/>
        <v>1</v>
      </c>
      <c r="C2934" t="str">
        <f t="shared" si="170"/>
        <v>130</v>
      </c>
      <c r="D2934" t="str">
        <f>"1"</f>
        <v>1</v>
      </c>
      <c r="E2934" t="str">
        <f>"1-130-1"</f>
        <v>1-130-1</v>
      </c>
      <c r="F2934" t="s">
        <v>83</v>
      </c>
      <c r="G2934" t="s">
        <v>84</v>
      </c>
      <c r="H2934" t="s">
        <v>92</v>
      </c>
      <c r="I2934">
        <v>1</v>
      </c>
      <c r="J2934">
        <v>0</v>
      </c>
      <c r="N2934">
        <v>1</v>
      </c>
      <c r="O2934">
        <v>0</v>
      </c>
      <c r="P2934">
        <v>1</v>
      </c>
      <c r="Q2934">
        <v>1</v>
      </c>
      <c r="R2934">
        <v>1</v>
      </c>
      <c r="S2934">
        <v>1</v>
      </c>
      <c r="T2934">
        <v>1</v>
      </c>
      <c r="W2934">
        <v>1</v>
      </c>
      <c r="X2934">
        <v>0</v>
      </c>
      <c r="Y2934">
        <v>0</v>
      </c>
      <c r="Z2934">
        <v>1</v>
      </c>
      <c r="AA2934">
        <v>0</v>
      </c>
      <c r="AB2934">
        <v>0</v>
      </c>
    </row>
    <row r="2935" spans="1:28" x14ac:dyDescent="0.25">
      <c r="A2935" t="str">
        <f>"2931"</f>
        <v>2931</v>
      </c>
      <c r="B2935" t="str">
        <f t="shared" si="168"/>
        <v>1</v>
      </c>
      <c r="C2935" t="str">
        <f t="shared" si="170"/>
        <v>130</v>
      </c>
      <c r="D2935" t="str">
        <f>"16"</f>
        <v>16</v>
      </c>
      <c r="E2935" t="str">
        <f>"1-130-16"</f>
        <v>1-130-16</v>
      </c>
      <c r="F2935" t="s">
        <v>83</v>
      </c>
      <c r="G2935" t="s">
        <v>84</v>
      </c>
      <c r="H2935" t="s">
        <v>92</v>
      </c>
      <c r="I2935">
        <v>1</v>
      </c>
      <c r="J2935">
        <v>1</v>
      </c>
      <c r="N2935">
        <v>1</v>
      </c>
      <c r="O2935">
        <v>1</v>
      </c>
      <c r="P2935">
        <v>1</v>
      </c>
      <c r="Q2935">
        <v>1</v>
      </c>
      <c r="R2935">
        <v>1</v>
      </c>
      <c r="S2935">
        <v>1</v>
      </c>
      <c r="T2935">
        <v>1</v>
      </c>
      <c r="W2935">
        <v>1</v>
      </c>
      <c r="X2935">
        <v>1</v>
      </c>
      <c r="Y2935">
        <v>1</v>
      </c>
      <c r="Z2935">
        <v>1</v>
      </c>
      <c r="AA2935">
        <v>1</v>
      </c>
      <c r="AB2935">
        <v>1</v>
      </c>
    </row>
    <row r="2936" spans="1:28" x14ac:dyDescent="0.25">
      <c r="A2936" t="str">
        <f>"2932"</f>
        <v>2932</v>
      </c>
      <c r="B2936" t="str">
        <f t="shared" si="168"/>
        <v>1</v>
      </c>
      <c r="C2936" t="str">
        <f t="shared" si="170"/>
        <v>130</v>
      </c>
      <c r="D2936" t="str">
        <f>"9"</f>
        <v>9</v>
      </c>
      <c r="E2936" t="str">
        <f>"1-130-9"</f>
        <v>1-130-9</v>
      </c>
      <c r="F2936" t="s">
        <v>83</v>
      </c>
      <c r="G2936" t="s">
        <v>84</v>
      </c>
      <c r="H2936" t="s">
        <v>92</v>
      </c>
      <c r="I2936">
        <v>1</v>
      </c>
      <c r="J2936">
        <v>1</v>
      </c>
      <c r="N2936">
        <v>1</v>
      </c>
      <c r="O2936">
        <v>1</v>
      </c>
      <c r="P2936">
        <v>1</v>
      </c>
      <c r="Q2936">
        <v>1</v>
      </c>
      <c r="R2936">
        <v>1</v>
      </c>
      <c r="S2936">
        <v>1</v>
      </c>
      <c r="T2936">
        <v>1</v>
      </c>
      <c r="W2936">
        <v>1</v>
      </c>
      <c r="X2936">
        <v>1</v>
      </c>
      <c r="Y2936">
        <v>1</v>
      </c>
      <c r="Z2936">
        <v>1</v>
      </c>
      <c r="AA2936">
        <v>1</v>
      </c>
      <c r="AB2936">
        <v>1</v>
      </c>
    </row>
    <row r="2937" spans="1:28" x14ac:dyDescent="0.25">
      <c r="A2937" t="str">
        <f>"2933"</f>
        <v>2933</v>
      </c>
      <c r="B2937" t="str">
        <f t="shared" si="168"/>
        <v>1</v>
      </c>
      <c r="C2937" t="str">
        <f t="shared" si="170"/>
        <v>130</v>
      </c>
      <c r="D2937" t="str">
        <f>"5"</f>
        <v>5</v>
      </c>
      <c r="E2937" t="str">
        <f>"1-130-5"</f>
        <v>1-130-5</v>
      </c>
      <c r="F2937" t="s">
        <v>83</v>
      </c>
      <c r="G2937" t="s">
        <v>86</v>
      </c>
      <c r="H2937" t="s">
        <v>93</v>
      </c>
      <c r="I2937">
        <v>1</v>
      </c>
      <c r="K2937">
        <v>0</v>
      </c>
      <c r="L2937">
        <v>0</v>
      </c>
      <c r="M2937">
        <v>1</v>
      </c>
      <c r="N2937">
        <v>1</v>
      </c>
      <c r="O2937">
        <v>1</v>
      </c>
      <c r="P2937">
        <v>1</v>
      </c>
      <c r="Q2937">
        <v>1</v>
      </c>
      <c r="R2937">
        <v>1</v>
      </c>
      <c r="U2937">
        <v>0</v>
      </c>
      <c r="V2937">
        <v>1</v>
      </c>
      <c r="W2937">
        <v>1</v>
      </c>
      <c r="X2937">
        <v>1</v>
      </c>
      <c r="Y2937">
        <v>1</v>
      </c>
      <c r="Z2937">
        <v>1</v>
      </c>
      <c r="AA2937">
        <v>1</v>
      </c>
      <c r="AB2937">
        <v>1</v>
      </c>
    </row>
    <row r="2938" spans="1:28" x14ac:dyDescent="0.25">
      <c r="A2938" t="str">
        <f>"2934"</f>
        <v>2934</v>
      </c>
      <c r="B2938" t="str">
        <f t="shared" si="168"/>
        <v>1</v>
      </c>
      <c r="C2938" t="str">
        <f t="shared" si="170"/>
        <v>130</v>
      </c>
      <c r="D2938" t="str">
        <f>"23"</f>
        <v>23</v>
      </c>
      <c r="E2938" t="str">
        <f>"1-130-23"</f>
        <v>1-130-23</v>
      </c>
      <c r="F2938" t="s">
        <v>83</v>
      </c>
      <c r="G2938" t="s">
        <v>84</v>
      </c>
      <c r="H2938" t="s">
        <v>92</v>
      </c>
      <c r="I2938">
        <v>1</v>
      </c>
      <c r="J2938">
        <v>1</v>
      </c>
      <c r="N2938">
        <v>1</v>
      </c>
      <c r="O2938">
        <v>1</v>
      </c>
      <c r="P2938">
        <v>1</v>
      </c>
      <c r="Q2938">
        <v>1</v>
      </c>
      <c r="R2938">
        <v>1</v>
      </c>
      <c r="S2938">
        <v>1</v>
      </c>
      <c r="T2938">
        <v>1</v>
      </c>
      <c r="W2938">
        <v>1</v>
      </c>
      <c r="X2938">
        <v>1</v>
      </c>
      <c r="Y2938">
        <v>1</v>
      </c>
      <c r="Z2938">
        <v>1</v>
      </c>
      <c r="AA2938">
        <v>1</v>
      </c>
      <c r="AB2938">
        <v>1</v>
      </c>
    </row>
    <row r="2939" spans="1:28" x14ac:dyDescent="0.25">
      <c r="A2939" t="str">
        <f>"2935"</f>
        <v>2935</v>
      </c>
      <c r="B2939" t="str">
        <f t="shared" si="168"/>
        <v>1</v>
      </c>
      <c r="C2939" t="str">
        <f t="shared" si="170"/>
        <v>130</v>
      </c>
      <c r="D2939" t="str">
        <f>"22"</f>
        <v>22</v>
      </c>
      <c r="E2939" t="str">
        <f>"1-130-22"</f>
        <v>1-130-22</v>
      </c>
      <c r="F2939" t="s">
        <v>83</v>
      </c>
      <c r="G2939" t="s">
        <v>84</v>
      </c>
      <c r="H2939" t="s">
        <v>92</v>
      </c>
      <c r="I2939">
        <v>1</v>
      </c>
      <c r="J2939">
        <v>1</v>
      </c>
      <c r="N2939">
        <v>1</v>
      </c>
      <c r="O2939">
        <v>1</v>
      </c>
      <c r="P2939">
        <v>1</v>
      </c>
      <c r="Q2939">
        <v>1</v>
      </c>
      <c r="R2939">
        <v>1</v>
      </c>
      <c r="S2939">
        <v>1</v>
      </c>
      <c r="T2939">
        <v>1</v>
      </c>
      <c r="W2939">
        <v>1</v>
      </c>
      <c r="X2939">
        <v>1</v>
      </c>
      <c r="Y2939">
        <v>1</v>
      </c>
      <c r="Z2939">
        <v>1</v>
      </c>
      <c r="AA2939">
        <v>1</v>
      </c>
      <c r="AB2939">
        <v>1</v>
      </c>
    </row>
    <row r="2940" spans="1:28" x14ac:dyDescent="0.25">
      <c r="A2940" t="str">
        <f>"2936"</f>
        <v>2936</v>
      </c>
      <c r="B2940" t="str">
        <f t="shared" si="168"/>
        <v>1</v>
      </c>
      <c r="C2940" t="str">
        <f t="shared" si="170"/>
        <v>130</v>
      </c>
      <c r="D2940" t="str">
        <f>"14"</f>
        <v>14</v>
      </c>
      <c r="E2940" t="str">
        <f>"1-130-14"</f>
        <v>1-130-14</v>
      </c>
      <c r="F2940" t="s">
        <v>83</v>
      </c>
      <c r="G2940" t="s">
        <v>84</v>
      </c>
      <c r="H2940" t="s">
        <v>92</v>
      </c>
      <c r="I2940">
        <v>1</v>
      </c>
      <c r="J2940">
        <v>1</v>
      </c>
      <c r="N2940">
        <v>1</v>
      </c>
      <c r="O2940">
        <v>1</v>
      </c>
      <c r="P2940">
        <v>1</v>
      </c>
      <c r="Q2940">
        <v>1</v>
      </c>
      <c r="R2940">
        <v>1</v>
      </c>
      <c r="S2940">
        <v>1</v>
      </c>
      <c r="T2940">
        <v>1</v>
      </c>
      <c r="W2940">
        <v>1</v>
      </c>
      <c r="X2940">
        <v>1</v>
      </c>
      <c r="Y2940">
        <v>1</v>
      </c>
      <c r="Z2940">
        <v>1</v>
      </c>
      <c r="AA2940">
        <v>1</v>
      </c>
      <c r="AB2940">
        <v>1</v>
      </c>
    </row>
    <row r="2941" spans="1:28" x14ac:dyDescent="0.25">
      <c r="A2941" t="str">
        <f>"2937"</f>
        <v>2937</v>
      </c>
      <c r="B2941" t="str">
        <f t="shared" si="168"/>
        <v>1</v>
      </c>
      <c r="C2941" t="str">
        <f t="shared" si="170"/>
        <v>130</v>
      </c>
      <c r="D2941" t="str">
        <f>"10"</f>
        <v>10</v>
      </c>
      <c r="E2941" t="str">
        <f>"1-130-10"</f>
        <v>1-130-10</v>
      </c>
      <c r="F2941" t="s">
        <v>83</v>
      </c>
      <c r="G2941" t="s">
        <v>84</v>
      </c>
      <c r="H2941" t="s">
        <v>92</v>
      </c>
      <c r="I2941">
        <v>1</v>
      </c>
      <c r="J2941">
        <v>1</v>
      </c>
      <c r="N2941">
        <v>1</v>
      </c>
      <c r="O2941">
        <v>1</v>
      </c>
      <c r="P2941">
        <v>1</v>
      </c>
      <c r="Q2941">
        <v>1</v>
      </c>
      <c r="R2941">
        <v>1</v>
      </c>
      <c r="S2941">
        <v>1</v>
      </c>
      <c r="T2941">
        <v>1</v>
      </c>
      <c r="W2941">
        <v>1</v>
      </c>
      <c r="X2941">
        <v>1</v>
      </c>
      <c r="Y2941">
        <v>1</v>
      </c>
      <c r="Z2941">
        <v>1</v>
      </c>
      <c r="AA2941">
        <v>1</v>
      </c>
      <c r="AB2941">
        <v>1</v>
      </c>
    </row>
    <row r="2942" spans="1:28" x14ac:dyDescent="0.25">
      <c r="A2942" t="str">
        <f>"2938"</f>
        <v>2938</v>
      </c>
      <c r="B2942" t="str">
        <f t="shared" si="168"/>
        <v>1</v>
      </c>
      <c r="C2942" t="str">
        <f t="shared" si="170"/>
        <v>130</v>
      </c>
      <c r="D2942" t="str">
        <f>"2"</f>
        <v>2</v>
      </c>
      <c r="E2942" t="str">
        <f>"1-130-2"</f>
        <v>1-130-2</v>
      </c>
      <c r="F2942" t="s">
        <v>83</v>
      </c>
      <c r="G2942" t="s">
        <v>84</v>
      </c>
      <c r="H2942" t="s">
        <v>92</v>
      </c>
      <c r="I2942">
        <v>1</v>
      </c>
      <c r="J2942">
        <v>1</v>
      </c>
      <c r="N2942">
        <v>1</v>
      </c>
      <c r="O2942">
        <v>1</v>
      </c>
      <c r="P2942">
        <v>1</v>
      </c>
      <c r="Q2942">
        <v>1</v>
      </c>
      <c r="R2942">
        <v>1</v>
      </c>
      <c r="S2942">
        <v>1</v>
      </c>
      <c r="T2942">
        <v>1</v>
      </c>
      <c r="W2942">
        <v>1</v>
      </c>
      <c r="X2942">
        <v>1</v>
      </c>
      <c r="Y2942">
        <v>1</v>
      </c>
      <c r="Z2942">
        <v>1</v>
      </c>
      <c r="AA2942">
        <v>1</v>
      </c>
      <c r="AB2942">
        <v>1</v>
      </c>
    </row>
    <row r="2943" spans="1:28" x14ac:dyDescent="0.25">
      <c r="A2943" t="str">
        <f>"2939"</f>
        <v>2939</v>
      </c>
      <c r="B2943" t="str">
        <f t="shared" si="168"/>
        <v>1</v>
      </c>
      <c r="C2943" t="str">
        <f t="shared" si="170"/>
        <v>130</v>
      </c>
      <c r="D2943" t="str">
        <f>"15"</f>
        <v>15</v>
      </c>
      <c r="E2943" t="str">
        <f>"1-130-15"</f>
        <v>1-130-15</v>
      </c>
      <c r="F2943" t="s">
        <v>83</v>
      </c>
      <c r="G2943" t="s">
        <v>86</v>
      </c>
      <c r="H2943" t="s">
        <v>93</v>
      </c>
      <c r="I2943">
        <v>1</v>
      </c>
      <c r="K2943">
        <v>0</v>
      </c>
      <c r="L2943">
        <v>0</v>
      </c>
      <c r="M2943">
        <v>1</v>
      </c>
      <c r="N2943">
        <v>1</v>
      </c>
      <c r="O2943">
        <v>1</v>
      </c>
      <c r="P2943">
        <v>1</v>
      </c>
      <c r="Q2943">
        <v>1</v>
      </c>
      <c r="R2943">
        <v>1</v>
      </c>
      <c r="U2943">
        <v>1</v>
      </c>
      <c r="V2943">
        <v>0</v>
      </c>
      <c r="W2943">
        <v>1</v>
      </c>
      <c r="X2943">
        <v>1</v>
      </c>
      <c r="Y2943">
        <v>1</v>
      </c>
      <c r="Z2943">
        <v>1</v>
      </c>
      <c r="AA2943">
        <v>1</v>
      </c>
      <c r="AB2943">
        <v>1</v>
      </c>
    </row>
    <row r="2944" spans="1:28" x14ac:dyDescent="0.25">
      <c r="A2944" t="str">
        <f>"2940"</f>
        <v>2940</v>
      </c>
      <c r="B2944" t="str">
        <f t="shared" si="168"/>
        <v>1</v>
      </c>
      <c r="C2944" t="str">
        <f t="shared" si="170"/>
        <v>130</v>
      </c>
      <c r="D2944" t="str">
        <f>"11"</f>
        <v>11</v>
      </c>
      <c r="E2944" t="str">
        <f>"1-130-11"</f>
        <v>1-130-11</v>
      </c>
      <c r="F2944" t="s">
        <v>83</v>
      </c>
      <c r="G2944" t="s">
        <v>84</v>
      </c>
      <c r="H2944" t="s">
        <v>92</v>
      </c>
      <c r="I2944">
        <v>1</v>
      </c>
      <c r="J2944">
        <v>1</v>
      </c>
      <c r="N2944">
        <v>1</v>
      </c>
      <c r="O2944">
        <v>1</v>
      </c>
      <c r="P2944">
        <v>1</v>
      </c>
      <c r="Q2944">
        <v>1</v>
      </c>
      <c r="R2944">
        <v>1</v>
      </c>
      <c r="S2944">
        <v>1</v>
      </c>
      <c r="T2944">
        <v>1</v>
      </c>
      <c r="W2944">
        <v>1</v>
      </c>
      <c r="X2944">
        <v>1</v>
      </c>
      <c r="Y2944">
        <v>1</v>
      </c>
      <c r="Z2944">
        <v>1</v>
      </c>
      <c r="AA2944">
        <v>1</v>
      </c>
      <c r="AB2944">
        <v>1</v>
      </c>
    </row>
    <row r="2945" spans="1:28" x14ac:dyDescent="0.25">
      <c r="A2945" t="str">
        <f>"2941"</f>
        <v>2941</v>
      </c>
      <c r="B2945" t="str">
        <f t="shared" si="168"/>
        <v>1</v>
      </c>
      <c r="C2945" t="str">
        <f t="shared" si="170"/>
        <v>130</v>
      </c>
      <c r="D2945" t="str">
        <f>"3"</f>
        <v>3</v>
      </c>
      <c r="E2945" t="str">
        <f>"1-130-3"</f>
        <v>1-130-3</v>
      </c>
      <c r="F2945" t="s">
        <v>83</v>
      </c>
      <c r="G2945" t="s">
        <v>84</v>
      </c>
      <c r="H2945" t="s">
        <v>92</v>
      </c>
      <c r="I2945">
        <v>1</v>
      </c>
      <c r="J2945">
        <v>1</v>
      </c>
      <c r="N2945">
        <v>1</v>
      </c>
      <c r="O2945">
        <v>1</v>
      </c>
      <c r="P2945">
        <v>1</v>
      </c>
      <c r="Q2945">
        <v>1</v>
      </c>
      <c r="R2945">
        <v>1</v>
      </c>
      <c r="S2945">
        <v>1</v>
      </c>
      <c r="T2945">
        <v>1</v>
      </c>
      <c r="W2945">
        <v>1</v>
      </c>
      <c r="X2945">
        <v>1</v>
      </c>
      <c r="Y2945">
        <v>1</v>
      </c>
      <c r="Z2945">
        <v>1</v>
      </c>
      <c r="AA2945">
        <v>1</v>
      </c>
      <c r="AB2945">
        <v>1</v>
      </c>
    </row>
    <row r="2946" spans="1:28" x14ac:dyDescent="0.25">
      <c r="A2946" t="str">
        <f>"2942"</f>
        <v>2942</v>
      </c>
      <c r="B2946" t="str">
        <f t="shared" si="168"/>
        <v>1</v>
      </c>
      <c r="C2946" t="str">
        <f t="shared" si="170"/>
        <v>130</v>
      </c>
      <c r="D2946" t="str">
        <f>"17"</f>
        <v>17</v>
      </c>
      <c r="E2946" t="str">
        <f>"1-130-17"</f>
        <v>1-130-17</v>
      </c>
      <c r="F2946" t="s">
        <v>83</v>
      </c>
      <c r="G2946" t="s">
        <v>84</v>
      </c>
      <c r="H2946" t="s">
        <v>92</v>
      </c>
      <c r="I2946">
        <v>1</v>
      </c>
      <c r="J2946">
        <v>1</v>
      </c>
      <c r="N2946">
        <v>1</v>
      </c>
      <c r="O2946">
        <v>1</v>
      </c>
      <c r="P2946">
        <v>1</v>
      </c>
      <c r="Q2946">
        <v>1</v>
      </c>
      <c r="R2946">
        <v>1</v>
      </c>
      <c r="S2946">
        <v>1</v>
      </c>
      <c r="T2946">
        <v>1</v>
      </c>
      <c r="W2946">
        <v>1</v>
      </c>
      <c r="X2946">
        <v>1</v>
      </c>
      <c r="Y2946">
        <v>1</v>
      </c>
      <c r="Z2946">
        <v>1</v>
      </c>
      <c r="AA2946">
        <v>1</v>
      </c>
      <c r="AB2946">
        <v>1</v>
      </c>
    </row>
    <row r="2947" spans="1:28" x14ac:dyDescent="0.25">
      <c r="A2947" t="str">
        <f>"2943"</f>
        <v>2943</v>
      </c>
      <c r="B2947" t="str">
        <f t="shared" si="168"/>
        <v>1</v>
      </c>
      <c r="C2947" t="str">
        <f t="shared" si="170"/>
        <v>130</v>
      </c>
      <c r="D2947" t="str">
        <f>"12"</f>
        <v>12</v>
      </c>
      <c r="E2947" t="str">
        <f>"1-130-12"</f>
        <v>1-130-12</v>
      </c>
      <c r="F2947" t="s">
        <v>83</v>
      </c>
      <c r="G2947" t="s">
        <v>84</v>
      </c>
      <c r="H2947" t="s">
        <v>92</v>
      </c>
      <c r="I2947">
        <v>1</v>
      </c>
      <c r="J2947">
        <v>1</v>
      </c>
      <c r="N2947">
        <v>1</v>
      </c>
      <c r="O2947">
        <v>0</v>
      </c>
      <c r="P2947">
        <v>0</v>
      </c>
      <c r="Q2947">
        <v>0</v>
      </c>
      <c r="R2947">
        <v>1</v>
      </c>
      <c r="S2947">
        <v>1</v>
      </c>
      <c r="T2947">
        <v>1</v>
      </c>
      <c r="W2947">
        <v>1</v>
      </c>
      <c r="X2947">
        <v>1</v>
      </c>
      <c r="Y2947">
        <v>1</v>
      </c>
      <c r="Z2947">
        <v>1</v>
      </c>
      <c r="AA2947">
        <v>1</v>
      </c>
      <c r="AB2947">
        <v>1</v>
      </c>
    </row>
    <row r="2948" spans="1:28" x14ac:dyDescent="0.25">
      <c r="A2948" t="str">
        <f>"2944"</f>
        <v>2944</v>
      </c>
      <c r="B2948" t="str">
        <f t="shared" si="168"/>
        <v>1</v>
      </c>
      <c r="C2948" t="str">
        <f t="shared" si="170"/>
        <v>130</v>
      </c>
      <c r="D2948" t="str">
        <f>"4"</f>
        <v>4</v>
      </c>
      <c r="E2948" t="str">
        <f>"1-130-4"</f>
        <v>1-130-4</v>
      </c>
      <c r="F2948" t="s">
        <v>83</v>
      </c>
      <c r="G2948" t="s">
        <v>84</v>
      </c>
      <c r="H2948" t="s">
        <v>92</v>
      </c>
      <c r="I2948">
        <v>1</v>
      </c>
      <c r="J2948">
        <v>1</v>
      </c>
      <c r="N2948">
        <v>1</v>
      </c>
      <c r="O2948">
        <v>1</v>
      </c>
      <c r="P2948">
        <v>1</v>
      </c>
      <c r="Q2948">
        <v>1</v>
      </c>
      <c r="R2948">
        <v>1</v>
      </c>
      <c r="S2948">
        <v>1</v>
      </c>
      <c r="T2948">
        <v>1</v>
      </c>
      <c r="W2948">
        <v>1</v>
      </c>
      <c r="X2948">
        <v>1</v>
      </c>
      <c r="Y2948">
        <v>1</v>
      </c>
      <c r="Z2948">
        <v>1</v>
      </c>
      <c r="AA2948">
        <v>1</v>
      </c>
      <c r="AB2948">
        <v>1</v>
      </c>
    </row>
    <row r="2949" spans="1:28" x14ac:dyDescent="0.25">
      <c r="A2949" t="str">
        <f>"2945"</f>
        <v>2945</v>
      </c>
      <c r="B2949" t="str">
        <f t="shared" si="168"/>
        <v>1</v>
      </c>
      <c r="C2949" t="str">
        <f t="shared" si="170"/>
        <v>130</v>
      </c>
      <c r="D2949" t="str">
        <f>"18"</f>
        <v>18</v>
      </c>
      <c r="E2949" t="str">
        <f>"1-130-18"</f>
        <v>1-130-18</v>
      </c>
      <c r="F2949" t="s">
        <v>83</v>
      </c>
      <c r="G2949" t="s">
        <v>84</v>
      </c>
      <c r="H2949" t="s">
        <v>92</v>
      </c>
      <c r="I2949">
        <v>1</v>
      </c>
      <c r="J2949">
        <v>1</v>
      </c>
      <c r="N2949">
        <v>1</v>
      </c>
      <c r="O2949">
        <v>1</v>
      </c>
      <c r="P2949">
        <v>1</v>
      </c>
      <c r="Q2949">
        <v>1</v>
      </c>
      <c r="R2949">
        <v>1</v>
      </c>
      <c r="S2949">
        <v>1</v>
      </c>
      <c r="T2949">
        <v>1</v>
      </c>
      <c r="W2949">
        <v>1</v>
      </c>
      <c r="X2949">
        <v>1</v>
      </c>
      <c r="Y2949">
        <v>1</v>
      </c>
      <c r="Z2949">
        <v>1</v>
      </c>
      <c r="AA2949">
        <v>1</v>
      </c>
      <c r="AB2949">
        <v>1</v>
      </c>
    </row>
    <row r="2950" spans="1:28" x14ac:dyDescent="0.25">
      <c r="A2950" t="str">
        <f>"2946"</f>
        <v>2946</v>
      </c>
      <c r="B2950" t="str">
        <f t="shared" si="168"/>
        <v>1</v>
      </c>
      <c r="C2950" t="str">
        <f t="shared" si="170"/>
        <v>130</v>
      </c>
      <c r="D2950" t="str">
        <f>"6"</f>
        <v>6</v>
      </c>
      <c r="E2950" t="str">
        <f>"1-130-6"</f>
        <v>1-130-6</v>
      </c>
      <c r="F2950" t="s">
        <v>83</v>
      </c>
      <c r="G2950" t="s">
        <v>84</v>
      </c>
      <c r="H2950" t="s">
        <v>92</v>
      </c>
      <c r="I2950">
        <v>1</v>
      </c>
      <c r="J2950">
        <v>1</v>
      </c>
      <c r="N2950">
        <v>1</v>
      </c>
      <c r="O2950">
        <v>1</v>
      </c>
      <c r="P2950">
        <v>1</v>
      </c>
      <c r="Q2950">
        <v>1</v>
      </c>
      <c r="R2950">
        <v>1</v>
      </c>
      <c r="S2950">
        <v>1</v>
      </c>
      <c r="T2950">
        <v>1</v>
      </c>
      <c r="W2950">
        <v>0</v>
      </c>
      <c r="X2950">
        <v>1</v>
      </c>
      <c r="Y2950">
        <v>1</v>
      </c>
      <c r="Z2950">
        <v>1</v>
      </c>
      <c r="AA2950">
        <v>1</v>
      </c>
      <c r="AB2950">
        <v>1</v>
      </c>
    </row>
    <row r="2951" spans="1:28" x14ac:dyDescent="0.25">
      <c r="A2951" t="str">
        <f>"2947"</f>
        <v>2947</v>
      </c>
      <c r="B2951" t="str">
        <f t="shared" si="168"/>
        <v>1</v>
      </c>
      <c r="C2951" t="str">
        <f t="shared" si="170"/>
        <v>130</v>
      </c>
      <c r="D2951" t="str">
        <f>"19"</f>
        <v>19</v>
      </c>
      <c r="E2951" t="str">
        <f>"1-130-19"</f>
        <v>1-130-19</v>
      </c>
      <c r="F2951" t="s">
        <v>83</v>
      </c>
      <c r="G2951" t="s">
        <v>84</v>
      </c>
      <c r="H2951" t="s">
        <v>92</v>
      </c>
      <c r="I2951">
        <v>1</v>
      </c>
      <c r="J2951">
        <v>1</v>
      </c>
      <c r="N2951">
        <v>1</v>
      </c>
      <c r="O2951">
        <v>1</v>
      </c>
      <c r="P2951">
        <v>1</v>
      </c>
      <c r="Q2951">
        <v>1</v>
      </c>
      <c r="R2951">
        <v>1</v>
      </c>
      <c r="S2951">
        <v>1</v>
      </c>
      <c r="T2951">
        <v>1</v>
      </c>
      <c r="W2951">
        <v>1</v>
      </c>
      <c r="X2951">
        <v>1</v>
      </c>
      <c r="Y2951">
        <v>1</v>
      </c>
      <c r="Z2951">
        <v>1</v>
      </c>
      <c r="AA2951">
        <v>1</v>
      </c>
      <c r="AB2951">
        <v>1</v>
      </c>
    </row>
    <row r="2952" spans="1:28" x14ac:dyDescent="0.25">
      <c r="A2952" t="str">
        <f>"2948"</f>
        <v>2948</v>
      </c>
      <c r="B2952" t="str">
        <f t="shared" si="168"/>
        <v>1</v>
      </c>
      <c r="C2952" t="str">
        <f t="shared" si="170"/>
        <v>130</v>
      </c>
      <c r="D2952" t="str">
        <f>"7"</f>
        <v>7</v>
      </c>
      <c r="E2952" t="str">
        <f>"1-130-7"</f>
        <v>1-130-7</v>
      </c>
      <c r="F2952" t="s">
        <v>83</v>
      </c>
      <c r="G2952" t="s">
        <v>86</v>
      </c>
      <c r="H2952" t="s">
        <v>93</v>
      </c>
      <c r="I2952">
        <v>0</v>
      </c>
      <c r="K2952">
        <v>0</v>
      </c>
      <c r="L2952">
        <v>0</v>
      </c>
      <c r="M2952">
        <v>1</v>
      </c>
      <c r="N2952">
        <v>0</v>
      </c>
      <c r="O2952">
        <v>0</v>
      </c>
      <c r="P2952">
        <v>0</v>
      </c>
      <c r="Q2952">
        <v>0</v>
      </c>
      <c r="R2952">
        <v>0</v>
      </c>
      <c r="U2952">
        <v>1</v>
      </c>
      <c r="V2952">
        <v>0</v>
      </c>
      <c r="W2952">
        <v>0</v>
      </c>
      <c r="X2952">
        <v>1</v>
      </c>
      <c r="Y2952">
        <v>1</v>
      </c>
      <c r="Z2952">
        <v>1</v>
      </c>
      <c r="AA2952">
        <v>1</v>
      </c>
      <c r="AB2952">
        <v>1</v>
      </c>
    </row>
    <row r="2953" spans="1:28" x14ac:dyDescent="0.25">
      <c r="A2953" t="str">
        <f>"2949"</f>
        <v>2949</v>
      </c>
      <c r="B2953" t="str">
        <f t="shared" si="168"/>
        <v>1</v>
      </c>
      <c r="C2953" t="str">
        <f t="shared" ref="C2953:C2977" si="171">"131"</f>
        <v>131</v>
      </c>
      <c r="D2953" t="str">
        <f>"25"</f>
        <v>25</v>
      </c>
      <c r="E2953" t="str">
        <f>"1-131-25"</f>
        <v>1-131-25</v>
      </c>
      <c r="F2953" t="s">
        <v>83</v>
      </c>
      <c r="G2953" t="s">
        <v>84</v>
      </c>
      <c r="H2953" t="s">
        <v>92</v>
      </c>
      <c r="I2953">
        <v>1</v>
      </c>
      <c r="J2953">
        <v>1</v>
      </c>
      <c r="N2953">
        <v>1</v>
      </c>
      <c r="O2953">
        <v>1</v>
      </c>
      <c r="P2953">
        <v>1</v>
      </c>
      <c r="Q2953">
        <v>1</v>
      </c>
      <c r="R2953">
        <v>1</v>
      </c>
      <c r="S2953">
        <v>1</v>
      </c>
      <c r="T2953">
        <v>1</v>
      </c>
      <c r="W2953">
        <v>1</v>
      </c>
      <c r="X2953">
        <v>1</v>
      </c>
      <c r="Y2953">
        <v>1</v>
      </c>
      <c r="Z2953">
        <v>1</v>
      </c>
      <c r="AA2953">
        <v>1</v>
      </c>
      <c r="AB2953">
        <v>1</v>
      </c>
    </row>
    <row r="2954" spans="1:28" x14ac:dyDescent="0.25">
      <c r="A2954" t="str">
        <f>"2950"</f>
        <v>2950</v>
      </c>
      <c r="B2954" t="str">
        <f t="shared" si="168"/>
        <v>1</v>
      </c>
      <c r="C2954" t="str">
        <f t="shared" si="171"/>
        <v>131</v>
      </c>
      <c r="D2954" t="str">
        <f>"24"</f>
        <v>24</v>
      </c>
      <c r="E2954" t="str">
        <f>"1-131-24"</f>
        <v>1-131-24</v>
      </c>
      <c r="F2954" t="s">
        <v>83</v>
      </c>
      <c r="G2954" t="s">
        <v>84</v>
      </c>
      <c r="H2954" t="s">
        <v>92</v>
      </c>
      <c r="I2954">
        <v>1</v>
      </c>
      <c r="J2954">
        <v>1</v>
      </c>
      <c r="N2954">
        <v>1</v>
      </c>
      <c r="O2954">
        <v>0</v>
      </c>
      <c r="P2954">
        <v>0</v>
      </c>
      <c r="Q2954">
        <v>0</v>
      </c>
      <c r="R2954">
        <v>0</v>
      </c>
      <c r="S2954">
        <v>1</v>
      </c>
      <c r="T2954">
        <v>0</v>
      </c>
      <c r="W2954">
        <v>1</v>
      </c>
      <c r="X2954">
        <v>1</v>
      </c>
      <c r="Y2954">
        <v>1</v>
      </c>
      <c r="Z2954">
        <v>0</v>
      </c>
      <c r="AA2954">
        <v>0</v>
      </c>
      <c r="AB2954">
        <v>1</v>
      </c>
    </row>
    <row r="2955" spans="1:28" x14ac:dyDescent="0.25">
      <c r="A2955" t="str">
        <f>"2951"</f>
        <v>2951</v>
      </c>
      <c r="B2955" t="str">
        <f t="shared" si="168"/>
        <v>1</v>
      </c>
      <c r="C2955" t="str">
        <f t="shared" si="171"/>
        <v>131</v>
      </c>
      <c r="D2955" t="str">
        <f>"15"</f>
        <v>15</v>
      </c>
      <c r="E2955" t="str">
        <f>"1-131-15"</f>
        <v>1-131-15</v>
      </c>
      <c r="F2955" t="s">
        <v>83</v>
      </c>
      <c r="G2955" t="s">
        <v>84</v>
      </c>
      <c r="H2955" t="s">
        <v>92</v>
      </c>
      <c r="I2955">
        <v>1</v>
      </c>
      <c r="J2955">
        <v>1</v>
      </c>
      <c r="N2955">
        <v>1</v>
      </c>
      <c r="O2955">
        <v>1</v>
      </c>
      <c r="P2955">
        <v>1</v>
      </c>
      <c r="Q2955">
        <v>1</v>
      </c>
      <c r="R2955">
        <v>1</v>
      </c>
      <c r="S2955">
        <v>1</v>
      </c>
      <c r="T2955">
        <v>1</v>
      </c>
      <c r="W2955">
        <v>1</v>
      </c>
      <c r="X2955">
        <v>1</v>
      </c>
      <c r="Y2955">
        <v>1</v>
      </c>
      <c r="Z2955">
        <v>1</v>
      </c>
      <c r="AA2955">
        <v>1</v>
      </c>
      <c r="AB2955">
        <v>1</v>
      </c>
    </row>
    <row r="2956" spans="1:28" x14ac:dyDescent="0.25">
      <c r="A2956" t="str">
        <f>"2952"</f>
        <v>2952</v>
      </c>
      <c r="B2956" t="str">
        <f t="shared" si="168"/>
        <v>1</v>
      </c>
      <c r="C2956" t="str">
        <f t="shared" si="171"/>
        <v>131</v>
      </c>
      <c r="D2956" t="str">
        <f>"8"</f>
        <v>8</v>
      </c>
      <c r="E2956" t="str">
        <f>"1-131-8"</f>
        <v>1-131-8</v>
      </c>
      <c r="F2956" t="s">
        <v>83</v>
      </c>
      <c r="G2956" t="s">
        <v>84</v>
      </c>
      <c r="H2956" t="s">
        <v>92</v>
      </c>
      <c r="I2956">
        <v>1</v>
      </c>
      <c r="J2956">
        <v>1</v>
      </c>
      <c r="N2956">
        <v>1</v>
      </c>
      <c r="O2956">
        <v>1</v>
      </c>
      <c r="P2956">
        <v>1</v>
      </c>
      <c r="Q2956">
        <v>1</v>
      </c>
      <c r="R2956">
        <v>1</v>
      </c>
      <c r="S2956">
        <v>1</v>
      </c>
      <c r="T2956">
        <v>1</v>
      </c>
      <c r="W2956">
        <v>1</v>
      </c>
      <c r="X2956">
        <v>1</v>
      </c>
      <c r="Y2956">
        <v>1</v>
      </c>
      <c r="Z2956">
        <v>1</v>
      </c>
      <c r="AA2956">
        <v>1</v>
      </c>
      <c r="AB2956">
        <v>1</v>
      </c>
    </row>
    <row r="2957" spans="1:28" x14ac:dyDescent="0.25">
      <c r="A2957" t="str">
        <f>"2953"</f>
        <v>2953</v>
      </c>
      <c r="B2957" t="str">
        <f t="shared" si="168"/>
        <v>1</v>
      </c>
      <c r="C2957" t="str">
        <f t="shared" si="171"/>
        <v>131</v>
      </c>
      <c r="D2957" t="str">
        <f>"5"</f>
        <v>5</v>
      </c>
      <c r="E2957" t="str">
        <f>"1-131-5"</f>
        <v>1-131-5</v>
      </c>
      <c r="F2957" t="s">
        <v>83</v>
      </c>
      <c r="G2957" t="s">
        <v>84</v>
      </c>
      <c r="H2957" t="s">
        <v>92</v>
      </c>
      <c r="I2957">
        <v>1</v>
      </c>
      <c r="J2957">
        <v>1</v>
      </c>
      <c r="N2957">
        <v>1</v>
      </c>
      <c r="O2957">
        <v>1</v>
      </c>
      <c r="P2957">
        <v>1</v>
      </c>
      <c r="Q2957">
        <v>1</v>
      </c>
      <c r="R2957">
        <v>1</v>
      </c>
      <c r="S2957">
        <v>1</v>
      </c>
      <c r="T2957">
        <v>1</v>
      </c>
      <c r="W2957">
        <v>1</v>
      </c>
      <c r="X2957">
        <v>1</v>
      </c>
      <c r="Y2957">
        <v>1</v>
      </c>
      <c r="Z2957">
        <v>1</v>
      </c>
      <c r="AA2957">
        <v>1</v>
      </c>
      <c r="AB2957">
        <v>1</v>
      </c>
    </row>
    <row r="2958" spans="1:28" x14ac:dyDescent="0.25">
      <c r="A2958" t="str">
        <f>"2954"</f>
        <v>2954</v>
      </c>
      <c r="B2958" t="str">
        <f t="shared" si="168"/>
        <v>1</v>
      </c>
      <c r="C2958" t="str">
        <f t="shared" si="171"/>
        <v>131</v>
      </c>
      <c r="D2958" t="str">
        <f>"23"</f>
        <v>23</v>
      </c>
      <c r="E2958" t="str">
        <f>"1-131-23"</f>
        <v>1-131-23</v>
      </c>
      <c r="F2958" t="s">
        <v>83</v>
      </c>
      <c r="G2958" t="s">
        <v>84</v>
      </c>
      <c r="H2958" t="s">
        <v>92</v>
      </c>
      <c r="I2958">
        <v>1</v>
      </c>
      <c r="J2958">
        <v>1</v>
      </c>
      <c r="N2958">
        <v>1</v>
      </c>
      <c r="O2958">
        <v>1</v>
      </c>
      <c r="P2958">
        <v>1</v>
      </c>
      <c r="Q2958">
        <v>1</v>
      </c>
      <c r="R2958">
        <v>1</v>
      </c>
      <c r="S2958">
        <v>1</v>
      </c>
      <c r="T2958">
        <v>1</v>
      </c>
      <c r="W2958">
        <v>1</v>
      </c>
      <c r="X2958">
        <v>1</v>
      </c>
      <c r="Y2958">
        <v>1</v>
      </c>
      <c r="Z2958">
        <v>1</v>
      </c>
      <c r="AA2958">
        <v>1</v>
      </c>
      <c r="AB2958">
        <v>1</v>
      </c>
    </row>
    <row r="2959" spans="1:28" x14ac:dyDescent="0.25">
      <c r="A2959" t="str">
        <f>"2955"</f>
        <v>2955</v>
      </c>
      <c r="B2959" t="str">
        <f t="shared" si="168"/>
        <v>1</v>
      </c>
      <c r="C2959" t="str">
        <f t="shared" si="171"/>
        <v>131</v>
      </c>
      <c r="D2959" t="str">
        <f>"22"</f>
        <v>22</v>
      </c>
      <c r="E2959" t="str">
        <f>"1-131-22"</f>
        <v>1-131-22</v>
      </c>
      <c r="F2959" t="s">
        <v>83</v>
      </c>
      <c r="G2959" t="s">
        <v>84</v>
      </c>
      <c r="H2959" t="s">
        <v>92</v>
      </c>
      <c r="I2959">
        <v>1</v>
      </c>
      <c r="J2959">
        <v>1</v>
      </c>
      <c r="N2959">
        <v>1</v>
      </c>
      <c r="O2959">
        <v>1</v>
      </c>
      <c r="P2959">
        <v>1</v>
      </c>
      <c r="Q2959">
        <v>1</v>
      </c>
      <c r="R2959">
        <v>1</v>
      </c>
      <c r="S2959">
        <v>1</v>
      </c>
      <c r="T2959">
        <v>1</v>
      </c>
      <c r="W2959">
        <v>1</v>
      </c>
      <c r="X2959">
        <v>1</v>
      </c>
      <c r="Y2959">
        <v>1</v>
      </c>
      <c r="Z2959">
        <v>1</v>
      </c>
      <c r="AA2959">
        <v>1</v>
      </c>
      <c r="AB2959">
        <v>1</v>
      </c>
    </row>
    <row r="2960" spans="1:28" x14ac:dyDescent="0.25">
      <c r="A2960" t="str">
        <f>"2956"</f>
        <v>2956</v>
      </c>
      <c r="B2960" t="str">
        <f t="shared" si="168"/>
        <v>1</v>
      </c>
      <c r="C2960" t="str">
        <f t="shared" si="171"/>
        <v>131</v>
      </c>
      <c r="D2960" t="str">
        <f>"16"</f>
        <v>16</v>
      </c>
      <c r="E2960" t="str">
        <f>"1-131-16"</f>
        <v>1-131-16</v>
      </c>
      <c r="F2960" t="s">
        <v>83</v>
      </c>
      <c r="G2960" t="s">
        <v>84</v>
      </c>
      <c r="H2960" t="s">
        <v>92</v>
      </c>
      <c r="I2960">
        <v>1</v>
      </c>
      <c r="J2960">
        <v>1</v>
      </c>
      <c r="N2960">
        <v>1</v>
      </c>
      <c r="O2960">
        <v>1</v>
      </c>
      <c r="P2960">
        <v>1</v>
      </c>
      <c r="Q2960">
        <v>1</v>
      </c>
      <c r="R2960">
        <v>1</v>
      </c>
      <c r="S2960">
        <v>1</v>
      </c>
      <c r="T2960">
        <v>1</v>
      </c>
      <c r="W2960">
        <v>1</v>
      </c>
      <c r="X2960">
        <v>1</v>
      </c>
      <c r="Y2960">
        <v>1</v>
      </c>
      <c r="Z2960">
        <v>1</v>
      </c>
      <c r="AA2960">
        <v>1</v>
      </c>
      <c r="AB2960">
        <v>1</v>
      </c>
    </row>
    <row r="2961" spans="1:28" x14ac:dyDescent="0.25">
      <c r="A2961" t="str">
        <f>"2957"</f>
        <v>2957</v>
      </c>
      <c r="B2961" t="str">
        <f t="shared" si="168"/>
        <v>1</v>
      </c>
      <c r="C2961" t="str">
        <f t="shared" si="171"/>
        <v>131</v>
      </c>
      <c r="D2961" t="str">
        <f>"9"</f>
        <v>9</v>
      </c>
      <c r="E2961" t="str">
        <f>"1-131-9"</f>
        <v>1-131-9</v>
      </c>
      <c r="F2961" t="s">
        <v>83</v>
      </c>
      <c r="G2961" t="s">
        <v>84</v>
      </c>
      <c r="H2961" t="s">
        <v>92</v>
      </c>
      <c r="I2961">
        <v>1</v>
      </c>
      <c r="J2961">
        <v>1</v>
      </c>
      <c r="N2961">
        <v>1</v>
      </c>
      <c r="O2961">
        <v>1</v>
      </c>
      <c r="P2961">
        <v>1</v>
      </c>
      <c r="Q2961">
        <v>1</v>
      </c>
      <c r="R2961">
        <v>1</v>
      </c>
      <c r="S2961">
        <v>1</v>
      </c>
      <c r="T2961">
        <v>1</v>
      </c>
      <c r="W2961">
        <v>1</v>
      </c>
      <c r="X2961">
        <v>1</v>
      </c>
      <c r="Y2961">
        <v>1</v>
      </c>
      <c r="Z2961">
        <v>1</v>
      </c>
      <c r="AA2961">
        <v>1</v>
      </c>
      <c r="AB2961">
        <v>1</v>
      </c>
    </row>
    <row r="2962" spans="1:28" x14ac:dyDescent="0.25">
      <c r="A2962" t="str">
        <f>"2958"</f>
        <v>2958</v>
      </c>
      <c r="B2962" t="str">
        <f t="shared" si="168"/>
        <v>1</v>
      </c>
      <c r="C2962" t="str">
        <f t="shared" si="171"/>
        <v>131</v>
      </c>
      <c r="D2962" t="str">
        <f>"4"</f>
        <v>4</v>
      </c>
      <c r="E2962" t="str">
        <f>"1-131-4"</f>
        <v>1-131-4</v>
      </c>
      <c r="F2962" t="s">
        <v>83</v>
      </c>
      <c r="G2962" t="s">
        <v>84</v>
      </c>
      <c r="H2962" t="s">
        <v>92</v>
      </c>
      <c r="I2962">
        <v>1</v>
      </c>
      <c r="J2962">
        <v>1</v>
      </c>
      <c r="N2962">
        <v>1</v>
      </c>
      <c r="O2962">
        <v>1</v>
      </c>
      <c r="P2962">
        <v>1</v>
      </c>
      <c r="Q2962">
        <v>1</v>
      </c>
      <c r="R2962">
        <v>1</v>
      </c>
      <c r="S2962">
        <v>1</v>
      </c>
      <c r="T2962">
        <v>0</v>
      </c>
      <c r="W2962">
        <v>0</v>
      </c>
      <c r="X2962">
        <v>1</v>
      </c>
      <c r="Y2962">
        <v>1</v>
      </c>
      <c r="Z2962">
        <v>1</v>
      </c>
      <c r="AA2962">
        <v>1</v>
      </c>
      <c r="AB2962">
        <v>1</v>
      </c>
    </row>
    <row r="2963" spans="1:28" x14ac:dyDescent="0.25">
      <c r="A2963" t="str">
        <f>"2959"</f>
        <v>2959</v>
      </c>
      <c r="B2963" t="str">
        <f t="shared" si="168"/>
        <v>1</v>
      </c>
      <c r="C2963" t="str">
        <f t="shared" si="171"/>
        <v>131</v>
      </c>
      <c r="D2963" t="str">
        <f>"17"</f>
        <v>17</v>
      </c>
      <c r="E2963" t="str">
        <f>"1-131-17"</f>
        <v>1-131-17</v>
      </c>
      <c r="F2963" t="s">
        <v>83</v>
      </c>
      <c r="G2963" t="s">
        <v>84</v>
      </c>
      <c r="H2963" t="s">
        <v>92</v>
      </c>
      <c r="I2963">
        <v>1</v>
      </c>
      <c r="J2963">
        <v>1</v>
      </c>
      <c r="N2963">
        <v>1</v>
      </c>
      <c r="O2963">
        <v>1</v>
      </c>
      <c r="P2963">
        <v>1</v>
      </c>
      <c r="Q2963">
        <v>1</v>
      </c>
      <c r="R2963">
        <v>1</v>
      </c>
      <c r="S2963">
        <v>1</v>
      </c>
      <c r="T2963">
        <v>1</v>
      </c>
      <c r="W2963">
        <v>1</v>
      </c>
      <c r="X2963">
        <v>1</v>
      </c>
      <c r="Y2963">
        <v>1</v>
      </c>
      <c r="Z2963">
        <v>1</v>
      </c>
      <c r="AA2963">
        <v>1</v>
      </c>
      <c r="AB2963">
        <v>1</v>
      </c>
    </row>
    <row r="2964" spans="1:28" x14ac:dyDescent="0.25">
      <c r="A2964" t="str">
        <f>"2960"</f>
        <v>2960</v>
      </c>
      <c r="B2964" t="str">
        <f t="shared" si="168"/>
        <v>1</v>
      </c>
      <c r="C2964" t="str">
        <f t="shared" si="171"/>
        <v>131</v>
      </c>
      <c r="D2964" t="str">
        <f>"10"</f>
        <v>10</v>
      </c>
      <c r="E2964" t="str">
        <f>"1-131-10"</f>
        <v>1-131-10</v>
      </c>
      <c r="F2964" t="s">
        <v>83</v>
      </c>
      <c r="G2964" t="s">
        <v>84</v>
      </c>
      <c r="H2964" t="s">
        <v>92</v>
      </c>
      <c r="I2964">
        <v>1</v>
      </c>
      <c r="J2964">
        <v>1</v>
      </c>
      <c r="N2964">
        <v>1</v>
      </c>
      <c r="O2964">
        <v>1</v>
      </c>
      <c r="P2964">
        <v>1</v>
      </c>
      <c r="Q2964">
        <v>1</v>
      </c>
      <c r="R2964">
        <v>1</v>
      </c>
      <c r="S2964">
        <v>1</v>
      </c>
      <c r="T2964">
        <v>1</v>
      </c>
      <c r="W2964">
        <v>1</v>
      </c>
      <c r="X2964">
        <v>1</v>
      </c>
      <c r="Y2964">
        <v>1</v>
      </c>
      <c r="Z2964">
        <v>1</v>
      </c>
      <c r="AA2964">
        <v>1</v>
      </c>
      <c r="AB2964">
        <v>1</v>
      </c>
    </row>
    <row r="2965" spans="1:28" x14ac:dyDescent="0.25">
      <c r="A2965" t="str">
        <f>"2961"</f>
        <v>2961</v>
      </c>
      <c r="B2965" t="str">
        <f t="shared" si="168"/>
        <v>1</v>
      </c>
      <c r="C2965" t="str">
        <f t="shared" si="171"/>
        <v>131</v>
      </c>
      <c r="D2965" t="str">
        <f>"6"</f>
        <v>6</v>
      </c>
      <c r="E2965" t="str">
        <f>"1-131-6"</f>
        <v>1-131-6</v>
      </c>
      <c r="F2965" t="s">
        <v>83</v>
      </c>
      <c r="G2965" t="s">
        <v>84</v>
      </c>
      <c r="H2965" t="s">
        <v>92</v>
      </c>
      <c r="I2965">
        <v>1</v>
      </c>
      <c r="J2965">
        <v>1</v>
      </c>
      <c r="N2965">
        <v>1</v>
      </c>
      <c r="O2965">
        <v>1</v>
      </c>
      <c r="P2965">
        <v>1</v>
      </c>
      <c r="Q2965">
        <v>1</v>
      </c>
      <c r="R2965">
        <v>1</v>
      </c>
      <c r="S2965">
        <v>1</v>
      </c>
      <c r="T2965">
        <v>1</v>
      </c>
      <c r="W2965">
        <v>1</v>
      </c>
      <c r="X2965">
        <v>1</v>
      </c>
      <c r="Y2965">
        <v>1</v>
      </c>
      <c r="Z2965">
        <v>1</v>
      </c>
      <c r="AA2965">
        <v>1</v>
      </c>
      <c r="AB2965">
        <v>1</v>
      </c>
    </row>
    <row r="2966" spans="1:28" x14ac:dyDescent="0.25">
      <c r="A2966" t="str">
        <f>"2962"</f>
        <v>2962</v>
      </c>
      <c r="B2966" t="str">
        <f t="shared" si="168"/>
        <v>1</v>
      </c>
      <c r="C2966" t="str">
        <f t="shared" si="171"/>
        <v>131</v>
      </c>
      <c r="D2966" t="str">
        <f>"18"</f>
        <v>18</v>
      </c>
      <c r="E2966" t="str">
        <f>"1-131-18"</f>
        <v>1-131-18</v>
      </c>
      <c r="F2966" t="s">
        <v>83</v>
      </c>
      <c r="G2966" t="s">
        <v>84</v>
      </c>
      <c r="H2966" t="s">
        <v>92</v>
      </c>
      <c r="I2966">
        <v>1</v>
      </c>
      <c r="J2966">
        <v>1</v>
      </c>
      <c r="N2966">
        <v>1</v>
      </c>
      <c r="O2966">
        <v>1</v>
      </c>
      <c r="P2966">
        <v>1</v>
      </c>
      <c r="Q2966">
        <v>1</v>
      </c>
      <c r="R2966">
        <v>1</v>
      </c>
      <c r="S2966">
        <v>1</v>
      </c>
      <c r="T2966">
        <v>1</v>
      </c>
      <c r="W2966">
        <v>1</v>
      </c>
      <c r="X2966">
        <v>1</v>
      </c>
      <c r="Y2966">
        <v>1</v>
      </c>
      <c r="Z2966">
        <v>1</v>
      </c>
      <c r="AA2966">
        <v>1</v>
      </c>
      <c r="AB2966">
        <v>1</v>
      </c>
    </row>
    <row r="2967" spans="1:28" x14ac:dyDescent="0.25">
      <c r="A2967" t="str">
        <f>"2963"</f>
        <v>2963</v>
      </c>
      <c r="B2967" t="str">
        <f t="shared" si="168"/>
        <v>1</v>
      </c>
      <c r="C2967" t="str">
        <f t="shared" si="171"/>
        <v>131</v>
      </c>
      <c r="D2967" t="str">
        <f>"11"</f>
        <v>11</v>
      </c>
      <c r="E2967" t="str">
        <f>"1-131-11"</f>
        <v>1-131-11</v>
      </c>
      <c r="F2967" t="s">
        <v>83</v>
      </c>
      <c r="G2967" t="s">
        <v>84</v>
      </c>
      <c r="H2967" t="s">
        <v>92</v>
      </c>
      <c r="I2967">
        <v>1</v>
      </c>
      <c r="J2967">
        <v>1</v>
      </c>
      <c r="N2967">
        <v>1</v>
      </c>
      <c r="O2967">
        <v>1</v>
      </c>
      <c r="P2967">
        <v>1</v>
      </c>
      <c r="Q2967">
        <v>1</v>
      </c>
      <c r="R2967">
        <v>1</v>
      </c>
      <c r="S2967">
        <v>1</v>
      </c>
      <c r="T2967">
        <v>1</v>
      </c>
      <c r="W2967">
        <v>1</v>
      </c>
      <c r="X2967">
        <v>1</v>
      </c>
      <c r="Y2967">
        <v>1</v>
      </c>
      <c r="Z2967">
        <v>1</v>
      </c>
      <c r="AA2967">
        <v>1</v>
      </c>
      <c r="AB2967">
        <v>1</v>
      </c>
    </row>
    <row r="2968" spans="1:28" x14ac:dyDescent="0.25">
      <c r="A2968" t="str">
        <f>"2964"</f>
        <v>2964</v>
      </c>
      <c r="B2968" t="str">
        <f t="shared" si="168"/>
        <v>1</v>
      </c>
      <c r="C2968" t="str">
        <f t="shared" si="171"/>
        <v>131</v>
      </c>
      <c r="D2968" t="str">
        <f>"3"</f>
        <v>3</v>
      </c>
      <c r="E2968" t="str">
        <f>"1-131-3"</f>
        <v>1-131-3</v>
      </c>
      <c r="F2968" t="s">
        <v>83</v>
      </c>
      <c r="G2968" t="s">
        <v>86</v>
      </c>
      <c r="H2968" t="s">
        <v>93</v>
      </c>
      <c r="I2968">
        <v>1</v>
      </c>
      <c r="K2968">
        <v>0</v>
      </c>
      <c r="L2968">
        <v>0</v>
      </c>
      <c r="M2968">
        <v>1</v>
      </c>
      <c r="N2968">
        <v>1</v>
      </c>
      <c r="O2968">
        <v>1</v>
      </c>
      <c r="P2968">
        <v>1</v>
      </c>
      <c r="Q2968">
        <v>1</v>
      </c>
      <c r="R2968">
        <v>1</v>
      </c>
      <c r="U2968">
        <v>1</v>
      </c>
      <c r="V2968">
        <v>0</v>
      </c>
      <c r="W2968">
        <v>1</v>
      </c>
      <c r="X2968">
        <v>1</v>
      </c>
      <c r="Y2968">
        <v>1</v>
      </c>
      <c r="Z2968">
        <v>1</v>
      </c>
      <c r="AA2968">
        <v>1</v>
      </c>
      <c r="AB2968">
        <v>1</v>
      </c>
    </row>
    <row r="2969" spans="1:28" x14ac:dyDescent="0.25">
      <c r="A2969" t="str">
        <f>"2965"</f>
        <v>2965</v>
      </c>
      <c r="B2969" t="str">
        <f t="shared" si="168"/>
        <v>1</v>
      </c>
      <c r="C2969" t="str">
        <f t="shared" si="171"/>
        <v>131</v>
      </c>
      <c r="D2969" t="str">
        <f>"19"</f>
        <v>19</v>
      </c>
      <c r="E2969" t="str">
        <f>"1-131-19"</f>
        <v>1-131-19</v>
      </c>
      <c r="F2969" t="s">
        <v>83</v>
      </c>
      <c r="G2969" t="s">
        <v>84</v>
      </c>
      <c r="H2969" t="s">
        <v>92</v>
      </c>
      <c r="I2969">
        <v>1</v>
      </c>
      <c r="J2969">
        <v>1</v>
      </c>
      <c r="N2969">
        <v>1</v>
      </c>
      <c r="O2969">
        <v>1</v>
      </c>
      <c r="P2969">
        <v>1</v>
      </c>
      <c r="Q2969">
        <v>1</v>
      </c>
      <c r="R2969">
        <v>1</v>
      </c>
      <c r="S2969">
        <v>1</v>
      </c>
      <c r="T2969">
        <v>1</v>
      </c>
      <c r="W2969">
        <v>1</v>
      </c>
      <c r="X2969">
        <v>1</v>
      </c>
      <c r="Y2969">
        <v>1</v>
      </c>
      <c r="Z2969">
        <v>1</v>
      </c>
      <c r="AA2969">
        <v>1</v>
      </c>
      <c r="AB2969">
        <v>1</v>
      </c>
    </row>
    <row r="2970" spans="1:28" x14ac:dyDescent="0.25">
      <c r="A2970" t="str">
        <f>"2966"</f>
        <v>2966</v>
      </c>
      <c r="B2970" t="str">
        <f t="shared" si="168"/>
        <v>1</v>
      </c>
      <c r="C2970" t="str">
        <f t="shared" si="171"/>
        <v>131</v>
      </c>
      <c r="D2970" t="str">
        <f>"12"</f>
        <v>12</v>
      </c>
      <c r="E2970" t="str">
        <f>"1-131-12"</f>
        <v>1-131-12</v>
      </c>
      <c r="F2970" t="s">
        <v>83</v>
      </c>
      <c r="G2970" t="s">
        <v>84</v>
      </c>
      <c r="H2970" t="s">
        <v>92</v>
      </c>
      <c r="I2970">
        <v>0</v>
      </c>
      <c r="J2970">
        <v>1</v>
      </c>
      <c r="N2970">
        <v>1</v>
      </c>
      <c r="O2970">
        <v>1</v>
      </c>
      <c r="P2970">
        <v>1</v>
      </c>
      <c r="Q2970">
        <v>1</v>
      </c>
      <c r="R2970">
        <v>1</v>
      </c>
      <c r="S2970">
        <v>1</v>
      </c>
      <c r="T2970">
        <v>1</v>
      </c>
      <c r="W2970">
        <v>1</v>
      </c>
      <c r="X2970">
        <v>1</v>
      </c>
      <c r="Y2970">
        <v>1</v>
      </c>
      <c r="Z2970">
        <v>1</v>
      </c>
      <c r="AA2970">
        <v>1</v>
      </c>
      <c r="AB2970">
        <v>1</v>
      </c>
    </row>
    <row r="2971" spans="1:28" x14ac:dyDescent="0.25">
      <c r="A2971" t="str">
        <f>"2967"</f>
        <v>2967</v>
      </c>
      <c r="B2971" t="str">
        <f t="shared" si="168"/>
        <v>1</v>
      </c>
      <c r="C2971" t="str">
        <f t="shared" si="171"/>
        <v>131</v>
      </c>
      <c r="D2971" t="str">
        <f>"2"</f>
        <v>2</v>
      </c>
      <c r="E2971" t="str">
        <f>"1-131-2"</f>
        <v>1-131-2</v>
      </c>
      <c r="F2971" t="s">
        <v>83</v>
      </c>
      <c r="G2971" t="s">
        <v>84</v>
      </c>
      <c r="H2971" t="s">
        <v>92</v>
      </c>
      <c r="I2971">
        <v>1</v>
      </c>
      <c r="J2971">
        <v>1</v>
      </c>
      <c r="N2971">
        <v>1</v>
      </c>
      <c r="O2971">
        <v>1</v>
      </c>
      <c r="P2971">
        <v>1</v>
      </c>
      <c r="Q2971">
        <v>1</v>
      </c>
      <c r="R2971">
        <v>1</v>
      </c>
      <c r="S2971">
        <v>1</v>
      </c>
      <c r="T2971">
        <v>1</v>
      </c>
      <c r="W2971">
        <v>1</v>
      </c>
      <c r="X2971">
        <v>1</v>
      </c>
      <c r="Y2971">
        <v>1</v>
      </c>
      <c r="Z2971">
        <v>1</v>
      </c>
      <c r="AA2971">
        <v>1</v>
      </c>
      <c r="AB2971">
        <v>1</v>
      </c>
    </row>
    <row r="2972" spans="1:28" x14ac:dyDescent="0.25">
      <c r="A2972" t="str">
        <f>"2968"</f>
        <v>2968</v>
      </c>
      <c r="B2972" t="str">
        <f t="shared" si="168"/>
        <v>1</v>
      </c>
      <c r="C2972" t="str">
        <f t="shared" si="171"/>
        <v>131</v>
      </c>
      <c r="D2972" t="str">
        <f>"20"</f>
        <v>20</v>
      </c>
      <c r="E2972" t="str">
        <f>"1-131-20"</f>
        <v>1-131-20</v>
      </c>
      <c r="F2972" t="s">
        <v>83</v>
      </c>
      <c r="G2972" t="s">
        <v>86</v>
      </c>
      <c r="H2972" t="s">
        <v>93</v>
      </c>
      <c r="I2972">
        <v>1</v>
      </c>
      <c r="K2972">
        <v>0</v>
      </c>
      <c r="L2972">
        <v>0</v>
      </c>
      <c r="M2972">
        <v>1</v>
      </c>
      <c r="N2972">
        <v>1</v>
      </c>
      <c r="O2972">
        <v>1</v>
      </c>
      <c r="P2972">
        <v>0</v>
      </c>
      <c r="Q2972">
        <v>0</v>
      </c>
      <c r="R2972">
        <v>0</v>
      </c>
      <c r="U2972">
        <v>0</v>
      </c>
      <c r="V2972">
        <v>0</v>
      </c>
      <c r="W2972">
        <v>0</v>
      </c>
      <c r="X2972">
        <v>0</v>
      </c>
      <c r="Y2972">
        <v>0</v>
      </c>
      <c r="Z2972">
        <v>0</v>
      </c>
      <c r="AA2972">
        <v>0</v>
      </c>
      <c r="AB2972">
        <v>0</v>
      </c>
    </row>
    <row r="2973" spans="1:28" x14ac:dyDescent="0.25">
      <c r="A2973" t="str">
        <f>"2969"</f>
        <v>2969</v>
      </c>
      <c r="B2973" t="str">
        <f t="shared" si="168"/>
        <v>1</v>
      </c>
      <c r="C2973" t="str">
        <f t="shared" si="171"/>
        <v>131</v>
      </c>
      <c r="D2973" t="str">
        <f>"13"</f>
        <v>13</v>
      </c>
      <c r="E2973" t="str">
        <f>"1-131-13"</f>
        <v>1-131-13</v>
      </c>
      <c r="F2973" t="s">
        <v>83</v>
      </c>
      <c r="G2973" t="s">
        <v>84</v>
      </c>
      <c r="H2973" t="s">
        <v>92</v>
      </c>
      <c r="I2973">
        <v>1</v>
      </c>
      <c r="J2973">
        <v>1</v>
      </c>
      <c r="N2973">
        <v>1</v>
      </c>
      <c r="O2973">
        <v>1</v>
      </c>
      <c r="P2973">
        <v>1</v>
      </c>
      <c r="Q2973">
        <v>1</v>
      </c>
      <c r="R2973">
        <v>1</v>
      </c>
      <c r="S2973">
        <v>1</v>
      </c>
      <c r="T2973">
        <v>1</v>
      </c>
      <c r="W2973">
        <v>1</v>
      </c>
      <c r="X2973">
        <v>1</v>
      </c>
      <c r="Y2973">
        <v>1</v>
      </c>
      <c r="Z2973">
        <v>1</v>
      </c>
      <c r="AA2973">
        <v>1</v>
      </c>
      <c r="AB2973">
        <v>1</v>
      </c>
    </row>
    <row r="2974" spans="1:28" x14ac:dyDescent="0.25">
      <c r="A2974" t="str">
        <f>"2970"</f>
        <v>2970</v>
      </c>
      <c r="B2974" t="str">
        <f t="shared" ref="B2974:B3037" si="172">"1"</f>
        <v>1</v>
      </c>
      <c r="C2974" t="str">
        <f t="shared" si="171"/>
        <v>131</v>
      </c>
      <c r="D2974" t="str">
        <f>"1"</f>
        <v>1</v>
      </c>
      <c r="E2974" t="str">
        <f>"1-131-1"</f>
        <v>1-131-1</v>
      </c>
      <c r="F2974" t="s">
        <v>83</v>
      </c>
      <c r="G2974" t="s">
        <v>84</v>
      </c>
      <c r="H2974" t="s">
        <v>92</v>
      </c>
      <c r="I2974">
        <v>1</v>
      </c>
      <c r="J2974">
        <v>1</v>
      </c>
      <c r="N2974">
        <v>1</v>
      </c>
      <c r="O2974">
        <v>1</v>
      </c>
      <c r="P2974">
        <v>1</v>
      </c>
      <c r="Q2974">
        <v>1</v>
      </c>
      <c r="R2974">
        <v>1</v>
      </c>
      <c r="S2974">
        <v>1</v>
      </c>
      <c r="T2974">
        <v>1</v>
      </c>
      <c r="W2974">
        <v>1</v>
      </c>
      <c r="X2974">
        <v>1</v>
      </c>
      <c r="Y2974">
        <v>1</v>
      </c>
      <c r="Z2974">
        <v>1</v>
      </c>
      <c r="AA2974">
        <v>1</v>
      </c>
      <c r="AB2974">
        <v>1</v>
      </c>
    </row>
    <row r="2975" spans="1:28" x14ac:dyDescent="0.25">
      <c r="A2975" t="str">
        <f>"2971"</f>
        <v>2971</v>
      </c>
      <c r="B2975" t="str">
        <f t="shared" si="172"/>
        <v>1</v>
      </c>
      <c r="C2975" t="str">
        <f t="shared" si="171"/>
        <v>131</v>
      </c>
      <c r="D2975" t="str">
        <f>"21"</f>
        <v>21</v>
      </c>
      <c r="E2975" t="str">
        <f>"1-131-21"</f>
        <v>1-131-21</v>
      </c>
      <c r="F2975" t="s">
        <v>83</v>
      </c>
      <c r="G2975" t="s">
        <v>84</v>
      </c>
      <c r="H2975" t="s">
        <v>92</v>
      </c>
      <c r="I2975">
        <v>1</v>
      </c>
      <c r="J2975">
        <v>1</v>
      </c>
      <c r="N2975">
        <v>1</v>
      </c>
      <c r="O2975">
        <v>1</v>
      </c>
      <c r="P2975">
        <v>1</v>
      </c>
      <c r="Q2975">
        <v>1</v>
      </c>
      <c r="R2975">
        <v>1</v>
      </c>
      <c r="S2975">
        <v>1</v>
      </c>
      <c r="T2975">
        <v>1</v>
      </c>
      <c r="W2975">
        <v>1</v>
      </c>
      <c r="X2975">
        <v>1</v>
      </c>
      <c r="Y2975">
        <v>1</v>
      </c>
      <c r="Z2975">
        <v>1</v>
      </c>
      <c r="AA2975">
        <v>1</v>
      </c>
      <c r="AB2975">
        <v>1</v>
      </c>
    </row>
    <row r="2976" spans="1:28" x14ac:dyDescent="0.25">
      <c r="A2976" t="str">
        <f>"2972"</f>
        <v>2972</v>
      </c>
      <c r="B2976" t="str">
        <f t="shared" si="172"/>
        <v>1</v>
      </c>
      <c r="C2976" t="str">
        <f t="shared" si="171"/>
        <v>131</v>
      </c>
      <c r="D2976" t="str">
        <f>"14"</f>
        <v>14</v>
      </c>
      <c r="E2976" t="str">
        <f>"1-131-14"</f>
        <v>1-131-14</v>
      </c>
      <c r="F2976" t="s">
        <v>83</v>
      </c>
      <c r="G2976" t="s">
        <v>84</v>
      </c>
      <c r="H2976" t="s">
        <v>92</v>
      </c>
      <c r="I2976">
        <v>1</v>
      </c>
      <c r="J2976">
        <v>0</v>
      </c>
      <c r="N2976">
        <v>1</v>
      </c>
      <c r="O2976">
        <v>1</v>
      </c>
      <c r="P2976">
        <v>1</v>
      </c>
      <c r="Q2976">
        <v>1</v>
      </c>
      <c r="R2976">
        <v>1</v>
      </c>
      <c r="S2976">
        <v>1</v>
      </c>
      <c r="T2976">
        <v>1</v>
      </c>
      <c r="W2976">
        <v>1</v>
      </c>
      <c r="X2976">
        <v>1</v>
      </c>
      <c r="Y2976">
        <v>1</v>
      </c>
      <c r="Z2976">
        <v>1</v>
      </c>
      <c r="AA2976">
        <v>1</v>
      </c>
      <c r="AB2976">
        <v>1</v>
      </c>
    </row>
    <row r="2977" spans="1:28" x14ac:dyDescent="0.25">
      <c r="A2977" t="str">
        <f>"2973"</f>
        <v>2973</v>
      </c>
      <c r="B2977" t="str">
        <f t="shared" si="172"/>
        <v>1</v>
      </c>
      <c r="C2977" t="str">
        <f t="shared" si="171"/>
        <v>131</v>
      </c>
      <c r="D2977" t="str">
        <f>"7"</f>
        <v>7</v>
      </c>
      <c r="E2977" t="str">
        <f>"1-131-7"</f>
        <v>1-131-7</v>
      </c>
      <c r="F2977" t="s">
        <v>83</v>
      </c>
      <c r="G2977" t="s">
        <v>84</v>
      </c>
      <c r="H2977" t="s">
        <v>92</v>
      </c>
      <c r="I2977">
        <v>1</v>
      </c>
      <c r="J2977">
        <v>1</v>
      </c>
      <c r="N2977">
        <v>1</v>
      </c>
      <c r="O2977">
        <v>1</v>
      </c>
      <c r="P2977">
        <v>1</v>
      </c>
      <c r="Q2977">
        <v>1</v>
      </c>
      <c r="R2977">
        <v>1</v>
      </c>
      <c r="S2977">
        <v>1</v>
      </c>
      <c r="T2977">
        <v>1</v>
      </c>
      <c r="W2977">
        <v>1</v>
      </c>
      <c r="X2977">
        <v>1</v>
      </c>
      <c r="Y2977">
        <v>1</v>
      </c>
      <c r="Z2977">
        <v>1</v>
      </c>
      <c r="AA2977">
        <v>1</v>
      </c>
      <c r="AB2977">
        <v>1</v>
      </c>
    </row>
    <row r="2978" spans="1:28" x14ac:dyDescent="0.25">
      <c r="A2978" t="str">
        <f>"2974"</f>
        <v>2974</v>
      </c>
      <c r="B2978" t="str">
        <f t="shared" si="172"/>
        <v>1</v>
      </c>
      <c r="C2978" t="str">
        <f t="shared" ref="C2978:C3000" si="173">"132"</f>
        <v>132</v>
      </c>
      <c r="D2978" t="str">
        <f>"23"</f>
        <v>23</v>
      </c>
      <c r="E2978" t="str">
        <f>"1-132-23"</f>
        <v>1-132-23</v>
      </c>
      <c r="F2978" t="s">
        <v>83</v>
      </c>
      <c r="G2978" t="s">
        <v>86</v>
      </c>
      <c r="H2978" t="s">
        <v>93</v>
      </c>
      <c r="I2978">
        <v>1</v>
      </c>
      <c r="K2978">
        <v>1</v>
      </c>
      <c r="L2978">
        <v>0</v>
      </c>
      <c r="M2978">
        <v>0</v>
      </c>
      <c r="N2978">
        <v>1</v>
      </c>
      <c r="O2978">
        <v>1</v>
      </c>
      <c r="P2978">
        <v>1</v>
      </c>
      <c r="Q2978">
        <v>1</v>
      </c>
      <c r="R2978">
        <v>1</v>
      </c>
      <c r="U2978">
        <v>0</v>
      </c>
      <c r="V2978">
        <v>1</v>
      </c>
      <c r="W2978">
        <v>1</v>
      </c>
      <c r="X2978">
        <v>1</v>
      </c>
      <c r="Y2978">
        <v>1</v>
      </c>
      <c r="Z2978">
        <v>1</v>
      </c>
      <c r="AA2978">
        <v>1</v>
      </c>
      <c r="AB2978">
        <v>1</v>
      </c>
    </row>
    <row r="2979" spans="1:28" x14ac:dyDescent="0.25">
      <c r="A2979" t="str">
        <f>"2975"</f>
        <v>2975</v>
      </c>
      <c r="B2979" t="str">
        <f t="shared" si="172"/>
        <v>1</v>
      </c>
      <c r="C2979" t="str">
        <f t="shared" si="173"/>
        <v>132</v>
      </c>
      <c r="D2979" t="str">
        <f>"22"</f>
        <v>22</v>
      </c>
      <c r="E2979" t="str">
        <f>"1-132-22"</f>
        <v>1-132-22</v>
      </c>
      <c r="F2979" t="s">
        <v>83</v>
      </c>
      <c r="G2979" t="s">
        <v>86</v>
      </c>
      <c r="H2979" t="s">
        <v>93</v>
      </c>
      <c r="I2979">
        <v>1</v>
      </c>
      <c r="K2979">
        <v>0</v>
      </c>
      <c r="L2979">
        <v>1</v>
      </c>
      <c r="M2979">
        <v>0</v>
      </c>
      <c r="N2979">
        <v>1</v>
      </c>
      <c r="O2979">
        <v>0</v>
      </c>
      <c r="P2979">
        <v>0</v>
      </c>
      <c r="Q2979">
        <v>1</v>
      </c>
      <c r="R2979">
        <v>0</v>
      </c>
      <c r="U2979">
        <v>0</v>
      </c>
      <c r="V2979">
        <v>1</v>
      </c>
      <c r="W2979">
        <v>0</v>
      </c>
      <c r="X2979">
        <v>0</v>
      </c>
      <c r="Y2979">
        <v>0</v>
      </c>
      <c r="Z2979">
        <v>0</v>
      </c>
      <c r="AA2979">
        <v>0</v>
      </c>
      <c r="AB2979">
        <v>0</v>
      </c>
    </row>
    <row r="2980" spans="1:28" x14ac:dyDescent="0.25">
      <c r="A2980" t="str">
        <f>"2976"</f>
        <v>2976</v>
      </c>
      <c r="B2980" t="str">
        <f t="shared" si="172"/>
        <v>1</v>
      </c>
      <c r="C2980" t="str">
        <f t="shared" si="173"/>
        <v>132</v>
      </c>
      <c r="D2980" t="str">
        <f>"15"</f>
        <v>15</v>
      </c>
      <c r="E2980" t="str">
        <f>"1-132-15"</f>
        <v>1-132-15</v>
      </c>
      <c r="F2980" t="s">
        <v>83</v>
      </c>
      <c r="G2980" t="s">
        <v>86</v>
      </c>
      <c r="H2980" t="s">
        <v>93</v>
      </c>
      <c r="I2980">
        <v>1</v>
      </c>
      <c r="K2980">
        <v>0</v>
      </c>
      <c r="L2980">
        <v>0</v>
      </c>
      <c r="M2980">
        <v>1</v>
      </c>
      <c r="N2980">
        <v>1</v>
      </c>
      <c r="O2980">
        <v>1</v>
      </c>
      <c r="P2980">
        <v>1</v>
      </c>
      <c r="Q2980">
        <v>1</v>
      </c>
      <c r="R2980">
        <v>1</v>
      </c>
      <c r="U2980">
        <v>0</v>
      </c>
      <c r="V2980">
        <v>1</v>
      </c>
      <c r="W2980">
        <v>1</v>
      </c>
      <c r="X2980">
        <v>1</v>
      </c>
      <c r="Y2980">
        <v>1</v>
      </c>
      <c r="Z2980">
        <v>1</v>
      </c>
      <c r="AA2980">
        <v>1</v>
      </c>
      <c r="AB2980">
        <v>1</v>
      </c>
    </row>
    <row r="2981" spans="1:28" x14ac:dyDescent="0.25">
      <c r="A2981" t="str">
        <f>"2977"</f>
        <v>2977</v>
      </c>
      <c r="B2981" t="str">
        <f t="shared" si="172"/>
        <v>1</v>
      </c>
      <c r="C2981" t="str">
        <f t="shared" si="173"/>
        <v>132</v>
      </c>
      <c r="D2981" t="str">
        <f>"14"</f>
        <v>14</v>
      </c>
      <c r="E2981" t="str">
        <f>"1-132-14"</f>
        <v>1-132-14</v>
      </c>
      <c r="F2981" t="s">
        <v>83</v>
      </c>
      <c r="G2981" t="s">
        <v>84</v>
      </c>
      <c r="H2981" t="s">
        <v>92</v>
      </c>
      <c r="I2981">
        <v>0</v>
      </c>
      <c r="J2981">
        <v>0</v>
      </c>
      <c r="N2981">
        <v>1</v>
      </c>
      <c r="O2981">
        <v>0</v>
      </c>
      <c r="P2981">
        <v>1</v>
      </c>
      <c r="Q2981">
        <v>0</v>
      </c>
      <c r="R2981">
        <v>0</v>
      </c>
      <c r="S2981">
        <v>0</v>
      </c>
      <c r="T2981">
        <v>0</v>
      </c>
      <c r="W2981">
        <v>0</v>
      </c>
      <c r="X2981">
        <v>1</v>
      </c>
      <c r="Y2981">
        <v>0</v>
      </c>
      <c r="Z2981">
        <v>0</v>
      </c>
      <c r="AA2981">
        <v>0</v>
      </c>
      <c r="AB2981">
        <v>1</v>
      </c>
    </row>
    <row r="2982" spans="1:28" x14ac:dyDescent="0.25">
      <c r="A2982" t="str">
        <f>"2978"</f>
        <v>2978</v>
      </c>
      <c r="B2982" t="str">
        <f t="shared" si="172"/>
        <v>1</v>
      </c>
      <c r="C2982" t="str">
        <f t="shared" si="173"/>
        <v>132</v>
      </c>
      <c r="D2982" t="str">
        <f>"11"</f>
        <v>11</v>
      </c>
      <c r="E2982" t="str">
        <f>"1-132-11"</f>
        <v>1-132-11</v>
      </c>
      <c r="F2982" t="s">
        <v>83</v>
      </c>
      <c r="G2982" t="s">
        <v>84</v>
      </c>
      <c r="H2982" t="s">
        <v>92</v>
      </c>
      <c r="I2982">
        <v>1</v>
      </c>
      <c r="J2982">
        <v>1</v>
      </c>
      <c r="N2982">
        <v>1</v>
      </c>
      <c r="O2982">
        <v>1</v>
      </c>
      <c r="P2982">
        <v>1</v>
      </c>
      <c r="Q2982">
        <v>1</v>
      </c>
      <c r="R2982">
        <v>1</v>
      </c>
      <c r="S2982">
        <v>1</v>
      </c>
      <c r="T2982">
        <v>1</v>
      </c>
      <c r="W2982">
        <v>1</v>
      </c>
      <c r="X2982">
        <v>1</v>
      </c>
      <c r="Y2982">
        <v>1</v>
      </c>
      <c r="Z2982">
        <v>1</v>
      </c>
      <c r="AA2982">
        <v>1</v>
      </c>
      <c r="AB2982">
        <v>1</v>
      </c>
    </row>
    <row r="2983" spans="1:28" x14ac:dyDescent="0.25">
      <c r="A2983" t="str">
        <f>"2979"</f>
        <v>2979</v>
      </c>
      <c r="B2983" t="str">
        <f t="shared" si="172"/>
        <v>1</v>
      </c>
      <c r="C2983" t="str">
        <f t="shared" si="173"/>
        <v>132</v>
      </c>
      <c r="D2983" t="str">
        <f>"8"</f>
        <v>8</v>
      </c>
      <c r="E2983" t="str">
        <f>"1-132-8"</f>
        <v>1-132-8</v>
      </c>
      <c r="F2983" t="s">
        <v>83</v>
      </c>
      <c r="G2983" t="s">
        <v>84</v>
      </c>
      <c r="H2983" t="s">
        <v>92</v>
      </c>
      <c r="I2983">
        <v>1</v>
      </c>
      <c r="J2983">
        <v>1</v>
      </c>
      <c r="N2983">
        <v>1</v>
      </c>
      <c r="O2983">
        <v>1</v>
      </c>
      <c r="P2983">
        <v>1</v>
      </c>
      <c r="Q2983">
        <v>1</v>
      </c>
      <c r="R2983">
        <v>1</v>
      </c>
      <c r="S2983">
        <v>1</v>
      </c>
      <c r="T2983">
        <v>1</v>
      </c>
      <c r="W2983">
        <v>1</v>
      </c>
      <c r="X2983">
        <v>1</v>
      </c>
      <c r="Y2983">
        <v>1</v>
      </c>
      <c r="Z2983">
        <v>1</v>
      </c>
      <c r="AA2983">
        <v>1</v>
      </c>
      <c r="AB2983">
        <v>1</v>
      </c>
    </row>
    <row r="2984" spans="1:28" x14ac:dyDescent="0.25">
      <c r="A2984" t="str">
        <f>"2980"</f>
        <v>2980</v>
      </c>
      <c r="B2984" t="str">
        <f t="shared" si="172"/>
        <v>1</v>
      </c>
      <c r="C2984" t="str">
        <f t="shared" si="173"/>
        <v>132</v>
      </c>
      <c r="D2984" t="str">
        <f>"2"</f>
        <v>2</v>
      </c>
      <c r="E2984" t="str">
        <f>"1-132-2"</f>
        <v>1-132-2</v>
      </c>
      <c r="F2984" t="s">
        <v>83</v>
      </c>
      <c r="G2984" t="s">
        <v>86</v>
      </c>
      <c r="H2984" t="s">
        <v>93</v>
      </c>
      <c r="I2984">
        <v>1</v>
      </c>
      <c r="K2984">
        <v>0</v>
      </c>
      <c r="L2984">
        <v>0</v>
      </c>
      <c r="M2984">
        <v>0</v>
      </c>
      <c r="N2984">
        <v>1</v>
      </c>
      <c r="O2984">
        <v>1</v>
      </c>
      <c r="P2984">
        <v>1</v>
      </c>
      <c r="Q2984">
        <v>0</v>
      </c>
      <c r="R2984">
        <v>0</v>
      </c>
      <c r="U2984">
        <v>0</v>
      </c>
      <c r="V2984">
        <v>0</v>
      </c>
      <c r="W2984">
        <v>0</v>
      </c>
      <c r="X2984">
        <v>0</v>
      </c>
      <c r="Y2984">
        <v>0</v>
      </c>
      <c r="Z2984">
        <v>0</v>
      </c>
      <c r="AA2984">
        <v>0</v>
      </c>
      <c r="AB2984">
        <v>0</v>
      </c>
    </row>
    <row r="2985" spans="1:28" x14ac:dyDescent="0.25">
      <c r="A2985" t="str">
        <f>"2981"</f>
        <v>2981</v>
      </c>
      <c r="B2985" t="str">
        <f t="shared" si="172"/>
        <v>1</v>
      </c>
      <c r="C2985" t="str">
        <f t="shared" si="173"/>
        <v>132</v>
      </c>
      <c r="D2985" t="str">
        <f>"17"</f>
        <v>17</v>
      </c>
      <c r="E2985" t="str">
        <f>"1-132-17"</f>
        <v>1-132-17</v>
      </c>
      <c r="F2985" t="s">
        <v>83</v>
      </c>
      <c r="G2985" t="s">
        <v>90</v>
      </c>
      <c r="H2985" t="s">
        <v>94</v>
      </c>
      <c r="I2985">
        <v>1</v>
      </c>
      <c r="K2985">
        <v>0</v>
      </c>
      <c r="L2985">
        <v>1</v>
      </c>
      <c r="M2985">
        <v>0</v>
      </c>
      <c r="N2985">
        <v>1</v>
      </c>
      <c r="O2985">
        <v>1</v>
      </c>
      <c r="P2985">
        <v>1</v>
      </c>
      <c r="Q2985">
        <v>1</v>
      </c>
      <c r="R2985">
        <v>1</v>
      </c>
      <c r="S2985">
        <v>1</v>
      </c>
      <c r="U2985">
        <v>0</v>
      </c>
      <c r="V2985">
        <v>1</v>
      </c>
      <c r="W2985">
        <v>1</v>
      </c>
      <c r="X2985">
        <v>1</v>
      </c>
      <c r="Y2985">
        <v>1</v>
      </c>
      <c r="Z2985">
        <v>1</v>
      </c>
      <c r="AA2985">
        <v>1</v>
      </c>
      <c r="AB2985">
        <v>1</v>
      </c>
    </row>
    <row r="2986" spans="1:28" x14ac:dyDescent="0.25">
      <c r="A2986" t="str">
        <f>"2982"</f>
        <v>2982</v>
      </c>
      <c r="B2986" t="str">
        <f t="shared" si="172"/>
        <v>1</v>
      </c>
      <c r="C2986" t="str">
        <f t="shared" si="173"/>
        <v>132</v>
      </c>
      <c r="D2986" t="str">
        <f>"9"</f>
        <v>9</v>
      </c>
      <c r="E2986" t="str">
        <f>"1-132-9"</f>
        <v>1-132-9</v>
      </c>
      <c r="F2986" t="s">
        <v>83</v>
      </c>
      <c r="G2986" t="s">
        <v>84</v>
      </c>
      <c r="H2986" t="s">
        <v>92</v>
      </c>
      <c r="I2986">
        <v>1</v>
      </c>
      <c r="J2986">
        <v>1</v>
      </c>
      <c r="N2986">
        <v>1</v>
      </c>
      <c r="O2986">
        <v>1</v>
      </c>
      <c r="P2986">
        <v>1</v>
      </c>
      <c r="Q2986">
        <v>1</v>
      </c>
      <c r="R2986">
        <v>1</v>
      </c>
      <c r="S2986">
        <v>1</v>
      </c>
      <c r="T2986">
        <v>1</v>
      </c>
      <c r="W2986">
        <v>1</v>
      </c>
      <c r="X2986">
        <v>1</v>
      </c>
      <c r="Y2986">
        <v>1</v>
      </c>
      <c r="Z2986">
        <v>1</v>
      </c>
      <c r="AA2986">
        <v>1</v>
      </c>
      <c r="AB2986">
        <v>1</v>
      </c>
    </row>
    <row r="2987" spans="1:28" x14ac:dyDescent="0.25">
      <c r="A2987" t="str">
        <f>"2983"</f>
        <v>2983</v>
      </c>
      <c r="B2987" t="str">
        <f t="shared" si="172"/>
        <v>1</v>
      </c>
      <c r="C2987" t="str">
        <f t="shared" si="173"/>
        <v>132</v>
      </c>
      <c r="D2987" t="str">
        <f>"6"</f>
        <v>6</v>
      </c>
      <c r="E2987" t="str">
        <f>"1-132-6"</f>
        <v>1-132-6</v>
      </c>
      <c r="F2987" t="s">
        <v>83</v>
      </c>
      <c r="G2987" t="s">
        <v>86</v>
      </c>
      <c r="H2987" t="s">
        <v>93</v>
      </c>
      <c r="I2987">
        <v>1</v>
      </c>
      <c r="K2987">
        <v>1</v>
      </c>
      <c r="L2987">
        <v>0</v>
      </c>
      <c r="M2987">
        <v>0</v>
      </c>
      <c r="N2987">
        <v>1</v>
      </c>
      <c r="O2987">
        <v>1</v>
      </c>
      <c r="P2987">
        <v>1</v>
      </c>
      <c r="Q2987">
        <v>1</v>
      </c>
      <c r="R2987">
        <v>1</v>
      </c>
      <c r="U2987">
        <v>0</v>
      </c>
      <c r="V2987">
        <v>1</v>
      </c>
      <c r="W2987">
        <v>1</v>
      </c>
      <c r="X2987">
        <v>1</v>
      </c>
      <c r="Y2987">
        <v>1</v>
      </c>
      <c r="Z2987">
        <v>1</v>
      </c>
      <c r="AA2987">
        <v>1</v>
      </c>
      <c r="AB2987">
        <v>1</v>
      </c>
    </row>
    <row r="2988" spans="1:28" x14ac:dyDescent="0.25">
      <c r="A2988" t="str">
        <f>"2984"</f>
        <v>2984</v>
      </c>
      <c r="B2988" t="str">
        <f t="shared" si="172"/>
        <v>1</v>
      </c>
      <c r="C2988" t="str">
        <f t="shared" si="173"/>
        <v>132</v>
      </c>
      <c r="D2988" t="str">
        <f>"16"</f>
        <v>16</v>
      </c>
      <c r="E2988" t="str">
        <f>"1-132-16"</f>
        <v>1-132-16</v>
      </c>
      <c r="F2988" t="s">
        <v>83</v>
      </c>
      <c r="G2988" t="s">
        <v>86</v>
      </c>
      <c r="H2988" t="s">
        <v>93</v>
      </c>
      <c r="I2988">
        <v>1</v>
      </c>
      <c r="K2988">
        <v>0</v>
      </c>
      <c r="L2988">
        <v>0</v>
      </c>
      <c r="M2988">
        <v>1</v>
      </c>
      <c r="N2988">
        <v>1</v>
      </c>
      <c r="O2988">
        <v>1</v>
      </c>
      <c r="P2988">
        <v>1</v>
      </c>
      <c r="Q2988">
        <v>1</v>
      </c>
      <c r="R2988">
        <v>1</v>
      </c>
      <c r="U2988">
        <v>0</v>
      </c>
      <c r="V2988">
        <v>1</v>
      </c>
      <c r="W2988">
        <v>1</v>
      </c>
      <c r="X2988">
        <v>1</v>
      </c>
      <c r="Y2988">
        <v>1</v>
      </c>
      <c r="Z2988">
        <v>1</v>
      </c>
      <c r="AA2988">
        <v>1</v>
      </c>
      <c r="AB2988">
        <v>1</v>
      </c>
    </row>
    <row r="2989" spans="1:28" x14ac:dyDescent="0.25">
      <c r="A2989" t="str">
        <f>"2985"</f>
        <v>2985</v>
      </c>
      <c r="B2989" t="str">
        <f t="shared" si="172"/>
        <v>1</v>
      </c>
      <c r="C2989" t="str">
        <f t="shared" si="173"/>
        <v>132</v>
      </c>
      <c r="D2989" t="str">
        <f>"10"</f>
        <v>10</v>
      </c>
      <c r="E2989" t="str">
        <f>"1-132-10"</f>
        <v>1-132-10</v>
      </c>
      <c r="F2989" t="s">
        <v>83</v>
      </c>
      <c r="G2989" t="s">
        <v>84</v>
      </c>
      <c r="H2989" t="s">
        <v>92</v>
      </c>
      <c r="I2989">
        <v>1</v>
      </c>
      <c r="J2989">
        <v>1</v>
      </c>
      <c r="N2989">
        <v>1</v>
      </c>
      <c r="O2989">
        <v>1</v>
      </c>
      <c r="P2989">
        <v>1</v>
      </c>
      <c r="Q2989">
        <v>1</v>
      </c>
      <c r="R2989">
        <v>1</v>
      </c>
      <c r="S2989">
        <v>1</v>
      </c>
      <c r="T2989">
        <v>1</v>
      </c>
      <c r="W2989">
        <v>1</v>
      </c>
      <c r="X2989">
        <v>1</v>
      </c>
      <c r="Y2989">
        <v>1</v>
      </c>
      <c r="Z2989">
        <v>1</v>
      </c>
      <c r="AA2989">
        <v>1</v>
      </c>
      <c r="AB2989">
        <v>1</v>
      </c>
    </row>
    <row r="2990" spans="1:28" x14ac:dyDescent="0.25">
      <c r="A2990" t="str">
        <f>"2986"</f>
        <v>2986</v>
      </c>
      <c r="B2990" t="str">
        <f t="shared" si="172"/>
        <v>1</v>
      </c>
      <c r="C2990" t="str">
        <f t="shared" si="173"/>
        <v>132</v>
      </c>
      <c r="D2990" t="str">
        <f>"3"</f>
        <v>3</v>
      </c>
      <c r="E2990" t="str">
        <f>"1-132-3"</f>
        <v>1-132-3</v>
      </c>
      <c r="F2990" t="s">
        <v>83</v>
      </c>
      <c r="G2990" t="s">
        <v>86</v>
      </c>
      <c r="H2990" t="s">
        <v>93</v>
      </c>
      <c r="I2990">
        <v>1</v>
      </c>
      <c r="K2990">
        <v>0</v>
      </c>
      <c r="L2990">
        <v>0</v>
      </c>
      <c r="M2990">
        <v>1</v>
      </c>
      <c r="N2990">
        <v>1</v>
      </c>
      <c r="O2990">
        <v>1</v>
      </c>
      <c r="P2990">
        <v>1</v>
      </c>
      <c r="Q2990">
        <v>1</v>
      </c>
      <c r="R2990">
        <v>1</v>
      </c>
      <c r="U2990">
        <v>1</v>
      </c>
      <c r="V2990">
        <v>0</v>
      </c>
      <c r="W2990">
        <v>1</v>
      </c>
      <c r="X2990">
        <v>1</v>
      </c>
      <c r="Y2990">
        <v>1</v>
      </c>
      <c r="Z2990">
        <v>1</v>
      </c>
      <c r="AA2990">
        <v>1</v>
      </c>
      <c r="AB2990">
        <v>1</v>
      </c>
    </row>
    <row r="2991" spans="1:28" x14ac:dyDescent="0.25">
      <c r="A2991" t="str">
        <f>"2987"</f>
        <v>2987</v>
      </c>
      <c r="B2991" t="str">
        <f t="shared" si="172"/>
        <v>1</v>
      </c>
      <c r="C2991" t="str">
        <f t="shared" si="173"/>
        <v>132</v>
      </c>
      <c r="D2991" t="str">
        <f>"20"</f>
        <v>20</v>
      </c>
      <c r="E2991" t="str">
        <f>"1-132-20"</f>
        <v>1-132-20</v>
      </c>
      <c r="F2991" t="s">
        <v>83</v>
      </c>
      <c r="G2991" t="s">
        <v>86</v>
      </c>
      <c r="H2991" t="s">
        <v>93</v>
      </c>
      <c r="I2991">
        <v>1</v>
      </c>
      <c r="K2991">
        <v>1</v>
      </c>
      <c r="L2991">
        <v>0</v>
      </c>
      <c r="M2991">
        <v>0</v>
      </c>
      <c r="N2991">
        <v>1</v>
      </c>
      <c r="O2991">
        <v>1</v>
      </c>
      <c r="P2991">
        <v>1</v>
      </c>
      <c r="Q2991">
        <v>1</v>
      </c>
      <c r="R2991">
        <v>1</v>
      </c>
      <c r="U2991">
        <v>1</v>
      </c>
      <c r="V2991">
        <v>0</v>
      </c>
      <c r="W2991">
        <v>1</v>
      </c>
      <c r="X2991">
        <v>1</v>
      </c>
      <c r="Y2991">
        <v>1</v>
      </c>
      <c r="Z2991">
        <v>1</v>
      </c>
      <c r="AA2991">
        <v>1</v>
      </c>
      <c r="AB2991">
        <v>1</v>
      </c>
    </row>
    <row r="2992" spans="1:28" x14ac:dyDescent="0.25">
      <c r="A2992" t="str">
        <f>"2988"</f>
        <v>2988</v>
      </c>
      <c r="B2992" t="str">
        <f t="shared" si="172"/>
        <v>1</v>
      </c>
      <c r="C2992" t="str">
        <f t="shared" si="173"/>
        <v>132</v>
      </c>
      <c r="D2992" t="str">
        <f>"12"</f>
        <v>12</v>
      </c>
      <c r="E2992" t="str">
        <f>"1-132-12"</f>
        <v>1-132-12</v>
      </c>
      <c r="F2992" t="s">
        <v>83</v>
      </c>
      <c r="G2992" t="s">
        <v>84</v>
      </c>
      <c r="H2992" t="s">
        <v>92</v>
      </c>
      <c r="I2992">
        <v>1</v>
      </c>
      <c r="J2992">
        <v>1</v>
      </c>
      <c r="N2992">
        <v>1</v>
      </c>
      <c r="O2992">
        <v>0</v>
      </c>
      <c r="P2992">
        <v>0</v>
      </c>
      <c r="Q2992">
        <v>0</v>
      </c>
      <c r="R2992">
        <v>0</v>
      </c>
      <c r="S2992">
        <v>0</v>
      </c>
      <c r="T2992">
        <v>0</v>
      </c>
      <c r="W2992">
        <v>1</v>
      </c>
      <c r="X2992">
        <v>0</v>
      </c>
      <c r="Y2992">
        <v>1</v>
      </c>
      <c r="Z2992">
        <v>0</v>
      </c>
      <c r="AA2992">
        <v>0</v>
      </c>
      <c r="AB2992">
        <v>1</v>
      </c>
    </row>
    <row r="2993" spans="1:28" x14ac:dyDescent="0.25">
      <c r="A2993" t="str">
        <f>"2989"</f>
        <v>2989</v>
      </c>
      <c r="B2993" t="str">
        <f t="shared" si="172"/>
        <v>1</v>
      </c>
      <c r="C2993" t="str">
        <f t="shared" si="173"/>
        <v>132</v>
      </c>
      <c r="D2993" t="str">
        <f>"1"</f>
        <v>1</v>
      </c>
      <c r="E2993" t="str">
        <f>"1-132-1"</f>
        <v>1-132-1</v>
      </c>
      <c r="F2993" t="s">
        <v>83</v>
      </c>
      <c r="G2993" t="s">
        <v>86</v>
      </c>
      <c r="H2993" t="s">
        <v>93</v>
      </c>
      <c r="I2993">
        <v>1</v>
      </c>
      <c r="K2993">
        <v>0</v>
      </c>
      <c r="L2993">
        <v>0</v>
      </c>
      <c r="M2993">
        <v>1</v>
      </c>
      <c r="N2993">
        <v>1</v>
      </c>
      <c r="O2993">
        <v>1</v>
      </c>
      <c r="P2993">
        <v>1</v>
      </c>
      <c r="Q2993">
        <v>1</v>
      </c>
      <c r="R2993">
        <v>1</v>
      </c>
      <c r="U2993">
        <v>1</v>
      </c>
      <c r="V2993">
        <v>0</v>
      </c>
      <c r="W2993">
        <v>1</v>
      </c>
      <c r="X2993">
        <v>1</v>
      </c>
      <c r="Y2993">
        <v>1</v>
      </c>
      <c r="Z2993">
        <v>1</v>
      </c>
      <c r="AA2993">
        <v>1</v>
      </c>
      <c r="AB2993">
        <v>1</v>
      </c>
    </row>
    <row r="2994" spans="1:28" x14ac:dyDescent="0.25">
      <c r="A2994" t="str">
        <f>"2990"</f>
        <v>2990</v>
      </c>
      <c r="B2994" t="str">
        <f t="shared" si="172"/>
        <v>1</v>
      </c>
      <c r="C2994" t="str">
        <f t="shared" si="173"/>
        <v>132</v>
      </c>
      <c r="D2994" t="str">
        <f>"21"</f>
        <v>21</v>
      </c>
      <c r="E2994" t="str">
        <f>"1-132-21"</f>
        <v>1-132-21</v>
      </c>
      <c r="F2994" t="s">
        <v>83</v>
      </c>
      <c r="G2994" t="s">
        <v>86</v>
      </c>
      <c r="H2994" t="s">
        <v>93</v>
      </c>
      <c r="I2994">
        <v>1</v>
      </c>
      <c r="K2994">
        <v>1</v>
      </c>
      <c r="L2994">
        <v>0</v>
      </c>
      <c r="M2994">
        <v>0</v>
      </c>
      <c r="N2994">
        <v>1</v>
      </c>
      <c r="O2994">
        <v>1</v>
      </c>
      <c r="P2994">
        <v>1</v>
      </c>
      <c r="Q2994">
        <v>1</v>
      </c>
      <c r="R2994">
        <v>1</v>
      </c>
      <c r="U2994">
        <v>0</v>
      </c>
      <c r="V2994">
        <v>1</v>
      </c>
      <c r="W2994">
        <v>1</v>
      </c>
      <c r="X2994">
        <v>1</v>
      </c>
      <c r="Y2994">
        <v>1</v>
      </c>
      <c r="Z2994">
        <v>1</v>
      </c>
      <c r="AA2994">
        <v>1</v>
      </c>
      <c r="AB2994">
        <v>1</v>
      </c>
    </row>
    <row r="2995" spans="1:28" x14ac:dyDescent="0.25">
      <c r="A2995" t="str">
        <f>"2991"</f>
        <v>2991</v>
      </c>
      <c r="B2995" t="str">
        <f t="shared" si="172"/>
        <v>1</v>
      </c>
      <c r="C2995" t="str">
        <f t="shared" si="173"/>
        <v>132</v>
      </c>
      <c r="D2995" t="str">
        <f>"13"</f>
        <v>13</v>
      </c>
      <c r="E2995" t="str">
        <f>"1-132-13"</f>
        <v>1-132-13</v>
      </c>
      <c r="F2995" t="s">
        <v>83</v>
      </c>
      <c r="G2995" t="s">
        <v>84</v>
      </c>
      <c r="H2995" t="s">
        <v>92</v>
      </c>
      <c r="I2995">
        <v>1</v>
      </c>
      <c r="J2995">
        <v>1</v>
      </c>
      <c r="N2995">
        <v>1</v>
      </c>
      <c r="O2995">
        <v>1</v>
      </c>
      <c r="P2995">
        <v>1</v>
      </c>
      <c r="Q2995">
        <v>1</v>
      </c>
      <c r="R2995">
        <v>1</v>
      </c>
      <c r="S2995">
        <v>1</v>
      </c>
      <c r="T2995">
        <v>1</v>
      </c>
      <c r="W2995">
        <v>1</v>
      </c>
      <c r="X2995">
        <v>1</v>
      </c>
      <c r="Y2995">
        <v>1</v>
      </c>
      <c r="Z2995">
        <v>1</v>
      </c>
      <c r="AA2995">
        <v>1</v>
      </c>
      <c r="AB2995">
        <v>1</v>
      </c>
    </row>
    <row r="2996" spans="1:28" x14ac:dyDescent="0.25">
      <c r="A2996" t="str">
        <f>"2992"</f>
        <v>2992</v>
      </c>
      <c r="B2996" t="str">
        <f t="shared" si="172"/>
        <v>1</v>
      </c>
      <c r="C2996" t="str">
        <f t="shared" si="173"/>
        <v>132</v>
      </c>
      <c r="D2996" t="str">
        <f>"5"</f>
        <v>5</v>
      </c>
      <c r="E2996" t="str">
        <f>"1-132-5"</f>
        <v>1-132-5</v>
      </c>
      <c r="F2996" t="s">
        <v>83</v>
      </c>
      <c r="G2996" t="s">
        <v>86</v>
      </c>
      <c r="H2996" t="s">
        <v>93</v>
      </c>
      <c r="I2996">
        <v>1</v>
      </c>
      <c r="K2996">
        <v>0</v>
      </c>
      <c r="L2996">
        <v>0</v>
      </c>
      <c r="M2996">
        <v>1</v>
      </c>
      <c r="N2996">
        <v>1</v>
      </c>
      <c r="O2996">
        <v>1</v>
      </c>
      <c r="P2996">
        <v>1</v>
      </c>
      <c r="Q2996">
        <v>1</v>
      </c>
      <c r="R2996">
        <v>1</v>
      </c>
      <c r="U2996">
        <v>0</v>
      </c>
      <c r="V2996">
        <v>1</v>
      </c>
      <c r="W2996">
        <v>1</v>
      </c>
      <c r="X2996">
        <v>1</v>
      </c>
      <c r="Y2996">
        <v>1</v>
      </c>
      <c r="Z2996">
        <v>1</v>
      </c>
      <c r="AA2996">
        <v>1</v>
      </c>
      <c r="AB2996">
        <v>1</v>
      </c>
    </row>
    <row r="2997" spans="1:28" x14ac:dyDescent="0.25">
      <c r="A2997" t="str">
        <f>"2993"</f>
        <v>2993</v>
      </c>
      <c r="B2997" t="str">
        <f t="shared" si="172"/>
        <v>1</v>
      </c>
      <c r="C2997" t="str">
        <f t="shared" si="173"/>
        <v>132</v>
      </c>
      <c r="D2997" t="str">
        <f>"18"</f>
        <v>18</v>
      </c>
      <c r="E2997" t="str">
        <f>"1-132-18"</f>
        <v>1-132-18</v>
      </c>
      <c r="F2997" t="s">
        <v>83</v>
      </c>
      <c r="G2997" t="s">
        <v>86</v>
      </c>
      <c r="H2997" t="s">
        <v>93</v>
      </c>
      <c r="I2997">
        <v>0</v>
      </c>
      <c r="K2997">
        <v>1</v>
      </c>
      <c r="L2997">
        <v>0</v>
      </c>
      <c r="M2997">
        <v>0</v>
      </c>
      <c r="N2997">
        <v>1</v>
      </c>
      <c r="O2997">
        <v>1</v>
      </c>
      <c r="P2997">
        <v>1</v>
      </c>
      <c r="Q2997">
        <v>1</v>
      </c>
      <c r="R2997">
        <v>1</v>
      </c>
      <c r="U2997">
        <v>1</v>
      </c>
      <c r="V2997">
        <v>0</v>
      </c>
      <c r="W2997">
        <v>1</v>
      </c>
      <c r="X2997">
        <v>0</v>
      </c>
      <c r="Y2997">
        <v>1</v>
      </c>
      <c r="Z2997">
        <v>1</v>
      </c>
      <c r="AA2997">
        <v>1</v>
      </c>
      <c r="AB2997">
        <v>1</v>
      </c>
    </row>
    <row r="2998" spans="1:28" x14ac:dyDescent="0.25">
      <c r="A2998" t="str">
        <f>"2994"</f>
        <v>2994</v>
      </c>
      <c r="B2998" t="str">
        <f t="shared" si="172"/>
        <v>1</v>
      </c>
      <c r="C2998" t="str">
        <f t="shared" si="173"/>
        <v>132</v>
      </c>
      <c r="D2998" t="str">
        <f>"7"</f>
        <v>7</v>
      </c>
      <c r="E2998" t="str">
        <f>"1-132-7"</f>
        <v>1-132-7</v>
      </c>
      <c r="F2998" t="s">
        <v>83</v>
      </c>
      <c r="G2998" t="s">
        <v>84</v>
      </c>
      <c r="H2998" t="s">
        <v>92</v>
      </c>
      <c r="I2998">
        <v>1</v>
      </c>
      <c r="J2998">
        <v>1</v>
      </c>
      <c r="N2998">
        <v>1</v>
      </c>
      <c r="O2998">
        <v>1</v>
      </c>
      <c r="P2998">
        <v>1</v>
      </c>
      <c r="Q2998">
        <v>1</v>
      </c>
      <c r="R2998">
        <v>1</v>
      </c>
      <c r="S2998">
        <v>1</v>
      </c>
      <c r="T2998">
        <v>1</v>
      </c>
      <c r="W2998">
        <v>1</v>
      </c>
      <c r="X2998">
        <v>1</v>
      </c>
      <c r="Y2998">
        <v>1</v>
      </c>
      <c r="Z2998">
        <v>1</v>
      </c>
      <c r="AA2998">
        <v>1</v>
      </c>
      <c r="AB2998">
        <v>1</v>
      </c>
    </row>
    <row r="2999" spans="1:28" x14ac:dyDescent="0.25">
      <c r="A2999" t="str">
        <f>"2995"</f>
        <v>2995</v>
      </c>
      <c r="B2999" t="str">
        <f t="shared" si="172"/>
        <v>1</v>
      </c>
      <c r="C2999" t="str">
        <f t="shared" si="173"/>
        <v>132</v>
      </c>
      <c r="D2999" t="str">
        <f>"19"</f>
        <v>19</v>
      </c>
      <c r="E2999" t="str">
        <f>"1-132-19"</f>
        <v>1-132-19</v>
      </c>
      <c r="F2999" t="s">
        <v>83</v>
      </c>
      <c r="G2999" t="s">
        <v>84</v>
      </c>
      <c r="H2999" t="s">
        <v>92</v>
      </c>
      <c r="I2999">
        <v>1</v>
      </c>
      <c r="J2999">
        <v>1</v>
      </c>
      <c r="N2999">
        <v>1</v>
      </c>
      <c r="O2999">
        <v>1</v>
      </c>
      <c r="P2999">
        <v>1</v>
      </c>
      <c r="Q2999">
        <v>1</v>
      </c>
      <c r="R2999">
        <v>1</v>
      </c>
      <c r="S2999">
        <v>1</v>
      </c>
      <c r="T2999">
        <v>1</v>
      </c>
      <c r="W2999">
        <v>1</v>
      </c>
      <c r="X2999">
        <v>1</v>
      </c>
      <c r="Y2999">
        <v>1</v>
      </c>
      <c r="Z2999">
        <v>1</v>
      </c>
      <c r="AA2999">
        <v>1</v>
      </c>
      <c r="AB2999">
        <v>1</v>
      </c>
    </row>
    <row r="3000" spans="1:28" x14ac:dyDescent="0.25">
      <c r="A3000" t="str">
        <f>"2996"</f>
        <v>2996</v>
      </c>
      <c r="B3000" t="str">
        <f t="shared" si="172"/>
        <v>1</v>
      </c>
      <c r="C3000" t="str">
        <f t="shared" si="173"/>
        <v>132</v>
      </c>
      <c r="D3000" t="str">
        <f>"4"</f>
        <v>4</v>
      </c>
      <c r="E3000" t="str">
        <f>"1-132-4"</f>
        <v>1-132-4</v>
      </c>
      <c r="F3000" t="s">
        <v>83</v>
      </c>
      <c r="G3000" t="s">
        <v>86</v>
      </c>
      <c r="H3000" t="s">
        <v>93</v>
      </c>
      <c r="I3000">
        <v>1</v>
      </c>
      <c r="K3000">
        <v>1</v>
      </c>
      <c r="L3000">
        <v>0</v>
      </c>
      <c r="M3000">
        <v>0</v>
      </c>
      <c r="N3000">
        <v>1</v>
      </c>
      <c r="O3000">
        <v>1</v>
      </c>
      <c r="P3000">
        <v>1</v>
      </c>
      <c r="Q3000">
        <v>1</v>
      </c>
      <c r="R3000">
        <v>1</v>
      </c>
      <c r="U3000">
        <v>0</v>
      </c>
      <c r="V3000">
        <v>1</v>
      </c>
      <c r="W3000">
        <v>1</v>
      </c>
      <c r="X3000">
        <v>1</v>
      </c>
      <c r="Y3000">
        <v>1</v>
      </c>
      <c r="Z3000">
        <v>1</v>
      </c>
      <c r="AA3000">
        <v>1</v>
      </c>
      <c r="AB3000">
        <v>1</v>
      </c>
    </row>
    <row r="3001" spans="1:28" x14ac:dyDescent="0.25">
      <c r="A3001" t="str">
        <f>"2997"</f>
        <v>2997</v>
      </c>
      <c r="B3001" t="str">
        <f t="shared" si="172"/>
        <v>1</v>
      </c>
      <c r="C3001" t="str">
        <f t="shared" ref="C3001:C3025" si="174">"133"</f>
        <v>133</v>
      </c>
      <c r="D3001" t="str">
        <f>"23"</f>
        <v>23</v>
      </c>
      <c r="E3001" t="str">
        <f>"1-133-23"</f>
        <v>1-133-23</v>
      </c>
      <c r="F3001" t="s">
        <v>83</v>
      </c>
      <c r="G3001" t="s">
        <v>86</v>
      </c>
      <c r="H3001" t="s">
        <v>93</v>
      </c>
      <c r="I3001">
        <v>1</v>
      </c>
      <c r="K3001">
        <v>0</v>
      </c>
      <c r="L3001">
        <v>1</v>
      </c>
      <c r="M3001">
        <v>0</v>
      </c>
      <c r="N3001">
        <v>1</v>
      </c>
      <c r="O3001">
        <v>1</v>
      </c>
      <c r="P3001">
        <v>1</v>
      </c>
      <c r="Q3001">
        <v>1</v>
      </c>
      <c r="R3001">
        <v>1</v>
      </c>
      <c r="U3001">
        <v>1</v>
      </c>
      <c r="V3001">
        <v>0</v>
      </c>
      <c r="W3001">
        <v>1</v>
      </c>
      <c r="X3001">
        <v>1</v>
      </c>
      <c r="Y3001">
        <v>1</v>
      </c>
      <c r="Z3001">
        <v>1</v>
      </c>
      <c r="AA3001">
        <v>1</v>
      </c>
      <c r="AB3001">
        <v>1</v>
      </c>
    </row>
    <row r="3002" spans="1:28" x14ac:dyDescent="0.25">
      <c r="A3002" t="str">
        <f>"2998"</f>
        <v>2998</v>
      </c>
      <c r="B3002" t="str">
        <f t="shared" si="172"/>
        <v>1</v>
      </c>
      <c r="C3002" t="str">
        <f t="shared" si="174"/>
        <v>133</v>
      </c>
      <c r="D3002" t="str">
        <f>"22"</f>
        <v>22</v>
      </c>
      <c r="E3002" t="str">
        <f>"1-133-22"</f>
        <v>1-133-22</v>
      </c>
      <c r="F3002" t="s">
        <v>83</v>
      </c>
      <c r="G3002" t="s">
        <v>86</v>
      </c>
      <c r="H3002" t="s">
        <v>93</v>
      </c>
      <c r="I3002">
        <v>1</v>
      </c>
      <c r="K3002">
        <v>0</v>
      </c>
      <c r="L3002">
        <v>0</v>
      </c>
      <c r="M3002">
        <v>1</v>
      </c>
      <c r="N3002">
        <v>1</v>
      </c>
      <c r="O3002">
        <v>1</v>
      </c>
      <c r="P3002">
        <v>1</v>
      </c>
      <c r="Q3002">
        <v>1</v>
      </c>
      <c r="R3002">
        <v>1</v>
      </c>
      <c r="U3002">
        <v>1</v>
      </c>
      <c r="V3002">
        <v>0</v>
      </c>
      <c r="W3002">
        <v>1</v>
      </c>
      <c r="X3002">
        <v>1</v>
      </c>
      <c r="Y3002">
        <v>1</v>
      </c>
      <c r="Z3002">
        <v>1</v>
      </c>
      <c r="AA3002">
        <v>1</v>
      </c>
      <c r="AB3002">
        <v>1</v>
      </c>
    </row>
    <row r="3003" spans="1:28" x14ac:dyDescent="0.25">
      <c r="A3003" t="str">
        <f>"2999"</f>
        <v>2999</v>
      </c>
      <c r="B3003" t="str">
        <f t="shared" si="172"/>
        <v>1</v>
      </c>
      <c r="C3003" t="str">
        <f t="shared" si="174"/>
        <v>133</v>
      </c>
      <c r="D3003" t="str">
        <f>"15"</f>
        <v>15</v>
      </c>
      <c r="E3003" t="str">
        <f>"1-133-15"</f>
        <v>1-133-15</v>
      </c>
      <c r="F3003" t="s">
        <v>83</v>
      </c>
      <c r="G3003" t="s">
        <v>86</v>
      </c>
      <c r="H3003" t="s">
        <v>93</v>
      </c>
      <c r="I3003">
        <v>1</v>
      </c>
      <c r="K3003">
        <v>1</v>
      </c>
      <c r="L3003">
        <v>0</v>
      </c>
      <c r="M3003">
        <v>0</v>
      </c>
      <c r="N3003">
        <v>1</v>
      </c>
      <c r="O3003">
        <v>1</v>
      </c>
      <c r="P3003">
        <v>1</v>
      </c>
      <c r="Q3003">
        <v>1</v>
      </c>
      <c r="R3003">
        <v>1</v>
      </c>
      <c r="U3003">
        <v>1</v>
      </c>
      <c r="V3003">
        <v>0</v>
      </c>
      <c r="W3003">
        <v>1</v>
      </c>
      <c r="X3003">
        <v>1</v>
      </c>
      <c r="Y3003">
        <v>1</v>
      </c>
      <c r="Z3003">
        <v>1</v>
      </c>
      <c r="AA3003">
        <v>1</v>
      </c>
      <c r="AB3003">
        <v>1</v>
      </c>
    </row>
    <row r="3004" spans="1:28" x14ac:dyDescent="0.25">
      <c r="A3004" t="str">
        <f>"3000"</f>
        <v>3000</v>
      </c>
      <c r="B3004" t="str">
        <f t="shared" si="172"/>
        <v>1</v>
      </c>
      <c r="C3004" t="str">
        <f t="shared" si="174"/>
        <v>133</v>
      </c>
      <c r="D3004" t="str">
        <f>"14"</f>
        <v>14</v>
      </c>
      <c r="E3004" t="str">
        <f>"1-133-14"</f>
        <v>1-133-14</v>
      </c>
      <c r="F3004" t="s">
        <v>83</v>
      </c>
      <c r="G3004" t="s">
        <v>86</v>
      </c>
      <c r="H3004" t="s">
        <v>93</v>
      </c>
      <c r="I3004">
        <v>1</v>
      </c>
      <c r="K3004">
        <v>0</v>
      </c>
      <c r="L3004">
        <v>0</v>
      </c>
      <c r="M3004">
        <v>1</v>
      </c>
      <c r="N3004">
        <v>1</v>
      </c>
      <c r="O3004">
        <v>1</v>
      </c>
      <c r="P3004">
        <v>1</v>
      </c>
      <c r="Q3004">
        <v>1</v>
      </c>
      <c r="R3004">
        <v>1</v>
      </c>
      <c r="U3004">
        <v>1</v>
      </c>
      <c r="V3004">
        <v>0</v>
      </c>
      <c r="W3004">
        <v>1</v>
      </c>
      <c r="X3004">
        <v>1</v>
      </c>
      <c r="Y3004">
        <v>1</v>
      </c>
      <c r="Z3004">
        <v>1</v>
      </c>
      <c r="AA3004">
        <v>1</v>
      </c>
      <c r="AB3004">
        <v>1</v>
      </c>
    </row>
    <row r="3005" spans="1:28" x14ac:dyDescent="0.25">
      <c r="A3005" t="str">
        <f>"3001"</f>
        <v>3001</v>
      </c>
      <c r="B3005" t="str">
        <f t="shared" si="172"/>
        <v>1</v>
      </c>
      <c r="C3005" t="str">
        <f t="shared" si="174"/>
        <v>133</v>
      </c>
      <c r="D3005" t="str">
        <f>"10"</f>
        <v>10</v>
      </c>
      <c r="E3005" t="str">
        <f>"1-133-10"</f>
        <v>1-133-10</v>
      </c>
      <c r="F3005" t="s">
        <v>83</v>
      </c>
      <c r="G3005" t="s">
        <v>84</v>
      </c>
      <c r="H3005" t="s">
        <v>92</v>
      </c>
      <c r="I3005">
        <v>1</v>
      </c>
      <c r="J3005">
        <v>1</v>
      </c>
      <c r="N3005">
        <v>1</v>
      </c>
      <c r="O3005">
        <v>1</v>
      </c>
      <c r="P3005">
        <v>1</v>
      </c>
      <c r="Q3005">
        <v>1</v>
      </c>
      <c r="R3005">
        <v>1</v>
      </c>
      <c r="S3005">
        <v>1</v>
      </c>
      <c r="T3005">
        <v>1</v>
      </c>
      <c r="W3005">
        <v>1</v>
      </c>
      <c r="X3005">
        <v>1</v>
      </c>
      <c r="Y3005">
        <v>1</v>
      </c>
      <c r="Z3005">
        <v>1</v>
      </c>
      <c r="AA3005">
        <v>1</v>
      </c>
      <c r="AB3005">
        <v>1</v>
      </c>
    </row>
    <row r="3006" spans="1:28" x14ac:dyDescent="0.25">
      <c r="A3006" t="str">
        <f>"3002"</f>
        <v>3002</v>
      </c>
      <c r="B3006" t="str">
        <f t="shared" si="172"/>
        <v>1</v>
      </c>
      <c r="C3006" t="str">
        <f t="shared" si="174"/>
        <v>133</v>
      </c>
      <c r="D3006" t="str">
        <f>"8"</f>
        <v>8</v>
      </c>
      <c r="E3006" t="str">
        <f>"1-133-8"</f>
        <v>1-133-8</v>
      </c>
      <c r="F3006" t="s">
        <v>83</v>
      </c>
      <c r="G3006" t="s">
        <v>84</v>
      </c>
      <c r="H3006" t="s">
        <v>92</v>
      </c>
      <c r="I3006">
        <v>1</v>
      </c>
      <c r="J3006">
        <v>1</v>
      </c>
      <c r="N3006">
        <v>1</v>
      </c>
      <c r="O3006">
        <v>1</v>
      </c>
      <c r="P3006">
        <v>1</v>
      </c>
      <c r="Q3006">
        <v>1</v>
      </c>
      <c r="R3006">
        <v>1</v>
      </c>
      <c r="S3006">
        <v>1</v>
      </c>
      <c r="T3006">
        <v>1</v>
      </c>
      <c r="W3006">
        <v>1</v>
      </c>
      <c r="X3006">
        <v>1</v>
      </c>
      <c r="Y3006">
        <v>1</v>
      </c>
      <c r="Z3006">
        <v>1</v>
      </c>
      <c r="AA3006">
        <v>1</v>
      </c>
      <c r="AB3006">
        <v>1</v>
      </c>
    </row>
    <row r="3007" spans="1:28" x14ac:dyDescent="0.25">
      <c r="A3007" t="str">
        <f>"3003"</f>
        <v>3003</v>
      </c>
      <c r="B3007" t="str">
        <f t="shared" si="172"/>
        <v>1</v>
      </c>
      <c r="C3007" t="str">
        <f t="shared" si="174"/>
        <v>133</v>
      </c>
      <c r="D3007" t="str">
        <f>"3"</f>
        <v>3</v>
      </c>
      <c r="E3007" t="str">
        <f>"1-133-3"</f>
        <v>1-133-3</v>
      </c>
      <c r="F3007" t="s">
        <v>83</v>
      </c>
      <c r="G3007" t="s">
        <v>84</v>
      </c>
      <c r="H3007" t="s">
        <v>92</v>
      </c>
      <c r="I3007">
        <v>1</v>
      </c>
      <c r="J3007">
        <v>1</v>
      </c>
      <c r="N3007">
        <v>1</v>
      </c>
      <c r="O3007">
        <v>1</v>
      </c>
      <c r="P3007">
        <v>1</v>
      </c>
      <c r="Q3007">
        <v>1</v>
      </c>
      <c r="R3007">
        <v>1</v>
      </c>
      <c r="S3007">
        <v>1</v>
      </c>
      <c r="T3007">
        <v>1</v>
      </c>
      <c r="W3007">
        <v>1</v>
      </c>
      <c r="X3007">
        <v>1</v>
      </c>
      <c r="Y3007">
        <v>1</v>
      </c>
      <c r="Z3007">
        <v>1</v>
      </c>
      <c r="AA3007">
        <v>1</v>
      </c>
      <c r="AB3007">
        <v>1</v>
      </c>
    </row>
    <row r="3008" spans="1:28" x14ac:dyDescent="0.25">
      <c r="A3008" t="str">
        <f>"3004"</f>
        <v>3004</v>
      </c>
      <c r="B3008" t="str">
        <f t="shared" si="172"/>
        <v>1</v>
      </c>
      <c r="C3008" t="str">
        <f t="shared" si="174"/>
        <v>133</v>
      </c>
      <c r="D3008" t="str">
        <f>"25"</f>
        <v>25</v>
      </c>
      <c r="E3008" t="str">
        <f>"1-133-25"</f>
        <v>1-133-25</v>
      </c>
      <c r="F3008" t="s">
        <v>83</v>
      </c>
      <c r="G3008" t="s">
        <v>86</v>
      </c>
      <c r="H3008" t="s">
        <v>93</v>
      </c>
      <c r="I3008">
        <v>1</v>
      </c>
      <c r="K3008">
        <v>0</v>
      </c>
      <c r="L3008">
        <v>0</v>
      </c>
      <c r="M3008">
        <v>1</v>
      </c>
      <c r="N3008">
        <v>1</v>
      </c>
      <c r="O3008">
        <v>1</v>
      </c>
      <c r="P3008">
        <v>1</v>
      </c>
      <c r="Q3008">
        <v>1</v>
      </c>
      <c r="R3008">
        <v>1</v>
      </c>
      <c r="U3008">
        <v>0</v>
      </c>
      <c r="V3008">
        <v>1</v>
      </c>
      <c r="W3008">
        <v>1</v>
      </c>
      <c r="X3008">
        <v>1</v>
      </c>
      <c r="Y3008">
        <v>1</v>
      </c>
      <c r="Z3008">
        <v>1</v>
      </c>
      <c r="AA3008">
        <v>1</v>
      </c>
      <c r="AB3008">
        <v>1</v>
      </c>
    </row>
    <row r="3009" spans="1:28" x14ac:dyDescent="0.25">
      <c r="A3009" t="str">
        <f>"3005"</f>
        <v>3005</v>
      </c>
      <c r="B3009" t="str">
        <f t="shared" si="172"/>
        <v>1</v>
      </c>
      <c r="C3009" t="str">
        <f t="shared" si="174"/>
        <v>133</v>
      </c>
      <c r="D3009" t="str">
        <f>"24"</f>
        <v>24</v>
      </c>
      <c r="E3009" t="str">
        <f>"1-133-24"</f>
        <v>1-133-24</v>
      </c>
      <c r="F3009" t="s">
        <v>83</v>
      </c>
      <c r="G3009" t="s">
        <v>86</v>
      </c>
      <c r="H3009" t="s">
        <v>93</v>
      </c>
      <c r="I3009">
        <v>0</v>
      </c>
      <c r="K3009">
        <v>0</v>
      </c>
      <c r="L3009">
        <v>0</v>
      </c>
      <c r="M3009">
        <v>1</v>
      </c>
      <c r="N3009">
        <v>1</v>
      </c>
      <c r="O3009">
        <v>1</v>
      </c>
      <c r="P3009">
        <v>1</v>
      </c>
      <c r="Q3009">
        <v>1</v>
      </c>
      <c r="R3009">
        <v>0</v>
      </c>
      <c r="U3009">
        <v>0</v>
      </c>
      <c r="V3009">
        <v>1</v>
      </c>
      <c r="W3009">
        <v>1</v>
      </c>
      <c r="X3009">
        <v>1</v>
      </c>
      <c r="Y3009">
        <v>1</v>
      </c>
      <c r="Z3009">
        <v>1</v>
      </c>
      <c r="AA3009">
        <v>1</v>
      </c>
      <c r="AB3009">
        <v>1</v>
      </c>
    </row>
    <row r="3010" spans="1:28" x14ac:dyDescent="0.25">
      <c r="A3010" t="str">
        <f>"3006"</f>
        <v>3006</v>
      </c>
      <c r="B3010" t="str">
        <f t="shared" si="172"/>
        <v>1</v>
      </c>
      <c r="C3010" t="str">
        <f t="shared" si="174"/>
        <v>133</v>
      </c>
      <c r="D3010" t="str">
        <f>"9"</f>
        <v>9</v>
      </c>
      <c r="E3010" t="str">
        <f>"1-133-9"</f>
        <v>1-133-9</v>
      </c>
      <c r="F3010" t="s">
        <v>83</v>
      </c>
      <c r="G3010" t="s">
        <v>84</v>
      </c>
      <c r="H3010" t="s">
        <v>92</v>
      </c>
      <c r="I3010">
        <v>1</v>
      </c>
      <c r="J3010">
        <v>1</v>
      </c>
      <c r="N3010">
        <v>1</v>
      </c>
      <c r="O3010">
        <v>1</v>
      </c>
      <c r="P3010">
        <v>1</v>
      </c>
      <c r="Q3010">
        <v>1</v>
      </c>
      <c r="R3010">
        <v>1</v>
      </c>
      <c r="S3010">
        <v>1</v>
      </c>
      <c r="T3010">
        <v>1</v>
      </c>
      <c r="W3010">
        <v>1</v>
      </c>
      <c r="X3010">
        <v>1</v>
      </c>
      <c r="Y3010">
        <v>1</v>
      </c>
      <c r="Z3010">
        <v>1</v>
      </c>
      <c r="AA3010">
        <v>1</v>
      </c>
      <c r="AB3010">
        <v>1</v>
      </c>
    </row>
    <row r="3011" spans="1:28" x14ac:dyDescent="0.25">
      <c r="A3011" t="str">
        <f>"3007"</f>
        <v>3007</v>
      </c>
      <c r="B3011" t="str">
        <f t="shared" si="172"/>
        <v>1</v>
      </c>
      <c r="C3011" t="str">
        <f t="shared" si="174"/>
        <v>133</v>
      </c>
      <c r="D3011" t="str">
        <f>"5"</f>
        <v>5</v>
      </c>
      <c r="E3011" t="str">
        <f>"1-133-5"</f>
        <v>1-133-5</v>
      </c>
      <c r="F3011" t="s">
        <v>83</v>
      </c>
      <c r="G3011" t="s">
        <v>84</v>
      </c>
      <c r="H3011" t="s">
        <v>92</v>
      </c>
      <c r="I3011">
        <v>1</v>
      </c>
      <c r="J3011">
        <v>1</v>
      </c>
      <c r="N3011">
        <v>1</v>
      </c>
      <c r="O3011">
        <v>1</v>
      </c>
      <c r="P3011">
        <v>1</v>
      </c>
      <c r="Q3011">
        <v>1</v>
      </c>
      <c r="R3011">
        <v>1</v>
      </c>
      <c r="S3011">
        <v>1</v>
      </c>
      <c r="T3011">
        <v>1</v>
      </c>
      <c r="W3011">
        <v>1</v>
      </c>
      <c r="X3011">
        <v>1</v>
      </c>
      <c r="Y3011">
        <v>1</v>
      </c>
      <c r="Z3011">
        <v>1</v>
      </c>
      <c r="AA3011">
        <v>1</v>
      </c>
      <c r="AB3011">
        <v>1</v>
      </c>
    </row>
    <row r="3012" spans="1:28" x14ac:dyDescent="0.25">
      <c r="A3012" t="str">
        <f>"3008"</f>
        <v>3008</v>
      </c>
      <c r="B3012" t="str">
        <f t="shared" si="172"/>
        <v>1</v>
      </c>
      <c r="C3012" t="str">
        <f t="shared" si="174"/>
        <v>133</v>
      </c>
      <c r="D3012" t="str">
        <f>"18"</f>
        <v>18</v>
      </c>
      <c r="E3012" t="str">
        <f>"1-133-18"</f>
        <v>1-133-18</v>
      </c>
      <c r="F3012" t="s">
        <v>83</v>
      </c>
      <c r="G3012" t="s">
        <v>86</v>
      </c>
      <c r="H3012" t="s">
        <v>93</v>
      </c>
      <c r="I3012">
        <v>1</v>
      </c>
      <c r="K3012">
        <v>0</v>
      </c>
      <c r="L3012">
        <v>0</v>
      </c>
      <c r="M3012">
        <v>1</v>
      </c>
      <c r="N3012">
        <v>1</v>
      </c>
      <c r="O3012">
        <v>1</v>
      </c>
      <c r="P3012">
        <v>1</v>
      </c>
      <c r="Q3012">
        <v>1</v>
      </c>
      <c r="R3012">
        <v>1</v>
      </c>
      <c r="U3012">
        <v>0</v>
      </c>
      <c r="V3012">
        <v>1</v>
      </c>
      <c r="W3012">
        <v>1</v>
      </c>
      <c r="X3012">
        <v>1</v>
      </c>
      <c r="Y3012">
        <v>1</v>
      </c>
      <c r="Z3012">
        <v>1</v>
      </c>
      <c r="AA3012">
        <v>1</v>
      </c>
      <c r="AB3012">
        <v>1</v>
      </c>
    </row>
    <row r="3013" spans="1:28" x14ac:dyDescent="0.25">
      <c r="A3013" t="str">
        <f>"3009"</f>
        <v>3009</v>
      </c>
      <c r="B3013" t="str">
        <f t="shared" si="172"/>
        <v>1</v>
      </c>
      <c r="C3013" t="str">
        <f t="shared" si="174"/>
        <v>133</v>
      </c>
      <c r="D3013" t="str">
        <f>"11"</f>
        <v>11</v>
      </c>
      <c r="E3013" t="str">
        <f>"1-133-11"</f>
        <v>1-133-11</v>
      </c>
      <c r="F3013" t="s">
        <v>83</v>
      </c>
      <c r="G3013" t="s">
        <v>84</v>
      </c>
      <c r="H3013" t="s">
        <v>92</v>
      </c>
      <c r="I3013">
        <v>1</v>
      </c>
      <c r="J3013">
        <v>1</v>
      </c>
      <c r="N3013">
        <v>1</v>
      </c>
      <c r="O3013">
        <v>1</v>
      </c>
      <c r="P3013">
        <v>1</v>
      </c>
      <c r="Q3013">
        <v>1</v>
      </c>
      <c r="R3013">
        <v>1</v>
      </c>
      <c r="S3013">
        <v>1</v>
      </c>
      <c r="T3013">
        <v>1</v>
      </c>
      <c r="W3013">
        <v>1</v>
      </c>
      <c r="X3013">
        <v>1</v>
      </c>
      <c r="Y3013">
        <v>1</v>
      </c>
      <c r="Z3013">
        <v>1</v>
      </c>
      <c r="AA3013">
        <v>1</v>
      </c>
      <c r="AB3013">
        <v>1</v>
      </c>
    </row>
    <row r="3014" spans="1:28" x14ac:dyDescent="0.25">
      <c r="A3014" t="str">
        <f>"3010"</f>
        <v>3010</v>
      </c>
      <c r="B3014" t="str">
        <f t="shared" si="172"/>
        <v>1</v>
      </c>
      <c r="C3014" t="str">
        <f t="shared" si="174"/>
        <v>133</v>
      </c>
      <c r="D3014" t="str">
        <f>"2"</f>
        <v>2</v>
      </c>
      <c r="E3014" t="str">
        <f>"1-133-2"</f>
        <v>1-133-2</v>
      </c>
      <c r="F3014" t="s">
        <v>83</v>
      </c>
      <c r="G3014" t="s">
        <v>84</v>
      </c>
      <c r="H3014" t="s">
        <v>92</v>
      </c>
      <c r="I3014">
        <v>1</v>
      </c>
      <c r="J3014">
        <v>1</v>
      </c>
      <c r="N3014">
        <v>1</v>
      </c>
      <c r="O3014">
        <v>1</v>
      </c>
      <c r="P3014">
        <v>1</v>
      </c>
      <c r="Q3014">
        <v>1</v>
      </c>
      <c r="R3014">
        <v>1</v>
      </c>
      <c r="S3014">
        <v>1</v>
      </c>
      <c r="T3014">
        <v>1</v>
      </c>
      <c r="W3014">
        <v>1</v>
      </c>
      <c r="X3014">
        <v>1</v>
      </c>
      <c r="Y3014">
        <v>1</v>
      </c>
      <c r="Z3014">
        <v>1</v>
      </c>
      <c r="AA3014">
        <v>1</v>
      </c>
      <c r="AB3014">
        <v>1</v>
      </c>
    </row>
    <row r="3015" spans="1:28" x14ac:dyDescent="0.25">
      <c r="A3015" t="str">
        <f>"3011"</f>
        <v>3011</v>
      </c>
      <c r="B3015" t="str">
        <f t="shared" si="172"/>
        <v>1</v>
      </c>
      <c r="C3015" t="str">
        <f t="shared" si="174"/>
        <v>133</v>
      </c>
      <c r="D3015" t="str">
        <f>"20"</f>
        <v>20</v>
      </c>
      <c r="E3015" t="str">
        <f>"1-133-20"</f>
        <v>1-133-20</v>
      </c>
      <c r="F3015" t="s">
        <v>83</v>
      </c>
      <c r="G3015" t="s">
        <v>86</v>
      </c>
      <c r="H3015" t="s">
        <v>93</v>
      </c>
      <c r="I3015">
        <v>1</v>
      </c>
      <c r="K3015">
        <v>0</v>
      </c>
      <c r="L3015">
        <v>0</v>
      </c>
      <c r="M3015">
        <v>1</v>
      </c>
      <c r="N3015">
        <v>1</v>
      </c>
      <c r="O3015">
        <v>1</v>
      </c>
      <c r="P3015">
        <v>1</v>
      </c>
      <c r="Q3015">
        <v>1</v>
      </c>
      <c r="R3015">
        <v>1</v>
      </c>
      <c r="U3015">
        <v>1</v>
      </c>
      <c r="V3015">
        <v>0</v>
      </c>
      <c r="W3015">
        <v>1</v>
      </c>
      <c r="X3015">
        <v>1</v>
      </c>
      <c r="Y3015">
        <v>1</v>
      </c>
      <c r="Z3015">
        <v>1</v>
      </c>
      <c r="AA3015">
        <v>1</v>
      </c>
      <c r="AB3015">
        <v>1</v>
      </c>
    </row>
    <row r="3016" spans="1:28" x14ac:dyDescent="0.25">
      <c r="A3016" t="str">
        <f>"3012"</f>
        <v>3012</v>
      </c>
      <c r="B3016" t="str">
        <f t="shared" si="172"/>
        <v>1</v>
      </c>
      <c r="C3016" t="str">
        <f t="shared" si="174"/>
        <v>133</v>
      </c>
      <c r="D3016" t="str">
        <f>"12"</f>
        <v>12</v>
      </c>
      <c r="E3016" t="str">
        <f>"1-133-12"</f>
        <v>1-133-12</v>
      </c>
      <c r="F3016" t="s">
        <v>83</v>
      </c>
      <c r="G3016" t="s">
        <v>84</v>
      </c>
      <c r="H3016" t="s">
        <v>92</v>
      </c>
      <c r="I3016">
        <v>1</v>
      </c>
      <c r="J3016">
        <v>0</v>
      </c>
      <c r="N3016">
        <v>1</v>
      </c>
      <c r="O3016">
        <v>1</v>
      </c>
      <c r="P3016">
        <v>0</v>
      </c>
      <c r="Q3016">
        <v>0</v>
      </c>
      <c r="R3016">
        <v>0</v>
      </c>
      <c r="S3016">
        <v>0</v>
      </c>
      <c r="T3016">
        <v>0</v>
      </c>
      <c r="W3016">
        <v>0</v>
      </c>
      <c r="X3016">
        <v>1</v>
      </c>
      <c r="Y3016">
        <v>1</v>
      </c>
      <c r="Z3016">
        <v>0</v>
      </c>
      <c r="AA3016">
        <v>0</v>
      </c>
      <c r="AB3016">
        <v>1</v>
      </c>
    </row>
    <row r="3017" spans="1:28" x14ac:dyDescent="0.25">
      <c r="A3017" t="str">
        <f>"3013"</f>
        <v>3013</v>
      </c>
      <c r="B3017" t="str">
        <f t="shared" si="172"/>
        <v>1</v>
      </c>
      <c r="C3017" t="str">
        <f t="shared" si="174"/>
        <v>133</v>
      </c>
      <c r="D3017" t="str">
        <f>"1"</f>
        <v>1</v>
      </c>
      <c r="E3017" t="str">
        <f>"1-133-1"</f>
        <v>1-133-1</v>
      </c>
      <c r="F3017" t="s">
        <v>83</v>
      </c>
      <c r="G3017" t="s">
        <v>84</v>
      </c>
      <c r="H3017" t="s">
        <v>92</v>
      </c>
      <c r="I3017">
        <v>1</v>
      </c>
      <c r="J3017">
        <v>1</v>
      </c>
      <c r="N3017">
        <v>1</v>
      </c>
      <c r="O3017">
        <v>1</v>
      </c>
      <c r="P3017">
        <v>1</v>
      </c>
      <c r="Q3017">
        <v>1</v>
      </c>
      <c r="R3017">
        <v>1</v>
      </c>
      <c r="S3017">
        <v>1</v>
      </c>
      <c r="T3017">
        <v>1</v>
      </c>
      <c r="W3017">
        <v>1</v>
      </c>
      <c r="X3017">
        <v>1</v>
      </c>
      <c r="Y3017">
        <v>1</v>
      </c>
      <c r="Z3017">
        <v>1</v>
      </c>
      <c r="AA3017">
        <v>1</v>
      </c>
      <c r="AB3017">
        <v>1</v>
      </c>
    </row>
    <row r="3018" spans="1:28" x14ac:dyDescent="0.25">
      <c r="A3018" t="str">
        <f>"3014"</f>
        <v>3014</v>
      </c>
      <c r="B3018" t="str">
        <f t="shared" si="172"/>
        <v>1</v>
      </c>
      <c r="C3018" t="str">
        <f t="shared" si="174"/>
        <v>133</v>
      </c>
      <c r="D3018" t="str">
        <f>"21"</f>
        <v>21</v>
      </c>
      <c r="E3018" t="str">
        <f>"1-133-21"</f>
        <v>1-133-21</v>
      </c>
      <c r="F3018" t="s">
        <v>83</v>
      </c>
      <c r="G3018" t="s">
        <v>86</v>
      </c>
      <c r="H3018" t="s">
        <v>93</v>
      </c>
      <c r="I3018">
        <v>1</v>
      </c>
      <c r="K3018">
        <v>0</v>
      </c>
      <c r="L3018">
        <v>0</v>
      </c>
      <c r="M3018">
        <v>1</v>
      </c>
      <c r="N3018">
        <v>1</v>
      </c>
      <c r="O3018">
        <v>1</v>
      </c>
      <c r="P3018">
        <v>1</v>
      </c>
      <c r="Q3018">
        <v>1</v>
      </c>
      <c r="R3018">
        <v>1</v>
      </c>
      <c r="U3018">
        <v>0</v>
      </c>
      <c r="V3018">
        <v>1</v>
      </c>
      <c r="W3018">
        <v>1</v>
      </c>
      <c r="X3018">
        <v>1</v>
      </c>
      <c r="Y3018">
        <v>1</v>
      </c>
      <c r="Z3018">
        <v>1</v>
      </c>
      <c r="AA3018">
        <v>1</v>
      </c>
      <c r="AB3018">
        <v>1</v>
      </c>
    </row>
    <row r="3019" spans="1:28" x14ac:dyDescent="0.25">
      <c r="A3019" t="str">
        <f>"3015"</f>
        <v>3015</v>
      </c>
      <c r="B3019" t="str">
        <f t="shared" si="172"/>
        <v>1</v>
      </c>
      <c r="C3019" t="str">
        <f t="shared" si="174"/>
        <v>133</v>
      </c>
      <c r="D3019" t="str">
        <f>"13"</f>
        <v>13</v>
      </c>
      <c r="E3019" t="str">
        <f>"1-133-13"</f>
        <v>1-133-13</v>
      </c>
      <c r="F3019" t="s">
        <v>83</v>
      </c>
      <c r="G3019" t="s">
        <v>86</v>
      </c>
      <c r="H3019" t="s">
        <v>93</v>
      </c>
      <c r="I3019">
        <v>1</v>
      </c>
      <c r="K3019">
        <v>1</v>
      </c>
      <c r="L3019">
        <v>0</v>
      </c>
      <c r="M3019">
        <v>0</v>
      </c>
      <c r="N3019">
        <v>1</v>
      </c>
      <c r="O3019">
        <v>1</v>
      </c>
      <c r="P3019">
        <v>1</v>
      </c>
      <c r="Q3019">
        <v>1</v>
      </c>
      <c r="R3019">
        <v>1</v>
      </c>
      <c r="U3019">
        <v>1</v>
      </c>
      <c r="V3019">
        <v>0</v>
      </c>
      <c r="W3019">
        <v>1</v>
      </c>
      <c r="X3019">
        <v>1</v>
      </c>
      <c r="Y3019">
        <v>1</v>
      </c>
      <c r="Z3019">
        <v>1</v>
      </c>
      <c r="AA3019">
        <v>1</v>
      </c>
      <c r="AB3019">
        <v>1</v>
      </c>
    </row>
    <row r="3020" spans="1:28" x14ac:dyDescent="0.25">
      <c r="A3020" t="str">
        <f>"3016"</f>
        <v>3016</v>
      </c>
      <c r="B3020" t="str">
        <f t="shared" si="172"/>
        <v>1</v>
      </c>
      <c r="C3020" t="str">
        <f t="shared" si="174"/>
        <v>133</v>
      </c>
      <c r="D3020" t="str">
        <f>"6"</f>
        <v>6</v>
      </c>
      <c r="E3020" t="str">
        <f>"1-133-6"</f>
        <v>1-133-6</v>
      </c>
      <c r="F3020" t="s">
        <v>83</v>
      </c>
      <c r="G3020" t="s">
        <v>84</v>
      </c>
      <c r="H3020" t="s">
        <v>92</v>
      </c>
      <c r="I3020">
        <v>1</v>
      </c>
      <c r="J3020">
        <v>1</v>
      </c>
      <c r="N3020">
        <v>1</v>
      </c>
      <c r="O3020">
        <v>1</v>
      </c>
      <c r="P3020">
        <v>1</v>
      </c>
      <c r="Q3020">
        <v>1</v>
      </c>
      <c r="R3020">
        <v>1</v>
      </c>
      <c r="S3020">
        <v>1</v>
      </c>
      <c r="T3020">
        <v>1</v>
      </c>
      <c r="W3020">
        <v>1</v>
      </c>
      <c r="X3020">
        <v>1</v>
      </c>
      <c r="Y3020">
        <v>1</v>
      </c>
      <c r="Z3020">
        <v>1</v>
      </c>
      <c r="AA3020">
        <v>1</v>
      </c>
      <c r="AB3020">
        <v>1</v>
      </c>
    </row>
    <row r="3021" spans="1:28" x14ac:dyDescent="0.25">
      <c r="A3021" t="str">
        <f>"3017"</f>
        <v>3017</v>
      </c>
      <c r="B3021" t="str">
        <f t="shared" si="172"/>
        <v>1</v>
      </c>
      <c r="C3021" t="str">
        <f t="shared" si="174"/>
        <v>133</v>
      </c>
      <c r="D3021" t="str">
        <f>"17"</f>
        <v>17</v>
      </c>
      <c r="E3021" t="str">
        <f>"1-133-17"</f>
        <v>1-133-17</v>
      </c>
      <c r="F3021" t="s">
        <v>83</v>
      </c>
      <c r="G3021" t="s">
        <v>86</v>
      </c>
      <c r="H3021" t="s">
        <v>93</v>
      </c>
      <c r="I3021">
        <v>1</v>
      </c>
      <c r="K3021">
        <v>0</v>
      </c>
      <c r="L3021">
        <v>0</v>
      </c>
      <c r="M3021">
        <v>1</v>
      </c>
      <c r="N3021">
        <v>1</v>
      </c>
      <c r="O3021">
        <v>1</v>
      </c>
      <c r="P3021">
        <v>1</v>
      </c>
      <c r="Q3021">
        <v>1</v>
      </c>
      <c r="R3021">
        <v>1</v>
      </c>
      <c r="U3021">
        <v>0</v>
      </c>
      <c r="V3021">
        <v>1</v>
      </c>
      <c r="W3021">
        <v>1</v>
      </c>
      <c r="X3021">
        <v>1</v>
      </c>
      <c r="Y3021">
        <v>1</v>
      </c>
      <c r="Z3021">
        <v>1</v>
      </c>
      <c r="AA3021">
        <v>1</v>
      </c>
      <c r="AB3021">
        <v>1</v>
      </c>
    </row>
    <row r="3022" spans="1:28" x14ac:dyDescent="0.25">
      <c r="A3022" t="str">
        <f>"3018"</f>
        <v>3018</v>
      </c>
      <c r="B3022" t="str">
        <f t="shared" si="172"/>
        <v>1</v>
      </c>
      <c r="C3022" t="str">
        <f t="shared" si="174"/>
        <v>133</v>
      </c>
      <c r="D3022" t="str">
        <f>"4"</f>
        <v>4</v>
      </c>
      <c r="E3022" t="str">
        <f>"1-133-4"</f>
        <v>1-133-4</v>
      </c>
      <c r="F3022" t="s">
        <v>83</v>
      </c>
      <c r="G3022" t="s">
        <v>84</v>
      </c>
      <c r="H3022" t="s">
        <v>92</v>
      </c>
      <c r="I3022">
        <v>1</v>
      </c>
      <c r="J3022">
        <v>1</v>
      </c>
      <c r="N3022">
        <v>1</v>
      </c>
      <c r="O3022">
        <v>1</v>
      </c>
      <c r="P3022">
        <v>1</v>
      </c>
      <c r="Q3022">
        <v>1</v>
      </c>
      <c r="R3022">
        <v>1</v>
      </c>
      <c r="S3022">
        <v>1</v>
      </c>
      <c r="T3022">
        <v>1</v>
      </c>
      <c r="W3022">
        <v>1</v>
      </c>
      <c r="X3022">
        <v>1</v>
      </c>
      <c r="Y3022">
        <v>1</v>
      </c>
      <c r="Z3022">
        <v>1</v>
      </c>
      <c r="AA3022">
        <v>1</v>
      </c>
      <c r="AB3022">
        <v>1</v>
      </c>
    </row>
    <row r="3023" spans="1:28" x14ac:dyDescent="0.25">
      <c r="A3023" t="str">
        <f>"3019"</f>
        <v>3019</v>
      </c>
      <c r="B3023" t="str">
        <f t="shared" si="172"/>
        <v>1</v>
      </c>
      <c r="C3023" t="str">
        <f t="shared" si="174"/>
        <v>133</v>
      </c>
      <c r="D3023" t="str">
        <f>"19"</f>
        <v>19</v>
      </c>
      <c r="E3023" t="str">
        <f>"1-133-19"</f>
        <v>1-133-19</v>
      </c>
      <c r="F3023" t="s">
        <v>83</v>
      </c>
      <c r="G3023" t="s">
        <v>86</v>
      </c>
      <c r="H3023" t="s">
        <v>93</v>
      </c>
      <c r="I3023">
        <v>1</v>
      </c>
      <c r="K3023">
        <v>1</v>
      </c>
      <c r="L3023">
        <v>0</v>
      </c>
      <c r="M3023">
        <v>0</v>
      </c>
      <c r="N3023">
        <v>1</v>
      </c>
      <c r="O3023">
        <v>1</v>
      </c>
      <c r="P3023">
        <v>1</v>
      </c>
      <c r="Q3023">
        <v>1</v>
      </c>
      <c r="R3023">
        <v>1</v>
      </c>
      <c r="U3023">
        <v>1</v>
      </c>
      <c r="V3023">
        <v>0</v>
      </c>
      <c r="W3023">
        <v>1</v>
      </c>
      <c r="X3023">
        <v>1</v>
      </c>
      <c r="Y3023">
        <v>1</v>
      </c>
      <c r="Z3023">
        <v>1</v>
      </c>
      <c r="AA3023">
        <v>1</v>
      </c>
      <c r="AB3023">
        <v>1</v>
      </c>
    </row>
    <row r="3024" spans="1:28" x14ac:dyDescent="0.25">
      <c r="A3024" t="str">
        <f>"3020"</f>
        <v>3020</v>
      </c>
      <c r="B3024" t="str">
        <f t="shared" si="172"/>
        <v>1</v>
      </c>
      <c r="C3024" t="str">
        <f t="shared" si="174"/>
        <v>133</v>
      </c>
      <c r="D3024" t="str">
        <f>"7"</f>
        <v>7</v>
      </c>
      <c r="E3024" t="str">
        <f>"1-133-7"</f>
        <v>1-133-7</v>
      </c>
      <c r="F3024" t="s">
        <v>83</v>
      </c>
      <c r="G3024" t="s">
        <v>84</v>
      </c>
      <c r="H3024" t="s">
        <v>92</v>
      </c>
      <c r="I3024">
        <v>1</v>
      </c>
      <c r="J3024">
        <v>1</v>
      </c>
      <c r="N3024">
        <v>1</v>
      </c>
      <c r="O3024">
        <v>1</v>
      </c>
      <c r="P3024">
        <v>1</v>
      </c>
      <c r="Q3024">
        <v>1</v>
      </c>
      <c r="R3024">
        <v>1</v>
      </c>
      <c r="S3024">
        <v>1</v>
      </c>
      <c r="T3024">
        <v>1</v>
      </c>
      <c r="W3024">
        <v>1</v>
      </c>
      <c r="X3024">
        <v>1</v>
      </c>
      <c r="Y3024">
        <v>1</v>
      </c>
      <c r="Z3024">
        <v>1</v>
      </c>
      <c r="AA3024">
        <v>1</v>
      </c>
      <c r="AB3024">
        <v>1</v>
      </c>
    </row>
    <row r="3025" spans="1:28" x14ac:dyDescent="0.25">
      <c r="A3025" t="str">
        <f>"3021"</f>
        <v>3021</v>
      </c>
      <c r="B3025" t="str">
        <f t="shared" si="172"/>
        <v>1</v>
      </c>
      <c r="C3025" t="str">
        <f t="shared" si="174"/>
        <v>133</v>
      </c>
      <c r="D3025" t="str">
        <f>"16"</f>
        <v>16</v>
      </c>
      <c r="E3025" t="str">
        <f>"1-133-16"</f>
        <v>1-133-16</v>
      </c>
      <c r="F3025" t="s">
        <v>83</v>
      </c>
      <c r="G3025" t="s">
        <v>86</v>
      </c>
      <c r="H3025" t="s">
        <v>93</v>
      </c>
      <c r="I3025">
        <v>1</v>
      </c>
      <c r="K3025">
        <v>0</v>
      </c>
      <c r="L3025">
        <v>0</v>
      </c>
      <c r="M3025">
        <v>1</v>
      </c>
      <c r="N3025">
        <v>1</v>
      </c>
      <c r="O3025">
        <v>1</v>
      </c>
      <c r="P3025">
        <v>1</v>
      </c>
      <c r="Q3025">
        <v>1</v>
      </c>
      <c r="R3025">
        <v>1</v>
      </c>
      <c r="U3025">
        <v>0</v>
      </c>
      <c r="V3025">
        <v>1</v>
      </c>
      <c r="W3025">
        <v>1</v>
      </c>
      <c r="X3025">
        <v>1</v>
      </c>
      <c r="Y3025">
        <v>1</v>
      </c>
      <c r="Z3025">
        <v>1</v>
      </c>
      <c r="AA3025">
        <v>1</v>
      </c>
      <c r="AB3025">
        <v>1</v>
      </c>
    </row>
    <row r="3026" spans="1:28" x14ac:dyDescent="0.25">
      <c r="A3026" t="str">
        <f>"3022"</f>
        <v>3022</v>
      </c>
      <c r="B3026" t="str">
        <f t="shared" si="172"/>
        <v>1</v>
      </c>
      <c r="C3026" t="str">
        <f t="shared" ref="C3026:C3050" si="175">"134"</f>
        <v>134</v>
      </c>
      <c r="D3026" t="str">
        <f>"23"</f>
        <v>23</v>
      </c>
      <c r="E3026" t="str">
        <f>"1-134-23"</f>
        <v>1-134-23</v>
      </c>
      <c r="F3026" t="s">
        <v>83</v>
      </c>
      <c r="G3026" t="s">
        <v>86</v>
      </c>
      <c r="H3026" t="s">
        <v>93</v>
      </c>
      <c r="I3026">
        <v>1</v>
      </c>
      <c r="K3026">
        <v>1</v>
      </c>
      <c r="L3026">
        <v>0</v>
      </c>
      <c r="M3026">
        <v>0</v>
      </c>
      <c r="N3026">
        <v>1</v>
      </c>
      <c r="O3026">
        <v>1</v>
      </c>
      <c r="P3026">
        <v>1</v>
      </c>
      <c r="Q3026">
        <v>1</v>
      </c>
      <c r="R3026">
        <v>1</v>
      </c>
      <c r="U3026">
        <v>0</v>
      </c>
      <c r="V3026">
        <v>1</v>
      </c>
      <c r="W3026">
        <v>1</v>
      </c>
      <c r="X3026">
        <v>1</v>
      </c>
      <c r="Y3026">
        <v>1</v>
      </c>
      <c r="Z3026">
        <v>1</v>
      </c>
      <c r="AA3026">
        <v>1</v>
      </c>
      <c r="AB3026">
        <v>1</v>
      </c>
    </row>
    <row r="3027" spans="1:28" x14ac:dyDescent="0.25">
      <c r="A3027" t="str">
        <f>"3023"</f>
        <v>3023</v>
      </c>
      <c r="B3027" t="str">
        <f t="shared" si="172"/>
        <v>1</v>
      </c>
      <c r="C3027" t="str">
        <f t="shared" si="175"/>
        <v>134</v>
      </c>
      <c r="D3027" t="str">
        <f>"22"</f>
        <v>22</v>
      </c>
      <c r="E3027" t="str">
        <f>"1-134-22"</f>
        <v>1-134-22</v>
      </c>
      <c r="F3027" t="s">
        <v>83</v>
      </c>
      <c r="G3027" t="s">
        <v>86</v>
      </c>
      <c r="H3027" t="s">
        <v>93</v>
      </c>
      <c r="I3027">
        <v>1</v>
      </c>
      <c r="K3027">
        <v>0</v>
      </c>
      <c r="L3027">
        <v>0</v>
      </c>
      <c r="M3027">
        <v>1</v>
      </c>
      <c r="N3027">
        <v>1</v>
      </c>
      <c r="O3027">
        <v>1</v>
      </c>
      <c r="P3027">
        <v>1</v>
      </c>
      <c r="Q3027">
        <v>1</v>
      </c>
      <c r="R3027">
        <v>1</v>
      </c>
      <c r="U3027">
        <v>1</v>
      </c>
      <c r="V3027">
        <v>0</v>
      </c>
      <c r="W3027">
        <v>1</v>
      </c>
      <c r="X3027">
        <v>1</v>
      </c>
      <c r="Y3027">
        <v>1</v>
      </c>
      <c r="Z3027">
        <v>1</v>
      </c>
      <c r="AA3027">
        <v>1</v>
      </c>
      <c r="AB3027">
        <v>1</v>
      </c>
    </row>
    <row r="3028" spans="1:28" x14ac:dyDescent="0.25">
      <c r="A3028" t="str">
        <f>"3024"</f>
        <v>3024</v>
      </c>
      <c r="B3028" t="str">
        <f t="shared" si="172"/>
        <v>1</v>
      </c>
      <c r="C3028" t="str">
        <f t="shared" si="175"/>
        <v>134</v>
      </c>
      <c r="D3028" t="str">
        <f>"15"</f>
        <v>15</v>
      </c>
      <c r="E3028" t="str">
        <f>"1-134-15"</f>
        <v>1-134-15</v>
      </c>
      <c r="F3028" t="s">
        <v>83</v>
      </c>
      <c r="G3028" t="s">
        <v>86</v>
      </c>
      <c r="H3028" t="s">
        <v>93</v>
      </c>
      <c r="I3028">
        <v>0</v>
      </c>
      <c r="K3028">
        <v>0</v>
      </c>
      <c r="L3028">
        <v>0</v>
      </c>
      <c r="M3028">
        <v>1</v>
      </c>
      <c r="N3028">
        <v>0</v>
      </c>
      <c r="O3028">
        <v>0</v>
      </c>
      <c r="P3028">
        <v>0</v>
      </c>
      <c r="Q3028">
        <v>0</v>
      </c>
      <c r="R3028">
        <v>0</v>
      </c>
      <c r="U3028">
        <v>1</v>
      </c>
      <c r="V3028">
        <v>0</v>
      </c>
      <c r="W3028">
        <v>0</v>
      </c>
      <c r="X3028">
        <v>0</v>
      </c>
      <c r="Y3028">
        <v>0</v>
      </c>
      <c r="Z3028">
        <v>0</v>
      </c>
      <c r="AA3028">
        <v>0</v>
      </c>
      <c r="AB3028">
        <v>0</v>
      </c>
    </row>
    <row r="3029" spans="1:28" x14ac:dyDescent="0.25">
      <c r="A3029" t="str">
        <f>"3025"</f>
        <v>3025</v>
      </c>
      <c r="B3029" t="str">
        <f t="shared" si="172"/>
        <v>1</v>
      </c>
      <c r="C3029" t="str">
        <f t="shared" si="175"/>
        <v>134</v>
      </c>
      <c r="D3029" t="str">
        <f>"14"</f>
        <v>14</v>
      </c>
      <c r="E3029" t="str">
        <f>"1-134-14"</f>
        <v>1-134-14</v>
      </c>
      <c r="F3029" t="s">
        <v>83</v>
      </c>
      <c r="G3029" t="s">
        <v>86</v>
      </c>
      <c r="H3029" t="s">
        <v>93</v>
      </c>
      <c r="I3029">
        <v>1</v>
      </c>
      <c r="K3029">
        <v>1</v>
      </c>
      <c r="L3029">
        <v>0</v>
      </c>
      <c r="M3029">
        <v>0</v>
      </c>
      <c r="N3029">
        <v>1</v>
      </c>
      <c r="O3029">
        <v>1</v>
      </c>
      <c r="P3029">
        <v>1</v>
      </c>
      <c r="Q3029">
        <v>1</v>
      </c>
      <c r="R3029">
        <v>1</v>
      </c>
      <c r="U3029">
        <v>0</v>
      </c>
      <c r="V3029">
        <v>1</v>
      </c>
      <c r="W3029">
        <v>0</v>
      </c>
      <c r="X3029">
        <v>1</v>
      </c>
      <c r="Y3029">
        <v>1</v>
      </c>
      <c r="Z3029">
        <v>1</v>
      </c>
      <c r="AA3029">
        <v>1</v>
      </c>
      <c r="AB3029">
        <v>1</v>
      </c>
    </row>
    <row r="3030" spans="1:28" x14ac:dyDescent="0.25">
      <c r="A3030" t="str">
        <f>"3026"</f>
        <v>3026</v>
      </c>
      <c r="B3030" t="str">
        <f t="shared" si="172"/>
        <v>1</v>
      </c>
      <c r="C3030" t="str">
        <f t="shared" si="175"/>
        <v>134</v>
      </c>
      <c r="D3030" t="str">
        <f>"9"</f>
        <v>9</v>
      </c>
      <c r="E3030" t="str">
        <f>"1-134-9"</f>
        <v>1-134-9</v>
      </c>
      <c r="F3030" t="s">
        <v>83</v>
      </c>
      <c r="G3030" t="s">
        <v>86</v>
      </c>
      <c r="H3030" t="s">
        <v>93</v>
      </c>
      <c r="I3030">
        <v>1</v>
      </c>
      <c r="K3030">
        <v>0</v>
      </c>
      <c r="L3030">
        <v>0</v>
      </c>
      <c r="M3030">
        <v>1</v>
      </c>
      <c r="N3030">
        <v>1</v>
      </c>
      <c r="O3030">
        <v>1</v>
      </c>
      <c r="P3030">
        <v>0</v>
      </c>
      <c r="Q3030">
        <v>0</v>
      </c>
      <c r="R3030">
        <v>0</v>
      </c>
      <c r="U3030">
        <v>1</v>
      </c>
      <c r="V3030">
        <v>0</v>
      </c>
      <c r="W3030">
        <v>0</v>
      </c>
      <c r="X3030">
        <v>1</v>
      </c>
      <c r="Y3030">
        <v>0</v>
      </c>
      <c r="Z3030">
        <v>0</v>
      </c>
      <c r="AA3030">
        <v>0</v>
      </c>
      <c r="AB3030">
        <v>0</v>
      </c>
    </row>
    <row r="3031" spans="1:28" x14ac:dyDescent="0.25">
      <c r="A3031" t="str">
        <f>"3027"</f>
        <v>3027</v>
      </c>
      <c r="B3031" t="str">
        <f t="shared" si="172"/>
        <v>1</v>
      </c>
      <c r="C3031" t="str">
        <f t="shared" si="175"/>
        <v>134</v>
      </c>
      <c r="D3031" t="str">
        <f>"8"</f>
        <v>8</v>
      </c>
      <c r="E3031" t="str">
        <f>"1-134-8"</f>
        <v>1-134-8</v>
      </c>
      <c r="F3031" t="s">
        <v>83</v>
      </c>
      <c r="G3031" t="s">
        <v>86</v>
      </c>
      <c r="H3031" t="s">
        <v>93</v>
      </c>
      <c r="I3031">
        <v>1</v>
      </c>
      <c r="K3031">
        <v>0</v>
      </c>
      <c r="L3031">
        <v>0</v>
      </c>
      <c r="M3031">
        <v>1</v>
      </c>
      <c r="N3031">
        <v>1</v>
      </c>
      <c r="O3031">
        <v>1</v>
      </c>
      <c r="P3031">
        <v>1</v>
      </c>
      <c r="Q3031">
        <v>1</v>
      </c>
      <c r="R3031">
        <v>1</v>
      </c>
      <c r="U3031">
        <v>0</v>
      </c>
      <c r="V3031">
        <v>1</v>
      </c>
      <c r="W3031">
        <v>1</v>
      </c>
      <c r="X3031">
        <v>1</v>
      </c>
      <c r="Y3031">
        <v>1</v>
      </c>
      <c r="Z3031">
        <v>1</v>
      </c>
      <c r="AA3031">
        <v>1</v>
      </c>
      <c r="AB3031">
        <v>1</v>
      </c>
    </row>
    <row r="3032" spans="1:28" x14ac:dyDescent="0.25">
      <c r="A3032" t="str">
        <f>"3028"</f>
        <v>3028</v>
      </c>
      <c r="B3032" t="str">
        <f t="shared" si="172"/>
        <v>1</v>
      </c>
      <c r="C3032" t="str">
        <f t="shared" si="175"/>
        <v>134</v>
      </c>
      <c r="D3032" t="str">
        <f>"4"</f>
        <v>4</v>
      </c>
      <c r="E3032" t="str">
        <f>"1-134-4"</f>
        <v>1-134-4</v>
      </c>
      <c r="F3032" t="s">
        <v>83</v>
      </c>
      <c r="G3032" t="s">
        <v>86</v>
      </c>
      <c r="H3032" t="s">
        <v>93</v>
      </c>
      <c r="I3032">
        <v>1</v>
      </c>
      <c r="K3032">
        <v>0</v>
      </c>
      <c r="L3032">
        <v>0</v>
      </c>
      <c r="M3032">
        <v>1</v>
      </c>
      <c r="N3032">
        <v>1</v>
      </c>
      <c r="O3032">
        <v>1</v>
      </c>
      <c r="P3032">
        <v>1</v>
      </c>
      <c r="Q3032">
        <v>1</v>
      </c>
      <c r="R3032">
        <v>1</v>
      </c>
      <c r="U3032">
        <v>1</v>
      </c>
      <c r="V3032">
        <v>0</v>
      </c>
      <c r="W3032">
        <v>1</v>
      </c>
      <c r="X3032">
        <v>1</v>
      </c>
      <c r="Y3032">
        <v>1</v>
      </c>
      <c r="Z3032">
        <v>1</v>
      </c>
      <c r="AA3032">
        <v>1</v>
      </c>
      <c r="AB3032">
        <v>1</v>
      </c>
    </row>
    <row r="3033" spans="1:28" x14ac:dyDescent="0.25">
      <c r="A3033" t="str">
        <f>"3029"</f>
        <v>3029</v>
      </c>
      <c r="B3033" t="str">
        <f t="shared" si="172"/>
        <v>1</v>
      </c>
      <c r="C3033" t="str">
        <f t="shared" si="175"/>
        <v>134</v>
      </c>
      <c r="D3033" t="str">
        <f>"25"</f>
        <v>25</v>
      </c>
      <c r="E3033" t="str">
        <f>"1-134-25"</f>
        <v>1-134-25</v>
      </c>
      <c r="F3033" t="s">
        <v>83</v>
      </c>
      <c r="G3033" t="s">
        <v>86</v>
      </c>
      <c r="H3033" t="s">
        <v>93</v>
      </c>
      <c r="I3033">
        <v>1</v>
      </c>
      <c r="K3033">
        <v>0</v>
      </c>
      <c r="L3033">
        <v>1</v>
      </c>
      <c r="M3033">
        <v>0</v>
      </c>
      <c r="N3033">
        <v>1</v>
      </c>
      <c r="O3033">
        <v>1</v>
      </c>
      <c r="P3033">
        <v>1</v>
      </c>
      <c r="Q3033">
        <v>1</v>
      </c>
      <c r="R3033">
        <v>1</v>
      </c>
      <c r="U3033">
        <v>0</v>
      </c>
      <c r="V3033">
        <v>1</v>
      </c>
      <c r="W3033">
        <v>1</v>
      </c>
      <c r="X3033">
        <v>1</v>
      </c>
      <c r="Y3033">
        <v>1</v>
      </c>
      <c r="Z3033">
        <v>1</v>
      </c>
      <c r="AA3033">
        <v>1</v>
      </c>
      <c r="AB3033">
        <v>1</v>
      </c>
    </row>
    <row r="3034" spans="1:28" x14ac:dyDescent="0.25">
      <c r="A3034" t="str">
        <f>"3030"</f>
        <v>3030</v>
      </c>
      <c r="B3034" t="str">
        <f t="shared" si="172"/>
        <v>1</v>
      </c>
      <c r="C3034" t="str">
        <f t="shared" si="175"/>
        <v>134</v>
      </c>
      <c r="D3034" t="str">
        <f>"24"</f>
        <v>24</v>
      </c>
      <c r="E3034" t="str">
        <f>"1-134-24"</f>
        <v>1-134-24</v>
      </c>
      <c r="F3034" t="s">
        <v>83</v>
      </c>
      <c r="G3034" t="s">
        <v>84</v>
      </c>
      <c r="H3034" t="s">
        <v>92</v>
      </c>
      <c r="I3034">
        <v>1</v>
      </c>
      <c r="J3034">
        <v>1</v>
      </c>
      <c r="N3034">
        <v>1</v>
      </c>
      <c r="O3034">
        <v>1</v>
      </c>
      <c r="P3034">
        <v>1</v>
      </c>
      <c r="Q3034">
        <v>1</v>
      </c>
      <c r="R3034">
        <v>1</v>
      </c>
      <c r="S3034">
        <v>1</v>
      </c>
      <c r="T3034">
        <v>1</v>
      </c>
      <c r="W3034">
        <v>1</v>
      </c>
      <c r="X3034">
        <v>1</v>
      </c>
      <c r="Y3034">
        <v>1</v>
      </c>
      <c r="Z3034">
        <v>1</v>
      </c>
      <c r="AA3034">
        <v>1</v>
      </c>
      <c r="AB3034">
        <v>1</v>
      </c>
    </row>
    <row r="3035" spans="1:28" x14ac:dyDescent="0.25">
      <c r="A3035" t="str">
        <f>"3031"</f>
        <v>3031</v>
      </c>
      <c r="B3035" t="str">
        <f t="shared" si="172"/>
        <v>1</v>
      </c>
      <c r="C3035" t="str">
        <f t="shared" si="175"/>
        <v>134</v>
      </c>
      <c r="D3035" t="str">
        <f>"18"</f>
        <v>18</v>
      </c>
      <c r="E3035" t="str">
        <f>"1-134-18"</f>
        <v>1-134-18</v>
      </c>
      <c r="F3035" t="s">
        <v>83</v>
      </c>
      <c r="G3035" t="s">
        <v>86</v>
      </c>
      <c r="H3035" t="s">
        <v>93</v>
      </c>
      <c r="I3035">
        <v>1</v>
      </c>
      <c r="K3035">
        <v>1</v>
      </c>
      <c r="L3035">
        <v>0</v>
      </c>
      <c r="M3035">
        <v>0</v>
      </c>
      <c r="N3035">
        <v>1</v>
      </c>
      <c r="O3035">
        <v>1</v>
      </c>
      <c r="P3035">
        <v>1</v>
      </c>
      <c r="Q3035">
        <v>1</v>
      </c>
      <c r="R3035">
        <v>1</v>
      </c>
      <c r="U3035">
        <v>0</v>
      </c>
      <c r="V3035">
        <v>1</v>
      </c>
      <c r="W3035">
        <v>1</v>
      </c>
      <c r="X3035">
        <v>1</v>
      </c>
      <c r="Y3035">
        <v>1</v>
      </c>
      <c r="Z3035">
        <v>1</v>
      </c>
      <c r="AA3035">
        <v>1</v>
      </c>
      <c r="AB3035">
        <v>1</v>
      </c>
    </row>
    <row r="3036" spans="1:28" x14ac:dyDescent="0.25">
      <c r="A3036" t="str">
        <f>"3032"</f>
        <v>3032</v>
      </c>
      <c r="B3036" t="str">
        <f t="shared" si="172"/>
        <v>1</v>
      </c>
      <c r="C3036" t="str">
        <f t="shared" si="175"/>
        <v>134</v>
      </c>
      <c r="D3036" t="str">
        <f>"10"</f>
        <v>10</v>
      </c>
      <c r="E3036" t="str">
        <f>"1-134-10"</f>
        <v>1-134-10</v>
      </c>
      <c r="F3036" t="s">
        <v>83</v>
      </c>
      <c r="G3036" t="s">
        <v>86</v>
      </c>
      <c r="H3036" t="s">
        <v>93</v>
      </c>
      <c r="I3036">
        <v>0</v>
      </c>
      <c r="K3036">
        <v>0</v>
      </c>
      <c r="L3036">
        <v>0</v>
      </c>
      <c r="M3036">
        <v>1</v>
      </c>
      <c r="N3036">
        <v>0</v>
      </c>
      <c r="O3036">
        <v>0</v>
      </c>
      <c r="P3036">
        <v>0</v>
      </c>
      <c r="Q3036">
        <v>0</v>
      </c>
      <c r="R3036">
        <v>0</v>
      </c>
      <c r="U3036">
        <v>0</v>
      </c>
      <c r="V3036">
        <v>1</v>
      </c>
      <c r="W3036">
        <v>0</v>
      </c>
      <c r="X3036">
        <v>0</v>
      </c>
      <c r="Y3036">
        <v>0</v>
      </c>
      <c r="Z3036">
        <v>0</v>
      </c>
      <c r="AA3036">
        <v>0</v>
      </c>
      <c r="AB3036">
        <v>0</v>
      </c>
    </row>
    <row r="3037" spans="1:28" x14ac:dyDescent="0.25">
      <c r="A3037" t="str">
        <f>"3033"</f>
        <v>3033</v>
      </c>
      <c r="B3037" t="str">
        <f t="shared" si="172"/>
        <v>1</v>
      </c>
      <c r="C3037" t="str">
        <f t="shared" si="175"/>
        <v>134</v>
      </c>
      <c r="D3037" t="str">
        <f>"7"</f>
        <v>7</v>
      </c>
      <c r="E3037" t="str">
        <f>"1-134-7"</f>
        <v>1-134-7</v>
      </c>
      <c r="F3037" t="s">
        <v>83</v>
      </c>
      <c r="G3037" t="s">
        <v>86</v>
      </c>
      <c r="H3037" t="s">
        <v>93</v>
      </c>
      <c r="I3037">
        <v>1</v>
      </c>
      <c r="K3037">
        <v>1</v>
      </c>
      <c r="L3037">
        <v>0</v>
      </c>
      <c r="M3037">
        <v>0</v>
      </c>
      <c r="N3037">
        <v>1</v>
      </c>
      <c r="O3037">
        <v>1</v>
      </c>
      <c r="P3037">
        <v>1</v>
      </c>
      <c r="Q3037">
        <v>1</v>
      </c>
      <c r="R3037">
        <v>1</v>
      </c>
      <c r="U3037">
        <v>0</v>
      </c>
      <c r="V3037">
        <v>1</v>
      </c>
      <c r="W3037">
        <v>1</v>
      </c>
      <c r="X3037">
        <v>1</v>
      </c>
      <c r="Y3037">
        <v>1</v>
      </c>
      <c r="Z3037">
        <v>1</v>
      </c>
      <c r="AA3037">
        <v>1</v>
      </c>
      <c r="AB3037">
        <v>1</v>
      </c>
    </row>
    <row r="3038" spans="1:28" x14ac:dyDescent="0.25">
      <c r="A3038" t="str">
        <f>"3034"</f>
        <v>3034</v>
      </c>
      <c r="B3038" t="str">
        <f t="shared" ref="B3038:B3101" si="176">"1"</f>
        <v>1</v>
      </c>
      <c r="C3038" t="str">
        <f t="shared" si="175"/>
        <v>134</v>
      </c>
      <c r="D3038" t="str">
        <f>"17"</f>
        <v>17</v>
      </c>
      <c r="E3038" t="str">
        <f>"1-134-17"</f>
        <v>1-134-17</v>
      </c>
      <c r="F3038" t="s">
        <v>83</v>
      </c>
      <c r="G3038" t="s">
        <v>86</v>
      </c>
      <c r="H3038" t="s">
        <v>93</v>
      </c>
      <c r="I3038">
        <v>1</v>
      </c>
      <c r="K3038">
        <v>0</v>
      </c>
      <c r="L3038">
        <v>0</v>
      </c>
      <c r="M3038">
        <v>1</v>
      </c>
      <c r="N3038">
        <v>1</v>
      </c>
      <c r="O3038">
        <v>1</v>
      </c>
      <c r="P3038">
        <v>1</v>
      </c>
      <c r="Q3038">
        <v>1</v>
      </c>
      <c r="R3038">
        <v>1</v>
      </c>
      <c r="U3038">
        <v>0</v>
      </c>
      <c r="V3038">
        <v>1</v>
      </c>
      <c r="W3038">
        <v>1</v>
      </c>
      <c r="X3038">
        <v>1</v>
      </c>
      <c r="Y3038">
        <v>1</v>
      </c>
      <c r="Z3038">
        <v>1</v>
      </c>
      <c r="AA3038">
        <v>1</v>
      </c>
      <c r="AB3038">
        <v>1</v>
      </c>
    </row>
    <row r="3039" spans="1:28" x14ac:dyDescent="0.25">
      <c r="A3039" t="str">
        <f>"3035"</f>
        <v>3035</v>
      </c>
      <c r="B3039" t="str">
        <f t="shared" si="176"/>
        <v>1</v>
      </c>
      <c r="C3039" t="str">
        <f t="shared" si="175"/>
        <v>134</v>
      </c>
      <c r="D3039" t="str">
        <f>"11"</f>
        <v>11</v>
      </c>
      <c r="E3039" t="str">
        <f>"1-134-11"</f>
        <v>1-134-11</v>
      </c>
      <c r="F3039" t="s">
        <v>83</v>
      </c>
      <c r="G3039" t="s">
        <v>86</v>
      </c>
      <c r="H3039" t="s">
        <v>93</v>
      </c>
      <c r="I3039">
        <v>1</v>
      </c>
      <c r="K3039">
        <v>0</v>
      </c>
      <c r="L3039">
        <v>0</v>
      </c>
      <c r="M3039">
        <v>1</v>
      </c>
      <c r="N3039">
        <v>1</v>
      </c>
      <c r="O3039">
        <v>1</v>
      </c>
      <c r="P3039">
        <v>1</v>
      </c>
      <c r="Q3039">
        <v>1</v>
      </c>
      <c r="R3039">
        <v>1</v>
      </c>
      <c r="U3039">
        <v>0</v>
      </c>
      <c r="V3039">
        <v>1</v>
      </c>
      <c r="W3039">
        <v>0</v>
      </c>
      <c r="X3039">
        <v>0</v>
      </c>
      <c r="Y3039">
        <v>0</v>
      </c>
      <c r="Z3039">
        <v>0</v>
      </c>
      <c r="AA3039">
        <v>0</v>
      </c>
      <c r="AB3039">
        <v>0</v>
      </c>
    </row>
    <row r="3040" spans="1:28" x14ac:dyDescent="0.25">
      <c r="A3040" t="str">
        <f>"3036"</f>
        <v>3036</v>
      </c>
      <c r="B3040" t="str">
        <f t="shared" si="176"/>
        <v>1</v>
      </c>
      <c r="C3040" t="str">
        <f t="shared" si="175"/>
        <v>134</v>
      </c>
      <c r="D3040" t="str">
        <f>"3"</f>
        <v>3</v>
      </c>
      <c r="E3040" t="str">
        <f>"1-134-3"</f>
        <v>1-134-3</v>
      </c>
      <c r="F3040" t="s">
        <v>83</v>
      </c>
      <c r="G3040" t="s">
        <v>86</v>
      </c>
      <c r="H3040" t="s">
        <v>93</v>
      </c>
      <c r="I3040">
        <v>1</v>
      </c>
      <c r="K3040">
        <v>1</v>
      </c>
      <c r="L3040">
        <v>0</v>
      </c>
      <c r="M3040">
        <v>0</v>
      </c>
      <c r="N3040">
        <v>1</v>
      </c>
      <c r="O3040">
        <v>1</v>
      </c>
      <c r="P3040">
        <v>1</v>
      </c>
      <c r="Q3040">
        <v>1</v>
      </c>
      <c r="R3040">
        <v>1</v>
      </c>
      <c r="U3040">
        <v>0</v>
      </c>
      <c r="V3040">
        <v>1</v>
      </c>
      <c r="W3040">
        <v>1</v>
      </c>
      <c r="X3040">
        <v>1</v>
      </c>
      <c r="Y3040">
        <v>1</v>
      </c>
      <c r="Z3040">
        <v>1</v>
      </c>
      <c r="AA3040">
        <v>1</v>
      </c>
      <c r="AB3040">
        <v>1</v>
      </c>
    </row>
    <row r="3041" spans="1:28" x14ac:dyDescent="0.25">
      <c r="A3041" t="str">
        <f>"3037"</f>
        <v>3037</v>
      </c>
      <c r="B3041" t="str">
        <f t="shared" si="176"/>
        <v>1</v>
      </c>
      <c r="C3041" t="str">
        <f t="shared" si="175"/>
        <v>134</v>
      </c>
      <c r="D3041" t="str">
        <f>"21"</f>
        <v>21</v>
      </c>
      <c r="E3041" t="str">
        <f>"1-134-21"</f>
        <v>1-134-21</v>
      </c>
      <c r="F3041" t="s">
        <v>83</v>
      </c>
      <c r="G3041" t="s">
        <v>86</v>
      </c>
      <c r="H3041" t="s">
        <v>93</v>
      </c>
      <c r="I3041">
        <v>1</v>
      </c>
      <c r="K3041">
        <v>0</v>
      </c>
      <c r="L3041">
        <v>0</v>
      </c>
      <c r="M3041">
        <v>1</v>
      </c>
      <c r="N3041">
        <v>1</v>
      </c>
      <c r="O3041">
        <v>1</v>
      </c>
      <c r="P3041">
        <v>1</v>
      </c>
      <c r="Q3041">
        <v>1</v>
      </c>
      <c r="R3041">
        <v>1</v>
      </c>
      <c r="U3041">
        <v>0</v>
      </c>
      <c r="V3041">
        <v>1</v>
      </c>
      <c r="W3041">
        <v>1</v>
      </c>
      <c r="X3041">
        <v>1</v>
      </c>
      <c r="Y3041">
        <v>1</v>
      </c>
      <c r="Z3041">
        <v>1</v>
      </c>
      <c r="AA3041">
        <v>1</v>
      </c>
      <c r="AB3041">
        <v>1</v>
      </c>
    </row>
    <row r="3042" spans="1:28" x14ac:dyDescent="0.25">
      <c r="A3042" t="str">
        <f>"3038"</f>
        <v>3038</v>
      </c>
      <c r="B3042" t="str">
        <f t="shared" si="176"/>
        <v>1</v>
      </c>
      <c r="C3042" t="str">
        <f t="shared" si="175"/>
        <v>134</v>
      </c>
      <c r="D3042" t="str">
        <f>"12"</f>
        <v>12</v>
      </c>
      <c r="E3042" t="str">
        <f>"1-134-12"</f>
        <v>1-134-12</v>
      </c>
      <c r="F3042" t="s">
        <v>83</v>
      </c>
      <c r="G3042" t="s">
        <v>86</v>
      </c>
      <c r="H3042" t="s">
        <v>93</v>
      </c>
      <c r="I3042">
        <v>1</v>
      </c>
      <c r="K3042">
        <v>1</v>
      </c>
      <c r="L3042">
        <v>0</v>
      </c>
      <c r="M3042">
        <v>0</v>
      </c>
      <c r="N3042">
        <v>1</v>
      </c>
      <c r="O3042">
        <v>1</v>
      </c>
      <c r="P3042">
        <v>1</v>
      </c>
      <c r="Q3042">
        <v>1</v>
      </c>
      <c r="R3042">
        <v>1</v>
      </c>
      <c r="U3042">
        <v>1</v>
      </c>
      <c r="V3042">
        <v>0</v>
      </c>
      <c r="W3042">
        <v>1</v>
      </c>
      <c r="X3042">
        <v>1</v>
      </c>
      <c r="Y3042">
        <v>1</v>
      </c>
      <c r="Z3042">
        <v>1</v>
      </c>
      <c r="AA3042">
        <v>1</v>
      </c>
      <c r="AB3042">
        <v>1</v>
      </c>
    </row>
    <row r="3043" spans="1:28" x14ac:dyDescent="0.25">
      <c r="A3043" t="str">
        <f>"3039"</f>
        <v>3039</v>
      </c>
      <c r="B3043" t="str">
        <f t="shared" si="176"/>
        <v>1</v>
      </c>
      <c r="C3043" t="str">
        <f t="shared" si="175"/>
        <v>134</v>
      </c>
      <c r="D3043" t="str">
        <f>"6"</f>
        <v>6</v>
      </c>
      <c r="E3043" t="str">
        <f>"1-134-6"</f>
        <v>1-134-6</v>
      </c>
      <c r="F3043" t="s">
        <v>83</v>
      </c>
      <c r="G3043" t="s">
        <v>86</v>
      </c>
      <c r="H3043" t="s">
        <v>93</v>
      </c>
      <c r="I3043">
        <v>1</v>
      </c>
      <c r="K3043">
        <v>0</v>
      </c>
      <c r="L3043">
        <v>0</v>
      </c>
      <c r="M3043">
        <v>1</v>
      </c>
      <c r="N3043">
        <v>1</v>
      </c>
      <c r="O3043">
        <v>1</v>
      </c>
      <c r="P3043">
        <v>1</v>
      </c>
      <c r="Q3043">
        <v>1</v>
      </c>
      <c r="R3043">
        <v>1</v>
      </c>
      <c r="U3043">
        <v>1</v>
      </c>
      <c r="V3043">
        <v>0</v>
      </c>
      <c r="W3043">
        <v>1</v>
      </c>
      <c r="X3043">
        <v>1</v>
      </c>
      <c r="Y3043">
        <v>1</v>
      </c>
      <c r="Z3043">
        <v>1</v>
      </c>
      <c r="AA3043">
        <v>1</v>
      </c>
      <c r="AB3043">
        <v>1</v>
      </c>
    </row>
    <row r="3044" spans="1:28" x14ac:dyDescent="0.25">
      <c r="A3044" t="str">
        <f>"3040"</f>
        <v>3040</v>
      </c>
      <c r="B3044" t="str">
        <f t="shared" si="176"/>
        <v>1</v>
      </c>
      <c r="C3044" t="str">
        <f t="shared" si="175"/>
        <v>134</v>
      </c>
      <c r="D3044" t="str">
        <f>"20"</f>
        <v>20</v>
      </c>
      <c r="E3044" t="str">
        <f>"1-134-20"</f>
        <v>1-134-20</v>
      </c>
      <c r="F3044" t="s">
        <v>83</v>
      </c>
      <c r="G3044" t="s">
        <v>86</v>
      </c>
      <c r="H3044" t="s">
        <v>93</v>
      </c>
      <c r="I3044">
        <v>1</v>
      </c>
      <c r="K3044">
        <v>0</v>
      </c>
      <c r="L3044">
        <v>0</v>
      </c>
      <c r="M3044">
        <v>1</v>
      </c>
      <c r="N3044">
        <v>1</v>
      </c>
      <c r="O3044">
        <v>1</v>
      </c>
      <c r="P3044">
        <v>1</v>
      </c>
      <c r="Q3044">
        <v>1</v>
      </c>
      <c r="R3044">
        <v>1</v>
      </c>
      <c r="U3044">
        <v>1</v>
      </c>
      <c r="V3044">
        <v>0</v>
      </c>
      <c r="W3044">
        <v>0</v>
      </c>
      <c r="X3044">
        <v>1</v>
      </c>
      <c r="Y3044">
        <v>1</v>
      </c>
      <c r="Z3044">
        <v>1</v>
      </c>
      <c r="AA3044">
        <v>1</v>
      </c>
      <c r="AB3044">
        <v>1</v>
      </c>
    </row>
    <row r="3045" spans="1:28" x14ac:dyDescent="0.25">
      <c r="A3045" t="str">
        <f>"3041"</f>
        <v>3041</v>
      </c>
      <c r="B3045" t="str">
        <f t="shared" si="176"/>
        <v>1</v>
      </c>
      <c r="C3045" t="str">
        <f t="shared" si="175"/>
        <v>134</v>
      </c>
      <c r="D3045" t="str">
        <f>"13"</f>
        <v>13</v>
      </c>
      <c r="E3045" t="str">
        <f>"1-134-13"</f>
        <v>1-134-13</v>
      </c>
      <c r="F3045" t="s">
        <v>83</v>
      </c>
      <c r="G3045" t="s">
        <v>86</v>
      </c>
      <c r="H3045" t="s">
        <v>93</v>
      </c>
      <c r="I3045">
        <v>1</v>
      </c>
      <c r="K3045">
        <v>0</v>
      </c>
      <c r="L3045">
        <v>0</v>
      </c>
      <c r="M3045">
        <v>1</v>
      </c>
      <c r="N3045">
        <v>1</v>
      </c>
      <c r="O3045">
        <v>1</v>
      </c>
      <c r="P3045">
        <v>1</v>
      </c>
      <c r="Q3045">
        <v>1</v>
      </c>
      <c r="R3045">
        <v>1</v>
      </c>
      <c r="U3045">
        <v>1</v>
      </c>
      <c r="V3045">
        <v>0</v>
      </c>
      <c r="W3045">
        <v>1</v>
      </c>
      <c r="X3045">
        <v>1</v>
      </c>
      <c r="Y3045">
        <v>1</v>
      </c>
      <c r="Z3045">
        <v>1</v>
      </c>
      <c r="AA3045">
        <v>1</v>
      </c>
      <c r="AB3045">
        <v>1</v>
      </c>
    </row>
    <row r="3046" spans="1:28" x14ac:dyDescent="0.25">
      <c r="A3046" t="str">
        <f>"3042"</f>
        <v>3042</v>
      </c>
      <c r="B3046" t="str">
        <f t="shared" si="176"/>
        <v>1</v>
      </c>
      <c r="C3046" t="str">
        <f t="shared" si="175"/>
        <v>134</v>
      </c>
      <c r="D3046" t="str">
        <f>"1"</f>
        <v>1</v>
      </c>
      <c r="E3046" t="str">
        <f>"1-134-1"</f>
        <v>1-134-1</v>
      </c>
      <c r="F3046" t="s">
        <v>83</v>
      </c>
      <c r="G3046" t="s">
        <v>86</v>
      </c>
      <c r="H3046" t="s">
        <v>93</v>
      </c>
      <c r="I3046">
        <v>1</v>
      </c>
      <c r="K3046">
        <v>0</v>
      </c>
      <c r="L3046">
        <v>0</v>
      </c>
      <c r="M3046">
        <v>1</v>
      </c>
      <c r="N3046">
        <v>1</v>
      </c>
      <c r="O3046">
        <v>1</v>
      </c>
      <c r="P3046">
        <v>1</v>
      </c>
      <c r="Q3046">
        <v>1</v>
      </c>
      <c r="R3046">
        <v>1</v>
      </c>
      <c r="U3046">
        <v>1</v>
      </c>
      <c r="V3046">
        <v>0</v>
      </c>
      <c r="W3046">
        <v>1</v>
      </c>
      <c r="X3046">
        <v>1</v>
      </c>
      <c r="Y3046">
        <v>1</v>
      </c>
      <c r="Z3046">
        <v>1</v>
      </c>
      <c r="AA3046">
        <v>1</v>
      </c>
      <c r="AB3046">
        <v>1</v>
      </c>
    </row>
    <row r="3047" spans="1:28" x14ac:dyDescent="0.25">
      <c r="A3047" t="str">
        <f>"3043"</f>
        <v>3043</v>
      </c>
      <c r="B3047" t="str">
        <f t="shared" si="176"/>
        <v>1</v>
      </c>
      <c r="C3047" t="str">
        <f t="shared" si="175"/>
        <v>134</v>
      </c>
      <c r="D3047" t="str">
        <f>"16"</f>
        <v>16</v>
      </c>
      <c r="E3047" t="str">
        <f>"1-134-16"</f>
        <v>1-134-16</v>
      </c>
      <c r="F3047" t="s">
        <v>83</v>
      </c>
      <c r="G3047" t="s">
        <v>86</v>
      </c>
      <c r="H3047" t="s">
        <v>93</v>
      </c>
      <c r="I3047">
        <v>1</v>
      </c>
      <c r="K3047">
        <v>0</v>
      </c>
      <c r="L3047">
        <v>0</v>
      </c>
      <c r="M3047">
        <v>1</v>
      </c>
      <c r="N3047">
        <v>1</v>
      </c>
      <c r="O3047">
        <v>1</v>
      </c>
      <c r="P3047">
        <v>1</v>
      </c>
      <c r="Q3047">
        <v>1</v>
      </c>
      <c r="R3047">
        <v>1</v>
      </c>
      <c r="U3047">
        <v>1</v>
      </c>
      <c r="V3047">
        <v>0</v>
      </c>
      <c r="W3047">
        <v>1</v>
      </c>
      <c r="X3047">
        <v>1</v>
      </c>
      <c r="Y3047">
        <v>1</v>
      </c>
      <c r="Z3047">
        <v>1</v>
      </c>
      <c r="AA3047">
        <v>1</v>
      </c>
      <c r="AB3047">
        <v>1</v>
      </c>
    </row>
    <row r="3048" spans="1:28" x14ac:dyDescent="0.25">
      <c r="A3048" t="str">
        <f>"3044"</f>
        <v>3044</v>
      </c>
      <c r="B3048" t="str">
        <f t="shared" si="176"/>
        <v>1</v>
      </c>
      <c r="C3048" t="str">
        <f t="shared" si="175"/>
        <v>134</v>
      </c>
      <c r="D3048" t="str">
        <f>"2"</f>
        <v>2</v>
      </c>
      <c r="E3048" t="str">
        <f>"1-134-2"</f>
        <v>1-134-2</v>
      </c>
      <c r="F3048" t="s">
        <v>83</v>
      </c>
      <c r="G3048" t="s">
        <v>86</v>
      </c>
      <c r="H3048" t="s">
        <v>93</v>
      </c>
      <c r="I3048">
        <v>1</v>
      </c>
      <c r="K3048">
        <v>1</v>
      </c>
      <c r="L3048">
        <v>0</v>
      </c>
      <c r="M3048">
        <v>0</v>
      </c>
      <c r="N3048">
        <v>1</v>
      </c>
      <c r="O3048">
        <v>1</v>
      </c>
      <c r="P3048">
        <v>1</v>
      </c>
      <c r="Q3048">
        <v>1</v>
      </c>
      <c r="R3048">
        <v>1</v>
      </c>
      <c r="U3048">
        <v>0</v>
      </c>
      <c r="V3048">
        <v>1</v>
      </c>
      <c r="W3048">
        <v>0</v>
      </c>
      <c r="X3048">
        <v>1</v>
      </c>
      <c r="Y3048">
        <v>1</v>
      </c>
      <c r="Z3048">
        <v>1</v>
      </c>
      <c r="AA3048">
        <v>0</v>
      </c>
      <c r="AB3048">
        <v>0</v>
      </c>
    </row>
    <row r="3049" spans="1:28" x14ac:dyDescent="0.25">
      <c r="A3049" t="str">
        <f>"3045"</f>
        <v>3045</v>
      </c>
      <c r="B3049" t="str">
        <f t="shared" si="176"/>
        <v>1</v>
      </c>
      <c r="C3049" t="str">
        <f t="shared" si="175"/>
        <v>134</v>
      </c>
      <c r="D3049" t="str">
        <f>"19"</f>
        <v>19</v>
      </c>
      <c r="E3049" t="str">
        <f>"1-134-19"</f>
        <v>1-134-19</v>
      </c>
      <c r="F3049" t="s">
        <v>83</v>
      </c>
      <c r="G3049" t="s">
        <v>86</v>
      </c>
      <c r="H3049" t="s">
        <v>93</v>
      </c>
      <c r="I3049">
        <v>1</v>
      </c>
      <c r="K3049">
        <v>0</v>
      </c>
      <c r="L3049">
        <v>0</v>
      </c>
      <c r="M3049">
        <v>1</v>
      </c>
      <c r="N3049">
        <v>1</v>
      </c>
      <c r="O3049">
        <v>1</v>
      </c>
      <c r="P3049">
        <v>1</v>
      </c>
      <c r="Q3049">
        <v>1</v>
      </c>
      <c r="R3049">
        <v>1</v>
      </c>
      <c r="U3049">
        <v>0</v>
      </c>
      <c r="V3049">
        <v>1</v>
      </c>
      <c r="W3049">
        <v>1</v>
      </c>
      <c r="X3049">
        <v>1</v>
      </c>
      <c r="Y3049">
        <v>1</v>
      </c>
      <c r="Z3049">
        <v>1</v>
      </c>
      <c r="AA3049">
        <v>1</v>
      </c>
      <c r="AB3049">
        <v>1</v>
      </c>
    </row>
    <row r="3050" spans="1:28" x14ac:dyDescent="0.25">
      <c r="A3050" t="str">
        <f>"3046"</f>
        <v>3046</v>
      </c>
      <c r="B3050" t="str">
        <f t="shared" si="176"/>
        <v>1</v>
      </c>
      <c r="C3050" t="str">
        <f t="shared" si="175"/>
        <v>134</v>
      </c>
      <c r="D3050" t="str">
        <f>"5"</f>
        <v>5</v>
      </c>
      <c r="E3050" t="str">
        <f>"1-134-5"</f>
        <v>1-134-5</v>
      </c>
      <c r="F3050" t="s">
        <v>83</v>
      </c>
      <c r="G3050" t="s">
        <v>86</v>
      </c>
      <c r="H3050" t="s">
        <v>93</v>
      </c>
      <c r="I3050">
        <v>1</v>
      </c>
      <c r="K3050">
        <v>1</v>
      </c>
      <c r="L3050">
        <v>0</v>
      </c>
      <c r="M3050">
        <v>0</v>
      </c>
      <c r="N3050">
        <v>1</v>
      </c>
      <c r="O3050">
        <v>1</v>
      </c>
      <c r="P3050">
        <v>1</v>
      </c>
      <c r="Q3050">
        <v>1</v>
      </c>
      <c r="R3050">
        <v>1</v>
      </c>
      <c r="U3050">
        <v>0</v>
      </c>
      <c r="V3050">
        <v>1</v>
      </c>
      <c r="W3050">
        <v>1</v>
      </c>
      <c r="X3050">
        <v>1</v>
      </c>
      <c r="Y3050">
        <v>1</v>
      </c>
      <c r="Z3050">
        <v>1</v>
      </c>
      <c r="AA3050">
        <v>1</v>
      </c>
      <c r="AB3050">
        <v>1</v>
      </c>
    </row>
    <row r="3051" spans="1:28" x14ac:dyDescent="0.25">
      <c r="A3051" t="str">
        <f>"3047"</f>
        <v>3047</v>
      </c>
      <c r="B3051" t="str">
        <f t="shared" si="176"/>
        <v>1</v>
      </c>
      <c r="C3051" t="str">
        <f t="shared" ref="C3051:C3075" si="177">"135"</f>
        <v>135</v>
      </c>
      <c r="D3051" t="str">
        <f>"23"</f>
        <v>23</v>
      </c>
      <c r="E3051" t="str">
        <f>"1-135-23"</f>
        <v>1-135-23</v>
      </c>
      <c r="F3051" t="s">
        <v>83</v>
      </c>
      <c r="G3051" t="s">
        <v>86</v>
      </c>
      <c r="H3051" t="s">
        <v>93</v>
      </c>
      <c r="I3051">
        <v>1</v>
      </c>
      <c r="K3051">
        <v>0</v>
      </c>
      <c r="L3051">
        <v>0</v>
      </c>
      <c r="M3051">
        <v>1</v>
      </c>
      <c r="N3051">
        <v>1</v>
      </c>
      <c r="O3051">
        <v>1</v>
      </c>
      <c r="P3051">
        <v>1</v>
      </c>
      <c r="Q3051">
        <v>1</v>
      </c>
      <c r="R3051">
        <v>1</v>
      </c>
      <c r="U3051">
        <v>0</v>
      </c>
      <c r="V3051">
        <v>1</v>
      </c>
      <c r="W3051">
        <v>1</v>
      </c>
      <c r="X3051">
        <v>1</v>
      </c>
      <c r="Y3051">
        <v>1</v>
      </c>
      <c r="Z3051">
        <v>1</v>
      </c>
      <c r="AA3051">
        <v>1</v>
      </c>
      <c r="AB3051">
        <v>1</v>
      </c>
    </row>
    <row r="3052" spans="1:28" x14ac:dyDescent="0.25">
      <c r="A3052" t="str">
        <f>"3048"</f>
        <v>3048</v>
      </c>
      <c r="B3052" t="str">
        <f t="shared" si="176"/>
        <v>1</v>
      </c>
      <c r="C3052" t="str">
        <f t="shared" si="177"/>
        <v>135</v>
      </c>
      <c r="D3052" t="str">
        <f>"22"</f>
        <v>22</v>
      </c>
      <c r="E3052" t="str">
        <f>"1-135-22"</f>
        <v>1-135-22</v>
      </c>
      <c r="F3052" t="s">
        <v>83</v>
      </c>
      <c r="G3052" t="s">
        <v>86</v>
      </c>
      <c r="H3052" t="s">
        <v>93</v>
      </c>
      <c r="I3052">
        <v>1</v>
      </c>
      <c r="K3052">
        <v>1</v>
      </c>
      <c r="L3052">
        <v>0</v>
      </c>
      <c r="M3052">
        <v>0</v>
      </c>
      <c r="N3052">
        <v>1</v>
      </c>
      <c r="O3052">
        <v>1</v>
      </c>
      <c r="P3052">
        <v>1</v>
      </c>
      <c r="Q3052">
        <v>1</v>
      </c>
      <c r="R3052">
        <v>1</v>
      </c>
      <c r="U3052">
        <v>0</v>
      </c>
      <c r="V3052">
        <v>1</v>
      </c>
      <c r="W3052">
        <v>1</v>
      </c>
      <c r="X3052">
        <v>1</v>
      </c>
      <c r="Y3052">
        <v>1</v>
      </c>
      <c r="Z3052">
        <v>1</v>
      </c>
      <c r="AA3052">
        <v>1</v>
      </c>
      <c r="AB3052">
        <v>1</v>
      </c>
    </row>
    <row r="3053" spans="1:28" x14ac:dyDescent="0.25">
      <c r="A3053" t="str">
        <f>"3049"</f>
        <v>3049</v>
      </c>
      <c r="B3053" t="str">
        <f t="shared" si="176"/>
        <v>1</v>
      </c>
      <c r="C3053" t="str">
        <f t="shared" si="177"/>
        <v>135</v>
      </c>
      <c r="D3053" t="str">
        <f>"15"</f>
        <v>15</v>
      </c>
      <c r="E3053" t="str">
        <f>"1-135-15"</f>
        <v>1-135-15</v>
      </c>
      <c r="F3053" t="s">
        <v>83</v>
      </c>
      <c r="G3053" t="s">
        <v>84</v>
      </c>
      <c r="H3053" t="s">
        <v>92</v>
      </c>
      <c r="I3053">
        <v>1</v>
      </c>
      <c r="J3053">
        <v>1</v>
      </c>
      <c r="N3053">
        <v>1</v>
      </c>
      <c r="O3053">
        <v>1</v>
      </c>
      <c r="P3053">
        <v>1</v>
      </c>
      <c r="Q3053">
        <v>1</v>
      </c>
      <c r="R3053">
        <v>1</v>
      </c>
      <c r="S3053">
        <v>1</v>
      </c>
      <c r="T3053">
        <v>1</v>
      </c>
      <c r="W3053">
        <v>1</v>
      </c>
      <c r="X3053">
        <v>1</v>
      </c>
      <c r="Y3053">
        <v>1</v>
      </c>
      <c r="Z3053">
        <v>1</v>
      </c>
      <c r="AA3053">
        <v>1</v>
      </c>
      <c r="AB3053">
        <v>1</v>
      </c>
    </row>
    <row r="3054" spans="1:28" x14ac:dyDescent="0.25">
      <c r="A3054" t="str">
        <f>"3050"</f>
        <v>3050</v>
      </c>
      <c r="B3054" t="str">
        <f t="shared" si="176"/>
        <v>1</v>
      </c>
      <c r="C3054" t="str">
        <f t="shared" si="177"/>
        <v>135</v>
      </c>
      <c r="D3054" t="str">
        <f>"14"</f>
        <v>14</v>
      </c>
      <c r="E3054" t="str">
        <f>"1-135-14"</f>
        <v>1-135-14</v>
      </c>
      <c r="F3054" t="s">
        <v>83</v>
      </c>
      <c r="G3054" t="s">
        <v>84</v>
      </c>
      <c r="H3054" t="s">
        <v>92</v>
      </c>
      <c r="I3054">
        <v>1</v>
      </c>
      <c r="J3054">
        <v>1</v>
      </c>
      <c r="N3054">
        <v>1</v>
      </c>
      <c r="O3054">
        <v>1</v>
      </c>
      <c r="P3054">
        <v>1</v>
      </c>
      <c r="Q3054">
        <v>1</v>
      </c>
      <c r="R3054">
        <v>1</v>
      </c>
      <c r="S3054">
        <v>1</v>
      </c>
      <c r="T3054">
        <v>1</v>
      </c>
      <c r="W3054">
        <v>1</v>
      </c>
      <c r="X3054">
        <v>1</v>
      </c>
      <c r="Y3054">
        <v>1</v>
      </c>
      <c r="Z3054">
        <v>1</v>
      </c>
      <c r="AA3054">
        <v>1</v>
      </c>
      <c r="AB3054">
        <v>1</v>
      </c>
    </row>
    <row r="3055" spans="1:28" x14ac:dyDescent="0.25">
      <c r="A3055" t="str">
        <f>"3051"</f>
        <v>3051</v>
      </c>
      <c r="B3055" t="str">
        <f t="shared" si="176"/>
        <v>1</v>
      </c>
      <c r="C3055" t="str">
        <f t="shared" si="177"/>
        <v>135</v>
      </c>
      <c r="D3055" t="str">
        <f>"11"</f>
        <v>11</v>
      </c>
      <c r="E3055" t="str">
        <f>"1-135-11"</f>
        <v>1-135-11</v>
      </c>
      <c r="F3055" t="s">
        <v>83</v>
      </c>
      <c r="G3055" t="s">
        <v>84</v>
      </c>
      <c r="H3055" t="s">
        <v>92</v>
      </c>
      <c r="I3055">
        <v>1</v>
      </c>
      <c r="J3055">
        <v>1</v>
      </c>
      <c r="N3055">
        <v>1</v>
      </c>
      <c r="O3055">
        <v>1</v>
      </c>
      <c r="P3055">
        <v>1</v>
      </c>
      <c r="Q3055">
        <v>1</v>
      </c>
      <c r="R3055">
        <v>1</v>
      </c>
      <c r="S3055">
        <v>1</v>
      </c>
      <c r="T3055">
        <v>1</v>
      </c>
      <c r="W3055">
        <v>0</v>
      </c>
      <c r="X3055">
        <v>1</v>
      </c>
      <c r="Y3055">
        <v>0</v>
      </c>
      <c r="Z3055">
        <v>1</v>
      </c>
      <c r="AA3055">
        <v>1</v>
      </c>
      <c r="AB3055">
        <v>1</v>
      </c>
    </row>
    <row r="3056" spans="1:28" x14ac:dyDescent="0.25">
      <c r="A3056" t="str">
        <f>"3052"</f>
        <v>3052</v>
      </c>
      <c r="B3056" t="str">
        <f t="shared" si="176"/>
        <v>1</v>
      </c>
      <c r="C3056" t="str">
        <f t="shared" si="177"/>
        <v>135</v>
      </c>
      <c r="D3056" t="str">
        <f>"8"</f>
        <v>8</v>
      </c>
      <c r="E3056" t="str">
        <f>"1-135-8"</f>
        <v>1-135-8</v>
      </c>
      <c r="F3056" t="s">
        <v>83</v>
      </c>
      <c r="G3056" t="s">
        <v>84</v>
      </c>
      <c r="H3056" t="s">
        <v>92</v>
      </c>
      <c r="I3056">
        <v>1</v>
      </c>
      <c r="J3056">
        <v>1</v>
      </c>
      <c r="N3056">
        <v>1</v>
      </c>
      <c r="O3056">
        <v>1</v>
      </c>
      <c r="P3056">
        <v>1</v>
      </c>
      <c r="Q3056">
        <v>1</v>
      </c>
      <c r="R3056">
        <v>1</v>
      </c>
      <c r="S3056">
        <v>1</v>
      </c>
      <c r="T3056">
        <v>1</v>
      </c>
      <c r="W3056">
        <v>1</v>
      </c>
      <c r="X3056">
        <v>1</v>
      </c>
      <c r="Y3056">
        <v>1</v>
      </c>
      <c r="Z3056">
        <v>1</v>
      </c>
      <c r="AA3056">
        <v>1</v>
      </c>
      <c r="AB3056">
        <v>1</v>
      </c>
    </row>
    <row r="3057" spans="1:28" x14ac:dyDescent="0.25">
      <c r="A3057" t="str">
        <f>"3053"</f>
        <v>3053</v>
      </c>
      <c r="B3057" t="str">
        <f t="shared" si="176"/>
        <v>1</v>
      </c>
      <c r="C3057" t="str">
        <f t="shared" si="177"/>
        <v>135</v>
      </c>
      <c r="D3057" t="str">
        <f>"7"</f>
        <v>7</v>
      </c>
      <c r="E3057" t="str">
        <f>"1-135-7"</f>
        <v>1-135-7</v>
      </c>
      <c r="F3057" t="s">
        <v>83</v>
      </c>
      <c r="G3057" t="s">
        <v>84</v>
      </c>
      <c r="H3057" t="s">
        <v>92</v>
      </c>
      <c r="I3057">
        <v>1</v>
      </c>
      <c r="J3057">
        <v>1</v>
      </c>
      <c r="N3057">
        <v>1</v>
      </c>
      <c r="O3057">
        <v>1</v>
      </c>
      <c r="P3057">
        <v>1</v>
      </c>
      <c r="Q3057">
        <v>1</v>
      </c>
      <c r="R3057">
        <v>1</v>
      </c>
      <c r="S3057">
        <v>1</v>
      </c>
      <c r="T3057">
        <v>1</v>
      </c>
      <c r="W3057">
        <v>1</v>
      </c>
      <c r="X3057">
        <v>1</v>
      </c>
      <c r="Y3057">
        <v>1</v>
      </c>
      <c r="Z3057">
        <v>1</v>
      </c>
      <c r="AA3057">
        <v>1</v>
      </c>
      <c r="AB3057">
        <v>1</v>
      </c>
    </row>
    <row r="3058" spans="1:28" x14ac:dyDescent="0.25">
      <c r="A3058" t="str">
        <f>"3054"</f>
        <v>3054</v>
      </c>
      <c r="B3058" t="str">
        <f t="shared" si="176"/>
        <v>1</v>
      </c>
      <c r="C3058" t="str">
        <f t="shared" si="177"/>
        <v>135</v>
      </c>
      <c r="D3058" t="str">
        <f>"25"</f>
        <v>25</v>
      </c>
      <c r="E3058" t="str">
        <f>"1-135-25"</f>
        <v>1-135-25</v>
      </c>
      <c r="F3058" t="s">
        <v>83</v>
      </c>
      <c r="G3058" t="s">
        <v>86</v>
      </c>
      <c r="H3058" t="s">
        <v>93</v>
      </c>
      <c r="I3058">
        <v>1</v>
      </c>
      <c r="K3058">
        <v>1</v>
      </c>
      <c r="L3058">
        <v>0</v>
      </c>
      <c r="M3058">
        <v>0</v>
      </c>
      <c r="N3058">
        <v>1</v>
      </c>
      <c r="O3058">
        <v>1</v>
      </c>
      <c r="P3058">
        <v>1</v>
      </c>
      <c r="Q3058">
        <v>1</v>
      </c>
      <c r="R3058">
        <v>1</v>
      </c>
      <c r="U3058">
        <v>0</v>
      </c>
      <c r="V3058">
        <v>1</v>
      </c>
      <c r="W3058">
        <v>1</v>
      </c>
      <c r="X3058">
        <v>1</v>
      </c>
      <c r="Y3058">
        <v>1</v>
      </c>
      <c r="Z3058">
        <v>1</v>
      </c>
      <c r="AA3058">
        <v>1</v>
      </c>
      <c r="AB3058">
        <v>1</v>
      </c>
    </row>
    <row r="3059" spans="1:28" x14ac:dyDescent="0.25">
      <c r="A3059" t="str">
        <f>"3055"</f>
        <v>3055</v>
      </c>
      <c r="B3059" t="str">
        <f t="shared" si="176"/>
        <v>1</v>
      </c>
      <c r="C3059" t="str">
        <f t="shared" si="177"/>
        <v>135</v>
      </c>
      <c r="D3059" t="str">
        <f>"24"</f>
        <v>24</v>
      </c>
      <c r="E3059" t="str">
        <f>"1-135-24"</f>
        <v>1-135-24</v>
      </c>
      <c r="F3059" t="s">
        <v>83</v>
      </c>
      <c r="G3059" t="s">
        <v>84</v>
      </c>
      <c r="H3059" t="s">
        <v>92</v>
      </c>
      <c r="I3059">
        <v>1</v>
      </c>
      <c r="J3059">
        <v>1</v>
      </c>
      <c r="N3059">
        <v>1</v>
      </c>
      <c r="O3059">
        <v>1</v>
      </c>
      <c r="P3059">
        <v>1</v>
      </c>
      <c r="Q3059">
        <v>1</v>
      </c>
      <c r="R3059">
        <v>1</v>
      </c>
      <c r="S3059">
        <v>1</v>
      </c>
      <c r="T3059">
        <v>1</v>
      </c>
      <c r="W3059">
        <v>1</v>
      </c>
      <c r="X3059">
        <v>1</v>
      </c>
      <c r="Y3059">
        <v>1</v>
      </c>
      <c r="Z3059">
        <v>1</v>
      </c>
      <c r="AA3059">
        <v>1</v>
      </c>
      <c r="AB3059">
        <v>1</v>
      </c>
    </row>
    <row r="3060" spans="1:28" x14ac:dyDescent="0.25">
      <c r="A3060" t="str">
        <f>"3056"</f>
        <v>3056</v>
      </c>
      <c r="B3060" t="str">
        <f t="shared" si="176"/>
        <v>1</v>
      </c>
      <c r="C3060" t="str">
        <f t="shared" si="177"/>
        <v>135</v>
      </c>
      <c r="D3060" t="str">
        <f>"16"</f>
        <v>16</v>
      </c>
      <c r="E3060" t="str">
        <f>"1-135-16"</f>
        <v>1-135-16</v>
      </c>
      <c r="F3060" t="s">
        <v>83</v>
      </c>
      <c r="G3060" t="s">
        <v>84</v>
      </c>
      <c r="H3060" t="s">
        <v>92</v>
      </c>
      <c r="I3060">
        <v>1</v>
      </c>
      <c r="J3060">
        <v>1</v>
      </c>
      <c r="N3060">
        <v>1</v>
      </c>
      <c r="O3060">
        <v>1</v>
      </c>
      <c r="P3060">
        <v>1</v>
      </c>
      <c r="Q3060">
        <v>1</v>
      </c>
      <c r="R3060">
        <v>1</v>
      </c>
      <c r="S3060">
        <v>1</v>
      </c>
      <c r="T3060">
        <v>1</v>
      </c>
      <c r="W3060">
        <v>1</v>
      </c>
      <c r="X3060">
        <v>1</v>
      </c>
      <c r="Y3060">
        <v>1</v>
      </c>
      <c r="Z3060">
        <v>1</v>
      </c>
      <c r="AA3060">
        <v>1</v>
      </c>
      <c r="AB3060">
        <v>1</v>
      </c>
    </row>
    <row r="3061" spans="1:28" x14ac:dyDescent="0.25">
      <c r="A3061" t="str">
        <f>"3057"</f>
        <v>3057</v>
      </c>
      <c r="B3061" t="str">
        <f t="shared" si="176"/>
        <v>1</v>
      </c>
      <c r="C3061" t="str">
        <f t="shared" si="177"/>
        <v>135</v>
      </c>
      <c r="D3061" t="str">
        <f>"9"</f>
        <v>9</v>
      </c>
      <c r="E3061" t="str">
        <f>"1-135-9"</f>
        <v>1-135-9</v>
      </c>
      <c r="F3061" t="s">
        <v>83</v>
      </c>
      <c r="G3061" t="s">
        <v>84</v>
      </c>
      <c r="H3061" t="s">
        <v>92</v>
      </c>
      <c r="I3061">
        <v>1</v>
      </c>
      <c r="J3061">
        <v>1</v>
      </c>
      <c r="N3061">
        <v>1</v>
      </c>
      <c r="O3061">
        <v>1</v>
      </c>
      <c r="P3061">
        <v>1</v>
      </c>
      <c r="Q3061">
        <v>1</v>
      </c>
      <c r="R3061">
        <v>1</v>
      </c>
      <c r="S3061">
        <v>1</v>
      </c>
      <c r="T3061">
        <v>1</v>
      </c>
      <c r="W3061">
        <v>1</v>
      </c>
      <c r="X3061">
        <v>1</v>
      </c>
      <c r="Y3061">
        <v>1</v>
      </c>
      <c r="Z3061">
        <v>1</v>
      </c>
      <c r="AA3061">
        <v>1</v>
      </c>
      <c r="AB3061">
        <v>1</v>
      </c>
    </row>
    <row r="3062" spans="1:28" x14ac:dyDescent="0.25">
      <c r="A3062" t="str">
        <f>"3058"</f>
        <v>3058</v>
      </c>
      <c r="B3062" t="str">
        <f t="shared" si="176"/>
        <v>1</v>
      </c>
      <c r="C3062" t="str">
        <f t="shared" si="177"/>
        <v>135</v>
      </c>
      <c r="D3062" t="str">
        <f>"2"</f>
        <v>2</v>
      </c>
      <c r="E3062" t="str">
        <f>"1-135-2"</f>
        <v>1-135-2</v>
      </c>
      <c r="F3062" t="s">
        <v>83</v>
      </c>
      <c r="G3062" t="s">
        <v>84</v>
      </c>
      <c r="H3062" t="s">
        <v>92</v>
      </c>
      <c r="I3062">
        <v>1</v>
      </c>
      <c r="J3062">
        <v>1</v>
      </c>
      <c r="N3062">
        <v>1</v>
      </c>
      <c r="O3062">
        <v>1</v>
      </c>
      <c r="P3062">
        <v>1</v>
      </c>
      <c r="Q3062">
        <v>1</v>
      </c>
      <c r="R3062">
        <v>0</v>
      </c>
      <c r="S3062">
        <v>0</v>
      </c>
      <c r="T3062">
        <v>0</v>
      </c>
      <c r="W3062">
        <v>1</v>
      </c>
      <c r="X3062">
        <v>1</v>
      </c>
      <c r="Y3062">
        <v>1</v>
      </c>
      <c r="Z3062">
        <v>1</v>
      </c>
      <c r="AA3062">
        <v>1</v>
      </c>
      <c r="AB3062">
        <v>1</v>
      </c>
    </row>
    <row r="3063" spans="1:28" x14ac:dyDescent="0.25">
      <c r="A3063" t="str">
        <f>"3059"</f>
        <v>3059</v>
      </c>
      <c r="B3063" t="str">
        <f t="shared" si="176"/>
        <v>1</v>
      </c>
      <c r="C3063" t="str">
        <f t="shared" si="177"/>
        <v>135</v>
      </c>
      <c r="D3063" t="str">
        <f>"17"</f>
        <v>17</v>
      </c>
      <c r="E3063" t="str">
        <f>"1-135-17"</f>
        <v>1-135-17</v>
      </c>
      <c r="F3063" t="s">
        <v>83</v>
      </c>
      <c r="G3063" t="s">
        <v>84</v>
      </c>
      <c r="H3063" t="s">
        <v>92</v>
      </c>
      <c r="I3063">
        <v>1</v>
      </c>
      <c r="J3063">
        <v>1</v>
      </c>
      <c r="N3063">
        <v>1</v>
      </c>
      <c r="O3063">
        <v>1</v>
      </c>
      <c r="P3063">
        <v>1</v>
      </c>
      <c r="Q3063">
        <v>1</v>
      </c>
      <c r="R3063">
        <v>1</v>
      </c>
      <c r="S3063">
        <v>1</v>
      </c>
      <c r="T3063">
        <v>1</v>
      </c>
      <c r="W3063">
        <v>1</v>
      </c>
      <c r="X3063">
        <v>1</v>
      </c>
      <c r="Y3063">
        <v>1</v>
      </c>
      <c r="Z3063">
        <v>1</v>
      </c>
      <c r="AA3063">
        <v>1</v>
      </c>
      <c r="AB3063">
        <v>1</v>
      </c>
    </row>
    <row r="3064" spans="1:28" x14ac:dyDescent="0.25">
      <c r="A3064" t="str">
        <f>"3060"</f>
        <v>3060</v>
      </c>
      <c r="B3064" t="str">
        <f t="shared" si="176"/>
        <v>1</v>
      </c>
      <c r="C3064" t="str">
        <f t="shared" si="177"/>
        <v>135</v>
      </c>
      <c r="D3064" t="str">
        <f>"10"</f>
        <v>10</v>
      </c>
      <c r="E3064" t="str">
        <f>"1-135-10"</f>
        <v>1-135-10</v>
      </c>
      <c r="F3064" t="s">
        <v>83</v>
      </c>
      <c r="G3064" t="s">
        <v>84</v>
      </c>
      <c r="H3064" t="s">
        <v>92</v>
      </c>
      <c r="I3064">
        <v>1</v>
      </c>
      <c r="J3064">
        <v>1</v>
      </c>
      <c r="N3064">
        <v>1</v>
      </c>
      <c r="O3064">
        <v>1</v>
      </c>
      <c r="P3064">
        <v>1</v>
      </c>
      <c r="Q3064">
        <v>1</v>
      </c>
      <c r="R3064">
        <v>1</v>
      </c>
      <c r="S3064">
        <v>1</v>
      </c>
      <c r="T3064">
        <v>1</v>
      </c>
      <c r="W3064">
        <v>1</v>
      </c>
      <c r="X3064">
        <v>1</v>
      </c>
      <c r="Y3064">
        <v>1</v>
      </c>
      <c r="Z3064">
        <v>1</v>
      </c>
      <c r="AA3064">
        <v>1</v>
      </c>
      <c r="AB3064">
        <v>1</v>
      </c>
    </row>
    <row r="3065" spans="1:28" x14ac:dyDescent="0.25">
      <c r="A3065" t="str">
        <f>"3061"</f>
        <v>3061</v>
      </c>
      <c r="B3065" t="str">
        <f t="shared" si="176"/>
        <v>1</v>
      </c>
      <c r="C3065" t="str">
        <f t="shared" si="177"/>
        <v>135</v>
      </c>
      <c r="D3065" t="str">
        <f>"5"</f>
        <v>5</v>
      </c>
      <c r="E3065" t="str">
        <f>"1-135-5"</f>
        <v>1-135-5</v>
      </c>
      <c r="F3065" t="s">
        <v>83</v>
      </c>
      <c r="G3065" t="s">
        <v>84</v>
      </c>
      <c r="H3065" t="s">
        <v>92</v>
      </c>
      <c r="I3065">
        <v>1</v>
      </c>
      <c r="J3065">
        <v>0</v>
      </c>
      <c r="N3065">
        <v>1</v>
      </c>
      <c r="O3065">
        <v>1</v>
      </c>
      <c r="P3065">
        <v>0</v>
      </c>
      <c r="Q3065">
        <v>0</v>
      </c>
      <c r="R3065">
        <v>0</v>
      </c>
      <c r="S3065">
        <v>0</v>
      </c>
      <c r="T3065">
        <v>0</v>
      </c>
      <c r="W3065">
        <v>0</v>
      </c>
      <c r="X3065">
        <v>1</v>
      </c>
      <c r="Y3065">
        <v>1</v>
      </c>
      <c r="Z3065">
        <v>0</v>
      </c>
      <c r="AA3065">
        <v>0</v>
      </c>
      <c r="AB3065">
        <v>1</v>
      </c>
    </row>
    <row r="3066" spans="1:28" x14ac:dyDescent="0.25">
      <c r="A3066" t="str">
        <f>"3062"</f>
        <v>3062</v>
      </c>
      <c r="B3066" t="str">
        <f t="shared" si="176"/>
        <v>1</v>
      </c>
      <c r="C3066" t="str">
        <f t="shared" si="177"/>
        <v>135</v>
      </c>
      <c r="D3066" t="str">
        <f>"20"</f>
        <v>20</v>
      </c>
      <c r="E3066" t="str">
        <f>"1-135-20"</f>
        <v>1-135-20</v>
      </c>
      <c r="F3066" t="s">
        <v>83</v>
      </c>
      <c r="G3066" t="s">
        <v>84</v>
      </c>
      <c r="H3066" t="s">
        <v>92</v>
      </c>
      <c r="I3066">
        <v>1</v>
      </c>
      <c r="J3066">
        <v>1</v>
      </c>
      <c r="N3066">
        <v>1</v>
      </c>
      <c r="O3066">
        <v>1</v>
      </c>
      <c r="P3066">
        <v>1</v>
      </c>
      <c r="Q3066">
        <v>1</v>
      </c>
      <c r="R3066">
        <v>1</v>
      </c>
      <c r="S3066">
        <v>1</v>
      </c>
      <c r="T3066">
        <v>1</v>
      </c>
      <c r="W3066">
        <v>1</v>
      </c>
      <c r="X3066">
        <v>1</v>
      </c>
      <c r="Y3066">
        <v>1</v>
      </c>
      <c r="Z3066">
        <v>1</v>
      </c>
      <c r="AA3066">
        <v>1</v>
      </c>
      <c r="AB3066">
        <v>1</v>
      </c>
    </row>
    <row r="3067" spans="1:28" x14ac:dyDescent="0.25">
      <c r="A3067" t="str">
        <f>"3063"</f>
        <v>3063</v>
      </c>
      <c r="B3067" t="str">
        <f t="shared" si="176"/>
        <v>1</v>
      </c>
      <c r="C3067" t="str">
        <f t="shared" si="177"/>
        <v>135</v>
      </c>
      <c r="D3067" t="str">
        <f>"12"</f>
        <v>12</v>
      </c>
      <c r="E3067" t="str">
        <f>"1-135-12"</f>
        <v>1-135-12</v>
      </c>
      <c r="F3067" t="s">
        <v>83</v>
      </c>
      <c r="G3067" t="s">
        <v>84</v>
      </c>
      <c r="H3067" t="s">
        <v>92</v>
      </c>
      <c r="I3067">
        <v>1</v>
      </c>
      <c r="J3067">
        <v>1</v>
      </c>
      <c r="N3067">
        <v>1</v>
      </c>
      <c r="O3067">
        <v>1</v>
      </c>
      <c r="P3067">
        <v>1</v>
      </c>
      <c r="Q3067">
        <v>1</v>
      </c>
      <c r="R3067">
        <v>1</v>
      </c>
      <c r="S3067">
        <v>1</v>
      </c>
      <c r="T3067">
        <v>1</v>
      </c>
      <c r="W3067">
        <v>1</v>
      </c>
      <c r="X3067">
        <v>1</v>
      </c>
      <c r="Y3067">
        <v>1</v>
      </c>
      <c r="Z3067">
        <v>1</v>
      </c>
      <c r="AA3067">
        <v>1</v>
      </c>
      <c r="AB3067">
        <v>1</v>
      </c>
    </row>
    <row r="3068" spans="1:28" x14ac:dyDescent="0.25">
      <c r="A3068" t="str">
        <f>"3064"</f>
        <v>3064</v>
      </c>
      <c r="B3068" t="str">
        <f t="shared" si="176"/>
        <v>1</v>
      </c>
      <c r="C3068" t="str">
        <f t="shared" si="177"/>
        <v>135</v>
      </c>
      <c r="D3068" t="str">
        <f>"1"</f>
        <v>1</v>
      </c>
      <c r="E3068" t="str">
        <f>"1-135-1"</f>
        <v>1-135-1</v>
      </c>
      <c r="F3068" t="s">
        <v>83</v>
      </c>
      <c r="G3068" t="s">
        <v>84</v>
      </c>
      <c r="H3068" t="s">
        <v>92</v>
      </c>
      <c r="I3068">
        <v>1</v>
      </c>
      <c r="J3068">
        <v>1</v>
      </c>
      <c r="N3068">
        <v>1</v>
      </c>
      <c r="O3068">
        <v>1</v>
      </c>
      <c r="P3068">
        <v>1</v>
      </c>
      <c r="Q3068">
        <v>1</v>
      </c>
      <c r="R3068">
        <v>1</v>
      </c>
      <c r="S3068">
        <v>1</v>
      </c>
      <c r="T3068">
        <v>1</v>
      </c>
      <c r="W3068">
        <v>1</v>
      </c>
      <c r="X3068">
        <v>1</v>
      </c>
      <c r="Y3068">
        <v>1</v>
      </c>
      <c r="Z3068">
        <v>1</v>
      </c>
      <c r="AA3068">
        <v>1</v>
      </c>
      <c r="AB3068">
        <v>1</v>
      </c>
    </row>
    <row r="3069" spans="1:28" x14ac:dyDescent="0.25">
      <c r="A3069" t="str">
        <f>"3065"</f>
        <v>3065</v>
      </c>
      <c r="B3069" t="str">
        <f t="shared" si="176"/>
        <v>1</v>
      </c>
      <c r="C3069" t="str">
        <f t="shared" si="177"/>
        <v>135</v>
      </c>
      <c r="D3069" t="str">
        <f>"21"</f>
        <v>21</v>
      </c>
      <c r="E3069" t="str">
        <f>"1-135-21"</f>
        <v>1-135-21</v>
      </c>
      <c r="F3069" t="s">
        <v>83</v>
      </c>
      <c r="G3069" t="s">
        <v>84</v>
      </c>
      <c r="H3069" t="s">
        <v>92</v>
      </c>
      <c r="I3069">
        <v>1</v>
      </c>
      <c r="J3069">
        <v>1</v>
      </c>
      <c r="N3069">
        <v>1</v>
      </c>
      <c r="O3069">
        <v>1</v>
      </c>
      <c r="P3069">
        <v>1</v>
      </c>
      <c r="Q3069">
        <v>1</v>
      </c>
      <c r="R3069">
        <v>1</v>
      </c>
      <c r="S3069">
        <v>1</v>
      </c>
      <c r="T3069">
        <v>1</v>
      </c>
      <c r="W3069">
        <v>1</v>
      </c>
      <c r="X3069">
        <v>1</v>
      </c>
      <c r="Y3069">
        <v>1</v>
      </c>
      <c r="Z3069">
        <v>1</v>
      </c>
      <c r="AA3069">
        <v>1</v>
      </c>
      <c r="AB3069">
        <v>1</v>
      </c>
    </row>
    <row r="3070" spans="1:28" x14ac:dyDescent="0.25">
      <c r="A3070" t="str">
        <f>"3066"</f>
        <v>3066</v>
      </c>
      <c r="B3070" t="str">
        <f t="shared" si="176"/>
        <v>1</v>
      </c>
      <c r="C3070" t="str">
        <f t="shared" si="177"/>
        <v>135</v>
      </c>
      <c r="D3070" t="str">
        <f>"13"</f>
        <v>13</v>
      </c>
      <c r="E3070" t="str">
        <f>"1-135-13"</f>
        <v>1-135-13</v>
      </c>
      <c r="F3070" t="s">
        <v>83</v>
      </c>
      <c r="G3070" t="s">
        <v>84</v>
      </c>
      <c r="H3070" t="s">
        <v>92</v>
      </c>
      <c r="I3070">
        <v>1</v>
      </c>
      <c r="J3070">
        <v>1</v>
      </c>
      <c r="N3070">
        <v>1</v>
      </c>
      <c r="O3070">
        <v>1</v>
      </c>
      <c r="P3070">
        <v>1</v>
      </c>
      <c r="Q3070">
        <v>1</v>
      </c>
      <c r="R3070">
        <v>1</v>
      </c>
      <c r="S3070">
        <v>1</v>
      </c>
      <c r="T3070">
        <v>1</v>
      </c>
      <c r="W3070">
        <v>1</v>
      </c>
      <c r="X3070">
        <v>1</v>
      </c>
      <c r="Y3070">
        <v>1</v>
      </c>
      <c r="Z3070">
        <v>1</v>
      </c>
      <c r="AA3070">
        <v>1</v>
      </c>
      <c r="AB3070">
        <v>1</v>
      </c>
    </row>
    <row r="3071" spans="1:28" x14ac:dyDescent="0.25">
      <c r="A3071" t="str">
        <f>"3067"</f>
        <v>3067</v>
      </c>
      <c r="B3071" t="str">
        <f t="shared" si="176"/>
        <v>1</v>
      </c>
      <c r="C3071" t="str">
        <f t="shared" si="177"/>
        <v>135</v>
      </c>
      <c r="D3071" t="str">
        <f>"6"</f>
        <v>6</v>
      </c>
      <c r="E3071" t="str">
        <f>"1-135-6"</f>
        <v>1-135-6</v>
      </c>
      <c r="F3071" t="s">
        <v>83</v>
      </c>
      <c r="G3071" t="s">
        <v>84</v>
      </c>
      <c r="H3071" t="s">
        <v>92</v>
      </c>
      <c r="I3071">
        <v>1</v>
      </c>
      <c r="J3071">
        <v>1</v>
      </c>
      <c r="N3071">
        <v>1</v>
      </c>
      <c r="O3071">
        <v>1</v>
      </c>
      <c r="P3071">
        <v>1</v>
      </c>
      <c r="Q3071">
        <v>1</v>
      </c>
      <c r="R3071">
        <v>1</v>
      </c>
      <c r="S3071">
        <v>1</v>
      </c>
      <c r="T3071">
        <v>1</v>
      </c>
      <c r="W3071">
        <v>1</v>
      </c>
      <c r="X3071">
        <v>1</v>
      </c>
      <c r="Y3071">
        <v>1</v>
      </c>
      <c r="Z3071">
        <v>1</v>
      </c>
      <c r="AA3071">
        <v>1</v>
      </c>
      <c r="AB3071">
        <v>1</v>
      </c>
    </row>
    <row r="3072" spans="1:28" x14ac:dyDescent="0.25">
      <c r="A3072" t="str">
        <f>"3068"</f>
        <v>3068</v>
      </c>
      <c r="B3072" t="str">
        <f t="shared" si="176"/>
        <v>1</v>
      </c>
      <c r="C3072" t="str">
        <f t="shared" si="177"/>
        <v>135</v>
      </c>
      <c r="D3072" t="str">
        <f>"18"</f>
        <v>18</v>
      </c>
      <c r="E3072" t="str">
        <f>"1-135-18"</f>
        <v>1-135-18</v>
      </c>
      <c r="F3072" t="s">
        <v>83</v>
      </c>
      <c r="G3072" t="s">
        <v>84</v>
      </c>
      <c r="H3072" t="s">
        <v>92</v>
      </c>
      <c r="I3072">
        <v>1</v>
      </c>
      <c r="J3072">
        <v>1</v>
      </c>
      <c r="N3072">
        <v>1</v>
      </c>
      <c r="O3072">
        <v>1</v>
      </c>
      <c r="P3072">
        <v>1</v>
      </c>
      <c r="Q3072">
        <v>1</v>
      </c>
      <c r="R3072">
        <v>1</v>
      </c>
      <c r="S3072">
        <v>1</v>
      </c>
      <c r="T3072">
        <v>1</v>
      </c>
      <c r="W3072">
        <v>1</v>
      </c>
      <c r="X3072">
        <v>1</v>
      </c>
      <c r="Y3072">
        <v>1</v>
      </c>
      <c r="Z3072">
        <v>1</v>
      </c>
      <c r="AA3072">
        <v>1</v>
      </c>
      <c r="AB3072">
        <v>1</v>
      </c>
    </row>
    <row r="3073" spans="1:28" x14ac:dyDescent="0.25">
      <c r="A3073" t="str">
        <f>"3069"</f>
        <v>3069</v>
      </c>
      <c r="B3073" t="str">
        <f t="shared" si="176"/>
        <v>1</v>
      </c>
      <c r="C3073" t="str">
        <f t="shared" si="177"/>
        <v>135</v>
      </c>
      <c r="D3073" t="str">
        <f>"4"</f>
        <v>4</v>
      </c>
      <c r="E3073" t="str">
        <f>"1-135-4"</f>
        <v>1-135-4</v>
      </c>
      <c r="F3073" t="s">
        <v>83</v>
      </c>
      <c r="G3073" t="s">
        <v>84</v>
      </c>
      <c r="H3073" t="s">
        <v>92</v>
      </c>
      <c r="I3073">
        <v>1</v>
      </c>
      <c r="J3073">
        <v>1</v>
      </c>
      <c r="N3073">
        <v>1</v>
      </c>
      <c r="O3073">
        <v>1</v>
      </c>
      <c r="P3073">
        <v>1</v>
      </c>
      <c r="Q3073">
        <v>1</v>
      </c>
      <c r="R3073">
        <v>1</v>
      </c>
      <c r="S3073">
        <v>1</v>
      </c>
      <c r="T3073">
        <v>1</v>
      </c>
      <c r="W3073">
        <v>1</v>
      </c>
      <c r="X3073">
        <v>1</v>
      </c>
      <c r="Y3073">
        <v>1</v>
      </c>
      <c r="Z3073">
        <v>1</v>
      </c>
      <c r="AA3073">
        <v>1</v>
      </c>
      <c r="AB3073">
        <v>1</v>
      </c>
    </row>
    <row r="3074" spans="1:28" x14ac:dyDescent="0.25">
      <c r="A3074" t="str">
        <f>"3070"</f>
        <v>3070</v>
      </c>
      <c r="B3074" t="str">
        <f t="shared" si="176"/>
        <v>1</v>
      </c>
      <c r="C3074" t="str">
        <f t="shared" si="177"/>
        <v>135</v>
      </c>
      <c r="D3074" t="str">
        <f>"19"</f>
        <v>19</v>
      </c>
      <c r="E3074" t="str">
        <f>"1-135-19"</f>
        <v>1-135-19</v>
      </c>
      <c r="F3074" t="s">
        <v>83</v>
      </c>
      <c r="G3074" t="s">
        <v>86</v>
      </c>
      <c r="H3074" t="s">
        <v>93</v>
      </c>
      <c r="I3074">
        <v>1</v>
      </c>
      <c r="K3074">
        <v>0</v>
      </c>
      <c r="L3074">
        <v>0</v>
      </c>
      <c r="M3074">
        <v>1</v>
      </c>
      <c r="N3074">
        <v>1</v>
      </c>
      <c r="O3074">
        <v>1</v>
      </c>
      <c r="P3074">
        <v>1</v>
      </c>
      <c r="Q3074">
        <v>1</v>
      </c>
      <c r="R3074">
        <v>1</v>
      </c>
      <c r="U3074">
        <v>0</v>
      </c>
      <c r="V3074">
        <v>1</v>
      </c>
      <c r="W3074">
        <v>1</v>
      </c>
      <c r="X3074">
        <v>1</v>
      </c>
      <c r="Y3074">
        <v>1</v>
      </c>
      <c r="Z3074">
        <v>1</v>
      </c>
      <c r="AA3074">
        <v>1</v>
      </c>
      <c r="AB3074">
        <v>1</v>
      </c>
    </row>
    <row r="3075" spans="1:28" x14ac:dyDescent="0.25">
      <c r="A3075" t="str">
        <f>"3071"</f>
        <v>3071</v>
      </c>
      <c r="B3075" t="str">
        <f t="shared" si="176"/>
        <v>1</v>
      </c>
      <c r="C3075" t="str">
        <f t="shared" si="177"/>
        <v>135</v>
      </c>
      <c r="D3075" t="str">
        <f>"3"</f>
        <v>3</v>
      </c>
      <c r="E3075" t="str">
        <f>"1-135-3"</f>
        <v>1-135-3</v>
      </c>
      <c r="F3075" t="s">
        <v>83</v>
      </c>
      <c r="G3075" t="s">
        <v>84</v>
      </c>
      <c r="H3075" t="s">
        <v>92</v>
      </c>
      <c r="I3075">
        <v>0</v>
      </c>
      <c r="J3075">
        <v>1</v>
      </c>
      <c r="N3075">
        <v>1</v>
      </c>
      <c r="O3075">
        <v>1</v>
      </c>
      <c r="P3075">
        <v>1</v>
      </c>
      <c r="Q3075">
        <v>1</v>
      </c>
      <c r="R3075">
        <v>0</v>
      </c>
      <c r="S3075">
        <v>0</v>
      </c>
      <c r="T3075">
        <v>1</v>
      </c>
      <c r="W3075">
        <v>1</v>
      </c>
      <c r="X3075">
        <v>1</v>
      </c>
      <c r="Y3075">
        <v>1</v>
      </c>
      <c r="Z3075">
        <v>1</v>
      </c>
      <c r="AA3075">
        <v>1</v>
      </c>
      <c r="AB3075">
        <v>1</v>
      </c>
    </row>
    <row r="3076" spans="1:28" x14ac:dyDescent="0.25">
      <c r="A3076" t="str">
        <f>"3072"</f>
        <v>3072</v>
      </c>
      <c r="B3076" t="str">
        <f t="shared" si="176"/>
        <v>1</v>
      </c>
      <c r="C3076" t="str">
        <f t="shared" ref="C3076:C3100" si="178">"136"</f>
        <v>136</v>
      </c>
      <c r="D3076" t="str">
        <f>"23"</f>
        <v>23</v>
      </c>
      <c r="E3076" t="str">
        <f>"1-136-23"</f>
        <v>1-136-23</v>
      </c>
      <c r="F3076" t="s">
        <v>83</v>
      </c>
      <c r="G3076" t="s">
        <v>84</v>
      </c>
      <c r="H3076" t="s">
        <v>92</v>
      </c>
      <c r="I3076">
        <v>1</v>
      </c>
      <c r="J3076">
        <v>1</v>
      </c>
      <c r="N3076">
        <v>1</v>
      </c>
      <c r="O3076">
        <v>1</v>
      </c>
      <c r="P3076">
        <v>1</v>
      </c>
      <c r="Q3076">
        <v>1</v>
      </c>
      <c r="R3076">
        <v>1</v>
      </c>
      <c r="S3076">
        <v>1</v>
      </c>
      <c r="T3076">
        <v>1</v>
      </c>
      <c r="W3076">
        <v>1</v>
      </c>
      <c r="X3076">
        <v>1</v>
      </c>
      <c r="Y3076">
        <v>1</v>
      </c>
      <c r="Z3076">
        <v>1</v>
      </c>
      <c r="AA3076">
        <v>1</v>
      </c>
      <c r="AB3076">
        <v>1</v>
      </c>
    </row>
    <row r="3077" spans="1:28" x14ac:dyDescent="0.25">
      <c r="A3077" t="str">
        <f>"3073"</f>
        <v>3073</v>
      </c>
      <c r="B3077" t="str">
        <f t="shared" si="176"/>
        <v>1</v>
      </c>
      <c r="C3077" t="str">
        <f t="shared" si="178"/>
        <v>136</v>
      </c>
      <c r="D3077" t="str">
        <f>"22"</f>
        <v>22</v>
      </c>
      <c r="E3077" t="str">
        <f>"1-136-22"</f>
        <v>1-136-22</v>
      </c>
      <c r="F3077" t="s">
        <v>83</v>
      </c>
      <c r="G3077" t="s">
        <v>84</v>
      </c>
      <c r="H3077" t="s">
        <v>92</v>
      </c>
      <c r="I3077">
        <v>1</v>
      </c>
      <c r="J3077">
        <v>1</v>
      </c>
      <c r="N3077">
        <v>1</v>
      </c>
      <c r="O3077">
        <v>1</v>
      </c>
      <c r="P3077">
        <v>1</v>
      </c>
      <c r="Q3077">
        <v>1</v>
      </c>
      <c r="R3077">
        <v>1</v>
      </c>
      <c r="S3077">
        <v>1</v>
      </c>
      <c r="T3077">
        <v>1</v>
      </c>
      <c r="W3077">
        <v>1</v>
      </c>
      <c r="X3077">
        <v>1</v>
      </c>
      <c r="Y3077">
        <v>1</v>
      </c>
      <c r="Z3077">
        <v>1</v>
      </c>
      <c r="AA3077">
        <v>1</v>
      </c>
      <c r="AB3077">
        <v>1</v>
      </c>
    </row>
    <row r="3078" spans="1:28" x14ac:dyDescent="0.25">
      <c r="A3078" t="str">
        <f>"3074"</f>
        <v>3074</v>
      </c>
      <c r="B3078" t="str">
        <f t="shared" si="176"/>
        <v>1</v>
      </c>
      <c r="C3078" t="str">
        <f t="shared" si="178"/>
        <v>136</v>
      </c>
      <c r="D3078" t="str">
        <f>"15"</f>
        <v>15</v>
      </c>
      <c r="E3078" t="str">
        <f>"1-136-15"</f>
        <v>1-136-15</v>
      </c>
      <c r="F3078" t="s">
        <v>83</v>
      </c>
      <c r="G3078" t="s">
        <v>84</v>
      </c>
      <c r="H3078" t="s">
        <v>92</v>
      </c>
      <c r="I3078">
        <v>1</v>
      </c>
      <c r="J3078">
        <v>0</v>
      </c>
      <c r="N3078">
        <v>1</v>
      </c>
      <c r="O3078">
        <v>1</v>
      </c>
      <c r="P3078">
        <v>0</v>
      </c>
      <c r="Q3078">
        <v>0</v>
      </c>
      <c r="R3078">
        <v>1</v>
      </c>
      <c r="S3078">
        <v>1</v>
      </c>
      <c r="T3078">
        <v>0</v>
      </c>
      <c r="W3078">
        <v>1</v>
      </c>
      <c r="X3078">
        <v>1</v>
      </c>
      <c r="Y3078">
        <v>1</v>
      </c>
      <c r="Z3078">
        <v>1</v>
      </c>
      <c r="AA3078">
        <v>1</v>
      </c>
      <c r="AB3078">
        <v>1</v>
      </c>
    </row>
    <row r="3079" spans="1:28" x14ac:dyDescent="0.25">
      <c r="A3079" t="str">
        <f>"3075"</f>
        <v>3075</v>
      </c>
      <c r="B3079" t="str">
        <f t="shared" si="176"/>
        <v>1</v>
      </c>
      <c r="C3079" t="str">
        <f t="shared" si="178"/>
        <v>136</v>
      </c>
      <c r="D3079" t="str">
        <f>"14"</f>
        <v>14</v>
      </c>
      <c r="E3079" t="str">
        <f>"1-136-14"</f>
        <v>1-136-14</v>
      </c>
      <c r="F3079" t="s">
        <v>83</v>
      </c>
      <c r="G3079" t="s">
        <v>84</v>
      </c>
      <c r="H3079" t="s">
        <v>92</v>
      </c>
      <c r="I3079">
        <v>1</v>
      </c>
      <c r="J3079">
        <v>1</v>
      </c>
      <c r="N3079">
        <v>1</v>
      </c>
      <c r="O3079">
        <v>1</v>
      </c>
      <c r="P3079">
        <v>1</v>
      </c>
      <c r="Q3079">
        <v>1</v>
      </c>
      <c r="R3079">
        <v>1</v>
      </c>
      <c r="S3079">
        <v>1</v>
      </c>
      <c r="T3079">
        <v>1</v>
      </c>
      <c r="W3079">
        <v>1</v>
      </c>
      <c r="X3079">
        <v>1</v>
      </c>
      <c r="Y3079">
        <v>1</v>
      </c>
      <c r="Z3079">
        <v>1</v>
      </c>
      <c r="AA3079">
        <v>1</v>
      </c>
      <c r="AB3079">
        <v>1</v>
      </c>
    </row>
    <row r="3080" spans="1:28" x14ac:dyDescent="0.25">
      <c r="A3080" t="str">
        <f>"3076"</f>
        <v>3076</v>
      </c>
      <c r="B3080" t="str">
        <f t="shared" si="176"/>
        <v>1</v>
      </c>
      <c r="C3080" t="str">
        <f t="shared" si="178"/>
        <v>136</v>
      </c>
      <c r="D3080" t="str">
        <f>"10"</f>
        <v>10</v>
      </c>
      <c r="E3080" t="str">
        <f>"1-136-10"</f>
        <v>1-136-10</v>
      </c>
      <c r="F3080" t="s">
        <v>83</v>
      </c>
      <c r="G3080" t="s">
        <v>84</v>
      </c>
      <c r="H3080" t="s">
        <v>92</v>
      </c>
      <c r="I3080">
        <v>1</v>
      </c>
      <c r="J3080">
        <v>1</v>
      </c>
      <c r="N3080">
        <v>1</v>
      </c>
      <c r="O3080">
        <v>1</v>
      </c>
      <c r="P3080">
        <v>1</v>
      </c>
      <c r="Q3080">
        <v>1</v>
      </c>
      <c r="R3080">
        <v>1</v>
      </c>
      <c r="S3080">
        <v>1</v>
      </c>
      <c r="T3080">
        <v>1</v>
      </c>
      <c r="W3080">
        <v>1</v>
      </c>
      <c r="X3080">
        <v>1</v>
      </c>
      <c r="Y3080">
        <v>1</v>
      </c>
      <c r="Z3080">
        <v>1</v>
      </c>
      <c r="AA3080">
        <v>1</v>
      </c>
      <c r="AB3080">
        <v>1</v>
      </c>
    </row>
    <row r="3081" spans="1:28" x14ac:dyDescent="0.25">
      <c r="A3081" t="str">
        <f>"3077"</f>
        <v>3077</v>
      </c>
      <c r="B3081" t="str">
        <f t="shared" si="176"/>
        <v>1</v>
      </c>
      <c r="C3081" t="str">
        <f t="shared" si="178"/>
        <v>136</v>
      </c>
      <c r="D3081" t="str">
        <f>"8"</f>
        <v>8</v>
      </c>
      <c r="E3081" t="str">
        <f>"1-136-8"</f>
        <v>1-136-8</v>
      </c>
      <c r="F3081" t="s">
        <v>83</v>
      </c>
      <c r="G3081" t="s">
        <v>84</v>
      </c>
      <c r="H3081" t="s">
        <v>92</v>
      </c>
      <c r="I3081">
        <v>1</v>
      </c>
      <c r="J3081">
        <v>1</v>
      </c>
      <c r="N3081">
        <v>1</v>
      </c>
      <c r="O3081">
        <v>1</v>
      </c>
      <c r="P3081">
        <v>1</v>
      </c>
      <c r="Q3081">
        <v>1</v>
      </c>
      <c r="R3081">
        <v>1</v>
      </c>
      <c r="S3081">
        <v>1</v>
      </c>
      <c r="T3081">
        <v>1</v>
      </c>
      <c r="W3081">
        <v>1</v>
      </c>
      <c r="X3081">
        <v>1</v>
      </c>
      <c r="Y3081">
        <v>1</v>
      </c>
      <c r="Z3081">
        <v>1</v>
      </c>
      <c r="AA3081">
        <v>1</v>
      </c>
      <c r="AB3081">
        <v>1</v>
      </c>
    </row>
    <row r="3082" spans="1:28" x14ac:dyDescent="0.25">
      <c r="A3082" t="str">
        <f>"3078"</f>
        <v>3078</v>
      </c>
      <c r="B3082" t="str">
        <f t="shared" si="176"/>
        <v>1</v>
      </c>
      <c r="C3082" t="str">
        <f t="shared" si="178"/>
        <v>136</v>
      </c>
      <c r="D3082" t="str">
        <f>"5"</f>
        <v>5</v>
      </c>
      <c r="E3082" t="str">
        <f>"1-136-5"</f>
        <v>1-136-5</v>
      </c>
      <c r="F3082" t="s">
        <v>83</v>
      </c>
      <c r="G3082" t="s">
        <v>84</v>
      </c>
      <c r="H3082" t="s">
        <v>92</v>
      </c>
      <c r="I3082">
        <v>1</v>
      </c>
      <c r="J3082">
        <v>1</v>
      </c>
      <c r="N3082">
        <v>1</v>
      </c>
      <c r="O3082">
        <v>1</v>
      </c>
      <c r="P3082">
        <v>1</v>
      </c>
      <c r="Q3082">
        <v>1</v>
      </c>
      <c r="R3082">
        <v>1</v>
      </c>
      <c r="S3082">
        <v>1</v>
      </c>
      <c r="T3082">
        <v>1</v>
      </c>
      <c r="W3082">
        <v>1</v>
      </c>
      <c r="X3082">
        <v>1</v>
      </c>
      <c r="Y3082">
        <v>1</v>
      </c>
      <c r="Z3082">
        <v>1</v>
      </c>
      <c r="AA3082">
        <v>1</v>
      </c>
      <c r="AB3082">
        <v>1</v>
      </c>
    </row>
    <row r="3083" spans="1:28" x14ac:dyDescent="0.25">
      <c r="A3083" t="str">
        <f>"3079"</f>
        <v>3079</v>
      </c>
      <c r="B3083" t="str">
        <f t="shared" si="176"/>
        <v>1</v>
      </c>
      <c r="C3083" t="str">
        <f t="shared" si="178"/>
        <v>136</v>
      </c>
      <c r="D3083" t="str">
        <f>"25"</f>
        <v>25</v>
      </c>
      <c r="E3083" t="str">
        <f>"1-136-25"</f>
        <v>1-136-25</v>
      </c>
      <c r="F3083" t="s">
        <v>83</v>
      </c>
      <c r="G3083" t="s">
        <v>84</v>
      </c>
      <c r="H3083" t="s">
        <v>92</v>
      </c>
      <c r="I3083">
        <v>1</v>
      </c>
      <c r="J3083">
        <v>0</v>
      </c>
      <c r="N3083">
        <v>1</v>
      </c>
      <c r="O3083">
        <v>1</v>
      </c>
      <c r="P3083">
        <v>1</v>
      </c>
      <c r="Q3083">
        <v>1</v>
      </c>
      <c r="R3083">
        <v>1</v>
      </c>
      <c r="S3083">
        <v>1</v>
      </c>
      <c r="T3083">
        <v>1</v>
      </c>
      <c r="W3083">
        <v>1</v>
      </c>
      <c r="X3083">
        <v>1</v>
      </c>
      <c r="Y3083">
        <v>1</v>
      </c>
      <c r="Z3083">
        <v>1</v>
      </c>
      <c r="AA3083">
        <v>1</v>
      </c>
      <c r="AB3083">
        <v>1</v>
      </c>
    </row>
    <row r="3084" spans="1:28" x14ac:dyDescent="0.25">
      <c r="A3084" t="str">
        <f>"3080"</f>
        <v>3080</v>
      </c>
      <c r="B3084" t="str">
        <f t="shared" si="176"/>
        <v>1</v>
      </c>
      <c r="C3084" t="str">
        <f t="shared" si="178"/>
        <v>136</v>
      </c>
      <c r="D3084" t="str">
        <f>"24"</f>
        <v>24</v>
      </c>
      <c r="E3084" t="str">
        <f>"1-136-24"</f>
        <v>1-136-24</v>
      </c>
      <c r="F3084" t="s">
        <v>83</v>
      </c>
      <c r="G3084" t="s">
        <v>84</v>
      </c>
      <c r="H3084" t="s">
        <v>92</v>
      </c>
      <c r="I3084">
        <v>1</v>
      </c>
      <c r="J3084">
        <v>1</v>
      </c>
      <c r="N3084">
        <v>1</v>
      </c>
      <c r="O3084">
        <v>1</v>
      </c>
      <c r="P3084">
        <v>1</v>
      </c>
      <c r="Q3084">
        <v>1</v>
      </c>
      <c r="R3084">
        <v>1</v>
      </c>
      <c r="S3084">
        <v>1</v>
      </c>
      <c r="T3084">
        <v>1</v>
      </c>
      <c r="W3084">
        <v>1</v>
      </c>
      <c r="X3084">
        <v>1</v>
      </c>
      <c r="Y3084">
        <v>1</v>
      </c>
      <c r="Z3084">
        <v>1</v>
      </c>
      <c r="AA3084">
        <v>1</v>
      </c>
      <c r="AB3084">
        <v>1</v>
      </c>
    </row>
    <row r="3085" spans="1:28" x14ac:dyDescent="0.25">
      <c r="A3085" t="str">
        <f>"3081"</f>
        <v>3081</v>
      </c>
      <c r="B3085" t="str">
        <f t="shared" si="176"/>
        <v>1</v>
      </c>
      <c r="C3085" t="str">
        <f t="shared" si="178"/>
        <v>136</v>
      </c>
      <c r="D3085" t="str">
        <f>"17"</f>
        <v>17</v>
      </c>
      <c r="E3085" t="str">
        <f>"1-136-17"</f>
        <v>1-136-17</v>
      </c>
      <c r="F3085" t="s">
        <v>83</v>
      </c>
      <c r="G3085" t="s">
        <v>84</v>
      </c>
      <c r="H3085" t="s">
        <v>92</v>
      </c>
      <c r="I3085">
        <v>1</v>
      </c>
      <c r="J3085">
        <v>1</v>
      </c>
      <c r="N3085">
        <v>1</v>
      </c>
      <c r="O3085">
        <v>1</v>
      </c>
      <c r="P3085">
        <v>1</v>
      </c>
      <c r="Q3085">
        <v>1</v>
      </c>
      <c r="R3085">
        <v>1</v>
      </c>
      <c r="S3085">
        <v>1</v>
      </c>
      <c r="T3085">
        <v>1</v>
      </c>
      <c r="W3085">
        <v>1</v>
      </c>
      <c r="X3085">
        <v>1</v>
      </c>
      <c r="Y3085">
        <v>1</v>
      </c>
      <c r="Z3085">
        <v>1</v>
      </c>
      <c r="AA3085">
        <v>1</v>
      </c>
      <c r="AB3085">
        <v>1</v>
      </c>
    </row>
    <row r="3086" spans="1:28" x14ac:dyDescent="0.25">
      <c r="A3086" t="str">
        <f>"3082"</f>
        <v>3082</v>
      </c>
      <c r="B3086" t="str">
        <f t="shared" si="176"/>
        <v>1</v>
      </c>
      <c r="C3086" t="str">
        <f t="shared" si="178"/>
        <v>136</v>
      </c>
      <c r="D3086" t="str">
        <f>"9"</f>
        <v>9</v>
      </c>
      <c r="E3086" t="str">
        <f>"1-136-9"</f>
        <v>1-136-9</v>
      </c>
      <c r="F3086" t="s">
        <v>83</v>
      </c>
      <c r="G3086" t="s">
        <v>84</v>
      </c>
      <c r="H3086" t="s">
        <v>92</v>
      </c>
      <c r="I3086">
        <v>1</v>
      </c>
      <c r="J3086">
        <v>1</v>
      </c>
      <c r="N3086">
        <v>1</v>
      </c>
      <c r="O3086">
        <v>1</v>
      </c>
      <c r="P3086">
        <v>1</v>
      </c>
      <c r="Q3086">
        <v>1</v>
      </c>
      <c r="R3086">
        <v>1</v>
      </c>
      <c r="S3086">
        <v>1</v>
      </c>
      <c r="T3086">
        <v>1</v>
      </c>
      <c r="W3086">
        <v>1</v>
      </c>
      <c r="X3086">
        <v>1</v>
      </c>
      <c r="Y3086">
        <v>1</v>
      </c>
      <c r="Z3086">
        <v>1</v>
      </c>
      <c r="AA3086">
        <v>1</v>
      </c>
      <c r="AB3086">
        <v>1</v>
      </c>
    </row>
    <row r="3087" spans="1:28" x14ac:dyDescent="0.25">
      <c r="A3087" t="str">
        <f>"3083"</f>
        <v>3083</v>
      </c>
      <c r="B3087" t="str">
        <f t="shared" si="176"/>
        <v>1</v>
      </c>
      <c r="C3087" t="str">
        <f t="shared" si="178"/>
        <v>136</v>
      </c>
      <c r="D3087" t="str">
        <f>"4"</f>
        <v>4</v>
      </c>
      <c r="E3087" t="str">
        <f>"1-136-4"</f>
        <v>1-136-4</v>
      </c>
      <c r="F3087" t="s">
        <v>83</v>
      </c>
      <c r="G3087" t="s">
        <v>84</v>
      </c>
      <c r="H3087" t="s">
        <v>92</v>
      </c>
      <c r="I3087">
        <v>1</v>
      </c>
      <c r="J3087">
        <v>1</v>
      </c>
      <c r="N3087">
        <v>1</v>
      </c>
      <c r="O3087">
        <v>1</v>
      </c>
      <c r="P3087">
        <v>1</v>
      </c>
      <c r="Q3087">
        <v>1</v>
      </c>
      <c r="R3087">
        <v>1</v>
      </c>
      <c r="S3087">
        <v>1</v>
      </c>
      <c r="T3087">
        <v>1</v>
      </c>
      <c r="W3087">
        <v>1</v>
      </c>
      <c r="X3087">
        <v>1</v>
      </c>
      <c r="Y3087">
        <v>1</v>
      </c>
      <c r="Z3087">
        <v>1</v>
      </c>
      <c r="AA3087">
        <v>1</v>
      </c>
      <c r="AB3087">
        <v>1</v>
      </c>
    </row>
    <row r="3088" spans="1:28" x14ac:dyDescent="0.25">
      <c r="A3088" t="str">
        <f>"3084"</f>
        <v>3084</v>
      </c>
      <c r="B3088" t="str">
        <f t="shared" si="176"/>
        <v>1</v>
      </c>
      <c r="C3088" t="str">
        <f t="shared" si="178"/>
        <v>136</v>
      </c>
      <c r="D3088" t="str">
        <f>"20"</f>
        <v>20</v>
      </c>
      <c r="E3088" t="str">
        <f>"1-136-20"</f>
        <v>1-136-20</v>
      </c>
      <c r="F3088" t="s">
        <v>83</v>
      </c>
      <c r="G3088" t="s">
        <v>84</v>
      </c>
      <c r="H3088" t="s">
        <v>92</v>
      </c>
      <c r="I3088">
        <v>0</v>
      </c>
      <c r="J3088">
        <v>1</v>
      </c>
      <c r="N3088">
        <v>1</v>
      </c>
      <c r="O3088">
        <v>1</v>
      </c>
      <c r="P3088">
        <v>1</v>
      </c>
      <c r="Q3088">
        <v>1</v>
      </c>
      <c r="R3088">
        <v>1</v>
      </c>
      <c r="S3088">
        <v>1</v>
      </c>
      <c r="T3088">
        <v>1</v>
      </c>
      <c r="W3088">
        <v>1</v>
      </c>
      <c r="X3088">
        <v>1</v>
      </c>
      <c r="Y3088">
        <v>1</v>
      </c>
      <c r="Z3088">
        <v>1</v>
      </c>
      <c r="AA3088">
        <v>1</v>
      </c>
      <c r="AB3088">
        <v>1</v>
      </c>
    </row>
    <row r="3089" spans="1:28" x14ac:dyDescent="0.25">
      <c r="A3089" t="str">
        <f>"3085"</f>
        <v>3085</v>
      </c>
      <c r="B3089" t="str">
        <f t="shared" si="176"/>
        <v>1</v>
      </c>
      <c r="C3089" t="str">
        <f t="shared" si="178"/>
        <v>136</v>
      </c>
      <c r="D3089" t="str">
        <f>"11"</f>
        <v>11</v>
      </c>
      <c r="E3089" t="str">
        <f>"1-136-11"</f>
        <v>1-136-11</v>
      </c>
      <c r="F3089" t="s">
        <v>83</v>
      </c>
      <c r="G3089" t="s">
        <v>84</v>
      </c>
      <c r="H3089" t="s">
        <v>92</v>
      </c>
      <c r="I3089">
        <v>1</v>
      </c>
      <c r="J3089">
        <v>1</v>
      </c>
      <c r="N3089">
        <v>1</v>
      </c>
      <c r="O3089">
        <v>1</v>
      </c>
      <c r="P3089">
        <v>1</v>
      </c>
      <c r="Q3089">
        <v>1</v>
      </c>
      <c r="R3089">
        <v>1</v>
      </c>
      <c r="S3089">
        <v>1</v>
      </c>
      <c r="T3089">
        <v>1</v>
      </c>
      <c r="W3089">
        <v>1</v>
      </c>
      <c r="X3089">
        <v>1</v>
      </c>
      <c r="Y3089">
        <v>1</v>
      </c>
      <c r="Z3089">
        <v>1</v>
      </c>
      <c r="AA3089">
        <v>1</v>
      </c>
      <c r="AB3089">
        <v>1</v>
      </c>
    </row>
    <row r="3090" spans="1:28" x14ac:dyDescent="0.25">
      <c r="A3090" t="str">
        <f>"3086"</f>
        <v>3086</v>
      </c>
      <c r="B3090" t="str">
        <f t="shared" si="176"/>
        <v>1</v>
      </c>
      <c r="C3090" t="str">
        <f t="shared" si="178"/>
        <v>136</v>
      </c>
      <c r="D3090" t="str">
        <f>"1"</f>
        <v>1</v>
      </c>
      <c r="E3090" t="str">
        <f>"1-136-1"</f>
        <v>1-136-1</v>
      </c>
      <c r="F3090" t="s">
        <v>83</v>
      </c>
      <c r="G3090" t="s">
        <v>84</v>
      </c>
      <c r="H3090" t="s">
        <v>92</v>
      </c>
      <c r="I3090">
        <v>1</v>
      </c>
      <c r="J3090">
        <v>1</v>
      </c>
      <c r="N3090">
        <v>1</v>
      </c>
      <c r="O3090">
        <v>1</v>
      </c>
      <c r="P3090">
        <v>1</v>
      </c>
      <c r="Q3090">
        <v>1</v>
      </c>
      <c r="R3090">
        <v>1</v>
      </c>
      <c r="S3090">
        <v>1</v>
      </c>
      <c r="T3090">
        <v>0</v>
      </c>
      <c r="W3090">
        <v>1</v>
      </c>
      <c r="X3090">
        <v>1</v>
      </c>
      <c r="Y3090">
        <v>1</v>
      </c>
      <c r="Z3090">
        <v>1</v>
      </c>
      <c r="AA3090">
        <v>1</v>
      </c>
      <c r="AB3090">
        <v>1</v>
      </c>
    </row>
    <row r="3091" spans="1:28" x14ac:dyDescent="0.25">
      <c r="A3091" t="str">
        <f>"3087"</f>
        <v>3087</v>
      </c>
      <c r="B3091" t="str">
        <f t="shared" si="176"/>
        <v>1</v>
      </c>
      <c r="C3091" t="str">
        <f t="shared" si="178"/>
        <v>136</v>
      </c>
      <c r="D3091" t="str">
        <f>"21"</f>
        <v>21</v>
      </c>
      <c r="E3091" t="str">
        <f>"1-136-21"</f>
        <v>1-136-21</v>
      </c>
      <c r="F3091" t="s">
        <v>83</v>
      </c>
      <c r="G3091" t="s">
        <v>84</v>
      </c>
      <c r="H3091" t="s">
        <v>92</v>
      </c>
      <c r="I3091">
        <v>1</v>
      </c>
      <c r="J3091">
        <v>1</v>
      </c>
      <c r="N3091">
        <v>1</v>
      </c>
      <c r="O3091">
        <v>1</v>
      </c>
      <c r="P3091">
        <v>1</v>
      </c>
      <c r="Q3091">
        <v>1</v>
      </c>
      <c r="R3091">
        <v>1</v>
      </c>
      <c r="S3091">
        <v>1</v>
      </c>
      <c r="T3091">
        <v>1</v>
      </c>
      <c r="W3091">
        <v>1</v>
      </c>
      <c r="X3091">
        <v>1</v>
      </c>
      <c r="Y3091">
        <v>1</v>
      </c>
      <c r="Z3091">
        <v>1</v>
      </c>
      <c r="AA3091">
        <v>1</v>
      </c>
      <c r="AB3091">
        <v>1</v>
      </c>
    </row>
    <row r="3092" spans="1:28" x14ac:dyDescent="0.25">
      <c r="A3092" t="str">
        <f>"3088"</f>
        <v>3088</v>
      </c>
      <c r="B3092" t="str">
        <f t="shared" si="176"/>
        <v>1</v>
      </c>
      <c r="C3092" t="str">
        <f t="shared" si="178"/>
        <v>136</v>
      </c>
      <c r="D3092" t="str">
        <f>"12"</f>
        <v>12</v>
      </c>
      <c r="E3092" t="str">
        <f>"1-136-12"</f>
        <v>1-136-12</v>
      </c>
      <c r="F3092" t="s">
        <v>83</v>
      </c>
      <c r="G3092" t="s">
        <v>84</v>
      </c>
      <c r="H3092" t="s">
        <v>92</v>
      </c>
      <c r="I3092">
        <v>1</v>
      </c>
      <c r="J3092">
        <v>1</v>
      </c>
      <c r="N3092">
        <v>1</v>
      </c>
      <c r="O3092">
        <v>1</v>
      </c>
      <c r="P3092">
        <v>1</v>
      </c>
      <c r="Q3092">
        <v>1</v>
      </c>
      <c r="R3092">
        <v>1</v>
      </c>
      <c r="S3092">
        <v>1</v>
      </c>
      <c r="T3092">
        <v>1</v>
      </c>
      <c r="W3092">
        <v>1</v>
      </c>
      <c r="X3092">
        <v>1</v>
      </c>
      <c r="Y3092">
        <v>1</v>
      </c>
      <c r="Z3092">
        <v>1</v>
      </c>
      <c r="AA3092">
        <v>1</v>
      </c>
      <c r="AB3092">
        <v>1</v>
      </c>
    </row>
    <row r="3093" spans="1:28" x14ac:dyDescent="0.25">
      <c r="A3093" t="str">
        <f>"3089"</f>
        <v>3089</v>
      </c>
      <c r="B3093" t="str">
        <f t="shared" si="176"/>
        <v>1</v>
      </c>
      <c r="C3093" t="str">
        <f t="shared" si="178"/>
        <v>136</v>
      </c>
      <c r="D3093" t="str">
        <f>"7"</f>
        <v>7</v>
      </c>
      <c r="E3093" t="str">
        <f>"1-136-7"</f>
        <v>1-136-7</v>
      </c>
      <c r="F3093" t="s">
        <v>83</v>
      </c>
      <c r="G3093" t="s">
        <v>84</v>
      </c>
      <c r="H3093" t="s">
        <v>92</v>
      </c>
      <c r="I3093">
        <v>1</v>
      </c>
      <c r="J3093">
        <v>1</v>
      </c>
      <c r="N3093">
        <v>1</v>
      </c>
      <c r="O3093">
        <v>1</v>
      </c>
      <c r="P3093">
        <v>1</v>
      </c>
      <c r="Q3093">
        <v>1</v>
      </c>
      <c r="R3093">
        <v>1</v>
      </c>
      <c r="S3093">
        <v>1</v>
      </c>
      <c r="T3093">
        <v>1</v>
      </c>
      <c r="W3093">
        <v>1</v>
      </c>
      <c r="X3093">
        <v>1</v>
      </c>
      <c r="Y3093">
        <v>1</v>
      </c>
      <c r="Z3093">
        <v>1</v>
      </c>
      <c r="AA3093">
        <v>1</v>
      </c>
      <c r="AB3093">
        <v>1</v>
      </c>
    </row>
    <row r="3094" spans="1:28" x14ac:dyDescent="0.25">
      <c r="A3094" t="str">
        <f>"3090"</f>
        <v>3090</v>
      </c>
      <c r="B3094" t="str">
        <f t="shared" si="176"/>
        <v>1</v>
      </c>
      <c r="C3094" t="str">
        <f t="shared" si="178"/>
        <v>136</v>
      </c>
      <c r="D3094" t="str">
        <f>"19"</f>
        <v>19</v>
      </c>
      <c r="E3094" t="str">
        <f>"1-136-19"</f>
        <v>1-136-19</v>
      </c>
      <c r="F3094" t="s">
        <v>83</v>
      </c>
      <c r="G3094" t="s">
        <v>84</v>
      </c>
      <c r="H3094" t="s">
        <v>92</v>
      </c>
      <c r="I3094">
        <v>1</v>
      </c>
      <c r="J3094">
        <v>1</v>
      </c>
      <c r="N3094">
        <v>1</v>
      </c>
      <c r="O3094">
        <v>1</v>
      </c>
      <c r="P3094">
        <v>1</v>
      </c>
      <c r="Q3094">
        <v>1</v>
      </c>
      <c r="R3094">
        <v>1</v>
      </c>
      <c r="S3094">
        <v>1</v>
      </c>
      <c r="T3094">
        <v>1</v>
      </c>
      <c r="W3094">
        <v>1</v>
      </c>
      <c r="X3094">
        <v>1</v>
      </c>
      <c r="Y3094">
        <v>1</v>
      </c>
      <c r="Z3094">
        <v>1</v>
      </c>
      <c r="AA3094">
        <v>1</v>
      </c>
      <c r="AB3094">
        <v>1</v>
      </c>
    </row>
    <row r="3095" spans="1:28" x14ac:dyDescent="0.25">
      <c r="A3095" t="str">
        <f>"3091"</f>
        <v>3091</v>
      </c>
      <c r="B3095" t="str">
        <f t="shared" si="176"/>
        <v>1</v>
      </c>
      <c r="C3095" t="str">
        <f t="shared" si="178"/>
        <v>136</v>
      </c>
      <c r="D3095" t="str">
        <f>"13"</f>
        <v>13</v>
      </c>
      <c r="E3095" t="str">
        <f>"1-136-13"</f>
        <v>1-136-13</v>
      </c>
      <c r="F3095" t="s">
        <v>83</v>
      </c>
      <c r="G3095" t="s">
        <v>84</v>
      </c>
      <c r="H3095" t="s">
        <v>92</v>
      </c>
      <c r="I3095">
        <v>0</v>
      </c>
      <c r="J3095">
        <v>0</v>
      </c>
      <c r="N3095">
        <v>0</v>
      </c>
      <c r="O3095">
        <v>0</v>
      </c>
      <c r="P3095">
        <v>0</v>
      </c>
      <c r="Q3095">
        <v>0</v>
      </c>
      <c r="R3095">
        <v>0</v>
      </c>
      <c r="S3095">
        <v>0</v>
      </c>
      <c r="T3095">
        <v>0</v>
      </c>
      <c r="W3095">
        <v>0</v>
      </c>
      <c r="X3095">
        <v>0</v>
      </c>
      <c r="Y3095">
        <v>0</v>
      </c>
      <c r="Z3095">
        <v>1</v>
      </c>
      <c r="AA3095">
        <v>0</v>
      </c>
      <c r="AB3095">
        <v>0</v>
      </c>
    </row>
    <row r="3096" spans="1:28" x14ac:dyDescent="0.25">
      <c r="A3096" t="str">
        <f>"3092"</f>
        <v>3092</v>
      </c>
      <c r="B3096" t="str">
        <f t="shared" si="176"/>
        <v>1</v>
      </c>
      <c r="C3096" t="str">
        <f t="shared" si="178"/>
        <v>136</v>
      </c>
      <c r="D3096" t="str">
        <f>"3"</f>
        <v>3</v>
      </c>
      <c r="E3096" t="str">
        <f>"1-136-3"</f>
        <v>1-136-3</v>
      </c>
      <c r="F3096" t="s">
        <v>83</v>
      </c>
      <c r="G3096" t="s">
        <v>84</v>
      </c>
      <c r="H3096" t="s">
        <v>92</v>
      </c>
      <c r="I3096">
        <v>1</v>
      </c>
      <c r="J3096">
        <v>1</v>
      </c>
      <c r="N3096">
        <v>1</v>
      </c>
      <c r="O3096">
        <v>1</v>
      </c>
      <c r="P3096">
        <v>1</v>
      </c>
      <c r="Q3096">
        <v>1</v>
      </c>
      <c r="R3096">
        <v>1</v>
      </c>
      <c r="S3096">
        <v>1</v>
      </c>
      <c r="T3096">
        <v>1</v>
      </c>
      <c r="W3096">
        <v>1</v>
      </c>
      <c r="X3096">
        <v>1</v>
      </c>
      <c r="Y3096">
        <v>1</v>
      </c>
      <c r="Z3096">
        <v>1</v>
      </c>
      <c r="AA3096">
        <v>1</v>
      </c>
      <c r="AB3096">
        <v>1</v>
      </c>
    </row>
    <row r="3097" spans="1:28" x14ac:dyDescent="0.25">
      <c r="A3097" t="str">
        <f>"3093"</f>
        <v>3093</v>
      </c>
      <c r="B3097" t="str">
        <f t="shared" si="176"/>
        <v>1</v>
      </c>
      <c r="C3097" t="str">
        <f t="shared" si="178"/>
        <v>136</v>
      </c>
      <c r="D3097" t="str">
        <f>"16"</f>
        <v>16</v>
      </c>
      <c r="E3097" t="str">
        <f>"1-136-16"</f>
        <v>1-136-16</v>
      </c>
      <c r="F3097" t="s">
        <v>83</v>
      </c>
      <c r="G3097" t="s">
        <v>84</v>
      </c>
      <c r="H3097" t="s">
        <v>92</v>
      </c>
      <c r="I3097">
        <v>1</v>
      </c>
      <c r="J3097">
        <v>1</v>
      </c>
      <c r="N3097">
        <v>1</v>
      </c>
      <c r="O3097">
        <v>1</v>
      </c>
      <c r="P3097">
        <v>1</v>
      </c>
      <c r="Q3097">
        <v>1</v>
      </c>
      <c r="R3097">
        <v>1</v>
      </c>
      <c r="S3097">
        <v>1</v>
      </c>
      <c r="T3097">
        <v>1</v>
      </c>
      <c r="W3097">
        <v>1</v>
      </c>
      <c r="X3097">
        <v>1</v>
      </c>
      <c r="Y3097">
        <v>1</v>
      </c>
      <c r="Z3097">
        <v>1</v>
      </c>
      <c r="AA3097">
        <v>1</v>
      </c>
      <c r="AB3097">
        <v>1</v>
      </c>
    </row>
    <row r="3098" spans="1:28" x14ac:dyDescent="0.25">
      <c r="A3098" t="str">
        <f>"3094"</f>
        <v>3094</v>
      </c>
      <c r="B3098" t="str">
        <f t="shared" si="176"/>
        <v>1</v>
      </c>
      <c r="C3098" t="str">
        <f t="shared" si="178"/>
        <v>136</v>
      </c>
      <c r="D3098" t="str">
        <f>"2"</f>
        <v>2</v>
      </c>
      <c r="E3098" t="str">
        <f>"1-136-2"</f>
        <v>1-136-2</v>
      </c>
      <c r="F3098" t="s">
        <v>83</v>
      </c>
      <c r="G3098" t="s">
        <v>84</v>
      </c>
      <c r="H3098" t="s">
        <v>92</v>
      </c>
      <c r="I3098">
        <v>1</v>
      </c>
      <c r="J3098">
        <v>1</v>
      </c>
      <c r="N3098">
        <v>1</v>
      </c>
      <c r="O3098">
        <v>1</v>
      </c>
      <c r="P3098">
        <v>1</v>
      </c>
      <c r="Q3098">
        <v>1</v>
      </c>
      <c r="R3098">
        <v>1</v>
      </c>
      <c r="S3098">
        <v>1</v>
      </c>
      <c r="T3098">
        <v>1</v>
      </c>
      <c r="W3098">
        <v>1</v>
      </c>
      <c r="X3098">
        <v>1</v>
      </c>
      <c r="Y3098">
        <v>1</v>
      </c>
      <c r="Z3098">
        <v>0</v>
      </c>
      <c r="AA3098">
        <v>1</v>
      </c>
      <c r="AB3098">
        <v>1</v>
      </c>
    </row>
    <row r="3099" spans="1:28" x14ac:dyDescent="0.25">
      <c r="A3099" t="str">
        <f>"3095"</f>
        <v>3095</v>
      </c>
      <c r="B3099" t="str">
        <f t="shared" si="176"/>
        <v>1</v>
      </c>
      <c r="C3099" t="str">
        <f t="shared" si="178"/>
        <v>136</v>
      </c>
      <c r="D3099" t="str">
        <f>"18"</f>
        <v>18</v>
      </c>
      <c r="E3099" t="str">
        <f>"1-136-18"</f>
        <v>1-136-18</v>
      </c>
      <c r="F3099" t="s">
        <v>83</v>
      </c>
      <c r="G3099" t="s">
        <v>84</v>
      </c>
      <c r="H3099" t="s">
        <v>92</v>
      </c>
      <c r="I3099">
        <v>1</v>
      </c>
      <c r="J3099">
        <v>1</v>
      </c>
      <c r="N3099">
        <v>1</v>
      </c>
      <c r="O3099">
        <v>1</v>
      </c>
      <c r="P3099">
        <v>1</v>
      </c>
      <c r="Q3099">
        <v>1</v>
      </c>
      <c r="R3099">
        <v>1</v>
      </c>
      <c r="S3099">
        <v>1</v>
      </c>
      <c r="T3099">
        <v>1</v>
      </c>
      <c r="W3099">
        <v>1</v>
      </c>
      <c r="X3099">
        <v>1</v>
      </c>
      <c r="Y3099">
        <v>1</v>
      </c>
      <c r="Z3099">
        <v>1</v>
      </c>
      <c r="AA3099">
        <v>1</v>
      </c>
      <c r="AB3099">
        <v>1</v>
      </c>
    </row>
    <row r="3100" spans="1:28" x14ac:dyDescent="0.25">
      <c r="A3100" t="str">
        <f>"3096"</f>
        <v>3096</v>
      </c>
      <c r="B3100" t="str">
        <f t="shared" si="176"/>
        <v>1</v>
      </c>
      <c r="C3100" t="str">
        <f t="shared" si="178"/>
        <v>136</v>
      </c>
      <c r="D3100" t="str">
        <f>"6"</f>
        <v>6</v>
      </c>
      <c r="E3100" t="str">
        <f>"1-136-6"</f>
        <v>1-136-6</v>
      </c>
      <c r="F3100" t="s">
        <v>83</v>
      </c>
      <c r="G3100" t="s">
        <v>84</v>
      </c>
      <c r="H3100" t="s">
        <v>92</v>
      </c>
      <c r="I3100">
        <v>1</v>
      </c>
      <c r="J3100">
        <v>1</v>
      </c>
      <c r="N3100">
        <v>1</v>
      </c>
      <c r="O3100">
        <v>1</v>
      </c>
      <c r="P3100">
        <v>1</v>
      </c>
      <c r="Q3100">
        <v>1</v>
      </c>
      <c r="R3100">
        <v>1</v>
      </c>
      <c r="S3100">
        <v>1</v>
      </c>
      <c r="T3100">
        <v>1</v>
      </c>
      <c r="W3100">
        <v>1</v>
      </c>
      <c r="X3100">
        <v>1</v>
      </c>
      <c r="Y3100">
        <v>1</v>
      </c>
      <c r="Z3100">
        <v>1</v>
      </c>
      <c r="AA3100">
        <v>1</v>
      </c>
      <c r="AB3100">
        <v>1</v>
      </c>
    </row>
    <row r="3101" spans="1:28" x14ac:dyDescent="0.25">
      <c r="A3101" t="str">
        <f>"3097"</f>
        <v>3097</v>
      </c>
      <c r="B3101" t="str">
        <f t="shared" si="176"/>
        <v>1</v>
      </c>
      <c r="C3101" t="str">
        <f t="shared" ref="C3101:C3125" si="179">"137"</f>
        <v>137</v>
      </c>
      <c r="D3101" t="str">
        <f>"23"</f>
        <v>23</v>
      </c>
      <c r="E3101" t="str">
        <f>"1-137-23"</f>
        <v>1-137-23</v>
      </c>
      <c r="F3101" t="s">
        <v>83</v>
      </c>
      <c r="G3101" t="s">
        <v>84</v>
      </c>
      <c r="H3101" t="s">
        <v>92</v>
      </c>
      <c r="I3101">
        <v>1</v>
      </c>
      <c r="J3101">
        <v>1</v>
      </c>
      <c r="N3101">
        <v>1</v>
      </c>
      <c r="O3101">
        <v>0</v>
      </c>
      <c r="P3101">
        <v>0</v>
      </c>
      <c r="Q3101">
        <v>0</v>
      </c>
      <c r="R3101">
        <v>0</v>
      </c>
      <c r="S3101">
        <v>0</v>
      </c>
      <c r="T3101">
        <v>0</v>
      </c>
      <c r="W3101">
        <v>0</v>
      </c>
      <c r="X3101">
        <v>0</v>
      </c>
      <c r="Y3101">
        <v>0</v>
      </c>
      <c r="Z3101">
        <v>0</v>
      </c>
      <c r="AA3101">
        <v>0</v>
      </c>
      <c r="AB3101">
        <v>0</v>
      </c>
    </row>
    <row r="3102" spans="1:28" x14ac:dyDescent="0.25">
      <c r="A3102" t="str">
        <f>"3098"</f>
        <v>3098</v>
      </c>
      <c r="B3102" t="str">
        <f t="shared" ref="B3102:B3165" si="180">"1"</f>
        <v>1</v>
      </c>
      <c r="C3102" t="str">
        <f t="shared" si="179"/>
        <v>137</v>
      </c>
      <c r="D3102" t="str">
        <f>"22"</f>
        <v>22</v>
      </c>
      <c r="E3102" t="str">
        <f>"1-137-22"</f>
        <v>1-137-22</v>
      </c>
      <c r="F3102" t="s">
        <v>83</v>
      </c>
      <c r="G3102" t="s">
        <v>84</v>
      </c>
      <c r="H3102" t="s">
        <v>92</v>
      </c>
      <c r="I3102">
        <v>1</v>
      </c>
      <c r="J3102">
        <v>1</v>
      </c>
      <c r="N3102">
        <v>1</v>
      </c>
      <c r="O3102">
        <v>1</v>
      </c>
      <c r="P3102">
        <v>1</v>
      </c>
      <c r="Q3102">
        <v>1</v>
      </c>
      <c r="R3102">
        <v>1</v>
      </c>
      <c r="S3102">
        <v>1</v>
      </c>
      <c r="T3102">
        <v>1</v>
      </c>
      <c r="W3102">
        <v>1</v>
      </c>
      <c r="X3102">
        <v>1</v>
      </c>
      <c r="Y3102">
        <v>1</v>
      </c>
      <c r="Z3102">
        <v>1</v>
      </c>
      <c r="AA3102">
        <v>1</v>
      </c>
      <c r="AB3102">
        <v>1</v>
      </c>
    </row>
    <row r="3103" spans="1:28" x14ac:dyDescent="0.25">
      <c r="A3103" t="str">
        <f>"3099"</f>
        <v>3099</v>
      </c>
      <c r="B3103" t="str">
        <f t="shared" si="180"/>
        <v>1</v>
      </c>
      <c r="C3103" t="str">
        <f t="shared" si="179"/>
        <v>137</v>
      </c>
      <c r="D3103" t="str">
        <f>"15"</f>
        <v>15</v>
      </c>
      <c r="E3103" t="str">
        <f>"1-137-15"</f>
        <v>1-137-15</v>
      </c>
      <c r="F3103" t="s">
        <v>83</v>
      </c>
      <c r="G3103" t="s">
        <v>84</v>
      </c>
      <c r="H3103" t="s">
        <v>92</v>
      </c>
      <c r="I3103">
        <v>1</v>
      </c>
      <c r="J3103">
        <v>1</v>
      </c>
      <c r="N3103">
        <v>1</v>
      </c>
      <c r="O3103">
        <v>1</v>
      </c>
      <c r="P3103">
        <v>1</v>
      </c>
      <c r="Q3103">
        <v>1</v>
      </c>
      <c r="R3103">
        <v>1</v>
      </c>
      <c r="S3103">
        <v>1</v>
      </c>
      <c r="T3103">
        <v>1</v>
      </c>
      <c r="W3103">
        <v>1</v>
      </c>
      <c r="X3103">
        <v>1</v>
      </c>
      <c r="Y3103">
        <v>1</v>
      </c>
      <c r="Z3103">
        <v>1</v>
      </c>
      <c r="AA3103">
        <v>1</v>
      </c>
      <c r="AB3103">
        <v>1</v>
      </c>
    </row>
    <row r="3104" spans="1:28" x14ac:dyDescent="0.25">
      <c r="A3104" t="str">
        <f>"3100"</f>
        <v>3100</v>
      </c>
      <c r="B3104" t="str">
        <f t="shared" si="180"/>
        <v>1</v>
      </c>
      <c r="C3104" t="str">
        <f t="shared" si="179"/>
        <v>137</v>
      </c>
      <c r="D3104" t="str">
        <f>"14"</f>
        <v>14</v>
      </c>
      <c r="E3104" t="str">
        <f>"1-137-14"</f>
        <v>1-137-14</v>
      </c>
      <c r="F3104" t="s">
        <v>83</v>
      </c>
      <c r="G3104" t="s">
        <v>84</v>
      </c>
      <c r="H3104" t="s">
        <v>92</v>
      </c>
      <c r="I3104">
        <v>1</v>
      </c>
      <c r="J3104">
        <v>1</v>
      </c>
      <c r="N3104">
        <v>1</v>
      </c>
      <c r="O3104">
        <v>1</v>
      </c>
      <c r="P3104">
        <v>1</v>
      </c>
      <c r="Q3104">
        <v>1</v>
      </c>
      <c r="R3104">
        <v>1</v>
      </c>
      <c r="S3104">
        <v>1</v>
      </c>
      <c r="T3104">
        <v>1</v>
      </c>
      <c r="W3104">
        <v>1</v>
      </c>
      <c r="X3104">
        <v>1</v>
      </c>
      <c r="Y3104">
        <v>1</v>
      </c>
      <c r="Z3104">
        <v>1</v>
      </c>
      <c r="AA3104">
        <v>1</v>
      </c>
      <c r="AB3104">
        <v>1</v>
      </c>
    </row>
    <row r="3105" spans="1:28" x14ac:dyDescent="0.25">
      <c r="A3105" t="str">
        <f>"3101"</f>
        <v>3101</v>
      </c>
      <c r="B3105" t="str">
        <f t="shared" si="180"/>
        <v>1</v>
      </c>
      <c r="C3105" t="str">
        <f t="shared" si="179"/>
        <v>137</v>
      </c>
      <c r="D3105" t="str">
        <f>"11"</f>
        <v>11</v>
      </c>
      <c r="E3105" t="str">
        <f>"1-137-11"</f>
        <v>1-137-11</v>
      </c>
      <c r="F3105" t="s">
        <v>83</v>
      </c>
      <c r="G3105" t="s">
        <v>84</v>
      </c>
      <c r="H3105" t="s">
        <v>92</v>
      </c>
      <c r="I3105">
        <v>1</v>
      </c>
      <c r="J3105">
        <v>1</v>
      </c>
      <c r="N3105">
        <v>1</v>
      </c>
      <c r="O3105">
        <v>1</v>
      </c>
      <c r="P3105">
        <v>1</v>
      </c>
      <c r="Q3105">
        <v>1</v>
      </c>
      <c r="R3105">
        <v>1</v>
      </c>
      <c r="S3105">
        <v>1</v>
      </c>
      <c r="T3105">
        <v>1</v>
      </c>
      <c r="W3105">
        <v>1</v>
      </c>
      <c r="X3105">
        <v>1</v>
      </c>
      <c r="Y3105">
        <v>1</v>
      </c>
      <c r="Z3105">
        <v>1</v>
      </c>
      <c r="AA3105">
        <v>1</v>
      </c>
      <c r="AB3105">
        <v>1</v>
      </c>
    </row>
    <row r="3106" spans="1:28" x14ac:dyDescent="0.25">
      <c r="A3106" t="str">
        <f>"3102"</f>
        <v>3102</v>
      </c>
      <c r="B3106" t="str">
        <f t="shared" si="180"/>
        <v>1</v>
      </c>
      <c r="C3106" t="str">
        <f t="shared" si="179"/>
        <v>137</v>
      </c>
      <c r="D3106" t="str">
        <f>"8"</f>
        <v>8</v>
      </c>
      <c r="E3106" t="str">
        <f>"1-137-8"</f>
        <v>1-137-8</v>
      </c>
      <c r="F3106" t="s">
        <v>83</v>
      </c>
      <c r="G3106" t="s">
        <v>84</v>
      </c>
      <c r="H3106" t="s">
        <v>92</v>
      </c>
      <c r="I3106">
        <v>1</v>
      </c>
      <c r="J3106">
        <v>1</v>
      </c>
      <c r="N3106">
        <v>1</v>
      </c>
      <c r="O3106">
        <v>1</v>
      </c>
      <c r="P3106">
        <v>1</v>
      </c>
      <c r="Q3106">
        <v>1</v>
      </c>
      <c r="R3106">
        <v>1</v>
      </c>
      <c r="S3106">
        <v>1</v>
      </c>
      <c r="T3106">
        <v>1</v>
      </c>
      <c r="W3106">
        <v>1</v>
      </c>
      <c r="X3106">
        <v>1</v>
      </c>
      <c r="Y3106">
        <v>1</v>
      </c>
      <c r="Z3106">
        <v>1</v>
      </c>
      <c r="AA3106">
        <v>1</v>
      </c>
      <c r="AB3106">
        <v>1</v>
      </c>
    </row>
    <row r="3107" spans="1:28" x14ac:dyDescent="0.25">
      <c r="A3107" t="str">
        <f>"3103"</f>
        <v>3103</v>
      </c>
      <c r="B3107" t="str">
        <f t="shared" si="180"/>
        <v>1</v>
      </c>
      <c r="C3107" t="str">
        <f t="shared" si="179"/>
        <v>137</v>
      </c>
      <c r="D3107" t="str">
        <f>"4"</f>
        <v>4</v>
      </c>
      <c r="E3107" t="str">
        <f>"1-137-4"</f>
        <v>1-137-4</v>
      </c>
      <c r="F3107" t="s">
        <v>83</v>
      </c>
      <c r="G3107" t="s">
        <v>84</v>
      </c>
      <c r="H3107" t="s">
        <v>92</v>
      </c>
      <c r="I3107">
        <v>1</v>
      </c>
      <c r="J3107">
        <v>1</v>
      </c>
      <c r="N3107">
        <v>1</v>
      </c>
      <c r="O3107">
        <v>1</v>
      </c>
      <c r="P3107">
        <v>1</v>
      </c>
      <c r="Q3107">
        <v>1</v>
      </c>
      <c r="R3107">
        <v>1</v>
      </c>
      <c r="S3107">
        <v>1</v>
      </c>
      <c r="T3107">
        <v>1</v>
      </c>
      <c r="W3107">
        <v>1</v>
      </c>
      <c r="X3107">
        <v>1</v>
      </c>
      <c r="Y3107">
        <v>1</v>
      </c>
      <c r="Z3107">
        <v>1</v>
      </c>
      <c r="AA3107">
        <v>1</v>
      </c>
      <c r="AB3107">
        <v>1</v>
      </c>
    </row>
    <row r="3108" spans="1:28" x14ac:dyDescent="0.25">
      <c r="A3108" t="str">
        <f>"3104"</f>
        <v>3104</v>
      </c>
      <c r="B3108" t="str">
        <f t="shared" si="180"/>
        <v>1</v>
      </c>
      <c r="C3108" t="str">
        <f t="shared" si="179"/>
        <v>137</v>
      </c>
      <c r="D3108" t="str">
        <f>"25"</f>
        <v>25</v>
      </c>
      <c r="E3108" t="str">
        <f>"1-137-25"</f>
        <v>1-137-25</v>
      </c>
      <c r="F3108" t="s">
        <v>83</v>
      </c>
      <c r="G3108" t="s">
        <v>84</v>
      </c>
      <c r="H3108" t="s">
        <v>92</v>
      </c>
      <c r="I3108">
        <v>1</v>
      </c>
      <c r="J3108">
        <v>1</v>
      </c>
      <c r="N3108">
        <v>1</v>
      </c>
      <c r="O3108">
        <v>1</v>
      </c>
      <c r="P3108">
        <v>1</v>
      </c>
      <c r="Q3108">
        <v>1</v>
      </c>
      <c r="R3108">
        <v>1</v>
      </c>
      <c r="S3108">
        <v>1</v>
      </c>
      <c r="T3108">
        <v>1</v>
      </c>
      <c r="W3108">
        <v>1</v>
      </c>
      <c r="X3108">
        <v>1</v>
      </c>
      <c r="Y3108">
        <v>1</v>
      </c>
      <c r="Z3108">
        <v>0</v>
      </c>
      <c r="AA3108">
        <v>1</v>
      </c>
      <c r="AB3108">
        <v>1</v>
      </c>
    </row>
    <row r="3109" spans="1:28" x14ac:dyDescent="0.25">
      <c r="A3109" t="str">
        <f>"3105"</f>
        <v>3105</v>
      </c>
      <c r="B3109" t="str">
        <f t="shared" si="180"/>
        <v>1</v>
      </c>
      <c r="C3109" t="str">
        <f t="shared" si="179"/>
        <v>137</v>
      </c>
      <c r="D3109" t="str">
        <f>"24"</f>
        <v>24</v>
      </c>
      <c r="E3109" t="str">
        <f>"1-137-24"</f>
        <v>1-137-24</v>
      </c>
      <c r="F3109" t="s">
        <v>83</v>
      </c>
      <c r="G3109" t="s">
        <v>84</v>
      </c>
      <c r="H3109" t="s">
        <v>92</v>
      </c>
      <c r="I3109">
        <v>1</v>
      </c>
      <c r="J3109">
        <v>1</v>
      </c>
      <c r="N3109">
        <v>1</v>
      </c>
      <c r="O3109">
        <v>1</v>
      </c>
      <c r="P3109">
        <v>1</v>
      </c>
      <c r="Q3109">
        <v>1</v>
      </c>
      <c r="R3109">
        <v>1</v>
      </c>
      <c r="S3109">
        <v>1</v>
      </c>
      <c r="T3109">
        <v>1</v>
      </c>
      <c r="W3109">
        <v>1</v>
      </c>
      <c r="X3109">
        <v>1</v>
      </c>
      <c r="Y3109">
        <v>1</v>
      </c>
      <c r="Z3109">
        <v>1</v>
      </c>
      <c r="AA3109">
        <v>1</v>
      </c>
      <c r="AB3109">
        <v>1</v>
      </c>
    </row>
    <row r="3110" spans="1:28" x14ac:dyDescent="0.25">
      <c r="A3110" t="str">
        <f>"3106"</f>
        <v>3106</v>
      </c>
      <c r="B3110" t="str">
        <f t="shared" si="180"/>
        <v>1</v>
      </c>
      <c r="C3110" t="str">
        <f t="shared" si="179"/>
        <v>137</v>
      </c>
      <c r="D3110" t="str">
        <f>"17"</f>
        <v>17</v>
      </c>
      <c r="E3110" t="str">
        <f>"1-137-17"</f>
        <v>1-137-17</v>
      </c>
      <c r="F3110" t="s">
        <v>83</v>
      </c>
      <c r="G3110" t="s">
        <v>84</v>
      </c>
      <c r="H3110" t="s">
        <v>92</v>
      </c>
      <c r="I3110">
        <v>1</v>
      </c>
      <c r="J3110">
        <v>1</v>
      </c>
      <c r="N3110">
        <v>1</v>
      </c>
      <c r="O3110">
        <v>1</v>
      </c>
      <c r="P3110">
        <v>1</v>
      </c>
      <c r="Q3110">
        <v>1</v>
      </c>
      <c r="R3110">
        <v>1</v>
      </c>
      <c r="S3110">
        <v>1</v>
      </c>
      <c r="T3110">
        <v>1</v>
      </c>
      <c r="W3110">
        <v>1</v>
      </c>
      <c r="X3110">
        <v>1</v>
      </c>
      <c r="Y3110">
        <v>1</v>
      </c>
      <c r="Z3110">
        <v>1</v>
      </c>
      <c r="AA3110">
        <v>1</v>
      </c>
      <c r="AB3110">
        <v>1</v>
      </c>
    </row>
    <row r="3111" spans="1:28" x14ac:dyDescent="0.25">
      <c r="A3111" t="str">
        <f>"3107"</f>
        <v>3107</v>
      </c>
      <c r="B3111" t="str">
        <f t="shared" si="180"/>
        <v>1</v>
      </c>
      <c r="C3111" t="str">
        <f t="shared" si="179"/>
        <v>137</v>
      </c>
      <c r="D3111" t="str">
        <f>"9"</f>
        <v>9</v>
      </c>
      <c r="E3111" t="str">
        <f>"1-137-9"</f>
        <v>1-137-9</v>
      </c>
      <c r="F3111" t="s">
        <v>83</v>
      </c>
      <c r="G3111" t="s">
        <v>84</v>
      </c>
      <c r="H3111" t="s">
        <v>92</v>
      </c>
      <c r="I3111">
        <v>1</v>
      </c>
      <c r="J3111">
        <v>1</v>
      </c>
      <c r="N3111">
        <v>1</v>
      </c>
      <c r="O3111">
        <v>1</v>
      </c>
      <c r="P3111">
        <v>1</v>
      </c>
      <c r="Q3111">
        <v>1</v>
      </c>
      <c r="R3111">
        <v>1</v>
      </c>
      <c r="S3111">
        <v>1</v>
      </c>
      <c r="T3111">
        <v>1</v>
      </c>
      <c r="W3111">
        <v>1</v>
      </c>
      <c r="X3111">
        <v>1</v>
      </c>
      <c r="Y3111">
        <v>1</v>
      </c>
      <c r="Z3111">
        <v>0</v>
      </c>
      <c r="AA3111">
        <v>1</v>
      </c>
      <c r="AB3111">
        <v>1</v>
      </c>
    </row>
    <row r="3112" spans="1:28" x14ac:dyDescent="0.25">
      <c r="A3112" t="str">
        <f>"3108"</f>
        <v>3108</v>
      </c>
      <c r="B3112" t="str">
        <f t="shared" si="180"/>
        <v>1</v>
      </c>
      <c r="C3112" t="str">
        <f t="shared" si="179"/>
        <v>137</v>
      </c>
      <c r="D3112" t="str">
        <f>"2"</f>
        <v>2</v>
      </c>
      <c r="E3112" t="str">
        <f>"1-137-2"</f>
        <v>1-137-2</v>
      </c>
      <c r="F3112" t="s">
        <v>83</v>
      </c>
      <c r="G3112" t="s">
        <v>84</v>
      </c>
      <c r="H3112" t="s">
        <v>92</v>
      </c>
      <c r="I3112">
        <v>0</v>
      </c>
      <c r="J3112">
        <v>0</v>
      </c>
      <c r="N3112">
        <v>1</v>
      </c>
      <c r="O3112">
        <v>0</v>
      </c>
      <c r="P3112">
        <v>0</v>
      </c>
      <c r="Q3112">
        <v>0</v>
      </c>
      <c r="R3112">
        <v>0</v>
      </c>
      <c r="S3112">
        <v>0</v>
      </c>
      <c r="T3112">
        <v>0</v>
      </c>
      <c r="W3112">
        <v>1</v>
      </c>
      <c r="X3112">
        <v>1</v>
      </c>
      <c r="Y3112">
        <v>1</v>
      </c>
      <c r="Z3112">
        <v>0</v>
      </c>
      <c r="AA3112">
        <v>0</v>
      </c>
      <c r="AB3112">
        <v>1</v>
      </c>
    </row>
    <row r="3113" spans="1:28" x14ac:dyDescent="0.25">
      <c r="A3113" t="str">
        <f>"3109"</f>
        <v>3109</v>
      </c>
      <c r="B3113" t="str">
        <f t="shared" si="180"/>
        <v>1</v>
      </c>
      <c r="C3113" t="str">
        <f t="shared" si="179"/>
        <v>137</v>
      </c>
      <c r="D3113" t="str">
        <f>"16"</f>
        <v>16</v>
      </c>
      <c r="E3113" t="str">
        <f>"1-137-16"</f>
        <v>1-137-16</v>
      </c>
      <c r="F3113" t="s">
        <v>83</v>
      </c>
      <c r="G3113" t="s">
        <v>84</v>
      </c>
      <c r="H3113" t="s">
        <v>92</v>
      </c>
      <c r="I3113">
        <v>1</v>
      </c>
      <c r="J3113">
        <v>1</v>
      </c>
      <c r="N3113">
        <v>1</v>
      </c>
      <c r="O3113">
        <v>1</v>
      </c>
      <c r="P3113">
        <v>1</v>
      </c>
      <c r="Q3113">
        <v>1</v>
      </c>
      <c r="R3113">
        <v>1</v>
      </c>
      <c r="S3113">
        <v>1</v>
      </c>
      <c r="T3113">
        <v>1</v>
      </c>
      <c r="W3113">
        <v>1</v>
      </c>
      <c r="X3113">
        <v>1</v>
      </c>
      <c r="Y3113">
        <v>1</v>
      </c>
      <c r="Z3113">
        <v>1</v>
      </c>
      <c r="AA3113">
        <v>1</v>
      </c>
      <c r="AB3113">
        <v>1</v>
      </c>
    </row>
    <row r="3114" spans="1:28" x14ac:dyDescent="0.25">
      <c r="A3114" t="str">
        <f>"3110"</f>
        <v>3110</v>
      </c>
      <c r="B3114" t="str">
        <f t="shared" si="180"/>
        <v>1</v>
      </c>
      <c r="C3114" t="str">
        <f t="shared" si="179"/>
        <v>137</v>
      </c>
      <c r="D3114" t="str">
        <f>"10"</f>
        <v>10</v>
      </c>
      <c r="E3114" t="str">
        <f>"1-137-10"</f>
        <v>1-137-10</v>
      </c>
      <c r="F3114" t="s">
        <v>83</v>
      </c>
      <c r="G3114" t="s">
        <v>84</v>
      </c>
      <c r="H3114" t="s">
        <v>92</v>
      </c>
      <c r="I3114">
        <v>1</v>
      </c>
      <c r="J3114">
        <v>1</v>
      </c>
      <c r="N3114">
        <v>1</v>
      </c>
      <c r="O3114">
        <v>1</v>
      </c>
      <c r="P3114">
        <v>1</v>
      </c>
      <c r="Q3114">
        <v>1</v>
      </c>
      <c r="R3114">
        <v>1</v>
      </c>
      <c r="S3114">
        <v>1</v>
      </c>
      <c r="T3114">
        <v>1</v>
      </c>
      <c r="W3114">
        <v>1</v>
      </c>
      <c r="X3114">
        <v>1</v>
      </c>
      <c r="Y3114">
        <v>1</v>
      </c>
      <c r="Z3114">
        <v>1</v>
      </c>
      <c r="AA3114">
        <v>1</v>
      </c>
      <c r="AB3114">
        <v>1</v>
      </c>
    </row>
    <row r="3115" spans="1:28" x14ac:dyDescent="0.25">
      <c r="A3115" t="str">
        <f>"3111"</f>
        <v>3111</v>
      </c>
      <c r="B3115" t="str">
        <f t="shared" si="180"/>
        <v>1</v>
      </c>
      <c r="C3115" t="str">
        <f t="shared" si="179"/>
        <v>137</v>
      </c>
      <c r="D3115" t="str">
        <f>"5"</f>
        <v>5</v>
      </c>
      <c r="E3115" t="str">
        <f>"1-137-5"</f>
        <v>1-137-5</v>
      </c>
      <c r="F3115" t="s">
        <v>83</v>
      </c>
      <c r="G3115" t="s">
        <v>84</v>
      </c>
      <c r="H3115" t="s">
        <v>92</v>
      </c>
      <c r="I3115">
        <v>1</v>
      </c>
      <c r="J3115">
        <v>1</v>
      </c>
      <c r="N3115">
        <v>1</v>
      </c>
      <c r="O3115">
        <v>1</v>
      </c>
      <c r="P3115">
        <v>1</v>
      </c>
      <c r="Q3115">
        <v>1</v>
      </c>
      <c r="R3115">
        <v>1</v>
      </c>
      <c r="S3115">
        <v>1</v>
      </c>
      <c r="T3115">
        <v>1</v>
      </c>
      <c r="W3115">
        <v>1</v>
      </c>
      <c r="X3115">
        <v>1</v>
      </c>
      <c r="Y3115">
        <v>1</v>
      </c>
      <c r="Z3115">
        <v>1</v>
      </c>
      <c r="AA3115">
        <v>1</v>
      </c>
      <c r="AB3115">
        <v>1</v>
      </c>
    </row>
    <row r="3116" spans="1:28" x14ac:dyDescent="0.25">
      <c r="A3116" t="str">
        <f>"3112"</f>
        <v>3112</v>
      </c>
      <c r="B3116" t="str">
        <f t="shared" si="180"/>
        <v>1</v>
      </c>
      <c r="C3116" t="str">
        <f t="shared" si="179"/>
        <v>137</v>
      </c>
      <c r="D3116" t="str">
        <f>"20"</f>
        <v>20</v>
      </c>
      <c r="E3116" t="str">
        <f>"1-137-20"</f>
        <v>1-137-20</v>
      </c>
      <c r="F3116" t="s">
        <v>83</v>
      </c>
      <c r="G3116" t="s">
        <v>84</v>
      </c>
      <c r="H3116" t="s">
        <v>92</v>
      </c>
      <c r="I3116">
        <v>1</v>
      </c>
      <c r="J3116">
        <v>1</v>
      </c>
      <c r="N3116">
        <v>1</v>
      </c>
      <c r="O3116">
        <v>1</v>
      </c>
      <c r="P3116">
        <v>1</v>
      </c>
      <c r="Q3116">
        <v>1</v>
      </c>
      <c r="R3116">
        <v>1</v>
      </c>
      <c r="S3116">
        <v>1</v>
      </c>
      <c r="T3116">
        <v>1</v>
      </c>
      <c r="W3116">
        <v>0</v>
      </c>
      <c r="X3116">
        <v>1</v>
      </c>
      <c r="Y3116">
        <v>1</v>
      </c>
      <c r="Z3116">
        <v>1</v>
      </c>
      <c r="AA3116">
        <v>1</v>
      </c>
      <c r="AB3116">
        <v>1</v>
      </c>
    </row>
    <row r="3117" spans="1:28" x14ac:dyDescent="0.25">
      <c r="A3117" t="str">
        <f>"3113"</f>
        <v>3113</v>
      </c>
      <c r="B3117" t="str">
        <f t="shared" si="180"/>
        <v>1</v>
      </c>
      <c r="C3117" t="str">
        <f t="shared" si="179"/>
        <v>137</v>
      </c>
      <c r="D3117" t="str">
        <f>"12"</f>
        <v>12</v>
      </c>
      <c r="E3117" t="str">
        <f>"1-137-12"</f>
        <v>1-137-12</v>
      </c>
      <c r="F3117" t="s">
        <v>83</v>
      </c>
      <c r="G3117" t="s">
        <v>84</v>
      </c>
      <c r="H3117" t="s">
        <v>92</v>
      </c>
      <c r="I3117">
        <v>1</v>
      </c>
      <c r="J3117">
        <v>1</v>
      </c>
      <c r="N3117">
        <v>1</v>
      </c>
      <c r="O3117">
        <v>1</v>
      </c>
      <c r="P3117">
        <v>1</v>
      </c>
      <c r="Q3117">
        <v>1</v>
      </c>
      <c r="R3117">
        <v>1</v>
      </c>
      <c r="S3117">
        <v>1</v>
      </c>
      <c r="T3117">
        <v>1</v>
      </c>
      <c r="W3117">
        <v>1</v>
      </c>
      <c r="X3117">
        <v>1</v>
      </c>
      <c r="Y3117">
        <v>1</v>
      </c>
      <c r="Z3117">
        <v>1</v>
      </c>
      <c r="AA3117">
        <v>1</v>
      </c>
      <c r="AB3117">
        <v>0</v>
      </c>
    </row>
    <row r="3118" spans="1:28" x14ac:dyDescent="0.25">
      <c r="A3118" t="str">
        <f>"3114"</f>
        <v>3114</v>
      </c>
      <c r="B3118" t="str">
        <f t="shared" si="180"/>
        <v>1</v>
      </c>
      <c r="C3118" t="str">
        <f t="shared" si="179"/>
        <v>137</v>
      </c>
      <c r="D3118" t="str">
        <f>"6"</f>
        <v>6</v>
      </c>
      <c r="E3118" t="str">
        <f>"1-137-6"</f>
        <v>1-137-6</v>
      </c>
      <c r="F3118" t="s">
        <v>83</v>
      </c>
      <c r="G3118" t="s">
        <v>84</v>
      </c>
      <c r="H3118" t="s">
        <v>92</v>
      </c>
      <c r="I3118">
        <v>1</v>
      </c>
      <c r="J3118">
        <v>1</v>
      </c>
      <c r="N3118">
        <v>1</v>
      </c>
      <c r="O3118">
        <v>1</v>
      </c>
      <c r="P3118">
        <v>1</v>
      </c>
      <c r="Q3118">
        <v>1</v>
      </c>
      <c r="R3118">
        <v>1</v>
      </c>
      <c r="S3118">
        <v>1</v>
      </c>
      <c r="T3118">
        <v>1</v>
      </c>
      <c r="W3118">
        <v>1</v>
      </c>
      <c r="X3118">
        <v>1</v>
      </c>
      <c r="Y3118">
        <v>1</v>
      </c>
      <c r="Z3118">
        <v>1</v>
      </c>
      <c r="AA3118">
        <v>1</v>
      </c>
      <c r="AB3118">
        <v>1</v>
      </c>
    </row>
    <row r="3119" spans="1:28" x14ac:dyDescent="0.25">
      <c r="A3119" t="str">
        <f>"3115"</f>
        <v>3115</v>
      </c>
      <c r="B3119" t="str">
        <f t="shared" si="180"/>
        <v>1</v>
      </c>
      <c r="C3119" t="str">
        <f t="shared" si="179"/>
        <v>137</v>
      </c>
      <c r="D3119" t="str">
        <f>"21"</f>
        <v>21</v>
      </c>
      <c r="E3119" t="str">
        <f>"1-137-21"</f>
        <v>1-137-21</v>
      </c>
      <c r="F3119" t="s">
        <v>83</v>
      </c>
      <c r="G3119" t="s">
        <v>84</v>
      </c>
      <c r="H3119" t="s">
        <v>92</v>
      </c>
      <c r="I3119">
        <v>1</v>
      </c>
      <c r="J3119">
        <v>1</v>
      </c>
      <c r="N3119">
        <v>1</v>
      </c>
      <c r="O3119">
        <v>1</v>
      </c>
      <c r="P3119">
        <v>1</v>
      </c>
      <c r="Q3119">
        <v>1</v>
      </c>
      <c r="R3119">
        <v>1</v>
      </c>
      <c r="S3119">
        <v>1</v>
      </c>
      <c r="T3119">
        <v>1</v>
      </c>
      <c r="W3119">
        <v>1</v>
      </c>
      <c r="X3119">
        <v>1</v>
      </c>
      <c r="Y3119">
        <v>1</v>
      </c>
      <c r="Z3119">
        <v>1</v>
      </c>
      <c r="AA3119">
        <v>1</v>
      </c>
      <c r="AB3119">
        <v>1</v>
      </c>
    </row>
    <row r="3120" spans="1:28" x14ac:dyDescent="0.25">
      <c r="A3120" t="str">
        <f>"3116"</f>
        <v>3116</v>
      </c>
      <c r="B3120" t="str">
        <f t="shared" si="180"/>
        <v>1</v>
      </c>
      <c r="C3120" t="str">
        <f t="shared" si="179"/>
        <v>137</v>
      </c>
      <c r="D3120" t="str">
        <f>"13"</f>
        <v>13</v>
      </c>
      <c r="E3120" t="str">
        <f>"1-137-13"</f>
        <v>1-137-13</v>
      </c>
      <c r="F3120" t="s">
        <v>83</v>
      </c>
      <c r="G3120" t="s">
        <v>84</v>
      </c>
      <c r="H3120" t="s">
        <v>92</v>
      </c>
      <c r="I3120">
        <v>1</v>
      </c>
      <c r="J3120">
        <v>1</v>
      </c>
      <c r="N3120">
        <v>1</v>
      </c>
      <c r="O3120">
        <v>1</v>
      </c>
      <c r="P3120">
        <v>1</v>
      </c>
      <c r="Q3120">
        <v>1</v>
      </c>
      <c r="R3120">
        <v>1</v>
      </c>
      <c r="S3120">
        <v>1</v>
      </c>
      <c r="T3120">
        <v>1</v>
      </c>
      <c r="W3120">
        <v>1</v>
      </c>
      <c r="X3120">
        <v>1</v>
      </c>
      <c r="Y3120">
        <v>1</v>
      </c>
      <c r="Z3120">
        <v>1</v>
      </c>
      <c r="AA3120">
        <v>1</v>
      </c>
      <c r="AB3120">
        <v>1</v>
      </c>
    </row>
    <row r="3121" spans="1:49" x14ac:dyDescent="0.25">
      <c r="A3121" t="str">
        <f>"3117"</f>
        <v>3117</v>
      </c>
      <c r="B3121" t="str">
        <f t="shared" si="180"/>
        <v>1</v>
      </c>
      <c r="C3121" t="str">
        <f t="shared" si="179"/>
        <v>137</v>
      </c>
      <c r="D3121" t="str">
        <f>"1"</f>
        <v>1</v>
      </c>
      <c r="E3121" t="str">
        <f>"1-137-1"</f>
        <v>1-137-1</v>
      </c>
      <c r="F3121" t="s">
        <v>83</v>
      </c>
      <c r="G3121" t="s">
        <v>84</v>
      </c>
      <c r="H3121" t="s">
        <v>92</v>
      </c>
      <c r="I3121">
        <v>1</v>
      </c>
      <c r="J3121">
        <v>1</v>
      </c>
      <c r="N3121">
        <v>1</v>
      </c>
      <c r="O3121">
        <v>1</v>
      </c>
      <c r="P3121">
        <v>1</v>
      </c>
      <c r="Q3121">
        <v>1</v>
      </c>
      <c r="R3121">
        <v>0</v>
      </c>
      <c r="S3121">
        <v>1</v>
      </c>
      <c r="T3121">
        <v>1</v>
      </c>
      <c r="W3121">
        <v>1</v>
      </c>
      <c r="X3121">
        <v>1</v>
      </c>
      <c r="Y3121">
        <v>1</v>
      </c>
      <c r="Z3121">
        <v>1</v>
      </c>
      <c r="AA3121">
        <v>1</v>
      </c>
      <c r="AB3121">
        <v>1</v>
      </c>
    </row>
    <row r="3122" spans="1:49" x14ac:dyDescent="0.25">
      <c r="A3122" t="str">
        <f>"3118"</f>
        <v>3118</v>
      </c>
      <c r="B3122" t="str">
        <f t="shared" si="180"/>
        <v>1</v>
      </c>
      <c r="C3122" t="str">
        <f t="shared" si="179"/>
        <v>137</v>
      </c>
      <c r="D3122" t="str">
        <f>"18"</f>
        <v>18</v>
      </c>
      <c r="E3122" t="str">
        <f>"1-137-18"</f>
        <v>1-137-18</v>
      </c>
      <c r="F3122" t="s">
        <v>83</v>
      </c>
      <c r="G3122" t="s">
        <v>84</v>
      </c>
      <c r="H3122" t="s">
        <v>92</v>
      </c>
      <c r="I3122">
        <v>1</v>
      </c>
      <c r="J3122">
        <v>1</v>
      </c>
      <c r="N3122">
        <v>1</v>
      </c>
      <c r="O3122">
        <v>1</v>
      </c>
      <c r="P3122">
        <v>1</v>
      </c>
      <c r="Q3122">
        <v>1</v>
      </c>
      <c r="R3122">
        <v>1</v>
      </c>
      <c r="S3122">
        <v>1</v>
      </c>
      <c r="T3122">
        <v>1</v>
      </c>
      <c r="W3122">
        <v>1</v>
      </c>
      <c r="X3122">
        <v>1</v>
      </c>
      <c r="Y3122">
        <v>1</v>
      </c>
      <c r="Z3122">
        <v>1</v>
      </c>
      <c r="AA3122">
        <v>1</v>
      </c>
      <c r="AB3122">
        <v>1</v>
      </c>
    </row>
    <row r="3123" spans="1:49" x14ac:dyDescent="0.25">
      <c r="A3123" t="str">
        <f>"3119"</f>
        <v>3119</v>
      </c>
      <c r="B3123" t="str">
        <f t="shared" si="180"/>
        <v>1</v>
      </c>
      <c r="C3123" t="str">
        <f t="shared" si="179"/>
        <v>137</v>
      </c>
      <c r="D3123" t="str">
        <f>"3"</f>
        <v>3</v>
      </c>
      <c r="E3123" t="str">
        <f>"1-137-3"</f>
        <v>1-137-3</v>
      </c>
      <c r="F3123" t="s">
        <v>83</v>
      </c>
      <c r="G3123" t="s">
        <v>84</v>
      </c>
      <c r="H3123" t="s">
        <v>92</v>
      </c>
      <c r="I3123">
        <v>1</v>
      </c>
      <c r="J3123">
        <v>1</v>
      </c>
      <c r="N3123">
        <v>1</v>
      </c>
      <c r="O3123">
        <v>1</v>
      </c>
      <c r="P3123">
        <v>1</v>
      </c>
      <c r="Q3123">
        <v>1</v>
      </c>
      <c r="R3123">
        <v>1</v>
      </c>
      <c r="S3123">
        <v>1</v>
      </c>
      <c r="T3123">
        <v>1</v>
      </c>
      <c r="W3123">
        <v>1</v>
      </c>
      <c r="X3123">
        <v>1</v>
      </c>
      <c r="Y3123">
        <v>1</v>
      </c>
      <c r="Z3123">
        <v>1</v>
      </c>
      <c r="AA3123">
        <v>1</v>
      </c>
      <c r="AB3123">
        <v>1</v>
      </c>
    </row>
    <row r="3124" spans="1:49" x14ac:dyDescent="0.25">
      <c r="A3124" t="str">
        <f>"3120"</f>
        <v>3120</v>
      </c>
      <c r="B3124" t="str">
        <f t="shared" si="180"/>
        <v>1</v>
      </c>
      <c r="C3124" t="str">
        <f t="shared" si="179"/>
        <v>137</v>
      </c>
      <c r="D3124" t="str">
        <f>"19"</f>
        <v>19</v>
      </c>
      <c r="E3124" t="str">
        <f>"1-137-19"</f>
        <v>1-137-19</v>
      </c>
      <c r="F3124" t="s">
        <v>83</v>
      </c>
      <c r="G3124" t="s">
        <v>84</v>
      </c>
      <c r="H3124" t="s">
        <v>92</v>
      </c>
      <c r="I3124">
        <v>1</v>
      </c>
      <c r="J3124">
        <v>1</v>
      </c>
      <c r="N3124">
        <v>1</v>
      </c>
      <c r="O3124">
        <v>1</v>
      </c>
      <c r="P3124">
        <v>1</v>
      </c>
      <c r="Q3124">
        <v>1</v>
      </c>
      <c r="R3124">
        <v>1</v>
      </c>
      <c r="S3124">
        <v>1</v>
      </c>
      <c r="T3124">
        <v>1</v>
      </c>
      <c r="W3124">
        <v>1</v>
      </c>
      <c r="X3124">
        <v>1</v>
      </c>
      <c r="Y3124">
        <v>1</v>
      </c>
      <c r="Z3124">
        <v>1</v>
      </c>
      <c r="AA3124">
        <v>1</v>
      </c>
      <c r="AB3124">
        <v>1</v>
      </c>
    </row>
    <row r="3125" spans="1:49" x14ac:dyDescent="0.25">
      <c r="A3125" t="str">
        <f>"3121"</f>
        <v>3121</v>
      </c>
      <c r="B3125" t="str">
        <f t="shared" si="180"/>
        <v>1</v>
      </c>
      <c r="C3125" t="str">
        <f t="shared" si="179"/>
        <v>137</v>
      </c>
      <c r="D3125" t="str">
        <f>"7"</f>
        <v>7</v>
      </c>
      <c r="E3125" t="str">
        <f>"1-137-7"</f>
        <v>1-137-7</v>
      </c>
      <c r="F3125" t="s">
        <v>83</v>
      </c>
      <c r="G3125" t="s">
        <v>84</v>
      </c>
      <c r="H3125" t="s">
        <v>92</v>
      </c>
      <c r="I3125">
        <v>1</v>
      </c>
      <c r="J3125">
        <v>1</v>
      </c>
      <c r="N3125">
        <v>1</v>
      </c>
      <c r="O3125">
        <v>1</v>
      </c>
      <c r="P3125">
        <v>1</v>
      </c>
      <c r="Q3125">
        <v>1</v>
      </c>
      <c r="R3125">
        <v>1</v>
      </c>
      <c r="S3125">
        <v>1</v>
      </c>
      <c r="T3125">
        <v>1</v>
      </c>
      <c r="W3125">
        <v>1</v>
      </c>
      <c r="X3125">
        <v>1</v>
      </c>
      <c r="Y3125">
        <v>1</v>
      </c>
      <c r="Z3125">
        <v>1</v>
      </c>
      <c r="AA3125">
        <v>1</v>
      </c>
      <c r="AB3125">
        <v>1</v>
      </c>
    </row>
    <row r="3126" spans="1:49" x14ac:dyDescent="0.25">
      <c r="A3126" t="str">
        <f>"3122"</f>
        <v>3122</v>
      </c>
      <c r="B3126" t="str">
        <f t="shared" si="180"/>
        <v>1</v>
      </c>
      <c r="C3126" t="str">
        <f t="shared" ref="C3126:C3149" si="181">"138"</f>
        <v>138</v>
      </c>
      <c r="D3126" t="str">
        <f>"23"</f>
        <v>23</v>
      </c>
      <c r="E3126" t="str">
        <f>"1-138-23"</f>
        <v>1-138-23</v>
      </c>
      <c r="F3126" t="s">
        <v>83</v>
      </c>
      <c r="G3126" t="s">
        <v>84</v>
      </c>
      <c r="H3126" t="s">
        <v>85</v>
      </c>
      <c r="AC3126">
        <v>0</v>
      </c>
      <c r="AD3126">
        <v>1</v>
      </c>
      <c r="AE3126">
        <v>0</v>
      </c>
      <c r="AF3126">
        <v>0</v>
      </c>
      <c r="AG3126">
        <v>1</v>
      </c>
      <c r="AJ3126">
        <v>0</v>
      </c>
      <c r="AK3126">
        <v>1</v>
      </c>
      <c r="AL3126">
        <v>0</v>
      </c>
      <c r="AM3126">
        <v>0</v>
      </c>
      <c r="AN3126">
        <v>1</v>
      </c>
      <c r="AO3126">
        <v>1</v>
      </c>
      <c r="AP3126">
        <v>1</v>
      </c>
      <c r="AQ3126">
        <v>1</v>
      </c>
      <c r="AR3126">
        <v>1</v>
      </c>
      <c r="AS3126">
        <v>0</v>
      </c>
      <c r="AT3126">
        <v>1</v>
      </c>
      <c r="AV3126">
        <v>1</v>
      </c>
      <c r="AW3126">
        <v>1</v>
      </c>
    </row>
    <row r="3127" spans="1:49" x14ac:dyDescent="0.25">
      <c r="A3127" t="str">
        <f>"3123"</f>
        <v>3123</v>
      </c>
      <c r="B3127" t="str">
        <f t="shared" si="180"/>
        <v>1</v>
      </c>
      <c r="C3127" t="str">
        <f t="shared" si="181"/>
        <v>138</v>
      </c>
      <c r="D3127" t="str">
        <f>"22"</f>
        <v>22</v>
      </c>
      <c r="E3127" t="str">
        <f>"1-138-22"</f>
        <v>1-138-22</v>
      </c>
      <c r="F3127" t="s">
        <v>83</v>
      </c>
      <c r="G3127" t="s">
        <v>84</v>
      </c>
      <c r="H3127" t="s">
        <v>85</v>
      </c>
      <c r="AC3127">
        <v>0</v>
      </c>
      <c r="AD3127">
        <v>1</v>
      </c>
      <c r="AE3127">
        <v>0</v>
      </c>
      <c r="AF3127">
        <v>0</v>
      </c>
      <c r="AG3127">
        <v>1</v>
      </c>
      <c r="AJ3127">
        <v>0</v>
      </c>
      <c r="AK3127">
        <v>1</v>
      </c>
      <c r="AL3127">
        <v>1</v>
      </c>
      <c r="AM3127">
        <v>0</v>
      </c>
      <c r="AN3127">
        <v>0</v>
      </c>
      <c r="AO3127">
        <v>1</v>
      </c>
      <c r="AP3127">
        <v>1</v>
      </c>
      <c r="AQ3127">
        <v>1</v>
      </c>
      <c r="AR3127">
        <v>1</v>
      </c>
      <c r="AS3127">
        <v>0</v>
      </c>
      <c r="AT3127">
        <v>1</v>
      </c>
      <c r="AV3127">
        <v>1</v>
      </c>
      <c r="AW3127">
        <v>1</v>
      </c>
    </row>
    <row r="3128" spans="1:49" x14ac:dyDescent="0.25">
      <c r="A3128" t="str">
        <f>"3124"</f>
        <v>3124</v>
      </c>
      <c r="B3128" t="str">
        <f t="shared" si="180"/>
        <v>1</v>
      </c>
      <c r="C3128" t="str">
        <f t="shared" si="181"/>
        <v>138</v>
      </c>
      <c r="D3128" t="str">
        <f>"15"</f>
        <v>15</v>
      </c>
      <c r="E3128" t="str">
        <f>"1-138-15"</f>
        <v>1-138-15</v>
      </c>
      <c r="F3128" t="s">
        <v>83</v>
      </c>
      <c r="G3128" t="s">
        <v>84</v>
      </c>
      <c r="H3128" t="s">
        <v>85</v>
      </c>
      <c r="AC3128">
        <v>0</v>
      </c>
      <c r="AD3128">
        <v>1</v>
      </c>
      <c r="AE3128">
        <v>0</v>
      </c>
      <c r="AF3128">
        <v>0</v>
      </c>
      <c r="AG3128">
        <v>1</v>
      </c>
      <c r="AJ3128">
        <v>0</v>
      </c>
      <c r="AK3128">
        <v>1</v>
      </c>
      <c r="AL3128">
        <v>1</v>
      </c>
      <c r="AM3128">
        <v>0</v>
      </c>
      <c r="AN3128">
        <v>0</v>
      </c>
      <c r="AO3128">
        <v>1</v>
      </c>
      <c r="AP3128">
        <v>1</v>
      </c>
      <c r="AQ3128">
        <v>1</v>
      </c>
      <c r="AR3128">
        <v>1</v>
      </c>
      <c r="AS3128">
        <v>0</v>
      </c>
      <c r="AT3128">
        <v>1</v>
      </c>
      <c r="AV3128">
        <v>1</v>
      </c>
      <c r="AW3128">
        <v>1</v>
      </c>
    </row>
    <row r="3129" spans="1:49" x14ac:dyDescent="0.25">
      <c r="A3129" t="str">
        <f>"3125"</f>
        <v>3125</v>
      </c>
      <c r="B3129" t="str">
        <f t="shared" si="180"/>
        <v>1</v>
      </c>
      <c r="C3129" t="str">
        <f t="shared" si="181"/>
        <v>138</v>
      </c>
      <c r="D3129" t="str">
        <f>"8"</f>
        <v>8</v>
      </c>
      <c r="E3129" t="str">
        <f>"1-138-8"</f>
        <v>1-138-8</v>
      </c>
      <c r="F3129" t="s">
        <v>83</v>
      </c>
      <c r="G3129" t="s">
        <v>84</v>
      </c>
      <c r="H3129" t="s">
        <v>85</v>
      </c>
      <c r="AC3129">
        <v>0</v>
      </c>
      <c r="AD3129">
        <v>1</v>
      </c>
      <c r="AE3129">
        <v>0</v>
      </c>
      <c r="AF3129">
        <v>0</v>
      </c>
      <c r="AG3129">
        <v>1</v>
      </c>
      <c r="AJ3129">
        <v>1</v>
      </c>
      <c r="AK3129">
        <v>0</v>
      </c>
      <c r="AL3129">
        <v>0</v>
      </c>
      <c r="AM3129">
        <v>0</v>
      </c>
      <c r="AN3129">
        <v>1</v>
      </c>
      <c r="AO3129">
        <v>1</v>
      </c>
      <c r="AP3129">
        <v>1</v>
      </c>
      <c r="AQ3129">
        <v>1</v>
      </c>
      <c r="AR3129">
        <v>1</v>
      </c>
      <c r="AS3129">
        <v>1</v>
      </c>
      <c r="AT3129">
        <v>0</v>
      </c>
      <c r="AV3129">
        <v>1</v>
      </c>
      <c r="AW3129">
        <v>1</v>
      </c>
    </row>
    <row r="3130" spans="1:49" x14ac:dyDescent="0.25">
      <c r="A3130" t="str">
        <f>"3126"</f>
        <v>3126</v>
      </c>
      <c r="B3130" t="str">
        <f t="shared" si="180"/>
        <v>1</v>
      </c>
      <c r="C3130" t="str">
        <f t="shared" si="181"/>
        <v>138</v>
      </c>
      <c r="D3130" t="str">
        <f>"3"</f>
        <v>3</v>
      </c>
      <c r="E3130" t="str">
        <f>"1-138-3"</f>
        <v>1-138-3</v>
      </c>
      <c r="F3130" t="s">
        <v>83</v>
      </c>
      <c r="G3130" t="s">
        <v>86</v>
      </c>
      <c r="H3130" t="s">
        <v>87</v>
      </c>
      <c r="AC3130">
        <v>0</v>
      </c>
      <c r="AD3130">
        <v>0</v>
      </c>
      <c r="AE3130">
        <v>0</v>
      </c>
      <c r="AF3130">
        <v>0</v>
      </c>
      <c r="AH3130">
        <v>0</v>
      </c>
      <c r="AI3130">
        <v>1</v>
      </c>
      <c r="AJ3130">
        <v>1</v>
      </c>
      <c r="AK3130">
        <v>0</v>
      </c>
      <c r="AL3130">
        <v>0</v>
      </c>
      <c r="AM3130">
        <v>0</v>
      </c>
      <c r="AN3130">
        <v>0</v>
      </c>
      <c r="AO3130">
        <v>0</v>
      </c>
      <c r="AP3130">
        <v>0</v>
      </c>
      <c r="AQ3130">
        <v>0</v>
      </c>
      <c r="AU3130">
        <v>0</v>
      </c>
      <c r="AV3130">
        <v>0</v>
      </c>
      <c r="AW3130">
        <v>0</v>
      </c>
    </row>
    <row r="3131" spans="1:49" x14ac:dyDescent="0.25">
      <c r="A3131" t="str">
        <f>"3127"</f>
        <v>3127</v>
      </c>
      <c r="B3131" t="str">
        <f t="shared" si="180"/>
        <v>1</v>
      </c>
      <c r="C3131" t="str">
        <f t="shared" si="181"/>
        <v>138</v>
      </c>
      <c r="D3131" t="str">
        <f>"24"</f>
        <v>24</v>
      </c>
      <c r="E3131" t="str">
        <f>"1-138-24"</f>
        <v>1-138-24</v>
      </c>
      <c r="F3131" t="s">
        <v>83</v>
      </c>
      <c r="G3131" t="s">
        <v>84</v>
      </c>
      <c r="H3131" t="s">
        <v>85</v>
      </c>
      <c r="AC3131">
        <v>1</v>
      </c>
      <c r="AD3131">
        <v>0</v>
      </c>
      <c r="AE3131">
        <v>0</v>
      </c>
      <c r="AF3131">
        <v>0</v>
      </c>
      <c r="AG3131">
        <v>0</v>
      </c>
      <c r="AJ3131">
        <v>0</v>
      </c>
      <c r="AK3131">
        <v>1</v>
      </c>
      <c r="AL3131">
        <v>0</v>
      </c>
      <c r="AM3131">
        <v>1</v>
      </c>
      <c r="AN3131">
        <v>0</v>
      </c>
      <c r="AO3131">
        <v>0</v>
      </c>
      <c r="AP3131">
        <v>0</v>
      </c>
      <c r="AQ3131">
        <v>0</v>
      </c>
      <c r="AR3131">
        <v>0</v>
      </c>
      <c r="AS3131">
        <v>0</v>
      </c>
      <c r="AT3131">
        <v>1</v>
      </c>
      <c r="AV3131">
        <v>0</v>
      </c>
      <c r="AW3131">
        <v>0</v>
      </c>
    </row>
    <row r="3132" spans="1:49" x14ac:dyDescent="0.25">
      <c r="A3132" t="str">
        <f>"3128"</f>
        <v>3128</v>
      </c>
      <c r="B3132" t="str">
        <f t="shared" si="180"/>
        <v>1</v>
      </c>
      <c r="C3132" t="str">
        <f t="shared" si="181"/>
        <v>138</v>
      </c>
      <c r="D3132" t="str">
        <f>"16"</f>
        <v>16</v>
      </c>
      <c r="E3132" t="str">
        <f>"1-138-16"</f>
        <v>1-138-16</v>
      </c>
      <c r="F3132" t="s">
        <v>83</v>
      </c>
      <c r="G3132" t="s">
        <v>84</v>
      </c>
      <c r="H3132" t="s">
        <v>85</v>
      </c>
      <c r="AC3132">
        <v>0</v>
      </c>
      <c r="AD3132">
        <v>1</v>
      </c>
      <c r="AE3132">
        <v>0</v>
      </c>
      <c r="AF3132">
        <v>0</v>
      </c>
      <c r="AG3132">
        <v>0</v>
      </c>
      <c r="AJ3132">
        <v>0</v>
      </c>
      <c r="AK3132">
        <v>1</v>
      </c>
      <c r="AL3132">
        <v>0</v>
      </c>
      <c r="AM3132">
        <v>0</v>
      </c>
      <c r="AN3132">
        <v>1</v>
      </c>
      <c r="AO3132">
        <v>0</v>
      </c>
      <c r="AP3132">
        <v>0</v>
      </c>
      <c r="AQ3132">
        <v>1</v>
      </c>
      <c r="AR3132">
        <v>0</v>
      </c>
      <c r="AS3132">
        <v>1</v>
      </c>
      <c r="AT3132">
        <v>0</v>
      </c>
      <c r="AV3132">
        <v>1</v>
      </c>
      <c r="AW3132">
        <v>1</v>
      </c>
    </row>
    <row r="3133" spans="1:49" x14ac:dyDescent="0.25">
      <c r="A3133" t="str">
        <f>"3129"</f>
        <v>3129</v>
      </c>
      <c r="B3133" t="str">
        <f t="shared" si="180"/>
        <v>1</v>
      </c>
      <c r="C3133" t="str">
        <f t="shared" si="181"/>
        <v>138</v>
      </c>
      <c r="D3133" t="str">
        <f>"9"</f>
        <v>9</v>
      </c>
      <c r="E3133" t="str">
        <f>"1-138-9"</f>
        <v>1-138-9</v>
      </c>
      <c r="F3133" t="s">
        <v>83</v>
      </c>
      <c r="G3133" t="s">
        <v>84</v>
      </c>
      <c r="H3133" t="s">
        <v>85</v>
      </c>
      <c r="AC3133">
        <v>0</v>
      </c>
      <c r="AD3133">
        <v>0</v>
      </c>
      <c r="AE3133">
        <v>0</v>
      </c>
      <c r="AF3133">
        <v>0</v>
      </c>
      <c r="AG3133">
        <v>0</v>
      </c>
      <c r="AJ3133">
        <v>1</v>
      </c>
      <c r="AK3133">
        <v>0</v>
      </c>
      <c r="AL3133">
        <v>0</v>
      </c>
      <c r="AM3133">
        <v>1</v>
      </c>
      <c r="AN3133">
        <v>0</v>
      </c>
      <c r="AO3133">
        <v>0</v>
      </c>
      <c r="AP3133">
        <v>0</v>
      </c>
      <c r="AQ3133">
        <v>1</v>
      </c>
      <c r="AR3133">
        <v>1</v>
      </c>
      <c r="AS3133">
        <v>0</v>
      </c>
      <c r="AT3133">
        <v>0</v>
      </c>
      <c r="AV3133">
        <v>0</v>
      </c>
      <c r="AW3133">
        <v>0</v>
      </c>
    </row>
    <row r="3134" spans="1:49" x14ac:dyDescent="0.25">
      <c r="A3134" t="str">
        <f>"3130"</f>
        <v>3130</v>
      </c>
      <c r="B3134" t="str">
        <f t="shared" si="180"/>
        <v>1</v>
      </c>
      <c r="C3134" t="str">
        <f t="shared" si="181"/>
        <v>138</v>
      </c>
      <c r="D3134" t="str">
        <f>"7"</f>
        <v>7</v>
      </c>
      <c r="E3134" t="str">
        <f>"1-138-7"</f>
        <v>1-138-7</v>
      </c>
      <c r="F3134" t="s">
        <v>83</v>
      </c>
      <c r="G3134" t="s">
        <v>84</v>
      </c>
      <c r="H3134" t="s">
        <v>85</v>
      </c>
      <c r="AC3134">
        <v>1</v>
      </c>
      <c r="AD3134">
        <v>0</v>
      </c>
      <c r="AE3134">
        <v>0</v>
      </c>
      <c r="AF3134">
        <v>0</v>
      </c>
      <c r="AG3134">
        <v>1</v>
      </c>
      <c r="AJ3134">
        <v>1</v>
      </c>
      <c r="AK3134">
        <v>0</v>
      </c>
      <c r="AL3134">
        <v>0</v>
      </c>
      <c r="AM3134">
        <v>0</v>
      </c>
      <c r="AN3134">
        <v>1</v>
      </c>
      <c r="AO3134">
        <v>1</v>
      </c>
      <c r="AP3134">
        <v>1</v>
      </c>
      <c r="AQ3134">
        <v>1</v>
      </c>
      <c r="AR3134">
        <v>1</v>
      </c>
      <c r="AS3134">
        <v>0</v>
      </c>
      <c r="AT3134">
        <v>1</v>
      </c>
      <c r="AV3134">
        <v>1</v>
      </c>
      <c r="AW3134">
        <v>1</v>
      </c>
    </row>
    <row r="3135" spans="1:49" x14ac:dyDescent="0.25">
      <c r="A3135" t="str">
        <f>"3131"</f>
        <v>3131</v>
      </c>
      <c r="B3135" t="str">
        <f t="shared" si="180"/>
        <v>1</v>
      </c>
      <c r="C3135" t="str">
        <f t="shared" si="181"/>
        <v>138</v>
      </c>
      <c r="D3135" t="str">
        <f>"17"</f>
        <v>17</v>
      </c>
      <c r="E3135" t="str">
        <f>"1-138-17"</f>
        <v>1-138-17</v>
      </c>
      <c r="F3135" t="s">
        <v>83</v>
      </c>
      <c r="G3135" t="s">
        <v>84</v>
      </c>
      <c r="H3135" t="s">
        <v>85</v>
      </c>
      <c r="AC3135">
        <v>0</v>
      </c>
      <c r="AD3135">
        <v>1</v>
      </c>
      <c r="AE3135">
        <v>0</v>
      </c>
      <c r="AF3135">
        <v>0</v>
      </c>
      <c r="AG3135">
        <v>1</v>
      </c>
      <c r="AJ3135">
        <v>0</v>
      </c>
      <c r="AK3135">
        <v>1</v>
      </c>
      <c r="AL3135">
        <v>0</v>
      </c>
      <c r="AM3135">
        <v>0</v>
      </c>
      <c r="AN3135">
        <v>0</v>
      </c>
      <c r="AO3135">
        <v>1</v>
      </c>
      <c r="AP3135">
        <v>1</v>
      </c>
      <c r="AQ3135">
        <v>1</v>
      </c>
      <c r="AR3135">
        <v>1</v>
      </c>
      <c r="AS3135">
        <v>0</v>
      </c>
      <c r="AT3135">
        <v>0</v>
      </c>
      <c r="AV3135">
        <v>1</v>
      </c>
      <c r="AW3135">
        <v>1</v>
      </c>
    </row>
    <row r="3136" spans="1:49" x14ac:dyDescent="0.25">
      <c r="A3136" t="str">
        <f>"3132"</f>
        <v>3132</v>
      </c>
      <c r="B3136" t="str">
        <f t="shared" si="180"/>
        <v>1</v>
      </c>
      <c r="C3136" t="str">
        <f t="shared" si="181"/>
        <v>138</v>
      </c>
      <c r="D3136" t="str">
        <f>"10"</f>
        <v>10</v>
      </c>
      <c r="E3136" t="str">
        <f>"1-138-10"</f>
        <v>1-138-10</v>
      </c>
      <c r="F3136" t="s">
        <v>83</v>
      </c>
      <c r="G3136" t="s">
        <v>84</v>
      </c>
      <c r="H3136" t="s">
        <v>85</v>
      </c>
      <c r="AC3136">
        <v>0</v>
      </c>
      <c r="AD3136">
        <v>1</v>
      </c>
      <c r="AE3136">
        <v>0</v>
      </c>
      <c r="AF3136">
        <v>0</v>
      </c>
      <c r="AG3136">
        <v>1</v>
      </c>
      <c r="AJ3136">
        <v>0</v>
      </c>
      <c r="AK3136">
        <v>1</v>
      </c>
      <c r="AL3136">
        <v>1</v>
      </c>
      <c r="AM3136">
        <v>0</v>
      </c>
      <c r="AN3136">
        <v>0</v>
      </c>
      <c r="AO3136">
        <v>1</v>
      </c>
      <c r="AP3136">
        <v>1</v>
      </c>
      <c r="AQ3136">
        <v>1</v>
      </c>
      <c r="AR3136">
        <v>1</v>
      </c>
      <c r="AS3136">
        <v>0</v>
      </c>
      <c r="AT3136">
        <v>1</v>
      </c>
      <c r="AV3136">
        <v>1</v>
      </c>
      <c r="AW3136">
        <v>1</v>
      </c>
    </row>
    <row r="3137" spans="1:49" x14ac:dyDescent="0.25">
      <c r="A3137" t="str">
        <f>"3133"</f>
        <v>3133</v>
      </c>
      <c r="B3137" t="str">
        <f t="shared" si="180"/>
        <v>1</v>
      </c>
      <c r="C3137" t="str">
        <f t="shared" si="181"/>
        <v>138</v>
      </c>
      <c r="D3137" t="str">
        <f>"5"</f>
        <v>5</v>
      </c>
      <c r="E3137" t="str">
        <f>"1-138-5"</f>
        <v>1-138-5</v>
      </c>
      <c r="F3137" t="s">
        <v>83</v>
      </c>
      <c r="G3137" t="s">
        <v>86</v>
      </c>
      <c r="H3137" t="s">
        <v>87</v>
      </c>
      <c r="AC3137">
        <v>0</v>
      </c>
      <c r="AD3137">
        <v>1</v>
      </c>
      <c r="AE3137">
        <v>0</v>
      </c>
      <c r="AF3137">
        <v>0</v>
      </c>
      <c r="AH3137">
        <v>0</v>
      </c>
      <c r="AI3137">
        <v>1</v>
      </c>
      <c r="AJ3137">
        <v>0</v>
      </c>
      <c r="AK3137">
        <v>1</v>
      </c>
      <c r="AL3137">
        <v>0</v>
      </c>
      <c r="AM3137">
        <v>1</v>
      </c>
      <c r="AN3137">
        <v>0</v>
      </c>
      <c r="AO3137">
        <v>0</v>
      </c>
      <c r="AP3137">
        <v>0</v>
      </c>
      <c r="AQ3137">
        <v>0</v>
      </c>
      <c r="AU3137">
        <v>0</v>
      </c>
      <c r="AV3137">
        <v>0</v>
      </c>
      <c r="AW3137">
        <v>0</v>
      </c>
    </row>
    <row r="3138" spans="1:49" x14ac:dyDescent="0.25">
      <c r="A3138" t="str">
        <f>"3134"</f>
        <v>3134</v>
      </c>
      <c r="B3138" t="str">
        <f t="shared" si="180"/>
        <v>1</v>
      </c>
      <c r="C3138" t="str">
        <f t="shared" si="181"/>
        <v>138</v>
      </c>
      <c r="D3138" t="str">
        <f>"18"</f>
        <v>18</v>
      </c>
      <c r="E3138" t="str">
        <f>"1-138-18"</f>
        <v>1-138-18</v>
      </c>
      <c r="F3138" t="s">
        <v>83</v>
      </c>
      <c r="G3138" t="s">
        <v>84</v>
      </c>
      <c r="H3138" t="s">
        <v>85</v>
      </c>
      <c r="AC3138">
        <v>0</v>
      </c>
      <c r="AD3138">
        <v>1</v>
      </c>
      <c r="AE3138">
        <v>0</v>
      </c>
      <c r="AF3138">
        <v>0</v>
      </c>
      <c r="AG3138">
        <v>1</v>
      </c>
      <c r="AJ3138">
        <v>1</v>
      </c>
      <c r="AK3138">
        <v>0</v>
      </c>
      <c r="AL3138">
        <v>0</v>
      </c>
      <c r="AM3138">
        <v>1</v>
      </c>
      <c r="AN3138">
        <v>0</v>
      </c>
      <c r="AO3138">
        <v>1</v>
      </c>
      <c r="AP3138">
        <v>1</v>
      </c>
      <c r="AQ3138">
        <v>1</v>
      </c>
      <c r="AR3138">
        <v>1</v>
      </c>
      <c r="AS3138">
        <v>1</v>
      </c>
      <c r="AT3138">
        <v>0</v>
      </c>
      <c r="AV3138">
        <v>1</v>
      </c>
      <c r="AW3138">
        <v>1</v>
      </c>
    </row>
    <row r="3139" spans="1:49" x14ac:dyDescent="0.25">
      <c r="A3139" t="str">
        <f>"3135"</f>
        <v>3135</v>
      </c>
      <c r="B3139" t="str">
        <f t="shared" si="180"/>
        <v>1</v>
      </c>
      <c r="C3139" t="str">
        <f t="shared" si="181"/>
        <v>138</v>
      </c>
      <c r="D3139" t="str">
        <f>"11"</f>
        <v>11</v>
      </c>
      <c r="E3139" t="str">
        <f>"1-138-11"</f>
        <v>1-138-11</v>
      </c>
      <c r="F3139" t="s">
        <v>83</v>
      </c>
      <c r="G3139" t="s">
        <v>84</v>
      </c>
      <c r="H3139" t="s">
        <v>85</v>
      </c>
      <c r="AC3139">
        <v>1</v>
      </c>
      <c r="AD3139">
        <v>0</v>
      </c>
      <c r="AE3139">
        <v>0</v>
      </c>
      <c r="AF3139">
        <v>0</v>
      </c>
      <c r="AG3139">
        <v>0</v>
      </c>
      <c r="AJ3139">
        <v>0</v>
      </c>
      <c r="AK3139">
        <v>1</v>
      </c>
      <c r="AL3139">
        <v>0</v>
      </c>
      <c r="AM3139">
        <v>1</v>
      </c>
      <c r="AN3139">
        <v>0</v>
      </c>
      <c r="AO3139">
        <v>0</v>
      </c>
      <c r="AP3139">
        <v>0</v>
      </c>
      <c r="AQ3139">
        <v>0</v>
      </c>
      <c r="AR3139">
        <v>0</v>
      </c>
      <c r="AS3139">
        <v>0</v>
      </c>
      <c r="AT3139">
        <v>1</v>
      </c>
      <c r="AV3139">
        <v>0</v>
      </c>
      <c r="AW3139">
        <v>0</v>
      </c>
    </row>
    <row r="3140" spans="1:49" x14ac:dyDescent="0.25">
      <c r="A3140" t="str">
        <f>"3136"</f>
        <v>3136</v>
      </c>
      <c r="B3140" t="str">
        <f t="shared" si="180"/>
        <v>1</v>
      </c>
      <c r="C3140" t="str">
        <f t="shared" si="181"/>
        <v>138</v>
      </c>
      <c r="D3140" t="str">
        <f>"19"</f>
        <v>19</v>
      </c>
      <c r="E3140" t="str">
        <f>"1-138-19"</f>
        <v>1-138-19</v>
      </c>
      <c r="F3140" t="s">
        <v>83</v>
      </c>
      <c r="G3140" t="s">
        <v>84</v>
      </c>
      <c r="H3140" t="s">
        <v>85</v>
      </c>
      <c r="AC3140">
        <v>0</v>
      </c>
      <c r="AD3140">
        <v>1</v>
      </c>
      <c r="AE3140">
        <v>0</v>
      </c>
      <c r="AF3140">
        <v>0</v>
      </c>
      <c r="AG3140">
        <v>1</v>
      </c>
      <c r="AJ3140">
        <v>1</v>
      </c>
      <c r="AK3140">
        <v>0</v>
      </c>
      <c r="AL3140">
        <v>0</v>
      </c>
      <c r="AM3140">
        <v>0</v>
      </c>
      <c r="AN3140">
        <v>1</v>
      </c>
      <c r="AO3140">
        <v>1</v>
      </c>
      <c r="AP3140">
        <v>1</v>
      </c>
      <c r="AQ3140">
        <v>1</v>
      </c>
      <c r="AR3140">
        <v>1</v>
      </c>
      <c r="AS3140">
        <v>1</v>
      </c>
      <c r="AT3140">
        <v>0</v>
      </c>
      <c r="AV3140">
        <v>1</v>
      </c>
      <c r="AW3140">
        <v>1</v>
      </c>
    </row>
    <row r="3141" spans="1:49" x14ac:dyDescent="0.25">
      <c r="A3141" t="str">
        <f>"3137"</f>
        <v>3137</v>
      </c>
      <c r="B3141" t="str">
        <f t="shared" si="180"/>
        <v>1</v>
      </c>
      <c r="C3141" t="str">
        <f t="shared" si="181"/>
        <v>138</v>
      </c>
      <c r="D3141" t="str">
        <f>"12"</f>
        <v>12</v>
      </c>
      <c r="E3141" t="str">
        <f>"1-138-12"</f>
        <v>1-138-12</v>
      </c>
      <c r="F3141" t="s">
        <v>83</v>
      </c>
      <c r="G3141" t="s">
        <v>84</v>
      </c>
      <c r="H3141" t="s">
        <v>85</v>
      </c>
      <c r="AC3141">
        <v>0</v>
      </c>
      <c r="AD3141">
        <v>1</v>
      </c>
      <c r="AE3141">
        <v>0</v>
      </c>
      <c r="AF3141">
        <v>0</v>
      </c>
      <c r="AG3141">
        <v>1</v>
      </c>
      <c r="AJ3141">
        <v>0</v>
      </c>
      <c r="AK3141">
        <v>1</v>
      </c>
      <c r="AL3141">
        <v>0</v>
      </c>
      <c r="AM3141">
        <v>0</v>
      </c>
      <c r="AN3141">
        <v>1</v>
      </c>
      <c r="AO3141">
        <v>1</v>
      </c>
      <c r="AP3141">
        <v>1</v>
      </c>
      <c r="AQ3141">
        <v>1</v>
      </c>
      <c r="AR3141">
        <v>1</v>
      </c>
      <c r="AS3141">
        <v>0</v>
      </c>
      <c r="AT3141">
        <v>1</v>
      </c>
      <c r="AV3141">
        <v>1</v>
      </c>
      <c r="AW3141">
        <v>1</v>
      </c>
    </row>
    <row r="3142" spans="1:49" x14ac:dyDescent="0.25">
      <c r="A3142" t="str">
        <f>"3138"</f>
        <v>3138</v>
      </c>
      <c r="B3142" t="str">
        <f t="shared" si="180"/>
        <v>1</v>
      </c>
      <c r="C3142" t="str">
        <f t="shared" si="181"/>
        <v>138</v>
      </c>
      <c r="D3142" t="str">
        <f>"4"</f>
        <v>4</v>
      </c>
      <c r="E3142" t="str">
        <f>"1-138-4"</f>
        <v>1-138-4</v>
      </c>
      <c r="F3142" t="s">
        <v>83</v>
      </c>
      <c r="G3142" t="s">
        <v>84</v>
      </c>
      <c r="H3142" t="s">
        <v>85</v>
      </c>
      <c r="AC3142">
        <v>0</v>
      </c>
      <c r="AD3142">
        <v>0</v>
      </c>
      <c r="AE3142">
        <v>0</v>
      </c>
      <c r="AF3142">
        <v>0</v>
      </c>
      <c r="AG3142">
        <v>0</v>
      </c>
      <c r="AJ3142">
        <v>0</v>
      </c>
      <c r="AK3142">
        <v>0</v>
      </c>
      <c r="AL3142">
        <v>0</v>
      </c>
      <c r="AM3142">
        <v>0</v>
      </c>
      <c r="AN3142">
        <v>0</v>
      </c>
      <c r="AO3142">
        <v>0</v>
      </c>
      <c r="AP3142">
        <v>0</v>
      </c>
      <c r="AQ3142">
        <v>0</v>
      </c>
      <c r="AR3142">
        <v>0</v>
      </c>
      <c r="AS3142">
        <v>0</v>
      </c>
      <c r="AT3142">
        <v>0</v>
      </c>
      <c r="AV3142">
        <v>1</v>
      </c>
      <c r="AW3142">
        <v>1</v>
      </c>
    </row>
    <row r="3143" spans="1:49" x14ac:dyDescent="0.25">
      <c r="A3143" t="str">
        <f>"3139"</f>
        <v>3139</v>
      </c>
      <c r="B3143" t="str">
        <f t="shared" si="180"/>
        <v>1</v>
      </c>
      <c r="C3143" t="str">
        <f t="shared" si="181"/>
        <v>138</v>
      </c>
      <c r="D3143" t="str">
        <f>"20"</f>
        <v>20</v>
      </c>
      <c r="E3143" t="str">
        <f>"1-138-20"</f>
        <v>1-138-20</v>
      </c>
      <c r="F3143" t="s">
        <v>83</v>
      </c>
      <c r="G3143" t="s">
        <v>84</v>
      </c>
      <c r="H3143" t="s">
        <v>85</v>
      </c>
      <c r="AC3143">
        <v>0</v>
      </c>
      <c r="AD3143">
        <v>1</v>
      </c>
      <c r="AE3143">
        <v>0</v>
      </c>
      <c r="AF3143">
        <v>0</v>
      </c>
      <c r="AG3143">
        <v>0</v>
      </c>
      <c r="AJ3143">
        <v>0</v>
      </c>
      <c r="AK3143">
        <v>1</v>
      </c>
      <c r="AL3143">
        <v>0</v>
      </c>
      <c r="AM3143">
        <v>0</v>
      </c>
      <c r="AN3143">
        <v>1</v>
      </c>
      <c r="AO3143">
        <v>0</v>
      </c>
      <c r="AP3143">
        <v>0</v>
      </c>
      <c r="AQ3143">
        <v>0</v>
      </c>
      <c r="AR3143">
        <v>1</v>
      </c>
      <c r="AS3143">
        <v>0</v>
      </c>
      <c r="AT3143">
        <v>1</v>
      </c>
      <c r="AV3143">
        <v>0</v>
      </c>
      <c r="AW3143">
        <v>1</v>
      </c>
    </row>
    <row r="3144" spans="1:49" x14ac:dyDescent="0.25">
      <c r="A3144" t="str">
        <f>"3140"</f>
        <v>3140</v>
      </c>
      <c r="B3144" t="str">
        <f t="shared" si="180"/>
        <v>1</v>
      </c>
      <c r="C3144" t="str">
        <f t="shared" si="181"/>
        <v>138</v>
      </c>
      <c r="D3144" t="str">
        <f>"13"</f>
        <v>13</v>
      </c>
      <c r="E3144" t="str">
        <f>"1-138-13"</f>
        <v>1-138-13</v>
      </c>
      <c r="F3144" t="s">
        <v>83</v>
      </c>
      <c r="G3144" t="s">
        <v>84</v>
      </c>
      <c r="H3144" t="s">
        <v>85</v>
      </c>
      <c r="AC3144">
        <v>1</v>
      </c>
      <c r="AD3144">
        <v>0</v>
      </c>
      <c r="AE3144">
        <v>0</v>
      </c>
      <c r="AF3144">
        <v>0</v>
      </c>
      <c r="AG3144">
        <v>1</v>
      </c>
      <c r="AJ3144">
        <v>1</v>
      </c>
      <c r="AK3144">
        <v>0</v>
      </c>
      <c r="AL3144">
        <v>0</v>
      </c>
      <c r="AM3144">
        <v>1</v>
      </c>
      <c r="AN3144">
        <v>0</v>
      </c>
      <c r="AO3144">
        <v>1</v>
      </c>
      <c r="AP3144">
        <v>1</v>
      </c>
      <c r="AQ3144">
        <v>1</v>
      </c>
      <c r="AR3144">
        <v>1</v>
      </c>
      <c r="AS3144">
        <v>1</v>
      </c>
      <c r="AT3144">
        <v>0</v>
      </c>
      <c r="AV3144">
        <v>1</v>
      </c>
      <c r="AW3144">
        <v>1</v>
      </c>
    </row>
    <row r="3145" spans="1:49" x14ac:dyDescent="0.25">
      <c r="A3145" t="str">
        <f>"3141"</f>
        <v>3141</v>
      </c>
      <c r="B3145" t="str">
        <f t="shared" si="180"/>
        <v>1</v>
      </c>
      <c r="C3145" t="str">
        <f t="shared" si="181"/>
        <v>138</v>
      </c>
      <c r="D3145" t="str">
        <f>"6"</f>
        <v>6</v>
      </c>
      <c r="E3145" t="str">
        <f>"1-138-6"</f>
        <v>1-138-6</v>
      </c>
      <c r="F3145" t="s">
        <v>83</v>
      </c>
      <c r="G3145" t="s">
        <v>84</v>
      </c>
      <c r="H3145" t="s">
        <v>85</v>
      </c>
      <c r="AC3145">
        <v>0</v>
      </c>
      <c r="AD3145">
        <v>1</v>
      </c>
      <c r="AE3145">
        <v>0</v>
      </c>
      <c r="AF3145">
        <v>0</v>
      </c>
      <c r="AG3145">
        <v>1</v>
      </c>
      <c r="AJ3145">
        <v>0</v>
      </c>
      <c r="AK3145">
        <v>1</v>
      </c>
      <c r="AL3145">
        <v>0</v>
      </c>
      <c r="AM3145">
        <v>0</v>
      </c>
      <c r="AN3145">
        <v>1</v>
      </c>
      <c r="AO3145">
        <v>1</v>
      </c>
      <c r="AP3145">
        <v>1</v>
      </c>
      <c r="AQ3145">
        <v>0</v>
      </c>
      <c r="AR3145">
        <v>1</v>
      </c>
      <c r="AS3145">
        <v>1</v>
      </c>
      <c r="AT3145">
        <v>0</v>
      </c>
      <c r="AV3145">
        <v>1</v>
      </c>
      <c r="AW3145">
        <v>1</v>
      </c>
    </row>
    <row r="3146" spans="1:49" x14ac:dyDescent="0.25">
      <c r="A3146" t="str">
        <f>"3142"</f>
        <v>3142</v>
      </c>
      <c r="B3146" t="str">
        <f t="shared" si="180"/>
        <v>1</v>
      </c>
      <c r="C3146" t="str">
        <f t="shared" si="181"/>
        <v>138</v>
      </c>
      <c r="D3146" t="str">
        <f>"21"</f>
        <v>21</v>
      </c>
      <c r="E3146" t="str">
        <f>"1-138-21"</f>
        <v>1-138-21</v>
      </c>
      <c r="F3146" t="s">
        <v>83</v>
      </c>
      <c r="G3146" t="s">
        <v>84</v>
      </c>
      <c r="H3146" t="s">
        <v>85</v>
      </c>
      <c r="AC3146">
        <v>0</v>
      </c>
      <c r="AD3146">
        <v>1</v>
      </c>
      <c r="AE3146">
        <v>0</v>
      </c>
      <c r="AF3146">
        <v>0</v>
      </c>
      <c r="AG3146">
        <v>1</v>
      </c>
      <c r="AJ3146">
        <v>1</v>
      </c>
      <c r="AK3146">
        <v>0</v>
      </c>
      <c r="AL3146">
        <v>0</v>
      </c>
      <c r="AM3146">
        <v>0</v>
      </c>
      <c r="AN3146">
        <v>1</v>
      </c>
      <c r="AO3146">
        <v>1</v>
      </c>
      <c r="AP3146">
        <v>1</v>
      </c>
      <c r="AQ3146">
        <v>1</v>
      </c>
      <c r="AR3146">
        <v>1</v>
      </c>
      <c r="AS3146">
        <v>0</v>
      </c>
      <c r="AT3146">
        <v>1</v>
      </c>
      <c r="AV3146">
        <v>1</v>
      </c>
      <c r="AW3146">
        <v>1</v>
      </c>
    </row>
    <row r="3147" spans="1:49" x14ac:dyDescent="0.25">
      <c r="A3147" t="str">
        <f>"3143"</f>
        <v>3143</v>
      </c>
      <c r="B3147" t="str">
        <f t="shared" si="180"/>
        <v>1</v>
      </c>
      <c r="C3147" t="str">
        <f t="shared" si="181"/>
        <v>138</v>
      </c>
      <c r="D3147" t="str">
        <f>"14"</f>
        <v>14</v>
      </c>
      <c r="E3147" t="str">
        <f>"1-138-14"</f>
        <v>1-138-14</v>
      </c>
      <c r="F3147" t="s">
        <v>83</v>
      </c>
      <c r="G3147" t="s">
        <v>84</v>
      </c>
      <c r="H3147" t="s">
        <v>85</v>
      </c>
      <c r="AC3147">
        <v>1</v>
      </c>
      <c r="AD3147">
        <v>0</v>
      </c>
      <c r="AE3147">
        <v>0</v>
      </c>
      <c r="AF3147">
        <v>0</v>
      </c>
      <c r="AG3147">
        <v>1</v>
      </c>
      <c r="AJ3147">
        <v>0</v>
      </c>
      <c r="AK3147">
        <v>0</v>
      </c>
      <c r="AL3147">
        <v>0</v>
      </c>
      <c r="AM3147">
        <v>0</v>
      </c>
      <c r="AN3147">
        <v>0</v>
      </c>
      <c r="AO3147">
        <v>1</v>
      </c>
      <c r="AP3147">
        <v>1</v>
      </c>
      <c r="AQ3147">
        <v>1</v>
      </c>
      <c r="AR3147">
        <v>1</v>
      </c>
      <c r="AS3147">
        <v>1</v>
      </c>
      <c r="AT3147">
        <v>0</v>
      </c>
      <c r="AV3147">
        <v>1</v>
      </c>
      <c r="AW3147">
        <v>1</v>
      </c>
    </row>
    <row r="3148" spans="1:49" x14ac:dyDescent="0.25">
      <c r="A3148" t="str">
        <f>"3144"</f>
        <v>3144</v>
      </c>
      <c r="B3148" t="str">
        <f t="shared" si="180"/>
        <v>1</v>
      </c>
      <c r="C3148" t="str">
        <f t="shared" si="181"/>
        <v>138</v>
      </c>
      <c r="D3148" t="str">
        <f>"1"</f>
        <v>1</v>
      </c>
      <c r="E3148" t="str">
        <f>"1-138-1"</f>
        <v>1-138-1</v>
      </c>
      <c r="F3148" t="s">
        <v>83</v>
      </c>
      <c r="G3148" t="s">
        <v>84</v>
      </c>
      <c r="H3148" t="s">
        <v>85</v>
      </c>
      <c r="AC3148">
        <v>0</v>
      </c>
      <c r="AD3148">
        <v>1</v>
      </c>
      <c r="AE3148">
        <v>0</v>
      </c>
      <c r="AF3148">
        <v>0</v>
      </c>
      <c r="AG3148">
        <v>0</v>
      </c>
      <c r="AJ3148">
        <v>0</v>
      </c>
      <c r="AK3148">
        <v>0</v>
      </c>
      <c r="AL3148">
        <v>0</v>
      </c>
      <c r="AM3148">
        <v>0</v>
      </c>
      <c r="AN3148">
        <v>1</v>
      </c>
      <c r="AO3148">
        <v>0</v>
      </c>
      <c r="AP3148">
        <v>0</v>
      </c>
      <c r="AQ3148">
        <v>0</v>
      </c>
      <c r="AR3148">
        <v>0</v>
      </c>
      <c r="AS3148">
        <v>0</v>
      </c>
      <c r="AT3148">
        <v>1</v>
      </c>
      <c r="AV3148">
        <v>0</v>
      </c>
      <c r="AW3148">
        <v>1</v>
      </c>
    </row>
    <row r="3149" spans="1:49" x14ac:dyDescent="0.25">
      <c r="A3149" t="str">
        <f>"3145"</f>
        <v>3145</v>
      </c>
      <c r="B3149" t="str">
        <f t="shared" si="180"/>
        <v>1</v>
      </c>
      <c r="C3149" t="str">
        <f t="shared" si="181"/>
        <v>138</v>
      </c>
      <c r="D3149" t="str">
        <f>"2"</f>
        <v>2</v>
      </c>
      <c r="E3149" t="str">
        <f>"1-138-2"</f>
        <v>1-138-2</v>
      </c>
      <c r="F3149" t="s">
        <v>83</v>
      </c>
      <c r="G3149" t="s">
        <v>84</v>
      </c>
      <c r="H3149" t="s">
        <v>85</v>
      </c>
      <c r="AC3149">
        <v>1</v>
      </c>
      <c r="AD3149">
        <v>0</v>
      </c>
      <c r="AE3149">
        <v>0</v>
      </c>
      <c r="AF3149">
        <v>0</v>
      </c>
      <c r="AG3149">
        <v>1</v>
      </c>
      <c r="AJ3149">
        <v>1</v>
      </c>
      <c r="AK3149">
        <v>0</v>
      </c>
      <c r="AL3149">
        <v>1</v>
      </c>
      <c r="AM3149">
        <v>0</v>
      </c>
      <c r="AN3149">
        <v>0</v>
      </c>
      <c r="AO3149">
        <v>1</v>
      </c>
      <c r="AP3149">
        <v>1</v>
      </c>
      <c r="AQ3149">
        <v>1</v>
      </c>
      <c r="AR3149">
        <v>1</v>
      </c>
      <c r="AS3149">
        <v>1</v>
      </c>
      <c r="AT3149">
        <v>0</v>
      </c>
      <c r="AV3149">
        <v>1</v>
      </c>
      <c r="AW3149">
        <v>1</v>
      </c>
    </row>
    <row r="3150" spans="1:49" x14ac:dyDescent="0.25">
      <c r="A3150" t="str">
        <f>"3146"</f>
        <v>3146</v>
      </c>
      <c r="B3150" t="str">
        <f t="shared" si="180"/>
        <v>1</v>
      </c>
      <c r="C3150" t="str">
        <f t="shared" ref="C3150:C3174" si="182">"139"</f>
        <v>139</v>
      </c>
      <c r="D3150" t="str">
        <f>"23"</f>
        <v>23</v>
      </c>
      <c r="E3150" t="str">
        <f>"1-139-23"</f>
        <v>1-139-23</v>
      </c>
      <c r="F3150" t="s">
        <v>83</v>
      </c>
      <c r="G3150" t="s">
        <v>84</v>
      </c>
      <c r="H3150" t="s">
        <v>85</v>
      </c>
      <c r="AC3150">
        <v>1</v>
      </c>
      <c r="AD3150">
        <v>0</v>
      </c>
      <c r="AE3150">
        <v>0</v>
      </c>
      <c r="AF3150">
        <v>0</v>
      </c>
      <c r="AG3150">
        <v>1</v>
      </c>
      <c r="AJ3150">
        <v>1</v>
      </c>
      <c r="AK3150">
        <v>0</v>
      </c>
      <c r="AL3150">
        <v>1</v>
      </c>
      <c r="AM3150">
        <v>0</v>
      </c>
      <c r="AN3150">
        <v>0</v>
      </c>
      <c r="AO3150">
        <v>1</v>
      </c>
      <c r="AP3150">
        <v>1</v>
      </c>
      <c r="AQ3150">
        <v>1</v>
      </c>
      <c r="AR3150">
        <v>1</v>
      </c>
      <c r="AS3150">
        <v>1</v>
      </c>
      <c r="AT3150">
        <v>0</v>
      </c>
      <c r="AV3150">
        <v>1</v>
      </c>
      <c r="AW3150">
        <v>1</v>
      </c>
    </row>
    <row r="3151" spans="1:49" x14ac:dyDescent="0.25">
      <c r="A3151" t="str">
        <f>"3147"</f>
        <v>3147</v>
      </c>
      <c r="B3151" t="str">
        <f t="shared" si="180"/>
        <v>1</v>
      </c>
      <c r="C3151" t="str">
        <f t="shared" si="182"/>
        <v>139</v>
      </c>
      <c r="D3151" t="str">
        <f>"22"</f>
        <v>22</v>
      </c>
      <c r="E3151" t="str">
        <f>"1-139-22"</f>
        <v>1-139-22</v>
      </c>
      <c r="F3151" t="s">
        <v>83</v>
      </c>
      <c r="G3151" t="s">
        <v>86</v>
      </c>
      <c r="H3151" t="s">
        <v>87</v>
      </c>
      <c r="AC3151">
        <v>0</v>
      </c>
      <c r="AD3151">
        <v>0</v>
      </c>
      <c r="AE3151">
        <v>0</v>
      </c>
      <c r="AF3151">
        <v>0</v>
      </c>
      <c r="AH3151">
        <v>1</v>
      </c>
      <c r="AI3151">
        <v>0</v>
      </c>
      <c r="AJ3151">
        <v>0</v>
      </c>
      <c r="AK3151">
        <v>0</v>
      </c>
      <c r="AL3151">
        <v>0</v>
      </c>
      <c r="AM3151">
        <v>0</v>
      </c>
      <c r="AN3151">
        <v>0</v>
      </c>
      <c r="AO3151">
        <v>0</v>
      </c>
      <c r="AP3151">
        <v>0</v>
      </c>
      <c r="AQ3151">
        <v>0</v>
      </c>
      <c r="AU3151">
        <v>0</v>
      </c>
      <c r="AV3151">
        <v>0</v>
      </c>
      <c r="AW3151">
        <v>0</v>
      </c>
    </row>
    <row r="3152" spans="1:49" x14ac:dyDescent="0.25">
      <c r="A3152" t="str">
        <f>"3148"</f>
        <v>3148</v>
      </c>
      <c r="B3152" t="str">
        <f t="shared" si="180"/>
        <v>1</v>
      </c>
      <c r="C3152" t="str">
        <f t="shared" si="182"/>
        <v>139</v>
      </c>
      <c r="D3152" t="str">
        <f>"15"</f>
        <v>15</v>
      </c>
      <c r="E3152" t="str">
        <f>"1-139-15"</f>
        <v>1-139-15</v>
      </c>
      <c r="F3152" t="s">
        <v>83</v>
      </c>
      <c r="G3152" t="s">
        <v>84</v>
      </c>
      <c r="H3152" t="s">
        <v>85</v>
      </c>
      <c r="AC3152">
        <v>0</v>
      </c>
      <c r="AD3152">
        <v>1</v>
      </c>
      <c r="AE3152">
        <v>0</v>
      </c>
      <c r="AF3152">
        <v>0</v>
      </c>
      <c r="AG3152">
        <v>1</v>
      </c>
      <c r="AJ3152">
        <v>0</v>
      </c>
      <c r="AK3152">
        <v>1</v>
      </c>
      <c r="AL3152">
        <v>0</v>
      </c>
      <c r="AM3152">
        <v>0</v>
      </c>
      <c r="AN3152">
        <v>1</v>
      </c>
      <c r="AO3152">
        <v>1</v>
      </c>
      <c r="AP3152">
        <v>1</v>
      </c>
      <c r="AQ3152">
        <v>1</v>
      </c>
      <c r="AR3152">
        <v>1</v>
      </c>
      <c r="AS3152">
        <v>0</v>
      </c>
      <c r="AT3152">
        <v>0</v>
      </c>
      <c r="AV3152">
        <v>1</v>
      </c>
      <c r="AW3152">
        <v>1</v>
      </c>
    </row>
    <row r="3153" spans="1:49" x14ac:dyDescent="0.25">
      <c r="A3153" t="str">
        <f>"3149"</f>
        <v>3149</v>
      </c>
      <c r="B3153" t="str">
        <f t="shared" si="180"/>
        <v>1</v>
      </c>
      <c r="C3153" t="str">
        <f t="shared" si="182"/>
        <v>139</v>
      </c>
      <c r="D3153" t="str">
        <f>"8"</f>
        <v>8</v>
      </c>
      <c r="E3153" t="str">
        <f>"1-139-8"</f>
        <v>1-139-8</v>
      </c>
      <c r="F3153" t="s">
        <v>83</v>
      </c>
      <c r="G3153" t="s">
        <v>84</v>
      </c>
      <c r="H3153" t="s">
        <v>85</v>
      </c>
      <c r="AC3153">
        <v>0</v>
      </c>
      <c r="AD3153">
        <v>1</v>
      </c>
      <c r="AE3153">
        <v>0</v>
      </c>
      <c r="AF3153">
        <v>0</v>
      </c>
      <c r="AG3153">
        <v>1</v>
      </c>
      <c r="AJ3153">
        <v>0</v>
      </c>
      <c r="AK3153">
        <v>1</v>
      </c>
      <c r="AL3153">
        <v>0</v>
      </c>
      <c r="AM3153">
        <v>0</v>
      </c>
      <c r="AN3153">
        <v>1</v>
      </c>
      <c r="AO3153">
        <v>1</v>
      </c>
      <c r="AP3153">
        <v>1</v>
      </c>
      <c r="AQ3153">
        <v>1</v>
      </c>
      <c r="AR3153">
        <v>1</v>
      </c>
      <c r="AS3153">
        <v>0</v>
      </c>
      <c r="AT3153">
        <v>1</v>
      </c>
      <c r="AV3153">
        <v>1</v>
      </c>
      <c r="AW3153">
        <v>1</v>
      </c>
    </row>
    <row r="3154" spans="1:49" x14ac:dyDescent="0.25">
      <c r="A3154" t="str">
        <f>"3150"</f>
        <v>3150</v>
      </c>
      <c r="B3154" t="str">
        <f t="shared" si="180"/>
        <v>1</v>
      </c>
      <c r="C3154" t="str">
        <f t="shared" si="182"/>
        <v>139</v>
      </c>
      <c r="D3154" t="str">
        <f>"4"</f>
        <v>4</v>
      </c>
      <c r="E3154" t="str">
        <f>"1-139-4"</f>
        <v>1-139-4</v>
      </c>
      <c r="F3154" t="s">
        <v>83</v>
      </c>
      <c r="G3154" t="s">
        <v>84</v>
      </c>
      <c r="H3154" t="s">
        <v>85</v>
      </c>
      <c r="AC3154">
        <v>1</v>
      </c>
      <c r="AD3154">
        <v>0</v>
      </c>
      <c r="AE3154">
        <v>0</v>
      </c>
      <c r="AF3154">
        <v>0</v>
      </c>
      <c r="AG3154">
        <v>1</v>
      </c>
      <c r="AJ3154">
        <v>1</v>
      </c>
      <c r="AK3154">
        <v>0</v>
      </c>
      <c r="AL3154">
        <v>1</v>
      </c>
      <c r="AM3154">
        <v>0</v>
      </c>
      <c r="AN3154">
        <v>0</v>
      </c>
      <c r="AO3154">
        <v>1</v>
      </c>
      <c r="AP3154">
        <v>1</v>
      </c>
      <c r="AQ3154">
        <v>1</v>
      </c>
      <c r="AR3154">
        <v>1</v>
      </c>
      <c r="AS3154">
        <v>1</v>
      </c>
      <c r="AT3154">
        <v>0</v>
      </c>
      <c r="AV3154">
        <v>1</v>
      </c>
      <c r="AW3154">
        <v>1</v>
      </c>
    </row>
    <row r="3155" spans="1:49" x14ac:dyDescent="0.25">
      <c r="A3155" t="str">
        <f>"3151"</f>
        <v>3151</v>
      </c>
      <c r="B3155" t="str">
        <f t="shared" si="180"/>
        <v>1</v>
      </c>
      <c r="C3155" t="str">
        <f t="shared" si="182"/>
        <v>139</v>
      </c>
      <c r="D3155" t="str">
        <f>"25"</f>
        <v>25</v>
      </c>
      <c r="E3155" t="str">
        <f>"1-139-25"</f>
        <v>1-139-25</v>
      </c>
      <c r="F3155" t="s">
        <v>83</v>
      </c>
      <c r="G3155" t="s">
        <v>84</v>
      </c>
      <c r="H3155" t="s">
        <v>85</v>
      </c>
      <c r="AC3155">
        <v>1</v>
      </c>
      <c r="AD3155">
        <v>0</v>
      </c>
      <c r="AE3155">
        <v>0</v>
      </c>
      <c r="AF3155">
        <v>0</v>
      </c>
      <c r="AG3155">
        <v>1</v>
      </c>
      <c r="AJ3155">
        <v>0</v>
      </c>
      <c r="AK3155">
        <v>1</v>
      </c>
      <c r="AL3155">
        <v>1</v>
      </c>
      <c r="AM3155">
        <v>0</v>
      </c>
      <c r="AN3155">
        <v>0</v>
      </c>
      <c r="AO3155">
        <v>1</v>
      </c>
      <c r="AP3155">
        <v>1</v>
      </c>
      <c r="AQ3155">
        <v>1</v>
      </c>
      <c r="AR3155">
        <v>1</v>
      </c>
      <c r="AS3155">
        <v>1</v>
      </c>
      <c r="AT3155">
        <v>0</v>
      </c>
      <c r="AV3155">
        <v>1</v>
      </c>
      <c r="AW3155">
        <v>1</v>
      </c>
    </row>
    <row r="3156" spans="1:49" x14ac:dyDescent="0.25">
      <c r="A3156" t="str">
        <f>"3152"</f>
        <v>3152</v>
      </c>
      <c r="B3156" t="str">
        <f t="shared" si="180"/>
        <v>1</v>
      </c>
      <c r="C3156" t="str">
        <f t="shared" si="182"/>
        <v>139</v>
      </c>
      <c r="D3156" t="str">
        <f>"24"</f>
        <v>24</v>
      </c>
      <c r="E3156" t="str">
        <f>"1-139-24"</f>
        <v>1-139-24</v>
      </c>
      <c r="F3156" t="s">
        <v>83</v>
      </c>
      <c r="G3156" t="s">
        <v>84</v>
      </c>
      <c r="H3156" t="s">
        <v>85</v>
      </c>
      <c r="AC3156">
        <v>0</v>
      </c>
      <c r="AD3156">
        <v>1</v>
      </c>
      <c r="AE3156">
        <v>0</v>
      </c>
      <c r="AF3156">
        <v>0</v>
      </c>
      <c r="AG3156">
        <v>0</v>
      </c>
      <c r="AJ3156">
        <v>1</v>
      </c>
      <c r="AK3156">
        <v>0</v>
      </c>
      <c r="AL3156">
        <v>0</v>
      </c>
      <c r="AM3156">
        <v>0</v>
      </c>
      <c r="AN3156">
        <v>1</v>
      </c>
      <c r="AO3156">
        <v>0</v>
      </c>
      <c r="AP3156">
        <v>0</v>
      </c>
      <c r="AQ3156">
        <v>0</v>
      </c>
      <c r="AR3156">
        <v>0</v>
      </c>
      <c r="AS3156">
        <v>0</v>
      </c>
      <c r="AT3156">
        <v>1</v>
      </c>
      <c r="AV3156">
        <v>0</v>
      </c>
      <c r="AW3156">
        <v>0</v>
      </c>
    </row>
    <row r="3157" spans="1:49" x14ac:dyDescent="0.25">
      <c r="A3157" t="str">
        <f>"3153"</f>
        <v>3153</v>
      </c>
      <c r="B3157" t="str">
        <f t="shared" si="180"/>
        <v>1</v>
      </c>
      <c r="C3157" t="str">
        <f t="shared" si="182"/>
        <v>139</v>
      </c>
      <c r="D3157" t="str">
        <f>"16"</f>
        <v>16</v>
      </c>
      <c r="E3157" t="str">
        <f>"1-139-16"</f>
        <v>1-139-16</v>
      </c>
      <c r="F3157" t="s">
        <v>83</v>
      </c>
      <c r="G3157" t="s">
        <v>84</v>
      </c>
      <c r="H3157" t="s">
        <v>85</v>
      </c>
      <c r="AC3157">
        <v>0</v>
      </c>
      <c r="AD3157">
        <v>1</v>
      </c>
      <c r="AE3157">
        <v>0</v>
      </c>
      <c r="AF3157">
        <v>0</v>
      </c>
      <c r="AG3157">
        <v>0</v>
      </c>
      <c r="AJ3157">
        <v>0</v>
      </c>
      <c r="AK3157">
        <v>1</v>
      </c>
      <c r="AL3157">
        <v>0</v>
      </c>
      <c r="AM3157">
        <v>0</v>
      </c>
      <c r="AN3157">
        <v>1</v>
      </c>
      <c r="AO3157">
        <v>0</v>
      </c>
      <c r="AP3157">
        <v>0</v>
      </c>
      <c r="AQ3157">
        <v>0</v>
      </c>
      <c r="AR3157">
        <v>0</v>
      </c>
      <c r="AS3157">
        <v>1</v>
      </c>
      <c r="AT3157">
        <v>0</v>
      </c>
      <c r="AV3157">
        <v>0</v>
      </c>
      <c r="AW3157">
        <v>0</v>
      </c>
    </row>
    <row r="3158" spans="1:49" x14ac:dyDescent="0.25">
      <c r="A3158" t="str">
        <f>"3154"</f>
        <v>3154</v>
      </c>
      <c r="B3158" t="str">
        <f t="shared" si="180"/>
        <v>1</v>
      </c>
      <c r="C3158" t="str">
        <f t="shared" si="182"/>
        <v>139</v>
      </c>
      <c r="D3158" t="str">
        <f>"9"</f>
        <v>9</v>
      </c>
      <c r="E3158" t="str">
        <f>"1-139-9"</f>
        <v>1-139-9</v>
      </c>
      <c r="F3158" t="s">
        <v>83</v>
      </c>
      <c r="G3158" t="s">
        <v>84</v>
      </c>
      <c r="H3158" t="s">
        <v>85</v>
      </c>
      <c r="AC3158">
        <v>0</v>
      </c>
      <c r="AD3158">
        <v>1</v>
      </c>
      <c r="AE3158">
        <v>0</v>
      </c>
      <c r="AF3158">
        <v>0</v>
      </c>
      <c r="AG3158">
        <v>1</v>
      </c>
      <c r="AJ3158">
        <v>0</v>
      </c>
      <c r="AK3158">
        <v>1</v>
      </c>
      <c r="AL3158">
        <v>0</v>
      </c>
      <c r="AM3158">
        <v>0</v>
      </c>
      <c r="AN3158">
        <v>1</v>
      </c>
      <c r="AO3158">
        <v>1</v>
      </c>
      <c r="AP3158">
        <v>1</v>
      </c>
      <c r="AQ3158">
        <v>1</v>
      </c>
      <c r="AR3158">
        <v>1</v>
      </c>
      <c r="AS3158">
        <v>0</v>
      </c>
      <c r="AT3158">
        <v>1</v>
      </c>
      <c r="AV3158">
        <v>1</v>
      </c>
      <c r="AW3158">
        <v>1</v>
      </c>
    </row>
    <row r="3159" spans="1:49" x14ac:dyDescent="0.25">
      <c r="A3159" t="str">
        <f>"3155"</f>
        <v>3155</v>
      </c>
      <c r="B3159" t="str">
        <f t="shared" si="180"/>
        <v>1</v>
      </c>
      <c r="C3159" t="str">
        <f t="shared" si="182"/>
        <v>139</v>
      </c>
      <c r="D3159" t="str">
        <f>"6"</f>
        <v>6</v>
      </c>
      <c r="E3159" t="str">
        <f>"1-139-6"</f>
        <v>1-139-6</v>
      </c>
      <c r="F3159" t="s">
        <v>83</v>
      </c>
      <c r="G3159" t="s">
        <v>86</v>
      </c>
      <c r="H3159" t="s">
        <v>87</v>
      </c>
      <c r="AC3159">
        <v>0</v>
      </c>
      <c r="AD3159">
        <v>0</v>
      </c>
      <c r="AE3159">
        <v>0</v>
      </c>
      <c r="AF3159">
        <v>0</v>
      </c>
      <c r="AH3159">
        <v>0</v>
      </c>
      <c r="AI3159">
        <v>1</v>
      </c>
      <c r="AJ3159">
        <v>0</v>
      </c>
      <c r="AK3159">
        <v>0</v>
      </c>
      <c r="AL3159">
        <v>0</v>
      </c>
      <c r="AM3159">
        <v>0</v>
      </c>
      <c r="AN3159">
        <v>0</v>
      </c>
      <c r="AO3159">
        <v>0</v>
      </c>
      <c r="AP3159">
        <v>0</v>
      </c>
      <c r="AQ3159">
        <v>0</v>
      </c>
      <c r="AU3159">
        <v>0</v>
      </c>
      <c r="AV3159">
        <v>0</v>
      </c>
      <c r="AW3159">
        <v>0</v>
      </c>
    </row>
    <row r="3160" spans="1:49" x14ac:dyDescent="0.25">
      <c r="A3160" t="str">
        <f>"3156"</f>
        <v>3156</v>
      </c>
      <c r="B3160" t="str">
        <f t="shared" si="180"/>
        <v>1</v>
      </c>
      <c r="C3160" t="str">
        <f t="shared" si="182"/>
        <v>139</v>
      </c>
      <c r="D3160" t="str">
        <f>"17"</f>
        <v>17</v>
      </c>
      <c r="E3160" t="str">
        <f>"1-139-17"</f>
        <v>1-139-17</v>
      </c>
      <c r="F3160" t="s">
        <v>83</v>
      </c>
      <c r="G3160" t="s">
        <v>84</v>
      </c>
      <c r="H3160" t="s">
        <v>85</v>
      </c>
      <c r="AC3160">
        <v>0</v>
      </c>
      <c r="AD3160">
        <v>0</v>
      </c>
      <c r="AE3160">
        <v>0</v>
      </c>
      <c r="AF3160">
        <v>0</v>
      </c>
      <c r="AG3160">
        <v>0</v>
      </c>
      <c r="AJ3160">
        <v>0</v>
      </c>
      <c r="AK3160">
        <v>0</v>
      </c>
      <c r="AL3160">
        <v>0</v>
      </c>
      <c r="AM3160">
        <v>0</v>
      </c>
      <c r="AN3160">
        <v>0</v>
      </c>
      <c r="AO3160">
        <v>0</v>
      </c>
      <c r="AP3160">
        <v>0</v>
      </c>
      <c r="AQ3160">
        <v>0</v>
      </c>
      <c r="AR3160">
        <v>0</v>
      </c>
      <c r="AS3160">
        <v>0</v>
      </c>
      <c r="AT3160">
        <v>0</v>
      </c>
      <c r="AV3160">
        <v>0</v>
      </c>
      <c r="AW3160">
        <v>1</v>
      </c>
    </row>
    <row r="3161" spans="1:49" x14ac:dyDescent="0.25">
      <c r="A3161" t="str">
        <f>"3157"</f>
        <v>3157</v>
      </c>
      <c r="B3161" t="str">
        <f t="shared" si="180"/>
        <v>1</v>
      </c>
      <c r="C3161" t="str">
        <f t="shared" si="182"/>
        <v>139</v>
      </c>
      <c r="D3161" t="str">
        <f>"10"</f>
        <v>10</v>
      </c>
      <c r="E3161" t="str">
        <f>"1-139-10"</f>
        <v>1-139-10</v>
      </c>
      <c r="F3161" t="s">
        <v>83</v>
      </c>
      <c r="G3161" t="s">
        <v>84</v>
      </c>
      <c r="H3161" t="s">
        <v>85</v>
      </c>
      <c r="AC3161">
        <v>0</v>
      </c>
      <c r="AD3161">
        <v>1</v>
      </c>
      <c r="AE3161">
        <v>0</v>
      </c>
      <c r="AF3161">
        <v>0</v>
      </c>
      <c r="AG3161">
        <v>1</v>
      </c>
      <c r="AJ3161">
        <v>1</v>
      </c>
      <c r="AK3161">
        <v>0</v>
      </c>
      <c r="AL3161">
        <v>1</v>
      </c>
      <c r="AM3161">
        <v>0</v>
      </c>
      <c r="AN3161">
        <v>0</v>
      </c>
      <c r="AO3161">
        <v>1</v>
      </c>
      <c r="AP3161">
        <v>1</v>
      </c>
      <c r="AQ3161">
        <v>1</v>
      </c>
      <c r="AR3161">
        <v>1</v>
      </c>
      <c r="AS3161">
        <v>1</v>
      </c>
      <c r="AT3161">
        <v>0</v>
      </c>
      <c r="AV3161">
        <v>1</v>
      </c>
      <c r="AW3161">
        <v>1</v>
      </c>
    </row>
    <row r="3162" spans="1:49" x14ac:dyDescent="0.25">
      <c r="A3162" t="str">
        <f>"3158"</f>
        <v>3158</v>
      </c>
      <c r="B3162" t="str">
        <f t="shared" si="180"/>
        <v>1</v>
      </c>
      <c r="C3162" t="str">
        <f t="shared" si="182"/>
        <v>139</v>
      </c>
      <c r="D3162" t="str">
        <f>"2"</f>
        <v>2</v>
      </c>
      <c r="E3162" t="str">
        <f>"1-139-2"</f>
        <v>1-139-2</v>
      </c>
      <c r="F3162" t="s">
        <v>83</v>
      </c>
      <c r="G3162" t="s">
        <v>86</v>
      </c>
      <c r="H3162" t="s">
        <v>87</v>
      </c>
      <c r="AC3162">
        <v>0</v>
      </c>
      <c r="AD3162">
        <v>1</v>
      </c>
      <c r="AE3162">
        <v>0</v>
      </c>
      <c r="AF3162">
        <v>0</v>
      </c>
      <c r="AH3162">
        <v>0</v>
      </c>
      <c r="AI3162">
        <v>1</v>
      </c>
      <c r="AJ3162">
        <v>0</v>
      </c>
      <c r="AK3162">
        <v>1</v>
      </c>
      <c r="AL3162">
        <v>1</v>
      </c>
      <c r="AM3162">
        <v>0</v>
      </c>
      <c r="AN3162">
        <v>0</v>
      </c>
      <c r="AO3162">
        <v>1</v>
      </c>
      <c r="AP3162">
        <v>1</v>
      </c>
      <c r="AQ3162">
        <v>1</v>
      </c>
      <c r="AU3162">
        <v>1</v>
      </c>
      <c r="AV3162">
        <v>1</v>
      </c>
      <c r="AW3162">
        <v>1</v>
      </c>
    </row>
    <row r="3163" spans="1:49" x14ac:dyDescent="0.25">
      <c r="A3163" t="str">
        <f>"3159"</f>
        <v>3159</v>
      </c>
      <c r="B3163" t="str">
        <f t="shared" si="180"/>
        <v>1</v>
      </c>
      <c r="C3163" t="str">
        <f t="shared" si="182"/>
        <v>139</v>
      </c>
      <c r="D3163" t="str">
        <f>"20"</f>
        <v>20</v>
      </c>
      <c r="E3163" t="str">
        <f>"1-139-20"</f>
        <v>1-139-20</v>
      </c>
      <c r="F3163" t="s">
        <v>83</v>
      </c>
      <c r="G3163" t="s">
        <v>86</v>
      </c>
      <c r="H3163" t="s">
        <v>87</v>
      </c>
      <c r="AC3163">
        <v>1</v>
      </c>
      <c r="AD3163">
        <v>0</v>
      </c>
      <c r="AE3163">
        <v>0</v>
      </c>
      <c r="AF3163">
        <v>0</v>
      </c>
      <c r="AH3163">
        <v>1</v>
      </c>
      <c r="AI3163">
        <v>0</v>
      </c>
      <c r="AJ3163">
        <v>0</v>
      </c>
      <c r="AK3163">
        <v>1</v>
      </c>
      <c r="AL3163">
        <v>1</v>
      </c>
      <c r="AM3163">
        <v>0</v>
      </c>
      <c r="AN3163">
        <v>0</v>
      </c>
      <c r="AO3163">
        <v>0</v>
      </c>
      <c r="AP3163">
        <v>0</v>
      </c>
      <c r="AQ3163">
        <v>0</v>
      </c>
      <c r="AU3163">
        <v>0</v>
      </c>
      <c r="AV3163">
        <v>0</v>
      </c>
      <c r="AW3163">
        <v>0</v>
      </c>
    </row>
    <row r="3164" spans="1:49" x14ac:dyDescent="0.25">
      <c r="A3164" t="str">
        <f>"3160"</f>
        <v>3160</v>
      </c>
      <c r="B3164" t="str">
        <f t="shared" si="180"/>
        <v>1</v>
      </c>
      <c r="C3164" t="str">
        <f t="shared" si="182"/>
        <v>139</v>
      </c>
      <c r="D3164" t="str">
        <f>"11"</f>
        <v>11</v>
      </c>
      <c r="E3164" t="str">
        <f>"1-139-11"</f>
        <v>1-139-11</v>
      </c>
      <c r="F3164" t="s">
        <v>83</v>
      </c>
      <c r="G3164" t="s">
        <v>84</v>
      </c>
      <c r="H3164" t="s">
        <v>85</v>
      </c>
      <c r="AC3164">
        <v>0</v>
      </c>
      <c r="AD3164">
        <v>1</v>
      </c>
      <c r="AE3164">
        <v>0</v>
      </c>
      <c r="AF3164">
        <v>0</v>
      </c>
      <c r="AG3164">
        <v>1</v>
      </c>
      <c r="AJ3164">
        <v>1</v>
      </c>
      <c r="AK3164">
        <v>0</v>
      </c>
      <c r="AL3164">
        <v>0</v>
      </c>
      <c r="AM3164">
        <v>0</v>
      </c>
      <c r="AN3164">
        <v>1</v>
      </c>
      <c r="AO3164">
        <v>1</v>
      </c>
      <c r="AP3164">
        <v>1</v>
      </c>
      <c r="AQ3164">
        <v>1</v>
      </c>
      <c r="AR3164">
        <v>1</v>
      </c>
      <c r="AS3164">
        <v>0</v>
      </c>
      <c r="AT3164">
        <v>1</v>
      </c>
      <c r="AV3164">
        <v>1</v>
      </c>
      <c r="AW3164">
        <v>1</v>
      </c>
    </row>
    <row r="3165" spans="1:49" x14ac:dyDescent="0.25">
      <c r="A3165" t="str">
        <f>"3161"</f>
        <v>3161</v>
      </c>
      <c r="B3165" t="str">
        <f t="shared" si="180"/>
        <v>1</v>
      </c>
      <c r="C3165" t="str">
        <f t="shared" si="182"/>
        <v>139</v>
      </c>
      <c r="D3165" t="str">
        <f>"7"</f>
        <v>7</v>
      </c>
      <c r="E3165" t="str">
        <f>"1-139-7"</f>
        <v>1-139-7</v>
      </c>
      <c r="F3165" t="s">
        <v>83</v>
      </c>
      <c r="G3165" t="s">
        <v>86</v>
      </c>
      <c r="H3165" t="s">
        <v>87</v>
      </c>
      <c r="AC3165">
        <v>0</v>
      </c>
      <c r="AD3165">
        <v>1</v>
      </c>
      <c r="AE3165">
        <v>0</v>
      </c>
      <c r="AF3165">
        <v>0</v>
      </c>
      <c r="AH3165">
        <v>1</v>
      </c>
      <c r="AI3165">
        <v>0</v>
      </c>
      <c r="AJ3165">
        <v>0</v>
      </c>
      <c r="AK3165">
        <v>1</v>
      </c>
      <c r="AL3165">
        <v>1</v>
      </c>
      <c r="AM3165">
        <v>0</v>
      </c>
      <c r="AN3165">
        <v>0</v>
      </c>
      <c r="AO3165">
        <v>1</v>
      </c>
      <c r="AP3165">
        <v>1</v>
      </c>
      <c r="AQ3165">
        <v>1</v>
      </c>
      <c r="AU3165">
        <v>1</v>
      </c>
      <c r="AV3165">
        <v>1</v>
      </c>
      <c r="AW3165">
        <v>1</v>
      </c>
    </row>
    <row r="3166" spans="1:49" x14ac:dyDescent="0.25">
      <c r="A3166" t="str">
        <f>"3162"</f>
        <v>3162</v>
      </c>
      <c r="B3166" t="str">
        <f t="shared" ref="B3166:B3229" si="183">"1"</f>
        <v>1</v>
      </c>
      <c r="C3166" t="str">
        <f t="shared" si="182"/>
        <v>139</v>
      </c>
      <c r="D3166" t="str">
        <f>"19"</f>
        <v>19</v>
      </c>
      <c r="E3166" t="str">
        <f>"1-139-19"</f>
        <v>1-139-19</v>
      </c>
      <c r="F3166" t="s">
        <v>83</v>
      </c>
      <c r="G3166" t="s">
        <v>84</v>
      </c>
      <c r="H3166" t="s">
        <v>85</v>
      </c>
      <c r="AC3166">
        <v>0</v>
      </c>
      <c r="AD3166">
        <v>1</v>
      </c>
      <c r="AE3166">
        <v>0</v>
      </c>
      <c r="AF3166">
        <v>0</v>
      </c>
      <c r="AG3166">
        <v>1</v>
      </c>
      <c r="AJ3166">
        <v>0</v>
      </c>
      <c r="AK3166">
        <v>1</v>
      </c>
      <c r="AL3166">
        <v>0</v>
      </c>
      <c r="AM3166">
        <v>0</v>
      </c>
      <c r="AN3166">
        <v>1</v>
      </c>
      <c r="AO3166">
        <v>1</v>
      </c>
      <c r="AP3166">
        <v>1</v>
      </c>
      <c r="AQ3166">
        <v>1</v>
      </c>
      <c r="AR3166">
        <v>1</v>
      </c>
      <c r="AS3166">
        <v>0</v>
      </c>
      <c r="AT3166">
        <v>1</v>
      </c>
      <c r="AV3166">
        <v>1</v>
      </c>
      <c r="AW3166">
        <v>1</v>
      </c>
    </row>
    <row r="3167" spans="1:49" x14ac:dyDescent="0.25">
      <c r="A3167" t="str">
        <f>"3163"</f>
        <v>3163</v>
      </c>
      <c r="B3167" t="str">
        <f t="shared" si="183"/>
        <v>1</v>
      </c>
      <c r="C3167" t="str">
        <f t="shared" si="182"/>
        <v>139</v>
      </c>
      <c r="D3167" t="str">
        <f>"12"</f>
        <v>12</v>
      </c>
      <c r="E3167" t="str">
        <f>"1-139-12"</f>
        <v>1-139-12</v>
      </c>
      <c r="F3167" t="s">
        <v>83</v>
      </c>
      <c r="G3167" t="s">
        <v>84</v>
      </c>
      <c r="H3167" t="s">
        <v>85</v>
      </c>
      <c r="AC3167">
        <v>0</v>
      </c>
      <c r="AD3167">
        <v>1</v>
      </c>
      <c r="AE3167">
        <v>0</v>
      </c>
      <c r="AF3167">
        <v>0</v>
      </c>
      <c r="AG3167">
        <v>0</v>
      </c>
      <c r="AJ3167">
        <v>1</v>
      </c>
      <c r="AK3167">
        <v>0</v>
      </c>
      <c r="AL3167">
        <v>0</v>
      </c>
      <c r="AM3167">
        <v>1</v>
      </c>
      <c r="AN3167">
        <v>0</v>
      </c>
      <c r="AO3167">
        <v>1</v>
      </c>
      <c r="AP3167">
        <v>1</v>
      </c>
      <c r="AQ3167">
        <v>1</v>
      </c>
      <c r="AR3167">
        <v>1</v>
      </c>
      <c r="AS3167">
        <v>0</v>
      </c>
      <c r="AT3167">
        <v>1</v>
      </c>
      <c r="AV3167">
        <v>1</v>
      </c>
      <c r="AW3167">
        <v>1</v>
      </c>
    </row>
    <row r="3168" spans="1:49" x14ac:dyDescent="0.25">
      <c r="A3168" t="str">
        <f>"3164"</f>
        <v>3164</v>
      </c>
      <c r="B3168" t="str">
        <f t="shared" si="183"/>
        <v>1</v>
      </c>
      <c r="C3168" t="str">
        <f t="shared" si="182"/>
        <v>139</v>
      </c>
      <c r="D3168" t="str">
        <f>"5"</f>
        <v>5</v>
      </c>
      <c r="E3168" t="str">
        <f>"1-139-5"</f>
        <v>1-139-5</v>
      </c>
      <c r="F3168" t="s">
        <v>83</v>
      </c>
      <c r="G3168" t="s">
        <v>84</v>
      </c>
      <c r="H3168" t="s">
        <v>85</v>
      </c>
      <c r="AC3168">
        <v>1</v>
      </c>
      <c r="AD3168">
        <v>0</v>
      </c>
      <c r="AE3168">
        <v>0</v>
      </c>
      <c r="AF3168">
        <v>0</v>
      </c>
      <c r="AG3168">
        <v>0</v>
      </c>
      <c r="AJ3168">
        <v>0</v>
      </c>
      <c r="AK3168">
        <v>1</v>
      </c>
      <c r="AL3168">
        <v>1</v>
      </c>
      <c r="AM3168">
        <v>0</v>
      </c>
      <c r="AN3168">
        <v>0</v>
      </c>
      <c r="AO3168">
        <v>0</v>
      </c>
      <c r="AP3168">
        <v>0</v>
      </c>
      <c r="AQ3168">
        <v>0</v>
      </c>
      <c r="AR3168">
        <v>0</v>
      </c>
      <c r="AS3168">
        <v>1</v>
      </c>
      <c r="AT3168">
        <v>0</v>
      </c>
      <c r="AV3168">
        <v>0</v>
      </c>
      <c r="AW3168">
        <v>0</v>
      </c>
    </row>
    <row r="3169" spans="1:49" x14ac:dyDescent="0.25">
      <c r="A3169" t="str">
        <f>"3165"</f>
        <v>3165</v>
      </c>
      <c r="B3169" t="str">
        <f t="shared" si="183"/>
        <v>1</v>
      </c>
      <c r="C3169" t="str">
        <f t="shared" si="182"/>
        <v>139</v>
      </c>
      <c r="D3169" t="str">
        <f>"21"</f>
        <v>21</v>
      </c>
      <c r="E3169" t="str">
        <f>"1-139-21"</f>
        <v>1-139-21</v>
      </c>
      <c r="F3169" t="s">
        <v>83</v>
      </c>
      <c r="G3169" t="s">
        <v>86</v>
      </c>
      <c r="H3169" t="s">
        <v>87</v>
      </c>
      <c r="AC3169">
        <v>0</v>
      </c>
      <c r="AD3169">
        <v>1</v>
      </c>
      <c r="AE3169">
        <v>0</v>
      </c>
      <c r="AF3169">
        <v>0</v>
      </c>
      <c r="AH3169">
        <v>1</v>
      </c>
      <c r="AI3169">
        <v>0</v>
      </c>
      <c r="AJ3169">
        <v>0</v>
      </c>
      <c r="AK3169">
        <v>1</v>
      </c>
      <c r="AL3169">
        <v>0</v>
      </c>
      <c r="AM3169">
        <v>0</v>
      </c>
      <c r="AN3169">
        <v>1</v>
      </c>
      <c r="AO3169">
        <v>1</v>
      </c>
      <c r="AP3169">
        <v>1</v>
      </c>
      <c r="AQ3169">
        <v>1</v>
      </c>
      <c r="AU3169">
        <v>1</v>
      </c>
      <c r="AV3169">
        <v>1</v>
      </c>
      <c r="AW3169">
        <v>1</v>
      </c>
    </row>
    <row r="3170" spans="1:49" x14ac:dyDescent="0.25">
      <c r="A3170" t="str">
        <f>"3166"</f>
        <v>3166</v>
      </c>
      <c r="B3170" t="str">
        <f t="shared" si="183"/>
        <v>1</v>
      </c>
      <c r="C3170" t="str">
        <f t="shared" si="182"/>
        <v>139</v>
      </c>
      <c r="D3170" t="str">
        <f>"13"</f>
        <v>13</v>
      </c>
      <c r="E3170" t="str">
        <f>"1-139-13"</f>
        <v>1-139-13</v>
      </c>
      <c r="F3170" t="s">
        <v>83</v>
      </c>
      <c r="G3170" t="s">
        <v>84</v>
      </c>
      <c r="H3170" t="s">
        <v>85</v>
      </c>
      <c r="AC3170">
        <v>1</v>
      </c>
      <c r="AD3170">
        <v>0</v>
      </c>
      <c r="AE3170">
        <v>0</v>
      </c>
      <c r="AF3170">
        <v>0</v>
      </c>
      <c r="AG3170">
        <v>1</v>
      </c>
      <c r="AJ3170">
        <v>0</v>
      </c>
      <c r="AK3170">
        <v>1</v>
      </c>
      <c r="AL3170">
        <v>1</v>
      </c>
      <c r="AM3170">
        <v>0</v>
      </c>
      <c r="AN3170">
        <v>0</v>
      </c>
      <c r="AO3170">
        <v>1</v>
      </c>
      <c r="AP3170">
        <v>1</v>
      </c>
      <c r="AQ3170">
        <v>1</v>
      </c>
      <c r="AR3170">
        <v>1</v>
      </c>
      <c r="AS3170">
        <v>0</v>
      </c>
      <c r="AT3170">
        <v>1</v>
      </c>
      <c r="AV3170">
        <v>1</v>
      </c>
      <c r="AW3170">
        <v>1</v>
      </c>
    </row>
    <row r="3171" spans="1:49" x14ac:dyDescent="0.25">
      <c r="A3171" t="str">
        <f>"3167"</f>
        <v>3167</v>
      </c>
      <c r="B3171" t="str">
        <f t="shared" si="183"/>
        <v>1</v>
      </c>
      <c r="C3171" t="str">
        <f t="shared" si="182"/>
        <v>139</v>
      </c>
      <c r="D3171" t="str">
        <f>"1"</f>
        <v>1</v>
      </c>
      <c r="E3171" t="str">
        <f>"1-139-1"</f>
        <v>1-139-1</v>
      </c>
      <c r="F3171" t="s">
        <v>83</v>
      </c>
      <c r="G3171" t="s">
        <v>84</v>
      </c>
      <c r="H3171" t="s">
        <v>85</v>
      </c>
      <c r="AC3171">
        <v>0</v>
      </c>
      <c r="AD3171">
        <v>1</v>
      </c>
      <c r="AE3171">
        <v>0</v>
      </c>
      <c r="AF3171">
        <v>0</v>
      </c>
      <c r="AG3171">
        <v>1</v>
      </c>
      <c r="AJ3171">
        <v>1</v>
      </c>
      <c r="AK3171">
        <v>0</v>
      </c>
      <c r="AL3171">
        <v>0</v>
      </c>
      <c r="AM3171">
        <v>1</v>
      </c>
      <c r="AN3171">
        <v>0</v>
      </c>
      <c r="AO3171">
        <v>1</v>
      </c>
      <c r="AP3171">
        <v>1</v>
      </c>
      <c r="AQ3171">
        <v>1</v>
      </c>
      <c r="AR3171">
        <v>1</v>
      </c>
      <c r="AS3171">
        <v>1</v>
      </c>
      <c r="AT3171">
        <v>0</v>
      </c>
      <c r="AV3171">
        <v>1</v>
      </c>
      <c r="AW3171">
        <v>1</v>
      </c>
    </row>
    <row r="3172" spans="1:49" x14ac:dyDescent="0.25">
      <c r="A3172" t="str">
        <f>"3168"</f>
        <v>3168</v>
      </c>
      <c r="B3172" t="str">
        <f t="shared" si="183"/>
        <v>1</v>
      </c>
      <c r="C3172" t="str">
        <f t="shared" si="182"/>
        <v>139</v>
      </c>
      <c r="D3172" t="str">
        <f>"18"</f>
        <v>18</v>
      </c>
      <c r="E3172" t="str">
        <f>"1-139-18"</f>
        <v>1-139-18</v>
      </c>
      <c r="F3172" t="s">
        <v>83</v>
      </c>
      <c r="G3172" t="s">
        <v>84</v>
      </c>
      <c r="H3172" t="s">
        <v>85</v>
      </c>
      <c r="AC3172">
        <v>0</v>
      </c>
      <c r="AD3172">
        <v>1</v>
      </c>
      <c r="AE3172">
        <v>0</v>
      </c>
      <c r="AF3172">
        <v>0</v>
      </c>
      <c r="AG3172">
        <v>0</v>
      </c>
      <c r="AJ3172">
        <v>1</v>
      </c>
      <c r="AK3172">
        <v>0</v>
      </c>
      <c r="AL3172">
        <v>0</v>
      </c>
      <c r="AM3172">
        <v>1</v>
      </c>
      <c r="AN3172">
        <v>0</v>
      </c>
      <c r="AO3172">
        <v>1</v>
      </c>
      <c r="AP3172">
        <v>1</v>
      </c>
      <c r="AQ3172">
        <v>1</v>
      </c>
      <c r="AR3172">
        <v>1</v>
      </c>
      <c r="AS3172">
        <v>0</v>
      </c>
      <c r="AT3172">
        <v>1</v>
      </c>
      <c r="AV3172">
        <v>1</v>
      </c>
      <c r="AW3172">
        <v>0</v>
      </c>
    </row>
    <row r="3173" spans="1:49" x14ac:dyDescent="0.25">
      <c r="A3173" t="str">
        <f>"3169"</f>
        <v>3169</v>
      </c>
      <c r="B3173" t="str">
        <f t="shared" si="183"/>
        <v>1</v>
      </c>
      <c r="C3173" t="str">
        <f t="shared" si="182"/>
        <v>139</v>
      </c>
      <c r="D3173" t="str">
        <f>"14"</f>
        <v>14</v>
      </c>
      <c r="E3173" t="str">
        <f>"1-139-14"</f>
        <v>1-139-14</v>
      </c>
      <c r="F3173" t="s">
        <v>83</v>
      </c>
      <c r="G3173" t="s">
        <v>84</v>
      </c>
      <c r="H3173" t="s">
        <v>85</v>
      </c>
      <c r="AC3173">
        <v>0</v>
      </c>
      <c r="AD3173">
        <v>1</v>
      </c>
      <c r="AE3173">
        <v>0</v>
      </c>
      <c r="AF3173">
        <v>0</v>
      </c>
      <c r="AG3173">
        <v>1</v>
      </c>
      <c r="AJ3173">
        <v>1</v>
      </c>
      <c r="AK3173">
        <v>0</v>
      </c>
      <c r="AL3173">
        <v>0</v>
      </c>
      <c r="AM3173">
        <v>1</v>
      </c>
      <c r="AN3173">
        <v>0</v>
      </c>
      <c r="AO3173">
        <v>1</v>
      </c>
      <c r="AP3173">
        <v>1</v>
      </c>
      <c r="AQ3173">
        <v>1</v>
      </c>
      <c r="AR3173">
        <v>1</v>
      </c>
      <c r="AS3173">
        <v>0</v>
      </c>
      <c r="AT3173">
        <v>1</v>
      </c>
      <c r="AV3173">
        <v>1</v>
      </c>
      <c r="AW3173">
        <v>0</v>
      </c>
    </row>
    <row r="3174" spans="1:49" x14ac:dyDescent="0.25">
      <c r="A3174" t="str">
        <f>"3170"</f>
        <v>3170</v>
      </c>
      <c r="B3174" t="str">
        <f t="shared" si="183"/>
        <v>1</v>
      </c>
      <c r="C3174" t="str">
        <f t="shared" si="182"/>
        <v>139</v>
      </c>
      <c r="D3174" t="str">
        <f>"3"</f>
        <v>3</v>
      </c>
      <c r="E3174" t="str">
        <f>"1-139-3"</f>
        <v>1-139-3</v>
      </c>
      <c r="F3174" t="s">
        <v>83</v>
      </c>
      <c r="G3174" t="s">
        <v>84</v>
      </c>
      <c r="H3174" t="s">
        <v>85</v>
      </c>
      <c r="AC3174">
        <v>0</v>
      </c>
      <c r="AD3174">
        <v>1</v>
      </c>
      <c r="AE3174">
        <v>0</v>
      </c>
      <c r="AF3174">
        <v>0</v>
      </c>
      <c r="AG3174">
        <v>1</v>
      </c>
      <c r="AJ3174">
        <v>0</v>
      </c>
      <c r="AK3174">
        <v>1</v>
      </c>
      <c r="AL3174">
        <v>0</v>
      </c>
      <c r="AM3174">
        <v>0</v>
      </c>
      <c r="AN3174">
        <v>1</v>
      </c>
      <c r="AO3174">
        <v>1</v>
      </c>
      <c r="AP3174">
        <v>1</v>
      </c>
      <c r="AQ3174">
        <v>1</v>
      </c>
      <c r="AR3174">
        <v>1</v>
      </c>
      <c r="AS3174">
        <v>0</v>
      </c>
      <c r="AT3174">
        <v>1</v>
      </c>
      <c r="AV3174">
        <v>1</v>
      </c>
      <c r="AW3174">
        <v>1</v>
      </c>
    </row>
    <row r="3175" spans="1:49" x14ac:dyDescent="0.25">
      <c r="A3175" t="str">
        <f>"3171"</f>
        <v>3171</v>
      </c>
      <c r="B3175" t="str">
        <f t="shared" si="183"/>
        <v>1</v>
      </c>
      <c r="C3175" t="str">
        <f t="shared" ref="C3175:C3198" si="184">"140"</f>
        <v>140</v>
      </c>
      <c r="D3175" t="str">
        <f>"15"</f>
        <v>15</v>
      </c>
      <c r="E3175" t="str">
        <f>"1-140-15"</f>
        <v>1-140-15</v>
      </c>
      <c r="F3175" t="s">
        <v>83</v>
      </c>
      <c r="G3175" t="s">
        <v>84</v>
      </c>
      <c r="H3175" t="s">
        <v>92</v>
      </c>
      <c r="I3175">
        <v>0</v>
      </c>
      <c r="J3175">
        <v>0</v>
      </c>
      <c r="N3175">
        <v>1</v>
      </c>
      <c r="O3175">
        <v>0</v>
      </c>
      <c r="P3175">
        <v>0</v>
      </c>
      <c r="Q3175">
        <v>0</v>
      </c>
      <c r="R3175">
        <v>0</v>
      </c>
      <c r="S3175">
        <v>0</v>
      </c>
      <c r="T3175">
        <v>0</v>
      </c>
      <c r="W3175">
        <v>1</v>
      </c>
      <c r="X3175">
        <v>0</v>
      </c>
      <c r="Y3175">
        <v>1</v>
      </c>
      <c r="Z3175">
        <v>0</v>
      </c>
      <c r="AA3175">
        <v>0</v>
      </c>
      <c r="AB3175">
        <v>1</v>
      </c>
    </row>
    <row r="3176" spans="1:49" x14ac:dyDescent="0.25">
      <c r="A3176" t="str">
        <f>"3172"</f>
        <v>3172</v>
      </c>
      <c r="B3176" t="str">
        <f t="shared" si="183"/>
        <v>1</v>
      </c>
      <c r="C3176" t="str">
        <f t="shared" si="184"/>
        <v>140</v>
      </c>
      <c r="D3176" t="str">
        <f>"14"</f>
        <v>14</v>
      </c>
      <c r="E3176" t="str">
        <f>"1-140-14"</f>
        <v>1-140-14</v>
      </c>
      <c r="F3176" t="s">
        <v>83</v>
      </c>
      <c r="G3176" t="s">
        <v>84</v>
      </c>
      <c r="H3176" t="s">
        <v>92</v>
      </c>
      <c r="I3176">
        <v>1</v>
      </c>
      <c r="J3176">
        <v>1</v>
      </c>
      <c r="N3176">
        <v>1</v>
      </c>
      <c r="O3176">
        <v>1</v>
      </c>
      <c r="P3176">
        <v>1</v>
      </c>
      <c r="Q3176">
        <v>1</v>
      </c>
      <c r="R3176">
        <v>1</v>
      </c>
      <c r="S3176">
        <v>1</v>
      </c>
      <c r="T3176">
        <v>1</v>
      </c>
      <c r="W3176">
        <v>1</v>
      </c>
      <c r="X3176">
        <v>1</v>
      </c>
      <c r="Y3176">
        <v>1</v>
      </c>
      <c r="Z3176">
        <v>1</v>
      </c>
      <c r="AA3176">
        <v>1</v>
      </c>
      <c r="AB3176">
        <v>1</v>
      </c>
    </row>
    <row r="3177" spans="1:49" x14ac:dyDescent="0.25">
      <c r="A3177" t="str">
        <f>"3173"</f>
        <v>3173</v>
      </c>
      <c r="B3177" t="str">
        <f t="shared" si="183"/>
        <v>1</v>
      </c>
      <c r="C3177" t="str">
        <f t="shared" si="184"/>
        <v>140</v>
      </c>
      <c r="D3177" t="str">
        <f>"13"</f>
        <v>13</v>
      </c>
      <c r="E3177" t="str">
        <f>"1-140-13"</f>
        <v>1-140-13</v>
      </c>
      <c r="F3177" t="s">
        <v>83</v>
      </c>
      <c r="G3177" t="s">
        <v>84</v>
      </c>
      <c r="H3177" t="s">
        <v>92</v>
      </c>
      <c r="I3177">
        <v>1</v>
      </c>
      <c r="J3177">
        <v>1</v>
      </c>
      <c r="N3177">
        <v>1</v>
      </c>
      <c r="O3177">
        <v>1</v>
      </c>
      <c r="P3177">
        <v>1</v>
      </c>
      <c r="Q3177">
        <v>1</v>
      </c>
      <c r="R3177">
        <v>1</v>
      </c>
      <c r="S3177">
        <v>1</v>
      </c>
      <c r="T3177">
        <v>1</v>
      </c>
      <c r="W3177">
        <v>1</v>
      </c>
      <c r="X3177">
        <v>1</v>
      </c>
      <c r="Y3177">
        <v>1</v>
      </c>
      <c r="Z3177">
        <v>1</v>
      </c>
      <c r="AA3177">
        <v>1</v>
      </c>
      <c r="AB3177">
        <v>1</v>
      </c>
    </row>
    <row r="3178" spans="1:49" x14ac:dyDescent="0.25">
      <c r="A3178" t="str">
        <f>"3174"</f>
        <v>3174</v>
      </c>
      <c r="B3178" t="str">
        <f t="shared" si="183"/>
        <v>1</v>
      </c>
      <c r="C3178" t="str">
        <f t="shared" si="184"/>
        <v>140</v>
      </c>
      <c r="D3178" t="str">
        <f>"8"</f>
        <v>8</v>
      </c>
      <c r="E3178" t="str">
        <f>"1-140-8"</f>
        <v>1-140-8</v>
      </c>
      <c r="F3178" t="s">
        <v>83</v>
      </c>
      <c r="G3178" t="s">
        <v>84</v>
      </c>
      <c r="H3178" t="s">
        <v>92</v>
      </c>
      <c r="I3178">
        <v>1</v>
      </c>
      <c r="J3178">
        <v>1</v>
      </c>
      <c r="N3178">
        <v>1</v>
      </c>
      <c r="O3178">
        <v>0</v>
      </c>
      <c r="P3178">
        <v>0</v>
      </c>
      <c r="Q3178">
        <v>1</v>
      </c>
      <c r="R3178">
        <v>0</v>
      </c>
      <c r="S3178">
        <v>1</v>
      </c>
      <c r="T3178">
        <v>0</v>
      </c>
      <c r="W3178">
        <v>1</v>
      </c>
      <c r="X3178">
        <v>1</v>
      </c>
      <c r="Y3178">
        <v>1</v>
      </c>
      <c r="Z3178">
        <v>1</v>
      </c>
      <c r="AA3178">
        <v>0</v>
      </c>
      <c r="AB3178">
        <v>1</v>
      </c>
    </row>
    <row r="3179" spans="1:49" x14ac:dyDescent="0.25">
      <c r="A3179" t="str">
        <f>"3175"</f>
        <v>3175</v>
      </c>
      <c r="B3179" t="str">
        <f t="shared" si="183"/>
        <v>1</v>
      </c>
      <c r="C3179" t="str">
        <f t="shared" si="184"/>
        <v>140</v>
      </c>
      <c r="D3179" t="str">
        <f>"1"</f>
        <v>1</v>
      </c>
      <c r="E3179" t="str">
        <f>"1-140-1"</f>
        <v>1-140-1</v>
      </c>
      <c r="F3179" t="s">
        <v>83</v>
      </c>
      <c r="G3179" t="s">
        <v>84</v>
      </c>
      <c r="H3179" t="s">
        <v>92</v>
      </c>
      <c r="I3179">
        <v>1</v>
      </c>
      <c r="J3179">
        <v>1</v>
      </c>
      <c r="N3179">
        <v>1</v>
      </c>
      <c r="O3179">
        <v>1</v>
      </c>
      <c r="P3179">
        <v>1</v>
      </c>
      <c r="Q3179">
        <v>1</v>
      </c>
      <c r="R3179">
        <v>1</v>
      </c>
      <c r="S3179">
        <v>1</v>
      </c>
      <c r="T3179">
        <v>1</v>
      </c>
      <c r="W3179">
        <v>1</v>
      </c>
      <c r="X3179">
        <v>1</v>
      </c>
      <c r="Y3179">
        <v>1</v>
      </c>
      <c r="Z3179">
        <v>1</v>
      </c>
      <c r="AA3179">
        <v>1</v>
      </c>
      <c r="AB3179">
        <v>1</v>
      </c>
    </row>
    <row r="3180" spans="1:49" x14ac:dyDescent="0.25">
      <c r="A3180" t="str">
        <f>"3176"</f>
        <v>3176</v>
      </c>
      <c r="B3180" t="str">
        <f t="shared" si="183"/>
        <v>1</v>
      </c>
      <c r="C3180" t="str">
        <f t="shared" si="184"/>
        <v>140</v>
      </c>
      <c r="D3180" t="str">
        <f>"24"</f>
        <v>24</v>
      </c>
      <c r="E3180" t="str">
        <f>"1-140-24"</f>
        <v>1-140-24</v>
      </c>
      <c r="F3180" t="s">
        <v>83</v>
      </c>
      <c r="G3180" t="s">
        <v>84</v>
      </c>
      <c r="H3180" t="s">
        <v>92</v>
      </c>
      <c r="I3180">
        <v>1</v>
      </c>
      <c r="J3180">
        <v>1</v>
      </c>
      <c r="N3180">
        <v>1</v>
      </c>
      <c r="O3180">
        <v>0</v>
      </c>
      <c r="P3180">
        <v>1</v>
      </c>
      <c r="Q3180">
        <v>1</v>
      </c>
      <c r="R3180">
        <v>0</v>
      </c>
      <c r="S3180">
        <v>1</v>
      </c>
      <c r="T3180">
        <v>1</v>
      </c>
      <c r="W3180">
        <v>1</v>
      </c>
      <c r="X3180">
        <v>1</v>
      </c>
      <c r="Y3180">
        <v>1</v>
      </c>
      <c r="Z3180">
        <v>1</v>
      </c>
      <c r="AA3180">
        <v>0</v>
      </c>
      <c r="AB3180">
        <v>1</v>
      </c>
    </row>
    <row r="3181" spans="1:49" x14ac:dyDescent="0.25">
      <c r="A3181" t="str">
        <f>"3177"</f>
        <v>3177</v>
      </c>
      <c r="B3181" t="str">
        <f t="shared" si="183"/>
        <v>1</v>
      </c>
      <c r="C3181" t="str">
        <f t="shared" si="184"/>
        <v>140</v>
      </c>
      <c r="D3181" t="str">
        <f>"17"</f>
        <v>17</v>
      </c>
      <c r="E3181" t="str">
        <f>"1-140-17"</f>
        <v>1-140-17</v>
      </c>
      <c r="F3181" t="s">
        <v>83</v>
      </c>
      <c r="G3181" t="s">
        <v>84</v>
      </c>
      <c r="H3181" t="s">
        <v>92</v>
      </c>
      <c r="I3181">
        <v>1</v>
      </c>
      <c r="J3181">
        <v>1</v>
      </c>
      <c r="N3181">
        <v>1</v>
      </c>
      <c r="O3181">
        <v>0</v>
      </c>
      <c r="P3181">
        <v>0</v>
      </c>
      <c r="Q3181">
        <v>0</v>
      </c>
      <c r="R3181">
        <v>1</v>
      </c>
      <c r="S3181">
        <v>1</v>
      </c>
      <c r="T3181">
        <v>1</v>
      </c>
      <c r="W3181">
        <v>1</v>
      </c>
      <c r="X3181">
        <v>1</v>
      </c>
      <c r="Y3181">
        <v>1</v>
      </c>
      <c r="Z3181">
        <v>1</v>
      </c>
      <c r="AA3181">
        <v>1</v>
      </c>
      <c r="AB3181">
        <v>1</v>
      </c>
    </row>
    <row r="3182" spans="1:49" x14ac:dyDescent="0.25">
      <c r="A3182" t="str">
        <f>"3178"</f>
        <v>3178</v>
      </c>
      <c r="B3182" t="str">
        <f t="shared" si="183"/>
        <v>1</v>
      </c>
      <c r="C3182" t="str">
        <f t="shared" si="184"/>
        <v>140</v>
      </c>
      <c r="D3182" t="str">
        <f>"9"</f>
        <v>9</v>
      </c>
      <c r="E3182" t="str">
        <f>"1-140-9"</f>
        <v>1-140-9</v>
      </c>
      <c r="F3182" t="s">
        <v>83</v>
      </c>
      <c r="G3182" t="s">
        <v>84</v>
      </c>
      <c r="H3182" t="s">
        <v>92</v>
      </c>
      <c r="I3182">
        <v>1</v>
      </c>
      <c r="J3182">
        <v>1</v>
      </c>
      <c r="N3182">
        <v>1</v>
      </c>
      <c r="O3182">
        <v>1</v>
      </c>
      <c r="P3182">
        <v>1</v>
      </c>
      <c r="Q3182">
        <v>1</v>
      </c>
      <c r="R3182">
        <v>1</v>
      </c>
      <c r="S3182">
        <v>1</v>
      </c>
      <c r="T3182">
        <v>1</v>
      </c>
      <c r="W3182">
        <v>1</v>
      </c>
      <c r="X3182">
        <v>1</v>
      </c>
      <c r="Y3182">
        <v>1</v>
      </c>
      <c r="Z3182">
        <v>1</v>
      </c>
      <c r="AA3182">
        <v>1</v>
      </c>
      <c r="AB3182">
        <v>1</v>
      </c>
    </row>
    <row r="3183" spans="1:49" x14ac:dyDescent="0.25">
      <c r="A3183" t="str">
        <f>"3179"</f>
        <v>3179</v>
      </c>
      <c r="B3183" t="str">
        <f t="shared" si="183"/>
        <v>1</v>
      </c>
      <c r="C3183" t="str">
        <f t="shared" si="184"/>
        <v>140</v>
      </c>
      <c r="D3183" t="str">
        <f>"3"</f>
        <v>3</v>
      </c>
      <c r="E3183" t="str">
        <f>"1-140-3"</f>
        <v>1-140-3</v>
      </c>
      <c r="F3183" t="s">
        <v>83</v>
      </c>
      <c r="G3183" t="s">
        <v>84</v>
      </c>
      <c r="H3183" t="s">
        <v>92</v>
      </c>
      <c r="I3183">
        <v>1</v>
      </c>
      <c r="J3183">
        <v>1</v>
      </c>
      <c r="N3183">
        <v>1</v>
      </c>
      <c r="O3183">
        <v>1</v>
      </c>
      <c r="P3183">
        <v>1</v>
      </c>
      <c r="Q3183">
        <v>1</v>
      </c>
      <c r="R3183">
        <v>1</v>
      </c>
      <c r="S3183">
        <v>1</v>
      </c>
      <c r="T3183">
        <v>1</v>
      </c>
      <c r="W3183">
        <v>1</v>
      </c>
      <c r="X3183">
        <v>1</v>
      </c>
      <c r="Y3183">
        <v>1</v>
      </c>
      <c r="Z3183">
        <v>1</v>
      </c>
      <c r="AA3183">
        <v>1</v>
      </c>
      <c r="AB3183">
        <v>1</v>
      </c>
    </row>
    <row r="3184" spans="1:49" x14ac:dyDescent="0.25">
      <c r="A3184" t="str">
        <f>"3180"</f>
        <v>3180</v>
      </c>
      <c r="B3184" t="str">
        <f t="shared" si="183"/>
        <v>1</v>
      </c>
      <c r="C3184" t="str">
        <f t="shared" si="184"/>
        <v>140</v>
      </c>
      <c r="D3184" t="str">
        <f>"23"</f>
        <v>23</v>
      </c>
      <c r="E3184" t="str">
        <f>"1-140-23"</f>
        <v>1-140-23</v>
      </c>
      <c r="F3184" t="s">
        <v>83</v>
      </c>
      <c r="G3184" t="s">
        <v>84</v>
      </c>
      <c r="H3184" t="s">
        <v>92</v>
      </c>
      <c r="I3184">
        <v>1</v>
      </c>
      <c r="J3184">
        <v>0</v>
      </c>
      <c r="N3184">
        <v>1</v>
      </c>
      <c r="O3184">
        <v>1</v>
      </c>
      <c r="P3184">
        <v>1</v>
      </c>
      <c r="Q3184">
        <v>1</v>
      </c>
      <c r="R3184">
        <v>0</v>
      </c>
      <c r="S3184">
        <v>0</v>
      </c>
      <c r="T3184">
        <v>1</v>
      </c>
      <c r="W3184">
        <v>1</v>
      </c>
      <c r="X3184">
        <v>1</v>
      </c>
      <c r="Y3184">
        <v>1</v>
      </c>
      <c r="Z3184">
        <v>1</v>
      </c>
      <c r="AA3184">
        <v>1</v>
      </c>
      <c r="AB3184">
        <v>1</v>
      </c>
    </row>
    <row r="3185" spans="1:28" x14ac:dyDescent="0.25">
      <c r="A3185" t="str">
        <f>"3181"</f>
        <v>3181</v>
      </c>
      <c r="B3185" t="str">
        <f t="shared" si="183"/>
        <v>1</v>
      </c>
      <c r="C3185" t="str">
        <f t="shared" si="184"/>
        <v>140</v>
      </c>
      <c r="D3185" t="str">
        <f>"22"</f>
        <v>22</v>
      </c>
      <c r="E3185" t="str">
        <f>"1-140-22"</f>
        <v>1-140-22</v>
      </c>
      <c r="F3185" t="s">
        <v>83</v>
      </c>
      <c r="G3185" t="s">
        <v>84</v>
      </c>
      <c r="H3185" t="s">
        <v>92</v>
      </c>
      <c r="I3185">
        <v>1</v>
      </c>
      <c r="J3185">
        <v>1</v>
      </c>
      <c r="N3185">
        <v>1</v>
      </c>
      <c r="O3185">
        <v>1</v>
      </c>
      <c r="P3185">
        <v>1</v>
      </c>
      <c r="Q3185">
        <v>1</v>
      </c>
      <c r="R3185">
        <v>1</v>
      </c>
      <c r="S3185">
        <v>1</v>
      </c>
      <c r="T3185">
        <v>1</v>
      </c>
      <c r="W3185">
        <v>1</v>
      </c>
      <c r="X3185">
        <v>1</v>
      </c>
      <c r="Y3185">
        <v>1</v>
      </c>
      <c r="Z3185">
        <v>1</v>
      </c>
      <c r="AA3185">
        <v>1</v>
      </c>
      <c r="AB3185">
        <v>1</v>
      </c>
    </row>
    <row r="3186" spans="1:28" x14ac:dyDescent="0.25">
      <c r="A3186" t="str">
        <f>"3182"</f>
        <v>3182</v>
      </c>
      <c r="B3186" t="str">
        <f t="shared" si="183"/>
        <v>1</v>
      </c>
      <c r="C3186" t="str">
        <f t="shared" si="184"/>
        <v>140</v>
      </c>
      <c r="D3186" t="str">
        <f>"16"</f>
        <v>16</v>
      </c>
      <c r="E3186" t="str">
        <f>"1-140-16"</f>
        <v>1-140-16</v>
      </c>
      <c r="F3186" t="s">
        <v>83</v>
      </c>
      <c r="G3186" t="s">
        <v>84</v>
      </c>
      <c r="H3186" t="s">
        <v>92</v>
      </c>
      <c r="I3186">
        <v>1</v>
      </c>
      <c r="J3186">
        <v>0</v>
      </c>
      <c r="N3186">
        <v>1</v>
      </c>
      <c r="O3186">
        <v>0</v>
      </c>
      <c r="P3186">
        <v>0</v>
      </c>
      <c r="Q3186">
        <v>0</v>
      </c>
      <c r="R3186">
        <v>0</v>
      </c>
      <c r="S3186">
        <v>1</v>
      </c>
      <c r="T3186">
        <v>0</v>
      </c>
      <c r="W3186">
        <v>1</v>
      </c>
      <c r="X3186">
        <v>0</v>
      </c>
      <c r="Y3186">
        <v>0</v>
      </c>
      <c r="Z3186">
        <v>0</v>
      </c>
      <c r="AA3186">
        <v>1</v>
      </c>
      <c r="AB3186">
        <v>0</v>
      </c>
    </row>
    <row r="3187" spans="1:28" x14ac:dyDescent="0.25">
      <c r="A3187" t="str">
        <f>"3183"</f>
        <v>3183</v>
      </c>
      <c r="B3187" t="str">
        <f t="shared" si="183"/>
        <v>1</v>
      </c>
      <c r="C3187" t="str">
        <f t="shared" si="184"/>
        <v>140</v>
      </c>
      <c r="D3187" t="str">
        <f>"10"</f>
        <v>10</v>
      </c>
      <c r="E3187" t="str">
        <f>"1-140-10"</f>
        <v>1-140-10</v>
      </c>
      <c r="F3187" t="s">
        <v>83</v>
      </c>
      <c r="G3187" t="s">
        <v>84</v>
      </c>
      <c r="H3187" t="s">
        <v>92</v>
      </c>
      <c r="I3187">
        <v>1</v>
      </c>
      <c r="J3187">
        <v>1</v>
      </c>
      <c r="N3187">
        <v>1</v>
      </c>
      <c r="O3187">
        <v>1</v>
      </c>
      <c r="P3187">
        <v>1</v>
      </c>
      <c r="Q3187">
        <v>1</v>
      </c>
      <c r="R3187">
        <v>1</v>
      </c>
      <c r="S3187">
        <v>1</v>
      </c>
      <c r="T3187">
        <v>1</v>
      </c>
      <c r="W3187">
        <v>1</v>
      </c>
      <c r="X3187">
        <v>1</v>
      </c>
      <c r="Y3187">
        <v>1</v>
      </c>
      <c r="Z3187">
        <v>1</v>
      </c>
      <c r="AA3187">
        <v>1</v>
      </c>
      <c r="AB3187">
        <v>1</v>
      </c>
    </row>
    <row r="3188" spans="1:28" x14ac:dyDescent="0.25">
      <c r="A3188" t="str">
        <f>"3184"</f>
        <v>3184</v>
      </c>
      <c r="B3188" t="str">
        <f t="shared" si="183"/>
        <v>1</v>
      </c>
      <c r="C3188" t="str">
        <f t="shared" si="184"/>
        <v>140</v>
      </c>
      <c r="D3188" t="str">
        <f>"5"</f>
        <v>5</v>
      </c>
      <c r="E3188" t="str">
        <f>"1-140-5"</f>
        <v>1-140-5</v>
      </c>
      <c r="F3188" t="s">
        <v>83</v>
      </c>
      <c r="G3188" t="s">
        <v>84</v>
      </c>
      <c r="H3188" t="s">
        <v>92</v>
      </c>
      <c r="I3188">
        <v>1</v>
      </c>
      <c r="J3188">
        <v>1</v>
      </c>
      <c r="N3188">
        <v>1</v>
      </c>
      <c r="O3188">
        <v>1</v>
      </c>
      <c r="P3188">
        <v>1</v>
      </c>
      <c r="Q3188">
        <v>1</v>
      </c>
      <c r="R3188">
        <v>1</v>
      </c>
      <c r="S3188">
        <v>1</v>
      </c>
      <c r="T3188">
        <v>1</v>
      </c>
      <c r="W3188">
        <v>1</v>
      </c>
      <c r="X3188">
        <v>1</v>
      </c>
      <c r="Y3188">
        <v>1</v>
      </c>
      <c r="Z3188">
        <v>1</v>
      </c>
      <c r="AA3188">
        <v>1</v>
      </c>
      <c r="AB3188">
        <v>1</v>
      </c>
    </row>
    <row r="3189" spans="1:28" x14ac:dyDescent="0.25">
      <c r="A3189" t="str">
        <f>"3185"</f>
        <v>3185</v>
      </c>
      <c r="B3189" t="str">
        <f t="shared" si="183"/>
        <v>1</v>
      </c>
      <c r="C3189" t="str">
        <f t="shared" si="184"/>
        <v>140</v>
      </c>
      <c r="D3189" t="str">
        <f>"21"</f>
        <v>21</v>
      </c>
      <c r="E3189" t="str">
        <f>"1-140-21"</f>
        <v>1-140-21</v>
      </c>
      <c r="F3189" t="s">
        <v>83</v>
      </c>
      <c r="G3189" t="s">
        <v>84</v>
      </c>
      <c r="H3189" t="s">
        <v>92</v>
      </c>
      <c r="I3189">
        <v>1</v>
      </c>
      <c r="J3189">
        <v>1</v>
      </c>
      <c r="N3189">
        <v>1</v>
      </c>
      <c r="O3189">
        <v>1</v>
      </c>
      <c r="P3189">
        <v>1</v>
      </c>
      <c r="Q3189">
        <v>1</v>
      </c>
      <c r="R3189">
        <v>1</v>
      </c>
      <c r="S3189">
        <v>1</v>
      </c>
      <c r="T3189">
        <v>1</v>
      </c>
      <c r="W3189">
        <v>1</v>
      </c>
      <c r="X3189">
        <v>1</v>
      </c>
      <c r="Y3189">
        <v>1</v>
      </c>
      <c r="Z3189">
        <v>1</v>
      </c>
      <c r="AA3189">
        <v>1</v>
      </c>
      <c r="AB3189">
        <v>1</v>
      </c>
    </row>
    <row r="3190" spans="1:28" x14ac:dyDescent="0.25">
      <c r="A3190" t="str">
        <f>"3186"</f>
        <v>3186</v>
      </c>
      <c r="B3190" t="str">
        <f t="shared" si="183"/>
        <v>1</v>
      </c>
      <c r="C3190" t="str">
        <f t="shared" si="184"/>
        <v>140</v>
      </c>
      <c r="D3190" t="str">
        <f>"11"</f>
        <v>11</v>
      </c>
      <c r="E3190" t="str">
        <f>"1-140-11"</f>
        <v>1-140-11</v>
      </c>
      <c r="F3190" t="s">
        <v>83</v>
      </c>
      <c r="G3190" t="s">
        <v>84</v>
      </c>
      <c r="H3190" t="s">
        <v>92</v>
      </c>
      <c r="I3190">
        <v>1</v>
      </c>
      <c r="J3190">
        <v>1</v>
      </c>
      <c r="N3190">
        <v>1</v>
      </c>
      <c r="O3190">
        <v>1</v>
      </c>
      <c r="P3190">
        <v>1</v>
      </c>
      <c r="Q3190">
        <v>1</v>
      </c>
      <c r="R3190">
        <v>1</v>
      </c>
      <c r="S3190">
        <v>1</v>
      </c>
      <c r="T3190">
        <v>0</v>
      </c>
      <c r="W3190">
        <v>1</v>
      </c>
      <c r="X3190">
        <v>1</v>
      </c>
      <c r="Y3190">
        <v>1</v>
      </c>
      <c r="Z3190">
        <v>1</v>
      </c>
      <c r="AA3190">
        <v>1</v>
      </c>
      <c r="AB3190">
        <v>1</v>
      </c>
    </row>
    <row r="3191" spans="1:28" x14ac:dyDescent="0.25">
      <c r="A3191" t="str">
        <f>"3187"</f>
        <v>3187</v>
      </c>
      <c r="B3191" t="str">
        <f t="shared" si="183"/>
        <v>1</v>
      </c>
      <c r="C3191" t="str">
        <f t="shared" si="184"/>
        <v>140</v>
      </c>
      <c r="D3191" t="str">
        <f>"2"</f>
        <v>2</v>
      </c>
      <c r="E3191" t="str">
        <f>"1-140-2"</f>
        <v>1-140-2</v>
      </c>
      <c r="F3191" t="s">
        <v>83</v>
      </c>
      <c r="G3191" t="s">
        <v>84</v>
      </c>
      <c r="H3191" t="s">
        <v>92</v>
      </c>
      <c r="I3191">
        <v>1</v>
      </c>
      <c r="J3191">
        <v>1</v>
      </c>
      <c r="N3191">
        <v>1</v>
      </c>
      <c r="O3191">
        <v>1</v>
      </c>
      <c r="P3191">
        <v>1</v>
      </c>
      <c r="Q3191">
        <v>1</v>
      </c>
      <c r="R3191">
        <v>1</v>
      </c>
      <c r="S3191">
        <v>1</v>
      </c>
      <c r="T3191">
        <v>1</v>
      </c>
      <c r="W3191">
        <v>1</v>
      </c>
      <c r="X3191">
        <v>1</v>
      </c>
      <c r="Y3191">
        <v>1</v>
      </c>
      <c r="Z3191">
        <v>1</v>
      </c>
      <c r="AA3191">
        <v>1</v>
      </c>
      <c r="AB3191">
        <v>1</v>
      </c>
    </row>
    <row r="3192" spans="1:28" x14ac:dyDescent="0.25">
      <c r="A3192" t="str">
        <f>"3188"</f>
        <v>3188</v>
      </c>
      <c r="B3192" t="str">
        <f t="shared" si="183"/>
        <v>1</v>
      </c>
      <c r="C3192" t="str">
        <f t="shared" si="184"/>
        <v>140</v>
      </c>
      <c r="D3192" t="str">
        <f>"18"</f>
        <v>18</v>
      </c>
      <c r="E3192" t="str">
        <f>"1-140-18"</f>
        <v>1-140-18</v>
      </c>
      <c r="F3192" t="s">
        <v>83</v>
      </c>
      <c r="G3192" t="s">
        <v>84</v>
      </c>
      <c r="H3192" t="s">
        <v>92</v>
      </c>
      <c r="I3192">
        <v>1</v>
      </c>
      <c r="J3192">
        <v>1</v>
      </c>
      <c r="N3192">
        <v>1</v>
      </c>
      <c r="O3192">
        <v>1</v>
      </c>
      <c r="P3192">
        <v>1</v>
      </c>
      <c r="Q3192">
        <v>1</v>
      </c>
      <c r="R3192">
        <v>1</v>
      </c>
      <c r="S3192">
        <v>1</v>
      </c>
      <c r="T3192">
        <v>1</v>
      </c>
      <c r="W3192">
        <v>1</v>
      </c>
      <c r="X3192">
        <v>1</v>
      </c>
      <c r="Y3192">
        <v>1</v>
      </c>
      <c r="Z3192">
        <v>1</v>
      </c>
      <c r="AA3192">
        <v>1</v>
      </c>
      <c r="AB3192">
        <v>1</v>
      </c>
    </row>
    <row r="3193" spans="1:28" x14ac:dyDescent="0.25">
      <c r="A3193" t="str">
        <f>"3189"</f>
        <v>3189</v>
      </c>
      <c r="B3193" t="str">
        <f t="shared" si="183"/>
        <v>1</v>
      </c>
      <c r="C3193" t="str">
        <f t="shared" si="184"/>
        <v>140</v>
      </c>
      <c r="D3193" t="str">
        <f>"12"</f>
        <v>12</v>
      </c>
      <c r="E3193" t="str">
        <f>"1-140-12"</f>
        <v>1-140-12</v>
      </c>
      <c r="F3193" t="s">
        <v>83</v>
      </c>
      <c r="G3193" t="s">
        <v>84</v>
      </c>
      <c r="H3193" t="s">
        <v>92</v>
      </c>
      <c r="I3193">
        <v>1</v>
      </c>
      <c r="J3193">
        <v>1</v>
      </c>
      <c r="N3193">
        <v>1</v>
      </c>
      <c r="O3193">
        <v>1</v>
      </c>
      <c r="P3193">
        <v>1</v>
      </c>
      <c r="Q3193">
        <v>1</v>
      </c>
      <c r="R3193">
        <v>1</v>
      </c>
      <c r="S3193">
        <v>1</v>
      </c>
      <c r="T3193">
        <v>1</v>
      </c>
      <c r="W3193">
        <v>1</v>
      </c>
      <c r="X3193">
        <v>1</v>
      </c>
      <c r="Y3193">
        <v>1</v>
      </c>
      <c r="Z3193">
        <v>1</v>
      </c>
      <c r="AA3193">
        <v>1</v>
      </c>
      <c r="AB3193">
        <v>1</v>
      </c>
    </row>
    <row r="3194" spans="1:28" x14ac:dyDescent="0.25">
      <c r="A3194" t="str">
        <f>"3190"</f>
        <v>3190</v>
      </c>
      <c r="B3194" t="str">
        <f t="shared" si="183"/>
        <v>1</v>
      </c>
      <c r="C3194" t="str">
        <f t="shared" si="184"/>
        <v>140</v>
      </c>
      <c r="D3194" t="str">
        <f>"6"</f>
        <v>6</v>
      </c>
      <c r="E3194" t="str">
        <f>"1-140-6"</f>
        <v>1-140-6</v>
      </c>
      <c r="F3194" t="s">
        <v>83</v>
      </c>
      <c r="G3194" t="s">
        <v>84</v>
      </c>
      <c r="H3194" t="s">
        <v>92</v>
      </c>
      <c r="I3194">
        <v>1</v>
      </c>
      <c r="J3194">
        <v>1</v>
      </c>
      <c r="N3194">
        <v>1</v>
      </c>
      <c r="O3194">
        <v>1</v>
      </c>
      <c r="P3194">
        <v>1</v>
      </c>
      <c r="Q3194">
        <v>1</v>
      </c>
      <c r="R3194">
        <v>1</v>
      </c>
      <c r="S3194">
        <v>1</v>
      </c>
      <c r="T3194">
        <v>0</v>
      </c>
      <c r="W3194">
        <v>1</v>
      </c>
      <c r="X3194">
        <v>1</v>
      </c>
      <c r="Y3194">
        <v>1</v>
      </c>
      <c r="Z3194">
        <v>1</v>
      </c>
      <c r="AA3194">
        <v>1</v>
      </c>
      <c r="AB3194">
        <v>1</v>
      </c>
    </row>
    <row r="3195" spans="1:28" x14ac:dyDescent="0.25">
      <c r="A3195" t="str">
        <f>"3191"</f>
        <v>3191</v>
      </c>
      <c r="B3195" t="str">
        <f t="shared" si="183"/>
        <v>1</v>
      </c>
      <c r="C3195" t="str">
        <f t="shared" si="184"/>
        <v>140</v>
      </c>
      <c r="D3195" t="str">
        <f>"19"</f>
        <v>19</v>
      </c>
      <c r="E3195" t="str">
        <f>"1-140-19"</f>
        <v>1-140-19</v>
      </c>
      <c r="F3195" t="s">
        <v>83</v>
      </c>
      <c r="G3195" t="s">
        <v>84</v>
      </c>
      <c r="H3195" t="s">
        <v>92</v>
      </c>
      <c r="I3195">
        <v>1</v>
      </c>
      <c r="J3195">
        <v>1</v>
      </c>
      <c r="N3195">
        <v>1</v>
      </c>
      <c r="O3195">
        <v>1</v>
      </c>
      <c r="P3195">
        <v>1</v>
      </c>
      <c r="Q3195">
        <v>1</v>
      </c>
      <c r="R3195">
        <v>1</v>
      </c>
      <c r="S3195">
        <v>1</v>
      </c>
      <c r="T3195">
        <v>1</v>
      </c>
      <c r="W3195">
        <v>1</v>
      </c>
      <c r="X3195">
        <v>1</v>
      </c>
      <c r="Y3195">
        <v>1</v>
      </c>
      <c r="Z3195">
        <v>1</v>
      </c>
      <c r="AA3195">
        <v>1</v>
      </c>
      <c r="AB3195">
        <v>1</v>
      </c>
    </row>
    <row r="3196" spans="1:28" x14ac:dyDescent="0.25">
      <c r="A3196" t="str">
        <f>"3192"</f>
        <v>3192</v>
      </c>
      <c r="B3196" t="str">
        <f t="shared" si="183"/>
        <v>1</v>
      </c>
      <c r="C3196" t="str">
        <f t="shared" si="184"/>
        <v>140</v>
      </c>
      <c r="D3196" t="str">
        <f>"7"</f>
        <v>7</v>
      </c>
      <c r="E3196" t="str">
        <f>"1-140-7"</f>
        <v>1-140-7</v>
      </c>
      <c r="F3196" t="s">
        <v>83</v>
      </c>
      <c r="G3196" t="s">
        <v>84</v>
      </c>
      <c r="H3196" t="s">
        <v>92</v>
      </c>
      <c r="I3196">
        <v>1</v>
      </c>
      <c r="J3196">
        <v>1</v>
      </c>
      <c r="N3196">
        <v>1</v>
      </c>
      <c r="O3196">
        <v>1</v>
      </c>
      <c r="P3196">
        <v>1</v>
      </c>
      <c r="Q3196">
        <v>1</v>
      </c>
      <c r="R3196">
        <v>1</v>
      </c>
      <c r="S3196">
        <v>1</v>
      </c>
      <c r="T3196">
        <v>1</v>
      </c>
      <c r="W3196">
        <v>1</v>
      </c>
      <c r="X3196">
        <v>1</v>
      </c>
      <c r="Y3196">
        <v>1</v>
      </c>
      <c r="Z3196">
        <v>1</v>
      </c>
      <c r="AA3196">
        <v>1</v>
      </c>
      <c r="AB3196">
        <v>1</v>
      </c>
    </row>
    <row r="3197" spans="1:28" x14ac:dyDescent="0.25">
      <c r="A3197" t="str">
        <f>"3193"</f>
        <v>3193</v>
      </c>
      <c r="B3197" t="str">
        <f t="shared" si="183"/>
        <v>1</v>
      </c>
      <c r="C3197" t="str">
        <f t="shared" si="184"/>
        <v>140</v>
      </c>
      <c r="D3197" t="str">
        <f>"20"</f>
        <v>20</v>
      </c>
      <c r="E3197" t="str">
        <f>"1-140-20"</f>
        <v>1-140-20</v>
      </c>
      <c r="F3197" t="s">
        <v>83</v>
      </c>
      <c r="G3197" t="s">
        <v>84</v>
      </c>
      <c r="H3197" t="s">
        <v>92</v>
      </c>
      <c r="I3197">
        <v>1</v>
      </c>
      <c r="J3197">
        <v>1</v>
      </c>
      <c r="N3197">
        <v>1</v>
      </c>
      <c r="O3197">
        <v>1</v>
      </c>
      <c r="P3197">
        <v>1</v>
      </c>
      <c r="Q3197">
        <v>1</v>
      </c>
      <c r="R3197">
        <v>1</v>
      </c>
      <c r="S3197">
        <v>1</v>
      </c>
      <c r="T3197">
        <v>1</v>
      </c>
      <c r="W3197">
        <v>1</v>
      </c>
      <c r="X3197">
        <v>1</v>
      </c>
      <c r="Y3197">
        <v>1</v>
      </c>
      <c r="Z3197">
        <v>1</v>
      </c>
      <c r="AA3197">
        <v>1</v>
      </c>
      <c r="AB3197">
        <v>1</v>
      </c>
    </row>
    <row r="3198" spans="1:28" x14ac:dyDescent="0.25">
      <c r="A3198" t="str">
        <f>"3194"</f>
        <v>3194</v>
      </c>
      <c r="B3198" t="str">
        <f t="shared" si="183"/>
        <v>1</v>
      </c>
      <c r="C3198" t="str">
        <f t="shared" si="184"/>
        <v>140</v>
      </c>
      <c r="D3198" t="str">
        <f>"4"</f>
        <v>4</v>
      </c>
      <c r="E3198" t="str">
        <f>"1-140-4"</f>
        <v>1-140-4</v>
      </c>
      <c r="F3198" t="s">
        <v>83</v>
      </c>
      <c r="G3198" t="s">
        <v>84</v>
      </c>
      <c r="H3198" t="s">
        <v>92</v>
      </c>
      <c r="I3198">
        <v>1</v>
      </c>
      <c r="J3198">
        <v>1</v>
      </c>
      <c r="N3198">
        <v>1</v>
      </c>
      <c r="O3198">
        <v>1</v>
      </c>
      <c r="P3198">
        <v>1</v>
      </c>
      <c r="Q3198">
        <v>1</v>
      </c>
      <c r="R3198">
        <v>1</v>
      </c>
      <c r="S3198">
        <v>1</v>
      </c>
      <c r="T3198">
        <v>1</v>
      </c>
      <c r="W3198">
        <v>1</v>
      </c>
      <c r="X3198">
        <v>1</v>
      </c>
      <c r="Y3198">
        <v>1</v>
      </c>
      <c r="Z3198">
        <v>1</v>
      </c>
      <c r="AA3198">
        <v>1</v>
      </c>
      <c r="AB3198">
        <v>1</v>
      </c>
    </row>
    <row r="3199" spans="1:28" x14ac:dyDescent="0.25">
      <c r="A3199" t="str">
        <f>"3195"</f>
        <v>3195</v>
      </c>
      <c r="B3199" t="str">
        <f t="shared" si="183"/>
        <v>1</v>
      </c>
      <c r="C3199" t="str">
        <f t="shared" ref="C3199:C3223" si="185">"141"</f>
        <v>141</v>
      </c>
      <c r="D3199" t="str">
        <f>"25"</f>
        <v>25</v>
      </c>
      <c r="E3199" t="str">
        <f>"1-141-25"</f>
        <v>1-141-25</v>
      </c>
      <c r="F3199" t="s">
        <v>83</v>
      </c>
      <c r="G3199" t="s">
        <v>84</v>
      </c>
      <c r="H3199" t="s">
        <v>92</v>
      </c>
      <c r="I3199">
        <v>1</v>
      </c>
      <c r="J3199">
        <v>1</v>
      </c>
      <c r="N3199">
        <v>1</v>
      </c>
      <c r="O3199">
        <v>1</v>
      </c>
      <c r="P3199">
        <v>1</v>
      </c>
      <c r="Q3199">
        <v>1</v>
      </c>
      <c r="R3199">
        <v>1</v>
      </c>
      <c r="S3199">
        <v>1</v>
      </c>
      <c r="T3199">
        <v>1</v>
      </c>
      <c r="W3199">
        <v>1</v>
      </c>
      <c r="X3199">
        <v>1</v>
      </c>
      <c r="Y3199">
        <v>1</v>
      </c>
      <c r="Z3199">
        <v>1</v>
      </c>
      <c r="AA3199">
        <v>1</v>
      </c>
      <c r="AB3199">
        <v>1</v>
      </c>
    </row>
    <row r="3200" spans="1:28" x14ac:dyDescent="0.25">
      <c r="A3200" t="str">
        <f>"3196"</f>
        <v>3196</v>
      </c>
      <c r="B3200" t="str">
        <f t="shared" si="183"/>
        <v>1</v>
      </c>
      <c r="C3200" t="str">
        <f t="shared" si="185"/>
        <v>141</v>
      </c>
      <c r="D3200" t="str">
        <f>"24"</f>
        <v>24</v>
      </c>
      <c r="E3200" t="str">
        <f>"1-141-24"</f>
        <v>1-141-24</v>
      </c>
      <c r="F3200" t="s">
        <v>83</v>
      </c>
      <c r="G3200" t="s">
        <v>84</v>
      </c>
      <c r="H3200" t="s">
        <v>92</v>
      </c>
      <c r="I3200">
        <v>1</v>
      </c>
      <c r="J3200">
        <v>1</v>
      </c>
      <c r="N3200">
        <v>1</v>
      </c>
      <c r="O3200">
        <v>1</v>
      </c>
      <c r="P3200">
        <v>1</v>
      </c>
      <c r="Q3200">
        <v>1</v>
      </c>
      <c r="R3200">
        <v>1</v>
      </c>
      <c r="S3200">
        <v>1</v>
      </c>
      <c r="T3200">
        <v>1</v>
      </c>
      <c r="W3200">
        <v>1</v>
      </c>
      <c r="X3200">
        <v>1</v>
      </c>
      <c r="Y3200">
        <v>1</v>
      </c>
      <c r="Z3200">
        <v>1</v>
      </c>
      <c r="AA3200">
        <v>1</v>
      </c>
      <c r="AB3200">
        <v>1</v>
      </c>
    </row>
    <row r="3201" spans="1:28" x14ac:dyDescent="0.25">
      <c r="A3201" t="str">
        <f>"3197"</f>
        <v>3197</v>
      </c>
      <c r="B3201" t="str">
        <f t="shared" si="183"/>
        <v>1</v>
      </c>
      <c r="C3201" t="str">
        <f t="shared" si="185"/>
        <v>141</v>
      </c>
      <c r="D3201" t="str">
        <f>"15"</f>
        <v>15</v>
      </c>
      <c r="E3201" t="str">
        <f>"1-141-15"</f>
        <v>1-141-15</v>
      </c>
      <c r="F3201" t="s">
        <v>83</v>
      </c>
      <c r="G3201" t="s">
        <v>84</v>
      </c>
      <c r="H3201" t="s">
        <v>92</v>
      </c>
      <c r="I3201">
        <v>1</v>
      </c>
      <c r="J3201">
        <v>1</v>
      </c>
      <c r="N3201">
        <v>1</v>
      </c>
      <c r="O3201">
        <v>1</v>
      </c>
      <c r="P3201">
        <v>1</v>
      </c>
      <c r="Q3201">
        <v>1</v>
      </c>
      <c r="R3201">
        <v>1</v>
      </c>
      <c r="S3201">
        <v>1</v>
      </c>
      <c r="T3201">
        <v>1</v>
      </c>
      <c r="W3201">
        <v>1</v>
      </c>
      <c r="X3201">
        <v>1</v>
      </c>
      <c r="Y3201">
        <v>1</v>
      </c>
      <c r="Z3201">
        <v>1</v>
      </c>
      <c r="AA3201">
        <v>1</v>
      </c>
      <c r="AB3201">
        <v>1</v>
      </c>
    </row>
    <row r="3202" spans="1:28" x14ac:dyDescent="0.25">
      <c r="A3202" t="str">
        <f>"3198"</f>
        <v>3198</v>
      </c>
      <c r="B3202" t="str">
        <f t="shared" si="183"/>
        <v>1</v>
      </c>
      <c r="C3202" t="str">
        <f t="shared" si="185"/>
        <v>141</v>
      </c>
      <c r="D3202" t="str">
        <f>"14"</f>
        <v>14</v>
      </c>
      <c r="E3202" t="str">
        <f>"1-141-14"</f>
        <v>1-141-14</v>
      </c>
      <c r="F3202" t="s">
        <v>83</v>
      </c>
      <c r="G3202" t="s">
        <v>84</v>
      </c>
      <c r="H3202" t="s">
        <v>92</v>
      </c>
      <c r="I3202">
        <v>1</v>
      </c>
      <c r="J3202">
        <v>1</v>
      </c>
      <c r="N3202">
        <v>1</v>
      </c>
      <c r="O3202">
        <v>1</v>
      </c>
      <c r="P3202">
        <v>1</v>
      </c>
      <c r="Q3202">
        <v>1</v>
      </c>
      <c r="R3202">
        <v>1</v>
      </c>
      <c r="S3202">
        <v>1</v>
      </c>
      <c r="T3202">
        <v>1</v>
      </c>
      <c r="W3202">
        <v>1</v>
      </c>
      <c r="X3202">
        <v>1</v>
      </c>
      <c r="Y3202">
        <v>1</v>
      </c>
      <c r="Z3202">
        <v>1</v>
      </c>
      <c r="AA3202">
        <v>1</v>
      </c>
      <c r="AB3202">
        <v>1</v>
      </c>
    </row>
    <row r="3203" spans="1:28" x14ac:dyDescent="0.25">
      <c r="A3203" t="str">
        <f>"3199"</f>
        <v>3199</v>
      </c>
      <c r="B3203" t="str">
        <f t="shared" si="183"/>
        <v>1</v>
      </c>
      <c r="C3203" t="str">
        <f t="shared" si="185"/>
        <v>141</v>
      </c>
      <c r="D3203" t="str">
        <f>"13"</f>
        <v>13</v>
      </c>
      <c r="E3203" t="str">
        <f>"1-141-13"</f>
        <v>1-141-13</v>
      </c>
      <c r="F3203" t="s">
        <v>83</v>
      </c>
      <c r="G3203" t="s">
        <v>84</v>
      </c>
      <c r="H3203" t="s">
        <v>92</v>
      </c>
      <c r="I3203">
        <v>1</v>
      </c>
      <c r="J3203">
        <v>1</v>
      </c>
      <c r="N3203">
        <v>1</v>
      </c>
      <c r="O3203">
        <v>1</v>
      </c>
      <c r="P3203">
        <v>1</v>
      </c>
      <c r="Q3203">
        <v>1</v>
      </c>
      <c r="R3203">
        <v>1</v>
      </c>
      <c r="S3203">
        <v>1</v>
      </c>
      <c r="T3203">
        <v>0</v>
      </c>
      <c r="W3203">
        <v>0</v>
      </c>
      <c r="X3203">
        <v>0</v>
      </c>
      <c r="Y3203">
        <v>0</v>
      </c>
      <c r="Z3203">
        <v>0</v>
      </c>
      <c r="AA3203">
        <v>0</v>
      </c>
      <c r="AB3203">
        <v>0</v>
      </c>
    </row>
    <row r="3204" spans="1:28" x14ac:dyDescent="0.25">
      <c r="A3204" t="str">
        <f>"3200"</f>
        <v>3200</v>
      </c>
      <c r="B3204" t="str">
        <f t="shared" si="183"/>
        <v>1</v>
      </c>
      <c r="C3204" t="str">
        <f t="shared" si="185"/>
        <v>141</v>
      </c>
      <c r="D3204" t="str">
        <f>"8"</f>
        <v>8</v>
      </c>
      <c r="E3204" t="str">
        <f>"1-141-8"</f>
        <v>1-141-8</v>
      </c>
      <c r="F3204" t="s">
        <v>83</v>
      </c>
      <c r="G3204" t="s">
        <v>84</v>
      </c>
      <c r="H3204" t="s">
        <v>92</v>
      </c>
      <c r="I3204">
        <v>1</v>
      </c>
      <c r="J3204">
        <v>1</v>
      </c>
      <c r="N3204">
        <v>1</v>
      </c>
      <c r="O3204">
        <v>1</v>
      </c>
      <c r="P3204">
        <v>1</v>
      </c>
      <c r="Q3204">
        <v>1</v>
      </c>
      <c r="R3204">
        <v>1</v>
      </c>
      <c r="S3204">
        <v>1</v>
      </c>
      <c r="T3204">
        <v>1</v>
      </c>
      <c r="W3204">
        <v>1</v>
      </c>
      <c r="X3204">
        <v>1</v>
      </c>
      <c r="Y3204">
        <v>1</v>
      </c>
      <c r="Z3204">
        <v>1</v>
      </c>
      <c r="AA3204">
        <v>1</v>
      </c>
      <c r="AB3204">
        <v>1</v>
      </c>
    </row>
    <row r="3205" spans="1:28" x14ac:dyDescent="0.25">
      <c r="A3205" t="str">
        <f>"3201"</f>
        <v>3201</v>
      </c>
      <c r="B3205" t="str">
        <f t="shared" si="183"/>
        <v>1</v>
      </c>
      <c r="C3205" t="str">
        <f t="shared" si="185"/>
        <v>141</v>
      </c>
      <c r="D3205" t="str">
        <f>"1"</f>
        <v>1</v>
      </c>
      <c r="E3205" t="str">
        <f>"1-141-1"</f>
        <v>1-141-1</v>
      </c>
      <c r="F3205" t="s">
        <v>83</v>
      </c>
      <c r="G3205" t="s">
        <v>86</v>
      </c>
      <c r="H3205" t="s">
        <v>93</v>
      </c>
      <c r="I3205">
        <v>1</v>
      </c>
      <c r="K3205">
        <v>0</v>
      </c>
      <c r="L3205">
        <v>0</v>
      </c>
      <c r="M3205">
        <v>1</v>
      </c>
      <c r="N3205">
        <v>1</v>
      </c>
      <c r="O3205">
        <v>1</v>
      </c>
      <c r="P3205">
        <v>1</v>
      </c>
      <c r="Q3205">
        <v>1</v>
      </c>
      <c r="R3205">
        <v>1</v>
      </c>
      <c r="U3205">
        <v>1</v>
      </c>
      <c r="V3205">
        <v>0</v>
      </c>
      <c r="W3205">
        <v>1</v>
      </c>
      <c r="X3205">
        <v>1</v>
      </c>
      <c r="Y3205">
        <v>1</v>
      </c>
      <c r="Z3205">
        <v>1</v>
      </c>
      <c r="AA3205">
        <v>1</v>
      </c>
      <c r="AB3205">
        <v>1</v>
      </c>
    </row>
    <row r="3206" spans="1:28" x14ac:dyDescent="0.25">
      <c r="A3206" t="str">
        <f>"3202"</f>
        <v>3202</v>
      </c>
      <c r="B3206" t="str">
        <f t="shared" si="183"/>
        <v>1</v>
      </c>
      <c r="C3206" t="str">
        <f t="shared" si="185"/>
        <v>141</v>
      </c>
      <c r="D3206" t="str">
        <f>"20"</f>
        <v>20</v>
      </c>
      <c r="E3206" t="str">
        <f>"1-141-20"</f>
        <v>1-141-20</v>
      </c>
      <c r="F3206" t="s">
        <v>83</v>
      </c>
      <c r="G3206" t="s">
        <v>84</v>
      </c>
      <c r="H3206" t="s">
        <v>92</v>
      </c>
      <c r="I3206">
        <v>1</v>
      </c>
      <c r="J3206">
        <v>1</v>
      </c>
      <c r="N3206">
        <v>1</v>
      </c>
      <c r="O3206">
        <v>1</v>
      </c>
      <c r="P3206">
        <v>1</v>
      </c>
      <c r="Q3206">
        <v>1</v>
      </c>
      <c r="R3206">
        <v>1</v>
      </c>
      <c r="S3206">
        <v>1</v>
      </c>
      <c r="T3206">
        <v>1</v>
      </c>
      <c r="W3206">
        <v>1</v>
      </c>
      <c r="X3206">
        <v>1</v>
      </c>
      <c r="Y3206">
        <v>1</v>
      </c>
      <c r="Z3206">
        <v>1</v>
      </c>
      <c r="AA3206">
        <v>1</v>
      </c>
      <c r="AB3206">
        <v>1</v>
      </c>
    </row>
    <row r="3207" spans="1:28" x14ac:dyDescent="0.25">
      <c r="A3207" t="str">
        <f>"3203"</f>
        <v>3203</v>
      </c>
      <c r="B3207" t="str">
        <f t="shared" si="183"/>
        <v>1</v>
      </c>
      <c r="C3207" t="str">
        <f t="shared" si="185"/>
        <v>141</v>
      </c>
      <c r="D3207" t="str">
        <f>"9"</f>
        <v>9</v>
      </c>
      <c r="E3207" t="str">
        <f>"1-141-9"</f>
        <v>1-141-9</v>
      </c>
      <c r="F3207" t="s">
        <v>83</v>
      </c>
      <c r="G3207" t="s">
        <v>84</v>
      </c>
      <c r="H3207" t="s">
        <v>92</v>
      </c>
      <c r="I3207">
        <v>1</v>
      </c>
      <c r="J3207">
        <v>1</v>
      </c>
      <c r="N3207">
        <v>1</v>
      </c>
      <c r="O3207">
        <v>1</v>
      </c>
      <c r="P3207">
        <v>1</v>
      </c>
      <c r="Q3207">
        <v>1</v>
      </c>
      <c r="R3207">
        <v>1</v>
      </c>
      <c r="S3207">
        <v>1</v>
      </c>
      <c r="T3207">
        <v>1</v>
      </c>
      <c r="W3207">
        <v>1</v>
      </c>
      <c r="X3207">
        <v>1</v>
      </c>
      <c r="Y3207">
        <v>1</v>
      </c>
      <c r="Z3207">
        <v>1</v>
      </c>
      <c r="AA3207">
        <v>1</v>
      </c>
      <c r="AB3207">
        <v>1</v>
      </c>
    </row>
    <row r="3208" spans="1:28" x14ac:dyDescent="0.25">
      <c r="A3208" t="str">
        <f>"3204"</f>
        <v>3204</v>
      </c>
      <c r="B3208" t="str">
        <f t="shared" si="183"/>
        <v>1</v>
      </c>
      <c r="C3208" t="str">
        <f t="shared" si="185"/>
        <v>141</v>
      </c>
      <c r="D3208" t="str">
        <f>"6"</f>
        <v>6</v>
      </c>
      <c r="E3208" t="str">
        <f>"1-141-6"</f>
        <v>1-141-6</v>
      </c>
      <c r="F3208" t="s">
        <v>83</v>
      </c>
      <c r="G3208" t="s">
        <v>84</v>
      </c>
      <c r="H3208" t="s">
        <v>92</v>
      </c>
      <c r="I3208">
        <v>1</v>
      </c>
      <c r="J3208">
        <v>1</v>
      </c>
      <c r="N3208">
        <v>1</v>
      </c>
      <c r="O3208">
        <v>1</v>
      </c>
      <c r="P3208">
        <v>1</v>
      </c>
      <c r="Q3208">
        <v>1</v>
      </c>
      <c r="R3208">
        <v>1</v>
      </c>
      <c r="S3208">
        <v>1</v>
      </c>
      <c r="T3208">
        <v>1</v>
      </c>
      <c r="W3208">
        <v>1</v>
      </c>
      <c r="X3208">
        <v>1</v>
      </c>
      <c r="Y3208">
        <v>1</v>
      </c>
      <c r="Z3208">
        <v>1</v>
      </c>
      <c r="AA3208">
        <v>1</v>
      </c>
      <c r="AB3208">
        <v>1</v>
      </c>
    </row>
    <row r="3209" spans="1:28" x14ac:dyDescent="0.25">
      <c r="A3209" t="str">
        <f>"3205"</f>
        <v>3205</v>
      </c>
      <c r="B3209" t="str">
        <f t="shared" si="183"/>
        <v>1</v>
      </c>
      <c r="C3209" t="str">
        <f t="shared" si="185"/>
        <v>141</v>
      </c>
      <c r="D3209" t="str">
        <f>"23"</f>
        <v>23</v>
      </c>
      <c r="E3209" t="str">
        <f>"1-141-23"</f>
        <v>1-141-23</v>
      </c>
      <c r="F3209" t="s">
        <v>83</v>
      </c>
      <c r="G3209" t="s">
        <v>84</v>
      </c>
      <c r="H3209" t="s">
        <v>92</v>
      </c>
      <c r="I3209">
        <v>1</v>
      </c>
      <c r="J3209">
        <v>1</v>
      </c>
      <c r="N3209">
        <v>1</v>
      </c>
      <c r="O3209">
        <v>1</v>
      </c>
      <c r="P3209">
        <v>1</v>
      </c>
      <c r="Q3209">
        <v>1</v>
      </c>
      <c r="R3209">
        <v>1</v>
      </c>
      <c r="S3209">
        <v>1</v>
      </c>
      <c r="T3209">
        <v>1</v>
      </c>
      <c r="W3209">
        <v>1</v>
      </c>
      <c r="X3209">
        <v>1</v>
      </c>
      <c r="Y3209">
        <v>1</v>
      </c>
      <c r="Z3209">
        <v>1</v>
      </c>
      <c r="AA3209">
        <v>1</v>
      </c>
      <c r="AB3209">
        <v>1</v>
      </c>
    </row>
    <row r="3210" spans="1:28" x14ac:dyDescent="0.25">
      <c r="A3210" t="str">
        <f>"3206"</f>
        <v>3206</v>
      </c>
      <c r="B3210" t="str">
        <f t="shared" si="183"/>
        <v>1</v>
      </c>
      <c r="C3210" t="str">
        <f t="shared" si="185"/>
        <v>141</v>
      </c>
      <c r="D3210" t="str">
        <f>"22"</f>
        <v>22</v>
      </c>
      <c r="E3210" t="str">
        <f>"1-141-22"</f>
        <v>1-141-22</v>
      </c>
      <c r="F3210" t="s">
        <v>83</v>
      </c>
      <c r="G3210" t="s">
        <v>84</v>
      </c>
      <c r="H3210" t="s">
        <v>92</v>
      </c>
      <c r="I3210">
        <v>1</v>
      </c>
      <c r="J3210">
        <v>1</v>
      </c>
      <c r="N3210">
        <v>1</v>
      </c>
      <c r="O3210">
        <v>1</v>
      </c>
      <c r="P3210">
        <v>1</v>
      </c>
      <c r="Q3210">
        <v>1</v>
      </c>
      <c r="R3210">
        <v>1</v>
      </c>
      <c r="S3210">
        <v>1</v>
      </c>
      <c r="T3210">
        <v>1</v>
      </c>
      <c r="W3210">
        <v>1</v>
      </c>
      <c r="X3210">
        <v>1</v>
      </c>
      <c r="Y3210">
        <v>1</v>
      </c>
      <c r="Z3210">
        <v>1</v>
      </c>
      <c r="AA3210">
        <v>1</v>
      </c>
      <c r="AB3210">
        <v>1</v>
      </c>
    </row>
    <row r="3211" spans="1:28" x14ac:dyDescent="0.25">
      <c r="A3211" t="str">
        <f>"3207"</f>
        <v>3207</v>
      </c>
      <c r="B3211" t="str">
        <f t="shared" si="183"/>
        <v>1</v>
      </c>
      <c r="C3211" t="str">
        <f t="shared" si="185"/>
        <v>141</v>
      </c>
      <c r="D3211" t="str">
        <f>"16"</f>
        <v>16</v>
      </c>
      <c r="E3211" t="str">
        <f>"1-141-16"</f>
        <v>1-141-16</v>
      </c>
      <c r="F3211" t="s">
        <v>83</v>
      </c>
      <c r="G3211" t="s">
        <v>84</v>
      </c>
      <c r="H3211" t="s">
        <v>92</v>
      </c>
      <c r="I3211">
        <v>1</v>
      </c>
      <c r="J3211">
        <v>1</v>
      </c>
      <c r="N3211">
        <v>1</v>
      </c>
      <c r="O3211">
        <v>1</v>
      </c>
      <c r="P3211">
        <v>1</v>
      </c>
      <c r="Q3211">
        <v>1</v>
      </c>
      <c r="R3211">
        <v>1</v>
      </c>
      <c r="S3211">
        <v>1</v>
      </c>
      <c r="T3211">
        <v>1</v>
      </c>
      <c r="W3211">
        <v>1</v>
      </c>
      <c r="X3211">
        <v>1</v>
      </c>
      <c r="Y3211">
        <v>1</v>
      </c>
      <c r="Z3211">
        <v>1</v>
      </c>
      <c r="AA3211">
        <v>1</v>
      </c>
      <c r="AB3211">
        <v>1</v>
      </c>
    </row>
    <row r="3212" spans="1:28" x14ac:dyDescent="0.25">
      <c r="A3212" t="str">
        <f>"3208"</f>
        <v>3208</v>
      </c>
      <c r="B3212" t="str">
        <f t="shared" si="183"/>
        <v>1</v>
      </c>
      <c r="C3212" t="str">
        <f t="shared" si="185"/>
        <v>141</v>
      </c>
      <c r="D3212" t="str">
        <f>"10"</f>
        <v>10</v>
      </c>
      <c r="E3212" t="str">
        <f>"1-141-10"</f>
        <v>1-141-10</v>
      </c>
      <c r="F3212" t="s">
        <v>83</v>
      </c>
      <c r="G3212" t="s">
        <v>84</v>
      </c>
      <c r="H3212" t="s">
        <v>92</v>
      </c>
      <c r="I3212">
        <v>1</v>
      </c>
      <c r="J3212">
        <v>1</v>
      </c>
      <c r="N3212">
        <v>1</v>
      </c>
      <c r="O3212">
        <v>1</v>
      </c>
      <c r="P3212">
        <v>1</v>
      </c>
      <c r="Q3212">
        <v>1</v>
      </c>
      <c r="R3212">
        <v>0</v>
      </c>
      <c r="S3212">
        <v>1</v>
      </c>
      <c r="T3212">
        <v>0</v>
      </c>
      <c r="W3212">
        <v>1</v>
      </c>
      <c r="X3212">
        <v>1</v>
      </c>
      <c r="Y3212">
        <v>1</v>
      </c>
      <c r="Z3212">
        <v>1</v>
      </c>
      <c r="AA3212">
        <v>1</v>
      </c>
      <c r="AB3212">
        <v>1</v>
      </c>
    </row>
    <row r="3213" spans="1:28" x14ac:dyDescent="0.25">
      <c r="A3213" t="str">
        <f>"3209"</f>
        <v>3209</v>
      </c>
      <c r="B3213" t="str">
        <f t="shared" si="183"/>
        <v>1</v>
      </c>
      <c r="C3213" t="str">
        <f t="shared" si="185"/>
        <v>141</v>
      </c>
      <c r="D3213" t="str">
        <f>"3"</f>
        <v>3</v>
      </c>
      <c r="E3213" t="str">
        <f>"1-141-3"</f>
        <v>1-141-3</v>
      </c>
      <c r="F3213" t="s">
        <v>83</v>
      </c>
      <c r="G3213" t="s">
        <v>84</v>
      </c>
      <c r="H3213" t="s">
        <v>92</v>
      </c>
      <c r="I3213">
        <v>1</v>
      </c>
      <c r="J3213">
        <v>1</v>
      </c>
      <c r="N3213">
        <v>1</v>
      </c>
      <c r="O3213">
        <v>1</v>
      </c>
      <c r="P3213">
        <v>1</v>
      </c>
      <c r="Q3213">
        <v>1</v>
      </c>
      <c r="R3213">
        <v>1</v>
      </c>
      <c r="S3213">
        <v>1</v>
      </c>
      <c r="T3213">
        <v>1</v>
      </c>
      <c r="W3213">
        <v>1</v>
      </c>
      <c r="X3213">
        <v>1</v>
      </c>
      <c r="Y3213">
        <v>1</v>
      </c>
      <c r="Z3213">
        <v>1</v>
      </c>
      <c r="AA3213">
        <v>1</v>
      </c>
      <c r="AB3213">
        <v>1</v>
      </c>
    </row>
    <row r="3214" spans="1:28" x14ac:dyDescent="0.25">
      <c r="A3214" t="str">
        <f>"3210"</f>
        <v>3210</v>
      </c>
      <c r="B3214" t="str">
        <f t="shared" si="183"/>
        <v>1</v>
      </c>
      <c r="C3214" t="str">
        <f t="shared" si="185"/>
        <v>141</v>
      </c>
      <c r="D3214" t="str">
        <f>"18"</f>
        <v>18</v>
      </c>
      <c r="E3214" t="str">
        <f>"1-141-18"</f>
        <v>1-141-18</v>
      </c>
      <c r="F3214" t="s">
        <v>83</v>
      </c>
      <c r="G3214" t="s">
        <v>84</v>
      </c>
      <c r="H3214" t="s">
        <v>92</v>
      </c>
      <c r="I3214">
        <v>1</v>
      </c>
      <c r="J3214">
        <v>1</v>
      </c>
      <c r="N3214">
        <v>1</v>
      </c>
      <c r="O3214">
        <v>1</v>
      </c>
      <c r="P3214">
        <v>1</v>
      </c>
      <c r="Q3214">
        <v>1</v>
      </c>
      <c r="R3214">
        <v>1</v>
      </c>
      <c r="S3214">
        <v>1</v>
      </c>
      <c r="T3214">
        <v>1</v>
      </c>
      <c r="W3214">
        <v>1</v>
      </c>
      <c r="X3214">
        <v>1</v>
      </c>
      <c r="Y3214">
        <v>1</v>
      </c>
      <c r="Z3214">
        <v>1</v>
      </c>
      <c r="AA3214">
        <v>1</v>
      </c>
      <c r="AB3214">
        <v>1</v>
      </c>
    </row>
    <row r="3215" spans="1:28" x14ac:dyDescent="0.25">
      <c r="A3215" t="str">
        <f>"3211"</f>
        <v>3211</v>
      </c>
      <c r="B3215" t="str">
        <f t="shared" si="183"/>
        <v>1</v>
      </c>
      <c r="C3215" t="str">
        <f t="shared" si="185"/>
        <v>141</v>
      </c>
      <c r="D3215" t="str">
        <f>"11"</f>
        <v>11</v>
      </c>
      <c r="E3215" t="str">
        <f>"1-141-11"</f>
        <v>1-141-11</v>
      </c>
      <c r="F3215" t="s">
        <v>83</v>
      </c>
      <c r="G3215" t="s">
        <v>84</v>
      </c>
      <c r="H3215" t="s">
        <v>92</v>
      </c>
      <c r="I3215">
        <v>1</v>
      </c>
      <c r="J3215">
        <v>1</v>
      </c>
      <c r="N3215">
        <v>1</v>
      </c>
      <c r="O3215">
        <v>1</v>
      </c>
      <c r="P3215">
        <v>1</v>
      </c>
      <c r="Q3215">
        <v>1</v>
      </c>
      <c r="R3215">
        <v>1</v>
      </c>
      <c r="S3215">
        <v>1</v>
      </c>
      <c r="T3215">
        <v>1</v>
      </c>
      <c r="W3215">
        <v>1</v>
      </c>
      <c r="X3215">
        <v>1</v>
      </c>
      <c r="Y3215">
        <v>1</v>
      </c>
      <c r="Z3215">
        <v>1</v>
      </c>
      <c r="AA3215">
        <v>1</v>
      </c>
      <c r="AB3215">
        <v>1</v>
      </c>
    </row>
    <row r="3216" spans="1:28" x14ac:dyDescent="0.25">
      <c r="A3216" t="str">
        <f>"3212"</f>
        <v>3212</v>
      </c>
      <c r="B3216" t="str">
        <f t="shared" si="183"/>
        <v>1</v>
      </c>
      <c r="C3216" t="str">
        <f t="shared" si="185"/>
        <v>141</v>
      </c>
      <c r="D3216" t="str">
        <f>"5"</f>
        <v>5</v>
      </c>
      <c r="E3216" t="str">
        <f>"1-141-5"</f>
        <v>1-141-5</v>
      </c>
      <c r="F3216" t="s">
        <v>83</v>
      </c>
      <c r="G3216" t="s">
        <v>84</v>
      </c>
      <c r="H3216" t="s">
        <v>92</v>
      </c>
      <c r="I3216">
        <v>1</v>
      </c>
      <c r="J3216">
        <v>1</v>
      </c>
      <c r="N3216">
        <v>1</v>
      </c>
      <c r="O3216">
        <v>1</v>
      </c>
      <c r="P3216">
        <v>1</v>
      </c>
      <c r="Q3216">
        <v>1</v>
      </c>
      <c r="R3216">
        <v>1</v>
      </c>
      <c r="S3216">
        <v>1</v>
      </c>
      <c r="T3216">
        <v>1</v>
      </c>
      <c r="W3216">
        <v>1</v>
      </c>
      <c r="X3216">
        <v>0</v>
      </c>
      <c r="Y3216">
        <v>0</v>
      </c>
      <c r="Z3216">
        <v>1</v>
      </c>
      <c r="AA3216">
        <v>1</v>
      </c>
      <c r="AB3216">
        <v>1</v>
      </c>
    </row>
    <row r="3217" spans="1:28" x14ac:dyDescent="0.25">
      <c r="A3217" t="str">
        <f>"3213"</f>
        <v>3213</v>
      </c>
      <c r="B3217" t="str">
        <f t="shared" si="183"/>
        <v>1</v>
      </c>
      <c r="C3217" t="str">
        <f t="shared" si="185"/>
        <v>141</v>
      </c>
      <c r="D3217" t="str">
        <f>"17"</f>
        <v>17</v>
      </c>
      <c r="E3217" t="str">
        <f>"1-141-17"</f>
        <v>1-141-17</v>
      </c>
      <c r="F3217" t="s">
        <v>83</v>
      </c>
      <c r="G3217" t="s">
        <v>84</v>
      </c>
      <c r="H3217" t="s">
        <v>92</v>
      </c>
      <c r="I3217">
        <v>1</v>
      </c>
      <c r="J3217">
        <v>0</v>
      </c>
      <c r="N3217">
        <v>1</v>
      </c>
      <c r="O3217">
        <v>0</v>
      </c>
      <c r="P3217">
        <v>0</v>
      </c>
      <c r="Q3217">
        <v>0</v>
      </c>
      <c r="R3217">
        <v>0</v>
      </c>
      <c r="S3217">
        <v>1</v>
      </c>
      <c r="T3217">
        <v>0</v>
      </c>
      <c r="W3217">
        <v>1</v>
      </c>
      <c r="X3217">
        <v>0</v>
      </c>
      <c r="Y3217">
        <v>0</v>
      </c>
      <c r="Z3217">
        <v>0</v>
      </c>
      <c r="AA3217">
        <v>1</v>
      </c>
      <c r="AB3217">
        <v>0</v>
      </c>
    </row>
    <row r="3218" spans="1:28" x14ac:dyDescent="0.25">
      <c r="A3218" t="str">
        <f>"3214"</f>
        <v>3214</v>
      </c>
      <c r="B3218" t="str">
        <f t="shared" si="183"/>
        <v>1</v>
      </c>
      <c r="C3218" t="str">
        <f t="shared" si="185"/>
        <v>141</v>
      </c>
      <c r="D3218" t="str">
        <f>"12"</f>
        <v>12</v>
      </c>
      <c r="E3218" t="str">
        <f>"1-141-12"</f>
        <v>1-141-12</v>
      </c>
      <c r="F3218" t="s">
        <v>83</v>
      </c>
      <c r="G3218" t="s">
        <v>84</v>
      </c>
      <c r="H3218" t="s">
        <v>92</v>
      </c>
      <c r="I3218">
        <v>1</v>
      </c>
      <c r="J3218">
        <v>1</v>
      </c>
      <c r="N3218">
        <v>1</v>
      </c>
      <c r="O3218">
        <v>1</v>
      </c>
      <c r="P3218">
        <v>0</v>
      </c>
      <c r="Q3218">
        <v>1</v>
      </c>
      <c r="R3218">
        <v>0</v>
      </c>
      <c r="S3218">
        <v>1</v>
      </c>
      <c r="T3218">
        <v>0</v>
      </c>
      <c r="W3218">
        <v>1</v>
      </c>
      <c r="X3218">
        <v>0</v>
      </c>
      <c r="Y3218">
        <v>1</v>
      </c>
      <c r="Z3218">
        <v>0</v>
      </c>
      <c r="AA3218">
        <v>0</v>
      </c>
      <c r="AB3218">
        <v>0</v>
      </c>
    </row>
    <row r="3219" spans="1:28" x14ac:dyDescent="0.25">
      <c r="A3219" t="str">
        <f>"3215"</f>
        <v>3215</v>
      </c>
      <c r="B3219" t="str">
        <f t="shared" si="183"/>
        <v>1</v>
      </c>
      <c r="C3219" t="str">
        <f t="shared" si="185"/>
        <v>141</v>
      </c>
      <c r="D3219" t="str">
        <f>"2"</f>
        <v>2</v>
      </c>
      <c r="E3219" t="str">
        <f>"1-141-2"</f>
        <v>1-141-2</v>
      </c>
      <c r="F3219" t="s">
        <v>83</v>
      </c>
      <c r="G3219" t="s">
        <v>84</v>
      </c>
      <c r="H3219" t="s">
        <v>92</v>
      </c>
      <c r="I3219">
        <v>1</v>
      </c>
      <c r="J3219">
        <v>1</v>
      </c>
      <c r="N3219">
        <v>1</v>
      </c>
      <c r="O3219">
        <v>1</v>
      </c>
      <c r="P3219">
        <v>1</v>
      </c>
      <c r="Q3219">
        <v>1</v>
      </c>
      <c r="R3219">
        <v>1</v>
      </c>
      <c r="S3219">
        <v>1</v>
      </c>
      <c r="T3219">
        <v>1</v>
      </c>
      <c r="W3219">
        <v>1</v>
      </c>
      <c r="X3219">
        <v>1</v>
      </c>
      <c r="Y3219">
        <v>1</v>
      </c>
      <c r="Z3219">
        <v>1</v>
      </c>
      <c r="AA3219">
        <v>1</v>
      </c>
      <c r="AB3219">
        <v>1</v>
      </c>
    </row>
    <row r="3220" spans="1:28" x14ac:dyDescent="0.25">
      <c r="A3220" t="str">
        <f>"3216"</f>
        <v>3216</v>
      </c>
      <c r="B3220" t="str">
        <f t="shared" si="183"/>
        <v>1</v>
      </c>
      <c r="C3220" t="str">
        <f t="shared" si="185"/>
        <v>141</v>
      </c>
      <c r="D3220" t="str">
        <f>"19"</f>
        <v>19</v>
      </c>
      <c r="E3220" t="str">
        <f>"1-141-19"</f>
        <v>1-141-19</v>
      </c>
      <c r="F3220" t="s">
        <v>83</v>
      </c>
      <c r="G3220" t="s">
        <v>84</v>
      </c>
      <c r="H3220" t="s">
        <v>92</v>
      </c>
      <c r="I3220">
        <v>1</v>
      </c>
      <c r="J3220">
        <v>1</v>
      </c>
      <c r="N3220">
        <v>1</v>
      </c>
      <c r="O3220">
        <v>1</v>
      </c>
      <c r="P3220">
        <v>0</v>
      </c>
      <c r="Q3220">
        <v>1</v>
      </c>
      <c r="R3220">
        <v>0</v>
      </c>
      <c r="S3220">
        <v>0</v>
      </c>
      <c r="T3220">
        <v>0</v>
      </c>
      <c r="W3220">
        <v>1</v>
      </c>
      <c r="X3220">
        <v>1</v>
      </c>
      <c r="Y3220">
        <v>1</v>
      </c>
      <c r="Z3220">
        <v>1</v>
      </c>
      <c r="AA3220">
        <v>0</v>
      </c>
      <c r="AB3220">
        <v>1</v>
      </c>
    </row>
    <row r="3221" spans="1:28" x14ac:dyDescent="0.25">
      <c r="A3221" t="str">
        <f>"3217"</f>
        <v>3217</v>
      </c>
      <c r="B3221" t="str">
        <f t="shared" si="183"/>
        <v>1</v>
      </c>
      <c r="C3221" t="str">
        <f t="shared" si="185"/>
        <v>141</v>
      </c>
      <c r="D3221" t="str">
        <f>"7"</f>
        <v>7</v>
      </c>
      <c r="E3221" t="str">
        <f>"1-141-7"</f>
        <v>1-141-7</v>
      </c>
      <c r="F3221" t="s">
        <v>83</v>
      </c>
      <c r="G3221" t="s">
        <v>84</v>
      </c>
      <c r="H3221" t="s">
        <v>92</v>
      </c>
      <c r="I3221">
        <v>1</v>
      </c>
      <c r="J3221">
        <v>1</v>
      </c>
      <c r="N3221">
        <v>1</v>
      </c>
      <c r="O3221">
        <v>1</v>
      </c>
      <c r="P3221">
        <v>1</v>
      </c>
      <c r="Q3221">
        <v>1</v>
      </c>
      <c r="R3221">
        <v>1</v>
      </c>
      <c r="S3221">
        <v>1</v>
      </c>
      <c r="T3221">
        <v>1</v>
      </c>
      <c r="W3221">
        <v>1</v>
      </c>
      <c r="X3221">
        <v>1</v>
      </c>
      <c r="Y3221">
        <v>1</v>
      </c>
      <c r="Z3221">
        <v>1</v>
      </c>
      <c r="AA3221">
        <v>1</v>
      </c>
      <c r="AB3221">
        <v>1</v>
      </c>
    </row>
    <row r="3222" spans="1:28" x14ac:dyDescent="0.25">
      <c r="A3222" t="str">
        <f>"3218"</f>
        <v>3218</v>
      </c>
      <c r="B3222" t="str">
        <f t="shared" si="183"/>
        <v>1</v>
      </c>
      <c r="C3222" t="str">
        <f t="shared" si="185"/>
        <v>141</v>
      </c>
      <c r="D3222" t="str">
        <f>"21"</f>
        <v>21</v>
      </c>
      <c r="E3222" t="str">
        <f>"1-141-21"</f>
        <v>1-141-21</v>
      </c>
      <c r="F3222" t="s">
        <v>83</v>
      </c>
      <c r="G3222" t="s">
        <v>84</v>
      </c>
      <c r="H3222" t="s">
        <v>92</v>
      </c>
      <c r="I3222">
        <v>1</v>
      </c>
      <c r="J3222">
        <v>1</v>
      </c>
      <c r="N3222">
        <v>1</v>
      </c>
      <c r="O3222">
        <v>1</v>
      </c>
      <c r="P3222">
        <v>1</v>
      </c>
      <c r="Q3222">
        <v>1</v>
      </c>
      <c r="R3222">
        <v>1</v>
      </c>
      <c r="S3222">
        <v>1</v>
      </c>
      <c r="T3222">
        <v>1</v>
      </c>
      <c r="W3222">
        <v>1</v>
      </c>
      <c r="X3222">
        <v>1</v>
      </c>
      <c r="Y3222">
        <v>1</v>
      </c>
      <c r="Z3222">
        <v>1</v>
      </c>
      <c r="AA3222">
        <v>1</v>
      </c>
      <c r="AB3222">
        <v>1</v>
      </c>
    </row>
    <row r="3223" spans="1:28" x14ac:dyDescent="0.25">
      <c r="A3223" t="str">
        <f>"3219"</f>
        <v>3219</v>
      </c>
      <c r="B3223" t="str">
        <f t="shared" si="183"/>
        <v>1</v>
      </c>
      <c r="C3223" t="str">
        <f t="shared" si="185"/>
        <v>141</v>
      </c>
      <c r="D3223" t="str">
        <f>"4"</f>
        <v>4</v>
      </c>
      <c r="E3223" t="str">
        <f>"1-141-4"</f>
        <v>1-141-4</v>
      </c>
      <c r="F3223" t="s">
        <v>83</v>
      </c>
      <c r="G3223" t="s">
        <v>84</v>
      </c>
      <c r="H3223" t="s">
        <v>92</v>
      </c>
      <c r="I3223">
        <v>1</v>
      </c>
      <c r="J3223">
        <v>1</v>
      </c>
      <c r="N3223">
        <v>1</v>
      </c>
      <c r="O3223">
        <v>1</v>
      </c>
      <c r="P3223">
        <v>1</v>
      </c>
      <c r="Q3223">
        <v>1</v>
      </c>
      <c r="R3223">
        <v>1</v>
      </c>
      <c r="S3223">
        <v>1</v>
      </c>
      <c r="T3223">
        <v>1</v>
      </c>
      <c r="W3223">
        <v>1</v>
      </c>
      <c r="X3223">
        <v>1</v>
      </c>
      <c r="Y3223">
        <v>1</v>
      </c>
      <c r="Z3223">
        <v>1</v>
      </c>
      <c r="AA3223">
        <v>1</v>
      </c>
      <c r="AB3223">
        <v>1</v>
      </c>
    </row>
    <row r="3224" spans="1:28" x14ac:dyDescent="0.25">
      <c r="A3224" t="str">
        <f>"3220"</f>
        <v>3220</v>
      </c>
      <c r="B3224" t="str">
        <f t="shared" si="183"/>
        <v>1</v>
      </c>
      <c r="C3224" t="str">
        <f t="shared" ref="C3224:C3248" si="186">"142"</f>
        <v>142</v>
      </c>
      <c r="D3224" t="str">
        <f>"19"</f>
        <v>19</v>
      </c>
      <c r="E3224" t="str">
        <f>"1-142-19"</f>
        <v>1-142-19</v>
      </c>
      <c r="F3224" t="s">
        <v>83</v>
      </c>
      <c r="G3224" t="s">
        <v>84</v>
      </c>
      <c r="H3224" t="s">
        <v>92</v>
      </c>
      <c r="I3224">
        <v>1</v>
      </c>
      <c r="J3224">
        <v>1</v>
      </c>
      <c r="N3224">
        <v>1</v>
      </c>
      <c r="O3224">
        <v>1</v>
      </c>
      <c r="P3224">
        <v>1</v>
      </c>
      <c r="Q3224">
        <v>1</v>
      </c>
      <c r="R3224">
        <v>1</v>
      </c>
      <c r="S3224">
        <v>1</v>
      </c>
      <c r="T3224">
        <v>1</v>
      </c>
      <c r="W3224">
        <v>1</v>
      </c>
      <c r="X3224">
        <v>1</v>
      </c>
      <c r="Y3224">
        <v>1</v>
      </c>
      <c r="Z3224">
        <v>1</v>
      </c>
      <c r="AA3224">
        <v>1</v>
      </c>
      <c r="AB3224">
        <v>1</v>
      </c>
    </row>
    <row r="3225" spans="1:28" x14ac:dyDescent="0.25">
      <c r="A3225" t="str">
        <f>"3221"</f>
        <v>3221</v>
      </c>
      <c r="B3225" t="str">
        <f t="shared" si="183"/>
        <v>1</v>
      </c>
      <c r="C3225" t="str">
        <f t="shared" si="186"/>
        <v>142</v>
      </c>
      <c r="D3225" t="str">
        <f>"18"</f>
        <v>18</v>
      </c>
      <c r="E3225" t="str">
        <f>"1-142-18"</f>
        <v>1-142-18</v>
      </c>
      <c r="F3225" t="s">
        <v>83</v>
      </c>
      <c r="G3225" t="s">
        <v>84</v>
      </c>
      <c r="H3225" t="s">
        <v>92</v>
      </c>
      <c r="I3225">
        <v>1</v>
      </c>
      <c r="J3225">
        <v>1</v>
      </c>
      <c r="N3225">
        <v>1</v>
      </c>
      <c r="O3225">
        <v>1</v>
      </c>
      <c r="P3225">
        <v>1</v>
      </c>
      <c r="Q3225">
        <v>1</v>
      </c>
      <c r="R3225">
        <v>1</v>
      </c>
      <c r="S3225">
        <v>1</v>
      </c>
      <c r="T3225">
        <v>1</v>
      </c>
      <c r="W3225">
        <v>1</v>
      </c>
      <c r="X3225">
        <v>1</v>
      </c>
      <c r="Y3225">
        <v>1</v>
      </c>
      <c r="Z3225">
        <v>1</v>
      </c>
      <c r="AA3225">
        <v>1</v>
      </c>
      <c r="AB3225">
        <v>1</v>
      </c>
    </row>
    <row r="3226" spans="1:28" x14ac:dyDescent="0.25">
      <c r="A3226" t="str">
        <f>"3222"</f>
        <v>3222</v>
      </c>
      <c r="B3226" t="str">
        <f t="shared" si="183"/>
        <v>1</v>
      </c>
      <c r="C3226" t="str">
        <f t="shared" si="186"/>
        <v>142</v>
      </c>
      <c r="D3226" t="str">
        <f>"13"</f>
        <v>13</v>
      </c>
      <c r="E3226" t="str">
        <f>"1-142-13"</f>
        <v>1-142-13</v>
      </c>
      <c r="F3226" t="s">
        <v>83</v>
      </c>
      <c r="G3226" t="s">
        <v>84</v>
      </c>
      <c r="H3226" t="s">
        <v>92</v>
      </c>
      <c r="I3226">
        <v>1</v>
      </c>
      <c r="J3226">
        <v>1</v>
      </c>
      <c r="N3226">
        <v>1</v>
      </c>
      <c r="O3226">
        <v>1</v>
      </c>
      <c r="P3226">
        <v>1</v>
      </c>
      <c r="Q3226">
        <v>1</v>
      </c>
      <c r="R3226">
        <v>1</v>
      </c>
      <c r="S3226">
        <v>1</v>
      </c>
      <c r="T3226">
        <v>1</v>
      </c>
      <c r="W3226">
        <v>1</v>
      </c>
      <c r="X3226">
        <v>1</v>
      </c>
      <c r="Y3226">
        <v>1</v>
      </c>
      <c r="Z3226">
        <v>1</v>
      </c>
      <c r="AA3226">
        <v>1</v>
      </c>
      <c r="AB3226">
        <v>1</v>
      </c>
    </row>
    <row r="3227" spans="1:28" x14ac:dyDescent="0.25">
      <c r="A3227" t="str">
        <f>"3223"</f>
        <v>3223</v>
      </c>
      <c r="B3227" t="str">
        <f t="shared" si="183"/>
        <v>1</v>
      </c>
      <c r="C3227" t="str">
        <f t="shared" si="186"/>
        <v>142</v>
      </c>
      <c r="D3227" t="str">
        <f>"8"</f>
        <v>8</v>
      </c>
      <c r="E3227" t="str">
        <f>"1-142-8"</f>
        <v>1-142-8</v>
      </c>
      <c r="F3227" t="s">
        <v>83</v>
      </c>
      <c r="G3227" t="s">
        <v>86</v>
      </c>
      <c r="H3227" t="s">
        <v>93</v>
      </c>
      <c r="I3227">
        <v>1</v>
      </c>
      <c r="K3227">
        <v>0</v>
      </c>
      <c r="L3227">
        <v>1</v>
      </c>
      <c r="M3227">
        <v>0</v>
      </c>
      <c r="N3227">
        <v>1</v>
      </c>
      <c r="O3227">
        <v>1</v>
      </c>
      <c r="P3227">
        <v>1</v>
      </c>
      <c r="Q3227">
        <v>1</v>
      </c>
      <c r="R3227">
        <v>0</v>
      </c>
      <c r="U3227">
        <v>1</v>
      </c>
      <c r="V3227">
        <v>0</v>
      </c>
      <c r="W3227">
        <v>1</v>
      </c>
      <c r="X3227">
        <v>1</v>
      </c>
      <c r="Y3227">
        <v>1</v>
      </c>
      <c r="Z3227">
        <v>1</v>
      </c>
      <c r="AA3227">
        <v>1</v>
      </c>
      <c r="AB3227">
        <v>1</v>
      </c>
    </row>
    <row r="3228" spans="1:28" x14ac:dyDescent="0.25">
      <c r="A3228" t="str">
        <f>"3224"</f>
        <v>3224</v>
      </c>
      <c r="B3228" t="str">
        <f t="shared" si="183"/>
        <v>1</v>
      </c>
      <c r="C3228" t="str">
        <f t="shared" si="186"/>
        <v>142</v>
      </c>
      <c r="D3228" t="str">
        <f>"1"</f>
        <v>1</v>
      </c>
      <c r="E3228" t="str">
        <f>"1-142-1"</f>
        <v>1-142-1</v>
      </c>
      <c r="F3228" t="s">
        <v>83</v>
      </c>
      <c r="G3228" t="s">
        <v>86</v>
      </c>
      <c r="H3228" t="s">
        <v>93</v>
      </c>
      <c r="I3228">
        <v>1</v>
      </c>
      <c r="K3228">
        <v>1</v>
      </c>
      <c r="L3228">
        <v>0</v>
      </c>
      <c r="M3228">
        <v>0</v>
      </c>
      <c r="N3228">
        <v>1</v>
      </c>
      <c r="O3228">
        <v>1</v>
      </c>
      <c r="P3228">
        <v>1</v>
      </c>
      <c r="Q3228">
        <v>1</v>
      </c>
      <c r="R3228">
        <v>1</v>
      </c>
      <c r="U3228">
        <v>0</v>
      </c>
      <c r="V3228">
        <v>1</v>
      </c>
      <c r="W3228">
        <v>0</v>
      </c>
      <c r="X3228">
        <v>1</v>
      </c>
      <c r="Y3228">
        <v>1</v>
      </c>
      <c r="Z3228">
        <v>1</v>
      </c>
      <c r="AA3228">
        <v>1</v>
      </c>
      <c r="AB3228">
        <v>1</v>
      </c>
    </row>
    <row r="3229" spans="1:28" x14ac:dyDescent="0.25">
      <c r="A3229" t="str">
        <f>"3225"</f>
        <v>3225</v>
      </c>
      <c r="B3229" t="str">
        <f t="shared" si="183"/>
        <v>1</v>
      </c>
      <c r="C3229" t="str">
        <f t="shared" si="186"/>
        <v>142</v>
      </c>
      <c r="D3229" t="str">
        <f>"25"</f>
        <v>25</v>
      </c>
      <c r="E3229" t="str">
        <f>"1-142-25"</f>
        <v>1-142-25</v>
      </c>
      <c r="F3229" t="s">
        <v>83</v>
      </c>
      <c r="G3229" t="s">
        <v>84</v>
      </c>
      <c r="H3229" t="s">
        <v>92</v>
      </c>
      <c r="I3229">
        <v>1</v>
      </c>
      <c r="J3229">
        <v>1</v>
      </c>
      <c r="N3229">
        <v>1</v>
      </c>
      <c r="O3229">
        <v>1</v>
      </c>
      <c r="P3229">
        <v>1</v>
      </c>
      <c r="Q3229">
        <v>1</v>
      </c>
      <c r="R3229">
        <v>1</v>
      </c>
      <c r="S3229">
        <v>1</v>
      </c>
      <c r="T3229">
        <v>1</v>
      </c>
      <c r="W3229">
        <v>1</v>
      </c>
      <c r="X3229">
        <v>1</v>
      </c>
      <c r="Y3229">
        <v>1</v>
      </c>
      <c r="Z3229">
        <v>1</v>
      </c>
      <c r="AA3229">
        <v>1</v>
      </c>
      <c r="AB3229">
        <v>1</v>
      </c>
    </row>
    <row r="3230" spans="1:28" x14ac:dyDescent="0.25">
      <c r="A3230" t="str">
        <f>"3226"</f>
        <v>3226</v>
      </c>
      <c r="B3230" t="str">
        <f t="shared" ref="B3230:B3293" si="187">"1"</f>
        <v>1</v>
      </c>
      <c r="C3230" t="str">
        <f t="shared" si="186"/>
        <v>142</v>
      </c>
      <c r="D3230" t="str">
        <f>"24"</f>
        <v>24</v>
      </c>
      <c r="E3230" t="str">
        <f>"1-142-24"</f>
        <v>1-142-24</v>
      </c>
      <c r="F3230" t="s">
        <v>83</v>
      </c>
      <c r="G3230" t="s">
        <v>84</v>
      </c>
      <c r="H3230" t="s">
        <v>92</v>
      </c>
      <c r="I3230">
        <v>1</v>
      </c>
      <c r="J3230">
        <v>1</v>
      </c>
      <c r="N3230">
        <v>1</v>
      </c>
      <c r="O3230">
        <v>1</v>
      </c>
      <c r="P3230">
        <v>1</v>
      </c>
      <c r="Q3230">
        <v>1</v>
      </c>
      <c r="R3230">
        <v>1</v>
      </c>
      <c r="S3230">
        <v>1</v>
      </c>
      <c r="T3230">
        <v>1</v>
      </c>
      <c r="W3230">
        <v>1</v>
      </c>
      <c r="X3230">
        <v>1</v>
      </c>
      <c r="Y3230">
        <v>1</v>
      </c>
      <c r="Z3230">
        <v>1</v>
      </c>
      <c r="AA3230">
        <v>1</v>
      </c>
      <c r="AB3230">
        <v>1</v>
      </c>
    </row>
    <row r="3231" spans="1:28" x14ac:dyDescent="0.25">
      <c r="A3231" t="str">
        <f>"3227"</f>
        <v>3227</v>
      </c>
      <c r="B3231" t="str">
        <f t="shared" si="187"/>
        <v>1</v>
      </c>
      <c r="C3231" t="str">
        <f t="shared" si="186"/>
        <v>142</v>
      </c>
      <c r="D3231" t="str">
        <f>"15"</f>
        <v>15</v>
      </c>
      <c r="E3231" t="str">
        <f>"1-142-15"</f>
        <v>1-142-15</v>
      </c>
      <c r="F3231" t="s">
        <v>83</v>
      </c>
      <c r="G3231" t="s">
        <v>86</v>
      </c>
      <c r="H3231" t="s">
        <v>93</v>
      </c>
      <c r="I3231">
        <v>1</v>
      </c>
      <c r="K3231">
        <v>0</v>
      </c>
      <c r="L3231">
        <v>0</v>
      </c>
      <c r="M3231">
        <v>1</v>
      </c>
      <c r="N3231">
        <v>1</v>
      </c>
      <c r="O3231">
        <v>1</v>
      </c>
      <c r="P3231">
        <v>1</v>
      </c>
      <c r="Q3231">
        <v>1</v>
      </c>
      <c r="R3231">
        <v>0</v>
      </c>
      <c r="U3231">
        <v>0</v>
      </c>
      <c r="V3231">
        <v>1</v>
      </c>
      <c r="W3231">
        <v>0</v>
      </c>
      <c r="X3231">
        <v>0</v>
      </c>
      <c r="Y3231">
        <v>0</v>
      </c>
      <c r="Z3231">
        <v>0</v>
      </c>
      <c r="AA3231">
        <v>0</v>
      </c>
      <c r="AB3231">
        <v>0</v>
      </c>
    </row>
    <row r="3232" spans="1:28" x14ac:dyDescent="0.25">
      <c r="A3232" t="str">
        <f>"3228"</f>
        <v>3228</v>
      </c>
      <c r="B3232" t="str">
        <f t="shared" si="187"/>
        <v>1</v>
      </c>
      <c r="C3232" t="str">
        <f t="shared" si="186"/>
        <v>142</v>
      </c>
      <c r="D3232" t="str">
        <f>"9"</f>
        <v>9</v>
      </c>
      <c r="E3232" t="str">
        <f>"1-142-9"</f>
        <v>1-142-9</v>
      </c>
      <c r="F3232" t="s">
        <v>83</v>
      </c>
      <c r="G3232" t="s">
        <v>86</v>
      </c>
      <c r="H3232" t="s">
        <v>93</v>
      </c>
      <c r="I3232">
        <v>1</v>
      </c>
      <c r="K3232">
        <v>0</v>
      </c>
      <c r="L3232">
        <v>1</v>
      </c>
      <c r="M3232">
        <v>0</v>
      </c>
      <c r="N3232">
        <v>1</v>
      </c>
      <c r="O3232">
        <v>1</v>
      </c>
      <c r="P3232">
        <v>1</v>
      </c>
      <c r="Q3232">
        <v>1</v>
      </c>
      <c r="R3232">
        <v>1</v>
      </c>
      <c r="U3232">
        <v>1</v>
      </c>
      <c r="V3232">
        <v>0</v>
      </c>
      <c r="W3232">
        <v>1</v>
      </c>
      <c r="X3232">
        <v>1</v>
      </c>
      <c r="Y3232">
        <v>1</v>
      </c>
      <c r="Z3232">
        <v>1</v>
      </c>
      <c r="AA3232">
        <v>1</v>
      </c>
      <c r="AB3232">
        <v>1</v>
      </c>
    </row>
    <row r="3233" spans="1:28" x14ac:dyDescent="0.25">
      <c r="A3233" t="str">
        <f>"3229"</f>
        <v>3229</v>
      </c>
      <c r="B3233" t="str">
        <f t="shared" si="187"/>
        <v>1</v>
      </c>
      <c r="C3233" t="str">
        <f t="shared" si="186"/>
        <v>142</v>
      </c>
      <c r="D3233" t="str">
        <f>"7"</f>
        <v>7</v>
      </c>
      <c r="E3233" t="str">
        <f>"1-142-7"</f>
        <v>1-142-7</v>
      </c>
      <c r="F3233" t="s">
        <v>83</v>
      </c>
      <c r="G3233" t="s">
        <v>84</v>
      </c>
      <c r="H3233" t="s">
        <v>92</v>
      </c>
      <c r="I3233">
        <v>1</v>
      </c>
      <c r="J3233">
        <v>1</v>
      </c>
      <c r="N3233">
        <v>1</v>
      </c>
      <c r="O3233">
        <v>1</v>
      </c>
      <c r="P3233">
        <v>1</v>
      </c>
      <c r="Q3233">
        <v>1</v>
      </c>
      <c r="R3233">
        <v>1</v>
      </c>
      <c r="S3233">
        <v>1</v>
      </c>
      <c r="T3233">
        <v>1</v>
      </c>
      <c r="W3233">
        <v>1</v>
      </c>
      <c r="X3233">
        <v>1</v>
      </c>
      <c r="Y3233">
        <v>1</v>
      </c>
      <c r="Z3233">
        <v>1</v>
      </c>
      <c r="AA3233">
        <v>1</v>
      </c>
      <c r="AB3233">
        <v>1</v>
      </c>
    </row>
    <row r="3234" spans="1:28" x14ac:dyDescent="0.25">
      <c r="A3234" t="str">
        <f>"3230"</f>
        <v>3230</v>
      </c>
      <c r="B3234" t="str">
        <f t="shared" si="187"/>
        <v>1</v>
      </c>
      <c r="C3234" t="str">
        <f t="shared" si="186"/>
        <v>142</v>
      </c>
      <c r="D3234" t="str">
        <f>"23"</f>
        <v>23</v>
      </c>
      <c r="E3234" t="str">
        <f>"1-142-23"</f>
        <v>1-142-23</v>
      </c>
      <c r="F3234" t="s">
        <v>83</v>
      </c>
      <c r="G3234" t="s">
        <v>84</v>
      </c>
      <c r="H3234" t="s">
        <v>92</v>
      </c>
      <c r="I3234">
        <v>1</v>
      </c>
      <c r="J3234">
        <v>1</v>
      </c>
      <c r="N3234">
        <v>1</v>
      </c>
      <c r="O3234">
        <v>1</v>
      </c>
      <c r="P3234">
        <v>1</v>
      </c>
      <c r="Q3234">
        <v>1</v>
      </c>
      <c r="R3234">
        <v>1</v>
      </c>
      <c r="S3234">
        <v>1</v>
      </c>
      <c r="T3234">
        <v>1</v>
      </c>
      <c r="W3234">
        <v>1</v>
      </c>
      <c r="X3234">
        <v>1</v>
      </c>
      <c r="Y3234">
        <v>1</v>
      </c>
      <c r="Z3234">
        <v>1</v>
      </c>
      <c r="AA3234">
        <v>1</v>
      </c>
      <c r="AB3234">
        <v>1</v>
      </c>
    </row>
    <row r="3235" spans="1:28" x14ac:dyDescent="0.25">
      <c r="A3235" t="str">
        <f>"3231"</f>
        <v>3231</v>
      </c>
      <c r="B3235" t="str">
        <f t="shared" si="187"/>
        <v>1</v>
      </c>
      <c r="C3235" t="str">
        <f t="shared" si="186"/>
        <v>142</v>
      </c>
      <c r="D3235" t="str">
        <f>"22"</f>
        <v>22</v>
      </c>
      <c r="E3235" t="str">
        <f>"1-142-22"</f>
        <v>1-142-22</v>
      </c>
      <c r="F3235" t="s">
        <v>83</v>
      </c>
      <c r="G3235" t="s">
        <v>84</v>
      </c>
      <c r="H3235" t="s">
        <v>92</v>
      </c>
      <c r="I3235">
        <v>1</v>
      </c>
      <c r="J3235">
        <v>1</v>
      </c>
      <c r="N3235">
        <v>1</v>
      </c>
      <c r="O3235">
        <v>1</v>
      </c>
      <c r="P3235">
        <v>1</v>
      </c>
      <c r="Q3235">
        <v>1</v>
      </c>
      <c r="R3235">
        <v>1</v>
      </c>
      <c r="S3235">
        <v>1</v>
      </c>
      <c r="T3235">
        <v>1</v>
      </c>
      <c r="W3235">
        <v>1</v>
      </c>
      <c r="X3235">
        <v>1</v>
      </c>
      <c r="Y3235">
        <v>1</v>
      </c>
      <c r="Z3235">
        <v>1</v>
      </c>
      <c r="AA3235">
        <v>1</v>
      </c>
      <c r="AB3235">
        <v>1</v>
      </c>
    </row>
    <row r="3236" spans="1:28" x14ac:dyDescent="0.25">
      <c r="A3236" t="str">
        <f>"3232"</f>
        <v>3232</v>
      </c>
      <c r="B3236" t="str">
        <f t="shared" si="187"/>
        <v>1</v>
      </c>
      <c r="C3236" t="str">
        <f t="shared" si="186"/>
        <v>142</v>
      </c>
      <c r="D3236" t="str">
        <f>"14"</f>
        <v>14</v>
      </c>
      <c r="E3236" t="str">
        <f>"1-142-14"</f>
        <v>1-142-14</v>
      </c>
      <c r="F3236" t="s">
        <v>83</v>
      </c>
      <c r="G3236" t="s">
        <v>84</v>
      </c>
      <c r="H3236" t="s">
        <v>92</v>
      </c>
      <c r="I3236">
        <v>1</v>
      </c>
      <c r="J3236">
        <v>1</v>
      </c>
      <c r="N3236">
        <v>1</v>
      </c>
      <c r="O3236">
        <v>1</v>
      </c>
      <c r="P3236">
        <v>1</v>
      </c>
      <c r="Q3236">
        <v>1</v>
      </c>
      <c r="R3236">
        <v>1</v>
      </c>
      <c r="S3236">
        <v>1</v>
      </c>
      <c r="T3236">
        <v>1</v>
      </c>
      <c r="W3236">
        <v>1</v>
      </c>
      <c r="X3236">
        <v>1</v>
      </c>
      <c r="Y3236">
        <v>1</v>
      </c>
      <c r="Z3236">
        <v>1</v>
      </c>
      <c r="AA3236">
        <v>1</v>
      </c>
      <c r="AB3236">
        <v>1</v>
      </c>
    </row>
    <row r="3237" spans="1:28" x14ac:dyDescent="0.25">
      <c r="A3237" t="str">
        <f>"3233"</f>
        <v>3233</v>
      </c>
      <c r="B3237" t="str">
        <f t="shared" si="187"/>
        <v>1</v>
      </c>
      <c r="C3237" t="str">
        <f t="shared" si="186"/>
        <v>142</v>
      </c>
      <c r="D3237" t="str">
        <f>"10"</f>
        <v>10</v>
      </c>
      <c r="E3237" t="str">
        <f>"1-142-10"</f>
        <v>1-142-10</v>
      </c>
      <c r="F3237" t="s">
        <v>83</v>
      </c>
      <c r="G3237" t="s">
        <v>84</v>
      </c>
      <c r="H3237" t="s">
        <v>92</v>
      </c>
      <c r="I3237">
        <v>1</v>
      </c>
      <c r="J3237">
        <v>1</v>
      </c>
      <c r="N3237">
        <v>1</v>
      </c>
      <c r="O3237">
        <v>1</v>
      </c>
      <c r="P3237">
        <v>1</v>
      </c>
      <c r="Q3237">
        <v>1</v>
      </c>
      <c r="R3237">
        <v>1</v>
      </c>
      <c r="S3237">
        <v>1</v>
      </c>
      <c r="T3237">
        <v>1</v>
      </c>
      <c r="W3237">
        <v>1</v>
      </c>
      <c r="X3237">
        <v>1</v>
      </c>
      <c r="Y3237">
        <v>1</v>
      </c>
      <c r="Z3237">
        <v>1</v>
      </c>
      <c r="AA3237">
        <v>1</v>
      </c>
      <c r="AB3237">
        <v>1</v>
      </c>
    </row>
    <row r="3238" spans="1:28" x14ac:dyDescent="0.25">
      <c r="A3238" t="str">
        <f>"3234"</f>
        <v>3234</v>
      </c>
      <c r="B3238" t="str">
        <f t="shared" si="187"/>
        <v>1</v>
      </c>
      <c r="C3238" t="str">
        <f t="shared" si="186"/>
        <v>142</v>
      </c>
      <c r="D3238" t="str">
        <f>"3"</f>
        <v>3</v>
      </c>
      <c r="E3238" t="str">
        <f>"1-142-3"</f>
        <v>1-142-3</v>
      </c>
      <c r="F3238" t="s">
        <v>83</v>
      </c>
      <c r="G3238" t="s">
        <v>84</v>
      </c>
      <c r="H3238" t="s">
        <v>92</v>
      </c>
      <c r="I3238">
        <v>1</v>
      </c>
      <c r="J3238">
        <v>1</v>
      </c>
      <c r="N3238">
        <v>1</v>
      </c>
      <c r="O3238">
        <v>1</v>
      </c>
      <c r="P3238">
        <v>1</v>
      </c>
      <c r="Q3238">
        <v>1</v>
      </c>
      <c r="R3238">
        <v>0</v>
      </c>
      <c r="S3238">
        <v>1</v>
      </c>
      <c r="T3238">
        <v>1</v>
      </c>
      <c r="W3238">
        <v>1</v>
      </c>
      <c r="X3238">
        <v>1</v>
      </c>
      <c r="Y3238">
        <v>1</v>
      </c>
      <c r="Z3238">
        <v>1</v>
      </c>
      <c r="AA3238">
        <v>1</v>
      </c>
      <c r="AB3238">
        <v>1</v>
      </c>
    </row>
    <row r="3239" spans="1:28" x14ac:dyDescent="0.25">
      <c r="A3239" t="str">
        <f>"3235"</f>
        <v>3235</v>
      </c>
      <c r="B3239" t="str">
        <f t="shared" si="187"/>
        <v>1</v>
      </c>
      <c r="C3239" t="str">
        <f t="shared" si="186"/>
        <v>142</v>
      </c>
      <c r="D3239" t="str">
        <f>"20"</f>
        <v>20</v>
      </c>
      <c r="E3239" t="str">
        <f>"1-142-20"</f>
        <v>1-142-20</v>
      </c>
      <c r="F3239" t="s">
        <v>83</v>
      </c>
      <c r="G3239" t="s">
        <v>84</v>
      </c>
      <c r="H3239" t="s">
        <v>92</v>
      </c>
      <c r="I3239">
        <v>1</v>
      </c>
      <c r="J3239">
        <v>1</v>
      </c>
      <c r="N3239">
        <v>1</v>
      </c>
      <c r="O3239">
        <v>1</v>
      </c>
      <c r="P3239">
        <v>1</v>
      </c>
      <c r="Q3239">
        <v>1</v>
      </c>
      <c r="R3239">
        <v>1</v>
      </c>
      <c r="S3239">
        <v>1</v>
      </c>
      <c r="T3239">
        <v>1</v>
      </c>
      <c r="W3239">
        <v>1</v>
      </c>
      <c r="X3239">
        <v>1</v>
      </c>
      <c r="Y3239">
        <v>1</v>
      </c>
      <c r="Z3239">
        <v>1</v>
      </c>
      <c r="AA3239">
        <v>1</v>
      </c>
      <c r="AB3239">
        <v>1</v>
      </c>
    </row>
    <row r="3240" spans="1:28" x14ac:dyDescent="0.25">
      <c r="A3240" t="str">
        <f>"3236"</f>
        <v>3236</v>
      </c>
      <c r="B3240" t="str">
        <f t="shared" si="187"/>
        <v>1</v>
      </c>
      <c r="C3240" t="str">
        <f t="shared" si="186"/>
        <v>142</v>
      </c>
      <c r="D3240" t="str">
        <f>"11"</f>
        <v>11</v>
      </c>
      <c r="E3240" t="str">
        <f>"1-142-11"</f>
        <v>1-142-11</v>
      </c>
      <c r="F3240" t="s">
        <v>83</v>
      </c>
      <c r="G3240" t="s">
        <v>84</v>
      </c>
      <c r="H3240" t="s">
        <v>92</v>
      </c>
      <c r="I3240">
        <v>1</v>
      </c>
      <c r="J3240">
        <v>1</v>
      </c>
      <c r="N3240">
        <v>1</v>
      </c>
      <c r="O3240">
        <v>1</v>
      </c>
      <c r="P3240">
        <v>1</v>
      </c>
      <c r="Q3240">
        <v>1</v>
      </c>
      <c r="R3240">
        <v>1</v>
      </c>
      <c r="S3240">
        <v>1</v>
      </c>
      <c r="T3240">
        <v>1</v>
      </c>
      <c r="W3240">
        <v>1</v>
      </c>
      <c r="X3240">
        <v>1</v>
      </c>
      <c r="Y3240">
        <v>1</v>
      </c>
      <c r="Z3240">
        <v>1</v>
      </c>
      <c r="AA3240">
        <v>1</v>
      </c>
      <c r="AB3240">
        <v>1</v>
      </c>
    </row>
    <row r="3241" spans="1:28" x14ac:dyDescent="0.25">
      <c r="A3241" t="str">
        <f>"3237"</f>
        <v>3237</v>
      </c>
      <c r="B3241" t="str">
        <f t="shared" si="187"/>
        <v>1</v>
      </c>
      <c r="C3241" t="str">
        <f t="shared" si="186"/>
        <v>142</v>
      </c>
      <c r="D3241" t="str">
        <f>"4"</f>
        <v>4</v>
      </c>
      <c r="E3241" t="str">
        <f>"1-142-4"</f>
        <v>1-142-4</v>
      </c>
      <c r="F3241" t="s">
        <v>83</v>
      </c>
      <c r="G3241" t="s">
        <v>84</v>
      </c>
      <c r="H3241" t="s">
        <v>92</v>
      </c>
      <c r="I3241">
        <v>1</v>
      </c>
      <c r="J3241">
        <v>1</v>
      </c>
      <c r="N3241">
        <v>1</v>
      </c>
      <c r="O3241">
        <v>1</v>
      </c>
      <c r="P3241">
        <v>1</v>
      </c>
      <c r="Q3241">
        <v>1</v>
      </c>
      <c r="R3241">
        <v>0</v>
      </c>
      <c r="S3241">
        <v>1</v>
      </c>
      <c r="T3241">
        <v>1</v>
      </c>
      <c r="W3241">
        <v>1</v>
      </c>
      <c r="X3241">
        <v>1</v>
      </c>
      <c r="Y3241">
        <v>1</v>
      </c>
      <c r="Z3241">
        <v>1</v>
      </c>
      <c r="AA3241">
        <v>1</v>
      </c>
      <c r="AB3241">
        <v>1</v>
      </c>
    </row>
    <row r="3242" spans="1:28" x14ac:dyDescent="0.25">
      <c r="A3242" t="str">
        <f>"3238"</f>
        <v>3238</v>
      </c>
      <c r="B3242" t="str">
        <f t="shared" si="187"/>
        <v>1</v>
      </c>
      <c r="C3242" t="str">
        <f t="shared" si="186"/>
        <v>142</v>
      </c>
      <c r="D3242" t="str">
        <f>"17"</f>
        <v>17</v>
      </c>
      <c r="E3242" t="str">
        <f>"1-142-17"</f>
        <v>1-142-17</v>
      </c>
      <c r="F3242" t="s">
        <v>83</v>
      </c>
      <c r="G3242" t="s">
        <v>84</v>
      </c>
      <c r="H3242" t="s">
        <v>92</v>
      </c>
      <c r="I3242">
        <v>1</v>
      </c>
      <c r="J3242">
        <v>1</v>
      </c>
      <c r="N3242">
        <v>1</v>
      </c>
      <c r="O3242">
        <v>1</v>
      </c>
      <c r="P3242">
        <v>1</v>
      </c>
      <c r="Q3242">
        <v>1</v>
      </c>
      <c r="R3242">
        <v>1</v>
      </c>
      <c r="S3242">
        <v>1</v>
      </c>
      <c r="T3242">
        <v>1</v>
      </c>
      <c r="W3242">
        <v>1</v>
      </c>
      <c r="X3242">
        <v>1</v>
      </c>
      <c r="Y3242">
        <v>1</v>
      </c>
      <c r="Z3242">
        <v>1</v>
      </c>
      <c r="AA3242">
        <v>1</v>
      </c>
      <c r="AB3242">
        <v>1</v>
      </c>
    </row>
    <row r="3243" spans="1:28" x14ac:dyDescent="0.25">
      <c r="A3243" t="str">
        <f>"3239"</f>
        <v>3239</v>
      </c>
      <c r="B3243" t="str">
        <f t="shared" si="187"/>
        <v>1</v>
      </c>
      <c r="C3243" t="str">
        <f t="shared" si="186"/>
        <v>142</v>
      </c>
      <c r="D3243" t="str">
        <f>"2"</f>
        <v>2</v>
      </c>
      <c r="E3243" t="str">
        <f>"1-142-2"</f>
        <v>1-142-2</v>
      </c>
      <c r="F3243" t="s">
        <v>83</v>
      </c>
      <c r="G3243" t="s">
        <v>84</v>
      </c>
      <c r="H3243" t="s">
        <v>92</v>
      </c>
      <c r="I3243">
        <v>1</v>
      </c>
      <c r="J3243">
        <v>1</v>
      </c>
      <c r="N3243">
        <v>1</v>
      </c>
      <c r="O3243">
        <v>1</v>
      </c>
      <c r="P3243">
        <v>1</v>
      </c>
      <c r="Q3243">
        <v>1</v>
      </c>
      <c r="R3243">
        <v>0</v>
      </c>
      <c r="S3243">
        <v>0</v>
      </c>
      <c r="T3243">
        <v>0</v>
      </c>
      <c r="W3243">
        <v>1</v>
      </c>
      <c r="X3243">
        <v>1</v>
      </c>
      <c r="Y3243">
        <v>1</v>
      </c>
      <c r="Z3243">
        <v>1</v>
      </c>
      <c r="AA3243">
        <v>1</v>
      </c>
      <c r="AB3243">
        <v>1</v>
      </c>
    </row>
    <row r="3244" spans="1:28" x14ac:dyDescent="0.25">
      <c r="A3244" t="str">
        <f>"3240"</f>
        <v>3240</v>
      </c>
      <c r="B3244" t="str">
        <f t="shared" si="187"/>
        <v>1</v>
      </c>
      <c r="C3244" t="str">
        <f t="shared" si="186"/>
        <v>142</v>
      </c>
      <c r="D3244" t="str">
        <f>"16"</f>
        <v>16</v>
      </c>
      <c r="E3244" t="str">
        <f>"1-142-16"</f>
        <v>1-142-16</v>
      </c>
      <c r="F3244" t="s">
        <v>83</v>
      </c>
      <c r="G3244" t="s">
        <v>86</v>
      </c>
      <c r="H3244" t="s">
        <v>93</v>
      </c>
      <c r="I3244">
        <v>1</v>
      </c>
      <c r="K3244">
        <v>0</v>
      </c>
      <c r="L3244">
        <v>0</v>
      </c>
      <c r="M3244">
        <v>1</v>
      </c>
      <c r="N3244">
        <v>1</v>
      </c>
      <c r="O3244">
        <v>1</v>
      </c>
      <c r="P3244">
        <v>1</v>
      </c>
      <c r="Q3244">
        <v>1</v>
      </c>
      <c r="R3244">
        <v>1</v>
      </c>
      <c r="U3244">
        <v>0</v>
      </c>
      <c r="V3244">
        <v>1</v>
      </c>
      <c r="W3244">
        <v>1</v>
      </c>
      <c r="X3244">
        <v>1</v>
      </c>
      <c r="Y3244">
        <v>1</v>
      </c>
      <c r="Z3244">
        <v>1</v>
      </c>
      <c r="AA3244">
        <v>1</v>
      </c>
      <c r="AB3244">
        <v>1</v>
      </c>
    </row>
    <row r="3245" spans="1:28" x14ac:dyDescent="0.25">
      <c r="A3245" t="str">
        <f>"3241"</f>
        <v>3241</v>
      </c>
      <c r="B3245" t="str">
        <f t="shared" si="187"/>
        <v>1</v>
      </c>
      <c r="C3245" t="str">
        <f t="shared" si="186"/>
        <v>142</v>
      </c>
      <c r="D3245" t="str">
        <f>"6"</f>
        <v>6</v>
      </c>
      <c r="E3245" t="str">
        <f>"1-142-6"</f>
        <v>1-142-6</v>
      </c>
      <c r="F3245" t="s">
        <v>83</v>
      </c>
      <c r="G3245" t="s">
        <v>84</v>
      </c>
      <c r="H3245" t="s">
        <v>92</v>
      </c>
      <c r="I3245">
        <v>1</v>
      </c>
      <c r="J3245">
        <v>0</v>
      </c>
      <c r="N3245">
        <v>1</v>
      </c>
      <c r="O3245">
        <v>0</v>
      </c>
      <c r="P3245">
        <v>0</v>
      </c>
      <c r="Q3245">
        <v>0</v>
      </c>
      <c r="R3245">
        <v>0</v>
      </c>
      <c r="S3245">
        <v>0</v>
      </c>
      <c r="T3245">
        <v>0</v>
      </c>
      <c r="W3245">
        <v>1</v>
      </c>
      <c r="X3245">
        <v>0</v>
      </c>
      <c r="Y3245">
        <v>1</v>
      </c>
      <c r="Z3245">
        <v>0</v>
      </c>
      <c r="AA3245">
        <v>0</v>
      </c>
      <c r="AB3245">
        <v>1</v>
      </c>
    </row>
    <row r="3246" spans="1:28" x14ac:dyDescent="0.25">
      <c r="A3246" t="str">
        <f>"3242"</f>
        <v>3242</v>
      </c>
      <c r="B3246" t="str">
        <f t="shared" si="187"/>
        <v>1</v>
      </c>
      <c r="C3246" t="str">
        <f t="shared" si="186"/>
        <v>142</v>
      </c>
      <c r="D3246" t="str">
        <f>"21"</f>
        <v>21</v>
      </c>
      <c r="E3246" t="str">
        <f>"1-142-21"</f>
        <v>1-142-21</v>
      </c>
      <c r="F3246" t="s">
        <v>83</v>
      </c>
      <c r="G3246" t="s">
        <v>84</v>
      </c>
      <c r="H3246" t="s">
        <v>92</v>
      </c>
      <c r="I3246">
        <v>1</v>
      </c>
      <c r="J3246">
        <v>1</v>
      </c>
      <c r="N3246">
        <v>1</v>
      </c>
      <c r="O3246">
        <v>1</v>
      </c>
      <c r="P3246">
        <v>1</v>
      </c>
      <c r="Q3246">
        <v>1</v>
      </c>
      <c r="R3246">
        <v>1</v>
      </c>
      <c r="S3246">
        <v>1</v>
      </c>
      <c r="T3246">
        <v>1</v>
      </c>
      <c r="W3246">
        <v>1</v>
      </c>
      <c r="X3246">
        <v>1</v>
      </c>
      <c r="Y3246">
        <v>0</v>
      </c>
      <c r="Z3246">
        <v>1</v>
      </c>
      <c r="AA3246">
        <v>1</v>
      </c>
      <c r="AB3246">
        <v>1</v>
      </c>
    </row>
    <row r="3247" spans="1:28" x14ac:dyDescent="0.25">
      <c r="A3247" t="str">
        <f>"3243"</f>
        <v>3243</v>
      </c>
      <c r="B3247" t="str">
        <f t="shared" si="187"/>
        <v>1</v>
      </c>
      <c r="C3247" t="str">
        <f t="shared" si="186"/>
        <v>142</v>
      </c>
      <c r="D3247" t="str">
        <f>"5"</f>
        <v>5</v>
      </c>
      <c r="E3247" t="str">
        <f>"1-142-5"</f>
        <v>1-142-5</v>
      </c>
      <c r="F3247" t="s">
        <v>83</v>
      </c>
      <c r="G3247" t="s">
        <v>84</v>
      </c>
      <c r="H3247" t="s">
        <v>92</v>
      </c>
      <c r="I3247">
        <v>1</v>
      </c>
      <c r="J3247">
        <v>1</v>
      </c>
      <c r="N3247">
        <v>1</v>
      </c>
      <c r="O3247">
        <v>1</v>
      </c>
      <c r="P3247">
        <v>1</v>
      </c>
      <c r="Q3247">
        <v>1</v>
      </c>
      <c r="R3247">
        <v>1</v>
      </c>
      <c r="S3247">
        <v>1</v>
      </c>
      <c r="T3247">
        <v>1</v>
      </c>
      <c r="W3247">
        <v>1</v>
      </c>
      <c r="X3247">
        <v>1</v>
      </c>
      <c r="Y3247">
        <v>1</v>
      </c>
      <c r="Z3247">
        <v>1</v>
      </c>
      <c r="AA3247">
        <v>1</v>
      </c>
      <c r="AB3247">
        <v>1</v>
      </c>
    </row>
    <row r="3248" spans="1:28" x14ac:dyDescent="0.25">
      <c r="A3248" t="str">
        <f>"3244"</f>
        <v>3244</v>
      </c>
      <c r="B3248" t="str">
        <f t="shared" si="187"/>
        <v>1</v>
      </c>
      <c r="C3248" t="str">
        <f t="shared" si="186"/>
        <v>142</v>
      </c>
      <c r="D3248" t="str">
        <f>"12"</f>
        <v>12</v>
      </c>
      <c r="E3248" t="str">
        <f>"1-142-12"</f>
        <v>1-142-12</v>
      </c>
      <c r="F3248" t="s">
        <v>83</v>
      </c>
      <c r="G3248" t="s">
        <v>86</v>
      </c>
      <c r="H3248" t="s">
        <v>93</v>
      </c>
      <c r="I3248">
        <v>1</v>
      </c>
      <c r="K3248">
        <v>0</v>
      </c>
      <c r="L3248">
        <v>0</v>
      </c>
      <c r="M3248">
        <v>1</v>
      </c>
      <c r="N3248">
        <v>1</v>
      </c>
      <c r="O3248">
        <v>1</v>
      </c>
      <c r="P3248">
        <v>1</v>
      </c>
      <c r="Q3248">
        <v>1</v>
      </c>
      <c r="R3248">
        <v>1</v>
      </c>
      <c r="U3248">
        <v>1</v>
      </c>
      <c r="V3248">
        <v>0</v>
      </c>
      <c r="W3248">
        <v>1</v>
      </c>
      <c r="X3248">
        <v>1</v>
      </c>
      <c r="Y3248">
        <v>1</v>
      </c>
      <c r="Z3248">
        <v>1</v>
      </c>
      <c r="AA3248">
        <v>1</v>
      </c>
      <c r="AB3248">
        <v>1</v>
      </c>
    </row>
    <row r="3249" spans="1:28" x14ac:dyDescent="0.25">
      <c r="A3249" t="str">
        <f>"3245"</f>
        <v>3245</v>
      </c>
      <c r="B3249" t="str">
        <f t="shared" si="187"/>
        <v>1</v>
      </c>
      <c r="C3249" t="str">
        <f t="shared" ref="C3249:C3271" si="188">"143"</f>
        <v>143</v>
      </c>
      <c r="D3249" t="str">
        <f>"23"</f>
        <v>23</v>
      </c>
      <c r="E3249" t="str">
        <f>"1-143-23"</f>
        <v>1-143-23</v>
      </c>
      <c r="F3249" t="s">
        <v>83</v>
      </c>
      <c r="G3249" t="s">
        <v>84</v>
      </c>
      <c r="H3249" t="s">
        <v>92</v>
      </c>
      <c r="I3249">
        <v>1</v>
      </c>
      <c r="J3249">
        <v>1</v>
      </c>
      <c r="N3249">
        <v>1</v>
      </c>
      <c r="O3249">
        <v>1</v>
      </c>
      <c r="P3249">
        <v>1</v>
      </c>
      <c r="Q3249">
        <v>1</v>
      </c>
      <c r="R3249">
        <v>1</v>
      </c>
      <c r="S3249">
        <v>1</v>
      </c>
      <c r="T3249">
        <v>1</v>
      </c>
      <c r="W3249">
        <v>1</v>
      </c>
      <c r="X3249">
        <v>1</v>
      </c>
      <c r="Y3249">
        <v>1</v>
      </c>
      <c r="Z3249">
        <v>1</v>
      </c>
      <c r="AA3249">
        <v>1</v>
      </c>
      <c r="AB3249">
        <v>1</v>
      </c>
    </row>
    <row r="3250" spans="1:28" x14ac:dyDescent="0.25">
      <c r="A3250" t="str">
        <f>"3246"</f>
        <v>3246</v>
      </c>
      <c r="B3250" t="str">
        <f t="shared" si="187"/>
        <v>1</v>
      </c>
      <c r="C3250" t="str">
        <f t="shared" si="188"/>
        <v>143</v>
      </c>
      <c r="D3250" t="str">
        <f>"22"</f>
        <v>22</v>
      </c>
      <c r="E3250" t="str">
        <f>"1-143-22"</f>
        <v>1-143-22</v>
      </c>
      <c r="F3250" t="s">
        <v>83</v>
      </c>
      <c r="G3250" t="s">
        <v>84</v>
      </c>
      <c r="H3250" t="s">
        <v>92</v>
      </c>
      <c r="I3250">
        <v>1</v>
      </c>
      <c r="J3250">
        <v>1</v>
      </c>
      <c r="N3250">
        <v>1</v>
      </c>
      <c r="O3250">
        <v>1</v>
      </c>
      <c r="P3250">
        <v>1</v>
      </c>
      <c r="Q3250">
        <v>1</v>
      </c>
      <c r="R3250">
        <v>1</v>
      </c>
      <c r="S3250">
        <v>1</v>
      </c>
      <c r="T3250">
        <v>1</v>
      </c>
      <c r="W3250">
        <v>1</v>
      </c>
      <c r="X3250">
        <v>1</v>
      </c>
      <c r="Y3250">
        <v>1</v>
      </c>
      <c r="Z3250">
        <v>1</v>
      </c>
      <c r="AA3250">
        <v>1</v>
      </c>
      <c r="AB3250">
        <v>1</v>
      </c>
    </row>
    <row r="3251" spans="1:28" x14ac:dyDescent="0.25">
      <c r="A3251" t="str">
        <f>"3247"</f>
        <v>3247</v>
      </c>
      <c r="B3251" t="str">
        <f t="shared" si="187"/>
        <v>1</v>
      </c>
      <c r="C3251" t="str">
        <f t="shared" si="188"/>
        <v>143</v>
      </c>
      <c r="D3251" t="str">
        <f>"15"</f>
        <v>15</v>
      </c>
      <c r="E3251" t="str">
        <f>"1-143-15"</f>
        <v>1-143-15</v>
      </c>
      <c r="F3251" t="s">
        <v>83</v>
      </c>
      <c r="G3251" t="s">
        <v>86</v>
      </c>
      <c r="H3251" t="s">
        <v>93</v>
      </c>
      <c r="I3251">
        <v>1</v>
      </c>
      <c r="K3251">
        <v>0</v>
      </c>
      <c r="L3251">
        <v>0</v>
      </c>
      <c r="M3251">
        <v>1</v>
      </c>
      <c r="N3251">
        <v>1</v>
      </c>
      <c r="O3251">
        <v>1</v>
      </c>
      <c r="P3251">
        <v>1</v>
      </c>
      <c r="Q3251">
        <v>1</v>
      </c>
      <c r="R3251">
        <v>1</v>
      </c>
      <c r="U3251">
        <v>0</v>
      </c>
      <c r="V3251">
        <v>1</v>
      </c>
      <c r="W3251">
        <v>1</v>
      </c>
      <c r="X3251">
        <v>1</v>
      </c>
      <c r="Y3251">
        <v>1</v>
      </c>
      <c r="Z3251">
        <v>1</v>
      </c>
      <c r="AA3251">
        <v>1</v>
      </c>
      <c r="AB3251">
        <v>1</v>
      </c>
    </row>
    <row r="3252" spans="1:28" x14ac:dyDescent="0.25">
      <c r="A3252" t="str">
        <f>"3248"</f>
        <v>3248</v>
      </c>
      <c r="B3252" t="str">
        <f t="shared" si="187"/>
        <v>1</v>
      </c>
      <c r="C3252" t="str">
        <f t="shared" si="188"/>
        <v>143</v>
      </c>
      <c r="D3252" t="str">
        <f>"14"</f>
        <v>14</v>
      </c>
      <c r="E3252" t="str">
        <f>"1-143-14"</f>
        <v>1-143-14</v>
      </c>
      <c r="F3252" t="s">
        <v>83</v>
      </c>
      <c r="G3252" t="s">
        <v>84</v>
      </c>
      <c r="H3252" t="s">
        <v>92</v>
      </c>
      <c r="I3252">
        <v>1</v>
      </c>
      <c r="J3252">
        <v>1</v>
      </c>
      <c r="N3252">
        <v>1</v>
      </c>
      <c r="O3252">
        <v>1</v>
      </c>
      <c r="P3252">
        <v>1</v>
      </c>
      <c r="Q3252">
        <v>1</v>
      </c>
      <c r="R3252">
        <v>1</v>
      </c>
      <c r="S3252">
        <v>1</v>
      </c>
      <c r="T3252">
        <v>1</v>
      </c>
      <c r="W3252">
        <v>1</v>
      </c>
      <c r="X3252">
        <v>1</v>
      </c>
      <c r="Y3252">
        <v>1</v>
      </c>
      <c r="Z3252">
        <v>1</v>
      </c>
      <c r="AA3252">
        <v>1</v>
      </c>
      <c r="AB3252">
        <v>1</v>
      </c>
    </row>
    <row r="3253" spans="1:28" x14ac:dyDescent="0.25">
      <c r="A3253" t="str">
        <f>"3249"</f>
        <v>3249</v>
      </c>
      <c r="B3253" t="str">
        <f t="shared" si="187"/>
        <v>1</v>
      </c>
      <c r="C3253" t="str">
        <f t="shared" si="188"/>
        <v>143</v>
      </c>
      <c r="D3253" t="str">
        <f>"11"</f>
        <v>11</v>
      </c>
      <c r="E3253" t="str">
        <f>"1-143-11"</f>
        <v>1-143-11</v>
      </c>
      <c r="F3253" t="s">
        <v>83</v>
      </c>
      <c r="G3253" t="s">
        <v>86</v>
      </c>
      <c r="H3253" t="s">
        <v>93</v>
      </c>
      <c r="I3253">
        <v>1</v>
      </c>
      <c r="K3253">
        <v>0</v>
      </c>
      <c r="L3253">
        <v>0</v>
      </c>
      <c r="M3253">
        <v>1</v>
      </c>
      <c r="N3253">
        <v>1</v>
      </c>
      <c r="O3253">
        <v>1</v>
      </c>
      <c r="P3253">
        <v>1</v>
      </c>
      <c r="Q3253">
        <v>1</v>
      </c>
      <c r="R3253">
        <v>1</v>
      </c>
      <c r="U3253">
        <v>1</v>
      </c>
      <c r="V3253">
        <v>0</v>
      </c>
      <c r="W3253">
        <v>1</v>
      </c>
      <c r="X3253">
        <v>1</v>
      </c>
      <c r="Y3253">
        <v>1</v>
      </c>
      <c r="Z3253">
        <v>1</v>
      </c>
      <c r="AA3253">
        <v>1</v>
      </c>
      <c r="AB3253">
        <v>1</v>
      </c>
    </row>
    <row r="3254" spans="1:28" x14ac:dyDescent="0.25">
      <c r="A3254" t="str">
        <f>"3250"</f>
        <v>3250</v>
      </c>
      <c r="B3254" t="str">
        <f t="shared" si="187"/>
        <v>1</v>
      </c>
      <c r="C3254" t="str">
        <f t="shared" si="188"/>
        <v>143</v>
      </c>
      <c r="D3254" t="str">
        <f>"8"</f>
        <v>8</v>
      </c>
      <c r="E3254" t="str">
        <f>"1-143-8"</f>
        <v>1-143-8</v>
      </c>
      <c r="F3254" t="s">
        <v>83</v>
      </c>
      <c r="G3254" t="s">
        <v>86</v>
      </c>
      <c r="H3254" t="s">
        <v>93</v>
      </c>
      <c r="I3254">
        <v>1</v>
      </c>
      <c r="K3254">
        <v>0</v>
      </c>
      <c r="L3254">
        <v>0</v>
      </c>
      <c r="M3254">
        <v>1</v>
      </c>
      <c r="N3254">
        <v>1</v>
      </c>
      <c r="O3254">
        <v>1</v>
      </c>
      <c r="P3254">
        <v>1</v>
      </c>
      <c r="Q3254">
        <v>1</v>
      </c>
      <c r="R3254">
        <v>1</v>
      </c>
      <c r="U3254">
        <v>1</v>
      </c>
      <c r="V3254">
        <v>0</v>
      </c>
      <c r="W3254">
        <v>1</v>
      </c>
      <c r="X3254">
        <v>1</v>
      </c>
      <c r="Y3254">
        <v>1</v>
      </c>
      <c r="Z3254">
        <v>1</v>
      </c>
      <c r="AA3254">
        <v>1</v>
      </c>
      <c r="AB3254">
        <v>1</v>
      </c>
    </row>
    <row r="3255" spans="1:28" x14ac:dyDescent="0.25">
      <c r="A3255" t="str">
        <f>"3251"</f>
        <v>3251</v>
      </c>
      <c r="B3255" t="str">
        <f t="shared" si="187"/>
        <v>1</v>
      </c>
      <c r="C3255" t="str">
        <f t="shared" si="188"/>
        <v>143</v>
      </c>
      <c r="D3255" t="str">
        <f>"3"</f>
        <v>3</v>
      </c>
      <c r="E3255" t="str">
        <f>"1-143-3"</f>
        <v>1-143-3</v>
      </c>
      <c r="F3255" t="s">
        <v>83</v>
      </c>
      <c r="G3255" t="s">
        <v>84</v>
      </c>
      <c r="H3255" t="s">
        <v>92</v>
      </c>
      <c r="I3255">
        <v>1</v>
      </c>
      <c r="J3255">
        <v>0</v>
      </c>
      <c r="N3255">
        <v>1</v>
      </c>
      <c r="O3255">
        <v>1</v>
      </c>
      <c r="P3255">
        <v>1</v>
      </c>
      <c r="Q3255">
        <v>1</v>
      </c>
      <c r="R3255">
        <v>1</v>
      </c>
      <c r="S3255">
        <v>1</v>
      </c>
      <c r="T3255">
        <v>1</v>
      </c>
      <c r="W3255">
        <v>1</v>
      </c>
      <c r="X3255">
        <v>1</v>
      </c>
      <c r="Y3255">
        <v>1</v>
      </c>
      <c r="Z3255">
        <v>1</v>
      </c>
      <c r="AA3255">
        <v>1</v>
      </c>
      <c r="AB3255">
        <v>1</v>
      </c>
    </row>
    <row r="3256" spans="1:28" x14ac:dyDescent="0.25">
      <c r="A3256" t="str">
        <f>"3252"</f>
        <v>3252</v>
      </c>
      <c r="B3256" t="str">
        <f t="shared" si="187"/>
        <v>1</v>
      </c>
      <c r="C3256" t="str">
        <f t="shared" si="188"/>
        <v>143</v>
      </c>
      <c r="D3256" t="str">
        <f>"16"</f>
        <v>16</v>
      </c>
      <c r="E3256" t="str">
        <f>"1-143-16"</f>
        <v>1-143-16</v>
      </c>
      <c r="F3256" t="s">
        <v>83</v>
      </c>
      <c r="G3256" t="s">
        <v>86</v>
      </c>
      <c r="H3256" t="s">
        <v>93</v>
      </c>
      <c r="I3256">
        <v>1</v>
      </c>
      <c r="K3256">
        <v>0</v>
      </c>
      <c r="L3256">
        <v>0</v>
      </c>
      <c r="M3256">
        <v>1</v>
      </c>
      <c r="N3256">
        <v>1</v>
      </c>
      <c r="O3256">
        <v>1</v>
      </c>
      <c r="P3256">
        <v>1</v>
      </c>
      <c r="Q3256">
        <v>1</v>
      </c>
      <c r="R3256">
        <v>1</v>
      </c>
      <c r="U3256">
        <v>1</v>
      </c>
      <c r="V3256">
        <v>0</v>
      </c>
      <c r="W3256">
        <v>1</v>
      </c>
      <c r="X3256">
        <v>1</v>
      </c>
      <c r="Y3256">
        <v>1</v>
      </c>
      <c r="Z3256">
        <v>1</v>
      </c>
      <c r="AA3256">
        <v>1</v>
      </c>
      <c r="AB3256">
        <v>1</v>
      </c>
    </row>
    <row r="3257" spans="1:28" x14ac:dyDescent="0.25">
      <c r="A3257" t="str">
        <f>"3253"</f>
        <v>3253</v>
      </c>
      <c r="B3257" t="str">
        <f t="shared" si="187"/>
        <v>1</v>
      </c>
      <c r="C3257" t="str">
        <f t="shared" si="188"/>
        <v>143</v>
      </c>
      <c r="D3257" t="str">
        <f>"9"</f>
        <v>9</v>
      </c>
      <c r="E3257" t="str">
        <f>"1-143-9"</f>
        <v>1-143-9</v>
      </c>
      <c r="F3257" t="s">
        <v>83</v>
      </c>
      <c r="G3257" t="s">
        <v>86</v>
      </c>
      <c r="H3257" t="s">
        <v>93</v>
      </c>
      <c r="I3257">
        <v>1</v>
      </c>
      <c r="K3257">
        <v>0</v>
      </c>
      <c r="L3257">
        <v>0</v>
      </c>
      <c r="M3257">
        <v>1</v>
      </c>
      <c r="N3257">
        <v>1</v>
      </c>
      <c r="O3257">
        <v>1</v>
      </c>
      <c r="P3257">
        <v>1</v>
      </c>
      <c r="Q3257">
        <v>1</v>
      </c>
      <c r="R3257">
        <v>1</v>
      </c>
      <c r="U3257">
        <v>0</v>
      </c>
      <c r="V3257">
        <v>1</v>
      </c>
      <c r="W3257">
        <v>1</v>
      </c>
      <c r="X3257">
        <v>1</v>
      </c>
      <c r="Y3257">
        <v>1</v>
      </c>
      <c r="Z3257">
        <v>1</v>
      </c>
      <c r="AA3257">
        <v>1</v>
      </c>
      <c r="AB3257">
        <v>1</v>
      </c>
    </row>
    <row r="3258" spans="1:28" x14ac:dyDescent="0.25">
      <c r="A3258" t="str">
        <f>"3254"</f>
        <v>3254</v>
      </c>
      <c r="B3258" t="str">
        <f t="shared" si="187"/>
        <v>1</v>
      </c>
      <c r="C3258" t="str">
        <f t="shared" si="188"/>
        <v>143</v>
      </c>
      <c r="D3258" t="str">
        <f>"1"</f>
        <v>1</v>
      </c>
      <c r="E3258" t="str">
        <f>"1-143-1"</f>
        <v>1-143-1</v>
      </c>
      <c r="F3258" t="s">
        <v>83</v>
      </c>
      <c r="G3258" t="s">
        <v>84</v>
      </c>
      <c r="H3258" t="s">
        <v>92</v>
      </c>
      <c r="I3258">
        <v>1</v>
      </c>
      <c r="J3258">
        <v>1</v>
      </c>
      <c r="N3258">
        <v>1</v>
      </c>
      <c r="O3258">
        <v>1</v>
      </c>
      <c r="P3258">
        <v>1</v>
      </c>
      <c r="Q3258">
        <v>1</v>
      </c>
      <c r="R3258">
        <v>1</v>
      </c>
      <c r="S3258">
        <v>1</v>
      </c>
      <c r="T3258">
        <v>1</v>
      </c>
      <c r="W3258">
        <v>1</v>
      </c>
      <c r="X3258">
        <v>1</v>
      </c>
      <c r="Y3258">
        <v>1</v>
      </c>
      <c r="Z3258">
        <v>1</v>
      </c>
      <c r="AA3258">
        <v>1</v>
      </c>
      <c r="AB3258">
        <v>1</v>
      </c>
    </row>
    <row r="3259" spans="1:28" x14ac:dyDescent="0.25">
      <c r="A3259" t="str">
        <f>"3255"</f>
        <v>3255</v>
      </c>
      <c r="B3259" t="str">
        <f t="shared" si="187"/>
        <v>1</v>
      </c>
      <c r="C3259" t="str">
        <f t="shared" si="188"/>
        <v>143</v>
      </c>
      <c r="D3259" t="str">
        <f>"17"</f>
        <v>17</v>
      </c>
      <c r="E3259" t="str">
        <f>"1-143-17"</f>
        <v>1-143-17</v>
      </c>
      <c r="F3259" t="s">
        <v>83</v>
      </c>
      <c r="G3259" t="s">
        <v>86</v>
      </c>
      <c r="H3259" t="s">
        <v>93</v>
      </c>
      <c r="I3259">
        <v>1</v>
      </c>
      <c r="K3259">
        <v>0</v>
      </c>
      <c r="L3259">
        <v>0</v>
      </c>
      <c r="M3259">
        <v>1</v>
      </c>
      <c r="N3259">
        <v>1</v>
      </c>
      <c r="O3259">
        <v>1</v>
      </c>
      <c r="P3259">
        <v>1</v>
      </c>
      <c r="Q3259">
        <v>1</v>
      </c>
      <c r="R3259">
        <v>1</v>
      </c>
      <c r="U3259">
        <v>1</v>
      </c>
      <c r="V3259">
        <v>0</v>
      </c>
      <c r="W3259">
        <v>1</v>
      </c>
      <c r="X3259">
        <v>1</v>
      </c>
      <c r="Y3259">
        <v>1</v>
      </c>
      <c r="Z3259">
        <v>1</v>
      </c>
      <c r="AA3259">
        <v>1</v>
      </c>
      <c r="AB3259">
        <v>1</v>
      </c>
    </row>
    <row r="3260" spans="1:28" x14ac:dyDescent="0.25">
      <c r="A3260" t="str">
        <f>"3256"</f>
        <v>3256</v>
      </c>
      <c r="B3260" t="str">
        <f t="shared" si="187"/>
        <v>1</v>
      </c>
      <c r="C3260" t="str">
        <f t="shared" si="188"/>
        <v>143</v>
      </c>
      <c r="D3260" t="str">
        <f>"10"</f>
        <v>10</v>
      </c>
      <c r="E3260" t="str">
        <f>"1-143-10"</f>
        <v>1-143-10</v>
      </c>
      <c r="F3260" t="s">
        <v>83</v>
      </c>
      <c r="G3260" t="s">
        <v>86</v>
      </c>
      <c r="H3260" t="s">
        <v>93</v>
      </c>
      <c r="I3260">
        <v>1</v>
      </c>
      <c r="K3260">
        <v>0</v>
      </c>
      <c r="L3260">
        <v>0</v>
      </c>
      <c r="M3260">
        <v>1</v>
      </c>
      <c r="N3260">
        <v>1</v>
      </c>
      <c r="O3260">
        <v>1</v>
      </c>
      <c r="P3260">
        <v>1</v>
      </c>
      <c r="Q3260">
        <v>0</v>
      </c>
      <c r="R3260">
        <v>0</v>
      </c>
      <c r="U3260">
        <v>1</v>
      </c>
      <c r="V3260">
        <v>0</v>
      </c>
      <c r="W3260">
        <v>1</v>
      </c>
      <c r="X3260">
        <v>1</v>
      </c>
      <c r="Y3260">
        <v>1</v>
      </c>
      <c r="Z3260">
        <v>1</v>
      </c>
      <c r="AA3260">
        <v>1</v>
      </c>
      <c r="AB3260">
        <v>1</v>
      </c>
    </row>
    <row r="3261" spans="1:28" x14ac:dyDescent="0.25">
      <c r="A3261" t="str">
        <f>"3257"</f>
        <v>3257</v>
      </c>
      <c r="B3261" t="str">
        <f t="shared" si="187"/>
        <v>1</v>
      </c>
      <c r="C3261" t="str">
        <f t="shared" si="188"/>
        <v>143</v>
      </c>
      <c r="D3261" t="str">
        <f>"6"</f>
        <v>6</v>
      </c>
      <c r="E3261" t="str">
        <f>"1-143-6"</f>
        <v>1-143-6</v>
      </c>
      <c r="F3261" t="s">
        <v>83</v>
      </c>
      <c r="G3261" t="s">
        <v>86</v>
      </c>
      <c r="H3261" t="s">
        <v>93</v>
      </c>
      <c r="I3261">
        <v>1</v>
      </c>
      <c r="K3261">
        <v>0</v>
      </c>
      <c r="L3261">
        <v>0</v>
      </c>
      <c r="M3261">
        <v>1</v>
      </c>
      <c r="N3261">
        <v>1</v>
      </c>
      <c r="O3261">
        <v>1</v>
      </c>
      <c r="P3261">
        <v>1</v>
      </c>
      <c r="Q3261">
        <v>1</v>
      </c>
      <c r="R3261">
        <v>0</v>
      </c>
      <c r="U3261">
        <v>0</v>
      </c>
      <c r="V3261">
        <v>1</v>
      </c>
      <c r="W3261">
        <v>0</v>
      </c>
      <c r="X3261">
        <v>0</v>
      </c>
      <c r="Y3261">
        <v>0</v>
      </c>
      <c r="Z3261">
        <v>0</v>
      </c>
      <c r="AA3261">
        <v>0</v>
      </c>
      <c r="AB3261">
        <v>0</v>
      </c>
    </row>
    <row r="3262" spans="1:28" x14ac:dyDescent="0.25">
      <c r="A3262" t="str">
        <f>"3258"</f>
        <v>3258</v>
      </c>
      <c r="B3262" t="str">
        <f t="shared" si="187"/>
        <v>1</v>
      </c>
      <c r="C3262" t="str">
        <f t="shared" si="188"/>
        <v>143</v>
      </c>
      <c r="D3262" t="str">
        <f>"21"</f>
        <v>21</v>
      </c>
      <c r="E3262" t="str">
        <f>"1-143-21"</f>
        <v>1-143-21</v>
      </c>
      <c r="F3262" t="s">
        <v>83</v>
      </c>
      <c r="G3262" t="s">
        <v>86</v>
      </c>
      <c r="H3262" t="s">
        <v>93</v>
      </c>
      <c r="I3262">
        <v>1</v>
      </c>
      <c r="K3262">
        <v>0</v>
      </c>
      <c r="L3262">
        <v>0</v>
      </c>
      <c r="M3262">
        <v>1</v>
      </c>
      <c r="N3262">
        <v>1</v>
      </c>
      <c r="O3262">
        <v>1</v>
      </c>
      <c r="P3262">
        <v>1</v>
      </c>
      <c r="Q3262">
        <v>1</v>
      </c>
      <c r="R3262">
        <v>1</v>
      </c>
      <c r="U3262">
        <v>1</v>
      </c>
      <c r="V3262">
        <v>0</v>
      </c>
      <c r="W3262">
        <v>1</v>
      </c>
      <c r="X3262">
        <v>1</v>
      </c>
      <c r="Y3262">
        <v>1</v>
      </c>
      <c r="Z3262">
        <v>1</v>
      </c>
      <c r="AA3262">
        <v>1</v>
      </c>
      <c r="AB3262">
        <v>1</v>
      </c>
    </row>
    <row r="3263" spans="1:28" x14ac:dyDescent="0.25">
      <c r="A3263" t="str">
        <f>"3259"</f>
        <v>3259</v>
      </c>
      <c r="B3263" t="str">
        <f t="shared" si="187"/>
        <v>1</v>
      </c>
      <c r="C3263" t="str">
        <f t="shared" si="188"/>
        <v>143</v>
      </c>
      <c r="D3263" t="str">
        <f>"12"</f>
        <v>12</v>
      </c>
      <c r="E3263" t="str">
        <f>"1-143-12"</f>
        <v>1-143-12</v>
      </c>
      <c r="F3263" t="s">
        <v>83</v>
      </c>
      <c r="G3263" t="s">
        <v>86</v>
      </c>
      <c r="H3263" t="s">
        <v>93</v>
      </c>
      <c r="I3263">
        <v>1</v>
      </c>
      <c r="K3263">
        <v>1</v>
      </c>
      <c r="L3263">
        <v>0</v>
      </c>
      <c r="M3263">
        <v>0</v>
      </c>
      <c r="N3263">
        <v>1</v>
      </c>
      <c r="O3263">
        <v>1</v>
      </c>
      <c r="P3263">
        <v>1</v>
      </c>
      <c r="Q3263">
        <v>1</v>
      </c>
      <c r="R3263">
        <v>1</v>
      </c>
      <c r="U3263">
        <v>0</v>
      </c>
      <c r="V3263">
        <v>1</v>
      </c>
      <c r="W3263">
        <v>1</v>
      </c>
      <c r="X3263">
        <v>1</v>
      </c>
      <c r="Y3263">
        <v>1</v>
      </c>
      <c r="Z3263">
        <v>1</v>
      </c>
      <c r="AA3263">
        <v>1</v>
      </c>
      <c r="AB3263">
        <v>1</v>
      </c>
    </row>
    <row r="3264" spans="1:28" x14ac:dyDescent="0.25">
      <c r="A3264" t="str">
        <f>"3260"</f>
        <v>3260</v>
      </c>
      <c r="B3264" t="str">
        <f t="shared" si="187"/>
        <v>1</v>
      </c>
      <c r="C3264" t="str">
        <f t="shared" si="188"/>
        <v>143</v>
      </c>
      <c r="D3264" t="str">
        <f>"7"</f>
        <v>7</v>
      </c>
      <c r="E3264" t="str">
        <f>"1-143-7"</f>
        <v>1-143-7</v>
      </c>
      <c r="F3264" t="s">
        <v>83</v>
      </c>
      <c r="G3264" t="s">
        <v>86</v>
      </c>
      <c r="H3264" t="s">
        <v>93</v>
      </c>
      <c r="I3264">
        <v>1</v>
      </c>
      <c r="K3264">
        <v>1</v>
      </c>
      <c r="L3264">
        <v>0</v>
      </c>
      <c r="M3264">
        <v>0</v>
      </c>
      <c r="N3264">
        <v>1</v>
      </c>
      <c r="O3264">
        <v>1</v>
      </c>
      <c r="P3264">
        <v>0</v>
      </c>
      <c r="Q3264">
        <v>1</v>
      </c>
      <c r="R3264">
        <v>0</v>
      </c>
      <c r="U3264">
        <v>0</v>
      </c>
      <c r="V3264">
        <v>1</v>
      </c>
      <c r="W3264">
        <v>0</v>
      </c>
      <c r="X3264">
        <v>0</v>
      </c>
      <c r="Y3264">
        <v>0</v>
      </c>
      <c r="Z3264">
        <v>0</v>
      </c>
      <c r="AA3264">
        <v>0</v>
      </c>
      <c r="AB3264">
        <v>0</v>
      </c>
    </row>
    <row r="3265" spans="1:49" x14ac:dyDescent="0.25">
      <c r="A3265" t="str">
        <f>"3261"</f>
        <v>3261</v>
      </c>
      <c r="B3265" t="str">
        <f t="shared" si="187"/>
        <v>1</v>
      </c>
      <c r="C3265" t="str">
        <f t="shared" si="188"/>
        <v>143</v>
      </c>
      <c r="D3265" t="str">
        <f>"20"</f>
        <v>20</v>
      </c>
      <c r="E3265" t="str">
        <f>"1-143-20"</f>
        <v>1-143-20</v>
      </c>
      <c r="F3265" t="s">
        <v>83</v>
      </c>
      <c r="G3265" t="s">
        <v>86</v>
      </c>
      <c r="H3265" t="s">
        <v>93</v>
      </c>
      <c r="I3265">
        <v>1</v>
      </c>
      <c r="K3265">
        <v>1</v>
      </c>
      <c r="L3265">
        <v>0</v>
      </c>
      <c r="M3265">
        <v>0</v>
      </c>
      <c r="N3265">
        <v>1</v>
      </c>
      <c r="O3265">
        <v>1</v>
      </c>
      <c r="P3265">
        <v>1</v>
      </c>
      <c r="Q3265">
        <v>1</v>
      </c>
      <c r="R3265">
        <v>1</v>
      </c>
      <c r="U3265">
        <v>0</v>
      </c>
      <c r="V3265">
        <v>1</v>
      </c>
      <c r="W3265">
        <v>1</v>
      </c>
      <c r="X3265">
        <v>1</v>
      </c>
      <c r="Y3265">
        <v>1</v>
      </c>
      <c r="Z3265">
        <v>1</v>
      </c>
      <c r="AA3265">
        <v>1</v>
      </c>
      <c r="AB3265">
        <v>1</v>
      </c>
    </row>
    <row r="3266" spans="1:49" x14ac:dyDescent="0.25">
      <c r="A3266" t="str">
        <f>"3262"</f>
        <v>3262</v>
      </c>
      <c r="B3266" t="str">
        <f t="shared" si="187"/>
        <v>1</v>
      </c>
      <c r="C3266" t="str">
        <f t="shared" si="188"/>
        <v>143</v>
      </c>
      <c r="D3266" t="str">
        <f>"13"</f>
        <v>13</v>
      </c>
      <c r="E3266" t="str">
        <f>"1-143-13"</f>
        <v>1-143-13</v>
      </c>
      <c r="F3266" t="s">
        <v>83</v>
      </c>
      <c r="G3266" t="s">
        <v>86</v>
      </c>
      <c r="H3266" t="s">
        <v>93</v>
      </c>
      <c r="I3266">
        <v>0</v>
      </c>
      <c r="K3266">
        <v>0</v>
      </c>
      <c r="L3266">
        <v>0</v>
      </c>
      <c r="M3266">
        <v>1</v>
      </c>
      <c r="N3266">
        <v>1</v>
      </c>
      <c r="O3266">
        <v>1</v>
      </c>
      <c r="P3266">
        <v>1</v>
      </c>
      <c r="Q3266">
        <v>1</v>
      </c>
      <c r="R3266">
        <v>1</v>
      </c>
      <c r="U3266">
        <v>0</v>
      </c>
      <c r="V3266">
        <v>1</v>
      </c>
      <c r="W3266">
        <v>1</v>
      </c>
      <c r="X3266">
        <v>1</v>
      </c>
      <c r="Y3266">
        <v>1</v>
      </c>
      <c r="Z3266">
        <v>1</v>
      </c>
      <c r="AA3266">
        <v>1</v>
      </c>
      <c r="AB3266">
        <v>1</v>
      </c>
    </row>
    <row r="3267" spans="1:49" x14ac:dyDescent="0.25">
      <c r="A3267" t="str">
        <f>"3263"</f>
        <v>3263</v>
      </c>
      <c r="B3267" t="str">
        <f t="shared" si="187"/>
        <v>1</v>
      </c>
      <c r="C3267" t="str">
        <f t="shared" si="188"/>
        <v>143</v>
      </c>
      <c r="D3267" t="str">
        <f>"4"</f>
        <v>4</v>
      </c>
      <c r="E3267" t="str">
        <f>"1-143-4"</f>
        <v>1-143-4</v>
      </c>
      <c r="F3267" t="s">
        <v>83</v>
      </c>
      <c r="G3267" t="s">
        <v>84</v>
      </c>
      <c r="H3267" t="s">
        <v>92</v>
      </c>
      <c r="I3267">
        <v>0</v>
      </c>
      <c r="J3267">
        <v>1</v>
      </c>
      <c r="N3267">
        <v>1</v>
      </c>
      <c r="O3267">
        <v>1</v>
      </c>
      <c r="P3267">
        <v>1</v>
      </c>
      <c r="Q3267">
        <v>1</v>
      </c>
      <c r="R3267">
        <v>1</v>
      </c>
      <c r="S3267">
        <v>1</v>
      </c>
      <c r="T3267">
        <v>1</v>
      </c>
      <c r="W3267">
        <v>1</v>
      </c>
      <c r="X3267">
        <v>1</v>
      </c>
      <c r="Y3267">
        <v>1</v>
      </c>
      <c r="Z3267">
        <v>1</v>
      </c>
      <c r="AA3267">
        <v>1</v>
      </c>
      <c r="AB3267">
        <v>1</v>
      </c>
    </row>
    <row r="3268" spans="1:49" x14ac:dyDescent="0.25">
      <c r="A3268" t="str">
        <f>"3264"</f>
        <v>3264</v>
      </c>
      <c r="B3268" t="str">
        <f t="shared" si="187"/>
        <v>1</v>
      </c>
      <c r="C3268" t="str">
        <f t="shared" si="188"/>
        <v>143</v>
      </c>
      <c r="D3268" t="str">
        <f>"18"</f>
        <v>18</v>
      </c>
      <c r="E3268" t="str">
        <f>"1-143-18"</f>
        <v>1-143-18</v>
      </c>
      <c r="F3268" t="s">
        <v>83</v>
      </c>
      <c r="G3268" t="s">
        <v>86</v>
      </c>
      <c r="H3268" t="s">
        <v>93</v>
      </c>
      <c r="I3268">
        <v>1</v>
      </c>
      <c r="K3268">
        <v>0</v>
      </c>
      <c r="L3268">
        <v>0</v>
      </c>
      <c r="M3268">
        <v>1</v>
      </c>
      <c r="N3268">
        <v>1</v>
      </c>
      <c r="O3268">
        <v>1</v>
      </c>
      <c r="P3268">
        <v>1</v>
      </c>
      <c r="Q3268">
        <v>1</v>
      </c>
      <c r="R3268">
        <v>1</v>
      </c>
      <c r="U3268">
        <v>0</v>
      </c>
      <c r="V3268">
        <v>0</v>
      </c>
      <c r="W3268">
        <v>0</v>
      </c>
      <c r="X3268">
        <v>0</v>
      </c>
      <c r="Y3268">
        <v>0</v>
      </c>
      <c r="Z3268">
        <v>0</v>
      </c>
      <c r="AA3268">
        <v>0</v>
      </c>
      <c r="AB3268">
        <v>1</v>
      </c>
    </row>
    <row r="3269" spans="1:49" x14ac:dyDescent="0.25">
      <c r="A3269" t="str">
        <f>"3265"</f>
        <v>3265</v>
      </c>
      <c r="B3269" t="str">
        <f t="shared" si="187"/>
        <v>1</v>
      </c>
      <c r="C3269" t="str">
        <f t="shared" si="188"/>
        <v>143</v>
      </c>
      <c r="D3269" t="str">
        <f>"2"</f>
        <v>2</v>
      </c>
      <c r="E3269" t="str">
        <f>"1-143-2"</f>
        <v>1-143-2</v>
      </c>
      <c r="F3269" t="s">
        <v>83</v>
      </c>
      <c r="G3269" t="s">
        <v>84</v>
      </c>
      <c r="H3269" t="s">
        <v>92</v>
      </c>
      <c r="I3269">
        <v>1</v>
      </c>
      <c r="J3269">
        <v>1</v>
      </c>
      <c r="N3269">
        <v>1</v>
      </c>
      <c r="O3269">
        <v>1</v>
      </c>
      <c r="P3269">
        <v>1</v>
      </c>
      <c r="Q3269">
        <v>1</v>
      </c>
      <c r="R3269">
        <v>1</v>
      </c>
      <c r="S3269">
        <v>1</v>
      </c>
      <c r="T3269">
        <v>1</v>
      </c>
      <c r="W3269">
        <v>1</v>
      </c>
      <c r="X3269">
        <v>1</v>
      </c>
      <c r="Y3269">
        <v>1</v>
      </c>
      <c r="Z3269">
        <v>1</v>
      </c>
      <c r="AA3269">
        <v>1</v>
      </c>
      <c r="AB3269">
        <v>1</v>
      </c>
    </row>
    <row r="3270" spans="1:49" x14ac:dyDescent="0.25">
      <c r="A3270" t="str">
        <f>"3266"</f>
        <v>3266</v>
      </c>
      <c r="B3270" t="str">
        <f t="shared" si="187"/>
        <v>1</v>
      </c>
      <c r="C3270" t="str">
        <f t="shared" si="188"/>
        <v>143</v>
      </c>
      <c r="D3270" t="str">
        <f>"19"</f>
        <v>19</v>
      </c>
      <c r="E3270" t="str">
        <f>"1-143-19"</f>
        <v>1-143-19</v>
      </c>
      <c r="F3270" t="s">
        <v>83</v>
      </c>
      <c r="G3270" t="s">
        <v>86</v>
      </c>
      <c r="H3270" t="s">
        <v>93</v>
      </c>
      <c r="I3270">
        <v>1</v>
      </c>
      <c r="K3270">
        <v>0</v>
      </c>
      <c r="L3270">
        <v>0</v>
      </c>
      <c r="M3270">
        <v>1</v>
      </c>
      <c r="N3270">
        <v>1</v>
      </c>
      <c r="O3270">
        <v>1</v>
      </c>
      <c r="P3270">
        <v>1</v>
      </c>
      <c r="Q3270">
        <v>1</v>
      </c>
      <c r="R3270">
        <v>1</v>
      </c>
      <c r="U3270">
        <v>0</v>
      </c>
      <c r="V3270">
        <v>1</v>
      </c>
      <c r="W3270">
        <v>1</v>
      </c>
      <c r="X3270">
        <v>1</v>
      </c>
      <c r="Y3270">
        <v>1</v>
      </c>
      <c r="Z3270">
        <v>1</v>
      </c>
      <c r="AA3270">
        <v>1</v>
      </c>
      <c r="AB3270">
        <v>1</v>
      </c>
    </row>
    <row r="3271" spans="1:49" x14ac:dyDescent="0.25">
      <c r="A3271" t="str">
        <f>"3267"</f>
        <v>3267</v>
      </c>
      <c r="B3271" t="str">
        <f t="shared" si="187"/>
        <v>1</v>
      </c>
      <c r="C3271" t="str">
        <f t="shared" si="188"/>
        <v>143</v>
      </c>
      <c r="D3271" t="str">
        <f>"5"</f>
        <v>5</v>
      </c>
      <c r="E3271" t="str">
        <f>"1-143-5"</f>
        <v>1-143-5</v>
      </c>
      <c r="F3271" t="s">
        <v>83</v>
      </c>
      <c r="G3271" t="s">
        <v>86</v>
      </c>
      <c r="H3271" t="s">
        <v>93</v>
      </c>
      <c r="I3271">
        <v>1</v>
      </c>
      <c r="K3271">
        <v>0</v>
      </c>
      <c r="L3271">
        <v>0</v>
      </c>
      <c r="M3271">
        <v>1</v>
      </c>
      <c r="N3271">
        <v>1</v>
      </c>
      <c r="O3271">
        <v>1</v>
      </c>
      <c r="P3271">
        <v>1</v>
      </c>
      <c r="Q3271">
        <v>1</v>
      </c>
      <c r="R3271">
        <v>1</v>
      </c>
      <c r="U3271">
        <v>0</v>
      </c>
      <c r="V3271">
        <v>1</v>
      </c>
      <c r="W3271">
        <v>0</v>
      </c>
      <c r="X3271">
        <v>0</v>
      </c>
      <c r="Y3271">
        <v>0</v>
      </c>
      <c r="Z3271">
        <v>0</v>
      </c>
      <c r="AA3271">
        <v>0</v>
      </c>
      <c r="AB3271">
        <v>0</v>
      </c>
    </row>
    <row r="3272" spans="1:49" x14ac:dyDescent="0.25">
      <c r="A3272" t="str">
        <f>"3268"</f>
        <v>3268</v>
      </c>
      <c r="B3272" t="str">
        <f t="shared" si="187"/>
        <v>1</v>
      </c>
      <c r="C3272" t="str">
        <f t="shared" ref="C3272:C3294" si="189">"144"</f>
        <v>144</v>
      </c>
      <c r="D3272" t="str">
        <f>"16"</f>
        <v>16</v>
      </c>
      <c r="E3272" t="str">
        <f>"1-144-16"</f>
        <v>1-144-16</v>
      </c>
      <c r="F3272" t="s">
        <v>83</v>
      </c>
      <c r="G3272" t="s">
        <v>84</v>
      </c>
      <c r="H3272" t="s">
        <v>85</v>
      </c>
      <c r="AC3272">
        <v>0</v>
      </c>
      <c r="AD3272">
        <v>1</v>
      </c>
      <c r="AE3272">
        <v>0</v>
      </c>
      <c r="AF3272">
        <v>0</v>
      </c>
      <c r="AG3272">
        <v>1</v>
      </c>
      <c r="AJ3272">
        <v>1</v>
      </c>
      <c r="AK3272">
        <v>0</v>
      </c>
      <c r="AL3272">
        <v>0</v>
      </c>
      <c r="AM3272">
        <v>1</v>
      </c>
      <c r="AN3272">
        <v>0</v>
      </c>
      <c r="AO3272">
        <v>1</v>
      </c>
      <c r="AP3272">
        <v>1</v>
      </c>
      <c r="AQ3272">
        <v>1</v>
      </c>
      <c r="AR3272">
        <v>1</v>
      </c>
      <c r="AS3272">
        <v>1</v>
      </c>
      <c r="AT3272">
        <v>0</v>
      </c>
      <c r="AV3272">
        <v>1</v>
      </c>
      <c r="AW3272">
        <v>1</v>
      </c>
    </row>
    <row r="3273" spans="1:49" x14ac:dyDescent="0.25">
      <c r="A3273" t="str">
        <f>"3269"</f>
        <v>3269</v>
      </c>
      <c r="B3273" t="str">
        <f t="shared" si="187"/>
        <v>1</v>
      </c>
      <c r="C3273" t="str">
        <f t="shared" si="189"/>
        <v>144</v>
      </c>
      <c r="D3273" t="str">
        <f>"15"</f>
        <v>15</v>
      </c>
      <c r="E3273" t="str">
        <f>"1-144-15"</f>
        <v>1-144-15</v>
      </c>
      <c r="F3273" t="s">
        <v>83</v>
      </c>
      <c r="G3273" t="s">
        <v>84</v>
      </c>
      <c r="H3273" t="s">
        <v>85</v>
      </c>
      <c r="AC3273">
        <v>1</v>
      </c>
      <c r="AD3273">
        <v>0</v>
      </c>
      <c r="AE3273">
        <v>0</v>
      </c>
      <c r="AF3273">
        <v>0</v>
      </c>
      <c r="AG3273">
        <v>1</v>
      </c>
      <c r="AJ3273">
        <v>0</v>
      </c>
      <c r="AK3273">
        <v>1</v>
      </c>
      <c r="AL3273">
        <v>0</v>
      </c>
      <c r="AM3273">
        <v>0</v>
      </c>
      <c r="AN3273">
        <v>1</v>
      </c>
      <c r="AO3273">
        <v>1</v>
      </c>
      <c r="AP3273">
        <v>1</v>
      </c>
      <c r="AQ3273">
        <v>1</v>
      </c>
      <c r="AR3273">
        <v>1</v>
      </c>
      <c r="AS3273">
        <v>1</v>
      </c>
      <c r="AT3273">
        <v>0</v>
      </c>
      <c r="AV3273">
        <v>1</v>
      </c>
      <c r="AW3273">
        <v>1</v>
      </c>
    </row>
    <row r="3274" spans="1:49" x14ac:dyDescent="0.25">
      <c r="A3274" t="str">
        <f>"3270"</f>
        <v>3270</v>
      </c>
      <c r="B3274" t="str">
        <f t="shared" si="187"/>
        <v>1</v>
      </c>
      <c r="C3274" t="str">
        <f t="shared" si="189"/>
        <v>144</v>
      </c>
      <c r="D3274" t="str">
        <f>"13"</f>
        <v>13</v>
      </c>
      <c r="E3274" t="str">
        <f>"1-144-13"</f>
        <v>1-144-13</v>
      </c>
      <c r="F3274" t="s">
        <v>83</v>
      </c>
      <c r="G3274" t="s">
        <v>86</v>
      </c>
      <c r="H3274" t="s">
        <v>87</v>
      </c>
      <c r="AC3274">
        <v>1</v>
      </c>
      <c r="AD3274">
        <v>0</v>
      </c>
      <c r="AE3274">
        <v>0</v>
      </c>
      <c r="AF3274">
        <v>0</v>
      </c>
      <c r="AH3274">
        <v>1</v>
      </c>
      <c r="AI3274">
        <v>0</v>
      </c>
      <c r="AJ3274">
        <v>0</v>
      </c>
      <c r="AK3274">
        <v>1</v>
      </c>
      <c r="AL3274">
        <v>0</v>
      </c>
      <c r="AM3274">
        <v>0</v>
      </c>
      <c r="AN3274">
        <v>1</v>
      </c>
      <c r="AO3274">
        <v>0</v>
      </c>
      <c r="AP3274">
        <v>1</v>
      </c>
      <c r="AQ3274">
        <v>1</v>
      </c>
      <c r="AU3274">
        <v>1</v>
      </c>
      <c r="AV3274">
        <v>0</v>
      </c>
      <c r="AW3274">
        <v>1</v>
      </c>
    </row>
    <row r="3275" spans="1:49" x14ac:dyDescent="0.25">
      <c r="A3275" t="str">
        <f>"3271"</f>
        <v>3271</v>
      </c>
      <c r="B3275" t="str">
        <f t="shared" si="187"/>
        <v>1</v>
      </c>
      <c r="C3275" t="str">
        <f t="shared" si="189"/>
        <v>144</v>
      </c>
      <c r="D3275" t="str">
        <f>"8"</f>
        <v>8</v>
      </c>
      <c r="E3275" t="str">
        <f>"1-144-8"</f>
        <v>1-144-8</v>
      </c>
      <c r="F3275" t="s">
        <v>83</v>
      </c>
      <c r="G3275" t="s">
        <v>84</v>
      </c>
      <c r="H3275" t="s">
        <v>85</v>
      </c>
      <c r="AC3275">
        <v>0</v>
      </c>
      <c r="AD3275">
        <v>0</v>
      </c>
      <c r="AE3275">
        <v>0</v>
      </c>
      <c r="AF3275">
        <v>0</v>
      </c>
      <c r="AG3275">
        <v>1</v>
      </c>
      <c r="AJ3275">
        <v>0</v>
      </c>
      <c r="AK3275">
        <v>1</v>
      </c>
      <c r="AL3275">
        <v>1</v>
      </c>
      <c r="AM3275">
        <v>0</v>
      </c>
      <c r="AN3275">
        <v>0</v>
      </c>
      <c r="AO3275">
        <v>0</v>
      </c>
      <c r="AP3275">
        <v>0</v>
      </c>
      <c r="AQ3275">
        <v>1</v>
      </c>
      <c r="AR3275">
        <v>0</v>
      </c>
      <c r="AS3275">
        <v>0</v>
      </c>
      <c r="AT3275">
        <v>1</v>
      </c>
      <c r="AV3275">
        <v>1</v>
      </c>
      <c r="AW3275">
        <v>1</v>
      </c>
    </row>
    <row r="3276" spans="1:49" x14ac:dyDescent="0.25">
      <c r="A3276" t="str">
        <f>"3272"</f>
        <v>3272</v>
      </c>
      <c r="B3276" t="str">
        <f t="shared" si="187"/>
        <v>1</v>
      </c>
      <c r="C3276" t="str">
        <f t="shared" si="189"/>
        <v>144</v>
      </c>
      <c r="D3276" t="str">
        <f>"2"</f>
        <v>2</v>
      </c>
      <c r="E3276" t="str">
        <f>"1-144-2"</f>
        <v>1-144-2</v>
      </c>
      <c r="F3276" t="s">
        <v>83</v>
      </c>
      <c r="G3276" t="s">
        <v>86</v>
      </c>
      <c r="H3276" t="s">
        <v>87</v>
      </c>
      <c r="AC3276">
        <v>0</v>
      </c>
      <c r="AD3276">
        <v>1</v>
      </c>
      <c r="AE3276">
        <v>0</v>
      </c>
      <c r="AF3276">
        <v>0</v>
      </c>
      <c r="AH3276">
        <v>1</v>
      </c>
      <c r="AI3276">
        <v>0</v>
      </c>
      <c r="AJ3276">
        <v>1</v>
      </c>
      <c r="AK3276">
        <v>0</v>
      </c>
      <c r="AL3276">
        <v>1</v>
      </c>
      <c r="AM3276">
        <v>0</v>
      </c>
      <c r="AN3276">
        <v>0</v>
      </c>
      <c r="AO3276">
        <v>1</v>
      </c>
      <c r="AP3276">
        <v>1</v>
      </c>
      <c r="AQ3276">
        <v>1</v>
      </c>
      <c r="AU3276">
        <v>1</v>
      </c>
      <c r="AV3276">
        <v>1</v>
      </c>
      <c r="AW3276">
        <v>1</v>
      </c>
    </row>
    <row r="3277" spans="1:49" x14ac:dyDescent="0.25">
      <c r="A3277" t="str">
        <f>"3273"</f>
        <v>3273</v>
      </c>
      <c r="B3277" t="str">
        <f t="shared" si="187"/>
        <v>1</v>
      </c>
      <c r="C3277" t="str">
        <f t="shared" si="189"/>
        <v>144</v>
      </c>
      <c r="D3277" t="str">
        <f>"23"</f>
        <v>23</v>
      </c>
      <c r="E3277" t="str">
        <f>"1-144-23"</f>
        <v>1-144-23</v>
      </c>
      <c r="F3277" t="s">
        <v>83</v>
      </c>
      <c r="G3277" t="s">
        <v>84</v>
      </c>
      <c r="H3277" t="s">
        <v>85</v>
      </c>
      <c r="AC3277">
        <v>1</v>
      </c>
      <c r="AD3277">
        <v>0</v>
      </c>
      <c r="AE3277">
        <v>0</v>
      </c>
      <c r="AF3277">
        <v>0</v>
      </c>
      <c r="AG3277">
        <v>0</v>
      </c>
      <c r="AJ3277">
        <v>0</v>
      </c>
      <c r="AK3277">
        <v>1</v>
      </c>
      <c r="AL3277">
        <v>0</v>
      </c>
      <c r="AM3277">
        <v>1</v>
      </c>
      <c r="AN3277">
        <v>0</v>
      </c>
      <c r="AO3277">
        <v>1</v>
      </c>
      <c r="AP3277">
        <v>1</v>
      </c>
      <c r="AQ3277">
        <v>1</v>
      </c>
      <c r="AR3277">
        <v>1</v>
      </c>
      <c r="AS3277">
        <v>0</v>
      </c>
      <c r="AT3277">
        <v>1</v>
      </c>
      <c r="AV3277">
        <v>1</v>
      </c>
      <c r="AW3277">
        <v>1</v>
      </c>
    </row>
    <row r="3278" spans="1:49" x14ac:dyDescent="0.25">
      <c r="A3278" t="str">
        <f>"3274"</f>
        <v>3274</v>
      </c>
      <c r="B3278" t="str">
        <f t="shared" si="187"/>
        <v>1</v>
      </c>
      <c r="C3278" t="str">
        <f t="shared" si="189"/>
        <v>144</v>
      </c>
      <c r="D3278" t="str">
        <f>"22"</f>
        <v>22</v>
      </c>
      <c r="E3278" t="str">
        <f>"1-144-22"</f>
        <v>1-144-22</v>
      </c>
      <c r="F3278" t="s">
        <v>83</v>
      </c>
      <c r="G3278" t="s">
        <v>84</v>
      </c>
      <c r="H3278" t="s">
        <v>85</v>
      </c>
      <c r="AC3278">
        <v>1</v>
      </c>
      <c r="AD3278">
        <v>0</v>
      </c>
      <c r="AE3278">
        <v>0</v>
      </c>
      <c r="AF3278">
        <v>0</v>
      </c>
      <c r="AG3278">
        <v>0</v>
      </c>
      <c r="AJ3278">
        <v>1</v>
      </c>
      <c r="AK3278">
        <v>0</v>
      </c>
      <c r="AL3278">
        <v>1</v>
      </c>
      <c r="AM3278">
        <v>0</v>
      </c>
      <c r="AN3278">
        <v>0</v>
      </c>
      <c r="AO3278">
        <v>1</v>
      </c>
      <c r="AP3278">
        <v>1</v>
      </c>
      <c r="AQ3278">
        <v>1</v>
      </c>
      <c r="AR3278">
        <v>1</v>
      </c>
      <c r="AS3278">
        <v>0</v>
      </c>
      <c r="AT3278">
        <v>1</v>
      </c>
      <c r="AV3278">
        <v>1</v>
      </c>
      <c r="AW3278">
        <v>0</v>
      </c>
    </row>
    <row r="3279" spans="1:49" x14ac:dyDescent="0.25">
      <c r="A3279" t="str">
        <f>"3275"</f>
        <v>3275</v>
      </c>
      <c r="B3279" t="str">
        <f t="shared" si="187"/>
        <v>1</v>
      </c>
      <c r="C3279" t="str">
        <f t="shared" si="189"/>
        <v>144</v>
      </c>
      <c r="D3279" t="str">
        <f>"14"</f>
        <v>14</v>
      </c>
      <c r="E3279" t="str">
        <f>"1-144-14"</f>
        <v>1-144-14</v>
      </c>
      <c r="F3279" t="s">
        <v>83</v>
      </c>
      <c r="G3279" t="s">
        <v>84</v>
      </c>
      <c r="H3279" t="s">
        <v>85</v>
      </c>
      <c r="AC3279">
        <v>0</v>
      </c>
      <c r="AD3279">
        <v>1</v>
      </c>
      <c r="AE3279">
        <v>0</v>
      </c>
      <c r="AF3279">
        <v>0</v>
      </c>
      <c r="AG3279">
        <v>1</v>
      </c>
      <c r="AJ3279">
        <v>1</v>
      </c>
      <c r="AK3279">
        <v>0</v>
      </c>
      <c r="AL3279">
        <v>0</v>
      </c>
      <c r="AM3279">
        <v>1</v>
      </c>
      <c r="AN3279">
        <v>0</v>
      </c>
      <c r="AO3279">
        <v>1</v>
      </c>
      <c r="AP3279">
        <v>1</v>
      </c>
      <c r="AQ3279">
        <v>1</v>
      </c>
      <c r="AR3279">
        <v>1</v>
      </c>
      <c r="AS3279">
        <v>1</v>
      </c>
      <c r="AT3279">
        <v>0</v>
      </c>
      <c r="AV3279">
        <v>1</v>
      </c>
      <c r="AW3279">
        <v>1</v>
      </c>
    </row>
    <row r="3280" spans="1:49" x14ac:dyDescent="0.25">
      <c r="A3280" t="str">
        <f>"3276"</f>
        <v>3276</v>
      </c>
      <c r="B3280" t="str">
        <f t="shared" si="187"/>
        <v>1</v>
      </c>
      <c r="C3280" t="str">
        <f t="shared" si="189"/>
        <v>144</v>
      </c>
      <c r="D3280" t="str">
        <f>"9"</f>
        <v>9</v>
      </c>
      <c r="E3280" t="str">
        <f>"1-144-9"</f>
        <v>1-144-9</v>
      </c>
      <c r="F3280" t="s">
        <v>83</v>
      </c>
      <c r="G3280" t="s">
        <v>88</v>
      </c>
      <c r="H3280" t="s">
        <v>89</v>
      </c>
      <c r="AC3280">
        <v>1</v>
      </c>
      <c r="AD3280">
        <v>0</v>
      </c>
      <c r="AE3280">
        <v>0</v>
      </c>
      <c r="AF3280">
        <v>0</v>
      </c>
      <c r="AH3280">
        <v>1</v>
      </c>
      <c r="AI3280">
        <v>0</v>
      </c>
      <c r="AJ3280">
        <v>1</v>
      </c>
      <c r="AK3280">
        <v>0</v>
      </c>
      <c r="AL3280">
        <v>0</v>
      </c>
      <c r="AM3280">
        <v>1</v>
      </c>
      <c r="AN3280">
        <v>0</v>
      </c>
      <c r="AO3280">
        <v>1</v>
      </c>
      <c r="AP3280">
        <v>1</v>
      </c>
      <c r="AQ3280">
        <v>1</v>
      </c>
      <c r="AR3280">
        <v>1</v>
      </c>
      <c r="AS3280">
        <v>1</v>
      </c>
      <c r="AT3280">
        <v>0</v>
      </c>
      <c r="AV3280">
        <v>1</v>
      </c>
      <c r="AW3280">
        <v>0</v>
      </c>
    </row>
    <row r="3281" spans="1:49" x14ac:dyDescent="0.25">
      <c r="A3281" t="str">
        <f>"3277"</f>
        <v>3277</v>
      </c>
      <c r="B3281" t="str">
        <f t="shared" si="187"/>
        <v>1</v>
      </c>
      <c r="C3281" t="str">
        <f t="shared" si="189"/>
        <v>144</v>
      </c>
      <c r="D3281" t="str">
        <f>"20"</f>
        <v>20</v>
      </c>
      <c r="E3281" t="str">
        <f>"1-144-20"</f>
        <v>1-144-20</v>
      </c>
      <c r="F3281" t="s">
        <v>83</v>
      </c>
      <c r="G3281" t="s">
        <v>86</v>
      </c>
      <c r="H3281" t="s">
        <v>87</v>
      </c>
      <c r="AC3281">
        <v>1</v>
      </c>
      <c r="AD3281">
        <v>0</v>
      </c>
      <c r="AE3281">
        <v>0</v>
      </c>
      <c r="AF3281">
        <v>0</v>
      </c>
      <c r="AH3281">
        <v>1</v>
      </c>
      <c r="AI3281">
        <v>0</v>
      </c>
      <c r="AJ3281">
        <v>1</v>
      </c>
      <c r="AK3281">
        <v>0</v>
      </c>
      <c r="AL3281">
        <v>0</v>
      </c>
      <c r="AM3281">
        <v>0</v>
      </c>
      <c r="AN3281">
        <v>0</v>
      </c>
      <c r="AO3281">
        <v>0</v>
      </c>
      <c r="AP3281">
        <v>0</v>
      </c>
      <c r="AQ3281">
        <v>0</v>
      </c>
      <c r="AU3281">
        <v>1</v>
      </c>
      <c r="AV3281">
        <v>0</v>
      </c>
      <c r="AW3281">
        <v>1</v>
      </c>
    </row>
    <row r="3282" spans="1:49" x14ac:dyDescent="0.25">
      <c r="A3282" t="str">
        <f>"3278"</f>
        <v>3278</v>
      </c>
      <c r="B3282" t="str">
        <f t="shared" si="187"/>
        <v>1</v>
      </c>
      <c r="C3282" t="str">
        <f t="shared" si="189"/>
        <v>144</v>
      </c>
      <c r="D3282" t="str">
        <f>"10"</f>
        <v>10</v>
      </c>
      <c r="E3282" t="str">
        <f>"1-144-10"</f>
        <v>1-144-10</v>
      </c>
      <c r="F3282" t="s">
        <v>83</v>
      </c>
      <c r="G3282" t="s">
        <v>84</v>
      </c>
      <c r="H3282" t="s">
        <v>85</v>
      </c>
      <c r="AC3282">
        <v>1</v>
      </c>
      <c r="AD3282">
        <v>0</v>
      </c>
      <c r="AE3282">
        <v>0</v>
      </c>
      <c r="AF3282">
        <v>0</v>
      </c>
      <c r="AG3282">
        <v>1</v>
      </c>
      <c r="AJ3282">
        <v>0</v>
      </c>
      <c r="AK3282">
        <v>1</v>
      </c>
      <c r="AL3282">
        <v>1</v>
      </c>
      <c r="AM3282">
        <v>0</v>
      </c>
      <c r="AN3282">
        <v>0</v>
      </c>
      <c r="AO3282">
        <v>1</v>
      </c>
      <c r="AP3282">
        <v>1</v>
      </c>
      <c r="AQ3282">
        <v>1</v>
      </c>
      <c r="AR3282">
        <v>1</v>
      </c>
      <c r="AS3282">
        <v>0</v>
      </c>
      <c r="AT3282">
        <v>1</v>
      </c>
      <c r="AV3282">
        <v>1</v>
      </c>
      <c r="AW3282">
        <v>1</v>
      </c>
    </row>
    <row r="3283" spans="1:49" x14ac:dyDescent="0.25">
      <c r="A3283" t="str">
        <f>"3279"</f>
        <v>3279</v>
      </c>
      <c r="B3283" t="str">
        <f t="shared" si="187"/>
        <v>1</v>
      </c>
      <c r="C3283" t="str">
        <f t="shared" si="189"/>
        <v>144</v>
      </c>
      <c r="D3283" t="str">
        <f>"7"</f>
        <v>7</v>
      </c>
      <c r="E3283" t="str">
        <f>"1-144-7"</f>
        <v>1-144-7</v>
      </c>
      <c r="F3283" t="s">
        <v>83</v>
      </c>
      <c r="G3283" t="s">
        <v>84</v>
      </c>
      <c r="H3283" t="s">
        <v>85</v>
      </c>
      <c r="AC3283">
        <v>1</v>
      </c>
      <c r="AD3283">
        <v>0</v>
      </c>
      <c r="AE3283">
        <v>0</v>
      </c>
      <c r="AF3283">
        <v>0</v>
      </c>
      <c r="AG3283">
        <v>1</v>
      </c>
      <c r="AJ3283">
        <v>0</v>
      </c>
      <c r="AK3283">
        <v>1</v>
      </c>
      <c r="AL3283">
        <v>1</v>
      </c>
      <c r="AM3283">
        <v>0</v>
      </c>
      <c r="AN3283">
        <v>0</v>
      </c>
      <c r="AO3283">
        <v>1</v>
      </c>
      <c r="AP3283">
        <v>1</v>
      </c>
      <c r="AQ3283">
        <v>1</v>
      </c>
      <c r="AR3283">
        <v>1</v>
      </c>
      <c r="AS3283">
        <v>1</v>
      </c>
      <c r="AT3283">
        <v>0</v>
      </c>
      <c r="AV3283">
        <v>1</v>
      </c>
      <c r="AW3283">
        <v>1</v>
      </c>
    </row>
    <row r="3284" spans="1:49" x14ac:dyDescent="0.25">
      <c r="A3284" t="str">
        <f>"3280"</f>
        <v>3280</v>
      </c>
      <c r="B3284" t="str">
        <f t="shared" si="187"/>
        <v>1</v>
      </c>
      <c r="C3284" t="str">
        <f t="shared" si="189"/>
        <v>144</v>
      </c>
      <c r="D3284" t="str">
        <f>"19"</f>
        <v>19</v>
      </c>
      <c r="E3284" t="str">
        <f>"1-144-19"</f>
        <v>1-144-19</v>
      </c>
      <c r="F3284" t="s">
        <v>83</v>
      </c>
      <c r="G3284" t="s">
        <v>84</v>
      </c>
      <c r="H3284" t="s">
        <v>85</v>
      </c>
      <c r="AC3284">
        <v>1</v>
      </c>
      <c r="AD3284">
        <v>0</v>
      </c>
      <c r="AE3284">
        <v>0</v>
      </c>
      <c r="AF3284">
        <v>0</v>
      </c>
      <c r="AG3284">
        <v>1</v>
      </c>
      <c r="AJ3284">
        <v>1</v>
      </c>
      <c r="AK3284">
        <v>0</v>
      </c>
      <c r="AL3284">
        <v>0</v>
      </c>
      <c r="AM3284">
        <v>0</v>
      </c>
      <c r="AN3284">
        <v>1</v>
      </c>
      <c r="AO3284">
        <v>1</v>
      </c>
      <c r="AP3284">
        <v>1</v>
      </c>
      <c r="AQ3284">
        <v>1</v>
      </c>
      <c r="AR3284">
        <v>1</v>
      </c>
      <c r="AS3284">
        <v>1</v>
      </c>
      <c r="AT3284">
        <v>0</v>
      </c>
      <c r="AV3284">
        <v>1</v>
      </c>
      <c r="AW3284">
        <v>1</v>
      </c>
    </row>
    <row r="3285" spans="1:49" x14ac:dyDescent="0.25">
      <c r="A3285" t="str">
        <f>"3281"</f>
        <v>3281</v>
      </c>
      <c r="B3285" t="str">
        <f t="shared" si="187"/>
        <v>1</v>
      </c>
      <c r="C3285" t="str">
        <f t="shared" si="189"/>
        <v>144</v>
      </c>
      <c r="D3285" t="str">
        <f>"11"</f>
        <v>11</v>
      </c>
      <c r="E3285" t="str">
        <f>"1-144-11"</f>
        <v>1-144-11</v>
      </c>
      <c r="F3285" t="s">
        <v>83</v>
      </c>
      <c r="G3285" t="s">
        <v>86</v>
      </c>
      <c r="H3285" t="s">
        <v>87</v>
      </c>
      <c r="AC3285">
        <v>0</v>
      </c>
      <c r="AD3285">
        <v>0</v>
      </c>
      <c r="AE3285">
        <v>0</v>
      </c>
      <c r="AF3285">
        <v>0</v>
      </c>
      <c r="AH3285">
        <v>0</v>
      </c>
      <c r="AI3285">
        <v>1</v>
      </c>
      <c r="AJ3285">
        <v>0</v>
      </c>
      <c r="AK3285">
        <v>0</v>
      </c>
      <c r="AL3285">
        <v>0</v>
      </c>
      <c r="AM3285">
        <v>0</v>
      </c>
      <c r="AN3285">
        <v>1</v>
      </c>
      <c r="AO3285">
        <v>0</v>
      </c>
      <c r="AP3285">
        <v>0</v>
      </c>
      <c r="AQ3285">
        <v>0</v>
      </c>
      <c r="AU3285">
        <v>0</v>
      </c>
      <c r="AV3285">
        <v>0</v>
      </c>
      <c r="AW3285">
        <v>0</v>
      </c>
    </row>
    <row r="3286" spans="1:49" x14ac:dyDescent="0.25">
      <c r="A3286" t="str">
        <f>"3282"</f>
        <v>3282</v>
      </c>
      <c r="B3286" t="str">
        <f t="shared" si="187"/>
        <v>1</v>
      </c>
      <c r="C3286" t="str">
        <f t="shared" si="189"/>
        <v>144</v>
      </c>
      <c r="D3286" t="str">
        <f>"5"</f>
        <v>5</v>
      </c>
      <c r="E3286" t="str">
        <f>"1-144-5"</f>
        <v>1-144-5</v>
      </c>
      <c r="F3286" t="s">
        <v>83</v>
      </c>
      <c r="G3286" t="s">
        <v>84</v>
      </c>
      <c r="H3286" t="s">
        <v>85</v>
      </c>
      <c r="AC3286">
        <v>1</v>
      </c>
      <c r="AD3286">
        <v>0</v>
      </c>
      <c r="AE3286">
        <v>0</v>
      </c>
      <c r="AF3286">
        <v>0</v>
      </c>
      <c r="AG3286">
        <v>1</v>
      </c>
      <c r="AJ3286">
        <v>0</v>
      </c>
      <c r="AK3286">
        <v>1</v>
      </c>
      <c r="AL3286">
        <v>0</v>
      </c>
      <c r="AM3286">
        <v>0</v>
      </c>
      <c r="AN3286">
        <v>1</v>
      </c>
      <c r="AO3286">
        <v>1</v>
      </c>
      <c r="AP3286">
        <v>1</v>
      </c>
      <c r="AQ3286">
        <v>1</v>
      </c>
      <c r="AR3286">
        <v>1</v>
      </c>
      <c r="AS3286">
        <v>1</v>
      </c>
      <c r="AT3286">
        <v>0</v>
      </c>
      <c r="AV3286">
        <v>1</v>
      </c>
      <c r="AW3286">
        <v>1</v>
      </c>
    </row>
    <row r="3287" spans="1:49" x14ac:dyDescent="0.25">
      <c r="A3287" t="str">
        <f>"3283"</f>
        <v>3283</v>
      </c>
      <c r="B3287" t="str">
        <f t="shared" si="187"/>
        <v>1</v>
      </c>
      <c r="C3287" t="str">
        <f t="shared" si="189"/>
        <v>144</v>
      </c>
      <c r="D3287" t="str">
        <f>"21"</f>
        <v>21</v>
      </c>
      <c r="E3287" t="str">
        <f>"1-144-21"</f>
        <v>1-144-21</v>
      </c>
      <c r="F3287" t="s">
        <v>83</v>
      </c>
      <c r="G3287" t="s">
        <v>84</v>
      </c>
      <c r="H3287" t="s">
        <v>85</v>
      </c>
      <c r="AC3287">
        <v>0</v>
      </c>
      <c r="AD3287">
        <v>1</v>
      </c>
      <c r="AE3287">
        <v>0</v>
      </c>
      <c r="AF3287">
        <v>0</v>
      </c>
      <c r="AG3287">
        <v>1</v>
      </c>
      <c r="AJ3287">
        <v>0</v>
      </c>
      <c r="AK3287">
        <v>1</v>
      </c>
      <c r="AL3287">
        <v>0</v>
      </c>
      <c r="AM3287">
        <v>0</v>
      </c>
      <c r="AN3287">
        <v>1</v>
      </c>
      <c r="AO3287">
        <v>1</v>
      </c>
      <c r="AP3287">
        <v>1</v>
      </c>
      <c r="AQ3287">
        <v>1</v>
      </c>
      <c r="AR3287">
        <v>1</v>
      </c>
      <c r="AS3287">
        <v>0</v>
      </c>
      <c r="AT3287">
        <v>1</v>
      </c>
      <c r="AV3287">
        <v>1</v>
      </c>
      <c r="AW3287">
        <v>1</v>
      </c>
    </row>
    <row r="3288" spans="1:49" x14ac:dyDescent="0.25">
      <c r="A3288" t="str">
        <f>"3284"</f>
        <v>3284</v>
      </c>
      <c r="B3288" t="str">
        <f t="shared" si="187"/>
        <v>1</v>
      </c>
      <c r="C3288" t="str">
        <f t="shared" si="189"/>
        <v>144</v>
      </c>
      <c r="D3288" t="str">
        <f>"12"</f>
        <v>12</v>
      </c>
      <c r="E3288" t="str">
        <f>"1-144-12"</f>
        <v>1-144-12</v>
      </c>
      <c r="F3288" t="s">
        <v>83</v>
      </c>
      <c r="G3288" t="s">
        <v>86</v>
      </c>
      <c r="H3288" t="s">
        <v>87</v>
      </c>
      <c r="AC3288">
        <v>0</v>
      </c>
      <c r="AD3288">
        <v>0</v>
      </c>
      <c r="AE3288">
        <v>0</v>
      </c>
      <c r="AF3288">
        <v>0</v>
      </c>
      <c r="AH3288">
        <v>0</v>
      </c>
      <c r="AI3288">
        <v>1</v>
      </c>
      <c r="AJ3288">
        <v>1</v>
      </c>
      <c r="AK3288">
        <v>0</v>
      </c>
      <c r="AL3288">
        <v>0</v>
      </c>
      <c r="AM3288">
        <v>0</v>
      </c>
      <c r="AN3288">
        <v>0</v>
      </c>
      <c r="AO3288">
        <v>0</v>
      </c>
      <c r="AP3288">
        <v>0</v>
      </c>
      <c r="AQ3288">
        <v>0</v>
      </c>
      <c r="AU3288">
        <v>0</v>
      </c>
      <c r="AV3288">
        <v>0</v>
      </c>
      <c r="AW3288">
        <v>0</v>
      </c>
    </row>
    <row r="3289" spans="1:49" x14ac:dyDescent="0.25">
      <c r="A3289" t="str">
        <f>"3285"</f>
        <v>3285</v>
      </c>
      <c r="B3289" t="str">
        <f t="shared" si="187"/>
        <v>1</v>
      </c>
      <c r="C3289" t="str">
        <f t="shared" si="189"/>
        <v>144</v>
      </c>
      <c r="D3289" t="str">
        <f>"4"</f>
        <v>4</v>
      </c>
      <c r="E3289" t="str">
        <f>"1-144-4"</f>
        <v>1-144-4</v>
      </c>
      <c r="F3289" t="s">
        <v>83</v>
      </c>
      <c r="G3289" t="s">
        <v>84</v>
      </c>
      <c r="H3289" t="s">
        <v>85</v>
      </c>
      <c r="AC3289">
        <v>0</v>
      </c>
      <c r="AD3289">
        <v>1</v>
      </c>
      <c r="AE3289">
        <v>0</v>
      </c>
      <c r="AF3289">
        <v>0</v>
      </c>
      <c r="AG3289">
        <v>1</v>
      </c>
      <c r="AJ3289">
        <v>0</v>
      </c>
      <c r="AK3289">
        <v>1</v>
      </c>
      <c r="AL3289">
        <v>0</v>
      </c>
      <c r="AM3289">
        <v>0</v>
      </c>
      <c r="AN3289">
        <v>1</v>
      </c>
      <c r="AO3289">
        <v>1</v>
      </c>
      <c r="AP3289">
        <v>1</v>
      </c>
      <c r="AQ3289">
        <v>1</v>
      </c>
      <c r="AR3289">
        <v>1</v>
      </c>
      <c r="AS3289">
        <v>0</v>
      </c>
      <c r="AT3289">
        <v>1</v>
      </c>
      <c r="AV3289">
        <v>1</v>
      </c>
      <c r="AW3289">
        <v>1</v>
      </c>
    </row>
    <row r="3290" spans="1:49" x14ac:dyDescent="0.25">
      <c r="A3290" t="str">
        <f>"3286"</f>
        <v>3286</v>
      </c>
      <c r="B3290" t="str">
        <f t="shared" si="187"/>
        <v>1</v>
      </c>
      <c r="C3290" t="str">
        <f t="shared" si="189"/>
        <v>144</v>
      </c>
      <c r="D3290" t="str">
        <f>"17"</f>
        <v>17</v>
      </c>
      <c r="E3290" t="str">
        <f>"1-144-17"</f>
        <v>1-144-17</v>
      </c>
      <c r="F3290" t="s">
        <v>83</v>
      </c>
      <c r="G3290" t="s">
        <v>84</v>
      </c>
      <c r="H3290" t="s">
        <v>85</v>
      </c>
      <c r="AC3290">
        <v>0</v>
      </c>
      <c r="AD3290">
        <v>1</v>
      </c>
      <c r="AE3290">
        <v>0</v>
      </c>
      <c r="AF3290">
        <v>0</v>
      </c>
      <c r="AG3290">
        <v>1</v>
      </c>
      <c r="AJ3290">
        <v>0</v>
      </c>
      <c r="AK3290">
        <v>1</v>
      </c>
      <c r="AL3290">
        <v>0</v>
      </c>
      <c r="AM3290">
        <v>0</v>
      </c>
      <c r="AN3290">
        <v>1</v>
      </c>
      <c r="AO3290">
        <v>1</v>
      </c>
      <c r="AP3290">
        <v>1</v>
      </c>
      <c r="AQ3290">
        <v>1</v>
      </c>
      <c r="AR3290">
        <v>1</v>
      </c>
      <c r="AS3290">
        <v>0</v>
      </c>
      <c r="AT3290">
        <v>1</v>
      </c>
      <c r="AV3290">
        <v>0</v>
      </c>
      <c r="AW3290">
        <v>1</v>
      </c>
    </row>
    <row r="3291" spans="1:49" x14ac:dyDescent="0.25">
      <c r="A3291" t="str">
        <f>"3287"</f>
        <v>3287</v>
      </c>
      <c r="B3291" t="str">
        <f t="shared" si="187"/>
        <v>1</v>
      </c>
      <c r="C3291" t="str">
        <f t="shared" si="189"/>
        <v>144</v>
      </c>
      <c r="D3291" t="str">
        <f>"6"</f>
        <v>6</v>
      </c>
      <c r="E3291" t="str">
        <f>"1-144-6"</f>
        <v>1-144-6</v>
      </c>
      <c r="F3291" t="s">
        <v>83</v>
      </c>
      <c r="G3291" t="s">
        <v>84</v>
      </c>
      <c r="H3291" t="s">
        <v>85</v>
      </c>
      <c r="AC3291">
        <v>0</v>
      </c>
      <c r="AD3291">
        <v>1</v>
      </c>
      <c r="AE3291">
        <v>0</v>
      </c>
      <c r="AF3291">
        <v>0</v>
      </c>
      <c r="AG3291">
        <v>0</v>
      </c>
      <c r="AJ3291">
        <v>0</v>
      </c>
      <c r="AK3291">
        <v>1</v>
      </c>
      <c r="AL3291">
        <v>0</v>
      </c>
      <c r="AM3291">
        <v>1</v>
      </c>
      <c r="AN3291">
        <v>0</v>
      </c>
      <c r="AO3291">
        <v>1</v>
      </c>
      <c r="AP3291">
        <v>1</v>
      </c>
      <c r="AQ3291">
        <v>1</v>
      </c>
      <c r="AR3291">
        <v>1</v>
      </c>
      <c r="AS3291">
        <v>0</v>
      </c>
      <c r="AT3291">
        <v>1</v>
      </c>
      <c r="AV3291">
        <v>1</v>
      </c>
      <c r="AW3291">
        <v>1</v>
      </c>
    </row>
    <row r="3292" spans="1:49" x14ac:dyDescent="0.25">
      <c r="A3292" t="str">
        <f>"3288"</f>
        <v>3288</v>
      </c>
      <c r="B3292" t="str">
        <f t="shared" si="187"/>
        <v>1</v>
      </c>
      <c r="C3292" t="str">
        <f t="shared" si="189"/>
        <v>144</v>
      </c>
      <c r="D3292" t="str">
        <f>"18"</f>
        <v>18</v>
      </c>
      <c r="E3292" t="str">
        <f>"1-144-18"</f>
        <v>1-144-18</v>
      </c>
      <c r="F3292" t="s">
        <v>83</v>
      </c>
      <c r="G3292" t="s">
        <v>84</v>
      </c>
      <c r="H3292" t="s">
        <v>85</v>
      </c>
      <c r="AC3292">
        <v>1</v>
      </c>
      <c r="AD3292">
        <v>0</v>
      </c>
      <c r="AE3292">
        <v>0</v>
      </c>
      <c r="AF3292">
        <v>0</v>
      </c>
      <c r="AG3292">
        <v>1</v>
      </c>
      <c r="AJ3292">
        <v>0</v>
      </c>
      <c r="AK3292">
        <v>1</v>
      </c>
      <c r="AL3292">
        <v>1</v>
      </c>
      <c r="AM3292">
        <v>0</v>
      </c>
      <c r="AN3292">
        <v>0</v>
      </c>
      <c r="AO3292">
        <v>1</v>
      </c>
      <c r="AP3292">
        <v>1</v>
      </c>
      <c r="AQ3292">
        <v>1</v>
      </c>
      <c r="AR3292">
        <v>1</v>
      </c>
      <c r="AS3292">
        <v>0</v>
      </c>
      <c r="AT3292">
        <v>1</v>
      </c>
      <c r="AV3292">
        <v>1</v>
      </c>
      <c r="AW3292">
        <v>1</v>
      </c>
    </row>
    <row r="3293" spans="1:49" x14ac:dyDescent="0.25">
      <c r="A3293" t="str">
        <f>"3289"</f>
        <v>3289</v>
      </c>
      <c r="B3293" t="str">
        <f t="shared" si="187"/>
        <v>1</v>
      </c>
      <c r="C3293" t="str">
        <f t="shared" si="189"/>
        <v>144</v>
      </c>
      <c r="D3293" t="str">
        <f>"3"</f>
        <v>3</v>
      </c>
      <c r="E3293" t="str">
        <f>"1-144-3"</f>
        <v>1-144-3</v>
      </c>
      <c r="F3293" t="s">
        <v>83</v>
      </c>
      <c r="G3293" t="s">
        <v>86</v>
      </c>
      <c r="H3293" t="s">
        <v>87</v>
      </c>
      <c r="AC3293">
        <v>0</v>
      </c>
      <c r="AD3293">
        <v>1</v>
      </c>
      <c r="AE3293">
        <v>0</v>
      </c>
      <c r="AF3293">
        <v>0</v>
      </c>
      <c r="AH3293">
        <v>0</v>
      </c>
      <c r="AI3293">
        <v>1</v>
      </c>
      <c r="AJ3293">
        <v>0</v>
      </c>
      <c r="AK3293">
        <v>1</v>
      </c>
      <c r="AL3293">
        <v>0</v>
      </c>
      <c r="AM3293">
        <v>0</v>
      </c>
      <c r="AN3293">
        <v>1</v>
      </c>
      <c r="AO3293">
        <v>1</v>
      </c>
      <c r="AP3293">
        <v>1</v>
      </c>
      <c r="AQ3293">
        <v>0</v>
      </c>
      <c r="AU3293">
        <v>1</v>
      </c>
      <c r="AV3293">
        <v>1</v>
      </c>
      <c r="AW3293">
        <v>1</v>
      </c>
    </row>
    <row r="3294" spans="1:49" x14ac:dyDescent="0.25">
      <c r="A3294" t="str">
        <f>"3290"</f>
        <v>3290</v>
      </c>
      <c r="B3294" t="str">
        <f t="shared" ref="B3294:B3357" si="190">"1"</f>
        <v>1</v>
      </c>
      <c r="C3294" t="str">
        <f t="shared" si="189"/>
        <v>144</v>
      </c>
      <c r="D3294" t="str">
        <f>"1"</f>
        <v>1</v>
      </c>
      <c r="E3294" t="str">
        <f>"1-144-1"</f>
        <v>1-144-1</v>
      </c>
      <c r="F3294" t="s">
        <v>83</v>
      </c>
      <c r="G3294" t="s">
        <v>86</v>
      </c>
      <c r="H3294" t="s">
        <v>87</v>
      </c>
      <c r="AC3294">
        <v>1</v>
      </c>
      <c r="AD3294">
        <v>0</v>
      </c>
      <c r="AE3294">
        <v>0</v>
      </c>
      <c r="AF3294">
        <v>0</v>
      </c>
      <c r="AH3294">
        <v>1</v>
      </c>
      <c r="AI3294">
        <v>0</v>
      </c>
      <c r="AJ3294">
        <v>0</v>
      </c>
      <c r="AK3294">
        <v>1</v>
      </c>
      <c r="AL3294">
        <v>0</v>
      </c>
      <c r="AM3294">
        <v>0</v>
      </c>
      <c r="AN3294">
        <v>1</v>
      </c>
      <c r="AO3294">
        <v>1</v>
      </c>
      <c r="AP3294">
        <v>1</v>
      </c>
      <c r="AQ3294">
        <v>1</v>
      </c>
      <c r="AU3294">
        <v>1</v>
      </c>
      <c r="AV3294">
        <v>1</v>
      </c>
      <c r="AW3294">
        <v>1</v>
      </c>
    </row>
    <row r="3295" spans="1:49" x14ac:dyDescent="0.25">
      <c r="A3295" t="str">
        <f>"3291"</f>
        <v>3291</v>
      </c>
      <c r="B3295" t="str">
        <f t="shared" si="190"/>
        <v>1</v>
      </c>
      <c r="C3295" t="str">
        <f t="shared" ref="C3295:C3319" si="191">"145"</f>
        <v>145</v>
      </c>
      <c r="D3295" t="str">
        <f>"21"</f>
        <v>21</v>
      </c>
      <c r="E3295" t="str">
        <f>"1-145-21"</f>
        <v>1-145-21</v>
      </c>
      <c r="F3295" t="s">
        <v>83</v>
      </c>
      <c r="G3295" t="s">
        <v>86</v>
      </c>
      <c r="H3295" t="s">
        <v>87</v>
      </c>
      <c r="AC3295">
        <v>0</v>
      </c>
      <c r="AD3295">
        <v>1</v>
      </c>
      <c r="AE3295">
        <v>0</v>
      </c>
      <c r="AF3295">
        <v>0</v>
      </c>
      <c r="AH3295">
        <v>0</v>
      </c>
      <c r="AI3295">
        <v>1</v>
      </c>
      <c r="AJ3295">
        <v>0</v>
      </c>
      <c r="AK3295">
        <v>0</v>
      </c>
      <c r="AL3295">
        <v>0</v>
      </c>
      <c r="AM3295">
        <v>1</v>
      </c>
      <c r="AN3295">
        <v>0</v>
      </c>
      <c r="AO3295">
        <v>0</v>
      </c>
      <c r="AP3295">
        <v>0</v>
      </c>
      <c r="AQ3295">
        <v>0</v>
      </c>
      <c r="AU3295">
        <v>0</v>
      </c>
      <c r="AV3295">
        <v>0</v>
      </c>
      <c r="AW3295">
        <v>0</v>
      </c>
    </row>
    <row r="3296" spans="1:49" x14ac:dyDescent="0.25">
      <c r="A3296" t="str">
        <f>"3292"</f>
        <v>3292</v>
      </c>
      <c r="B3296" t="str">
        <f t="shared" si="190"/>
        <v>1</v>
      </c>
      <c r="C3296" t="str">
        <f t="shared" si="191"/>
        <v>145</v>
      </c>
      <c r="D3296" t="str">
        <f>"20"</f>
        <v>20</v>
      </c>
      <c r="E3296" t="str">
        <f>"1-145-20"</f>
        <v>1-145-20</v>
      </c>
      <c r="F3296" t="s">
        <v>83</v>
      </c>
      <c r="G3296" t="s">
        <v>84</v>
      </c>
      <c r="H3296" t="s">
        <v>85</v>
      </c>
      <c r="AC3296">
        <v>0</v>
      </c>
      <c r="AD3296">
        <v>1</v>
      </c>
      <c r="AE3296">
        <v>0</v>
      </c>
      <c r="AF3296">
        <v>0</v>
      </c>
      <c r="AG3296">
        <v>1</v>
      </c>
      <c r="AJ3296">
        <v>1</v>
      </c>
      <c r="AK3296">
        <v>0</v>
      </c>
      <c r="AL3296">
        <v>1</v>
      </c>
      <c r="AM3296">
        <v>0</v>
      </c>
      <c r="AN3296">
        <v>0</v>
      </c>
      <c r="AO3296">
        <v>1</v>
      </c>
      <c r="AP3296">
        <v>1</v>
      </c>
      <c r="AQ3296">
        <v>1</v>
      </c>
      <c r="AR3296">
        <v>1</v>
      </c>
      <c r="AS3296">
        <v>1</v>
      </c>
      <c r="AT3296">
        <v>0</v>
      </c>
      <c r="AV3296">
        <v>1</v>
      </c>
      <c r="AW3296">
        <v>1</v>
      </c>
    </row>
    <row r="3297" spans="1:49" x14ac:dyDescent="0.25">
      <c r="A3297" t="str">
        <f>"3293"</f>
        <v>3293</v>
      </c>
      <c r="B3297" t="str">
        <f t="shared" si="190"/>
        <v>1</v>
      </c>
      <c r="C3297" t="str">
        <f t="shared" si="191"/>
        <v>145</v>
      </c>
      <c r="D3297" t="str">
        <f>"15"</f>
        <v>15</v>
      </c>
      <c r="E3297" t="str">
        <f>"1-145-15"</f>
        <v>1-145-15</v>
      </c>
      <c r="F3297" t="s">
        <v>83</v>
      </c>
      <c r="G3297" t="s">
        <v>86</v>
      </c>
      <c r="H3297" t="s">
        <v>87</v>
      </c>
      <c r="AC3297">
        <v>0</v>
      </c>
      <c r="AD3297">
        <v>1</v>
      </c>
      <c r="AE3297">
        <v>0</v>
      </c>
      <c r="AF3297">
        <v>0</v>
      </c>
      <c r="AH3297">
        <v>0</v>
      </c>
      <c r="AI3297">
        <v>1</v>
      </c>
      <c r="AJ3297">
        <v>0</v>
      </c>
      <c r="AK3297">
        <v>1</v>
      </c>
      <c r="AL3297">
        <v>0</v>
      </c>
      <c r="AM3297">
        <v>0</v>
      </c>
      <c r="AN3297">
        <v>1</v>
      </c>
      <c r="AO3297">
        <v>0</v>
      </c>
      <c r="AP3297">
        <v>0</v>
      </c>
      <c r="AQ3297">
        <v>0</v>
      </c>
      <c r="AU3297">
        <v>0</v>
      </c>
      <c r="AV3297">
        <v>0</v>
      </c>
      <c r="AW3297">
        <v>0</v>
      </c>
    </row>
    <row r="3298" spans="1:49" x14ac:dyDescent="0.25">
      <c r="A3298" t="str">
        <f>"3294"</f>
        <v>3294</v>
      </c>
      <c r="B3298" t="str">
        <f t="shared" si="190"/>
        <v>1</v>
      </c>
      <c r="C3298" t="str">
        <f t="shared" si="191"/>
        <v>145</v>
      </c>
      <c r="D3298" t="str">
        <f>"14"</f>
        <v>14</v>
      </c>
      <c r="E3298" t="str">
        <f>"1-145-14"</f>
        <v>1-145-14</v>
      </c>
      <c r="F3298" t="s">
        <v>83</v>
      </c>
      <c r="G3298" t="s">
        <v>84</v>
      </c>
      <c r="H3298" t="s">
        <v>85</v>
      </c>
      <c r="AC3298">
        <v>1</v>
      </c>
      <c r="AD3298">
        <v>0</v>
      </c>
      <c r="AE3298">
        <v>0</v>
      </c>
      <c r="AF3298">
        <v>0</v>
      </c>
      <c r="AG3298">
        <v>1</v>
      </c>
      <c r="AJ3298">
        <v>1</v>
      </c>
      <c r="AK3298">
        <v>0</v>
      </c>
      <c r="AL3298">
        <v>0</v>
      </c>
      <c r="AM3298">
        <v>1</v>
      </c>
      <c r="AN3298">
        <v>0</v>
      </c>
      <c r="AO3298">
        <v>1</v>
      </c>
      <c r="AP3298">
        <v>1</v>
      </c>
      <c r="AQ3298">
        <v>1</v>
      </c>
      <c r="AR3298">
        <v>1</v>
      </c>
      <c r="AS3298">
        <v>1</v>
      </c>
      <c r="AT3298">
        <v>0</v>
      </c>
      <c r="AV3298">
        <v>1</v>
      </c>
      <c r="AW3298">
        <v>0</v>
      </c>
    </row>
    <row r="3299" spans="1:49" x14ac:dyDescent="0.25">
      <c r="A3299" t="str">
        <f>"3295"</f>
        <v>3295</v>
      </c>
      <c r="B3299" t="str">
        <f t="shared" si="190"/>
        <v>1</v>
      </c>
      <c r="C3299" t="str">
        <f t="shared" si="191"/>
        <v>145</v>
      </c>
      <c r="D3299" t="str">
        <f>"9"</f>
        <v>9</v>
      </c>
      <c r="E3299" t="str">
        <f>"1-145-9"</f>
        <v>1-145-9</v>
      </c>
      <c r="F3299" t="s">
        <v>83</v>
      </c>
      <c r="G3299" t="s">
        <v>84</v>
      </c>
      <c r="H3299" t="s">
        <v>85</v>
      </c>
      <c r="AC3299">
        <v>0</v>
      </c>
      <c r="AD3299">
        <v>1</v>
      </c>
      <c r="AE3299">
        <v>0</v>
      </c>
      <c r="AF3299">
        <v>0</v>
      </c>
      <c r="AG3299">
        <v>0</v>
      </c>
      <c r="AJ3299">
        <v>0</v>
      </c>
      <c r="AK3299">
        <v>1</v>
      </c>
      <c r="AL3299">
        <v>1</v>
      </c>
      <c r="AM3299">
        <v>0</v>
      </c>
      <c r="AN3299">
        <v>0</v>
      </c>
      <c r="AO3299">
        <v>0</v>
      </c>
      <c r="AP3299">
        <v>0</v>
      </c>
      <c r="AQ3299">
        <v>0</v>
      </c>
      <c r="AR3299">
        <v>0</v>
      </c>
      <c r="AS3299">
        <v>0</v>
      </c>
      <c r="AT3299">
        <v>0</v>
      </c>
      <c r="AV3299">
        <v>0</v>
      </c>
      <c r="AW3299">
        <v>0</v>
      </c>
    </row>
    <row r="3300" spans="1:49" x14ac:dyDescent="0.25">
      <c r="A3300" t="str">
        <f>"3296"</f>
        <v>3296</v>
      </c>
      <c r="B3300" t="str">
        <f t="shared" si="190"/>
        <v>1</v>
      </c>
      <c r="C3300" t="str">
        <f t="shared" si="191"/>
        <v>145</v>
      </c>
      <c r="D3300" t="str">
        <f>"8"</f>
        <v>8</v>
      </c>
      <c r="E3300" t="str">
        <f>"1-145-8"</f>
        <v>1-145-8</v>
      </c>
      <c r="F3300" t="s">
        <v>83</v>
      </c>
      <c r="G3300" t="s">
        <v>84</v>
      </c>
      <c r="H3300" t="s">
        <v>85</v>
      </c>
      <c r="AC3300">
        <v>0</v>
      </c>
      <c r="AD3300">
        <v>1</v>
      </c>
      <c r="AE3300">
        <v>0</v>
      </c>
      <c r="AF3300">
        <v>0</v>
      </c>
      <c r="AG3300">
        <v>0</v>
      </c>
      <c r="AJ3300">
        <v>0</v>
      </c>
      <c r="AK3300">
        <v>1</v>
      </c>
      <c r="AL3300">
        <v>0</v>
      </c>
      <c r="AM3300">
        <v>0</v>
      </c>
      <c r="AN3300">
        <v>1</v>
      </c>
      <c r="AO3300">
        <v>0</v>
      </c>
      <c r="AP3300">
        <v>0</v>
      </c>
      <c r="AQ3300">
        <v>0</v>
      </c>
      <c r="AR3300">
        <v>0</v>
      </c>
      <c r="AS3300">
        <v>0</v>
      </c>
      <c r="AT3300">
        <v>1</v>
      </c>
      <c r="AV3300">
        <v>0</v>
      </c>
      <c r="AW3300">
        <v>0</v>
      </c>
    </row>
    <row r="3301" spans="1:49" x14ac:dyDescent="0.25">
      <c r="A3301" t="str">
        <f>"3297"</f>
        <v>3297</v>
      </c>
      <c r="B3301" t="str">
        <f t="shared" si="190"/>
        <v>1</v>
      </c>
      <c r="C3301" t="str">
        <f t="shared" si="191"/>
        <v>145</v>
      </c>
      <c r="D3301" t="str">
        <f>"1"</f>
        <v>1</v>
      </c>
      <c r="E3301" t="str">
        <f>"1-145-1"</f>
        <v>1-145-1</v>
      </c>
      <c r="F3301" t="s">
        <v>83</v>
      </c>
      <c r="G3301" t="s">
        <v>86</v>
      </c>
      <c r="H3301" t="s">
        <v>87</v>
      </c>
      <c r="AC3301">
        <v>0</v>
      </c>
      <c r="AD3301">
        <v>1</v>
      </c>
      <c r="AE3301">
        <v>0</v>
      </c>
      <c r="AF3301">
        <v>0</v>
      </c>
      <c r="AH3301">
        <v>1</v>
      </c>
      <c r="AI3301">
        <v>0</v>
      </c>
      <c r="AJ3301">
        <v>1</v>
      </c>
      <c r="AK3301">
        <v>0</v>
      </c>
      <c r="AL3301">
        <v>1</v>
      </c>
      <c r="AM3301">
        <v>0</v>
      </c>
      <c r="AN3301">
        <v>0</v>
      </c>
      <c r="AO3301">
        <v>1</v>
      </c>
      <c r="AP3301">
        <v>1</v>
      </c>
      <c r="AQ3301">
        <v>1</v>
      </c>
      <c r="AU3301">
        <v>1</v>
      </c>
      <c r="AV3301">
        <v>1</v>
      </c>
      <c r="AW3301">
        <v>1</v>
      </c>
    </row>
    <row r="3302" spans="1:49" x14ac:dyDescent="0.25">
      <c r="A3302" t="str">
        <f>"3298"</f>
        <v>3298</v>
      </c>
      <c r="B3302" t="str">
        <f t="shared" si="190"/>
        <v>1</v>
      </c>
      <c r="C3302" t="str">
        <f t="shared" si="191"/>
        <v>145</v>
      </c>
      <c r="D3302" t="str">
        <f>"17"</f>
        <v>17</v>
      </c>
      <c r="E3302" t="str">
        <f>"1-145-17"</f>
        <v>1-145-17</v>
      </c>
      <c r="F3302" t="s">
        <v>83</v>
      </c>
      <c r="G3302" t="s">
        <v>84</v>
      </c>
      <c r="H3302" t="s">
        <v>85</v>
      </c>
      <c r="AC3302">
        <v>0</v>
      </c>
      <c r="AD3302">
        <v>1</v>
      </c>
      <c r="AE3302">
        <v>0</v>
      </c>
      <c r="AF3302">
        <v>0</v>
      </c>
      <c r="AG3302">
        <v>1</v>
      </c>
      <c r="AJ3302">
        <v>0</v>
      </c>
      <c r="AK3302">
        <v>1</v>
      </c>
      <c r="AL3302">
        <v>0</v>
      </c>
      <c r="AM3302">
        <v>0</v>
      </c>
      <c r="AN3302">
        <v>1</v>
      </c>
      <c r="AO3302">
        <v>1</v>
      </c>
      <c r="AP3302">
        <v>1</v>
      </c>
      <c r="AQ3302">
        <v>1</v>
      </c>
      <c r="AR3302">
        <v>1</v>
      </c>
      <c r="AS3302">
        <v>1</v>
      </c>
      <c r="AT3302">
        <v>0</v>
      </c>
      <c r="AV3302">
        <v>1</v>
      </c>
      <c r="AW3302">
        <v>1</v>
      </c>
    </row>
    <row r="3303" spans="1:49" x14ac:dyDescent="0.25">
      <c r="A3303" t="str">
        <f>"3299"</f>
        <v>3299</v>
      </c>
      <c r="B3303" t="str">
        <f t="shared" si="190"/>
        <v>1</v>
      </c>
      <c r="C3303" t="str">
        <f t="shared" si="191"/>
        <v>145</v>
      </c>
      <c r="D3303" t="str">
        <f>"10"</f>
        <v>10</v>
      </c>
      <c r="E3303" t="str">
        <f>"1-145-10"</f>
        <v>1-145-10</v>
      </c>
      <c r="F3303" t="s">
        <v>83</v>
      </c>
      <c r="G3303" t="s">
        <v>84</v>
      </c>
      <c r="H3303" t="s">
        <v>85</v>
      </c>
      <c r="AC3303">
        <v>1</v>
      </c>
      <c r="AD3303">
        <v>0</v>
      </c>
      <c r="AE3303">
        <v>0</v>
      </c>
      <c r="AF3303">
        <v>0</v>
      </c>
      <c r="AG3303">
        <v>1</v>
      </c>
      <c r="AJ3303">
        <v>0</v>
      </c>
      <c r="AK3303">
        <v>0</v>
      </c>
      <c r="AL3303">
        <v>0</v>
      </c>
      <c r="AM3303">
        <v>0</v>
      </c>
      <c r="AN3303">
        <v>1</v>
      </c>
      <c r="AO3303">
        <v>1</v>
      </c>
      <c r="AP3303">
        <v>1</v>
      </c>
      <c r="AQ3303">
        <v>1</v>
      </c>
      <c r="AR3303">
        <v>1</v>
      </c>
      <c r="AS3303">
        <v>1</v>
      </c>
      <c r="AT3303">
        <v>0</v>
      </c>
      <c r="AV3303">
        <v>1</v>
      </c>
      <c r="AW3303">
        <v>1</v>
      </c>
    </row>
    <row r="3304" spans="1:49" x14ac:dyDescent="0.25">
      <c r="A3304" t="str">
        <f>"3300"</f>
        <v>3300</v>
      </c>
      <c r="B3304" t="str">
        <f t="shared" si="190"/>
        <v>1</v>
      </c>
      <c r="C3304" t="str">
        <f t="shared" si="191"/>
        <v>145</v>
      </c>
      <c r="D3304" t="str">
        <f>"6"</f>
        <v>6</v>
      </c>
      <c r="E3304" t="str">
        <f>"1-145-6"</f>
        <v>1-145-6</v>
      </c>
      <c r="F3304" t="s">
        <v>83</v>
      </c>
      <c r="G3304" t="s">
        <v>84</v>
      </c>
      <c r="H3304" t="s">
        <v>85</v>
      </c>
      <c r="AC3304">
        <v>0</v>
      </c>
      <c r="AD3304">
        <v>1</v>
      </c>
      <c r="AE3304">
        <v>0</v>
      </c>
      <c r="AF3304">
        <v>0</v>
      </c>
      <c r="AG3304">
        <v>1</v>
      </c>
      <c r="AJ3304">
        <v>0</v>
      </c>
      <c r="AK3304">
        <v>1</v>
      </c>
      <c r="AL3304">
        <v>0</v>
      </c>
      <c r="AM3304">
        <v>0</v>
      </c>
      <c r="AN3304">
        <v>1</v>
      </c>
      <c r="AO3304">
        <v>1</v>
      </c>
      <c r="AP3304">
        <v>1</v>
      </c>
      <c r="AQ3304">
        <v>1</v>
      </c>
      <c r="AR3304">
        <v>1</v>
      </c>
      <c r="AS3304">
        <v>1</v>
      </c>
      <c r="AT3304">
        <v>0</v>
      </c>
      <c r="AV3304">
        <v>1</v>
      </c>
      <c r="AW3304">
        <v>1</v>
      </c>
    </row>
    <row r="3305" spans="1:49" x14ac:dyDescent="0.25">
      <c r="A3305" t="str">
        <f>"3301"</f>
        <v>3301</v>
      </c>
      <c r="B3305" t="str">
        <f t="shared" si="190"/>
        <v>1</v>
      </c>
      <c r="C3305" t="str">
        <f t="shared" si="191"/>
        <v>145</v>
      </c>
      <c r="D3305" t="str">
        <f>"25"</f>
        <v>25</v>
      </c>
      <c r="E3305" t="str">
        <f>"1-145-25"</f>
        <v>1-145-25</v>
      </c>
      <c r="F3305" t="s">
        <v>83</v>
      </c>
      <c r="G3305" t="s">
        <v>86</v>
      </c>
      <c r="H3305" t="s">
        <v>87</v>
      </c>
      <c r="AC3305">
        <v>0</v>
      </c>
      <c r="AD3305">
        <v>1</v>
      </c>
      <c r="AE3305">
        <v>0</v>
      </c>
      <c r="AF3305">
        <v>0</v>
      </c>
      <c r="AH3305">
        <v>0</v>
      </c>
      <c r="AI3305">
        <v>1</v>
      </c>
      <c r="AJ3305">
        <v>0</v>
      </c>
      <c r="AK3305">
        <v>1</v>
      </c>
      <c r="AL3305">
        <v>0</v>
      </c>
      <c r="AM3305">
        <v>0</v>
      </c>
      <c r="AN3305">
        <v>1</v>
      </c>
      <c r="AO3305">
        <v>0</v>
      </c>
      <c r="AP3305">
        <v>0</v>
      </c>
      <c r="AQ3305">
        <v>0</v>
      </c>
      <c r="AU3305">
        <v>0</v>
      </c>
      <c r="AV3305">
        <v>0</v>
      </c>
      <c r="AW3305">
        <v>1</v>
      </c>
    </row>
    <row r="3306" spans="1:49" x14ac:dyDescent="0.25">
      <c r="A3306" t="str">
        <f>"3302"</f>
        <v>3302</v>
      </c>
      <c r="B3306" t="str">
        <f t="shared" si="190"/>
        <v>1</v>
      </c>
      <c r="C3306" t="str">
        <f t="shared" si="191"/>
        <v>145</v>
      </c>
      <c r="D3306" t="str">
        <f>"24"</f>
        <v>24</v>
      </c>
      <c r="E3306" t="str">
        <f>"1-145-24"</f>
        <v>1-145-24</v>
      </c>
      <c r="F3306" t="s">
        <v>83</v>
      </c>
      <c r="G3306" t="s">
        <v>84</v>
      </c>
      <c r="H3306" t="s">
        <v>85</v>
      </c>
      <c r="AC3306">
        <v>0</v>
      </c>
      <c r="AD3306">
        <v>0</v>
      </c>
      <c r="AE3306">
        <v>0</v>
      </c>
      <c r="AF3306">
        <v>0</v>
      </c>
      <c r="AG3306">
        <v>1</v>
      </c>
      <c r="AJ3306">
        <v>0</v>
      </c>
      <c r="AK3306">
        <v>0</v>
      </c>
      <c r="AL3306">
        <v>0</v>
      </c>
      <c r="AM3306">
        <v>0</v>
      </c>
      <c r="AN3306">
        <v>0</v>
      </c>
      <c r="AO3306">
        <v>1</v>
      </c>
      <c r="AP3306">
        <v>1</v>
      </c>
      <c r="AQ3306">
        <v>1</v>
      </c>
      <c r="AR3306">
        <v>1</v>
      </c>
      <c r="AS3306">
        <v>0</v>
      </c>
      <c r="AT3306">
        <v>0</v>
      </c>
      <c r="AV3306">
        <v>1</v>
      </c>
      <c r="AW3306">
        <v>1</v>
      </c>
    </row>
    <row r="3307" spans="1:49" x14ac:dyDescent="0.25">
      <c r="A3307" t="str">
        <f>"3303"</f>
        <v>3303</v>
      </c>
      <c r="B3307" t="str">
        <f t="shared" si="190"/>
        <v>1</v>
      </c>
      <c r="C3307" t="str">
        <f t="shared" si="191"/>
        <v>145</v>
      </c>
      <c r="D3307" t="str">
        <f>"16"</f>
        <v>16</v>
      </c>
      <c r="E3307" t="str">
        <f>"1-145-16"</f>
        <v>1-145-16</v>
      </c>
      <c r="F3307" t="s">
        <v>83</v>
      </c>
      <c r="G3307" t="s">
        <v>86</v>
      </c>
      <c r="H3307" t="s">
        <v>87</v>
      </c>
      <c r="AC3307">
        <v>0</v>
      </c>
      <c r="AD3307">
        <v>1</v>
      </c>
      <c r="AE3307">
        <v>0</v>
      </c>
      <c r="AF3307">
        <v>0</v>
      </c>
      <c r="AH3307">
        <v>0</v>
      </c>
      <c r="AI3307">
        <v>1</v>
      </c>
      <c r="AJ3307">
        <v>0</v>
      </c>
      <c r="AK3307">
        <v>0</v>
      </c>
      <c r="AL3307">
        <v>0</v>
      </c>
      <c r="AM3307">
        <v>1</v>
      </c>
      <c r="AN3307">
        <v>0</v>
      </c>
      <c r="AO3307">
        <v>0</v>
      </c>
      <c r="AP3307">
        <v>0</v>
      </c>
      <c r="AQ3307">
        <v>0</v>
      </c>
      <c r="AU3307">
        <v>0</v>
      </c>
      <c r="AV3307">
        <v>0</v>
      </c>
      <c r="AW3307">
        <v>0</v>
      </c>
    </row>
    <row r="3308" spans="1:49" x14ac:dyDescent="0.25">
      <c r="A3308" t="str">
        <f>"3304"</f>
        <v>3304</v>
      </c>
      <c r="B3308" t="str">
        <f t="shared" si="190"/>
        <v>1</v>
      </c>
      <c r="C3308" t="str">
        <f t="shared" si="191"/>
        <v>145</v>
      </c>
      <c r="D3308" t="str">
        <f>"11"</f>
        <v>11</v>
      </c>
      <c r="E3308" t="str">
        <f>"1-145-11"</f>
        <v>1-145-11</v>
      </c>
      <c r="F3308" t="s">
        <v>83</v>
      </c>
      <c r="G3308" t="s">
        <v>86</v>
      </c>
      <c r="H3308" t="s">
        <v>87</v>
      </c>
      <c r="AC3308">
        <v>0</v>
      </c>
      <c r="AD3308">
        <v>1</v>
      </c>
      <c r="AE3308">
        <v>0</v>
      </c>
      <c r="AF3308">
        <v>0</v>
      </c>
      <c r="AH3308">
        <v>1</v>
      </c>
      <c r="AI3308">
        <v>0</v>
      </c>
      <c r="AJ3308">
        <v>1</v>
      </c>
      <c r="AK3308">
        <v>0</v>
      </c>
      <c r="AL3308">
        <v>0</v>
      </c>
      <c r="AM3308">
        <v>1</v>
      </c>
      <c r="AN3308">
        <v>0</v>
      </c>
      <c r="AO3308">
        <v>1</v>
      </c>
      <c r="AP3308">
        <v>1</v>
      </c>
      <c r="AQ3308">
        <v>1</v>
      </c>
      <c r="AU3308">
        <v>1</v>
      </c>
      <c r="AV3308">
        <v>1</v>
      </c>
      <c r="AW3308">
        <v>0</v>
      </c>
    </row>
    <row r="3309" spans="1:49" x14ac:dyDescent="0.25">
      <c r="A3309" t="str">
        <f>"3305"</f>
        <v>3305</v>
      </c>
      <c r="B3309" t="str">
        <f t="shared" si="190"/>
        <v>1</v>
      </c>
      <c r="C3309" t="str">
        <f t="shared" si="191"/>
        <v>145</v>
      </c>
      <c r="D3309" t="str">
        <f>"2"</f>
        <v>2</v>
      </c>
      <c r="E3309" t="str">
        <f>"1-145-2"</f>
        <v>1-145-2</v>
      </c>
      <c r="F3309" t="s">
        <v>83</v>
      </c>
      <c r="G3309" t="s">
        <v>84</v>
      </c>
      <c r="H3309" t="s">
        <v>85</v>
      </c>
      <c r="AC3309">
        <v>0</v>
      </c>
      <c r="AD3309">
        <v>1</v>
      </c>
      <c r="AE3309">
        <v>0</v>
      </c>
      <c r="AF3309">
        <v>0</v>
      </c>
      <c r="AG3309">
        <v>1</v>
      </c>
      <c r="AJ3309">
        <v>0</v>
      </c>
      <c r="AK3309">
        <v>1</v>
      </c>
      <c r="AL3309">
        <v>0</v>
      </c>
      <c r="AM3309">
        <v>1</v>
      </c>
      <c r="AN3309">
        <v>0</v>
      </c>
      <c r="AO3309">
        <v>1</v>
      </c>
      <c r="AP3309">
        <v>1</v>
      </c>
      <c r="AQ3309">
        <v>1</v>
      </c>
      <c r="AR3309">
        <v>1</v>
      </c>
      <c r="AS3309">
        <v>0</v>
      </c>
      <c r="AT3309">
        <v>1</v>
      </c>
      <c r="AV3309">
        <v>1</v>
      </c>
      <c r="AW3309">
        <v>0</v>
      </c>
    </row>
    <row r="3310" spans="1:49" x14ac:dyDescent="0.25">
      <c r="A3310" t="str">
        <f>"3306"</f>
        <v>3306</v>
      </c>
      <c r="B3310" t="str">
        <f t="shared" si="190"/>
        <v>1</v>
      </c>
      <c r="C3310" t="str">
        <f t="shared" si="191"/>
        <v>145</v>
      </c>
      <c r="D3310" t="str">
        <f>"23"</f>
        <v>23</v>
      </c>
      <c r="E3310" t="str">
        <f>"1-145-23"</f>
        <v>1-145-23</v>
      </c>
      <c r="F3310" t="s">
        <v>83</v>
      </c>
      <c r="G3310" t="s">
        <v>84</v>
      </c>
      <c r="H3310" t="s">
        <v>85</v>
      </c>
      <c r="AC3310">
        <v>1</v>
      </c>
      <c r="AD3310">
        <v>0</v>
      </c>
      <c r="AE3310">
        <v>0</v>
      </c>
      <c r="AF3310">
        <v>0</v>
      </c>
      <c r="AG3310">
        <v>1</v>
      </c>
      <c r="AJ3310">
        <v>1</v>
      </c>
      <c r="AK3310">
        <v>0</v>
      </c>
      <c r="AL3310">
        <v>1</v>
      </c>
      <c r="AM3310">
        <v>0</v>
      </c>
      <c r="AN3310">
        <v>0</v>
      </c>
      <c r="AO3310">
        <v>1</v>
      </c>
      <c r="AP3310">
        <v>1</v>
      </c>
      <c r="AQ3310">
        <v>1</v>
      </c>
      <c r="AR3310">
        <v>1</v>
      </c>
      <c r="AS3310">
        <v>0</v>
      </c>
      <c r="AT3310">
        <v>1</v>
      </c>
      <c r="AV3310">
        <v>1</v>
      </c>
      <c r="AW3310">
        <v>1</v>
      </c>
    </row>
    <row r="3311" spans="1:49" x14ac:dyDescent="0.25">
      <c r="A3311" t="str">
        <f>"3307"</f>
        <v>3307</v>
      </c>
      <c r="B3311" t="str">
        <f t="shared" si="190"/>
        <v>1</v>
      </c>
      <c r="C3311" t="str">
        <f t="shared" si="191"/>
        <v>145</v>
      </c>
      <c r="D3311" t="str">
        <f>"12"</f>
        <v>12</v>
      </c>
      <c r="E3311" t="str">
        <f>"1-145-12"</f>
        <v>1-145-12</v>
      </c>
      <c r="F3311" t="s">
        <v>83</v>
      </c>
      <c r="G3311" t="s">
        <v>86</v>
      </c>
      <c r="H3311" t="s">
        <v>87</v>
      </c>
      <c r="AC3311">
        <v>0</v>
      </c>
      <c r="AD3311">
        <v>1</v>
      </c>
      <c r="AE3311">
        <v>0</v>
      </c>
      <c r="AF3311">
        <v>0</v>
      </c>
      <c r="AH3311">
        <v>0</v>
      </c>
      <c r="AI3311">
        <v>1</v>
      </c>
      <c r="AJ3311">
        <v>0</v>
      </c>
      <c r="AK3311">
        <v>1</v>
      </c>
      <c r="AL3311">
        <v>0</v>
      </c>
      <c r="AM3311">
        <v>0</v>
      </c>
      <c r="AN3311">
        <v>1</v>
      </c>
      <c r="AO3311">
        <v>1</v>
      </c>
      <c r="AP3311">
        <v>1</v>
      </c>
      <c r="AQ3311">
        <v>1</v>
      </c>
      <c r="AU3311">
        <v>1</v>
      </c>
      <c r="AV3311">
        <v>1</v>
      </c>
      <c r="AW3311">
        <v>1</v>
      </c>
    </row>
    <row r="3312" spans="1:49" x14ac:dyDescent="0.25">
      <c r="A3312" t="str">
        <f>"3308"</f>
        <v>3308</v>
      </c>
      <c r="B3312" t="str">
        <f t="shared" si="190"/>
        <v>1</v>
      </c>
      <c r="C3312" t="str">
        <f t="shared" si="191"/>
        <v>145</v>
      </c>
      <c r="D3312" t="str">
        <f>"5"</f>
        <v>5</v>
      </c>
      <c r="E3312" t="str">
        <f>"1-145-5"</f>
        <v>1-145-5</v>
      </c>
      <c r="F3312" t="s">
        <v>83</v>
      </c>
      <c r="G3312" t="s">
        <v>84</v>
      </c>
      <c r="H3312" t="s">
        <v>85</v>
      </c>
      <c r="AC3312">
        <v>1</v>
      </c>
      <c r="AD3312">
        <v>0</v>
      </c>
      <c r="AE3312">
        <v>0</v>
      </c>
      <c r="AF3312">
        <v>0</v>
      </c>
      <c r="AG3312">
        <v>1</v>
      </c>
      <c r="AJ3312">
        <v>1</v>
      </c>
      <c r="AK3312">
        <v>0</v>
      </c>
      <c r="AL3312">
        <v>0</v>
      </c>
      <c r="AM3312">
        <v>0</v>
      </c>
      <c r="AN3312">
        <v>1</v>
      </c>
      <c r="AO3312">
        <v>1</v>
      </c>
      <c r="AP3312">
        <v>1</v>
      </c>
      <c r="AQ3312">
        <v>1</v>
      </c>
      <c r="AR3312">
        <v>1</v>
      </c>
      <c r="AS3312">
        <v>0</v>
      </c>
      <c r="AT3312">
        <v>1</v>
      </c>
      <c r="AV3312">
        <v>1</v>
      </c>
      <c r="AW3312">
        <v>1</v>
      </c>
    </row>
    <row r="3313" spans="1:49" x14ac:dyDescent="0.25">
      <c r="A3313" t="str">
        <f>"3309"</f>
        <v>3309</v>
      </c>
      <c r="B3313" t="str">
        <f t="shared" si="190"/>
        <v>1</v>
      </c>
      <c r="C3313" t="str">
        <f t="shared" si="191"/>
        <v>145</v>
      </c>
      <c r="D3313" t="str">
        <f>"22"</f>
        <v>22</v>
      </c>
      <c r="E3313" t="str">
        <f>"1-145-22"</f>
        <v>1-145-22</v>
      </c>
      <c r="F3313" t="s">
        <v>83</v>
      </c>
      <c r="G3313" t="s">
        <v>84</v>
      </c>
      <c r="H3313" t="s">
        <v>85</v>
      </c>
      <c r="AC3313">
        <v>1</v>
      </c>
      <c r="AD3313">
        <v>0</v>
      </c>
      <c r="AE3313">
        <v>0</v>
      </c>
      <c r="AF3313">
        <v>0</v>
      </c>
      <c r="AG3313">
        <v>0</v>
      </c>
      <c r="AJ3313">
        <v>0</v>
      </c>
      <c r="AK3313">
        <v>1</v>
      </c>
      <c r="AL3313">
        <v>0</v>
      </c>
      <c r="AM3313">
        <v>0</v>
      </c>
      <c r="AN3313">
        <v>0</v>
      </c>
      <c r="AO3313">
        <v>0</v>
      </c>
      <c r="AP3313">
        <v>0</v>
      </c>
      <c r="AQ3313">
        <v>0</v>
      </c>
      <c r="AR3313">
        <v>0</v>
      </c>
      <c r="AS3313">
        <v>1</v>
      </c>
      <c r="AT3313">
        <v>0</v>
      </c>
      <c r="AV3313">
        <v>0</v>
      </c>
      <c r="AW3313">
        <v>0</v>
      </c>
    </row>
    <row r="3314" spans="1:49" x14ac:dyDescent="0.25">
      <c r="A3314" t="str">
        <f>"3310"</f>
        <v>3310</v>
      </c>
      <c r="B3314" t="str">
        <f t="shared" si="190"/>
        <v>1</v>
      </c>
      <c r="C3314" t="str">
        <f t="shared" si="191"/>
        <v>145</v>
      </c>
      <c r="D3314" t="str">
        <f>"13"</f>
        <v>13</v>
      </c>
      <c r="E3314" t="str">
        <f>"1-145-13"</f>
        <v>1-145-13</v>
      </c>
      <c r="F3314" t="s">
        <v>83</v>
      </c>
      <c r="G3314" t="s">
        <v>86</v>
      </c>
      <c r="H3314" t="s">
        <v>87</v>
      </c>
      <c r="AC3314">
        <v>0</v>
      </c>
      <c r="AD3314">
        <v>1</v>
      </c>
      <c r="AE3314">
        <v>0</v>
      </c>
      <c r="AF3314">
        <v>0</v>
      </c>
      <c r="AH3314">
        <v>1</v>
      </c>
      <c r="AI3314">
        <v>0</v>
      </c>
      <c r="AJ3314">
        <v>1</v>
      </c>
      <c r="AK3314">
        <v>0</v>
      </c>
      <c r="AL3314">
        <v>1</v>
      </c>
      <c r="AM3314">
        <v>0</v>
      </c>
      <c r="AN3314">
        <v>0</v>
      </c>
      <c r="AO3314">
        <v>1</v>
      </c>
      <c r="AP3314">
        <v>1</v>
      </c>
      <c r="AQ3314">
        <v>1</v>
      </c>
      <c r="AU3314">
        <v>1</v>
      </c>
      <c r="AV3314">
        <v>1</v>
      </c>
      <c r="AW3314">
        <v>1</v>
      </c>
    </row>
    <row r="3315" spans="1:49" x14ac:dyDescent="0.25">
      <c r="A3315" t="str">
        <f>"3311"</f>
        <v>3311</v>
      </c>
      <c r="B3315" t="str">
        <f t="shared" si="190"/>
        <v>1</v>
      </c>
      <c r="C3315" t="str">
        <f t="shared" si="191"/>
        <v>145</v>
      </c>
      <c r="D3315" t="str">
        <f>"3"</f>
        <v>3</v>
      </c>
      <c r="E3315" t="str">
        <f>"1-145-3"</f>
        <v>1-145-3</v>
      </c>
      <c r="F3315" t="s">
        <v>83</v>
      </c>
      <c r="G3315" t="s">
        <v>84</v>
      </c>
      <c r="H3315" t="s">
        <v>85</v>
      </c>
      <c r="AC3315">
        <v>0</v>
      </c>
      <c r="AD3315">
        <v>1</v>
      </c>
      <c r="AE3315">
        <v>0</v>
      </c>
      <c r="AF3315">
        <v>0</v>
      </c>
      <c r="AG3315">
        <v>1</v>
      </c>
      <c r="AJ3315">
        <v>1</v>
      </c>
      <c r="AK3315">
        <v>0</v>
      </c>
      <c r="AL3315">
        <v>1</v>
      </c>
      <c r="AM3315">
        <v>0</v>
      </c>
      <c r="AN3315">
        <v>0</v>
      </c>
      <c r="AO3315">
        <v>1</v>
      </c>
      <c r="AP3315">
        <v>1</v>
      </c>
      <c r="AQ3315">
        <v>1</v>
      </c>
      <c r="AR3315">
        <v>1</v>
      </c>
      <c r="AS3315">
        <v>1</v>
      </c>
      <c r="AT3315">
        <v>0</v>
      </c>
      <c r="AV3315">
        <v>1</v>
      </c>
      <c r="AW3315">
        <v>1</v>
      </c>
    </row>
    <row r="3316" spans="1:49" x14ac:dyDescent="0.25">
      <c r="A3316" t="str">
        <f>"3312"</f>
        <v>3312</v>
      </c>
      <c r="B3316" t="str">
        <f t="shared" si="190"/>
        <v>1</v>
      </c>
      <c r="C3316" t="str">
        <f t="shared" si="191"/>
        <v>145</v>
      </c>
      <c r="D3316" t="str">
        <f>"18"</f>
        <v>18</v>
      </c>
      <c r="E3316" t="str">
        <f>"1-145-18"</f>
        <v>1-145-18</v>
      </c>
      <c r="F3316" t="s">
        <v>83</v>
      </c>
      <c r="G3316" t="s">
        <v>84</v>
      </c>
      <c r="H3316" t="s">
        <v>85</v>
      </c>
      <c r="AC3316">
        <v>1</v>
      </c>
      <c r="AD3316">
        <v>0</v>
      </c>
      <c r="AE3316">
        <v>0</v>
      </c>
      <c r="AF3316">
        <v>0</v>
      </c>
      <c r="AG3316">
        <v>0</v>
      </c>
      <c r="AJ3316">
        <v>1</v>
      </c>
      <c r="AK3316">
        <v>0</v>
      </c>
      <c r="AL3316">
        <v>1</v>
      </c>
      <c r="AM3316">
        <v>0</v>
      </c>
      <c r="AN3316">
        <v>0</v>
      </c>
      <c r="AO3316">
        <v>0</v>
      </c>
      <c r="AP3316">
        <v>0</v>
      </c>
      <c r="AQ3316">
        <v>0</v>
      </c>
      <c r="AR3316">
        <v>0</v>
      </c>
      <c r="AS3316">
        <v>0</v>
      </c>
      <c r="AT3316">
        <v>1</v>
      </c>
      <c r="AV3316">
        <v>0</v>
      </c>
      <c r="AW3316">
        <v>1</v>
      </c>
    </row>
    <row r="3317" spans="1:49" x14ac:dyDescent="0.25">
      <c r="A3317" t="str">
        <f>"3313"</f>
        <v>3313</v>
      </c>
      <c r="B3317" t="str">
        <f t="shared" si="190"/>
        <v>1</v>
      </c>
      <c r="C3317" t="str">
        <f t="shared" si="191"/>
        <v>145</v>
      </c>
      <c r="D3317" t="str">
        <f>"7"</f>
        <v>7</v>
      </c>
      <c r="E3317" t="str">
        <f>"1-145-7"</f>
        <v>1-145-7</v>
      </c>
      <c r="F3317" t="s">
        <v>83</v>
      </c>
      <c r="G3317" t="s">
        <v>84</v>
      </c>
      <c r="H3317" t="s">
        <v>85</v>
      </c>
      <c r="AC3317">
        <v>0</v>
      </c>
      <c r="AD3317">
        <v>1</v>
      </c>
      <c r="AE3317">
        <v>0</v>
      </c>
      <c r="AF3317">
        <v>0</v>
      </c>
      <c r="AG3317">
        <v>1</v>
      </c>
      <c r="AJ3317">
        <v>0</v>
      </c>
      <c r="AK3317">
        <v>1</v>
      </c>
      <c r="AL3317">
        <v>0</v>
      </c>
      <c r="AM3317">
        <v>0</v>
      </c>
      <c r="AN3317">
        <v>1</v>
      </c>
      <c r="AO3317">
        <v>1</v>
      </c>
      <c r="AP3317">
        <v>1</v>
      </c>
      <c r="AQ3317">
        <v>1</v>
      </c>
      <c r="AR3317">
        <v>1</v>
      </c>
      <c r="AS3317">
        <v>0</v>
      </c>
      <c r="AT3317">
        <v>1</v>
      </c>
      <c r="AV3317">
        <v>1</v>
      </c>
      <c r="AW3317">
        <v>1</v>
      </c>
    </row>
    <row r="3318" spans="1:49" x14ac:dyDescent="0.25">
      <c r="A3318" t="str">
        <f>"3314"</f>
        <v>3314</v>
      </c>
      <c r="B3318" t="str">
        <f t="shared" si="190"/>
        <v>1</v>
      </c>
      <c r="C3318" t="str">
        <f t="shared" si="191"/>
        <v>145</v>
      </c>
      <c r="D3318" t="str">
        <f>"19"</f>
        <v>19</v>
      </c>
      <c r="E3318" t="str">
        <f>"1-145-19"</f>
        <v>1-145-19</v>
      </c>
      <c r="F3318" t="s">
        <v>83</v>
      </c>
      <c r="G3318" t="s">
        <v>84</v>
      </c>
      <c r="H3318" t="s">
        <v>85</v>
      </c>
      <c r="AC3318">
        <v>1</v>
      </c>
      <c r="AD3318">
        <v>0</v>
      </c>
      <c r="AE3318">
        <v>0</v>
      </c>
      <c r="AF3318">
        <v>0</v>
      </c>
      <c r="AG3318">
        <v>0</v>
      </c>
      <c r="AJ3318">
        <v>1</v>
      </c>
      <c r="AK3318">
        <v>0</v>
      </c>
      <c r="AL3318">
        <v>1</v>
      </c>
      <c r="AM3318">
        <v>0</v>
      </c>
      <c r="AN3318">
        <v>0</v>
      </c>
      <c r="AO3318">
        <v>0</v>
      </c>
      <c r="AP3318">
        <v>0</v>
      </c>
      <c r="AQ3318">
        <v>0</v>
      </c>
      <c r="AR3318">
        <v>0</v>
      </c>
      <c r="AS3318">
        <v>0</v>
      </c>
      <c r="AT3318">
        <v>1</v>
      </c>
      <c r="AV3318">
        <v>0</v>
      </c>
      <c r="AW3318">
        <v>1</v>
      </c>
    </row>
    <row r="3319" spans="1:49" x14ac:dyDescent="0.25">
      <c r="A3319" t="str">
        <f>"3315"</f>
        <v>3315</v>
      </c>
      <c r="B3319" t="str">
        <f t="shared" si="190"/>
        <v>1</v>
      </c>
      <c r="C3319" t="str">
        <f t="shared" si="191"/>
        <v>145</v>
      </c>
      <c r="D3319" t="str">
        <f>"4"</f>
        <v>4</v>
      </c>
      <c r="E3319" t="str">
        <f>"1-145-4"</f>
        <v>1-145-4</v>
      </c>
      <c r="F3319" t="s">
        <v>83</v>
      </c>
      <c r="G3319" t="s">
        <v>84</v>
      </c>
      <c r="H3319" t="s">
        <v>85</v>
      </c>
      <c r="AC3319">
        <v>1</v>
      </c>
      <c r="AD3319">
        <v>0</v>
      </c>
      <c r="AE3319">
        <v>0</v>
      </c>
      <c r="AF3319">
        <v>0</v>
      </c>
      <c r="AG3319">
        <v>0</v>
      </c>
      <c r="AJ3319">
        <v>0</v>
      </c>
      <c r="AK3319">
        <v>0</v>
      </c>
      <c r="AL3319">
        <v>0</v>
      </c>
      <c r="AM3319">
        <v>0</v>
      </c>
      <c r="AN3319">
        <v>0</v>
      </c>
      <c r="AO3319">
        <v>0</v>
      </c>
      <c r="AP3319">
        <v>0</v>
      </c>
      <c r="AQ3319">
        <v>0</v>
      </c>
      <c r="AR3319">
        <v>0</v>
      </c>
      <c r="AS3319">
        <v>0</v>
      </c>
      <c r="AT3319">
        <v>0</v>
      </c>
      <c r="AV3319">
        <v>0</v>
      </c>
      <c r="AW3319">
        <v>0</v>
      </c>
    </row>
    <row r="3320" spans="1:49" x14ac:dyDescent="0.25">
      <c r="A3320" t="str">
        <f>"3316"</f>
        <v>3316</v>
      </c>
      <c r="B3320" t="str">
        <f t="shared" si="190"/>
        <v>1</v>
      </c>
      <c r="C3320" t="str">
        <f t="shared" ref="C3320:C3343" si="192">"146"</f>
        <v>146</v>
      </c>
      <c r="D3320" t="str">
        <f>"23"</f>
        <v>23</v>
      </c>
      <c r="E3320" t="str">
        <f>"1-146-23"</f>
        <v>1-146-23</v>
      </c>
      <c r="F3320" t="s">
        <v>83</v>
      </c>
      <c r="G3320" t="s">
        <v>86</v>
      </c>
      <c r="H3320" t="s">
        <v>87</v>
      </c>
      <c r="AC3320">
        <v>1</v>
      </c>
      <c r="AD3320">
        <v>0</v>
      </c>
      <c r="AE3320">
        <v>0</v>
      </c>
      <c r="AF3320">
        <v>0</v>
      </c>
      <c r="AH3320">
        <v>0</v>
      </c>
      <c r="AI3320">
        <v>1</v>
      </c>
      <c r="AJ3320">
        <v>0</v>
      </c>
      <c r="AK3320">
        <v>1</v>
      </c>
      <c r="AL3320">
        <v>0</v>
      </c>
      <c r="AM3320">
        <v>0</v>
      </c>
      <c r="AN3320">
        <v>1</v>
      </c>
      <c r="AO3320">
        <v>0</v>
      </c>
      <c r="AP3320">
        <v>0</v>
      </c>
      <c r="AQ3320">
        <v>0</v>
      </c>
      <c r="AU3320">
        <v>0</v>
      </c>
      <c r="AV3320">
        <v>0</v>
      </c>
      <c r="AW3320">
        <v>0</v>
      </c>
    </row>
    <row r="3321" spans="1:49" x14ac:dyDescent="0.25">
      <c r="A3321" t="str">
        <f>"3317"</f>
        <v>3317</v>
      </c>
      <c r="B3321" t="str">
        <f t="shared" si="190"/>
        <v>1</v>
      </c>
      <c r="C3321" t="str">
        <f t="shared" si="192"/>
        <v>146</v>
      </c>
      <c r="D3321" t="str">
        <f>"22"</f>
        <v>22</v>
      </c>
      <c r="E3321" t="str">
        <f>"1-146-22"</f>
        <v>1-146-22</v>
      </c>
      <c r="F3321" t="s">
        <v>83</v>
      </c>
      <c r="G3321" t="s">
        <v>84</v>
      </c>
      <c r="H3321" t="s">
        <v>85</v>
      </c>
      <c r="AC3321">
        <v>1</v>
      </c>
      <c r="AD3321">
        <v>0</v>
      </c>
      <c r="AE3321">
        <v>0</v>
      </c>
      <c r="AF3321">
        <v>0</v>
      </c>
      <c r="AG3321">
        <v>1</v>
      </c>
      <c r="AJ3321">
        <v>0</v>
      </c>
      <c r="AK3321">
        <v>1</v>
      </c>
      <c r="AL3321">
        <v>1</v>
      </c>
      <c r="AM3321">
        <v>0</v>
      </c>
      <c r="AN3321">
        <v>0</v>
      </c>
      <c r="AO3321">
        <v>1</v>
      </c>
      <c r="AP3321">
        <v>1</v>
      </c>
      <c r="AQ3321">
        <v>1</v>
      </c>
      <c r="AR3321">
        <v>1</v>
      </c>
      <c r="AS3321">
        <v>0</v>
      </c>
      <c r="AT3321">
        <v>1</v>
      </c>
      <c r="AV3321">
        <v>1</v>
      </c>
      <c r="AW3321">
        <v>1</v>
      </c>
    </row>
    <row r="3322" spans="1:49" x14ac:dyDescent="0.25">
      <c r="A3322" t="str">
        <f>"3318"</f>
        <v>3318</v>
      </c>
      <c r="B3322" t="str">
        <f t="shared" si="190"/>
        <v>1</v>
      </c>
      <c r="C3322" t="str">
        <f t="shared" si="192"/>
        <v>146</v>
      </c>
      <c r="D3322" t="str">
        <f>"15"</f>
        <v>15</v>
      </c>
      <c r="E3322" t="str">
        <f>"1-146-15"</f>
        <v>1-146-15</v>
      </c>
      <c r="F3322" t="s">
        <v>83</v>
      </c>
      <c r="G3322" t="s">
        <v>84</v>
      </c>
      <c r="H3322" t="s">
        <v>85</v>
      </c>
      <c r="AC3322">
        <v>1</v>
      </c>
      <c r="AD3322">
        <v>0</v>
      </c>
      <c r="AE3322">
        <v>0</v>
      </c>
      <c r="AF3322">
        <v>0</v>
      </c>
      <c r="AG3322">
        <v>1</v>
      </c>
      <c r="AJ3322">
        <v>0</v>
      </c>
      <c r="AK3322">
        <v>0</v>
      </c>
      <c r="AL3322">
        <v>0</v>
      </c>
      <c r="AM3322">
        <v>0</v>
      </c>
      <c r="AN3322">
        <v>0</v>
      </c>
      <c r="AO3322">
        <v>1</v>
      </c>
      <c r="AP3322">
        <v>1</v>
      </c>
      <c r="AQ3322">
        <v>1</v>
      </c>
      <c r="AR3322">
        <v>1</v>
      </c>
      <c r="AS3322">
        <v>0</v>
      </c>
      <c r="AT3322">
        <v>0</v>
      </c>
      <c r="AV3322">
        <v>1</v>
      </c>
      <c r="AW3322">
        <v>1</v>
      </c>
    </row>
    <row r="3323" spans="1:49" x14ac:dyDescent="0.25">
      <c r="A3323" t="str">
        <f>"3319"</f>
        <v>3319</v>
      </c>
      <c r="B3323" t="str">
        <f t="shared" si="190"/>
        <v>1</v>
      </c>
      <c r="C3323" t="str">
        <f t="shared" si="192"/>
        <v>146</v>
      </c>
      <c r="D3323" t="str">
        <f>"8"</f>
        <v>8</v>
      </c>
      <c r="E3323" t="str">
        <f>"1-146-8"</f>
        <v>1-146-8</v>
      </c>
      <c r="F3323" t="s">
        <v>83</v>
      </c>
      <c r="G3323" t="s">
        <v>84</v>
      </c>
      <c r="H3323" t="s">
        <v>85</v>
      </c>
      <c r="AC3323">
        <v>1</v>
      </c>
      <c r="AD3323">
        <v>0</v>
      </c>
      <c r="AE3323">
        <v>0</v>
      </c>
      <c r="AF3323">
        <v>0</v>
      </c>
      <c r="AG3323">
        <v>1</v>
      </c>
      <c r="AJ3323">
        <v>0</v>
      </c>
      <c r="AK3323">
        <v>0</v>
      </c>
      <c r="AL3323">
        <v>0</v>
      </c>
      <c r="AM3323">
        <v>1</v>
      </c>
      <c r="AN3323">
        <v>0</v>
      </c>
      <c r="AO3323">
        <v>1</v>
      </c>
      <c r="AP3323">
        <v>1</v>
      </c>
      <c r="AQ3323">
        <v>1</v>
      </c>
      <c r="AR3323">
        <v>1</v>
      </c>
      <c r="AS3323">
        <v>0</v>
      </c>
      <c r="AT3323">
        <v>1</v>
      </c>
      <c r="AV3323">
        <v>1</v>
      </c>
      <c r="AW3323">
        <v>1</v>
      </c>
    </row>
    <row r="3324" spans="1:49" x14ac:dyDescent="0.25">
      <c r="A3324" t="str">
        <f>"3320"</f>
        <v>3320</v>
      </c>
      <c r="B3324" t="str">
        <f t="shared" si="190"/>
        <v>1</v>
      </c>
      <c r="C3324" t="str">
        <f t="shared" si="192"/>
        <v>146</v>
      </c>
      <c r="D3324" t="str">
        <f>"7"</f>
        <v>7</v>
      </c>
      <c r="E3324" t="str">
        <f>"1-146-7"</f>
        <v>1-146-7</v>
      </c>
      <c r="F3324" t="s">
        <v>83</v>
      </c>
      <c r="G3324" t="s">
        <v>84</v>
      </c>
      <c r="H3324" t="s">
        <v>85</v>
      </c>
      <c r="AC3324">
        <v>1</v>
      </c>
      <c r="AD3324">
        <v>0</v>
      </c>
      <c r="AE3324">
        <v>0</v>
      </c>
      <c r="AF3324">
        <v>0</v>
      </c>
      <c r="AG3324">
        <v>1</v>
      </c>
      <c r="AJ3324">
        <v>0</v>
      </c>
      <c r="AK3324">
        <v>1</v>
      </c>
      <c r="AL3324">
        <v>0</v>
      </c>
      <c r="AM3324">
        <v>0</v>
      </c>
      <c r="AN3324">
        <v>0</v>
      </c>
      <c r="AO3324">
        <v>0</v>
      </c>
      <c r="AP3324">
        <v>1</v>
      </c>
      <c r="AQ3324">
        <v>1</v>
      </c>
      <c r="AR3324">
        <v>1</v>
      </c>
      <c r="AS3324">
        <v>0</v>
      </c>
      <c r="AT3324">
        <v>0</v>
      </c>
      <c r="AV3324">
        <v>1</v>
      </c>
      <c r="AW3324">
        <v>1</v>
      </c>
    </row>
    <row r="3325" spans="1:49" x14ac:dyDescent="0.25">
      <c r="A3325" t="str">
        <f>"3321"</f>
        <v>3321</v>
      </c>
      <c r="B3325" t="str">
        <f t="shared" si="190"/>
        <v>1</v>
      </c>
      <c r="C3325" t="str">
        <f t="shared" si="192"/>
        <v>146</v>
      </c>
      <c r="D3325" t="str">
        <f>"17"</f>
        <v>17</v>
      </c>
      <c r="E3325" t="str">
        <f>"1-146-17"</f>
        <v>1-146-17</v>
      </c>
      <c r="F3325" t="s">
        <v>83</v>
      </c>
      <c r="G3325" t="s">
        <v>88</v>
      </c>
      <c r="H3325" t="s">
        <v>89</v>
      </c>
      <c r="AC3325">
        <v>1</v>
      </c>
      <c r="AD3325">
        <v>0</v>
      </c>
      <c r="AE3325">
        <v>0</v>
      </c>
      <c r="AF3325">
        <v>0</v>
      </c>
      <c r="AH3325">
        <v>1</v>
      </c>
      <c r="AI3325">
        <v>0</v>
      </c>
      <c r="AJ3325">
        <v>1</v>
      </c>
      <c r="AK3325">
        <v>0</v>
      </c>
      <c r="AL3325">
        <v>0</v>
      </c>
      <c r="AM3325">
        <v>1</v>
      </c>
      <c r="AN3325">
        <v>0</v>
      </c>
      <c r="AO3325">
        <v>1</v>
      </c>
      <c r="AP3325">
        <v>1</v>
      </c>
      <c r="AQ3325">
        <v>1</v>
      </c>
      <c r="AR3325">
        <v>1</v>
      </c>
      <c r="AS3325">
        <v>1</v>
      </c>
      <c r="AT3325">
        <v>0</v>
      </c>
      <c r="AV3325">
        <v>1</v>
      </c>
      <c r="AW3325">
        <v>1</v>
      </c>
    </row>
    <row r="3326" spans="1:49" x14ac:dyDescent="0.25">
      <c r="A3326" t="str">
        <f>"3322"</f>
        <v>3322</v>
      </c>
      <c r="B3326" t="str">
        <f t="shared" si="190"/>
        <v>1</v>
      </c>
      <c r="C3326" t="str">
        <f t="shared" si="192"/>
        <v>146</v>
      </c>
      <c r="D3326" t="str">
        <f>"9"</f>
        <v>9</v>
      </c>
      <c r="E3326" t="str">
        <f>"1-146-9"</f>
        <v>1-146-9</v>
      </c>
      <c r="F3326" t="s">
        <v>83</v>
      </c>
      <c r="G3326" t="s">
        <v>84</v>
      </c>
      <c r="H3326" t="s">
        <v>85</v>
      </c>
      <c r="AC3326">
        <v>1</v>
      </c>
      <c r="AD3326">
        <v>0</v>
      </c>
      <c r="AE3326">
        <v>0</v>
      </c>
      <c r="AF3326">
        <v>0</v>
      </c>
      <c r="AG3326">
        <v>1</v>
      </c>
      <c r="AJ3326">
        <v>1</v>
      </c>
      <c r="AK3326">
        <v>0</v>
      </c>
      <c r="AL3326">
        <v>0</v>
      </c>
      <c r="AM3326">
        <v>1</v>
      </c>
      <c r="AN3326">
        <v>0</v>
      </c>
      <c r="AO3326">
        <v>1</v>
      </c>
      <c r="AP3326">
        <v>1</v>
      </c>
      <c r="AQ3326">
        <v>1</v>
      </c>
      <c r="AR3326">
        <v>1</v>
      </c>
      <c r="AS3326">
        <v>0</v>
      </c>
      <c r="AT3326">
        <v>1</v>
      </c>
      <c r="AV3326">
        <v>1</v>
      </c>
      <c r="AW3326">
        <v>1</v>
      </c>
    </row>
    <row r="3327" spans="1:49" x14ac:dyDescent="0.25">
      <c r="A3327" t="str">
        <f>"3323"</f>
        <v>3323</v>
      </c>
      <c r="B3327" t="str">
        <f t="shared" si="190"/>
        <v>1</v>
      </c>
      <c r="C3327" t="str">
        <f t="shared" si="192"/>
        <v>146</v>
      </c>
      <c r="D3327" t="str">
        <f>"6"</f>
        <v>6</v>
      </c>
      <c r="E3327" t="str">
        <f>"1-146-6"</f>
        <v>1-146-6</v>
      </c>
      <c r="F3327" t="s">
        <v>83</v>
      </c>
      <c r="G3327" t="s">
        <v>84</v>
      </c>
      <c r="H3327" t="s">
        <v>85</v>
      </c>
      <c r="AC3327">
        <v>0</v>
      </c>
      <c r="AD3327">
        <v>1</v>
      </c>
      <c r="AE3327">
        <v>0</v>
      </c>
      <c r="AF3327">
        <v>0</v>
      </c>
      <c r="AG3327">
        <v>1</v>
      </c>
      <c r="AJ3327">
        <v>0</v>
      </c>
      <c r="AK3327">
        <v>1</v>
      </c>
      <c r="AL3327">
        <v>0</v>
      </c>
      <c r="AM3327">
        <v>0</v>
      </c>
      <c r="AN3327">
        <v>1</v>
      </c>
      <c r="AO3327">
        <v>1</v>
      </c>
      <c r="AP3327">
        <v>1</v>
      </c>
      <c r="AQ3327">
        <v>1</v>
      </c>
      <c r="AR3327">
        <v>1</v>
      </c>
      <c r="AS3327">
        <v>0</v>
      </c>
      <c r="AT3327">
        <v>1</v>
      </c>
      <c r="AV3327">
        <v>1</v>
      </c>
      <c r="AW3327">
        <v>1</v>
      </c>
    </row>
    <row r="3328" spans="1:49" x14ac:dyDescent="0.25">
      <c r="A3328" t="str">
        <f>"3324"</f>
        <v>3324</v>
      </c>
      <c r="B3328" t="str">
        <f t="shared" si="190"/>
        <v>1</v>
      </c>
      <c r="C3328" t="str">
        <f t="shared" si="192"/>
        <v>146</v>
      </c>
      <c r="D3328" t="str">
        <f>"24"</f>
        <v>24</v>
      </c>
      <c r="E3328" t="str">
        <f>"1-146-24"</f>
        <v>1-146-24</v>
      </c>
      <c r="F3328" t="s">
        <v>83</v>
      </c>
      <c r="G3328" t="s">
        <v>84</v>
      </c>
      <c r="H3328" t="s">
        <v>85</v>
      </c>
      <c r="AC3328">
        <v>0</v>
      </c>
      <c r="AD3328">
        <v>1</v>
      </c>
      <c r="AE3328">
        <v>0</v>
      </c>
      <c r="AF3328">
        <v>0</v>
      </c>
      <c r="AG3328">
        <v>0</v>
      </c>
      <c r="AJ3328">
        <v>0</v>
      </c>
      <c r="AK3328">
        <v>1</v>
      </c>
      <c r="AL3328">
        <v>0</v>
      </c>
      <c r="AM3328">
        <v>0</v>
      </c>
      <c r="AN3328">
        <v>1</v>
      </c>
      <c r="AO3328">
        <v>0</v>
      </c>
      <c r="AP3328">
        <v>0</v>
      </c>
      <c r="AQ3328">
        <v>0</v>
      </c>
      <c r="AR3328">
        <v>0</v>
      </c>
      <c r="AS3328">
        <v>1</v>
      </c>
      <c r="AT3328">
        <v>0</v>
      </c>
      <c r="AV3328">
        <v>0</v>
      </c>
      <c r="AW3328">
        <v>1</v>
      </c>
    </row>
    <row r="3329" spans="1:49" x14ac:dyDescent="0.25">
      <c r="A3329" t="str">
        <f>"3325"</f>
        <v>3325</v>
      </c>
      <c r="B3329" t="str">
        <f t="shared" si="190"/>
        <v>1</v>
      </c>
      <c r="C3329" t="str">
        <f t="shared" si="192"/>
        <v>146</v>
      </c>
      <c r="D3329" t="str">
        <f>"16"</f>
        <v>16</v>
      </c>
      <c r="E3329" t="str">
        <f>"1-146-16"</f>
        <v>1-146-16</v>
      </c>
      <c r="F3329" t="s">
        <v>83</v>
      </c>
      <c r="G3329" t="s">
        <v>84</v>
      </c>
      <c r="H3329" t="s">
        <v>85</v>
      </c>
      <c r="AC3329">
        <v>1</v>
      </c>
      <c r="AD3329">
        <v>0</v>
      </c>
      <c r="AE3329">
        <v>0</v>
      </c>
      <c r="AF3329">
        <v>0</v>
      </c>
      <c r="AG3329">
        <v>0</v>
      </c>
      <c r="AJ3329">
        <v>0</v>
      </c>
      <c r="AK3329">
        <v>1</v>
      </c>
      <c r="AL3329">
        <v>1</v>
      </c>
      <c r="AM3329">
        <v>0</v>
      </c>
      <c r="AN3329">
        <v>0</v>
      </c>
      <c r="AO3329">
        <v>0</v>
      </c>
      <c r="AP3329">
        <v>1</v>
      </c>
      <c r="AQ3329">
        <v>0</v>
      </c>
      <c r="AR3329">
        <v>0</v>
      </c>
      <c r="AS3329">
        <v>0</v>
      </c>
      <c r="AT3329">
        <v>1</v>
      </c>
      <c r="AV3329">
        <v>0</v>
      </c>
      <c r="AW3329">
        <v>1</v>
      </c>
    </row>
    <row r="3330" spans="1:49" x14ac:dyDescent="0.25">
      <c r="A3330" t="str">
        <f>"3326"</f>
        <v>3326</v>
      </c>
      <c r="B3330" t="str">
        <f t="shared" si="190"/>
        <v>1</v>
      </c>
      <c r="C3330" t="str">
        <f t="shared" si="192"/>
        <v>146</v>
      </c>
      <c r="D3330" t="str">
        <f>"10"</f>
        <v>10</v>
      </c>
      <c r="E3330" t="str">
        <f>"1-146-10"</f>
        <v>1-146-10</v>
      </c>
      <c r="F3330" t="s">
        <v>83</v>
      </c>
      <c r="G3330" t="s">
        <v>84</v>
      </c>
      <c r="H3330" t="s">
        <v>85</v>
      </c>
      <c r="AC3330">
        <v>0</v>
      </c>
      <c r="AD3330">
        <v>1</v>
      </c>
      <c r="AE3330">
        <v>0</v>
      </c>
      <c r="AF3330">
        <v>0</v>
      </c>
      <c r="AG3330">
        <v>1</v>
      </c>
      <c r="AJ3330">
        <v>1</v>
      </c>
      <c r="AK3330">
        <v>0</v>
      </c>
      <c r="AL3330">
        <v>0</v>
      </c>
      <c r="AM3330">
        <v>0</v>
      </c>
      <c r="AN3330">
        <v>1</v>
      </c>
      <c r="AO3330">
        <v>1</v>
      </c>
      <c r="AP3330">
        <v>1</v>
      </c>
      <c r="AQ3330">
        <v>1</v>
      </c>
      <c r="AR3330">
        <v>1</v>
      </c>
      <c r="AS3330">
        <v>1</v>
      </c>
      <c r="AT3330">
        <v>0</v>
      </c>
      <c r="AV3330">
        <v>1</v>
      </c>
      <c r="AW3330">
        <v>1</v>
      </c>
    </row>
    <row r="3331" spans="1:49" x14ac:dyDescent="0.25">
      <c r="A3331" t="str">
        <f>"3327"</f>
        <v>3327</v>
      </c>
      <c r="B3331" t="str">
        <f t="shared" si="190"/>
        <v>1</v>
      </c>
      <c r="C3331" t="str">
        <f t="shared" si="192"/>
        <v>146</v>
      </c>
      <c r="D3331" t="str">
        <f>"1"</f>
        <v>1</v>
      </c>
      <c r="E3331" t="str">
        <f>"1-146-1"</f>
        <v>1-146-1</v>
      </c>
      <c r="F3331" t="s">
        <v>83</v>
      </c>
      <c r="G3331" t="s">
        <v>84</v>
      </c>
      <c r="H3331" t="s">
        <v>85</v>
      </c>
      <c r="AC3331">
        <v>0</v>
      </c>
      <c r="AD3331">
        <v>1</v>
      </c>
      <c r="AE3331">
        <v>0</v>
      </c>
      <c r="AF3331">
        <v>0</v>
      </c>
      <c r="AG3331">
        <v>1</v>
      </c>
      <c r="AJ3331">
        <v>0</v>
      </c>
      <c r="AK3331">
        <v>1</v>
      </c>
      <c r="AL3331">
        <v>0</v>
      </c>
      <c r="AM3331">
        <v>0</v>
      </c>
      <c r="AN3331">
        <v>1</v>
      </c>
      <c r="AO3331">
        <v>1</v>
      </c>
      <c r="AP3331">
        <v>1</v>
      </c>
      <c r="AQ3331">
        <v>1</v>
      </c>
      <c r="AR3331">
        <v>1</v>
      </c>
      <c r="AS3331">
        <v>0</v>
      </c>
      <c r="AT3331">
        <v>1</v>
      </c>
      <c r="AV3331">
        <v>1</v>
      </c>
      <c r="AW3331">
        <v>1</v>
      </c>
    </row>
    <row r="3332" spans="1:49" x14ac:dyDescent="0.25">
      <c r="A3332" t="str">
        <f>"3328"</f>
        <v>3328</v>
      </c>
      <c r="B3332" t="str">
        <f t="shared" si="190"/>
        <v>1</v>
      </c>
      <c r="C3332" t="str">
        <f t="shared" si="192"/>
        <v>146</v>
      </c>
      <c r="D3332" t="str">
        <f>"18"</f>
        <v>18</v>
      </c>
      <c r="E3332" t="str">
        <f>"1-146-18"</f>
        <v>1-146-18</v>
      </c>
      <c r="F3332" t="s">
        <v>83</v>
      </c>
      <c r="G3332" t="s">
        <v>84</v>
      </c>
      <c r="H3332" t="s">
        <v>85</v>
      </c>
      <c r="AC3332">
        <v>1</v>
      </c>
      <c r="AD3332">
        <v>0</v>
      </c>
      <c r="AE3332">
        <v>0</v>
      </c>
      <c r="AF3332">
        <v>0</v>
      </c>
      <c r="AG3332">
        <v>1</v>
      </c>
      <c r="AJ3332">
        <v>1</v>
      </c>
      <c r="AK3332">
        <v>0</v>
      </c>
      <c r="AL3332">
        <v>0</v>
      </c>
      <c r="AM3332">
        <v>1</v>
      </c>
      <c r="AN3332">
        <v>0</v>
      </c>
      <c r="AO3332">
        <v>1</v>
      </c>
      <c r="AP3332">
        <v>1</v>
      </c>
      <c r="AQ3332">
        <v>1</v>
      </c>
      <c r="AR3332">
        <v>1</v>
      </c>
      <c r="AS3332">
        <v>0</v>
      </c>
      <c r="AT3332">
        <v>1</v>
      </c>
      <c r="AV3332">
        <v>1</v>
      </c>
      <c r="AW3332">
        <v>1</v>
      </c>
    </row>
    <row r="3333" spans="1:49" x14ac:dyDescent="0.25">
      <c r="A3333" t="str">
        <f>"3329"</f>
        <v>3329</v>
      </c>
      <c r="B3333" t="str">
        <f t="shared" si="190"/>
        <v>1</v>
      </c>
      <c r="C3333" t="str">
        <f t="shared" si="192"/>
        <v>146</v>
      </c>
      <c r="D3333" t="str">
        <f>"11"</f>
        <v>11</v>
      </c>
      <c r="E3333" t="str">
        <f>"1-146-11"</f>
        <v>1-146-11</v>
      </c>
      <c r="F3333" t="s">
        <v>83</v>
      </c>
      <c r="G3333" t="s">
        <v>86</v>
      </c>
      <c r="H3333" t="s">
        <v>87</v>
      </c>
      <c r="AC3333">
        <v>0</v>
      </c>
      <c r="AD3333">
        <v>1</v>
      </c>
      <c r="AE3333">
        <v>0</v>
      </c>
      <c r="AF3333">
        <v>0</v>
      </c>
      <c r="AH3333">
        <v>1</v>
      </c>
      <c r="AI3333">
        <v>0</v>
      </c>
      <c r="AJ3333">
        <v>0</v>
      </c>
      <c r="AK3333">
        <v>0</v>
      </c>
      <c r="AL3333">
        <v>0</v>
      </c>
      <c r="AM3333">
        <v>0</v>
      </c>
      <c r="AN3333">
        <v>0</v>
      </c>
      <c r="AO3333">
        <v>0</v>
      </c>
      <c r="AP3333">
        <v>0</v>
      </c>
      <c r="AQ3333">
        <v>0</v>
      </c>
      <c r="AU3333">
        <v>0</v>
      </c>
      <c r="AV3333">
        <v>0</v>
      </c>
      <c r="AW3333">
        <v>0</v>
      </c>
    </row>
    <row r="3334" spans="1:49" x14ac:dyDescent="0.25">
      <c r="A3334" t="str">
        <f>"3330"</f>
        <v>3330</v>
      </c>
      <c r="B3334" t="str">
        <f t="shared" si="190"/>
        <v>1</v>
      </c>
      <c r="C3334" t="str">
        <f t="shared" si="192"/>
        <v>146</v>
      </c>
      <c r="D3334" t="str">
        <f>"5"</f>
        <v>5</v>
      </c>
      <c r="E3334" t="str">
        <f>"1-146-5"</f>
        <v>1-146-5</v>
      </c>
      <c r="F3334" t="s">
        <v>83</v>
      </c>
      <c r="G3334" t="s">
        <v>84</v>
      </c>
      <c r="H3334" t="s">
        <v>85</v>
      </c>
      <c r="AC3334">
        <v>0</v>
      </c>
      <c r="AD3334">
        <v>1</v>
      </c>
      <c r="AE3334">
        <v>0</v>
      </c>
      <c r="AF3334">
        <v>0</v>
      </c>
      <c r="AG3334">
        <v>1</v>
      </c>
      <c r="AJ3334">
        <v>1</v>
      </c>
      <c r="AK3334">
        <v>0</v>
      </c>
      <c r="AL3334">
        <v>0</v>
      </c>
      <c r="AM3334">
        <v>1</v>
      </c>
      <c r="AN3334">
        <v>0</v>
      </c>
      <c r="AO3334">
        <v>1</v>
      </c>
      <c r="AP3334">
        <v>1</v>
      </c>
      <c r="AQ3334">
        <v>1</v>
      </c>
      <c r="AR3334">
        <v>1</v>
      </c>
      <c r="AS3334">
        <v>0</v>
      </c>
      <c r="AT3334">
        <v>1</v>
      </c>
      <c r="AV3334">
        <v>1</v>
      </c>
      <c r="AW3334">
        <v>1</v>
      </c>
    </row>
    <row r="3335" spans="1:49" x14ac:dyDescent="0.25">
      <c r="A3335" t="str">
        <f>"3331"</f>
        <v>3331</v>
      </c>
      <c r="B3335" t="str">
        <f t="shared" si="190"/>
        <v>1</v>
      </c>
      <c r="C3335" t="str">
        <f t="shared" si="192"/>
        <v>146</v>
      </c>
      <c r="D3335" t="str">
        <f>"19"</f>
        <v>19</v>
      </c>
      <c r="E3335" t="str">
        <f>"1-146-19"</f>
        <v>1-146-19</v>
      </c>
      <c r="F3335" t="s">
        <v>83</v>
      </c>
      <c r="G3335" t="s">
        <v>84</v>
      </c>
      <c r="H3335" t="s">
        <v>85</v>
      </c>
      <c r="AC3335">
        <v>0</v>
      </c>
      <c r="AD3335">
        <v>1</v>
      </c>
      <c r="AE3335">
        <v>0</v>
      </c>
      <c r="AF3335">
        <v>0</v>
      </c>
      <c r="AG3335">
        <v>0</v>
      </c>
      <c r="AJ3335">
        <v>0</v>
      </c>
      <c r="AK3335">
        <v>0</v>
      </c>
      <c r="AL3335">
        <v>0</v>
      </c>
      <c r="AM3335">
        <v>1</v>
      </c>
      <c r="AN3335">
        <v>0</v>
      </c>
      <c r="AO3335">
        <v>0</v>
      </c>
      <c r="AP3335">
        <v>1</v>
      </c>
      <c r="AQ3335">
        <v>1</v>
      </c>
      <c r="AR3335">
        <v>1</v>
      </c>
      <c r="AS3335">
        <v>0</v>
      </c>
      <c r="AT3335">
        <v>1</v>
      </c>
      <c r="AV3335">
        <v>0</v>
      </c>
      <c r="AW3335">
        <v>1</v>
      </c>
    </row>
    <row r="3336" spans="1:49" x14ac:dyDescent="0.25">
      <c r="A3336" t="str">
        <f>"3332"</f>
        <v>3332</v>
      </c>
      <c r="B3336" t="str">
        <f t="shared" si="190"/>
        <v>1</v>
      </c>
      <c r="C3336" t="str">
        <f t="shared" si="192"/>
        <v>146</v>
      </c>
      <c r="D3336" t="str">
        <f>"12"</f>
        <v>12</v>
      </c>
      <c r="E3336" t="str">
        <f>"1-146-12"</f>
        <v>1-146-12</v>
      </c>
      <c r="F3336" t="s">
        <v>83</v>
      </c>
      <c r="G3336" t="s">
        <v>86</v>
      </c>
      <c r="H3336" t="s">
        <v>87</v>
      </c>
      <c r="AC3336">
        <v>1</v>
      </c>
      <c r="AD3336">
        <v>0</v>
      </c>
      <c r="AE3336">
        <v>0</v>
      </c>
      <c r="AF3336">
        <v>0</v>
      </c>
      <c r="AH3336">
        <v>1</v>
      </c>
      <c r="AI3336">
        <v>0</v>
      </c>
      <c r="AJ3336">
        <v>0</v>
      </c>
      <c r="AK3336">
        <v>1</v>
      </c>
      <c r="AL3336">
        <v>1</v>
      </c>
      <c r="AM3336">
        <v>0</v>
      </c>
      <c r="AN3336">
        <v>0</v>
      </c>
      <c r="AO3336">
        <v>1</v>
      </c>
      <c r="AP3336">
        <v>1</v>
      </c>
      <c r="AQ3336">
        <v>1</v>
      </c>
      <c r="AU3336">
        <v>1</v>
      </c>
      <c r="AV3336">
        <v>1</v>
      </c>
      <c r="AW3336">
        <v>1</v>
      </c>
    </row>
    <row r="3337" spans="1:49" x14ac:dyDescent="0.25">
      <c r="A3337" t="str">
        <f>"3333"</f>
        <v>3333</v>
      </c>
      <c r="B3337" t="str">
        <f t="shared" si="190"/>
        <v>1</v>
      </c>
      <c r="C3337" t="str">
        <f t="shared" si="192"/>
        <v>146</v>
      </c>
      <c r="D3337" t="str">
        <f>"3"</f>
        <v>3</v>
      </c>
      <c r="E3337" t="str">
        <f>"1-146-3"</f>
        <v>1-146-3</v>
      </c>
      <c r="F3337" t="s">
        <v>83</v>
      </c>
      <c r="G3337" t="s">
        <v>84</v>
      </c>
      <c r="H3337" t="s">
        <v>85</v>
      </c>
      <c r="AC3337">
        <v>1</v>
      </c>
      <c r="AD3337">
        <v>0</v>
      </c>
      <c r="AE3337">
        <v>0</v>
      </c>
      <c r="AF3337">
        <v>0</v>
      </c>
      <c r="AG3337">
        <v>1</v>
      </c>
      <c r="AJ3337">
        <v>0</v>
      </c>
      <c r="AK3337">
        <v>1</v>
      </c>
      <c r="AL3337">
        <v>1</v>
      </c>
      <c r="AM3337">
        <v>0</v>
      </c>
      <c r="AN3337">
        <v>0</v>
      </c>
      <c r="AO3337">
        <v>1</v>
      </c>
      <c r="AP3337">
        <v>1</v>
      </c>
      <c r="AQ3337">
        <v>1</v>
      </c>
      <c r="AR3337">
        <v>1</v>
      </c>
      <c r="AS3337">
        <v>0</v>
      </c>
      <c r="AT3337">
        <v>1</v>
      </c>
      <c r="AV3337">
        <v>1</v>
      </c>
      <c r="AW3337">
        <v>1</v>
      </c>
    </row>
    <row r="3338" spans="1:49" x14ac:dyDescent="0.25">
      <c r="A3338" t="str">
        <f>"3334"</f>
        <v>3334</v>
      </c>
      <c r="B3338" t="str">
        <f t="shared" si="190"/>
        <v>1</v>
      </c>
      <c r="C3338" t="str">
        <f t="shared" si="192"/>
        <v>146</v>
      </c>
      <c r="D3338" t="str">
        <f>"21"</f>
        <v>21</v>
      </c>
      <c r="E3338" t="str">
        <f>"1-146-21"</f>
        <v>1-146-21</v>
      </c>
      <c r="F3338" t="s">
        <v>83</v>
      </c>
      <c r="G3338" t="s">
        <v>84</v>
      </c>
      <c r="H3338" t="s">
        <v>85</v>
      </c>
      <c r="AC3338">
        <v>0</v>
      </c>
      <c r="AD3338">
        <v>1</v>
      </c>
      <c r="AE3338">
        <v>0</v>
      </c>
      <c r="AF3338">
        <v>0</v>
      </c>
      <c r="AG3338">
        <v>1</v>
      </c>
      <c r="AJ3338">
        <v>0</v>
      </c>
      <c r="AK3338">
        <v>0</v>
      </c>
      <c r="AL3338">
        <v>0</v>
      </c>
      <c r="AM3338">
        <v>0</v>
      </c>
      <c r="AN3338">
        <v>1</v>
      </c>
      <c r="AO3338">
        <v>1</v>
      </c>
      <c r="AP3338">
        <v>1</v>
      </c>
      <c r="AQ3338">
        <v>1</v>
      </c>
      <c r="AR3338">
        <v>1</v>
      </c>
      <c r="AS3338">
        <v>1</v>
      </c>
      <c r="AT3338">
        <v>0</v>
      </c>
      <c r="AV3338">
        <v>1</v>
      </c>
      <c r="AW3338">
        <v>1</v>
      </c>
    </row>
    <row r="3339" spans="1:49" x14ac:dyDescent="0.25">
      <c r="A3339" t="str">
        <f>"3335"</f>
        <v>3335</v>
      </c>
      <c r="B3339" t="str">
        <f t="shared" si="190"/>
        <v>1</v>
      </c>
      <c r="C3339" t="str">
        <f t="shared" si="192"/>
        <v>146</v>
      </c>
      <c r="D3339" t="str">
        <f>"13"</f>
        <v>13</v>
      </c>
      <c r="E3339" t="str">
        <f>"1-146-13"</f>
        <v>1-146-13</v>
      </c>
      <c r="F3339" t="s">
        <v>83</v>
      </c>
      <c r="G3339" t="s">
        <v>84</v>
      </c>
      <c r="H3339" t="s">
        <v>85</v>
      </c>
      <c r="AC3339">
        <v>0</v>
      </c>
      <c r="AD3339">
        <v>1</v>
      </c>
      <c r="AE3339">
        <v>0</v>
      </c>
      <c r="AF3339">
        <v>0</v>
      </c>
      <c r="AG3339">
        <v>0</v>
      </c>
      <c r="AJ3339">
        <v>1</v>
      </c>
      <c r="AK3339">
        <v>0</v>
      </c>
      <c r="AL3339">
        <v>1</v>
      </c>
      <c r="AM3339">
        <v>0</v>
      </c>
      <c r="AN3339">
        <v>0</v>
      </c>
      <c r="AO3339">
        <v>1</v>
      </c>
      <c r="AP3339">
        <v>1</v>
      </c>
      <c r="AQ3339">
        <v>1</v>
      </c>
      <c r="AR3339">
        <v>1</v>
      </c>
      <c r="AS3339">
        <v>1</v>
      </c>
      <c r="AT3339">
        <v>0</v>
      </c>
      <c r="AV3339">
        <v>1</v>
      </c>
      <c r="AW3339">
        <v>1</v>
      </c>
    </row>
    <row r="3340" spans="1:49" x14ac:dyDescent="0.25">
      <c r="A3340" t="str">
        <f>"3336"</f>
        <v>3336</v>
      </c>
      <c r="B3340" t="str">
        <f t="shared" si="190"/>
        <v>1</v>
      </c>
      <c r="C3340" t="str">
        <f t="shared" si="192"/>
        <v>146</v>
      </c>
      <c r="D3340" t="str">
        <f>"2"</f>
        <v>2</v>
      </c>
      <c r="E3340" t="str">
        <f>"1-146-2"</f>
        <v>1-146-2</v>
      </c>
      <c r="F3340" t="s">
        <v>83</v>
      </c>
      <c r="G3340" t="s">
        <v>84</v>
      </c>
      <c r="H3340" t="s">
        <v>85</v>
      </c>
      <c r="AC3340">
        <v>1</v>
      </c>
      <c r="AD3340">
        <v>0</v>
      </c>
      <c r="AE3340">
        <v>0</v>
      </c>
      <c r="AF3340">
        <v>0</v>
      </c>
      <c r="AG3340">
        <v>1</v>
      </c>
      <c r="AJ3340">
        <v>1</v>
      </c>
      <c r="AK3340">
        <v>0</v>
      </c>
      <c r="AL3340">
        <v>0</v>
      </c>
      <c r="AM3340">
        <v>1</v>
      </c>
      <c r="AN3340">
        <v>0</v>
      </c>
      <c r="AO3340">
        <v>1</v>
      </c>
      <c r="AP3340">
        <v>1</v>
      </c>
      <c r="AQ3340">
        <v>1</v>
      </c>
      <c r="AR3340">
        <v>1</v>
      </c>
      <c r="AS3340">
        <v>0</v>
      </c>
      <c r="AT3340">
        <v>0</v>
      </c>
      <c r="AV3340">
        <v>0</v>
      </c>
      <c r="AW3340">
        <v>1</v>
      </c>
    </row>
    <row r="3341" spans="1:49" x14ac:dyDescent="0.25">
      <c r="A3341" t="str">
        <f>"3337"</f>
        <v>3337</v>
      </c>
      <c r="B3341" t="str">
        <f t="shared" si="190"/>
        <v>1</v>
      </c>
      <c r="C3341" t="str">
        <f t="shared" si="192"/>
        <v>146</v>
      </c>
      <c r="D3341" t="str">
        <f>"20"</f>
        <v>20</v>
      </c>
      <c r="E3341" t="str">
        <f>"1-146-20"</f>
        <v>1-146-20</v>
      </c>
      <c r="F3341" t="s">
        <v>83</v>
      </c>
      <c r="G3341" t="s">
        <v>84</v>
      </c>
      <c r="H3341" t="s">
        <v>85</v>
      </c>
      <c r="AC3341">
        <v>0</v>
      </c>
      <c r="AD3341">
        <v>1</v>
      </c>
      <c r="AE3341">
        <v>0</v>
      </c>
      <c r="AF3341">
        <v>0</v>
      </c>
      <c r="AG3341">
        <v>0</v>
      </c>
      <c r="AJ3341">
        <v>0</v>
      </c>
      <c r="AK3341">
        <v>0</v>
      </c>
      <c r="AL3341">
        <v>0</v>
      </c>
      <c r="AM3341">
        <v>0</v>
      </c>
      <c r="AN3341">
        <v>0</v>
      </c>
      <c r="AO3341">
        <v>0</v>
      </c>
      <c r="AP3341">
        <v>0</v>
      </c>
      <c r="AQ3341">
        <v>0</v>
      </c>
      <c r="AR3341">
        <v>0</v>
      </c>
      <c r="AS3341">
        <v>0</v>
      </c>
      <c r="AT3341">
        <v>0</v>
      </c>
      <c r="AV3341">
        <v>0</v>
      </c>
      <c r="AW3341">
        <v>0</v>
      </c>
    </row>
    <row r="3342" spans="1:49" x14ac:dyDescent="0.25">
      <c r="A3342" t="str">
        <f>"3338"</f>
        <v>3338</v>
      </c>
      <c r="B3342" t="str">
        <f t="shared" si="190"/>
        <v>1</v>
      </c>
      <c r="C3342" t="str">
        <f t="shared" si="192"/>
        <v>146</v>
      </c>
      <c r="D3342" t="str">
        <f>"14"</f>
        <v>14</v>
      </c>
      <c r="E3342" t="str">
        <f>"1-146-14"</f>
        <v>1-146-14</v>
      </c>
      <c r="F3342" t="s">
        <v>83</v>
      </c>
      <c r="G3342" t="s">
        <v>84</v>
      </c>
      <c r="H3342" t="s">
        <v>85</v>
      </c>
      <c r="AC3342">
        <v>0</v>
      </c>
      <c r="AD3342">
        <v>1</v>
      </c>
      <c r="AE3342">
        <v>0</v>
      </c>
      <c r="AF3342">
        <v>0</v>
      </c>
      <c r="AG3342">
        <v>0</v>
      </c>
      <c r="AJ3342">
        <v>1</v>
      </c>
      <c r="AK3342">
        <v>0</v>
      </c>
      <c r="AL3342">
        <v>1</v>
      </c>
      <c r="AM3342">
        <v>0</v>
      </c>
      <c r="AN3342">
        <v>0</v>
      </c>
      <c r="AO3342">
        <v>1</v>
      </c>
      <c r="AP3342">
        <v>1</v>
      </c>
      <c r="AQ3342">
        <v>0</v>
      </c>
      <c r="AR3342">
        <v>1</v>
      </c>
      <c r="AS3342">
        <v>0</v>
      </c>
      <c r="AT3342">
        <v>1</v>
      </c>
      <c r="AV3342">
        <v>1</v>
      </c>
      <c r="AW3342">
        <v>1</v>
      </c>
    </row>
    <row r="3343" spans="1:49" x14ac:dyDescent="0.25">
      <c r="A3343" t="str">
        <f>"3339"</f>
        <v>3339</v>
      </c>
      <c r="B3343" t="str">
        <f t="shared" si="190"/>
        <v>1</v>
      </c>
      <c r="C3343" t="str">
        <f t="shared" si="192"/>
        <v>146</v>
      </c>
      <c r="D3343" t="str">
        <f>"4"</f>
        <v>4</v>
      </c>
      <c r="E3343" t="str">
        <f>"1-146-4"</f>
        <v>1-146-4</v>
      </c>
      <c r="F3343" t="s">
        <v>83</v>
      </c>
      <c r="G3343" t="s">
        <v>84</v>
      </c>
      <c r="H3343" t="s">
        <v>85</v>
      </c>
      <c r="AC3343">
        <v>0</v>
      </c>
      <c r="AD3343">
        <v>1</v>
      </c>
      <c r="AE3343">
        <v>0</v>
      </c>
      <c r="AF3343">
        <v>0</v>
      </c>
      <c r="AG3343">
        <v>1</v>
      </c>
      <c r="AJ3343">
        <v>1</v>
      </c>
      <c r="AK3343">
        <v>0</v>
      </c>
      <c r="AL3343">
        <v>1</v>
      </c>
      <c r="AM3343">
        <v>0</v>
      </c>
      <c r="AN3343">
        <v>0</v>
      </c>
      <c r="AO3343">
        <v>1</v>
      </c>
      <c r="AP3343">
        <v>1</v>
      </c>
      <c r="AQ3343">
        <v>1</v>
      </c>
      <c r="AR3343">
        <v>1</v>
      </c>
      <c r="AS3343">
        <v>1</v>
      </c>
      <c r="AT3343">
        <v>0</v>
      </c>
      <c r="AV3343">
        <v>1</v>
      </c>
      <c r="AW3343">
        <v>1</v>
      </c>
    </row>
    <row r="3344" spans="1:49" x14ac:dyDescent="0.25">
      <c r="A3344" t="str">
        <f>"3340"</f>
        <v>3340</v>
      </c>
      <c r="B3344" t="str">
        <f t="shared" si="190"/>
        <v>1</v>
      </c>
      <c r="C3344" t="str">
        <f t="shared" ref="C3344:C3368" si="193">"147"</f>
        <v>147</v>
      </c>
      <c r="D3344" t="str">
        <f>"23"</f>
        <v>23</v>
      </c>
      <c r="E3344" t="str">
        <f>"1-147-23"</f>
        <v>1-147-23</v>
      </c>
      <c r="F3344" t="s">
        <v>83</v>
      </c>
      <c r="G3344" t="s">
        <v>84</v>
      </c>
      <c r="H3344" t="s">
        <v>85</v>
      </c>
      <c r="AC3344">
        <v>0</v>
      </c>
      <c r="AD3344">
        <v>0</v>
      </c>
      <c r="AE3344">
        <v>0</v>
      </c>
      <c r="AF3344">
        <v>0</v>
      </c>
      <c r="AG3344">
        <v>0</v>
      </c>
      <c r="AJ3344">
        <v>0</v>
      </c>
      <c r="AK3344">
        <v>1</v>
      </c>
      <c r="AL3344">
        <v>0</v>
      </c>
      <c r="AM3344">
        <v>0</v>
      </c>
      <c r="AN3344">
        <v>0</v>
      </c>
      <c r="AO3344">
        <v>0</v>
      </c>
      <c r="AP3344">
        <v>0</v>
      </c>
      <c r="AQ3344">
        <v>0</v>
      </c>
      <c r="AR3344">
        <v>0</v>
      </c>
      <c r="AS3344">
        <v>1</v>
      </c>
      <c r="AT3344">
        <v>0</v>
      </c>
      <c r="AV3344">
        <v>0</v>
      </c>
      <c r="AW3344">
        <v>0</v>
      </c>
    </row>
    <row r="3345" spans="1:49" x14ac:dyDescent="0.25">
      <c r="A3345" t="str">
        <f>"3341"</f>
        <v>3341</v>
      </c>
      <c r="B3345" t="str">
        <f t="shared" si="190"/>
        <v>1</v>
      </c>
      <c r="C3345" t="str">
        <f t="shared" si="193"/>
        <v>147</v>
      </c>
      <c r="D3345" t="str">
        <f>"22"</f>
        <v>22</v>
      </c>
      <c r="E3345" t="str">
        <f>"1-147-22"</f>
        <v>1-147-22</v>
      </c>
      <c r="F3345" t="s">
        <v>83</v>
      </c>
      <c r="G3345" t="s">
        <v>84</v>
      </c>
      <c r="H3345" t="s">
        <v>85</v>
      </c>
      <c r="AC3345">
        <v>1</v>
      </c>
      <c r="AD3345">
        <v>0</v>
      </c>
      <c r="AE3345">
        <v>0</v>
      </c>
      <c r="AF3345">
        <v>0</v>
      </c>
      <c r="AG3345">
        <v>0</v>
      </c>
      <c r="AJ3345">
        <v>0</v>
      </c>
      <c r="AK3345">
        <v>0</v>
      </c>
      <c r="AL3345">
        <v>0</v>
      </c>
      <c r="AM3345">
        <v>0</v>
      </c>
      <c r="AN3345">
        <v>0</v>
      </c>
      <c r="AO3345">
        <v>1</v>
      </c>
      <c r="AP3345">
        <v>1</v>
      </c>
      <c r="AQ3345">
        <v>1</v>
      </c>
      <c r="AR3345">
        <v>1</v>
      </c>
      <c r="AS3345">
        <v>0</v>
      </c>
      <c r="AT3345">
        <v>0</v>
      </c>
      <c r="AV3345">
        <v>1</v>
      </c>
      <c r="AW3345">
        <v>1</v>
      </c>
    </row>
    <row r="3346" spans="1:49" x14ac:dyDescent="0.25">
      <c r="A3346" t="str">
        <f>"3342"</f>
        <v>3342</v>
      </c>
      <c r="B3346" t="str">
        <f t="shared" si="190"/>
        <v>1</v>
      </c>
      <c r="C3346" t="str">
        <f t="shared" si="193"/>
        <v>147</v>
      </c>
      <c r="D3346" t="str">
        <f>"15"</f>
        <v>15</v>
      </c>
      <c r="E3346" t="str">
        <f>"1-147-15"</f>
        <v>1-147-15</v>
      </c>
      <c r="F3346" t="s">
        <v>83</v>
      </c>
      <c r="G3346" t="s">
        <v>84</v>
      </c>
      <c r="H3346" t="s">
        <v>85</v>
      </c>
      <c r="AC3346">
        <v>0</v>
      </c>
      <c r="AD3346">
        <v>1</v>
      </c>
      <c r="AE3346">
        <v>0</v>
      </c>
      <c r="AF3346">
        <v>0</v>
      </c>
      <c r="AG3346">
        <v>1</v>
      </c>
      <c r="AJ3346">
        <v>1</v>
      </c>
      <c r="AK3346">
        <v>0</v>
      </c>
      <c r="AL3346">
        <v>0</v>
      </c>
      <c r="AM3346">
        <v>0</v>
      </c>
      <c r="AN3346">
        <v>1</v>
      </c>
      <c r="AO3346">
        <v>1</v>
      </c>
      <c r="AP3346">
        <v>1</v>
      </c>
      <c r="AQ3346">
        <v>1</v>
      </c>
      <c r="AR3346">
        <v>1</v>
      </c>
      <c r="AS3346">
        <v>0</v>
      </c>
      <c r="AT3346">
        <v>1</v>
      </c>
      <c r="AV3346">
        <v>1</v>
      </c>
      <c r="AW3346">
        <v>1</v>
      </c>
    </row>
    <row r="3347" spans="1:49" x14ac:dyDescent="0.25">
      <c r="A3347" t="str">
        <f>"3343"</f>
        <v>3343</v>
      </c>
      <c r="B3347" t="str">
        <f t="shared" si="190"/>
        <v>1</v>
      </c>
      <c r="C3347" t="str">
        <f t="shared" si="193"/>
        <v>147</v>
      </c>
      <c r="D3347" t="str">
        <f>"8"</f>
        <v>8</v>
      </c>
      <c r="E3347" t="str">
        <f>"1-147-8"</f>
        <v>1-147-8</v>
      </c>
      <c r="F3347" t="s">
        <v>83</v>
      </c>
      <c r="G3347" t="s">
        <v>84</v>
      </c>
      <c r="H3347" t="s">
        <v>85</v>
      </c>
      <c r="AC3347">
        <v>0</v>
      </c>
      <c r="AD3347">
        <v>1</v>
      </c>
      <c r="AE3347">
        <v>0</v>
      </c>
      <c r="AF3347">
        <v>0</v>
      </c>
      <c r="AG3347">
        <v>0</v>
      </c>
      <c r="AJ3347">
        <v>0</v>
      </c>
      <c r="AK3347">
        <v>1</v>
      </c>
      <c r="AL3347">
        <v>0</v>
      </c>
      <c r="AM3347">
        <v>0</v>
      </c>
      <c r="AN3347">
        <v>1</v>
      </c>
      <c r="AO3347">
        <v>0</v>
      </c>
      <c r="AP3347">
        <v>0</v>
      </c>
      <c r="AQ3347">
        <v>0</v>
      </c>
      <c r="AR3347">
        <v>0</v>
      </c>
      <c r="AS3347">
        <v>0</v>
      </c>
      <c r="AT3347">
        <v>1</v>
      </c>
      <c r="AV3347">
        <v>0</v>
      </c>
      <c r="AW3347">
        <v>0</v>
      </c>
    </row>
    <row r="3348" spans="1:49" x14ac:dyDescent="0.25">
      <c r="A3348" t="str">
        <f>"3344"</f>
        <v>3344</v>
      </c>
      <c r="B3348" t="str">
        <f t="shared" si="190"/>
        <v>1</v>
      </c>
      <c r="C3348" t="str">
        <f t="shared" si="193"/>
        <v>147</v>
      </c>
      <c r="D3348" t="str">
        <f>"2"</f>
        <v>2</v>
      </c>
      <c r="E3348" t="str">
        <f>"1-147-2"</f>
        <v>1-147-2</v>
      </c>
      <c r="F3348" t="s">
        <v>83</v>
      </c>
      <c r="G3348" t="s">
        <v>84</v>
      </c>
      <c r="H3348" t="s">
        <v>85</v>
      </c>
      <c r="AC3348">
        <v>1</v>
      </c>
      <c r="AD3348">
        <v>0</v>
      </c>
      <c r="AE3348">
        <v>0</v>
      </c>
      <c r="AF3348">
        <v>0</v>
      </c>
      <c r="AG3348">
        <v>0</v>
      </c>
      <c r="AJ3348">
        <v>0</v>
      </c>
      <c r="AK3348">
        <v>0</v>
      </c>
      <c r="AL3348">
        <v>0</v>
      </c>
      <c r="AM3348">
        <v>0</v>
      </c>
      <c r="AN3348">
        <v>0</v>
      </c>
      <c r="AO3348">
        <v>0</v>
      </c>
      <c r="AP3348">
        <v>0</v>
      </c>
      <c r="AQ3348">
        <v>0</v>
      </c>
      <c r="AR3348">
        <v>0</v>
      </c>
      <c r="AS3348">
        <v>0</v>
      </c>
      <c r="AT3348">
        <v>0</v>
      </c>
      <c r="AV3348">
        <v>0</v>
      </c>
      <c r="AW3348">
        <v>0</v>
      </c>
    </row>
    <row r="3349" spans="1:49" x14ac:dyDescent="0.25">
      <c r="A3349" t="str">
        <f>"3345"</f>
        <v>3345</v>
      </c>
      <c r="B3349" t="str">
        <f t="shared" si="190"/>
        <v>1</v>
      </c>
      <c r="C3349" t="str">
        <f t="shared" si="193"/>
        <v>147</v>
      </c>
      <c r="D3349" t="str">
        <f>"16"</f>
        <v>16</v>
      </c>
      <c r="E3349" t="str">
        <f>"1-147-16"</f>
        <v>1-147-16</v>
      </c>
      <c r="F3349" t="s">
        <v>83</v>
      </c>
      <c r="G3349" t="s">
        <v>84</v>
      </c>
      <c r="H3349" t="s">
        <v>85</v>
      </c>
      <c r="AC3349">
        <v>0</v>
      </c>
      <c r="AD3349">
        <v>1</v>
      </c>
      <c r="AE3349">
        <v>0</v>
      </c>
      <c r="AF3349">
        <v>0</v>
      </c>
      <c r="AG3349">
        <v>1</v>
      </c>
      <c r="AJ3349">
        <v>0</v>
      </c>
      <c r="AK3349">
        <v>1</v>
      </c>
      <c r="AL3349">
        <v>0</v>
      </c>
      <c r="AM3349">
        <v>1</v>
      </c>
      <c r="AN3349">
        <v>0</v>
      </c>
      <c r="AO3349">
        <v>1</v>
      </c>
      <c r="AP3349">
        <v>1</v>
      </c>
      <c r="AQ3349">
        <v>1</v>
      </c>
      <c r="AR3349">
        <v>1</v>
      </c>
      <c r="AS3349">
        <v>0</v>
      </c>
      <c r="AT3349">
        <v>1</v>
      </c>
      <c r="AV3349">
        <v>1</v>
      </c>
      <c r="AW3349">
        <v>1</v>
      </c>
    </row>
    <row r="3350" spans="1:49" x14ac:dyDescent="0.25">
      <c r="A3350" t="str">
        <f>"3346"</f>
        <v>3346</v>
      </c>
      <c r="B3350" t="str">
        <f t="shared" si="190"/>
        <v>1</v>
      </c>
      <c r="C3350" t="str">
        <f t="shared" si="193"/>
        <v>147</v>
      </c>
      <c r="D3350" t="str">
        <f>"9"</f>
        <v>9</v>
      </c>
      <c r="E3350" t="str">
        <f>"1-147-9"</f>
        <v>1-147-9</v>
      </c>
      <c r="F3350" t="s">
        <v>83</v>
      </c>
      <c r="G3350" t="s">
        <v>84</v>
      </c>
      <c r="H3350" t="s">
        <v>85</v>
      </c>
      <c r="AC3350">
        <v>1</v>
      </c>
      <c r="AD3350">
        <v>0</v>
      </c>
      <c r="AE3350">
        <v>0</v>
      </c>
      <c r="AF3350">
        <v>0</v>
      </c>
      <c r="AG3350">
        <v>1</v>
      </c>
      <c r="AJ3350">
        <v>0</v>
      </c>
      <c r="AK3350">
        <v>1</v>
      </c>
      <c r="AL3350">
        <v>0</v>
      </c>
      <c r="AM3350">
        <v>1</v>
      </c>
      <c r="AN3350">
        <v>0</v>
      </c>
      <c r="AO3350">
        <v>1</v>
      </c>
      <c r="AP3350">
        <v>1</v>
      </c>
      <c r="AQ3350">
        <v>1</v>
      </c>
      <c r="AR3350">
        <v>1</v>
      </c>
      <c r="AS3350">
        <v>0</v>
      </c>
      <c r="AT3350">
        <v>1</v>
      </c>
      <c r="AV3350">
        <v>1</v>
      </c>
      <c r="AW3350">
        <v>1</v>
      </c>
    </row>
    <row r="3351" spans="1:49" x14ac:dyDescent="0.25">
      <c r="A3351" t="str">
        <f>"3347"</f>
        <v>3347</v>
      </c>
      <c r="B3351" t="str">
        <f t="shared" si="190"/>
        <v>1</v>
      </c>
      <c r="C3351" t="str">
        <f t="shared" si="193"/>
        <v>147</v>
      </c>
      <c r="D3351" t="str">
        <f>"1"</f>
        <v>1</v>
      </c>
      <c r="E3351" t="str">
        <f>"1-147-1"</f>
        <v>1-147-1</v>
      </c>
      <c r="F3351" t="s">
        <v>83</v>
      </c>
      <c r="G3351" t="s">
        <v>84</v>
      </c>
      <c r="H3351" t="s">
        <v>85</v>
      </c>
      <c r="AC3351">
        <v>0</v>
      </c>
      <c r="AD3351">
        <v>1</v>
      </c>
      <c r="AE3351">
        <v>0</v>
      </c>
      <c r="AF3351">
        <v>0</v>
      </c>
      <c r="AG3351">
        <v>0</v>
      </c>
      <c r="AJ3351">
        <v>0</v>
      </c>
      <c r="AK3351">
        <v>1</v>
      </c>
      <c r="AL3351">
        <v>0</v>
      </c>
      <c r="AM3351">
        <v>1</v>
      </c>
      <c r="AN3351">
        <v>0</v>
      </c>
      <c r="AO3351">
        <v>0</v>
      </c>
      <c r="AP3351">
        <v>0</v>
      </c>
      <c r="AQ3351">
        <v>0</v>
      </c>
      <c r="AR3351">
        <v>1</v>
      </c>
      <c r="AS3351">
        <v>0</v>
      </c>
      <c r="AT3351">
        <v>1</v>
      </c>
      <c r="AV3351">
        <v>0</v>
      </c>
      <c r="AW3351">
        <v>1</v>
      </c>
    </row>
    <row r="3352" spans="1:49" x14ac:dyDescent="0.25">
      <c r="A3352" t="str">
        <f>"3348"</f>
        <v>3348</v>
      </c>
      <c r="B3352" t="str">
        <f t="shared" si="190"/>
        <v>1</v>
      </c>
      <c r="C3352" t="str">
        <f t="shared" si="193"/>
        <v>147</v>
      </c>
      <c r="D3352" t="str">
        <f>"25"</f>
        <v>25</v>
      </c>
      <c r="E3352" t="str">
        <f>"1-147-25"</f>
        <v>1-147-25</v>
      </c>
      <c r="F3352" t="s">
        <v>83</v>
      </c>
      <c r="G3352" t="s">
        <v>84</v>
      </c>
      <c r="H3352" t="s">
        <v>85</v>
      </c>
      <c r="AC3352">
        <v>1</v>
      </c>
      <c r="AD3352">
        <v>0</v>
      </c>
      <c r="AE3352">
        <v>0</v>
      </c>
      <c r="AF3352">
        <v>0</v>
      </c>
      <c r="AG3352">
        <v>1</v>
      </c>
      <c r="AJ3352">
        <v>1</v>
      </c>
      <c r="AK3352">
        <v>0</v>
      </c>
      <c r="AL3352">
        <v>0</v>
      </c>
      <c r="AM3352">
        <v>0</v>
      </c>
      <c r="AN3352">
        <v>1</v>
      </c>
      <c r="AO3352">
        <v>1</v>
      </c>
      <c r="AP3352">
        <v>1</v>
      </c>
      <c r="AQ3352">
        <v>1</v>
      </c>
      <c r="AR3352">
        <v>1</v>
      </c>
      <c r="AS3352">
        <v>0</v>
      </c>
      <c r="AT3352">
        <v>1</v>
      </c>
      <c r="AV3352">
        <v>1</v>
      </c>
      <c r="AW3352">
        <v>1</v>
      </c>
    </row>
    <row r="3353" spans="1:49" x14ac:dyDescent="0.25">
      <c r="A3353" t="str">
        <f>"3349"</f>
        <v>3349</v>
      </c>
      <c r="B3353" t="str">
        <f t="shared" si="190"/>
        <v>1</v>
      </c>
      <c r="C3353" t="str">
        <f t="shared" si="193"/>
        <v>147</v>
      </c>
      <c r="D3353" t="str">
        <f>"24"</f>
        <v>24</v>
      </c>
      <c r="E3353" t="str">
        <f>"1-147-24"</f>
        <v>1-147-24</v>
      </c>
      <c r="F3353" t="s">
        <v>83</v>
      </c>
      <c r="G3353" t="s">
        <v>86</v>
      </c>
      <c r="H3353" t="s">
        <v>87</v>
      </c>
      <c r="AC3353">
        <v>1</v>
      </c>
      <c r="AD3353">
        <v>0</v>
      </c>
      <c r="AE3353">
        <v>0</v>
      </c>
      <c r="AF3353">
        <v>0</v>
      </c>
      <c r="AH3353">
        <v>0</v>
      </c>
      <c r="AI3353">
        <v>1</v>
      </c>
      <c r="AJ3353">
        <v>0</v>
      </c>
      <c r="AK3353">
        <v>1</v>
      </c>
      <c r="AL3353">
        <v>0</v>
      </c>
      <c r="AM3353">
        <v>1</v>
      </c>
      <c r="AN3353">
        <v>0</v>
      </c>
      <c r="AO3353">
        <v>1</v>
      </c>
      <c r="AP3353">
        <v>1</v>
      </c>
      <c r="AQ3353">
        <v>1</v>
      </c>
      <c r="AU3353">
        <v>1</v>
      </c>
      <c r="AV3353">
        <v>1</v>
      </c>
      <c r="AW3353">
        <v>1</v>
      </c>
    </row>
    <row r="3354" spans="1:49" x14ac:dyDescent="0.25">
      <c r="A3354" t="str">
        <f>"3350"</f>
        <v>3350</v>
      </c>
      <c r="B3354" t="str">
        <f t="shared" si="190"/>
        <v>1</v>
      </c>
      <c r="C3354" t="str">
        <f t="shared" si="193"/>
        <v>147</v>
      </c>
      <c r="D3354" t="str">
        <f>"17"</f>
        <v>17</v>
      </c>
      <c r="E3354" t="str">
        <f>"1-147-17"</f>
        <v>1-147-17</v>
      </c>
      <c r="F3354" t="s">
        <v>83</v>
      </c>
      <c r="G3354" t="s">
        <v>86</v>
      </c>
      <c r="H3354" t="s">
        <v>87</v>
      </c>
      <c r="AC3354">
        <v>0</v>
      </c>
      <c r="AD3354">
        <v>1</v>
      </c>
      <c r="AE3354">
        <v>0</v>
      </c>
      <c r="AF3354">
        <v>0</v>
      </c>
      <c r="AH3354">
        <v>1</v>
      </c>
      <c r="AI3354">
        <v>0</v>
      </c>
      <c r="AJ3354">
        <v>1</v>
      </c>
      <c r="AK3354">
        <v>0</v>
      </c>
      <c r="AL3354">
        <v>0</v>
      </c>
      <c r="AM3354">
        <v>0</v>
      </c>
      <c r="AN3354">
        <v>0</v>
      </c>
      <c r="AO3354">
        <v>0</v>
      </c>
      <c r="AP3354">
        <v>0</v>
      </c>
      <c r="AQ3354">
        <v>0</v>
      </c>
      <c r="AU3354">
        <v>0</v>
      </c>
      <c r="AV3354">
        <v>0</v>
      </c>
      <c r="AW3354">
        <v>0</v>
      </c>
    </row>
    <row r="3355" spans="1:49" x14ac:dyDescent="0.25">
      <c r="A3355" t="str">
        <f>"3351"</f>
        <v>3351</v>
      </c>
      <c r="B3355" t="str">
        <f t="shared" si="190"/>
        <v>1</v>
      </c>
      <c r="C3355" t="str">
        <f t="shared" si="193"/>
        <v>147</v>
      </c>
      <c r="D3355" t="str">
        <f>"10"</f>
        <v>10</v>
      </c>
      <c r="E3355" t="str">
        <f>"1-147-10"</f>
        <v>1-147-10</v>
      </c>
      <c r="F3355" t="s">
        <v>83</v>
      </c>
      <c r="G3355" t="s">
        <v>84</v>
      </c>
      <c r="H3355" t="s">
        <v>85</v>
      </c>
      <c r="AC3355">
        <v>1</v>
      </c>
      <c r="AD3355">
        <v>0</v>
      </c>
      <c r="AE3355">
        <v>0</v>
      </c>
      <c r="AF3355">
        <v>0</v>
      </c>
      <c r="AG3355">
        <v>1</v>
      </c>
      <c r="AJ3355">
        <v>1</v>
      </c>
      <c r="AK3355">
        <v>0</v>
      </c>
      <c r="AL3355">
        <v>0</v>
      </c>
      <c r="AM3355">
        <v>0</v>
      </c>
      <c r="AN3355">
        <v>1</v>
      </c>
      <c r="AO3355">
        <v>1</v>
      </c>
      <c r="AP3355">
        <v>1</v>
      </c>
      <c r="AQ3355">
        <v>1</v>
      </c>
      <c r="AR3355">
        <v>1</v>
      </c>
      <c r="AS3355">
        <v>1</v>
      </c>
      <c r="AT3355">
        <v>0</v>
      </c>
      <c r="AV3355">
        <v>1</v>
      </c>
      <c r="AW3355">
        <v>1</v>
      </c>
    </row>
    <row r="3356" spans="1:49" x14ac:dyDescent="0.25">
      <c r="A3356" t="str">
        <f>"3352"</f>
        <v>3352</v>
      </c>
      <c r="B3356" t="str">
        <f t="shared" si="190"/>
        <v>1</v>
      </c>
      <c r="C3356" t="str">
        <f t="shared" si="193"/>
        <v>147</v>
      </c>
      <c r="D3356" t="str">
        <f>"6"</f>
        <v>6</v>
      </c>
      <c r="E3356" t="str">
        <f>"1-147-6"</f>
        <v>1-147-6</v>
      </c>
      <c r="F3356" t="s">
        <v>83</v>
      </c>
      <c r="G3356" t="s">
        <v>84</v>
      </c>
      <c r="H3356" t="s">
        <v>85</v>
      </c>
      <c r="AC3356">
        <v>0</v>
      </c>
      <c r="AD3356">
        <v>1</v>
      </c>
      <c r="AE3356">
        <v>0</v>
      </c>
      <c r="AF3356">
        <v>0</v>
      </c>
      <c r="AG3356">
        <v>0</v>
      </c>
      <c r="AJ3356">
        <v>0</v>
      </c>
      <c r="AK3356">
        <v>1</v>
      </c>
      <c r="AL3356">
        <v>0</v>
      </c>
      <c r="AM3356">
        <v>0</v>
      </c>
      <c r="AN3356">
        <v>1</v>
      </c>
      <c r="AO3356">
        <v>1</v>
      </c>
      <c r="AP3356">
        <v>1</v>
      </c>
      <c r="AQ3356">
        <v>1</v>
      </c>
      <c r="AR3356">
        <v>1</v>
      </c>
      <c r="AS3356">
        <v>1</v>
      </c>
      <c r="AT3356">
        <v>0</v>
      </c>
      <c r="AV3356">
        <v>1</v>
      </c>
      <c r="AW3356">
        <v>1</v>
      </c>
    </row>
    <row r="3357" spans="1:49" x14ac:dyDescent="0.25">
      <c r="A3357" t="str">
        <f>"3353"</f>
        <v>3353</v>
      </c>
      <c r="B3357" t="str">
        <f t="shared" si="190"/>
        <v>1</v>
      </c>
      <c r="C3357" t="str">
        <f t="shared" si="193"/>
        <v>147</v>
      </c>
      <c r="D3357" t="str">
        <f>"18"</f>
        <v>18</v>
      </c>
      <c r="E3357" t="str">
        <f>"1-147-18"</f>
        <v>1-147-18</v>
      </c>
      <c r="F3357" t="s">
        <v>83</v>
      </c>
      <c r="G3357" t="s">
        <v>84</v>
      </c>
      <c r="H3357" t="s">
        <v>85</v>
      </c>
      <c r="AC3357">
        <v>0</v>
      </c>
      <c r="AD3357">
        <v>1</v>
      </c>
      <c r="AE3357">
        <v>0</v>
      </c>
      <c r="AF3357">
        <v>0</v>
      </c>
      <c r="AG3357">
        <v>1</v>
      </c>
      <c r="AJ3357">
        <v>0</v>
      </c>
      <c r="AK3357">
        <v>1</v>
      </c>
      <c r="AL3357">
        <v>0</v>
      </c>
      <c r="AM3357">
        <v>0</v>
      </c>
      <c r="AN3357">
        <v>1</v>
      </c>
      <c r="AO3357">
        <v>1</v>
      </c>
      <c r="AP3357">
        <v>1</v>
      </c>
      <c r="AQ3357">
        <v>1</v>
      </c>
      <c r="AR3357">
        <v>1</v>
      </c>
      <c r="AS3357">
        <v>1</v>
      </c>
      <c r="AT3357">
        <v>0</v>
      </c>
      <c r="AV3357">
        <v>1</v>
      </c>
      <c r="AW3357">
        <v>1</v>
      </c>
    </row>
    <row r="3358" spans="1:49" x14ac:dyDescent="0.25">
      <c r="A3358" t="str">
        <f>"3354"</f>
        <v>3354</v>
      </c>
      <c r="B3358" t="str">
        <f t="shared" ref="B3358:B3421" si="194">"1"</f>
        <v>1</v>
      </c>
      <c r="C3358" t="str">
        <f t="shared" si="193"/>
        <v>147</v>
      </c>
      <c r="D3358" t="str">
        <f>"11"</f>
        <v>11</v>
      </c>
      <c r="E3358" t="str">
        <f>"1-147-11"</f>
        <v>1-147-11</v>
      </c>
      <c r="F3358" t="s">
        <v>83</v>
      </c>
      <c r="G3358" t="s">
        <v>84</v>
      </c>
      <c r="H3358" t="s">
        <v>85</v>
      </c>
      <c r="AC3358">
        <v>1</v>
      </c>
      <c r="AD3358">
        <v>0</v>
      </c>
      <c r="AE3358">
        <v>0</v>
      </c>
      <c r="AF3358">
        <v>0</v>
      </c>
      <c r="AG3358">
        <v>1</v>
      </c>
      <c r="AJ3358">
        <v>1</v>
      </c>
      <c r="AK3358">
        <v>0</v>
      </c>
      <c r="AL3358">
        <v>0</v>
      </c>
      <c r="AM3358">
        <v>0</v>
      </c>
      <c r="AN3358">
        <v>1</v>
      </c>
      <c r="AO3358">
        <v>1</v>
      </c>
      <c r="AP3358">
        <v>1</v>
      </c>
      <c r="AQ3358">
        <v>1</v>
      </c>
      <c r="AR3358">
        <v>1</v>
      </c>
      <c r="AS3358">
        <v>0</v>
      </c>
      <c r="AT3358">
        <v>1</v>
      </c>
      <c r="AV3358">
        <v>1</v>
      </c>
      <c r="AW3358">
        <v>1</v>
      </c>
    </row>
    <row r="3359" spans="1:49" x14ac:dyDescent="0.25">
      <c r="A3359" t="str">
        <f>"3355"</f>
        <v>3355</v>
      </c>
      <c r="B3359" t="str">
        <f t="shared" si="194"/>
        <v>1</v>
      </c>
      <c r="C3359" t="str">
        <f t="shared" si="193"/>
        <v>147</v>
      </c>
      <c r="D3359" t="str">
        <f>"7"</f>
        <v>7</v>
      </c>
      <c r="E3359" t="str">
        <f>"1-147-7"</f>
        <v>1-147-7</v>
      </c>
      <c r="F3359" t="s">
        <v>83</v>
      </c>
      <c r="G3359" t="s">
        <v>84</v>
      </c>
      <c r="H3359" t="s">
        <v>85</v>
      </c>
      <c r="AC3359">
        <v>0</v>
      </c>
      <c r="AD3359">
        <v>1</v>
      </c>
      <c r="AE3359">
        <v>0</v>
      </c>
      <c r="AF3359">
        <v>0</v>
      </c>
      <c r="AG3359">
        <v>0</v>
      </c>
      <c r="AJ3359">
        <v>1</v>
      </c>
      <c r="AK3359">
        <v>0</v>
      </c>
      <c r="AL3359">
        <v>0</v>
      </c>
      <c r="AM3359">
        <v>0</v>
      </c>
      <c r="AN3359">
        <v>1</v>
      </c>
      <c r="AO3359">
        <v>0</v>
      </c>
      <c r="AP3359">
        <v>0</v>
      </c>
      <c r="AQ3359">
        <v>0</v>
      </c>
      <c r="AR3359">
        <v>0</v>
      </c>
      <c r="AS3359">
        <v>0</v>
      </c>
      <c r="AT3359">
        <v>1</v>
      </c>
      <c r="AV3359">
        <v>0</v>
      </c>
      <c r="AW3359">
        <v>1</v>
      </c>
    </row>
    <row r="3360" spans="1:49" x14ac:dyDescent="0.25">
      <c r="A3360" t="str">
        <f>"3356"</f>
        <v>3356</v>
      </c>
      <c r="B3360" t="str">
        <f t="shared" si="194"/>
        <v>1</v>
      </c>
      <c r="C3360" t="str">
        <f t="shared" si="193"/>
        <v>147</v>
      </c>
      <c r="D3360" t="str">
        <f>"21"</f>
        <v>21</v>
      </c>
      <c r="E3360" t="str">
        <f>"1-147-21"</f>
        <v>1-147-21</v>
      </c>
      <c r="F3360" t="s">
        <v>83</v>
      </c>
      <c r="G3360" t="s">
        <v>84</v>
      </c>
      <c r="H3360" t="s">
        <v>85</v>
      </c>
      <c r="AC3360">
        <v>0</v>
      </c>
      <c r="AD3360">
        <v>1</v>
      </c>
      <c r="AE3360">
        <v>0</v>
      </c>
      <c r="AF3360">
        <v>0</v>
      </c>
      <c r="AG3360">
        <v>0</v>
      </c>
      <c r="AJ3360">
        <v>1</v>
      </c>
      <c r="AK3360">
        <v>0</v>
      </c>
      <c r="AL3360">
        <v>0</v>
      </c>
      <c r="AM3360">
        <v>1</v>
      </c>
      <c r="AN3360">
        <v>0</v>
      </c>
      <c r="AO3360">
        <v>1</v>
      </c>
      <c r="AP3360">
        <v>1</v>
      </c>
      <c r="AQ3360">
        <v>1</v>
      </c>
      <c r="AR3360">
        <v>1</v>
      </c>
      <c r="AS3360">
        <v>0</v>
      </c>
      <c r="AT3360">
        <v>1</v>
      </c>
      <c r="AV3360">
        <v>1</v>
      </c>
      <c r="AW3360">
        <v>1</v>
      </c>
    </row>
    <row r="3361" spans="1:49" x14ac:dyDescent="0.25">
      <c r="A3361" t="str">
        <f>"3357"</f>
        <v>3357</v>
      </c>
      <c r="B3361" t="str">
        <f t="shared" si="194"/>
        <v>1</v>
      </c>
      <c r="C3361" t="str">
        <f t="shared" si="193"/>
        <v>147</v>
      </c>
      <c r="D3361" t="str">
        <f>"12"</f>
        <v>12</v>
      </c>
      <c r="E3361" t="str">
        <f>"1-147-12"</f>
        <v>1-147-12</v>
      </c>
      <c r="F3361" t="s">
        <v>83</v>
      </c>
      <c r="G3361" t="s">
        <v>84</v>
      </c>
      <c r="H3361" t="s">
        <v>85</v>
      </c>
      <c r="AC3361">
        <v>1</v>
      </c>
      <c r="AD3361">
        <v>0</v>
      </c>
      <c r="AE3361">
        <v>0</v>
      </c>
      <c r="AF3361">
        <v>0</v>
      </c>
      <c r="AG3361">
        <v>1</v>
      </c>
      <c r="AJ3361">
        <v>1</v>
      </c>
      <c r="AK3361">
        <v>0</v>
      </c>
      <c r="AL3361">
        <v>0</v>
      </c>
      <c r="AM3361">
        <v>0</v>
      </c>
      <c r="AN3361">
        <v>1</v>
      </c>
      <c r="AO3361">
        <v>1</v>
      </c>
      <c r="AP3361">
        <v>1</v>
      </c>
      <c r="AQ3361">
        <v>1</v>
      </c>
      <c r="AR3361">
        <v>1</v>
      </c>
      <c r="AS3361">
        <v>0</v>
      </c>
      <c r="AT3361">
        <v>1</v>
      </c>
      <c r="AV3361">
        <v>1</v>
      </c>
      <c r="AW3361">
        <v>1</v>
      </c>
    </row>
    <row r="3362" spans="1:49" x14ac:dyDescent="0.25">
      <c r="A3362" t="str">
        <f>"3358"</f>
        <v>3358</v>
      </c>
      <c r="B3362" t="str">
        <f t="shared" si="194"/>
        <v>1</v>
      </c>
      <c r="C3362" t="str">
        <f t="shared" si="193"/>
        <v>147</v>
      </c>
      <c r="D3362" t="str">
        <f>"5"</f>
        <v>5</v>
      </c>
      <c r="E3362" t="str">
        <f>"1-147-5"</f>
        <v>1-147-5</v>
      </c>
      <c r="F3362" t="s">
        <v>83</v>
      </c>
      <c r="G3362" t="s">
        <v>84</v>
      </c>
      <c r="H3362" t="s">
        <v>85</v>
      </c>
      <c r="AC3362">
        <v>1</v>
      </c>
      <c r="AD3362">
        <v>0</v>
      </c>
      <c r="AE3362">
        <v>0</v>
      </c>
      <c r="AF3362">
        <v>0</v>
      </c>
      <c r="AG3362">
        <v>1</v>
      </c>
      <c r="AJ3362">
        <v>1</v>
      </c>
      <c r="AK3362">
        <v>0</v>
      </c>
      <c r="AL3362">
        <v>0</v>
      </c>
      <c r="AM3362">
        <v>1</v>
      </c>
      <c r="AN3362">
        <v>0</v>
      </c>
      <c r="AO3362">
        <v>1</v>
      </c>
      <c r="AP3362">
        <v>1</v>
      </c>
      <c r="AQ3362">
        <v>1</v>
      </c>
      <c r="AR3362">
        <v>1</v>
      </c>
      <c r="AS3362">
        <v>0</v>
      </c>
      <c r="AT3362">
        <v>1</v>
      </c>
      <c r="AV3362">
        <v>1</v>
      </c>
      <c r="AW3362">
        <v>1</v>
      </c>
    </row>
    <row r="3363" spans="1:49" x14ac:dyDescent="0.25">
      <c r="A3363" t="str">
        <f>"3359"</f>
        <v>3359</v>
      </c>
      <c r="B3363" t="str">
        <f t="shared" si="194"/>
        <v>1</v>
      </c>
      <c r="C3363" t="str">
        <f t="shared" si="193"/>
        <v>147</v>
      </c>
      <c r="D3363" t="str">
        <f>"20"</f>
        <v>20</v>
      </c>
      <c r="E3363" t="str">
        <f>"1-147-20"</f>
        <v>1-147-20</v>
      </c>
      <c r="F3363" t="s">
        <v>83</v>
      </c>
      <c r="G3363" t="s">
        <v>84</v>
      </c>
      <c r="H3363" t="s">
        <v>85</v>
      </c>
      <c r="AC3363">
        <v>0</v>
      </c>
      <c r="AD3363">
        <v>1</v>
      </c>
      <c r="AE3363">
        <v>0</v>
      </c>
      <c r="AF3363">
        <v>0</v>
      </c>
      <c r="AG3363">
        <v>1</v>
      </c>
      <c r="AJ3363">
        <v>0</v>
      </c>
      <c r="AK3363">
        <v>1</v>
      </c>
      <c r="AL3363">
        <v>0</v>
      </c>
      <c r="AM3363">
        <v>0</v>
      </c>
      <c r="AN3363">
        <v>1</v>
      </c>
      <c r="AO3363">
        <v>1</v>
      </c>
      <c r="AP3363">
        <v>1</v>
      </c>
      <c r="AQ3363">
        <v>1</v>
      </c>
      <c r="AR3363">
        <v>1</v>
      </c>
      <c r="AS3363">
        <v>0</v>
      </c>
      <c r="AT3363">
        <v>1</v>
      </c>
      <c r="AV3363">
        <v>1</v>
      </c>
      <c r="AW3363">
        <v>1</v>
      </c>
    </row>
    <row r="3364" spans="1:49" x14ac:dyDescent="0.25">
      <c r="A3364" t="str">
        <f>"3360"</f>
        <v>3360</v>
      </c>
      <c r="B3364" t="str">
        <f t="shared" si="194"/>
        <v>1</v>
      </c>
      <c r="C3364" t="str">
        <f t="shared" si="193"/>
        <v>147</v>
      </c>
      <c r="D3364" t="str">
        <f>"13"</f>
        <v>13</v>
      </c>
      <c r="E3364" t="str">
        <f>"1-147-13"</f>
        <v>1-147-13</v>
      </c>
      <c r="F3364" t="s">
        <v>83</v>
      </c>
      <c r="G3364" t="s">
        <v>84</v>
      </c>
      <c r="H3364" t="s">
        <v>85</v>
      </c>
      <c r="AC3364">
        <v>1</v>
      </c>
      <c r="AD3364">
        <v>0</v>
      </c>
      <c r="AE3364">
        <v>0</v>
      </c>
      <c r="AF3364">
        <v>0</v>
      </c>
      <c r="AG3364">
        <v>1</v>
      </c>
      <c r="AJ3364">
        <v>0</v>
      </c>
      <c r="AK3364">
        <v>1</v>
      </c>
      <c r="AL3364">
        <v>0</v>
      </c>
      <c r="AM3364">
        <v>0</v>
      </c>
      <c r="AN3364">
        <v>1</v>
      </c>
      <c r="AO3364">
        <v>1</v>
      </c>
      <c r="AP3364">
        <v>1</v>
      </c>
      <c r="AQ3364">
        <v>1</v>
      </c>
      <c r="AR3364">
        <v>1</v>
      </c>
      <c r="AS3364">
        <v>1</v>
      </c>
      <c r="AT3364">
        <v>0</v>
      </c>
      <c r="AV3364">
        <v>1</v>
      </c>
      <c r="AW3364">
        <v>1</v>
      </c>
    </row>
    <row r="3365" spans="1:49" x14ac:dyDescent="0.25">
      <c r="A3365" t="str">
        <f>"3361"</f>
        <v>3361</v>
      </c>
      <c r="B3365" t="str">
        <f t="shared" si="194"/>
        <v>1</v>
      </c>
      <c r="C3365" t="str">
        <f t="shared" si="193"/>
        <v>147</v>
      </c>
      <c r="D3365" t="str">
        <f>"4"</f>
        <v>4</v>
      </c>
      <c r="E3365" t="str">
        <f>"1-147-4"</f>
        <v>1-147-4</v>
      </c>
      <c r="F3365" t="s">
        <v>83</v>
      </c>
      <c r="G3365" t="s">
        <v>84</v>
      </c>
      <c r="H3365" t="s">
        <v>85</v>
      </c>
      <c r="AC3365">
        <v>1</v>
      </c>
      <c r="AD3365">
        <v>0</v>
      </c>
      <c r="AE3365">
        <v>0</v>
      </c>
      <c r="AF3365">
        <v>0</v>
      </c>
      <c r="AG3365">
        <v>1</v>
      </c>
      <c r="AJ3365">
        <v>1</v>
      </c>
      <c r="AK3365">
        <v>0</v>
      </c>
      <c r="AL3365">
        <v>0</v>
      </c>
      <c r="AM3365">
        <v>1</v>
      </c>
      <c r="AN3365">
        <v>0</v>
      </c>
      <c r="AO3365">
        <v>1</v>
      </c>
      <c r="AP3365">
        <v>1</v>
      </c>
      <c r="AQ3365">
        <v>1</v>
      </c>
      <c r="AR3365">
        <v>1</v>
      </c>
      <c r="AS3365">
        <v>0</v>
      </c>
      <c r="AT3365">
        <v>1</v>
      </c>
      <c r="AV3365">
        <v>1</v>
      </c>
      <c r="AW3365">
        <v>1</v>
      </c>
    </row>
    <row r="3366" spans="1:49" x14ac:dyDescent="0.25">
      <c r="A3366" t="str">
        <f>"3362"</f>
        <v>3362</v>
      </c>
      <c r="B3366" t="str">
        <f t="shared" si="194"/>
        <v>1</v>
      </c>
      <c r="C3366" t="str">
        <f t="shared" si="193"/>
        <v>147</v>
      </c>
      <c r="D3366" t="str">
        <f>"19"</f>
        <v>19</v>
      </c>
      <c r="E3366" t="str">
        <f>"1-147-19"</f>
        <v>1-147-19</v>
      </c>
      <c r="F3366" t="s">
        <v>83</v>
      </c>
      <c r="G3366" t="s">
        <v>88</v>
      </c>
      <c r="H3366" t="s">
        <v>89</v>
      </c>
      <c r="AC3366">
        <v>1</v>
      </c>
      <c r="AD3366">
        <v>0</v>
      </c>
      <c r="AE3366">
        <v>0</v>
      </c>
      <c r="AF3366">
        <v>0</v>
      </c>
      <c r="AH3366">
        <v>1</v>
      </c>
      <c r="AI3366">
        <v>0</v>
      </c>
      <c r="AJ3366">
        <v>0</v>
      </c>
      <c r="AK3366">
        <v>1</v>
      </c>
      <c r="AL3366">
        <v>1</v>
      </c>
      <c r="AM3366">
        <v>0</v>
      </c>
      <c r="AN3366">
        <v>0</v>
      </c>
      <c r="AO3366">
        <v>1</v>
      </c>
      <c r="AP3366">
        <v>1</v>
      </c>
      <c r="AQ3366">
        <v>1</v>
      </c>
      <c r="AR3366">
        <v>1</v>
      </c>
      <c r="AS3366">
        <v>1</v>
      </c>
      <c r="AT3366">
        <v>0</v>
      </c>
      <c r="AV3366">
        <v>1</v>
      </c>
      <c r="AW3366">
        <v>1</v>
      </c>
    </row>
    <row r="3367" spans="1:49" x14ac:dyDescent="0.25">
      <c r="A3367" t="str">
        <f>"3363"</f>
        <v>3363</v>
      </c>
      <c r="B3367" t="str">
        <f t="shared" si="194"/>
        <v>1</v>
      </c>
      <c r="C3367" t="str">
        <f t="shared" si="193"/>
        <v>147</v>
      </c>
      <c r="D3367" t="str">
        <f>"14"</f>
        <v>14</v>
      </c>
      <c r="E3367" t="str">
        <f>"1-147-14"</f>
        <v>1-147-14</v>
      </c>
      <c r="F3367" t="s">
        <v>83</v>
      </c>
      <c r="G3367" t="s">
        <v>84</v>
      </c>
      <c r="H3367" t="s">
        <v>85</v>
      </c>
      <c r="AC3367">
        <v>0</v>
      </c>
      <c r="AD3367">
        <v>1</v>
      </c>
      <c r="AE3367">
        <v>0</v>
      </c>
      <c r="AF3367">
        <v>0</v>
      </c>
      <c r="AG3367">
        <v>0</v>
      </c>
      <c r="AJ3367">
        <v>1</v>
      </c>
      <c r="AK3367">
        <v>0</v>
      </c>
      <c r="AL3367">
        <v>0</v>
      </c>
      <c r="AM3367">
        <v>1</v>
      </c>
      <c r="AN3367">
        <v>0</v>
      </c>
      <c r="AO3367">
        <v>1</v>
      </c>
      <c r="AP3367">
        <v>1</v>
      </c>
      <c r="AQ3367">
        <v>1</v>
      </c>
      <c r="AR3367">
        <v>1</v>
      </c>
      <c r="AS3367">
        <v>0</v>
      </c>
      <c r="AT3367">
        <v>1</v>
      </c>
      <c r="AV3367">
        <v>1</v>
      </c>
      <c r="AW3367">
        <v>1</v>
      </c>
    </row>
    <row r="3368" spans="1:49" x14ac:dyDescent="0.25">
      <c r="A3368" t="str">
        <f>"3364"</f>
        <v>3364</v>
      </c>
      <c r="B3368" t="str">
        <f t="shared" si="194"/>
        <v>1</v>
      </c>
      <c r="C3368" t="str">
        <f t="shared" si="193"/>
        <v>147</v>
      </c>
      <c r="D3368" t="str">
        <f>"3"</f>
        <v>3</v>
      </c>
      <c r="E3368" t="str">
        <f>"1-147-3"</f>
        <v>1-147-3</v>
      </c>
      <c r="F3368" t="s">
        <v>83</v>
      </c>
      <c r="G3368" t="s">
        <v>84</v>
      </c>
      <c r="H3368" t="s">
        <v>85</v>
      </c>
      <c r="AC3368">
        <v>1</v>
      </c>
      <c r="AD3368">
        <v>0</v>
      </c>
      <c r="AE3368">
        <v>0</v>
      </c>
      <c r="AF3368">
        <v>0</v>
      </c>
      <c r="AG3368">
        <v>0</v>
      </c>
      <c r="AJ3368">
        <v>1</v>
      </c>
      <c r="AK3368">
        <v>0</v>
      </c>
      <c r="AL3368">
        <v>0</v>
      </c>
      <c r="AM3368">
        <v>0</v>
      </c>
      <c r="AN3368">
        <v>0</v>
      </c>
      <c r="AO3368">
        <v>0</v>
      </c>
      <c r="AP3368">
        <v>0</v>
      </c>
      <c r="AQ3368">
        <v>0</v>
      </c>
      <c r="AR3368">
        <v>0</v>
      </c>
      <c r="AS3368">
        <v>0</v>
      </c>
      <c r="AT3368">
        <v>0</v>
      </c>
      <c r="AV3368">
        <v>0</v>
      </c>
      <c r="AW3368">
        <v>1</v>
      </c>
    </row>
    <row r="3369" spans="1:49" x14ac:dyDescent="0.25">
      <c r="A3369" t="str">
        <f>"3365"</f>
        <v>3365</v>
      </c>
      <c r="B3369" t="str">
        <f t="shared" si="194"/>
        <v>1</v>
      </c>
      <c r="C3369" t="str">
        <f t="shared" ref="C3369:C3387" si="195">"148"</f>
        <v>148</v>
      </c>
      <c r="D3369" t="str">
        <f>"18"</f>
        <v>18</v>
      </c>
      <c r="E3369" t="str">
        <f>"1-148-18"</f>
        <v>1-148-18</v>
      </c>
      <c r="F3369" t="s">
        <v>83</v>
      </c>
      <c r="G3369" t="s">
        <v>84</v>
      </c>
      <c r="H3369" t="s">
        <v>85</v>
      </c>
      <c r="AC3369">
        <v>0</v>
      </c>
      <c r="AD3369">
        <v>1</v>
      </c>
      <c r="AE3369">
        <v>0</v>
      </c>
      <c r="AF3369">
        <v>0</v>
      </c>
      <c r="AG3369">
        <v>1</v>
      </c>
      <c r="AJ3369">
        <v>0</v>
      </c>
      <c r="AK3369">
        <v>1</v>
      </c>
      <c r="AL3369">
        <v>0</v>
      </c>
      <c r="AM3369">
        <v>0</v>
      </c>
      <c r="AN3369">
        <v>1</v>
      </c>
      <c r="AO3369">
        <v>1</v>
      </c>
      <c r="AP3369">
        <v>1</v>
      </c>
      <c r="AQ3369">
        <v>1</v>
      </c>
      <c r="AR3369">
        <v>1</v>
      </c>
      <c r="AS3369">
        <v>0</v>
      </c>
      <c r="AT3369">
        <v>1</v>
      </c>
      <c r="AV3369">
        <v>1</v>
      </c>
      <c r="AW3369">
        <v>1</v>
      </c>
    </row>
    <row r="3370" spans="1:49" x14ac:dyDescent="0.25">
      <c r="A3370" t="str">
        <f>"3366"</f>
        <v>3366</v>
      </c>
      <c r="B3370" t="str">
        <f t="shared" si="194"/>
        <v>1</v>
      </c>
      <c r="C3370" t="str">
        <f t="shared" si="195"/>
        <v>148</v>
      </c>
      <c r="D3370" t="str">
        <f>"17"</f>
        <v>17</v>
      </c>
      <c r="E3370" t="str">
        <f>"1-148-17"</f>
        <v>1-148-17</v>
      </c>
      <c r="F3370" t="s">
        <v>83</v>
      </c>
      <c r="G3370" t="s">
        <v>84</v>
      </c>
      <c r="H3370" t="s">
        <v>92</v>
      </c>
      <c r="I3370">
        <v>1</v>
      </c>
      <c r="J3370">
        <v>1</v>
      </c>
      <c r="N3370">
        <v>1</v>
      </c>
      <c r="O3370">
        <v>1</v>
      </c>
      <c r="P3370">
        <v>1</v>
      </c>
      <c r="Q3370">
        <v>1</v>
      </c>
      <c r="R3370">
        <v>1</v>
      </c>
      <c r="S3370">
        <v>1</v>
      </c>
      <c r="T3370">
        <v>1</v>
      </c>
      <c r="W3370">
        <v>1</v>
      </c>
      <c r="X3370">
        <v>1</v>
      </c>
      <c r="Y3370">
        <v>1</v>
      </c>
      <c r="Z3370">
        <v>1</v>
      </c>
      <c r="AA3370">
        <v>1</v>
      </c>
      <c r="AB3370">
        <v>1</v>
      </c>
    </row>
    <row r="3371" spans="1:49" x14ac:dyDescent="0.25">
      <c r="A3371" t="str">
        <f>"3367"</f>
        <v>3367</v>
      </c>
      <c r="B3371" t="str">
        <f t="shared" si="194"/>
        <v>1</v>
      </c>
      <c r="C3371" t="str">
        <f t="shared" si="195"/>
        <v>148</v>
      </c>
      <c r="D3371" t="str">
        <f>"11"</f>
        <v>11</v>
      </c>
      <c r="E3371" t="str">
        <f>"1-148-11"</f>
        <v>1-148-11</v>
      </c>
      <c r="F3371" t="s">
        <v>83</v>
      </c>
      <c r="G3371" t="s">
        <v>90</v>
      </c>
      <c r="H3371" t="s">
        <v>91</v>
      </c>
      <c r="AC3371">
        <v>0</v>
      </c>
      <c r="AD3371">
        <v>1</v>
      </c>
      <c r="AE3371">
        <v>0</v>
      </c>
      <c r="AF3371">
        <v>0</v>
      </c>
      <c r="AH3371">
        <v>0</v>
      </c>
      <c r="AI3371">
        <v>1</v>
      </c>
      <c r="AJ3371">
        <v>0</v>
      </c>
      <c r="AK3371">
        <v>1</v>
      </c>
      <c r="AL3371">
        <v>0</v>
      </c>
      <c r="AM3371">
        <v>0</v>
      </c>
      <c r="AN3371">
        <v>1</v>
      </c>
      <c r="AO3371">
        <v>1</v>
      </c>
      <c r="AP3371">
        <v>1</v>
      </c>
      <c r="AQ3371">
        <v>1</v>
      </c>
      <c r="AR3371">
        <v>1</v>
      </c>
      <c r="AU3371">
        <v>1</v>
      </c>
      <c r="AV3371">
        <v>1</v>
      </c>
      <c r="AW3371">
        <v>1</v>
      </c>
    </row>
    <row r="3372" spans="1:49" x14ac:dyDescent="0.25">
      <c r="A3372" t="str">
        <f>"3368"</f>
        <v>3368</v>
      </c>
      <c r="B3372" t="str">
        <f t="shared" si="194"/>
        <v>1</v>
      </c>
      <c r="C3372" t="str">
        <f t="shared" si="195"/>
        <v>148</v>
      </c>
      <c r="D3372" t="str">
        <f>"8"</f>
        <v>8</v>
      </c>
      <c r="E3372" t="str">
        <f>"1-148-8"</f>
        <v>1-148-8</v>
      </c>
      <c r="F3372" t="s">
        <v>83</v>
      </c>
      <c r="G3372" t="s">
        <v>84</v>
      </c>
      <c r="H3372" t="s">
        <v>92</v>
      </c>
      <c r="I3372">
        <v>1</v>
      </c>
      <c r="J3372">
        <v>1</v>
      </c>
      <c r="N3372">
        <v>1</v>
      </c>
      <c r="O3372">
        <v>1</v>
      </c>
      <c r="P3372">
        <v>1</v>
      </c>
      <c r="Q3372">
        <v>1</v>
      </c>
      <c r="R3372">
        <v>1</v>
      </c>
      <c r="S3372">
        <v>1</v>
      </c>
      <c r="T3372">
        <v>1</v>
      </c>
      <c r="W3372">
        <v>0</v>
      </c>
      <c r="X3372">
        <v>1</v>
      </c>
      <c r="Y3372">
        <v>0</v>
      </c>
      <c r="Z3372">
        <v>1</v>
      </c>
      <c r="AA3372">
        <v>1</v>
      </c>
      <c r="AB3372">
        <v>1</v>
      </c>
    </row>
    <row r="3373" spans="1:49" x14ac:dyDescent="0.25">
      <c r="A3373" t="str">
        <f>"3369"</f>
        <v>3369</v>
      </c>
      <c r="B3373" t="str">
        <f t="shared" si="194"/>
        <v>1</v>
      </c>
      <c r="C3373" t="str">
        <f t="shared" si="195"/>
        <v>148</v>
      </c>
      <c r="D3373" t="str">
        <f>"1"</f>
        <v>1</v>
      </c>
      <c r="E3373" t="str">
        <f>"1-148-1"</f>
        <v>1-148-1</v>
      </c>
      <c r="F3373" t="s">
        <v>83</v>
      </c>
      <c r="G3373" t="s">
        <v>84</v>
      </c>
      <c r="H3373" t="s">
        <v>85</v>
      </c>
      <c r="AC3373">
        <v>1</v>
      </c>
      <c r="AD3373">
        <v>0</v>
      </c>
      <c r="AE3373">
        <v>0</v>
      </c>
      <c r="AF3373">
        <v>0</v>
      </c>
      <c r="AG3373">
        <v>0</v>
      </c>
      <c r="AJ3373">
        <v>1</v>
      </c>
      <c r="AK3373">
        <v>0</v>
      </c>
      <c r="AL3373">
        <v>0</v>
      </c>
      <c r="AM3373">
        <v>1</v>
      </c>
      <c r="AN3373">
        <v>0</v>
      </c>
      <c r="AO3373">
        <v>0</v>
      </c>
      <c r="AP3373">
        <v>0</v>
      </c>
      <c r="AQ3373">
        <v>0</v>
      </c>
      <c r="AR3373">
        <v>0</v>
      </c>
      <c r="AS3373">
        <v>0</v>
      </c>
      <c r="AT3373">
        <v>1</v>
      </c>
      <c r="AV3373">
        <v>0</v>
      </c>
      <c r="AW3373">
        <v>0</v>
      </c>
    </row>
    <row r="3374" spans="1:49" x14ac:dyDescent="0.25">
      <c r="A3374" t="str">
        <f>"3370"</f>
        <v>3370</v>
      </c>
      <c r="B3374" t="str">
        <f t="shared" si="194"/>
        <v>1</v>
      </c>
      <c r="C3374" t="str">
        <f t="shared" si="195"/>
        <v>148</v>
      </c>
      <c r="D3374" t="str">
        <f>"9"</f>
        <v>9</v>
      </c>
      <c r="E3374" t="str">
        <f>"1-148-9"</f>
        <v>1-148-9</v>
      </c>
      <c r="F3374" t="s">
        <v>83</v>
      </c>
      <c r="G3374" t="s">
        <v>84</v>
      </c>
      <c r="H3374" t="s">
        <v>92</v>
      </c>
      <c r="I3374">
        <v>1</v>
      </c>
      <c r="J3374">
        <v>1</v>
      </c>
      <c r="N3374">
        <v>1</v>
      </c>
      <c r="O3374">
        <v>1</v>
      </c>
      <c r="P3374">
        <v>1</v>
      </c>
      <c r="Q3374">
        <v>1</v>
      </c>
      <c r="R3374">
        <v>1</v>
      </c>
      <c r="S3374">
        <v>1</v>
      </c>
      <c r="T3374">
        <v>1</v>
      </c>
      <c r="W3374">
        <v>1</v>
      </c>
      <c r="X3374">
        <v>1</v>
      </c>
      <c r="Y3374">
        <v>1</v>
      </c>
      <c r="Z3374">
        <v>1</v>
      </c>
      <c r="AA3374">
        <v>1</v>
      </c>
      <c r="AB3374">
        <v>1</v>
      </c>
    </row>
    <row r="3375" spans="1:49" x14ac:dyDescent="0.25">
      <c r="A3375" t="str">
        <f>"3371"</f>
        <v>3371</v>
      </c>
      <c r="B3375" t="str">
        <f t="shared" si="194"/>
        <v>1</v>
      </c>
      <c r="C3375" t="str">
        <f t="shared" si="195"/>
        <v>148</v>
      </c>
      <c r="D3375" t="str">
        <f>"6"</f>
        <v>6</v>
      </c>
      <c r="E3375" t="str">
        <f>"1-148-6"</f>
        <v>1-148-6</v>
      </c>
      <c r="F3375" t="s">
        <v>83</v>
      </c>
      <c r="G3375" t="s">
        <v>84</v>
      </c>
      <c r="H3375" t="s">
        <v>85</v>
      </c>
      <c r="AC3375">
        <v>0</v>
      </c>
      <c r="AD3375">
        <v>1</v>
      </c>
      <c r="AE3375">
        <v>0</v>
      </c>
      <c r="AF3375">
        <v>0</v>
      </c>
      <c r="AG3375">
        <v>0</v>
      </c>
      <c r="AJ3375">
        <v>0</v>
      </c>
      <c r="AK3375">
        <v>1</v>
      </c>
      <c r="AL3375">
        <v>0</v>
      </c>
      <c r="AM3375">
        <v>0</v>
      </c>
      <c r="AN3375">
        <v>0</v>
      </c>
      <c r="AO3375">
        <v>1</v>
      </c>
      <c r="AP3375">
        <v>1</v>
      </c>
      <c r="AQ3375">
        <v>1</v>
      </c>
      <c r="AR3375">
        <v>1</v>
      </c>
      <c r="AS3375">
        <v>1</v>
      </c>
      <c r="AT3375">
        <v>0</v>
      </c>
      <c r="AV3375">
        <v>0</v>
      </c>
      <c r="AW3375">
        <v>0</v>
      </c>
    </row>
    <row r="3376" spans="1:49" x14ac:dyDescent="0.25">
      <c r="A3376" t="str">
        <f>"3372"</f>
        <v>3372</v>
      </c>
      <c r="B3376" t="str">
        <f t="shared" si="194"/>
        <v>1</v>
      </c>
      <c r="C3376" t="str">
        <f t="shared" si="195"/>
        <v>148</v>
      </c>
      <c r="D3376" t="str">
        <f>"10"</f>
        <v>10</v>
      </c>
      <c r="E3376" t="str">
        <f>"1-148-10"</f>
        <v>1-148-10</v>
      </c>
      <c r="F3376" t="s">
        <v>83</v>
      </c>
      <c r="G3376" t="s">
        <v>84</v>
      </c>
      <c r="H3376" t="s">
        <v>92</v>
      </c>
      <c r="I3376">
        <v>1</v>
      </c>
      <c r="J3376">
        <v>0</v>
      </c>
      <c r="N3376">
        <v>1</v>
      </c>
      <c r="O3376">
        <v>0</v>
      </c>
      <c r="P3376">
        <v>0</v>
      </c>
      <c r="Q3376">
        <v>0</v>
      </c>
      <c r="R3376">
        <v>1</v>
      </c>
      <c r="S3376">
        <v>0</v>
      </c>
      <c r="T3376">
        <v>0</v>
      </c>
      <c r="W3376">
        <v>0</v>
      </c>
      <c r="X3376">
        <v>1</v>
      </c>
      <c r="Y3376">
        <v>0</v>
      </c>
      <c r="Z3376">
        <v>1</v>
      </c>
      <c r="AA3376">
        <v>0</v>
      </c>
      <c r="AB3376">
        <v>0</v>
      </c>
    </row>
    <row r="3377" spans="1:49" x14ac:dyDescent="0.25">
      <c r="A3377" t="str">
        <f>"3373"</f>
        <v>3373</v>
      </c>
      <c r="B3377" t="str">
        <f t="shared" si="194"/>
        <v>1</v>
      </c>
      <c r="C3377" t="str">
        <f t="shared" si="195"/>
        <v>148</v>
      </c>
      <c r="D3377" t="str">
        <f>"4"</f>
        <v>4</v>
      </c>
      <c r="E3377" t="str">
        <f>"1-148-4"</f>
        <v>1-148-4</v>
      </c>
      <c r="F3377" t="s">
        <v>83</v>
      </c>
      <c r="G3377" t="s">
        <v>84</v>
      </c>
      <c r="H3377" t="s">
        <v>85</v>
      </c>
      <c r="AC3377">
        <v>0</v>
      </c>
      <c r="AD3377">
        <v>1</v>
      </c>
      <c r="AE3377">
        <v>0</v>
      </c>
      <c r="AF3377">
        <v>0</v>
      </c>
      <c r="AG3377">
        <v>1</v>
      </c>
      <c r="AJ3377">
        <v>0</v>
      </c>
      <c r="AK3377">
        <v>1</v>
      </c>
      <c r="AL3377">
        <v>0</v>
      </c>
      <c r="AM3377">
        <v>0</v>
      </c>
      <c r="AN3377">
        <v>1</v>
      </c>
      <c r="AO3377">
        <v>1</v>
      </c>
      <c r="AP3377">
        <v>1</v>
      </c>
      <c r="AQ3377">
        <v>1</v>
      </c>
      <c r="AR3377">
        <v>1</v>
      </c>
      <c r="AS3377">
        <v>0</v>
      </c>
      <c r="AT3377">
        <v>1</v>
      </c>
      <c r="AV3377">
        <v>1</v>
      </c>
      <c r="AW3377">
        <v>1</v>
      </c>
    </row>
    <row r="3378" spans="1:49" x14ac:dyDescent="0.25">
      <c r="A3378" t="str">
        <f>"3374"</f>
        <v>3374</v>
      </c>
      <c r="B3378" t="str">
        <f t="shared" si="194"/>
        <v>1</v>
      </c>
      <c r="C3378" t="str">
        <f t="shared" si="195"/>
        <v>148</v>
      </c>
      <c r="D3378" t="str">
        <f>"16"</f>
        <v>16</v>
      </c>
      <c r="E3378" t="str">
        <f>"1-148-16"</f>
        <v>1-148-16</v>
      </c>
      <c r="F3378" t="s">
        <v>83</v>
      </c>
      <c r="G3378" t="s">
        <v>88</v>
      </c>
      <c r="H3378" t="s">
        <v>89</v>
      </c>
      <c r="AC3378">
        <v>0</v>
      </c>
      <c r="AD3378">
        <v>1</v>
      </c>
      <c r="AE3378">
        <v>0</v>
      </c>
      <c r="AF3378">
        <v>0</v>
      </c>
      <c r="AH3378">
        <v>1</v>
      </c>
      <c r="AI3378">
        <v>0</v>
      </c>
      <c r="AJ3378">
        <v>0</v>
      </c>
      <c r="AK3378">
        <v>1</v>
      </c>
      <c r="AL3378">
        <v>0</v>
      </c>
      <c r="AM3378">
        <v>1</v>
      </c>
      <c r="AN3378">
        <v>0</v>
      </c>
      <c r="AO3378">
        <v>0</v>
      </c>
      <c r="AP3378">
        <v>0</v>
      </c>
      <c r="AQ3378">
        <v>0</v>
      </c>
      <c r="AR3378">
        <v>1</v>
      </c>
      <c r="AS3378">
        <v>0</v>
      </c>
      <c r="AT3378">
        <v>1</v>
      </c>
      <c r="AV3378">
        <v>0</v>
      </c>
      <c r="AW3378">
        <v>1</v>
      </c>
    </row>
    <row r="3379" spans="1:49" x14ac:dyDescent="0.25">
      <c r="A3379" t="str">
        <f>"3375"</f>
        <v>3375</v>
      </c>
      <c r="B3379" t="str">
        <f t="shared" si="194"/>
        <v>1</v>
      </c>
      <c r="C3379" t="str">
        <f t="shared" si="195"/>
        <v>148</v>
      </c>
      <c r="D3379" t="str">
        <f>"12"</f>
        <v>12</v>
      </c>
      <c r="E3379" t="str">
        <f>"1-148-12"</f>
        <v>1-148-12</v>
      </c>
      <c r="F3379" t="s">
        <v>83</v>
      </c>
      <c r="G3379" t="s">
        <v>84</v>
      </c>
      <c r="H3379" t="s">
        <v>92</v>
      </c>
      <c r="I3379">
        <v>1</v>
      </c>
      <c r="J3379">
        <v>1</v>
      </c>
      <c r="N3379">
        <v>1</v>
      </c>
      <c r="O3379">
        <v>1</v>
      </c>
      <c r="P3379">
        <v>1</v>
      </c>
      <c r="Q3379">
        <v>1</v>
      </c>
      <c r="R3379">
        <v>1</v>
      </c>
      <c r="S3379">
        <v>1</v>
      </c>
      <c r="T3379">
        <v>1</v>
      </c>
      <c r="W3379">
        <v>1</v>
      </c>
      <c r="X3379">
        <v>1</v>
      </c>
      <c r="Y3379">
        <v>1</v>
      </c>
      <c r="Z3379">
        <v>0</v>
      </c>
      <c r="AA3379">
        <v>1</v>
      </c>
      <c r="AB3379">
        <v>1</v>
      </c>
    </row>
    <row r="3380" spans="1:49" x14ac:dyDescent="0.25">
      <c r="A3380" t="str">
        <f>"3376"</f>
        <v>3376</v>
      </c>
      <c r="B3380" t="str">
        <f t="shared" si="194"/>
        <v>1</v>
      </c>
      <c r="C3380" t="str">
        <f t="shared" si="195"/>
        <v>148</v>
      </c>
      <c r="D3380" t="str">
        <f>"5"</f>
        <v>5</v>
      </c>
      <c r="E3380" t="str">
        <f>"1-148-5"</f>
        <v>1-148-5</v>
      </c>
      <c r="F3380" t="s">
        <v>83</v>
      </c>
      <c r="G3380" t="s">
        <v>84</v>
      </c>
      <c r="H3380" t="s">
        <v>85</v>
      </c>
      <c r="AC3380">
        <v>0</v>
      </c>
      <c r="AD3380">
        <v>1</v>
      </c>
      <c r="AE3380">
        <v>0</v>
      </c>
      <c r="AF3380">
        <v>0</v>
      </c>
      <c r="AG3380">
        <v>1</v>
      </c>
      <c r="AJ3380">
        <v>0</v>
      </c>
      <c r="AK3380">
        <v>1</v>
      </c>
      <c r="AL3380">
        <v>0</v>
      </c>
      <c r="AM3380">
        <v>0</v>
      </c>
      <c r="AN3380">
        <v>1</v>
      </c>
      <c r="AO3380">
        <v>1</v>
      </c>
      <c r="AP3380">
        <v>1</v>
      </c>
      <c r="AQ3380">
        <v>1</v>
      </c>
      <c r="AR3380">
        <v>1</v>
      </c>
      <c r="AS3380">
        <v>0</v>
      </c>
      <c r="AT3380">
        <v>1</v>
      </c>
      <c r="AV3380">
        <v>0</v>
      </c>
      <c r="AW3380">
        <v>1</v>
      </c>
    </row>
    <row r="3381" spans="1:49" x14ac:dyDescent="0.25">
      <c r="A3381" t="str">
        <f>"3377"</f>
        <v>3377</v>
      </c>
      <c r="B3381" t="str">
        <f t="shared" si="194"/>
        <v>1</v>
      </c>
      <c r="C3381" t="str">
        <f t="shared" si="195"/>
        <v>148</v>
      </c>
      <c r="D3381" t="str">
        <f>"19"</f>
        <v>19</v>
      </c>
      <c r="E3381" t="str">
        <f>"1-148-19"</f>
        <v>1-148-19</v>
      </c>
      <c r="F3381" t="s">
        <v>83</v>
      </c>
      <c r="G3381" t="s">
        <v>84</v>
      </c>
      <c r="H3381" t="s">
        <v>85</v>
      </c>
      <c r="AC3381">
        <v>0</v>
      </c>
      <c r="AD3381">
        <v>1</v>
      </c>
      <c r="AE3381">
        <v>0</v>
      </c>
      <c r="AF3381">
        <v>0</v>
      </c>
      <c r="AG3381">
        <v>1</v>
      </c>
      <c r="AJ3381">
        <v>0</v>
      </c>
      <c r="AK3381">
        <v>1</v>
      </c>
      <c r="AL3381">
        <v>0</v>
      </c>
      <c r="AM3381">
        <v>0</v>
      </c>
      <c r="AN3381">
        <v>1</v>
      </c>
      <c r="AO3381">
        <v>1</v>
      </c>
      <c r="AP3381">
        <v>1</v>
      </c>
      <c r="AQ3381">
        <v>1</v>
      </c>
      <c r="AR3381">
        <v>1</v>
      </c>
      <c r="AS3381">
        <v>0</v>
      </c>
      <c r="AT3381">
        <v>1</v>
      </c>
      <c r="AV3381">
        <v>0</v>
      </c>
      <c r="AW3381">
        <v>0</v>
      </c>
    </row>
    <row r="3382" spans="1:49" x14ac:dyDescent="0.25">
      <c r="A3382" t="str">
        <f>"3378"</f>
        <v>3378</v>
      </c>
      <c r="B3382" t="str">
        <f t="shared" si="194"/>
        <v>1</v>
      </c>
      <c r="C3382" t="str">
        <f t="shared" si="195"/>
        <v>148</v>
      </c>
      <c r="D3382" t="str">
        <f>"13"</f>
        <v>13</v>
      </c>
      <c r="E3382" t="str">
        <f>"1-148-13"</f>
        <v>1-148-13</v>
      </c>
      <c r="F3382" t="s">
        <v>83</v>
      </c>
      <c r="G3382" t="s">
        <v>84</v>
      </c>
      <c r="H3382" t="s">
        <v>92</v>
      </c>
      <c r="I3382">
        <v>1</v>
      </c>
      <c r="J3382">
        <v>1</v>
      </c>
      <c r="N3382">
        <v>1</v>
      </c>
      <c r="O3382">
        <v>1</v>
      </c>
      <c r="P3382">
        <v>1</v>
      </c>
      <c r="Q3382">
        <v>1</v>
      </c>
      <c r="R3382">
        <v>1</v>
      </c>
      <c r="S3382">
        <v>1</v>
      </c>
      <c r="T3382">
        <v>1</v>
      </c>
      <c r="W3382">
        <v>1</v>
      </c>
      <c r="X3382">
        <v>1</v>
      </c>
      <c r="Y3382">
        <v>1</v>
      </c>
      <c r="Z3382">
        <v>1</v>
      </c>
      <c r="AA3382">
        <v>1</v>
      </c>
      <c r="AB3382">
        <v>1</v>
      </c>
    </row>
    <row r="3383" spans="1:49" x14ac:dyDescent="0.25">
      <c r="A3383" t="str">
        <f>"3379"</f>
        <v>3379</v>
      </c>
      <c r="B3383" t="str">
        <f t="shared" si="194"/>
        <v>1</v>
      </c>
      <c r="C3383" t="str">
        <f t="shared" si="195"/>
        <v>148</v>
      </c>
      <c r="D3383" t="str">
        <f>"3"</f>
        <v>3</v>
      </c>
      <c r="E3383" t="str">
        <f>"1-148-3"</f>
        <v>1-148-3</v>
      </c>
      <c r="F3383" t="s">
        <v>83</v>
      </c>
      <c r="G3383" t="s">
        <v>84</v>
      </c>
      <c r="H3383" t="s">
        <v>85</v>
      </c>
      <c r="AC3383">
        <v>1</v>
      </c>
      <c r="AD3383">
        <v>0</v>
      </c>
      <c r="AE3383">
        <v>0</v>
      </c>
      <c r="AF3383">
        <v>0</v>
      </c>
      <c r="AG3383">
        <v>1</v>
      </c>
      <c r="AJ3383">
        <v>1</v>
      </c>
      <c r="AK3383">
        <v>0</v>
      </c>
      <c r="AL3383">
        <v>1</v>
      </c>
      <c r="AM3383">
        <v>0</v>
      </c>
      <c r="AN3383">
        <v>0</v>
      </c>
      <c r="AO3383">
        <v>1</v>
      </c>
      <c r="AP3383">
        <v>1</v>
      </c>
      <c r="AQ3383">
        <v>1</v>
      </c>
      <c r="AR3383">
        <v>1</v>
      </c>
      <c r="AS3383">
        <v>1</v>
      </c>
      <c r="AT3383">
        <v>0</v>
      </c>
      <c r="AV3383">
        <v>1</v>
      </c>
      <c r="AW3383">
        <v>1</v>
      </c>
    </row>
    <row r="3384" spans="1:49" x14ac:dyDescent="0.25">
      <c r="A3384" t="str">
        <f>"3380"</f>
        <v>3380</v>
      </c>
      <c r="B3384" t="str">
        <f t="shared" si="194"/>
        <v>1</v>
      </c>
      <c r="C3384" t="str">
        <f t="shared" si="195"/>
        <v>148</v>
      </c>
      <c r="D3384" t="str">
        <f>"14"</f>
        <v>14</v>
      </c>
      <c r="E3384" t="str">
        <f>"1-148-14"</f>
        <v>1-148-14</v>
      </c>
      <c r="F3384" t="s">
        <v>83</v>
      </c>
      <c r="G3384" t="s">
        <v>84</v>
      </c>
      <c r="H3384" t="s">
        <v>92</v>
      </c>
      <c r="I3384">
        <v>1</v>
      </c>
      <c r="J3384">
        <v>1</v>
      </c>
      <c r="N3384">
        <v>1</v>
      </c>
      <c r="O3384">
        <v>1</v>
      </c>
      <c r="P3384">
        <v>1</v>
      </c>
      <c r="Q3384">
        <v>1</v>
      </c>
      <c r="R3384">
        <v>1</v>
      </c>
      <c r="S3384">
        <v>1</v>
      </c>
      <c r="T3384">
        <v>1</v>
      </c>
      <c r="W3384">
        <v>1</v>
      </c>
      <c r="X3384">
        <v>1</v>
      </c>
      <c r="Y3384">
        <v>1</v>
      </c>
      <c r="Z3384">
        <v>1</v>
      </c>
      <c r="AA3384">
        <v>1</v>
      </c>
      <c r="AB3384">
        <v>1</v>
      </c>
    </row>
    <row r="3385" spans="1:49" x14ac:dyDescent="0.25">
      <c r="A3385" t="str">
        <f>"3381"</f>
        <v>3381</v>
      </c>
      <c r="B3385" t="str">
        <f t="shared" si="194"/>
        <v>1</v>
      </c>
      <c r="C3385" t="str">
        <f t="shared" si="195"/>
        <v>148</v>
      </c>
      <c r="D3385" t="str">
        <f>"7"</f>
        <v>7</v>
      </c>
      <c r="E3385" t="str">
        <f>"1-148-7"</f>
        <v>1-148-7</v>
      </c>
      <c r="F3385" t="s">
        <v>83</v>
      </c>
      <c r="G3385" t="s">
        <v>84</v>
      </c>
      <c r="H3385" t="s">
        <v>85</v>
      </c>
      <c r="AC3385">
        <v>0</v>
      </c>
      <c r="AD3385">
        <v>1</v>
      </c>
      <c r="AE3385">
        <v>0</v>
      </c>
      <c r="AF3385">
        <v>0</v>
      </c>
      <c r="AG3385">
        <v>0</v>
      </c>
      <c r="AJ3385">
        <v>1</v>
      </c>
      <c r="AK3385">
        <v>0</v>
      </c>
      <c r="AL3385">
        <v>0</v>
      </c>
      <c r="AM3385">
        <v>0</v>
      </c>
      <c r="AN3385">
        <v>1</v>
      </c>
      <c r="AO3385">
        <v>0</v>
      </c>
      <c r="AP3385">
        <v>0</v>
      </c>
      <c r="AQ3385">
        <v>0</v>
      </c>
      <c r="AR3385">
        <v>0</v>
      </c>
      <c r="AS3385">
        <v>0</v>
      </c>
      <c r="AT3385">
        <v>1</v>
      </c>
      <c r="AV3385">
        <v>0</v>
      </c>
      <c r="AW3385">
        <v>0</v>
      </c>
    </row>
    <row r="3386" spans="1:49" x14ac:dyDescent="0.25">
      <c r="A3386" t="str">
        <f>"3382"</f>
        <v>3382</v>
      </c>
      <c r="B3386" t="str">
        <f t="shared" si="194"/>
        <v>1</v>
      </c>
      <c r="C3386" t="str">
        <f t="shared" si="195"/>
        <v>148</v>
      </c>
      <c r="D3386" t="str">
        <f>"15"</f>
        <v>15</v>
      </c>
      <c r="E3386" t="str">
        <f>"1-148-15"</f>
        <v>1-148-15</v>
      </c>
      <c r="F3386" t="s">
        <v>83</v>
      </c>
      <c r="G3386" t="s">
        <v>84</v>
      </c>
      <c r="H3386" t="s">
        <v>92</v>
      </c>
      <c r="I3386">
        <v>1</v>
      </c>
      <c r="J3386">
        <v>1</v>
      </c>
      <c r="N3386">
        <v>1</v>
      </c>
      <c r="O3386">
        <v>1</v>
      </c>
      <c r="P3386">
        <v>1</v>
      </c>
      <c r="Q3386">
        <v>1</v>
      </c>
      <c r="R3386">
        <v>1</v>
      </c>
      <c r="S3386">
        <v>1</v>
      </c>
      <c r="T3386">
        <v>1</v>
      </c>
      <c r="W3386">
        <v>1</v>
      </c>
      <c r="X3386">
        <v>1</v>
      </c>
      <c r="Y3386">
        <v>1</v>
      </c>
      <c r="Z3386">
        <v>1</v>
      </c>
      <c r="AA3386">
        <v>1</v>
      </c>
      <c r="AB3386">
        <v>1</v>
      </c>
    </row>
    <row r="3387" spans="1:49" x14ac:dyDescent="0.25">
      <c r="A3387" t="str">
        <f>"3383"</f>
        <v>3383</v>
      </c>
      <c r="B3387" t="str">
        <f t="shared" si="194"/>
        <v>1</v>
      </c>
      <c r="C3387" t="str">
        <f t="shared" si="195"/>
        <v>148</v>
      </c>
      <c r="D3387" t="str">
        <f>"2"</f>
        <v>2</v>
      </c>
      <c r="E3387" t="str">
        <f>"1-148-2"</f>
        <v>1-148-2</v>
      </c>
      <c r="F3387" t="s">
        <v>83</v>
      </c>
      <c r="G3387" t="s">
        <v>84</v>
      </c>
      <c r="H3387" t="s">
        <v>85</v>
      </c>
      <c r="AC3387">
        <v>0</v>
      </c>
      <c r="AD3387">
        <v>1</v>
      </c>
      <c r="AE3387">
        <v>0</v>
      </c>
      <c r="AF3387">
        <v>0</v>
      </c>
      <c r="AG3387">
        <v>0</v>
      </c>
      <c r="AJ3387">
        <v>0</v>
      </c>
      <c r="AK3387">
        <v>1</v>
      </c>
      <c r="AL3387">
        <v>0</v>
      </c>
      <c r="AM3387">
        <v>0</v>
      </c>
      <c r="AN3387">
        <v>1</v>
      </c>
      <c r="AO3387">
        <v>0</v>
      </c>
      <c r="AP3387">
        <v>0</v>
      </c>
      <c r="AQ3387">
        <v>0</v>
      </c>
      <c r="AR3387">
        <v>0</v>
      </c>
      <c r="AS3387">
        <v>1</v>
      </c>
      <c r="AT3387">
        <v>0</v>
      </c>
      <c r="AV3387">
        <v>0</v>
      </c>
      <c r="AW3387">
        <v>0</v>
      </c>
    </row>
    <row r="3388" spans="1:49" x14ac:dyDescent="0.25">
      <c r="A3388" t="str">
        <f>"3384"</f>
        <v>3384</v>
      </c>
      <c r="B3388" t="str">
        <f t="shared" si="194"/>
        <v>1</v>
      </c>
      <c r="C3388" t="str">
        <f t="shared" ref="C3388:C3412" si="196">"149"</f>
        <v>149</v>
      </c>
      <c r="D3388" t="str">
        <f>"23"</f>
        <v>23</v>
      </c>
      <c r="E3388" t="str">
        <f>"1-149-23"</f>
        <v>1-149-23</v>
      </c>
      <c r="F3388" t="s">
        <v>83</v>
      </c>
      <c r="G3388" t="s">
        <v>86</v>
      </c>
      <c r="H3388" t="s">
        <v>87</v>
      </c>
      <c r="AC3388">
        <v>0</v>
      </c>
      <c r="AD3388">
        <v>1</v>
      </c>
      <c r="AE3388">
        <v>0</v>
      </c>
      <c r="AF3388">
        <v>0</v>
      </c>
      <c r="AH3388">
        <v>0</v>
      </c>
      <c r="AI3388">
        <v>1</v>
      </c>
      <c r="AJ3388">
        <v>0</v>
      </c>
      <c r="AK3388">
        <v>1</v>
      </c>
      <c r="AL3388">
        <v>0</v>
      </c>
      <c r="AM3388">
        <v>0</v>
      </c>
      <c r="AN3388">
        <v>1</v>
      </c>
      <c r="AO3388">
        <v>1</v>
      </c>
      <c r="AP3388">
        <v>1</v>
      </c>
      <c r="AQ3388">
        <v>1</v>
      </c>
      <c r="AU3388">
        <v>1</v>
      </c>
      <c r="AV3388">
        <v>1</v>
      </c>
      <c r="AW3388">
        <v>1</v>
      </c>
    </row>
    <row r="3389" spans="1:49" x14ac:dyDescent="0.25">
      <c r="A3389" t="str">
        <f>"3385"</f>
        <v>3385</v>
      </c>
      <c r="B3389" t="str">
        <f t="shared" si="194"/>
        <v>1</v>
      </c>
      <c r="C3389" t="str">
        <f t="shared" si="196"/>
        <v>149</v>
      </c>
      <c r="D3389" t="str">
        <f>"22"</f>
        <v>22</v>
      </c>
      <c r="E3389" t="str">
        <f>"1-149-22"</f>
        <v>1-149-22</v>
      </c>
      <c r="F3389" t="s">
        <v>83</v>
      </c>
      <c r="G3389" t="s">
        <v>86</v>
      </c>
      <c r="H3389" t="s">
        <v>93</v>
      </c>
      <c r="I3389">
        <v>1</v>
      </c>
      <c r="K3389">
        <v>0</v>
      </c>
      <c r="L3389">
        <v>0</v>
      </c>
      <c r="M3389">
        <v>1</v>
      </c>
      <c r="N3389">
        <v>1</v>
      </c>
      <c r="O3389">
        <v>1</v>
      </c>
      <c r="P3389">
        <v>1</v>
      </c>
      <c r="Q3389">
        <v>1</v>
      </c>
      <c r="R3389">
        <v>1</v>
      </c>
      <c r="U3389">
        <v>1</v>
      </c>
      <c r="V3389">
        <v>0</v>
      </c>
      <c r="W3389">
        <v>1</v>
      </c>
      <c r="X3389">
        <v>1</v>
      </c>
      <c r="Y3389">
        <v>1</v>
      </c>
      <c r="Z3389">
        <v>1</v>
      </c>
      <c r="AA3389">
        <v>1</v>
      </c>
      <c r="AB3389">
        <v>1</v>
      </c>
    </row>
    <row r="3390" spans="1:49" x14ac:dyDescent="0.25">
      <c r="A3390" t="str">
        <f>"3386"</f>
        <v>3386</v>
      </c>
      <c r="B3390" t="str">
        <f t="shared" si="194"/>
        <v>1</v>
      </c>
      <c r="C3390" t="str">
        <f t="shared" si="196"/>
        <v>149</v>
      </c>
      <c r="D3390" t="str">
        <f>"16"</f>
        <v>16</v>
      </c>
      <c r="E3390" t="str">
        <f>"1-149-16"</f>
        <v>1-149-16</v>
      </c>
      <c r="F3390" t="s">
        <v>83</v>
      </c>
      <c r="G3390" t="s">
        <v>86</v>
      </c>
      <c r="H3390" t="s">
        <v>87</v>
      </c>
      <c r="AC3390">
        <v>0</v>
      </c>
      <c r="AD3390">
        <v>0</v>
      </c>
      <c r="AE3390">
        <v>0</v>
      </c>
      <c r="AF3390">
        <v>0</v>
      </c>
      <c r="AH3390">
        <v>0</v>
      </c>
      <c r="AI3390">
        <v>1</v>
      </c>
      <c r="AJ3390">
        <v>0</v>
      </c>
      <c r="AK3390">
        <v>0</v>
      </c>
      <c r="AL3390">
        <v>0</v>
      </c>
      <c r="AM3390">
        <v>0</v>
      </c>
      <c r="AN3390">
        <v>0</v>
      </c>
      <c r="AO3390">
        <v>0</v>
      </c>
      <c r="AP3390">
        <v>0</v>
      </c>
      <c r="AQ3390">
        <v>0</v>
      </c>
      <c r="AU3390">
        <v>0</v>
      </c>
      <c r="AV3390">
        <v>0</v>
      </c>
      <c r="AW3390">
        <v>0</v>
      </c>
    </row>
    <row r="3391" spans="1:49" x14ac:dyDescent="0.25">
      <c r="A3391" t="str">
        <f>"3387"</f>
        <v>3387</v>
      </c>
      <c r="B3391" t="str">
        <f t="shared" si="194"/>
        <v>1</v>
      </c>
      <c r="C3391" t="str">
        <f t="shared" si="196"/>
        <v>149</v>
      </c>
      <c r="D3391" t="str">
        <f>"8"</f>
        <v>8</v>
      </c>
      <c r="E3391" t="str">
        <f>"1-149-8"</f>
        <v>1-149-8</v>
      </c>
      <c r="F3391" t="s">
        <v>83</v>
      </c>
      <c r="G3391" t="s">
        <v>84</v>
      </c>
      <c r="H3391" t="s">
        <v>92</v>
      </c>
      <c r="I3391">
        <v>1</v>
      </c>
      <c r="J3391">
        <v>1</v>
      </c>
      <c r="N3391">
        <v>1</v>
      </c>
      <c r="O3391">
        <v>1</v>
      </c>
      <c r="P3391">
        <v>1</v>
      </c>
      <c r="Q3391">
        <v>1</v>
      </c>
      <c r="R3391">
        <v>1</v>
      </c>
      <c r="S3391">
        <v>1</v>
      </c>
      <c r="T3391">
        <v>1</v>
      </c>
      <c r="W3391">
        <v>1</v>
      </c>
      <c r="X3391">
        <v>1</v>
      </c>
      <c r="Y3391">
        <v>1</v>
      </c>
      <c r="Z3391">
        <v>1</v>
      </c>
      <c r="AA3391">
        <v>1</v>
      </c>
      <c r="AB3391">
        <v>1</v>
      </c>
    </row>
    <row r="3392" spans="1:49" x14ac:dyDescent="0.25">
      <c r="A3392" t="str">
        <f>"3388"</f>
        <v>3388</v>
      </c>
      <c r="B3392" t="str">
        <f t="shared" si="194"/>
        <v>1</v>
      </c>
      <c r="C3392" t="str">
        <f t="shared" si="196"/>
        <v>149</v>
      </c>
      <c r="D3392" t="str">
        <f>"7"</f>
        <v>7</v>
      </c>
      <c r="E3392" t="str">
        <f>"1-149-7"</f>
        <v>1-149-7</v>
      </c>
      <c r="F3392" t="s">
        <v>83</v>
      </c>
      <c r="G3392" t="s">
        <v>84</v>
      </c>
      <c r="H3392" t="s">
        <v>85</v>
      </c>
      <c r="AC3392">
        <v>0</v>
      </c>
      <c r="AD3392">
        <v>1</v>
      </c>
      <c r="AE3392">
        <v>0</v>
      </c>
      <c r="AF3392">
        <v>0</v>
      </c>
      <c r="AG3392">
        <v>1</v>
      </c>
      <c r="AJ3392">
        <v>0</v>
      </c>
      <c r="AK3392">
        <v>1</v>
      </c>
      <c r="AL3392">
        <v>0</v>
      </c>
      <c r="AM3392">
        <v>0</v>
      </c>
      <c r="AN3392">
        <v>1</v>
      </c>
      <c r="AO3392">
        <v>1</v>
      </c>
      <c r="AP3392">
        <v>1</v>
      </c>
      <c r="AQ3392">
        <v>1</v>
      </c>
      <c r="AR3392">
        <v>1</v>
      </c>
      <c r="AS3392">
        <v>1</v>
      </c>
      <c r="AT3392">
        <v>0</v>
      </c>
      <c r="AV3392">
        <v>1</v>
      </c>
      <c r="AW3392">
        <v>1</v>
      </c>
    </row>
    <row r="3393" spans="1:49" x14ac:dyDescent="0.25">
      <c r="A3393" t="str">
        <f>"3389"</f>
        <v>3389</v>
      </c>
      <c r="B3393" t="str">
        <f t="shared" si="194"/>
        <v>1</v>
      </c>
      <c r="C3393" t="str">
        <f t="shared" si="196"/>
        <v>149</v>
      </c>
      <c r="D3393" t="str">
        <f>"25"</f>
        <v>25</v>
      </c>
      <c r="E3393" t="str">
        <f>"1-149-25"</f>
        <v>1-149-25</v>
      </c>
      <c r="F3393" t="s">
        <v>83</v>
      </c>
      <c r="G3393" t="s">
        <v>84</v>
      </c>
      <c r="H3393" t="s">
        <v>85</v>
      </c>
      <c r="AC3393">
        <v>0</v>
      </c>
      <c r="AD3393">
        <v>0</v>
      </c>
      <c r="AE3393">
        <v>0</v>
      </c>
      <c r="AF3393">
        <v>0</v>
      </c>
      <c r="AG3393">
        <v>1</v>
      </c>
      <c r="AJ3393">
        <v>0</v>
      </c>
      <c r="AK3393">
        <v>0</v>
      </c>
      <c r="AL3393">
        <v>0</v>
      </c>
      <c r="AM3393">
        <v>0</v>
      </c>
      <c r="AN3393">
        <v>0</v>
      </c>
      <c r="AO3393">
        <v>0</v>
      </c>
      <c r="AP3393">
        <v>0</v>
      </c>
      <c r="AQ3393">
        <v>0</v>
      </c>
      <c r="AR3393">
        <v>0</v>
      </c>
      <c r="AS3393">
        <v>0</v>
      </c>
      <c r="AT3393">
        <v>0</v>
      </c>
      <c r="AV3393">
        <v>0</v>
      </c>
      <c r="AW3393">
        <v>1</v>
      </c>
    </row>
    <row r="3394" spans="1:49" x14ac:dyDescent="0.25">
      <c r="A3394" t="str">
        <f>"3390"</f>
        <v>3390</v>
      </c>
      <c r="B3394" t="str">
        <f t="shared" si="194"/>
        <v>1</v>
      </c>
      <c r="C3394" t="str">
        <f t="shared" si="196"/>
        <v>149</v>
      </c>
      <c r="D3394" t="str">
        <f>"24"</f>
        <v>24</v>
      </c>
      <c r="E3394" t="str">
        <f>"1-149-24"</f>
        <v>1-149-24</v>
      </c>
      <c r="F3394" t="s">
        <v>83</v>
      </c>
      <c r="G3394" t="s">
        <v>86</v>
      </c>
      <c r="H3394" t="s">
        <v>93</v>
      </c>
      <c r="I3394">
        <v>1</v>
      </c>
      <c r="K3394">
        <v>0</v>
      </c>
      <c r="L3394">
        <v>0</v>
      </c>
      <c r="M3394">
        <v>1</v>
      </c>
      <c r="N3394">
        <v>1</v>
      </c>
      <c r="O3394">
        <v>1</v>
      </c>
      <c r="P3394">
        <v>1</v>
      </c>
      <c r="Q3394">
        <v>1</v>
      </c>
      <c r="R3394">
        <v>1</v>
      </c>
      <c r="U3394">
        <v>1</v>
      </c>
      <c r="V3394">
        <v>0</v>
      </c>
      <c r="W3394">
        <v>1</v>
      </c>
      <c r="X3394">
        <v>1</v>
      </c>
      <c r="Y3394">
        <v>1</v>
      </c>
      <c r="Z3394">
        <v>1</v>
      </c>
      <c r="AA3394">
        <v>1</v>
      </c>
      <c r="AB3394">
        <v>1</v>
      </c>
    </row>
    <row r="3395" spans="1:49" x14ac:dyDescent="0.25">
      <c r="A3395" t="str">
        <f>"3391"</f>
        <v>3391</v>
      </c>
      <c r="B3395" t="str">
        <f t="shared" si="194"/>
        <v>1</v>
      </c>
      <c r="C3395" t="str">
        <f t="shared" si="196"/>
        <v>149</v>
      </c>
      <c r="D3395" t="str">
        <f>"15"</f>
        <v>15</v>
      </c>
      <c r="E3395" t="str">
        <f>"1-149-15"</f>
        <v>1-149-15</v>
      </c>
      <c r="F3395" t="s">
        <v>83</v>
      </c>
      <c r="G3395" t="s">
        <v>86</v>
      </c>
      <c r="H3395" t="s">
        <v>87</v>
      </c>
      <c r="AC3395">
        <v>0</v>
      </c>
      <c r="AD3395">
        <v>0</v>
      </c>
      <c r="AE3395">
        <v>0</v>
      </c>
      <c r="AF3395">
        <v>0</v>
      </c>
      <c r="AH3395">
        <v>0</v>
      </c>
      <c r="AI3395">
        <v>1</v>
      </c>
      <c r="AJ3395">
        <v>0</v>
      </c>
      <c r="AK3395">
        <v>0</v>
      </c>
      <c r="AL3395">
        <v>0</v>
      </c>
      <c r="AM3395">
        <v>0</v>
      </c>
      <c r="AN3395">
        <v>0</v>
      </c>
      <c r="AO3395">
        <v>0</v>
      </c>
      <c r="AP3395">
        <v>0</v>
      </c>
      <c r="AQ3395">
        <v>0</v>
      </c>
      <c r="AU3395">
        <v>0</v>
      </c>
      <c r="AV3395">
        <v>0</v>
      </c>
      <c r="AW3395">
        <v>0</v>
      </c>
    </row>
    <row r="3396" spans="1:49" x14ac:dyDescent="0.25">
      <c r="A3396" t="str">
        <f>"3392"</f>
        <v>3392</v>
      </c>
      <c r="B3396" t="str">
        <f t="shared" si="194"/>
        <v>1</v>
      </c>
      <c r="C3396" t="str">
        <f t="shared" si="196"/>
        <v>149</v>
      </c>
      <c r="D3396" t="str">
        <f>"9"</f>
        <v>9</v>
      </c>
      <c r="E3396" t="str">
        <f>"1-149-9"</f>
        <v>1-149-9</v>
      </c>
      <c r="F3396" t="s">
        <v>83</v>
      </c>
      <c r="G3396" t="s">
        <v>86</v>
      </c>
      <c r="H3396" t="s">
        <v>87</v>
      </c>
      <c r="AC3396">
        <v>0</v>
      </c>
      <c r="AD3396">
        <v>1</v>
      </c>
      <c r="AE3396">
        <v>0</v>
      </c>
      <c r="AF3396">
        <v>0</v>
      </c>
      <c r="AH3396">
        <v>0</v>
      </c>
      <c r="AI3396">
        <v>1</v>
      </c>
      <c r="AJ3396">
        <v>1</v>
      </c>
      <c r="AK3396">
        <v>0</v>
      </c>
      <c r="AL3396">
        <v>1</v>
      </c>
      <c r="AM3396">
        <v>0</v>
      </c>
      <c r="AN3396">
        <v>0</v>
      </c>
      <c r="AO3396">
        <v>1</v>
      </c>
      <c r="AP3396">
        <v>1</v>
      </c>
      <c r="AQ3396">
        <v>1</v>
      </c>
      <c r="AU3396">
        <v>1</v>
      </c>
      <c r="AV3396">
        <v>1</v>
      </c>
      <c r="AW3396">
        <v>1</v>
      </c>
    </row>
    <row r="3397" spans="1:49" x14ac:dyDescent="0.25">
      <c r="A3397" t="str">
        <f>"3393"</f>
        <v>3393</v>
      </c>
      <c r="B3397" t="str">
        <f t="shared" si="194"/>
        <v>1</v>
      </c>
      <c r="C3397" t="str">
        <f t="shared" si="196"/>
        <v>149</v>
      </c>
      <c r="D3397" t="str">
        <f>"1"</f>
        <v>1</v>
      </c>
      <c r="E3397" t="str">
        <f>"1-149-1"</f>
        <v>1-149-1</v>
      </c>
      <c r="F3397" t="s">
        <v>83</v>
      </c>
      <c r="G3397" t="s">
        <v>84</v>
      </c>
      <c r="H3397" t="s">
        <v>85</v>
      </c>
      <c r="AC3397">
        <v>0</v>
      </c>
      <c r="AD3397">
        <v>1</v>
      </c>
      <c r="AE3397">
        <v>0</v>
      </c>
      <c r="AF3397">
        <v>0</v>
      </c>
      <c r="AG3397">
        <v>1</v>
      </c>
      <c r="AJ3397">
        <v>0</v>
      </c>
      <c r="AK3397">
        <v>1</v>
      </c>
      <c r="AL3397">
        <v>0</v>
      </c>
      <c r="AM3397">
        <v>0</v>
      </c>
      <c r="AN3397">
        <v>1</v>
      </c>
      <c r="AO3397">
        <v>1</v>
      </c>
      <c r="AP3397">
        <v>1</v>
      </c>
      <c r="AQ3397">
        <v>1</v>
      </c>
      <c r="AR3397">
        <v>1</v>
      </c>
      <c r="AS3397">
        <v>1</v>
      </c>
      <c r="AT3397">
        <v>0</v>
      </c>
      <c r="AV3397">
        <v>1</v>
      </c>
      <c r="AW3397">
        <v>1</v>
      </c>
    </row>
    <row r="3398" spans="1:49" x14ac:dyDescent="0.25">
      <c r="A3398" t="str">
        <f>"3394"</f>
        <v>3394</v>
      </c>
      <c r="B3398" t="str">
        <f t="shared" si="194"/>
        <v>1</v>
      </c>
      <c r="C3398" t="str">
        <f t="shared" si="196"/>
        <v>149</v>
      </c>
      <c r="D3398" t="str">
        <f>"17"</f>
        <v>17</v>
      </c>
      <c r="E3398" t="str">
        <f>"1-149-17"</f>
        <v>1-149-17</v>
      </c>
      <c r="F3398" t="s">
        <v>83</v>
      </c>
      <c r="G3398" t="s">
        <v>86</v>
      </c>
      <c r="H3398" t="s">
        <v>87</v>
      </c>
      <c r="AC3398">
        <v>0</v>
      </c>
      <c r="AD3398">
        <v>1</v>
      </c>
      <c r="AE3398">
        <v>0</v>
      </c>
      <c r="AF3398">
        <v>0</v>
      </c>
      <c r="AH3398">
        <v>1</v>
      </c>
      <c r="AI3398">
        <v>0</v>
      </c>
      <c r="AJ3398">
        <v>1</v>
      </c>
      <c r="AK3398">
        <v>0</v>
      </c>
      <c r="AL3398">
        <v>0</v>
      </c>
      <c r="AM3398">
        <v>1</v>
      </c>
      <c r="AN3398">
        <v>0</v>
      </c>
      <c r="AO3398">
        <v>1</v>
      </c>
      <c r="AP3398">
        <v>1</v>
      </c>
      <c r="AQ3398">
        <v>1</v>
      </c>
      <c r="AU3398">
        <v>1</v>
      </c>
      <c r="AV3398">
        <v>1</v>
      </c>
      <c r="AW3398">
        <v>1</v>
      </c>
    </row>
    <row r="3399" spans="1:49" x14ac:dyDescent="0.25">
      <c r="A3399" t="str">
        <f>"3395"</f>
        <v>3395</v>
      </c>
      <c r="B3399" t="str">
        <f t="shared" si="194"/>
        <v>1</v>
      </c>
      <c r="C3399" t="str">
        <f t="shared" si="196"/>
        <v>149</v>
      </c>
      <c r="D3399" t="str">
        <f>"10"</f>
        <v>10</v>
      </c>
      <c r="E3399" t="str">
        <f>"1-149-10"</f>
        <v>1-149-10</v>
      </c>
      <c r="F3399" t="s">
        <v>83</v>
      </c>
      <c r="G3399" t="s">
        <v>86</v>
      </c>
      <c r="H3399" t="s">
        <v>87</v>
      </c>
      <c r="AC3399">
        <v>0</v>
      </c>
      <c r="AD3399">
        <v>0</v>
      </c>
      <c r="AE3399">
        <v>0</v>
      </c>
      <c r="AF3399">
        <v>0</v>
      </c>
      <c r="AH3399">
        <v>0</v>
      </c>
      <c r="AI3399">
        <v>1</v>
      </c>
      <c r="AJ3399">
        <v>0</v>
      </c>
      <c r="AK3399">
        <v>0</v>
      </c>
      <c r="AL3399">
        <v>0</v>
      </c>
      <c r="AM3399">
        <v>0</v>
      </c>
      <c r="AN3399">
        <v>0</v>
      </c>
      <c r="AO3399">
        <v>0</v>
      </c>
      <c r="AP3399">
        <v>0</v>
      </c>
      <c r="AQ3399">
        <v>0</v>
      </c>
      <c r="AU3399">
        <v>0</v>
      </c>
      <c r="AV3399">
        <v>0</v>
      </c>
      <c r="AW3399">
        <v>0</v>
      </c>
    </row>
    <row r="3400" spans="1:49" x14ac:dyDescent="0.25">
      <c r="A3400" t="str">
        <f>"3396"</f>
        <v>3396</v>
      </c>
      <c r="B3400" t="str">
        <f t="shared" si="194"/>
        <v>1</v>
      </c>
      <c r="C3400" t="str">
        <f t="shared" si="196"/>
        <v>149</v>
      </c>
      <c r="D3400" t="str">
        <f>"4"</f>
        <v>4</v>
      </c>
      <c r="E3400" t="str">
        <f>"1-149-4"</f>
        <v>1-149-4</v>
      </c>
      <c r="F3400" t="s">
        <v>83</v>
      </c>
      <c r="G3400" t="s">
        <v>86</v>
      </c>
      <c r="H3400" t="s">
        <v>87</v>
      </c>
      <c r="AC3400">
        <v>1</v>
      </c>
      <c r="AD3400">
        <v>0</v>
      </c>
      <c r="AE3400">
        <v>0</v>
      </c>
      <c r="AF3400">
        <v>0</v>
      </c>
      <c r="AH3400">
        <v>0</v>
      </c>
      <c r="AI3400">
        <v>1</v>
      </c>
      <c r="AJ3400">
        <v>1</v>
      </c>
      <c r="AK3400">
        <v>0</v>
      </c>
      <c r="AL3400">
        <v>0</v>
      </c>
      <c r="AM3400">
        <v>1</v>
      </c>
      <c r="AN3400">
        <v>0</v>
      </c>
      <c r="AO3400">
        <v>1</v>
      </c>
      <c r="AP3400">
        <v>1</v>
      </c>
      <c r="AQ3400">
        <v>1</v>
      </c>
      <c r="AU3400">
        <v>1</v>
      </c>
      <c r="AV3400">
        <v>1</v>
      </c>
      <c r="AW3400">
        <v>1</v>
      </c>
    </row>
    <row r="3401" spans="1:49" x14ac:dyDescent="0.25">
      <c r="A3401" t="str">
        <f>"3397"</f>
        <v>3397</v>
      </c>
      <c r="B3401" t="str">
        <f t="shared" si="194"/>
        <v>1</v>
      </c>
      <c r="C3401" t="str">
        <f t="shared" si="196"/>
        <v>149</v>
      </c>
      <c r="D3401" t="str">
        <f>"18"</f>
        <v>18</v>
      </c>
      <c r="E3401" t="str">
        <f>"1-149-18"</f>
        <v>1-149-18</v>
      </c>
      <c r="F3401" t="s">
        <v>83</v>
      </c>
      <c r="G3401" t="s">
        <v>86</v>
      </c>
      <c r="H3401" t="s">
        <v>87</v>
      </c>
      <c r="AC3401">
        <v>1</v>
      </c>
      <c r="AD3401">
        <v>0</v>
      </c>
      <c r="AE3401">
        <v>0</v>
      </c>
      <c r="AF3401">
        <v>0</v>
      </c>
      <c r="AH3401">
        <v>1</v>
      </c>
      <c r="AI3401">
        <v>0</v>
      </c>
      <c r="AJ3401">
        <v>1</v>
      </c>
      <c r="AK3401">
        <v>0</v>
      </c>
      <c r="AL3401">
        <v>1</v>
      </c>
      <c r="AM3401">
        <v>0</v>
      </c>
      <c r="AN3401">
        <v>0</v>
      </c>
      <c r="AO3401">
        <v>1</v>
      </c>
      <c r="AP3401">
        <v>1</v>
      </c>
      <c r="AQ3401">
        <v>1</v>
      </c>
      <c r="AU3401">
        <v>1</v>
      </c>
      <c r="AV3401">
        <v>1</v>
      </c>
      <c r="AW3401">
        <v>1</v>
      </c>
    </row>
    <row r="3402" spans="1:49" x14ac:dyDescent="0.25">
      <c r="A3402" t="str">
        <f>"3398"</f>
        <v>3398</v>
      </c>
      <c r="B3402" t="str">
        <f t="shared" si="194"/>
        <v>1</v>
      </c>
      <c r="C3402" t="str">
        <f t="shared" si="196"/>
        <v>149</v>
      </c>
      <c r="D3402" t="str">
        <f>"11"</f>
        <v>11</v>
      </c>
      <c r="E3402" t="str">
        <f>"1-149-11"</f>
        <v>1-149-11</v>
      </c>
      <c r="F3402" t="s">
        <v>83</v>
      </c>
      <c r="G3402" t="s">
        <v>86</v>
      </c>
      <c r="H3402" t="s">
        <v>93</v>
      </c>
      <c r="I3402">
        <v>1</v>
      </c>
      <c r="K3402">
        <v>1</v>
      </c>
      <c r="L3402">
        <v>0</v>
      </c>
      <c r="M3402">
        <v>0</v>
      </c>
      <c r="N3402">
        <v>1</v>
      </c>
      <c r="O3402">
        <v>1</v>
      </c>
      <c r="P3402">
        <v>1</v>
      </c>
      <c r="Q3402">
        <v>1</v>
      </c>
      <c r="R3402">
        <v>1</v>
      </c>
      <c r="U3402">
        <v>0</v>
      </c>
      <c r="V3402">
        <v>1</v>
      </c>
      <c r="W3402">
        <v>1</v>
      </c>
      <c r="X3402">
        <v>1</v>
      </c>
      <c r="Y3402">
        <v>1</v>
      </c>
      <c r="Z3402">
        <v>1</v>
      </c>
      <c r="AA3402">
        <v>1</v>
      </c>
      <c r="AB3402">
        <v>1</v>
      </c>
    </row>
    <row r="3403" spans="1:49" x14ac:dyDescent="0.25">
      <c r="A3403" t="str">
        <f>"3399"</f>
        <v>3399</v>
      </c>
      <c r="B3403" t="str">
        <f t="shared" si="194"/>
        <v>1</v>
      </c>
      <c r="C3403" t="str">
        <f t="shared" si="196"/>
        <v>149</v>
      </c>
      <c r="D3403" t="str">
        <f>"5"</f>
        <v>5</v>
      </c>
      <c r="E3403" t="str">
        <f>"1-149-5"</f>
        <v>1-149-5</v>
      </c>
      <c r="F3403" t="s">
        <v>83</v>
      </c>
      <c r="G3403" t="s">
        <v>86</v>
      </c>
      <c r="H3403" t="s">
        <v>87</v>
      </c>
      <c r="AC3403">
        <v>0</v>
      </c>
      <c r="AD3403">
        <v>0</v>
      </c>
      <c r="AE3403">
        <v>0</v>
      </c>
      <c r="AF3403">
        <v>0</v>
      </c>
      <c r="AH3403">
        <v>0</v>
      </c>
      <c r="AI3403">
        <v>1</v>
      </c>
      <c r="AJ3403">
        <v>0</v>
      </c>
      <c r="AK3403">
        <v>1</v>
      </c>
      <c r="AL3403">
        <v>0</v>
      </c>
      <c r="AM3403">
        <v>0</v>
      </c>
      <c r="AN3403">
        <v>1</v>
      </c>
      <c r="AO3403">
        <v>0</v>
      </c>
      <c r="AP3403">
        <v>0</v>
      </c>
      <c r="AQ3403">
        <v>0</v>
      </c>
      <c r="AU3403">
        <v>0</v>
      </c>
      <c r="AV3403">
        <v>0</v>
      </c>
      <c r="AW3403">
        <v>0</v>
      </c>
    </row>
    <row r="3404" spans="1:49" x14ac:dyDescent="0.25">
      <c r="A3404" t="str">
        <f>"3400"</f>
        <v>3400</v>
      </c>
      <c r="B3404" t="str">
        <f t="shared" si="194"/>
        <v>1</v>
      </c>
      <c r="C3404" t="str">
        <f t="shared" si="196"/>
        <v>149</v>
      </c>
      <c r="D3404" t="str">
        <f>"20"</f>
        <v>20</v>
      </c>
      <c r="E3404" t="str">
        <f>"1-149-20"</f>
        <v>1-149-20</v>
      </c>
      <c r="F3404" t="s">
        <v>83</v>
      </c>
      <c r="G3404" t="s">
        <v>86</v>
      </c>
      <c r="H3404" t="s">
        <v>87</v>
      </c>
      <c r="AC3404">
        <v>0</v>
      </c>
      <c r="AD3404">
        <v>0</v>
      </c>
      <c r="AE3404">
        <v>0</v>
      </c>
      <c r="AF3404">
        <v>0</v>
      </c>
      <c r="AH3404">
        <v>0</v>
      </c>
      <c r="AI3404">
        <v>1</v>
      </c>
      <c r="AJ3404">
        <v>0</v>
      </c>
      <c r="AK3404">
        <v>1</v>
      </c>
      <c r="AL3404">
        <v>0</v>
      </c>
      <c r="AM3404">
        <v>0</v>
      </c>
      <c r="AN3404">
        <v>0</v>
      </c>
      <c r="AO3404">
        <v>0</v>
      </c>
      <c r="AP3404">
        <v>0</v>
      </c>
      <c r="AQ3404">
        <v>0</v>
      </c>
      <c r="AU3404">
        <v>0</v>
      </c>
      <c r="AV3404">
        <v>0</v>
      </c>
      <c r="AW3404">
        <v>0</v>
      </c>
    </row>
    <row r="3405" spans="1:49" x14ac:dyDescent="0.25">
      <c r="A3405" t="str">
        <f>"3401"</f>
        <v>3401</v>
      </c>
      <c r="B3405" t="str">
        <f t="shared" si="194"/>
        <v>1</v>
      </c>
      <c r="C3405" t="str">
        <f t="shared" si="196"/>
        <v>149</v>
      </c>
      <c r="D3405" t="str">
        <f>"12"</f>
        <v>12</v>
      </c>
      <c r="E3405" t="str">
        <f>"1-149-12"</f>
        <v>1-149-12</v>
      </c>
      <c r="F3405" t="s">
        <v>83</v>
      </c>
      <c r="G3405" t="s">
        <v>86</v>
      </c>
      <c r="H3405" t="s">
        <v>87</v>
      </c>
      <c r="AC3405">
        <v>0</v>
      </c>
      <c r="AD3405">
        <v>1</v>
      </c>
      <c r="AE3405">
        <v>0</v>
      </c>
      <c r="AF3405">
        <v>0</v>
      </c>
      <c r="AH3405">
        <v>1</v>
      </c>
      <c r="AI3405">
        <v>0</v>
      </c>
      <c r="AJ3405">
        <v>0</v>
      </c>
      <c r="AK3405">
        <v>1</v>
      </c>
      <c r="AL3405">
        <v>0</v>
      </c>
      <c r="AM3405">
        <v>0</v>
      </c>
      <c r="AN3405">
        <v>1</v>
      </c>
      <c r="AO3405">
        <v>1</v>
      </c>
      <c r="AP3405">
        <v>1</v>
      </c>
      <c r="AQ3405">
        <v>1</v>
      </c>
      <c r="AU3405">
        <v>1</v>
      </c>
      <c r="AV3405">
        <v>1</v>
      </c>
      <c r="AW3405">
        <v>1</v>
      </c>
    </row>
    <row r="3406" spans="1:49" x14ac:dyDescent="0.25">
      <c r="A3406" t="str">
        <f>"3402"</f>
        <v>3402</v>
      </c>
      <c r="B3406" t="str">
        <f t="shared" si="194"/>
        <v>1</v>
      </c>
      <c r="C3406" t="str">
        <f t="shared" si="196"/>
        <v>149</v>
      </c>
      <c r="D3406" t="str">
        <f>"6"</f>
        <v>6</v>
      </c>
      <c r="E3406" t="str">
        <f>"1-149-6"</f>
        <v>1-149-6</v>
      </c>
      <c r="F3406" t="s">
        <v>83</v>
      </c>
      <c r="G3406" t="s">
        <v>86</v>
      </c>
      <c r="H3406" t="s">
        <v>87</v>
      </c>
      <c r="AC3406">
        <v>1</v>
      </c>
      <c r="AD3406">
        <v>0</v>
      </c>
      <c r="AE3406">
        <v>0</v>
      </c>
      <c r="AF3406">
        <v>0</v>
      </c>
      <c r="AH3406">
        <v>0</v>
      </c>
      <c r="AI3406">
        <v>1</v>
      </c>
      <c r="AJ3406">
        <v>1</v>
      </c>
      <c r="AK3406">
        <v>0</v>
      </c>
      <c r="AL3406">
        <v>0</v>
      </c>
      <c r="AM3406">
        <v>0</v>
      </c>
      <c r="AN3406">
        <v>1</v>
      </c>
      <c r="AO3406">
        <v>0</v>
      </c>
      <c r="AP3406">
        <v>0</v>
      </c>
      <c r="AQ3406">
        <v>0</v>
      </c>
      <c r="AU3406">
        <v>0</v>
      </c>
      <c r="AV3406">
        <v>0</v>
      </c>
      <c r="AW3406">
        <v>0</v>
      </c>
    </row>
    <row r="3407" spans="1:49" x14ac:dyDescent="0.25">
      <c r="A3407" t="str">
        <f>"3403"</f>
        <v>3403</v>
      </c>
      <c r="B3407" t="str">
        <f t="shared" si="194"/>
        <v>1</v>
      </c>
      <c r="C3407" t="str">
        <f t="shared" si="196"/>
        <v>149</v>
      </c>
      <c r="D3407" t="str">
        <f>"21"</f>
        <v>21</v>
      </c>
      <c r="E3407" t="str">
        <f>"1-149-21"</f>
        <v>1-149-21</v>
      </c>
      <c r="F3407" t="s">
        <v>83</v>
      </c>
      <c r="G3407" t="s">
        <v>86</v>
      </c>
      <c r="H3407" t="s">
        <v>93</v>
      </c>
      <c r="I3407">
        <v>1</v>
      </c>
      <c r="K3407">
        <v>0</v>
      </c>
      <c r="L3407">
        <v>0</v>
      </c>
      <c r="M3407">
        <v>1</v>
      </c>
      <c r="N3407">
        <v>1</v>
      </c>
      <c r="O3407">
        <v>1</v>
      </c>
      <c r="P3407">
        <v>1</v>
      </c>
      <c r="Q3407">
        <v>1</v>
      </c>
      <c r="R3407">
        <v>1</v>
      </c>
      <c r="U3407">
        <v>0</v>
      </c>
      <c r="V3407">
        <v>1</v>
      </c>
      <c r="W3407">
        <v>1</v>
      </c>
      <c r="X3407">
        <v>1</v>
      </c>
      <c r="Y3407">
        <v>1</v>
      </c>
      <c r="Z3407">
        <v>1</v>
      </c>
      <c r="AA3407">
        <v>1</v>
      </c>
      <c r="AB3407">
        <v>1</v>
      </c>
    </row>
    <row r="3408" spans="1:49" x14ac:dyDescent="0.25">
      <c r="A3408" t="str">
        <f>"3404"</f>
        <v>3404</v>
      </c>
      <c r="B3408" t="str">
        <f t="shared" si="194"/>
        <v>1</v>
      </c>
      <c r="C3408" t="str">
        <f t="shared" si="196"/>
        <v>149</v>
      </c>
      <c r="D3408" t="str">
        <f>"13"</f>
        <v>13</v>
      </c>
      <c r="E3408" t="str">
        <f>"1-149-13"</f>
        <v>1-149-13</v>
      </c>
      <c r="F3408" t="s">
        <v>83</v>
      </c>
      <c r="G3408" t="s">
        <v>86</v>
      </c>
      <c r="H3408" t="s">
        <v>93</v>
      </c>
      <c r="I3408">
        <v>1</v>
      </c>
      <c r="K3408">
        <v>1</v>
      </c>
      <c r="L3408">
        <v>0</v>
      </c>
      <c r="M3408">
        <v>0</v>
      </c>
      <c r="N3408">
        <v>1</v>
      </c>
      <c r="O3408">
        <v>1</v>
      </c>
      <c r="P3408">
        <v>1</v>
      </c>
      <c r="Q3408">
        <v>1</v>
      </c>
      <c r="R3408">
        <v>1</v>
      </c>
      <c r="U3408">
        <v>0</v>
      </c>
      <c r="V3408">
        <v>1</v>
      </c>
      <c r="W3408">
        <v>1</v>
      </c>
      <c r="X3408">
        <v>1</v>
      </c>
      <c r="Y3408">
        <v>1</v>
      </c>
      <c r="Z3408">
        <v>1</v>
      </c>
      <c r="AA3408">
        <v>1</v>
      </c>
      <c r="AB3408">
        <v>1</v>
      </c>
    </row>
    <row r="3409" spans="1:49" x14ac:dyDescent="0.25">
      <c r="A3409" t="str">
        <f>"3405"</f>
        <v>3405</v>
      </c>
      <c r="B3409" t="str">
        <f t="shared" si="194"/>
        <v>1</v>
      </c>
      <c r="C3409" t="str">
        <f t="shared" si="196"/>
        <v>149</v>
      </c>
      <c r="D3409" t="str">
        <f>"2"</f>
        <v>2</v>
      </c>
      <c r="E3409" t="str">
        <f>"1-149-2"</f>
        <v>1-149-2</v>
      </c>
      <c r="F3409" t="s">
        <v>83</v>
      </c>
      <c r="G3409" t="s">
        <v>84</v>
      </c>
      <c r="H3409" t="s">
        <v>92</v>
      </c>
      <c r="I3409">
        <v>1</v>
      </c>
      <c r="J3409">
        <v>1</v>
      </c>
      <c r="N3409">
        <v>1</v>
      </c>
      <c r="O3409">
        <v>1</v>
      </c>
      <c r="P3409">
        <v>1</v>
      </c>
      <c r="Q3409">
        <v>1</v>
      </c>
      <c r="R3409">
        <v>1</v>
      </c>
      <c r="S3409">
        <v>1</v>
      </c>
      <c r="T3409">
        <v>1</v>
      </c>
      <c r="W3409">
        <v>1</v>
      </c>
      <c r="X3409">
        <v>1</v>
      </c>
      <c r="Y3409">
        <v>1</v>
      </c>
      <c r="Z3409">
        <v>1</v>
      </c>
      <c r="AA3409">
        <v>1</v>
      </c>
      <c r="AB3409">
        <v>1</v>
      </c>
    </row>
    <row r="3410" spans="1:49" x14ac:dyDescent="0.25">
      <c r="A3410" t="str">
        <f>"3406"</f>
        <v>3406</v>
      </c>
      <c r="B3410" t="str">
        <f t="shared" si="194"/>
        <v>1</v>
      </c>
      <c r="C3410" t="str">
        <f t="shared" si="196"/>
        <v>149</v>
      </c>
      <c r="D3410" t="str">
        <f>"19"</f>
        <v>19</v>
      </c>
      <c r="E3410" t="str">
        <f>"1-149-19"</f>
        <v>1-149-19</v>
      </c>
      <c r="F3410" t="s">
        <v>83</v>
      </c>
      <c r="G3410" t="s">
        <v>86</v>
      </c>
      <c r="H3410" t="s">
        <v>87</v>
      </c>
      <c r="AC3410">
        <v>0</v>
      </c>
      <c r="AD3410">
        <v>0</v>
      </c>
      <c r="AE3410">
        <v>0</v>
      </c>
      <c r="AF3410">
        <v>0</v>
      </c>
      <c r="AH3410">
        <v>0</v>
      </c>
      <c r="AI3410">
        <v>0</v>
      </c>
      <c r="AJ3410">
        <v>0</v>
      </c>
      <c r="AK3410">
        <v>1</v>
      </c>
      <c r="AL3410">
        <v>0</v>
      </c>
      <c r="AM3410">
        <v>0</v>
      </c>
      <c r="AN3410">
        <v>1</v>
      </c>
      <c r="AO3410">
        <v>0</v>
      </c>
      <c r="AP3410">
        <v>0</v>
      </c>
      <c r="AQ3410">
        <v>0</v>
      </c>
      <c r="AU3410">
        <v>0</v>
      </c>
      <c r="AV3410">
        <v>0</v>
      </c>
      <c r="AW3410">
        <v>1</v>
      </c>
    </row>
    <row r="3411" spans="1:49" x14ac:dyDescent="0.25">
      <c r="A3411" t="str">
        <f>"3407"</f>
        <v>3407</v>
      </c>
      <c r="B3411" t="str">
        <f t="shared" si="194"/>
        <v>1</v>
      </c>
      <c r="C3411" t="str">
        <f t="shared" si="196"/>
        <v>149</v>
      </c>
      <c r="D3411" t="str">
        <f>"14"</f>
        <v>14</v>
      </c>
      <c r="E3411" t="str">
        <f>"1-149-14"</f>
        <v>1-149-14</v>
      </c>
      <c r="F3411" t="s">
        <v>83</v>
      </c>
      <c r="G3411" t="s">
        <v>86</v>
      </c>
      <c r="H3411" t="s">
        <v>87</v>
      </c>
      <c r="AC3411">
        <v>0</v>
      </c>
      <c r="AD3411">
        <v>1</v>
      </c>
      <c r="AE3411">
        <v>0</v>
      </c>
      <c r="AF3411">
        <v>0</v>
      </c>
      <c r="AH3411">
        <v>0</v>
      </c>
      <c r="AI3411">
        <v>1</v>
      </c>
      <c r="AJ3411">
        <v>0</v>
      </c>
      <c r="AK3411">
        <v>0</v>
      </c>
      <c r="AL3411">
        <v>0</v>
      </c>
      <c r="AM3411">
        <v>0</v>
      </c>
      <c r="AN3411">
        <v>1</v>
      </c>
      <c r="AO3411">
        <v>0</v>
      </c>
      <c r="AP3411">
        <v>0</v>
      </c>
      <c r="AQ3411">
        <v>0</v>
      </c>
      <c r="AU3411">
        <v>0</v>
      </c>
      <c r="AV3411">
        <v>0</v>
      </c>
      <c r="AW3411">
        <v>0</v>
      </c>
    </row>
    <row r="3412" spans="1:49" x14ac:dyDescent="0.25">
      <c r="A3412" t="str">
        <f>"3408"</f>
        <v>3408</v>
      </c>
      <c r="B3412" t="str">
        <f t="shared" si="194"/>
        <v>1</v>
      </c>
      <c r="C3412" t="str">
        <f t="shared" si="196"/>
        <v>149</v>
      </c>
      <c r="D3412" t="str">
        <f>"3"</f>
        <v>3</v>
      </c>
      <c r="E3412" t="str">
        <f>"1-149-3"</f>
        <v>1-149-3</v>
      </c>
      <c r="F3412" t="s">
        <v>83</v>
      </c>
      <c r="G3412" t="s">
        <v>86</v>
      </c>
      <c r="H3412" t="s">
        <v>93</v>
      </c>
      <c r="I3412">
        <v>1</v>
      </c>
      <c r="K3412">
        <v>0</v>
      </c>
      <c r="L3412">
        <v>0</v>
      </c>
      <c r="M3412">
        <v>1</v>
      </c>
      <c r="N3412">
        <v>1</v>
      </c>
      <c r="O3412">
        <v>1</v>
      </c>
      <c r="P3412">
        <v>1</v>
      </c>
      <c r="Q3412">
        <v>1</v>
      </c>
      <c r="R3412">
        <v>1</v>
      </c>
      <c r="U3412">
        <v>0</v>
      </c>
      <c r="V3412">
        <v>1</v>
      </c>
      <c r="W3412">
        <v>1</v>
      </c>
      <c r="X3412">
        <v>1</v>
      </c>
      <c r="Y3412">
        <v>1</v>
      </c>
      <c r="Z3412">
        <v>1</v>
      </c>
      <c r="AA3412">
        <v>1</v>
      </c>
      <c r="AB3412">
        <v>1</v>
      </c>
    </row>
    <row r="3413" spans="1:49" x14ac:dyDescent="0.25">
      <c r="A3413" t="str">
        <f>"3409"</f>
        <v>3409</v>
      </c>
      <c r="B3413" t="str">
        <f t="shared" si="194"/>
        <v>1</v>
      </c>
      <c r="C3413" t="str">
        <f t="shared" ref="C3413:C3432" si="197">"150"</f>
        <v>150</v>
      </c>
      <c r="D3413" t="str">
        <f>"15"</f>
        <v>15</v>
      </c>
      <c r="E3413" t="str">
        <f>"1-150-15"</f>
        <v>1-150-15</v>
      </c>
      <c r="F3413" t="s">
        <v>83</v>
      </c>
      <c r="G3413" t="s">
        <v>86</v>
      </c>
      <c r="H3413" t="s">
        <v>93</v>
      </c>
      <c r="I3413">
        <v>1</v>
      </c>
      <c r="K3413">
        <v>0</v>
      </c>
      <c r="L3413">
        <v>1</v>
      </c>
      <c r="M3413">
        <v>0</v>
      </c>
      <c r="N3413">
        <v>1</v>
      </c>
      <c r="O3413">
        <v>1</v>
      </c>
      <c r="P3413">
        <v>1</v>
      </c>
      <c r="Q3413">
        <v>1</v>
      </c>
      <c r="R3413">
        <v>1</v>
      </c>
      <c r="U3413">
        <v>0</v>
      </c>
      <c r="V3413">
        <v>1</v>
      </c>
      <c r="W3413">
        <v>1</v>
      </c>
      <c r="X3413">
        <v>1</v>
      </c>
      <c r="Y3413">
        <v>1</v>
      </c>
      <c r="Z3413">
        <v>1</v>
      </c>
      <c r="AA3413">
        <v>1</v>
      </c>
      <c r="AB3413">
        <v>1</v>
      </c>
    </row>
    <row r="3414" spans="1:49" x14ac:dyDescent="0.25">
      <c r="A3414" t="str">
        <f>"3410"</f>
        <v>3410</v>
      </c>
      <c r="B3414" t="str">
        <f t="shared" si="194"/>
        <v>1</v>
      </c>
      <c r="C3414" t="str">
        <f t="shared" si="197"/>
        <v>150</v>
      </c>
      <c r="D3414" t="str">
        <f>"8"</f>
        <v>8</v>
      </c>
      <c r="E3414" t="str">
        <f>"1-150-8"</f>
        <v>1-150-8</v>
      </c>
      <c r="F3414" t="s">
        <v>83</v>
      </c>
      <c r="G3414" t="s">
        <v>86</v>
      </c>
      <c r="H3414" t="s">
        <v>87</v>
      </c>
      <c r="AC3414">
        <v>0</v>
      </c>
      <c r="AD3414">
        <v>1</v>
      </c>
      <c r="AE3414">
        <v>0</v>
      </c>
      <c r="AF3414">
        <v>0</v>
      </c>
      <c r="AH3414">
        <v>0</v>
      </c>
      <c r="AI3414">
        <v>1</v>
      </c>
      <c r="AJ3414">
        <v>0</v>
      </c>
      <c r="AK3414">
        <v>0</v>
      </c>
      <c r="AL3414">
        <v>0</v>
      </c>
      <c r="AM3414">
        <v>0</v>
      </c>
      <c r="AN3414">
        <v>1</v>
      </c>
      <c r="AO3414">
        <v>0</v>
      </c>
      <c r="AP3414">
        <v>0</v>
      </c>
      <c r="AQ3414">
        <v>0</v>
      </c>
      <c r="AU3414">
        <v>0</v>
      </c>
      <c r="AV3414">
        <v>0</v>
      </c>
      <c r="AW3414">
        <v>0</v>
      </c>
    </row>
    <row r="3415" spans="1:49" x14ac:dyDescent="0.25">
      <c r="A3415" t="str">
        <f>"3411"</f>
        <v>3411</v>
      </c>
      <c r="B3415" t="str">
        <f t="shared" si="194"/>
        <v>1</v>
      </c>
      <c r="C3415" t="str">
        <f t="shared" si="197"/>
        <v>150</v>
      </c>
      <c r="D3415" t="str">
        <f>"5"</f>
        <v>5</v>
      </c>
      <c r="E3415" t="str">
        <f>"1-150-5"</f>
        <v>1-150-5</v>
      </c>
      <c r="F3415" t="s">
        <v>83</v>
      </c>
      <c r="G3415" t="s">
        <v>86</v>
      </c>
      <c r="H3415" t="s">
        <v>87</v>
      </c>
      <c r="AC3415">
        <v>0</v>
      </c>
      <c r="AD3415">
        <v>1</v>
      </c>
      <c r="AE3415">
        <v>0</v>
      </c>
      <c r="AF3415">
        <v>0</v>
      </c>
      <c r="AH3415">
        <v>0</v>
      </c>
      <c r="AI3415">
        <v>1</v>
      </c>
      <c r="AJ3415">
        <v>1</v>
      </c>
      <c r="AK3415">
        <v>0</v>
      </c>
      <c r="AL3415">
        <v>0</v>
      </c>
      <c r="AM3415">
        <v>0</v>
      </c>
      <c r="AN3415">
        <v>1</v>
      </c>
      <c r="AO3415">
        <v>1</v>
      </c>
      <c r="AP3415">
        <v>1</v>
      </c>
      <c r="AQ3415">
        <v>1</v>
      </c>
      <c r="AU3415">
        <v>1</v>
      </c>
      <c r="AV3415">
        <v>1</v>
      </c>
      <c r="AW3415">
        <v>1</v>
      </c>
    </row>
    <row r="3416" spans="1:49" x14ac:dyDescent="0.25">
      <c r="A3416" t="str">
        <f>"3412"</f>
        <v>3412</v>
      </c>
      <c r="B3416" t="str">
        <f t="shared" si="194"/>
        <v>1</v>
      </c>
      <c r="C3416" t="str">
        <f t="shared" si="197"/>
        <v>150</v>
      </c>
      <c r="D3416" t="str">
        <f>"16"</f>
        <v>16</v>
      </c>
      <c r="E3416" t="str">
        <f>"1-150-16"</f>
        <v>1-150-16</v>
      </c>
      <c r="F3416" t="s">
        <v>83</v>
      </c>
      <c r="G3416" t="s">
        <v>86</v>
      </c>
      <c r="H3416" t="s">
        <v>87</v>
      </c>
      <c r="AC3416">
        <v>0</v>
      </c>
      <c r="AD3416">
        <v>1</v>
      </c>
      <c r="AE3416">
        <v>0</v>
      </c>
      <c r="AF3416">
        <v>0</v>
      </c>
      <c r="AH3416">
        <v>0</v>
      </c>
      <c r="AI3416">
        <v>1</v>
      </c>
      <c r="AJ3416">
        <v>0</v>
      </c>
      <c r="AK3416">
        <v>0</v>
      </c>
      <c r="AL3416">
        <v>0</v>
      </c>
      <c r="AM3416">
        <v>1</v>
      </c>
      <c r="AN3416">
        <v>0</v>
      </c>
      <c r="AO3416">
        <v>0</v>
      </c>
      <c r="AP3416">
        <v>0</v>
      </c>
      <c r="AQ3416">
        <v>0</v>
      </c>
      <c r="AU3416">
        <v>0</v>
      </c>
      <c r="AV3416">
        <v>0</v>
      </c>
      <c r="AW3416">
        <v>0</v>
      </c>
    </row>
    <row r="3417" spans="1:49" x14ac:dyDescent="0.25">
      <c r="A3417" t="str">
        <f>"3413"</f>
        <v>3413</v>
      </c>
      <c r="B3417" t="str">
        <f t="shared" si="194"/>
        <v>1</v>
      </c>
      <c r="C3417" t="str">
        <f t="shared" si="197"/>
        <v>150</v>
      </c>
      <c r="D3417" t="str">
        <f>"9"</f>
        <v>9</v>
      </c>
      <c r="E3417" t="str">
        <f>"1-150-9"</f>
        <v>1-150-9</v>
      </c>
      <c r="F3417" t="s">
        <v>83</v>
      </c>
      <c r="G3417" t="s">
        <v>86</v>
      </c>
      <c r="H3417" t="s">
        <v>93</v>
      </c>
      <c r="I3417">
        <v>1</v>
      </c>
      <c r="K3417">
        <v>0</v>
      </c>
      <c r="L3417">
        <v>0</v>
      </c>
      <c r="M3417">
        <v>1</v>
      </c>
      <c r="N3417">
        <v>1</v>
      </c>
      <c r="O3417">
        <v>1</v>
      </c>
      <c r="P3417">
        <v>1</v>
      </c>
      <c r="Q3417">
        <v>1</v>
      </c>
      <c r="R3417">
        <v>1</v>
      </c>
      <c r="U3417">
        <v>1</v>
      </c>
      <c r="V3417">
        <v>0</v>
      </c>
      <c r="W3417">
        <v>1</v>
      </c>
      <c r="X3417">
        <v>1</v>
      </c>
      <c r="Y3417">
        <v>1</v>
      </c>
      <c r="Z3417">
        <v>1</v>
      </c>
      <c r="AA3417">
        <v>1</v>
      </c>
      <c r="AB3417">
        <v>1</v>
      </c>
    </row>
    <row r="3418" spans="1:49" x14ac:dyDescent="0.25">
      <c r="A3418" t="str">
        <f>"3414"</f>
        <v>3414</v>
      </c>
      <c r="B3418" t="str">
        <f t="shared" si="194"/>
        <v>1</v>
      </c>
      <c r="C3418" t="str">
        <f t="shared" si="197"/>
        <v>150</v>
      </c>
      <c r="D3418" t="str">
        <f>"1"</f>
        <v>1</v>
      </c>
      <c r="E3418" t="str">
        <f>"1-150-1"</f>
        <v>1-150-1</v>
      </c>
      <c r="F3418" t="s">
        <v>83</v>
      </c>
      <c r="G3418" t="s">
        <v>86</v>
      </c>
      <c r="H3418" t="s">
        <v>87</v>
      </c>
      <c r="AC3418">
        <v>1</v>
      </c>
      <c r="AD3418">
        <v>0</v>
      </c>
      <c r="AE3418">
        <v>0</v>
      </c>
      <c r="AF3418">
        <v>0</v>
      </c>
      <c r="AH3418">
        <v>0</v>
      </c>
      <c r="AI3418">
        <v>1</v>
      </c>
      <c r="AJ3418">
        <v>0</v>
      </c>
      <c r="AK3418">
        <v>0</v>
      </c>
      <c r="AL3418">
        <v>0</v>
      </c>
      <c r="AM3418">
        <v>0</v>
      </c>
      <c r="AN3418">
        <v>0</v>
      </c>
      <c r="AO3418">
        <v>0</v>
      </c>
      <c r="AP3418">
        <v>0</v>
      </c>
      <c r="AQ3418">
        <v>0</v>
      </c>
      <c r="AU3418">
        <v>0</v>
      </c>
      <c r="AV3418">
        <v>0</v>
      </c>
      <c r="AW3418">
        <v>0</v>
      </c>
    </row>
    <row r="3419" spans="1:49" x14ac:dyDescent="0.25">
      <c r="A3419" t="str">
        <f>"3415"</f>
        <v>3415</v>
      </c>
      <c r="B3419" t="str">
        <f t="shared" si="194"/>
        <v>1</v>
      </c>
      <c r="C3419" t="str">
        <f t="shared" si="197"/>
        <v>150</v>
      </c>
      <c r="D3419" t="str">
        <f>"17"</f>
        <v>17</v>
      </c>
      <c r="E3419" t="str">
        <f>"1-150-17"</f>
        <v>1-150-17</v>
      </c>
      <c r="F3419" t="s">
        <v>83</v>
      </c>
      <c r="G3419" t="s">
        <v>86</v>
      </c>
      <c r="H3419" t="s">
        <v>87</v>
      </c>
      <c r="AC3419">
        <v>1</v>
      </c>
      <c r="AD3419">
        <v>0</v>
      </c>
      <c r="AE3419">
        <v>0</v>
      </c>
      <c r="AF3419">
        <v>0</v>
      </c>
      <c r="AH3419">
        <v>0</v>
      </c>
      <c r="AI3419">
        <v>1</v>
      </c>
      <c r="AJ3419">
        <v>1</v>
      </c>
      <c r="AK3419">
        <v>0</v>
      </c>
      <c r="AL3419">
        <v>0</v>
      </c>
      <c r="AM3419">
        <v>1</v>
      </c>
      <c r="AN3419">
        <v>0</v>
      </c>
      <c r="AO3419">
        <v>1</v>
      </c>
      <c r="AP3419">
        <v>1</v>
      </c>
      <c r="AQ3419">
        <v>1</v>
      </c>
      <c r="AU3419">
        <v>1</v>
      </c>
      <c r="AV3419">
        <v>1</v>
      </c>
      <c r="AW3419">
        <v>1</v>
      </c>
    </row>
    <row r="3420" spans="1:49" x14ac:dyDescent="0.25">
      <c r="A3420" t="str">
        <f>"3416"</f>
        <v>3416</v>
      </c>
      <c r="B3420" t="str">
        <f t="shared" si="194"/>
        <v>1</v>
      </c>
      <c r="C3420" t="str">
        <f t="shared" si="197"/>
        <v>150</v>
      </c>
      <c r="D3420" t="str">
        <f>"10"</f>
        <v>10</v>
      </c>
      <c r="E3420" t="str">
        <f>"1-150-10"</f>
        <v>1-150-10</v>
      </c>
      <c r="F3420" t="s">
        <v>83</v>
      </c>
      <c r="G3420" t="s">
        <v>86</v>
      </c>
      <c r="H3420" t="s">
        <v>87</v>
      </c>
      <c r="AC3420">
        <v>0</v>
      </c>
      <c r="AD3420">
        <v>1</v>
      </c>
      <c r="AE3420">
        <v>0</v>
      </c>
      <c r="AF3420">
        <v>0</v>
      </c>
      <c r="AH3420">
        <v>0</v>
      </c>
      <c r="AI3420">
        <v>1</v>
      </c>
      <c r="AJ3420">
        <v>0</v>
      </c>
      <c r="AK3420">
        <v>1</v>
      </c>
      <c r="AL3420">
        <v>0</v>
      </c>
      <c r="AM3420">
        <v>1</v>
      </c>
      <c r="AN3420">
        <v>0</v>
      </c>
      <c r="AO3420">
        <v>0</v>
      </c>
      <c r="AP3420">
        <v>0</v>
      </c>
      <c r="AQ3420">
        <v>0</v>
      </c>
      <c r="AU3420">
        <v>0</v>
      </c>
      <c r="AV3420">
        <v>0</v>
      </c>
      <c r="AW3420">
        <v>0</v>
      </c>
    </row>
    <row r="3421" spans="1:49" x14ac:dyDescent="0.25">
      <c r="A3421" t="str">
        <f>"3417"</f>
        <v>3417</v>
      </c>
      <c r="B3421" t="str">
        <f t="shared" si="194"/>
        <v>1</v>
      </c>
      <c r="C3421" t="str">
        <f t="shared" si="197"/>
        <v>150</v>
      </c>
      <c r="D3421" t="str">
        <f>"4"</f>
        <v>4</v>
      </c>
      <c r="E3421" t="str">
        <f>"1-150-4"</f>
        <v>1-150-4</v>
      </c>
      <c r="F3421" t="s">
        <v>83</v>
      </c>
      <c r="G3421" t="s">
        <v>86</v>
      </c>
      <c r="H3421" t="s">
        <v>87</v>
      </c>
      <c r="AC3421">
        <v>0</v>
      </c>
      <c r="AD3421">
        <v>0</v>
      </c>
      <c r="AE3421">
        <v>0</v>
      </c>
      <c r="AF3421">
        <v>0</v>
      </c>
      <c r="AH3421">
        <v>0</v>
      </c>
      <c r="AI3421">
        <v>1</v>
      </c>
      <c r="AJ3421">
        <v>0</v>
      </c>
      <c r="AK3421">
        <v>0</v>
      </c>
      <c r="AL3421">
        <v>0</v>
      </c>
      <c r="AM3421">
        <v>0</v>
      </c>
      <c r="AN3421">
        <v>0</v>
      </c>
      <c r="AO3421">
        <v>0</v>
      </c>
      <c r="AP3421">
        <v>0</v>
      </c>
      <c r="AQ3421">
        <v>0</v>
      </c>
      <c r="AU3421">
        <v>0</v>
      </c>
      <c r="AV3421">
        <v>0</v>
      </c>
      <c r="AW3421">
        <v>0</v>
      </c>
    </row>
    <row r="3422" spans="1:49" x14ac:dyDescent="0.25">
      <c r="A3422" t="str">
        <f>"3418"</f>
        <v>3418</v>
      </c>
      <c r="B3422" t="str">
        <f t="shared" ref="B3422:B3485" si="198">"1"</f>
        <v>1</v>
      </c>
      <c r="C3422" t="str">
        <f t="shared" si="197"/>
        <v>150</v>
      </c>
      <c r="D3422" t="str">
        <f>"18"</f>
        <v>18</v>
      </c>
      <c r="E3422" t="str">
        <f>"1-150-18"</f>
        <v>1-150-18</v>
      </c>
      <c r="F3422" t="s">
        <v>83</v>
      </c>
      <c r="G3422" t="s">
        <v>86</v>
      </c>
      <c r="H3422" t="s">
        <v>93</v>
      </c>
      <c r="I3422">
        <v>1</v>
      </c>
      <c r="K3422">
        <v>0</v>
      </c>
      <c r="L3422">
        <v>0</v>
      </c>
      <c r="M3422">
        <v>1</v>
      </c>
      <c r="N3422">
        <v>1</v>
      </c>
      <c r="O3422">
        <v>1</v>
      </c>
      <c r="P3422">
        <v>0</v>
      </c>
      <c r="Q3422">
        <v>1</v>
      </c>
      <c r="R3422">
        <v>1</v>
      </c>
      <c r="U3422">
        <v>1</v>
      </c>
      <c r="V3422">
        <v>0</v>
      </c>
      <c r="W3422">
        <v>1</v>
      </c>
      <c r="X3422">
        <v>1</v>
      </c>
      <c r="Y3422">
        <v>1</v>
      </c>
      <c r="Z3422">
        <v>1</v>
      </c>
      <c r="AA3422">
        <v>1</v>
      </c>
      <c r="AB3422">
        <v>1</v>
      </c>
    </row>
    <row r="3423" spans="1:49" x14ac:dyDescent="0.25">
      <c r="A3423" t="str">
        <f>"3419"</f>
        <v>3419</v>
      </c>
      <c r="B3423" t="str">
        <f t="shared" si="198"/>
        <v>1</v>
      </c>
      <c r="C3423" t="str">
        <f t="shared" si="197"/>
        <v>150</v>
      </c>
      <c r="D3423" t="str">
        <f>"11"</f>
        <v>11</v>
      </c>
      <c r="E3423" t="str">
        <f>"1-150-11"</f>
        <v>1-150-11</v>
      </c>
      <c r="F3423" t="s">
        <v>83</v>
      </c>
      <c r="G3423" t="s">
        <v>86</v>
      </c>
      <c r="H3423" t="s">
        <v>87</v>
      </c>
      <c r="AC3423">
        <v>1</v>
      </c>
      <c r="AD3423">
        <v>0</v>
      </c>
      <c r="AE3423">
        <v>0</v>
      </c>
      <c r="AF3423">
        <v>0</v>
      </c>
      <c r="AH3423">
        <v>1</v>
      </c>
      <c r="AI3423">
        <v>0</v>
      </c>
      <c r="AJ3423">
        <v>1</v>
      </c>
      <c r="AK3423">
        <v>0</v>
      </c>
      <c r="AL3423">
        <v>0</v>
      </c>
      <c r="AM3423">
        <v>1</v>
      </c>
      <c r="AN3423">
        <v>0</v>
      </c>
      <c r="AO3423">
        <v>1</v>
      </c>
      <c r="AP3423">
        <v>1</v>
      </c>
      <c r="AQ3423">
        <v>1</v>
      </c>
      <c r="AU3423">
        <v>1</v>
      </c>
      <c r="AV3423">
        <v>1</v>
      </c>
      <c r="AW3423">
        <v>1</v>
      </c>
    </row>
    <row r="3424" spans="1:49" x14ac:dyDescent="0.25">
      <c r="A3424" t="str">
        <f>"3420"</f>
        <v>3420</v>
      </c>
      <c r="B3424" t="str">
        <f t="shared" si="198"/>
        <v>1</v>
      </c>
      <c r="C3424" t="str">
        <f t="shared" si="197"/>
        <v>150</v>
      </c>
      <c r="D3424" t="str">
        <f>"7"</f>
        <v>7</v>
      </c>
      <c r="E3424" t="str">
        <f>"1-150-7"</f>
        <v>1-150-7</v>
      </c>
      <c r="F3424" t="s">
        <v>83</v>
      </c>
      <c r="G3424" t="s">
        <v>86</v>
      </c>
      <c r="H3424" t="s">
        <v>87</v>
      </c>
      <c r="AC3424">
        <v>0</v>
      </c>
      <c r="AD3424">
        <v>1</v>
      </c>
      <c r="AE3424">
        <v>0</v>
      </c>
      <c r="AF3424">
        <v>0</v>
      </c>
      <c r="AH3424">
        <v>0</v>
      </c>
      <c r="AI3424">
        <v>1</v>
      </c>
      <c r="AJ3424">
        <v>0</v>
      </c>
      <c r="AK3424">
        <v>1</v>
      </c>
      <c r="AL3424">
        <v>0</v>
      </c>
      <c r="AM3424">
        <v>0</v>
      </c>
      <c r="AN3424">
        <v>1</v>
      </c>
      <c r="AO3424">
        <v>0</v>
      </c>
      <c r="AP3424">
        <v>0</v>
      </c>
      <c r="AQ3424">
        <v>0</v>
      </c>
      <c r="AU3424">
        <v>0</v>
      </c>
      <c r="AV3424">
        <v>0</v>
      </c>
      <c r="AW3424">
        <v>0</v>
      </c>
    </row>
    <row r="3425" spans="1:49" x14ac:dyDescent="0.25">
      <c r="A3425" t="str">
        <f>"3421"</f>
        <v>3421</v>
      </c>
      <c r="B3425" t="str">
        <f t="shared" si="198"/>
        <v>1</v>
      </c>
      <c r="C3425" t="str">
        <f t="shared" si="197"/>
        <v>150</v>
      </c>
      <c r="D3425" t="str">
        <f>"20"</f>
        <v>20</v>
      </c>
      <c r="E3425" t="str">
        <f>"1-150-20"</f>
        <v>1-150-20</v>
      </c>
      <c r="F3425" t="s">
        <v>83</v>
      </c>
      <c r="G3425" t="s">
        <v>86</v>
      </c>
      <c r="H3425" t="s">
        <v>87</v>
      </c>
      <c r="AC3425">
        <v>0</v>
      </c>
      <c r="AD3425">
        <v>0</v>
      </c>
      <c r="AE3425">
        <v>0</v>
      </c>
      <c r="AF3425">
        <v>0</v>
      </c>
      <c r="AH3425">
        <v>0</v>
      </c>
      <c r="AI3425">
        <v>1</v>
      </c>
      <c r="AJ3425">
        <v>0</v>
      </c>
      <c r="AK3425">
        <v>0</v>
      </c>
      <c r="AL3425">
        <v>0</v>
      </c>
      <c r="AM3425">
        <v>0</v>
      </c>
      <c r="AN3425">
        <v>0</v>
      </c>
      <c r="AO3425">
        <v>0</v>
      </c>
      <c r="AP3425">
        <v>0</v>
      </c>
      <c r="AQ3425">
        <v>0</v>
      </c>
      <c r="AU3425">
        <v>0</v>
      </c>
      <c r="AV3425">
        <v>0</v>
      </c>
      <c r="AW3425">
        <v>0</v>
      </c>
    </row>
    <row r="3426" spans="1:49" x14ac:dyDescent="0.25">
      <c r="A3426" t="str">
        <f>"3422"</f>
        <v>3422</v>
      </c>
      <c r="B3426" t="str">
        <f t="shared" si="198"/>
        <v>1</v>
      </c>
      <c r="C3426" t="str">
        <f t="shared" si="197"/>
        <v>150</v>
      </c>
      <c r="D3426" t="str">
        <f>"12"</f>
        <v>12</v>
      </c>
      <c r="E3426" t="str">
        <f>"1-150-12"</f>
        <v>1-150-12</v>
      </c>
      <c r="F3426" t="s">
        <v>83</v>
      </c>
      <c r="G3426" t="s">
        <v>86</v>
      </c>
      <c r="H3426" t="s">
        <v>87</v>
      </c>
      <c r="AC3426">
        <v>1</v>
      </c>
      <c r="AD3426">
        <v>0</v>
      </c>
      <c r="AE3426">
        <v>0</v>
      </c>
      <c r="AF3426">
        <v>0</v>
      </c>
      <c r="AH3426">
        <v>0</v>
      </c>
      <c r="AI3426">
        <v>1</v>
      </c>
      <c r="AJ3426">
        <v>0</v>
      </c>
      <c r="AK3426">
        <v>0</v>
      </c>
      <c r="AL3426">
        <v>0</v>
      </c>
      <c r="AM3426">
        <v>0</v>
      </c>
      <c r="AN3426">
        <v>0</v>
      </c>
      <c r="AO3426">
        <v>0</v>
      </c>
      <c r="AP3426">
        <v>0</v>
      </c>
      <c r="AQ3426">
        <v>0</v>
      </c>
      <c r="AU3426">
        <v>0</v>
      </c>
      <c r="AV3426">
        <v>0</v>
      </c>
      <c r="AW3426">
        <v>0</v>
      </c>
    </row>
    <row r="3427" spans="1:49" x14ac:dyDescent="0.25">
      <c r="A3427" t="str">
        <f>"3423"</f>
        <v>3423</v>
      </c>
      <c r="B3427" t="str">
        <f t="shared" si="198"/>
        <v>1</v>
      </c>
      <c r="C3427" t="str">
        <f t="shared" si="197"/>
        <v>150</v>
      </c>
      <c r="D3427" t="str">
        <f>"2"</f>
        <v>2</v>
      </c>
      <c r="E3427" t="str">
        <f>"1-150-2"</f>
        <v>1-150-2</v>
      </c>
      <c r="F3427" t="s">
        <v>83</v>
      </c>
      <c r="G3427" t="s">
        <v>86</v>
      </c>
      <c r="H3427" t="s">
        <v>87</v>
      </c>
      <c r="AC3427">
        <v>1</v>
      </c>
      <c r="AD3427">
        <v>0</v>
      </c>
      <c r="AE3427">
        <v>0</v>
      </c>
      <c r="AF3427">
        <v>0</v>
      </c>
      <c r="AH3427">
        <v>0</v>
      </c>
      <c r="AI3427">
        <v>1</v>
      </c>
      <c r="AJ3427">
        <v>0</v>
      </c>
      <c r="AK3427">
        <v>0</v>
      </c>
      <c r="AL3427">
        <v>0</v>
      </c>
      <c r="AM3427">
        <v>0</v>
      </c>
      <c r="AN3427">
        <v>0</v>
      </c>
      <c r="AO3427">
        <v>0</v>
      </c>
      <c r="AP3427">
        <v>0</v>
      </c>
      <c r="AQ3427">
        <v>0</v>
      </c>
      <c r="AU3427">
        <v>0</v>
      </c>
      <c r="AV3427">
        <v>0</v>
      </c>
      <c r="AW3427">
        <v>0</v>
      </c>
    </row>
    <row r="3428" spans="1:49" x14ac:dyDescent="0.25">
      <c r="A3428" t="str">
        <f>"3424"</f>
        <v>3424</v>
      </c>
      <c r="B3428" t="str">
        <f t="shared" si="198"/>
        <v>1</v>
      </c>
      <c r="C3428" t="str">
        <f t="shared" si="197"/>
        <v>150</v>
      </c>
      <c r="D3428" t="str">
        <f>"19"</f>
        <v>19</v>
      </c>
      <c r="E3428" t="str">
        <f>"1-150-19"</f>
        <v>1-150-19</v>
      </c>
      <c r="F3428" t="s">
        <v>83</v>
      </c>
      <c r="G3428" t="s">
        <v>86</v>
      </c>
      <c r="H3428" t="s">
        <v>93</v>
      </c>
      <c r="I3428">
        <v>1</v>
      </c>
      <c r="K3428">
        <v>1</v>
      </c>
      <c r="L3428">
        <v>0</v>
      </c>
      <c r="M3428">
        <v>0</v>
      </c>
      <c r="N3428">
        <v>1</v>
      </c>
      <c r="O3428">
        <v>1</v>
      </c>
      <c r="P3428">
        <v>1</v>
      </c>
      <c r="Q3428">
        <v>1</v>
      </c>
      <c r="R3428">
        <v>1</v>
      </c>
      <c r="U3428">
        <v>0</v>
      </c>
      <c r="V3428">
        <v>1</v>
      </c>
      <c r="W3428">
        <v>1</v>
      </c>
      <c r="X3428">
        <v>1</v>
      </c>
      <c r="Y3428">
        <v>1</v>
      </c>
      <c r="Z3428">
        <v>1</v>
      </c>
      <c r="AA3428">
        <v>1</v>
      </c>
      <c r="AB3428">
        <v>1</v>
      </c>
    </row>
    <row r="3429" spans="1:49" x14ac:dyDescent="0.25">
      <c r="A3429" t="str">
        <f>"3425"</f>
        <v>3425</v>
      </c>
      <c r="B3429" t="str">
        <f t="shared" si="198"/>
        <v>1</v>
      </c>
      <c r="C3429" t="str">
        <f t="shared" si="197"/>
        <v>150</v>
      </c>
      <c r="D3429" t="str">
        <f>"13"</f>
        <v>13</v>
      </c>
      <c r="E3429" t="str">
        <f>"1-150-13"</f>
        <v>1-150-13</v>
      </c>
      <c r="F3429" t="s">
        <v>83</v>
      </c>
      <c r="G3429" t="s">
        <v>86</v>
      </c>
      <c r="H3429" t="s">
        <v>93</v>
      </c>
      <c r="I3429">
        <v>1</v>
      </c>
      <c r="K3429">
        <v>0</v>
      </c>
      <c r="L3429">
        <v>1</v>
      </c>
      <c r="M3429">
        <v>0</v>
      </c>
      <c r="N3429">
        <v>1</v>
      </c>
      <c r="O3429">
        <v>1</v>
      </c>
      <c r="P3429">
        <v>1</v>
      </c>
      <c r="Q3429">
        <v>1</v>
      </c>
      <c r="R3429">
        <v>1</v>
      </c>
      <c r="U3429">
        <v>1</v>
      </c>
      <c r="V3429">
        <v>0</v>
      </c>
      <c r="W3429">
        <v>1</v>
      </c>
      <c r="X3429">
        <v>1</v>
      </c>
      <c r="Y3429">
        <v>1</v>
      </c>
      <c r="Z3429">
        <v>1</v>
      </c>
      <c r="AA3429">
        <v>1</v>
      </c>
      <c r="AB3429">
        <v>1</v>
      </c>
    </row>
    <row r="3430" spans="1:49" x14ac:dyDescent="0.25">
      <c r="A3430" t="str">
        <f>"3426"</f>
        <v>3426</v>
      </c>
      <c r="B3430" t="str">
        <f t="shared" si="198"/>
        <v>1</v>
      </c>
      <c r="C3430" t="str">
        <f t="shared" si="197"/>
        <v>150</v>
      </c>
      <c r="D3430" t="str">
        <f>"3"</f>
        <v>3</v>
      </c>
      <c r="E3430" t="str">
        <f>"1-150-3"</f>
        <v>1-150-3</v>
      </c>
      <c r="F3430" t="s">
        <v>83</v>
      </c>
      <c r="G3430" t="s">
        <v>86</v>
      </c>
      <c r="H3430" t="s">
        <v>87</v>
      </c>
      <c r="AC3430">
        <v>1</v>
      </c>
      <c r="AD3430">
        <v>0</v>
      </c>
      <c r="AE3430">
        <v>0</v>
      </c>
      <c r="AF3430">
        <v>0</v>
      </c>
      <c r="AH3430">
        <v>1</v>
      </c>
      <c r="AI3430">
        <v>0</v>
      </c>
      <c r="AJ3430">
        <v>1</v>
      </c>
      <c r="AK3430">
        <v>0</v>
      </c>
      <c r="AL3430">
        <v>1</v>
      </c>
      <c r="AM3430">
        <v>0</v>
      </c>
      <c r="AN3430">
        <v>0</v>
      </c>
      <c r="AO3430">
        <v>0</v>
      </c>
      <c r="AP3430">
        <v>0</v>
      </c>
      <c r="AQ3430">
        <v>0</v>
      </c>
      <c r="AU3430">
        <v>0</v>
      </c>
      <c r="AV3430">
        <v>0</v>
      </c>
      <c r="AW3430">
        <v>0</v>
      </c>
    </row>
    <row r="3431" spans="1:49" x14ac:dyDescent="0.25">
      <c r="A3431" t="str">
        <f>"3427"</f>
        <v>3427</v>
      </c>
      <c r="B3431" t="str">
        <f t="shared" si="198"/>
        <v>1</v>
      </c>
      <c r="C3431" t="str">
        <f t="shared" si="197"/>
        <v>150</v>
      </c>
      <c r="D3431" t="str">
        <f>"14"</f>
        <v>14</v>
      </c>
      <c r="E3431" t="str">
        <f>"1-150-14"</f>
        <v>1-150-14</v>
      </c>
      <c r="F3431" t="s">
        <v>83</v>
      </c>
      <c r="G3431" t="s">
        <v>86</v>
      </c>
      <c r="H3431" t="s">
        <v>87</v>
      </c>
      <c r="AC3431">
        <v>0</v>
      </c>
      <c r="AD3431">
        <v>1</v>
      </c>
      <c r="AE3431">
        <v>0</v>
      </c>
      <c r="AF3431">
        <v>0</v>
      </c>
      <c r="AH3431">
        <v>0</v>
      </c>
      <c r="AI3431">
        <v>1</v>
      </c>
      <c r="AJ3431">
        <v>0</v>
      </c>
      <c r="AK3431">
        <v>1</v>
      </c>
      <c r="AL3431">
        <v>0</v>
      </c>
      <c r="AM3431">
        <v>0</v>
      </c>
      <c r="AN3431">
        <v>1</v>
      </c>
      <c r="AO3431">
        <v>0</v>
      </c>
      <c r="AP3431">
        <v>0</v>
      </c>
      <c r="AQ3431">
        <v>0</v>
      </c>
      <c r="AU3431">
        <v>0</v>
      </c>
      <c r="AV3431">
        <v>0</v>
      </c>
      <c r="AW3431">
        <v>0</v>
      </c>
    </row>
    <row r="3432" spans="1:49" x14ac:dyDescent="0.25">
      <c r="A3432" t="str">
        <f>"3428"</f>
        <v>3428</v>
      </c>
      <c r="B3432" t="str">
        <f t="shared" si="198"/>
        <v>1</v>
      </c>
      <c r="C3432" t="str">
        <f t="shared" si="197"/>
        <v>150</v>
      </c>
      <c r="D3432" t="str">
        <f>"6"</f>
        <v>6</v>
      </c>
      <c r="E3432" t="str">
        <f>"1-150-6"</f>
        <v>1-150-6</v>
      </c>
      <c r="F3432" t="s">
        <v>83</v>
      </c>
      <c r="G3432" t="s">
        <v>84</v>
      </c>
      <c r="H3432" t="s">
        <v>85</v>
      </c>
      <c r="AC3432">
        <v>0</v>
      </c>
      <c r="AD3432">
        <v>1</v>
      </c>
      <c r="AE3432">
        <v>0</v>
      </c>
      <c r="AF3432">
        <v>0</v>
      </c>
      <c r="AG3432">
        <v>1</v>
      </c>
      <c r="AJ3432">
        <v>0</v>
      </c>
      <c r="AK3432">
        <v>1</v>
      </c>
      <c r="AL3432">
        <v>0</v>
      </c>
      <c r="AM3432">
        <v>0</v>
      </c>
      <c r="AN3432">
        <v>1</v>
      </c>
      <c r="AO3432">
        <v>1</v>
      </c>
      <c r="AP3432">
        <v>1</v>
      </c>
      <c r="AQ3432">
        <v>1</v>
      </c>
      <c r="AR3432">
        <v>1</v>
      </c>
      <c r="AS3432">
        <v>1</v>
      </c>
      <c r="AT3432">
        <v>0</v>
      </c>
      <c r="AV3432">
        <v>1</v>
      </c>
      <c r="AW3432">
        <v>1</v>
      </c>
    </row>
    <row r="3433" spans="1:49" x14ac:dyDescent="0.25">
      <c r="A3433" t="str">
        <f>"3429"</f>
        <v>3429</v>
      </c>
      <c r="B3433" t="str">
        <f t="shared" si="198"/>
        <v>1</v>
      </c>
      <c r="C3433" t="str">
        <f t="shared" ref="C3433:C3457" si="199">"151"</f>
        <v>151</v>
      </c>
      <c r="D3433" t="str">
        <f>"23"</f>
        <v>23</v>
      </c>
      <c r="E3433" t="str">
        <f>"1-151-23"</f>
        <v>1-151-23</v>
      </c>
      <c r="F3433" t="s">
        <v>83</v>
      </c>
      <c r="G3433" t="s">
        <v>84</v>
      </c>
      <c r="H3433" t="s">
        <v>85</v>
      </c>
      <c r="AC3433">
        <v>1</v>
      </c>
      <c r="AD3433">
        <v>0</v>
      </c>
      <c r="AE3433">
        <v>0</v>
      </c>
      <c r="AF3433">
        <v>0</v>
      </c>
      <c r="AG3433">
        <v>1</v>
      </c>
      <c r="AJ3433">
        <v>1</v>
      </c>
      <c r="AK3433">
        <v>0</v>
      </c>
      <c r="AL3433">
        <v>0</v>
      </c>
      <c r="AM3433">
        <v>1</v>
      </c>
      <c r="AN3433">
        <v>0</v>
      </c>
      <c r="AO3433">
        <v>1</v>
      </c>
      <c r="AP3433">
        <v>1</v>
      </c>
      <c r="AQ3433">
        <v>1</v>
      </c>
      <c r="AR3433">
        <v>1</v>
      </c>
      <c r="AS3433">
        <v>0</v>
      </c>
      <c r="AT3433">
        <v>1</v>
      </c>
      <c r="AV3433">
        <v>1</v>
      </c>
      <c r="AW3433">
        <v>1</v>
      </c>
    </row>
    <row r="3434" spans="1:49" x14ac:dyDescent="0.25">
      <c r="A3434" t="str">
        <f>"3430"</f>
        <v>3430</v>
      </c>
      <c r="B3434" t="str">
        <f t="shared" si="198"/>
        <v>1</v>
      </c>
      <c r="C3434" t="str">
        <f t="shared" si="199"/>
        <v>151</v>
      </c>
      <c r="D3434" t="str">
        <f>"22"</f>
        <v>22</v>
      </c>
      <c r="E3434" t="str">
        <f>"1-151-22"</f>
        <v>1-151-22</v>
      </c>
      <c r="F3434" t="s">
        <v>83</v>
      </c>
      <c r="G3434" t="s">
        <v>84</v>
      </c>
      <c r="H3434" t="s">
        <v>92</v>
      </c>
      <c r="I3434">
        <v>1</v>
      </c>
      <c r="J3434">
        <v>1</v>
      </c>
      <c r="N3434">
        <v>1</v>
      </c>
      <c r="O3434">
        <v>1</v>
      </c>
      <c r="P3434">
        <v>1</v>
      </c>
      <c r="Q3434">
        <v>1</v>
      </c>
      <c r="R3434">
        <v>1</v>
      </c>
      <c r="S3434">
        <v>1</v>
      </c>
      <c r="T3434">
        <v>1</v>
      </c>
      <c r="W3434">
        <v>1</v>
      </c>
      <c r="X3434">
        <v>1</v>
      </c>
      <c r="Y3434">
        <v>1</v>
      </c>
      <c r="Z3434">
        <v>1</v>
      </c>
      <c r="AA3434">
        <v>1</v>
      </c>
      <c r="AB3434">
        <v>1</v>
      </c>
    </row>
    <row r="3435" spans="1:49" x14ac:dyDescent="0.25">
      <c r="A3435" t="str">
        <f>"3431"</f>
        <v>3431</v>
      </c>
      <c r="B3435" t="str">
        <f t="shared" si="198"/>
        <v>1</v>
      </c>
      <c r="C3435" t="str">
        <f t="shared" si="199"/>
        <v>151</v>
      </c>
      <c r="D3435" t="str">
        <f>"15"</f>
        <v>15</v>
      </c>
      <c r="E3435" t="str">
        <f>"1-151-15"</f>
        <v>1-151-15</v>
      </c>
      <c r="F3435" t="s">
        <v>83</v>
      </c>
      <c r="G3435" t="s">
        <v>84</v>
      </c>
      <c r="H3435" t="s">
        <v>92</v>
      </c>
      <c r="I3435">
        <v>1</v>
      </c>
      <c r="J3435">
        <v>1</v>
      </c>
      <c r="N3435">
        <v>1</v>
      </c>
      <c r="O3435">
        <v>1</v>
      </c>
      <c r="P3435">
        <v>1</v>
      </c>
      <c r="Q3435">
        <v>1</v>
      </c>
      <c r="R3435">
        <v>1</v>
      </c>
      <c r="S3435">
        <v>1</v>
      </c>
      <c r="T3435">
        <v>1</v>
      </c>
      <c r="W3435">
        <v>1</v>
      </c>
      <c r="X3435">
        <v>1</v>
      </c>
      <c r="Y3435">
        <v>1</v>
      </c>
      <c r="Z3435">
        <v>1</v>
      </c>
      <c r="AA3435">
        <v>1</v>
      </c>
      <c r="AB3435">
        <v>1</v>
      </c>
    </row>
    <row r="3436" spans="1:49" x14ac:dyDescent="0.25">
      <c r="A3436" t="str">
        <f>"3432"</f>
        <v>3432</v>
      </c>
      <c r="B3436" t="str">
        <f t="shared" si="198"/>
        <v>1</v>
      </c>
      <c r="C3436" t="str">
        <f t="shared" si="199"/>
        <v>151</v>
      </c>
      <c r="D3436" t="str">
        <f>"8"</f>
        <v>8</v>
      </c>
      <c r="E3436" t="str">
        <f>"1-151-8"</f>
        <v>1-151-8</v>
      </c>
      <c r="F3436" t="s">
        <v>83</v>
      </c>
      <c r="G3436" t="s">
        <v>84</v>
      </c>
      <c r="H3436" t="s">
        <v>92</v>
      </c>
      <c r="I3436">
        <v>1</v>
      </c>
      <c r="J3436">
        <v>1</v>
      </c>
      <c r="N3436">
        <v>1</v>
      </c>
      <c r="O3436">
        <v>1</v>
      </c>
      <c r="P3436">
        <v>1</v>
      </c>
      <c r="Q3436">
        <v>1</v>
      </c>
      <c r="R3436">
        <v>1</v>
      </c>
      <c r="S3436">
        <v>1</v>
      </c>
      <c r="T3436">
        <v>1</v>
      </c>
      <c r="W3436">
        <v>1</v>
      </c>
      <c r="X3436">
        <v>1</v>
      </c>
      <c r="Y3436">
        <v>1</v>
      </c>
      <c r="Z3436">
        <v>1</v>
      </c>
      <c r="AA3436">
        <v>1</v>
      </c>
      <c r="AB3436">
        <v>1</v>
      </c>
    </row>
    <row r="3437" spans="1:49" x14ac:dyDescent="0.25">
      <c r="A3437" t="str">
        <f>"3433"</f>
        <v>3433</v>
      </c>
      <c r="B3437" t="str">
        <f t="shared" si="198"/>
        <v>1</v>
      </c>
      <c r="C3437" t="str">
        <f t="shared" si="199"/>
        <v>151</v>
      </c>
      <c r="D3437" t="str">
        <f>"4"</f>
        <v>4</v>
      </c>
      <c r="E3437" t="str">
        <f>"1-151-4"</f>
        <v>1-151-4</v>
      </c>
      <c r="F3437" t="s">
        <v>83</v>
      </c>
      <c r="G3437" t="s">
        <v>86</v>
      </c>
      <c r="H3437" t="s">
        <v>87</v>
      </c>
      <c r="AC3437">
        <v>0</v>
      </c>
      <c r="AD3437">
        <v>1</v>
      </c>
      <c r="AE3437">
        <v>0</v>
      </c>
      <c r="AF3437">
        <v>0</v>
      </c>
      <c r="AH3437">
        <v>0</v>
      </c>
      <c r="AI3437">
        <v>1</v>
      </c>
      <c r="AJ3437">
        <v>0</v>
      </c>
      <c r="AK3437">
        <v>1</v>
      </c>
      <c r="AL3437">
        <v>0</v>
      </c>
      <c r="AM3437">
        <v>0</v>
      </c>
      <c r="AN3437">
        <v>1</v>
      </c>
      <c r="AO3437">
        <v>0</v>
      </c>
      <c r="AP3437">
        <v>0</v>
      </c>
      <c r="AQ3437">
        <v>0</v>
      </c>
      <c r="AU3437">
        <v>0</v>
      </c>
      <c r="AV3437">
        <v>0</v>
      </c>
      <c r="AW3437">
        <v>0</v>
      </c>
    </row>
    <row r="3438" spans="1:49" x14ac:dyDescent="0.25">
      <c r="A3438" t="str">
        <f>"3434"</f>
        <v>3434</v>
      </c>
      <c r="B3438" t="str">
        <f t="shared" si="198"/>
        <v>1</v>
      </c>
      <c r="C3438" t="str">
        <f t="shared" si="199"/>
        <v>151</v>
      </c>
      <c r="D3438" t="str">
        <f>"25"</f>
        <v>25</v>
      </c>
      <c r="E3438" t="str">
        <f>"1-151-25"</f>
        <v>1-151-25</v>
      </c>
      <c r="F3438" t="s">
        <v>83</v>
      </c>
      <c r="G3438" t="s">
        <v>86</v>
      </c>
      <c r="H3438" t="s">
        <v>93</v>
      </c>
      <c r="I3438">
        <v>1</v>
      </c>
      <c r="K3438">
        <v>0</v>
      </c>
      <c r="L3438">
        <v>1</v>
      </c>
      <c r="M3438">
        <v>0</v>
      </c>
      <c r="N3438">
        <v>1</v>
      </c>
      <c r="O3438">
        <v>1</v>
      </c>
      <c r="P3438">
        <v>1</v>
      </c>
      <c r="Q3438">
        <v>1</v>
      </c>
      <c r="R3438">
        <v>1</v>
      </c>
      <c r="U3438">
        <v>0</v>
      </c>
      <c r="V3438">
        <v>1</v>
      </c>
      <c r="W3438">
        <v>1</v>
      </c>
      <c r="X3438">
        <v>1</v>
      </c>
      <c r="Y3438">
        <v>1</v>
      </c>
      <c r="Z3438">
        <v>1</v>
      </c>
      <c r="AA3438">
        <v>1</v>
      </c>
      <c r="AB3438">
        <v>1</v>
      </c>
    </row>
    <row r="3439" spans="1:49" x14ac:dyDescent="0.25">
      <c r="A3439" t="str">
        <f>"3435"</f>
        <v>3435</v>
      </c>
      <c r="B3439" t="str">
        <f t="shared" si="198"/>
        <v>1</v>
      </c>
      <c r="C3439" t="str">
        <f t="shared" si="199"/>
        <v>151</v>
      </c>
      <c r="D3439" t="str">
        <f>"24"</f>
        <v>24</v>
      </c>
      <c r="E3439" t="str">
        <f>"1-151-24"</f>
        <v>1-151-24</v>
      </c>
      <c r="F3439" t="s">
        <v>83</v>
      </c>
      <c r="G3439" t="s">
        <v>84</v>
      </c>
      <c r="H3439" t="s">
        <v>85</v>
      </c>
      <c r="AC3439">
        <v>0</v>
      </c>
      <c r="AD3439">
        <v>1</v>
      </c>
      <c r="AE3439">
        <v>0</v>
      </c>
      <c r="AF3439">
        <v>0</v>
      </c>
      <c r="AG3439">
        <v>1</v>
      </c>
      <c r="AJ3439">
        <v>0</v>
      </c>
      <c r="AK3439">
        <v>1</v>
      </c>
      <c r="AL3439">
        <v>0</v>
      </c>
      <c r="AM3439">
        <v>0</v>
      </c>
      <c r="AN3439">
        <v>1</v>
      </c>
      <c r="AO3439">
        <v>1</v>
      </c>
      <c r="AP3439">
        <v>1</v>
      </c>
      <c r="AQ3439">
        <v>1</v>
      </c>
      <c r="AR3439">
        <v>1</v>
      </c>
      <c r="AS3439">
        <v>1</v>
      </c>
      <c r="AT3439">
        <v>0</v>
      </c>
      <c r="AV3439">
        <v>1</v>
      </c>
      <c r="AW3439">
        <v>1</v>
      </c>
    </row>
    <row r="3440" spans="1:49" x14ac:dyDescent="0.25">
      <c r="A3440" t="str">
        <f>"3436"</f>
        <v>3436</v>
      </c>
      <c r="B3440" t="str">
        <f t="shared" si="198"/>
        <v>1</v>
      </c>
      <c r="C3440" t="str">
        <f t="shared" si="199"/>
        <v>151</v>
      </c>
      <c r="D3440" t="str">
        <f>"16"</f>
        <v>16</v>
      </c>
      <c r="E3440" t="str">
        <f>"1-151-16"</f>
        <v>1-151-16</v>
      </c>
      <c r="F3440" t="s">
        <v>83</v>
      </c>
      <c r="G3440" t="s">
        <v>84</v>
      </c>
      <c r="H3440" t="s">
        <v>85</v>
      </c>
      <c r="AC3440">
        <v>1</v>
      </c>
      <c r="AD3440">
        <v>0</v>
      </c>
      <c r="AE3440">
        <v>0</v>
      </c>
      <c r="AF3440">
        <v>0</v>
      </c>
      <c r="AG3440">
        <v>1</v>
      </c>
      <c r="AJ3440">
        <v>0</v>
      </c>
      <c r="AK3440">
        <v>1</v>
      </c>
      <c r="AL3440">
        <v>0</v>
      </c>
      <c r="AM3440">
        <v>0</v>
      </c>
      <c r="AN3440">
        <v>1</v>
      </c>
      <c r="AO3440">
        <v>1</v>
      </c>
      <c r="AP3440">
        <v>1</v>
      </c>
      <c r="AQ3440">
        <v>1</v>
      </c>
      <c r="AR3440">
        <v>1</v>
      </c>
      <c r="AS3440">
        <v>1</v>
      </c>
      <c r="AT3440">
        <v>0</v>
      </c>
      <c r="AV3440">
        <v>1</v>
      </c>
      <c r="AW3440">
        <v>1</v>
      </c>
    </row>
    <row r="3441" spans="1:49" x14ac:dyDescent="0.25">
      <c r="A3441" t="str">
        <f>"3437"</f>
        <v>3437</v>
      </c>
      <c r="B3441" t="str">
        <f t="shared" si="198"/>
        <v>1</v>
      </c>
      <c r="C3441" t="str">
        <f t="shared" si="199"/>
        <v>151</v>
      </c>
      <c r="D3441" t="str">
        <f>"9"</f>
        <v>9</v>
      </c>
      <c r="E3441" t="str">
        <f>"1-151-9"</f>
        <v>1-151-9</v>
      </c>
      <c r="F3441" t="s">
        <v>83</v>
      </c>
      <c r="G3441" t="s">
        <v>84</v>
      </c>
      <c r="H3441" t="s">
        <v>92</v>
      </c>
      <c r="I3441">
        <v>1</v>
      </c>
      <c r="J3441">
        <v>1</v>
      </c>
      <c r="N3441">
        <v>1</v>
      </c>
      <c r="O3441">
        <v>1</v>
      </c>
      <c r="P3441">
        <v>1</v>
      </c>
      <c r="Q3441">
        <v>1</v>
      </c>
      <c r="R3441">
        <v>1</v>
      </c>
      <c r="S3441">
        <v>1</v>
      </c>
      <c r="T3441">
        <v>1</v>
      </c>
      <c r="W3441">
        <v>1</v>
      </c>
      <c r="X3441">
        <v>1</v>
      </c>
      <c r="Y3441">
        <v>1</v>
      </c>
      <c r="Z3441">
        <v>1</v>
      </c>
      <c r="AA3441">
        <v>1</v>
      </c>
      <c r="AB3441">
        <v>1</v>
      </c>
    </row>
    <row r="3442" spans="1:49" x14ac:dyDescent="0.25">
      <c r="A3442" t="str">
        <f>"3438"</f>
        <v>3438</v>
      </c>
      <c r="B3442" t="str">
        <f t="shared" si="198"/>
        <v>1</v>
      </c>
      <c r="C3442" t="str">
        <f t="shared" si="199"/>
        <v>151</v>
      </c>
      <c r="D3442" t="str">
        <f>"1"</f>
        <v>1</v>
      </c>
      <c r="E3442" t="str">
        <f>"1-151-1"</f>
        <v>1-151-1</v>
      </c>
      <c r="F3442" t="s">
        <v>83</v>
      </c>
      <c r="G3442" t="s">
        <v>84</v>
      </c>
      <c r="H3442" t="s">
        <v>85</v>
      </c>
      <c r="AC3442">
        <v>1</v>
      </c>
      <c r="AD3442">
        <v>0</v>
      </c>
      <c r="AE3442">
        <v>0</v>
      </c>
      <c r="AF3442">
        <v>0</v>
      </c>
      <c r="AG3442">
        <v>1</v>
      </c>
      <c r="AJ3442">
        <v>1</v>
      </c>
      <c r="AK3442">
        <v>0</v>
      </c>
      <c r="AL3442">
        <v>0</v>
      </c>
      <c r="AM3442">
        <v>1</v>
      </c>
      <c r="AN3442">
        <v>0</v>
      </c>
      <c r="AO3442">
        <v>1</v>
      </c>
      <c r="AP3442">
        <v>1</v>
      </c>
      <c r="AQ3442">
        <v>1</v>
      </c>
      <c r="AR3442">
        <v>1</v>
      </c>
      <c r="AS3442">
        <v>0</v>
      </c>
      <c r="AT3442">
        <v>1</v>
      </c>
      <c r="AV3442">
        <v>1</v>
      </c>
      <c r="AW3442">
        <v>1</v>
      </c>
    </row>
    <row r="3443" spans="1:49" x14ac:dyDescent="0.25">
      <c r="A3443" t="str">
        <f>"3439"</f>
        <v>3439</v>
      </c>
      <c r="B3443" t="str">
        <f t="shared" si="198"/>
        <v>1</v>
      </c>
      <c r="C3443" t="str">
        <f t="shared" si="199"/>
        <v>151</v>
      </c>
      <c r="D3443" t="str">
        <f>"17"</f>
        <v>17</v>
      </c>
      <c r="E3443" t="str">
        <f>"1-151-17"</f>
        <v>1-151-17</v>
      </c>
      <c r="F3443" t="s">
        <v>83</v>
      </c>
      <c r="G3443" t="s">
        <v>84</v>
      </c>
      <c r="H3443" t="s">
        <v>85</v>
      </c>
      <c r="AC3443">
        <v>1</v>
      </c>
      <c r="AD3443">
        <v>0</v>
      </c>
      <c r="AE3443">
        <v>0</v>
      </c>
      <c r="AF3443">
        <v>0</v>
      </c>
      <c r="AG3443">
        <v>1</v>
      </c>
      <c r="AJ3443">
        <v>1</v>
      </c>
      <c r="AK3443">
        <v>0</v>
      </c>
      <c r="AL3443">
        <v>1</v>
      </c>
      <c r="AM3443">
        <v>0</v>
      </c>
      <c r="AN3443">
        <v>0</v>
      </c>
      <c r="AO3443">
        <v>1</v>
      </c>
      <c r="AP3443">
        <v>1</v>
      </c>
      <c r="AQ3443">
        <v>1</v>
      </c>
      <c r="AR3443">
        <v>1</v>
      </c>
      <c r="AS3443">
        <v>1</v>
      </c>
      <c r="AT3443">
        <v>0</v>
      </c>
      <c r="AV3443">
        <v>1</v>
      </c>
      <c r="AW3443">
        <v>1</v>
      </c>
    </row>
    <row r="3444" spans="1:49" x14ac:dyDescent="0.25">
      <c r="A3444" t="str">
        <f>"3440"</f>
        <v>3440</v>
      </c>
      <c r="B3444" t="str">
        <f t="shared" si="198"/>
        <v>1</v>
      </c>
      <c r="C3444" t="str">
        <f t="shared" si="199"/>
        <v>151</v>
      </c>
      <c r="D3444" t="str">
        <f>"10"</f>
        <v>10</v>
      </c>
      <c r="E3444" t="str">
        <f>"1-151-10"</f>
        <v>1-151-10</v>
      </c>
      <c r="F3444" t="s">
        <v>83</v>
      </c>
      <c r="G3444" t="s">
        <v>84</v>
      </c>
      <c r="H3444" t="s">
        <v>92</v>
      </c>
      <c r="I3444">
        <v>1</v>
      </c>
      <c r="J3444">
        <v>1</v>
      </c>
      <c r="N3444">
        <v>1</v>
      </c>
      <c r="O3444">
        <v>1</v>
      </c>
      <c r="P3444">
        <v>1</v>
      </c>
      <c r="Q3444">
        <v>1</v>
      </c>
      <c r="R3444">
        <v>1</v>
      </c>
      <c r="S3444">
        <v>1</v>
      </c>
      <c r="T3444">
        <v>1</v>
      </c>
      <c r="W3444">
        <v>1</v>
      </c>
      <c r="X3444">
        <v>1</v>
      </c>
      <c r="Y3444">
        <v>1</v>
      </c>
      <c r="Z3444">
        <v>1</v>
      </c>
      <c r="AA3444">
        <v>1</v>
      </c>
      <c r="AB3444">
        <v>1</v>
      </c>
    </row>
    <row r="3445" spans="1:49" x14ac:dyDescent="0.25">
      <c r="A3445" t="str">
        <f>"3441"</f>
        <v>3441</v>
      </c>
      <c r="B3445" t="str">
        <f t="shared" si="198"/>
        <v>1</v>
      </c>
      <c r="C3445" t="str">
        <f t="shared" si="199"/>
        <v>151</v>
      </c>
      <c r="D3445" t="str">
        <f>"2"</f>
        <v>2</v>
      </c>
      <c r="E3445" t="str">
        <f>"1-151-2"</f>
        <v>1-151-2</v>
      </c>
      <c r="F3445" t="s">
        <v>83</v>
      </c>
      <c r="G3445" t="s">
        <v>84</v>
      </c>
      <c r="H3445" t="s">
        <v>92</v>
      </c>
      <c r="I3445">
        <v>1</v>
      </c>
      <c r="J3445">
        <v>1</v>
      </c>
      <c r="N3445">
        <v>1</v>
      </c>
      <c r="O3445">
        <v>1</v>
      </c>
      <c r="P3445">
        <v>0</v>
      </c>
      <c r="Q3445">
        <v>1</v>
      </c>
      <c r="R3445">
        <v>0</v>
      </c>
      <c r="S3445">
        <v>1</v>
      </c>
      <c r="T3445">
        <v>0</v>
      </c>
      <c r="W3445">
        <v>1</v>
      </c>
      <c r="X3445">
        <v>1</v>
      </c>
      <c r="Y3445">
        <v>1</v>
      </c>
      <c r="Z3445">
        <v>1</v>
      </c>
      <c r="AA3445">
        <v>0</v>
      </c>
      <c r="AB3445">
        <v>1</v>
      </c>
    </row>
    <row r="3446" spans="1:49" x14ac:dyDescent="0.25">
      <c r="A3446" t="str">
        <f>"3442"</f>
        <v>3442</v>
      </c>
      <c r="B3446" t="str">
        <f t="shared" si="198"/>
        <v>1</v>
      </c>
      <c r="C3446" t="str">
        <f t="shared" si="199"/>
        <v>151</v>
      </c>
      <c r="D3446" t="str">
        <f>"18"</f>
        <v>18</v>
      </c>
      <c r="E3446" t="str">
        <f>"1-151-18"</f>
        <v>1-151-18</v>
      </c>
      <c r="F3446" t="s">
        <v>83</v>
      </c>
      <c r="G3446" t="s">
        <v>84</v>
      </c>
      <c r="H3446" t="s">
        <v>92</v>
      </c>
      <c r="I3446">
        <v>1</v>
      </c>
      <c r="J3446">
        <v>1</v>
      </c>
      <c r="N3446">
        <v>1</v>
      </c>
      <c r="O3446">
        <v>1</v>
      </c>
      <c r="P3446">
        <v>1</v>
      </c>
      <c r="Q3446">
        <v>1</v>
      </c>
      <c r="R3446">
        <v>1</v>
      </c>
      <c r="S3446">
        <v>1</v>
      </c>
      <c r="T3446">
        <v>1</v>
      </c>
      <c r="W3446">
        <v>1</v>
      </c>
      <c r="X3446">
        <v>1</v>
      </c>
      <c r="Y3446">
        <v>1</v>
      </c>
      <c r="Z3446">
        <v>1</v>
      </c>
      <c r="AA3446">
        <v>1</v>
      </c>
      <c r="AB3446">
        <v>1</v>
      </c>
    </row>
    <row r="3447" spans="1:49" x14ac:dyDescent="0.25">
      <c r="A3447" t="str">
        <f>"3443"</f>
        <v>3443</v>
      </c>
      <c r="B3447" t="str">
        <f t="shared" si="198"/>
        <v>1</v>
      </c>
      <c r="C3447" t="str">
        <f t="shared" si="199"/>
        <v>151</v>
      </c>
      <c r="D3447" t="str">
        <f>"11"</f>
        <v>11</v>
      </c>
      <c r="E3447" t="str">
        <f>"1-151-11"</f>
        <v>1-151-11</v>
      </c>
      <c r="F3447" t="s">
        <v>83</v>
      </c>
      <c r="G3447" t="s">
        <v>84</v>
      </c>
      <c r="H3447" t="s">
        <v>92</v>
      </c>
      <c r="I3447">
        <v>1</v>
      </c>
      <c r="J3447">
        <v>1</v>
      </c>
      <c r="N3447">
        <v>1</v>
      </c>
      <c r="O3447">
        <v>1</v>
      </c>
      <c r="P3447">
        <v>1</v>
      </c>
      <c r="Q3447">
        <v>1</v>
      </c>
      <c r="R3447">
        <v>1</v>
      </c>
      <c r="S3447">
        <v>1</v>
      </c>
      <c r="T3447">
        <v>1</v>
      </c>
      <c r="W3447">
        <v>1</v>
      </c>
      <c r="X3447">
        <v>1</v>
      </c>
      <c r="Y3447">
        <v>1</v>
      </c>
      <c r="Z3447">
        <v>1</v>
      </c>
      <c r="AA3447">
        <v>1</v>
      </c>
      <c r="AB3447">
        <v>1</v>
      </c>
    </row>
    <row r="3448" spans="1:49" x14ac:dyDescent="0.25">
      <c r="A3448" t="str">
        <f>"3444"</f>
        <v>3444</v>
      </c>
      <c r="B3448" t="str">
        <f t="shared" si="198"/>
        <v>1</v>
      </c>
      <c r="C3448" t="str">
        <f t="shared" si="199"/>
        <v>151</v>
      </c>
      <c r="D3448" t="str">
        <f>"7"</f>
        <v>7</v>
      </c>
      <c r="E3448" t="str">
        <f>"1-151-7"</f>
        <v>1-151-7</v>
      </c>
      <c r="F3448" t="s">
        <v>83</v>
      </c>
      <c r="G3448" t="s">
        <v>84</v>
      </c>
      <c r="H3448" t="s">
        <v>92</v>
      </c>
      <c r="I3448">
        <v>1</v>
      </c>
      <c r="J3448">
        <v>1</v>
      </c>
      <c r="N3448">
        <v>1</v>
      </c>
      <c r="O3448">
        <v>1</v>
      </c>
      <c r="P3448">
        <v>1</v>
      </c>
      <c r="Q3448">
        <v>1</v>
      </c>
      <c r="R3448">
        <v>1</v>
      </c>
      <c r="S3448">
        <v>1</v>
      </c>
      <c r="T3448">
        <v>1</v>
      </c>
      <c r="W3448">
        <v>1</v>
      </c>
      <c r="X3448">
        <v>1</v>
      </c>
      <c r="Y3448">
        <v>1</v>
      </c>
      <c r="Z3448">
        <v>1</v>
      </c>
      <c r="AA3448">
        <v>1</v>
      </c>
      <c r="AB3448">
        <v>1</v>
      </c>
    </row>
    <row r="3449" spans="1:49" x14ac:dyDescent="0.25">
      <c r="A3449" t="str">
        <f>"3445"</f>
        <v>3445</v>
      </c>
      <c r="B3449" t="str">
        <f t="shared" si="198"/>
        <v>1</v>
      </c>
      <c r="C3449" t="str">
        <f t="shared" si="199"/>
        <v>151</v>
      </c>
      <c r="D3449" t="str">
        <f>"21"</f>
        <v>21</v>
      </c>
      <c r="E3449" t="str">
        <f>"1-151-21"</f>
        <v>1-151-21</v>
      </c>
      <c r="F3449" t="s">
        <v>83</v>
      </c>
      <c r="G3449" t="s">
        <v>84</v>
      </c>
      <c r="H3449" t="s">
        <v>85</v>
      </c>
      <c r="AC3449">
        <v>0</v>
      </c>
      <c r="AD3449">
        <v>1</v>
      </c>
      <c r="AE3449">
        <v>0</v>
      </c>
      <c r="AF3449">
        <v>0</v>
      </c>
      <c r="AG3449">
        <v>1</v>
      </c>
      <c r="AJ3449">
        <v>1</v>
      </c>
      <c r="AK3449">
        <v>0</v>
      </c>
      <c r="AL3449">
        <v>0</v>
      </c>
      <c r="AM3449">
        <v>1</v>
      </c>
      <c r="AN3449">
        <v>0</v>
      </c>
      <c r="AO3449">
        <v>1</v>
      </c>
      <c r="AP3449">
        <v>1</v>
      </c>
      <c r="AQ3449">
        <v>1</v>
      </c>
      <c r="AR3449">
        <v>1</v>
      </c>
      <c r="AS3449">
        <v>0</v>
      </c>
      <c r="AT3449">
        <v>0</v>
      </c>
      <c r="AV3449">
        <v>1</v>
      </c>
      <c r="AW3449">
        <v>1</v>
      </c>
    </row>
    <row r="3450" spans="1:49" x14ac:dyDescent="0.25">
      <c r="A3450" t="str">
        <f>"3446"</f>
        <v>3446</v>
      </c>
      <c r="B3450" t="str">
        <f t="shared" si="198"/>
        <v>1</v>
      </c>
      <c r="C3450" t="str">
        <f t="shared" si="199"/>
        <v>151</v>
      </c>
      <c r="D3450" t="str">
        <f>"12"</f>
        <v>12</v>
      </c>
      <c r="E3450" t="str">
        <f>"1-151-12"</f>
        <v>1-151-12</v>
      </c>
      <c r="F3450" t="s">
        <v>83</v>
      </c>
      <c r="G3450" t="s">
        <v>84</v>
      </c>
      <c r="H3450" t="s">
        <v>85</v>
      </c>
      <c r="AC3450">
        <v>0</v>
      </c>
      <c r="AD3450">
        <v>1</v>
      </c>
      <c r="AE3450">
        <v>0</v>
      </c>
      <c r="AF3450">
        <v>0</v>
      </c>
      <c r="AG3450">
        <v>0</v>
      </c>
      <c r="AJ3450">
        <v>0</v>
      </c>
      <c r="AK3450">
        <v>1</v>
      </c>
      <c r="AL3450">
        <v>0</v>
      </c>
      <c r="AM3450">
        <v>0</v>
      </c>
      <c r="AN3450">
        <v>1</v>
      </c>
      <c r="AO3450">
        <v>0</v>
      </c>
      <c r="AP3450">
        <v>0</v>
      </c>
      <c r="AQ3450">
        <v>0</v>
      </c>
      <c r="AR3450">
        <v>0</v>
      </c>
      <c r="AS3450">
        <v>1</v>
      </c>
      <c r="AT3450">
        <v>0</v>
      </c>
      <c r="AV3450">
        <v>0</v>
      </c>
      <c r="AW3450">
        <v>0</v>
      </c>
    </row>
    <row r="3451" spans="1:49" x14ac:dyDescent="0.25">
      <c r="A3451" t="str">
        <f>"3447"</f>
        <v>3447</v>
      </c>
      <c r="B3451" t="str">
        <f t="shared" si="198"/>
        <v>1</v>
      </c>
      <c r="C3451" t="str">
        <f t="shared" si="199"/>
        <v>151</v>
      </c>
      <c r="D3451" t="str">
        <f>"6"</f>
        <v>6</v>
      </c>
      <c r="E3451" t="str">
        <f>"1-151-6"</f>
        <v>1-151-6</v>
      </c>
      <c r="F3451" t="s">
        <v>83</v>
      </c>
      <c r="G3451" t="s">
        <v>84</v>
      </c>
      <c r="H3451" t="s">
        <v>92</v>
      </c>
      <c r="I3451">
        <v>1</v>
      </c>
      <c r="J3451">
        <v>1</v>
      </c>
      <c r="N3451">
        <v>1</v>
      </c>
      <c r="O3451">
        <v>1</v>
      </c>
      <c r="P3451">
        <v>1</v>
      </c>
      <c r="Q3451">
        <v>1</v>
      </c>
      <c r="R3451">
        <v>1</v>
      </c>
      <c r="S3451">
        <v>1</v>
      </c>
      <c r="T3451">
        <v>1</v>
      </c>
      <c r="W3451">
        <v>1</v>
      </c>
      <c r="X3451">
        <v>1</v>
      </c>
      <c r="Y3451">
        <v>1</v>
      </c>
      <c r="Z3451">
        <v>1</v>
      </c>
      <c r="AA3451">
        <v>1</v>
      </c>
      <c r="AB3451">
        <v>1</v>
      </c>
    </row>
    <row r="3452" spans="1:49" x14ac:dyDescent="0.25">
      <c r="A3452" t="str">
        <f>"3448"</f>
        <v>3448</v>
      </c>
      <c r="B3452" t="str">
        <f t="shared" si="198"/>
        <v>1</v>
      </c>
      <c r="C3452" t="str">
        <f t="shared" si="199"/>
        <v>151</v>
      </c>
      <c r="D3452" t="str">
        <f>"20"</f>
        <v>20</v>
      </c>
      <c r="E3452" t="str">
        <f>"1-151-20"</f>
        <v>1-151-20</v>
      </c>
      <c r="F3452" t="s">
        <v>83</v>
      </c>
      <c r="G3452" t="s">
        <v>84</v>
      </c>
      <c r="H3452" t="s">
        <v>92</v>
      </c>
      <c r="I3452">
        <v>1</v>
      </c>
      <c r="J3452">
        <v>1</v>
      </c>
      <c r="N3452">
        <v>1</v>
      </c>
      <c r="O3452">
        <v>1</v>
      </c>
      <c r="P3452">
        <v>1</v>
      </c>
      <c r="Q3452">
        <v>1</v>
      </c>
      <c r="R3452">
        <v>1</v>
      </c>
      <c r="S3452">
        <v>1</v>
      </c>
      <c r="T3452">
        <v>1</v>
      </c>
      <c r="W3452">
        <v>1</v>
      </c>
      <c r="X3452">
        <v>1</v>
      </c>
      <c r="Y3452">
        <v>1</v>
      </c>
      <c r="Z3452">
        <v>1</v>
      </c>
      <c r="AA3452">
        <v>1</v>
      </c>
      <c r="AB3452">
        <v>1</v>
      </c>
    </row>
    <row r="3453" spans="1:49" x14ac:dyDescent="0.25">
      <c r="A3453" t="str">
        <f>"3449"</f>
        <v>3449</v>
      </c>
      <c r="B3453" t="str">
        <f t="shared" si="198"/>
        <v>1</v>
      </c>
      <c r="C3453" t="str">
        <f t="shared" si="199"/>
        <v>151</v>
      </c>
      <c r="D3453" t="str">
        <f>"13"</f>
        <v>13</v>
      </c>
      <c r="E3453" t="str">
        <f>"1-151-13"</f>
        <v>1-151-13</v>
      </c>
      <c r="F3453" t="s">
        <v>83</v>
      </c>
      <c r="G3453" t="s">
        <v>84</v>
      </c>
      <c r="H3453" t="s">
        <v>92</v>
      </c>
      <c r="I3453">
        <v>1</v>
      </c>
      <c r="J3453">
        <v>0</v>
      </c>
      <c r="N3453">
        <v>1</v>
      </c>
      <c r="O3453">
        <v>1</v>
      </c>
      <c r="P3453">
        <v>0</v>
      </c>
      <c r="Q3453">
        <v>1</v>
      </c>
      <c r="R3453">
        <v>0</v>
      </c>
      <c r="S3453">
        <v>1</v>
      </c>
      <c r="T3453">
        <v>0</v>
      </c>
      <c r="W3453">
        <v>1</v>
      </c>
      <c r="X3453">
        <v>1</v>
      </c>
      <c r="Y3453">
        <v>1</v>
      </c>
      <c r="Z3453">
        <v>0</v>
      </c>
      <c r="AA3453">
        <v>0</v>
      </c>
      <c r="AB3453">
        <v>0</v>
      </c>
    </row>
    <row r="3454" spans="1:49" x14ac:dyDescent="0.25">
      <c r="A3454" t="str">
        <f>"3450"</f>
        <v>3450</v>
      </c>
      <c r="B3454" t="str">
        <f t="shared" si="198"/>
        <v>1</v>
      </c>
      <c r="C3454" t="str">
        <f t="shared" si="199"/>
        <v>151</v>
      </c>
      <c r="D3454" t="str">
        <f>"5"</f>
        <v>5</v>
      </c>
      <c r="E3454" t="str">
        <f>"1-151-5"</f>
        <v>1-151-5</v>
      </c>
      <c r="F3454" t="s">
        <v>83</v>
      </c>
      <c r="G3454" t="s">
        <v>84</v>
      </c>
      <c r="H3454" t="s">
        <v>92</v>
      </c>
      <c r="I3454">
        <v>0</v>
      </c>
      <c r="J3454">
        <v>1</v>
      </c>
      <c r="N3454">
        <v>1</v>
      </c>
      <c r="O3454">
        <v>1</v>
      </c>
      <c r="P3454">
        <v>0</v>
      </c>
      <c r="Q3454">
        <v>0</v>
      </c>
      <c r="R3454">
        <v>0</v>
      </c>
      <c r="S3454">
        <v>1</v>
      </c>
      <c r="T3454">
        <v>1</v>
      </c>
      <c r="W3454">
        <v>0</v>
      </c>
      <c r="X3454">
        <v>0</v>
      </c>
      <c r="Y3454">
        <v>0</v>
      </c>
      <c r="Z3454">
        <v>0</v>
      </c>
      <c r="AA3454">
        <v>0</v>
      </c>
      <c r="AB3454">
        <v>0</v>
      </c>
    </row>
    <row r="3455" spans="1:49" x14ac:dyDescent="0.25">
      <c r="A3455" t="str">
        <f>"3451"</f>
        <v>3451</v>
      </c>
      <c r="B3455" t="str">
        <f t="shared" si="198"/>
        <v>1</v>
      </c>
      <c r="C3455" t="str">
        <f t="shared" si="199"/>
        <v>151</v>
      </c>
      <c r="D3455" t="str">
        <f>"19"</f>
        <v>19</v>
      </c>
      <c r="E3455" t="str">
        <f>"1-151-19"</f>
        <v>1-151-19</v>
      </c>
      <c r="F3455" t="s">
        <v>83</v>
      </c>
      <c r="G3455" t="s">
        <v>84</v>
      </c>
      <c r="H3455" t="s">
        <v>85</v>
      </c>
      <c r="AC3455">
        <v>1</v>
      </c>
      <c r="AD3455">
        <v>0</v>
      </c>
      <c r="AE3455">
        <v>0</v>
      </c>
      <c r="AF3455">
        <v>0</v>
      </c>
      <c r="AG3455">
        <v>1</v>
      </c>
      <c r="AJ3455">
        <v>1</v>
      </c>
      <c r="AK3455">
        <v>0</v>
      </c>
      <c r="AL3455">
        <v>1</v>
      </c>
      <c r="AM3455">
        <v>0</v>
      </c>
      <c r="AN3455">
        <v>0</v>
      </c>
      <c r="AO3455">
        <v>1</v>
      </c>
      <c r="AP3455">
        <v>1</v>
      </c>
      <c r="AQ3455">
        <v>1</v>
      </c>
      <c r="AR3455">
        <v>1</v>
      </c>
      <c r="AS3455">
        <v>1</v>
      </c>
      <c r="AT3455">
        <v>0</v>
      </c>
      <c r="AV3455">
        <v>1</v>
      </c>
      <c r="AW3455">
        <v>1</v>
      </c>
    </row>
    <row r="3456" spans="1:49" x14ac:dyDescent="0.25">
      <c r="A3456" t="str">
        <f>"3452"</f>
        <v>3452</v>
      </c>
      <c r="B3456" t="str">
        <f t="shared" si="198"/>
        <v>1</v>
      </c>
      <c r="C3456" t="str">
        <f t="shared" si="199"/>
        <v>151</v>
      </c>
      <c r="D3456" t="str">
        <f>"14"</f>
        <v>14</v>
      </c>
      <c r="E3456" t="str">
        <f>"1-151-14"</f>
        <v>1-151-14</v>
      </c>
      <c r="F3456" t="s">
        <v>83</v>
      </c>
      <c r="G3456" t="s">
        <v>84</v>
      </c>
      <c r="H3456" t="s">
        <v>92</v>
      </c>
      <c r="I3456">
        <v>1</v>
      </c>
      <c r="J3456">
        <v>1</v>
      </c>
      <c r="N3456">
        <v>1</v>
      </c>
      <c r="O3456">
        <v>1</v>
      </c>
      <c r="P3456">
        <v>1</v>
      </c>
      <c r="Q3456">
        <v>1</v>
      </c>
      <c r="R3456">
        <v>1</v>
      </c>
      <c r="S3456">
        <v>1</v>
      </c>
      <c r="T3456">
        <v>1</v>
      </c>
      <c r="W3456">
        <v>1</v>
      </c>
      <c r="X3456">
        <v>1</v>
      </c>
      <c r="Y3456">
        <v>1</v>
      </c>
      <c r="Z3456">
        <v>1</v>
      </c>
      <c r="AA3456">
        <v>1</v>
      </c>
      <c r="AB3456">
        <v>1</v>
      </c>
    </row>
    <row r="3457" spans="1:49" x14ac:dyDescent="0.25">
      <c r="A3457" t="str">
        <f>"3453"</f>
        <v>3453</v>
      </c>
      <c r="B3457" t="str">
        <f t="shared" si="198"/>
        <v>1</v>
      </c>
      <c r="C3457" t="str">
        <f t="shared" si="199"/>
        <v>151</v>
      </c>
      <c r="D3457" t="str">
        <f>"3"</f>
        <v>3</v>
      </c>
      <c r="E3457" t="str">
        <f>"1-151-3"</f>
        <v>1-151-3</v>
      </c>
      <c r="F3457" t="s">
        <v>83</v>
      </c>
      <c r="G3457" t="s">
        <v>86</v>
      </c>
      <c r="H3457" t="s">
        <v>93</v>
      </c>
      <c r="I3457">
        <v>1</v>
      </c>
      <c r="K3457">
        <v>0</v>
      </c>
      <c r="L3457">
        <v>0</v>
      </c>
      <c r="M3457">
        <v>1</v>
      </c>
      <c r="N3457">
        <v>1</v>
      </c>
      <c r="O3457">
        <v>1</v>
      </c>
      <c r="P3457">
        <v>1</v>
      </c>
      <c r="Q3457">
        <v>1</v>
      </c>
      <c r="R3457">
        <v>1</v>
      </c>
      <c r="U3457">
        <v>1</v>
      </c>
      <c r="V3457">
        <v>0</v>
      </c>
      <c r="W3457">
        <v>1</v>
      </c>
      <c r="X3457">
        <v>1</v>
      </c>
      <c r="Y3457">
        <v>1</v>
      </c>
      <c r="Z3457">
        <v>1</v>
      </c>
      <c r="AA3457">
        <v>1</v>
      </c>
      <c r="AB3457">
        <v>1</v>
      </c>
    </row>
    <row r="3458" spans="1:49" x14ac:dyDescent="0.25">
      <c r="A3458" t="str">
        <f>"3454"</f>
        <v>3454</v>
      </c>
      <c r="B3458" t="str">
        <f t="shared" si="198"/>
        <v>1</v>
      </c>
      <c r="C3458" t="str">
        <f t="shared" ref="C3458:C3480" si="200">"152"</f>
        <v>152</v>
      </c>
      <c r="D3458" t="str">
        <f>"23"</f>
        <v>23</v>
      </c>
      <c r="E3458" t="str">
        <f>"1-152-23"</f>
        <v>1-152-23</v>
      </c>
      <c r="F3458" t="s">
        <v>83</v>
      </c>
      <c r="G3458" t="s">
        <v>84</v>
      </c>
      <c r="H3458" t="s">
        <v>85</v>
      </c>
      <c r="AC3458">
        <v>0</v>
      </c>
      <c r="AD3458">
        <v>1</v>
      </c>
      <c r="AE3458">
        <v>0</v>
      </c>
      <c r="AF3458">
        <v>0</v>
      </c>
      <c r="AG3458">
        <v>1</v>
      </c>
      <c r="AJ3458">
        <v>0</v>
      </c>
      <c r="AK3458">
        <v>1</v>
      </c>
      <c r="AL3458">
        <v>1</v>
      </c>
      <c r="AM3458">
        <v>0</v>
      </c>
      <c r="AN3458">
        <v>0</v>
      </c>
      <c r="AO3458">
        <v>1</v>
      </c>
      <c r="AP3458">
        <v>1</v>
      </c>
      <c r="AQ3458">
        <v>1</v>
      </c>
      <c r="AR3458">
        <v>1</v>
      </c>
      <c r="AS3458">
        <v>1</v>
      </c>
      <c r="AT3458">
        <v>0</v>
      </c>
      <c r="AV3458">
        <v>1</v>
      </c>
      <c r="AW3458">
        <v>1</v>
      </c>
    </row>
    <row r="3459" spans="1:49" x14ac:dyDescent="0.25">
      <c r="A3459" t="str">
        <f>"3455"</f>
        <v>3455</v>
      </c>
      <c r="B3459" t="str">
        <f t="shared" si="198"/>
        <v>1</v>
      </c>
      <c r="C3459" t="str">
        <f t="shared" si="200"/>
        <v>152</v>
      </c>
      <c r="D3459" t="str">
        <f>"22"</f>
        <v>22</v>
      </c>
      <c r="E3459" t="str">
        <f>"1-152-22"</f>
        <v>1-152-22</v>
      </c>
      <c r="F3459" t="s">
        <v>83</v>
      </c>
      <c r="G3459" t="s">
        <v>84</v>
      </c>
      <c r="H3459" t="s">
        <v>92</v>
      </c>
      <c r="I3459">
        <v>1</v>
      </c>
      <c r="J3459">
        <v>1</v>
      </c>
      <c r="N3459">
        <v>1</v>
      </c>
      <c r="O3459">
        <v>1</v>
      </c>
      <c r="P3459">
        <v>0</v>
      </c>
      <c r="Q3459">
        <v>0</v>
      </c>
      <c r="R3459">
        <v>0</v>
      </c>
      <c r="S3459">
        <v>1</v>
      </c>
      <c r="T3459">
        <v>1</v>
      </c>
      <c r="W3459">
        <v>1</v>
      </c>
      <c r="X3459">
        <v>1</v>
      </c>
      <c r="Y3459">
        <v>1</v>
      </c>
      <c r="Z3459">
        <v>1</v>
      </c>
      <c r="AA3459">
        <v>1</v>
      </c>
      <c r="AB3459">
        <v>1</v>
      </c>
    </row>
    <row r="3460" spans="1:49" x14ac:dyDescent="0.25">
      <c r="A3460" t="str">
        <f>"3456"</f>
        <v>3456</v>
      </c>
      <c r="B3460" t="str">
        <f t="shared" si="198"/>
        <v>1</v>
      </c>
      <c r="C3460" t="str">
        <f t="shared" si="200"/>
        <v>152</v>
      </c>
      <c r="D3460" t="str">
        <f>"15"</f>
        <v>15</v>
      </c>
      <c r="E3460" t="str">
        <f>"1-152-15"</f>
        <v>1-152-15</v>
      </c>
      <c r="F3460" t="s">
        <v>83</v>
      </c>
      <c r="G3460" t="s">
        <v>84</v>
      </c>
      <c r="H3460" t="s">
        <v>85</v>
      </c>
      <c r="AC3460">
        <v>0</v>
      </c>
      <c r="AD3460">
        <v>1</v>
      </c>
      <c r="AE3460">
        <v>0</v>
      </c>
      <c r="AF3460">
        <v>0</v>
      </c>
      <c r="AG3460">
        <v>0</v>
      </c>
      <c r="AJ3460">
        <v>1</v>
      </c>
      <c r="AK3460">
        <v>0</v>
      </c>
      <c r="AL3460">
        <v>0</v>
      </c>
      <c r="AM3460">
        <v>1</v>
      </c>
      <c r="AN3460">
        <v>0</v>
      </c>
      <c r="AO3460">
        <v>0</v>
      </c>
      <c r="AP3460">
        <v>0</v>
      </c>
      <c r="AQ3460">
        <v>0</v>
      </c>
      <c r="AR3460">
        <v>0</v>
      </c>
      <c r="AS3460">
        <v>0</v>
      </c>
      <c r="AT3460">
        <v>0</v>
      </c>
      <c r="AV3460">
        <v>0</v>
      </c>
      <c r="AW3460">
        <v>0</v>
      </c>
    </row>
    <row r="3461" spans="1:49" x14ac:dyDescent="0.25">
      <c r="A3461" t="str">
        <f>"3457"</f>
        <v>3457</v>
      </c>
      <c r="B3461" t="str">
        <f t="shared" si="198"/>
        <v>1</v>
      </c>
      <c r="C3461" t="str">
        <f t="shared" si="200"/>
        <v>152</v>
      </c>
      <c r="D3461" t="str">
        <f>"14"</f>
        <v>14</v>
      </c>
      <c r="E3461" t="str">
        <f>"1-152-14"</f>
        <v>1-152-14</v>
      </c>
      <c r="F3461" t="s">
        <v>83</v>
      </c>
      <c r="G3461" t="s">
        <v>84</v>
      </c>
      <c r="H3461" t="s">
        <v>92</v>
      </c>
      <c r="I3461">
        <v>1</v>
      </c>
      <c r="J3461">
        <v>1</v>
      </c>
      <c r="N3461">
        <v>1</v>
      </c>
      <c r="O3461">
        <v>1</v>
      </c>
      <c r="P3461">
        <v>1</v>
      </c>
      <c r="Q3461">
        <v>1</v>
      </c>
      <c r="R3461">
        <v>1</v>
      </c>
      <c r="S3461">
        <v>1</v>
      </c>
      <c r="T3461">
        <v>1</v>
      </c>
      <c r="W3461">
        <v>1</v>
      </c>
      <c r="X3461">
        <v>1</v>
      </c>
      <c r="Y3461">
        <v>1</v>
      </c>
      <c r="Z3461">
        <v>1</v>
      </c>
      <c r="AA3461">
        <v>1</v>
      </c>
      <c r="AB3461">
        <v>1</v>
      </c>
    </row>
    <row r="3462" spans="1:49" x14ac:dyDescent="0.25">
      <c r="A3462" t="str">
        <f>"3458"</f>
        <v>3458</v>
      </c>
      <c r="B3462" t="str">
        <f t="shared" si="198"/>
        <v>1</v>
      </c>
      <c r="C3462" t="str">
        <f t="shared" si="200"/>
        <v>152</v>
      </c>
      <c r="D3462" t="str">
        <f>"11"</f>
        <v>11</v>
      </c>
      <c r="E3462" t="str">
        <f>"1-152-11"</f>
        <v>1-152-11</v>
      </c>
      <c r="F3462" t="s">
        <v>83</v>
      </c>
      <c r="G3462" t="s">
        <v>84</v>
      </c>
      <c r="H3462" t="s">
        <v>92</v>
      </c>
      <c r="I3462">
        <v>1</v>
      </c>
      <c r="J3462">
        <v>1</v>
      </c>
      <c r="N3462">
        <v>1</v>
      </c>
      <c r="O3462">
        <v>1</v>
      </c>
      <c r="P3462">
        <v>1</v>
      </c>
      <c r="Q3462">
        <v>1</v>
      </c>
      <c r="R3462">
        <v>1</v>
      </c>
      <c r="S3462">
        <v>1</v>
      </c>
      <c r="T3462">
        <v>1</v>
      </c>
      <c r="W3462">
        <v>1</v>
      </c>
      <c r="X3462">
        <v>1</v>
      </c>
      <c r="Y3462">
        <v>1</v>
      </c>
      <c r="Z3462">
        <v>1</v>
      </c>
      <c r="AA3462">
        <v>1</v>
      </c>
      <c r="AB3462">
        <v>1</v>
      </c>
    </row>
    <row r="3463" spans="1:49" x14ac:dyDescent="0.25">
      <c r="A3463" t="str">
        <f>"3459"</f>
        <v>3459</v>
      </c>
      <c r="B3463" t="str">
        <f t="shared" si="198"/>
        <v>1</v>
      </c>
      <c r="C3463" t="str">
        <f t="shared" si="200"/>
        <v>152</v>
      </c>
      <c r="D3463" t="str">
        <f>"8"</f>
        <v>8</v>
      </c>
      <c r="E3463" t="str">
        <f>"1-152-8"</f>
        <v>1-152-8</v>
      </c>
      <c r="F3463" t="s">
        <v>83</v>
      </c>
      <c r="G3463" t="s">
        <v>88</v>
      </c>
      <c r="H3463" t="s">
        <v>89</v>
      </c>
      <c r="AC3463">
        <v>0</v>
      </c>
      <c r="AD3463">
        <v>1</v>
      </c>
      <c r="AE3463">
        <v>0</v>
      </c>
      <c r="AF3463">
        <v>0</v>
      </c>
      <c r="AH3463">
        <v>1</v>
      </c>
      <c r="AI3463">
        <v>0</v>
      </c>
      <c r="AJ3463">
        <v>0</v>
      </c>
      <c r="AK3463">
        <v>1</v>
      </c>
      <c r="AL3463">
        <v>1</v>
      </c>
      <c r="AM3463">
        <v>0</v>
      </c>
      <c r="AN3463">
        <v>0</v>
      </c>
      <c r="AO3463">
        <v>0</v>
      </c>
      <c r="AP3463">
        <v>0</v>
      </c>
      <c r="AQ3463">
        <v>0</v>
      </c>
      <c r="AR3463">
        <v>0</v>
      </c>
      <c r="AS3463">
        <v>1</v>
      </c>
      <c r="AT3463">
        <v>0</v>
      </c>
      <c r="AV3463">
        <v>0</v>
      </c>
      <c r="AW3463">
        <v>0</v>
      </c>
    </row>
    <row r="3464" spans="1:49" x14ac:dyDescent="0.25">
      <c r="A3464" t="str">
        <f>"3460"</f>
        <v>3460</v>
      </c>
      <c r="B3464" t="str">
        <f t="shared" si="198"/>
        <v>1</v>
      </c>
      <c r="C3464" t="str">
        <f t="shared" si="200"/>
        <v>152</v>
      </c>
      <c r="D3464" t="str">
        <f>"1"</f>
        <v>1</v>
      </c>
      <c r="E3464" t="str">
        <f>"1-152-1"</f>
        <v>1-152-1</v>
      </c>
      <c r="F3464" t="s">
        <v>83</v>
      </c>
      <c r="G3464" t="s">
        <v>84</v>
      </c>
      <c r="H3464" t="s">
        <v>92</v>
      </c>
      <c r="I3464">
        <v>1</v>
      </c>
      <c r="J3464">
        <v>1</v>
      </c>
      <c r="N3464">
        <v>1</v>
      </c>
      <c r="O3464">
        <v>1</v>
      </c>
      <c r="P3464">
        <v>1</v>
      </c>
      <c r="Q3464">
        <v>1</v>
      </c>
      <c r="R3464">
        <v>1</v>
      </c>
      <c r="S3464">
        <v>1</v>
      </c>
      <c r="T3464">
        <v>1</v>
      </c>
      <c r="W3464">
        <v>1</v>
      </c>
      <c r="X3464">
        <v>1</v>
      </c>
      <c r="Y3464">
        <v>1</v>
      </c>
      <c r="Z3464">
        <v>1</v>
      </c>
      <c r="AA3464">
        <v>1</v>
      </c>
      <c r="AB3464">
        <v>1</v>
      </c>
    </row>
    <row r="3465" spans="1:49" x14ac:dyDescent="0.25">
      <c r="A3465" t="str">
        <f>"3461"</f>
        <v>3461</v>
      </c>
      <c r="B3465" t="str">
        <f t="shared" si="198"/>
        <v>1</v>
      </c>
      <c r="C3465" t="str">
        <f t="shared" si="200"/>
        <v>152</v>
      </c>
      <c r="D3465" t="str">
        <f>"16"</f>
        <v>16</v>
      </c>
      <c r="E3465" t="str">
        <f>"1-152-16"</f>
        <v>1-152-16</v>
      </c>
      <c r="F3465" t="s">
        <v>83</v>
      </c>
      <c r="G3465" t="s">
        <v>84</v>
      </c>
      <c r="H3465" t="s">
        <v>92</v>
      </c>
      <c r="I3465">
        <v>1</v>
      </c>
      <c r="J3465">
        <v>1</v>
      </c>
      <c r="N3465">
        <v>1</v>
      </c>
      <c r="O3465">
        <v>1</v>
      </c>
      <c r="P3465">
        <v>1</v>
      </c>
      <c r="Q3465">
        <v>1</v>
      </c>
      <c r="R3465">
        <v>1</v>
      </c>
      <c r="S3465">
        <v>1</v>
      </c>
      <c r="T3465">
        <v>1</v>
      </c>
      <c r="W3465">
        <v>1</v>
      </c>
      <c r="X3465">
        <v>1</v>
      </c>
      <c r="Y3465">
        <v>1</v>
      </c>
      <c r="Z3465">
        <v>1</v>
      </c>
      <c r="AA3465">
        <v>1</v>
      </c>
      <c r="AB3465">
        <v>1</v>
      </c>
    </row>
    <row r="3466" spans="1:49" x14ac:dyDescent="0.25">
      <c r="A3466" t="str">
        <f>"3462"</f>
        <v>3462</v>
      </c>
      <c r="B3466" t="str">
        <f t="shared" si="198"/>
        <v>1</v>
      </c>
      <c r="C3466" t="str">
        <f t="shared" si="200"/>
        <v>152</v>
      </c>
      <c r="D3466" t="str">
        <f>"9"</f>
        <v>9</v>
      </c>
      <c r="E3466" t="str">
        <f>"1-152-9"</f>
        <v>1-152-9</v>
      </c>
      <c r="F3466" t="s">
        <v>83</v>
      </c>
      <c r="G3466" t="s">
        <v>88</v>
      </c>
      <c r="H3466" t="s">
        <v>89</v>
      </c>
      <c r="AC3466">
        <v>0</v>
      </c>
      <c r="AD3466">
        <v>1</v>
      </c>
      <c r="AE3466">
        <v>0</v>
      </c>
      <c r="AF3466">
        <v>0</v>
      </c>
      <c r="AH3466">
        <v>1</v>
      </c>
      <c r="AI3466">
        <v>0</v>
      </c>
      <c r="AJ3466">
        <v>0</v>
      </c>
      <c r="AK3466">
        <v>1</v>
      </c>
      <c r="AL3466">
        <v>1</v>
      </c>
      <c r="AM3466">
        <v>0</v>
      </c>
      <c r="AN3466">
        <v>0</v>
      </c>
      <c r="AO3466">
        <v>0</v>
      </c>
      <c r="AP3466">
        <v>0</v>
      </c>
      <c r="AQ3466">
        <v>0</v>
      </c>
      <c r="AR3466">
        <v>0</v>
      </c>
      <c r="AS3466">
        <v>1</v>
      </c>
      <c r="AT3466">
        <v>0</v>
      </c>
      <c r="AV3466">
        <v>1</v>
      </c>
      <c r="AW3466">
        <v>1</v>
      </c>
    </row>
    <row r="3467" spans="1:49" x14ac:dyDescent="0.25">
      <c r="A3467" t="str">
        <f>"3463"</f>
        <v>3463</v>
      </c>
      <c r="B3467" t="str">
        <f t="shared" si="198"/>
        <v>1</v>
      </c>
      <c r="C3467" t="str">
        <f t="shared" si="200"/>
        <v>152</v>
      </c>
      <c r="D3467" t="str">
        <f>"5"</f>
        <v>5</v>
      </c>
      <c r="E3467" t="str">
        <f>"1-152-5"</f>
        <v>1-152-5</v>
      </c>
      <c r="F3467" t="s">
        <v>83</v>
      </c>
      <c r="G3467" t="s">
        <v>84</v>
      </c>
      <c r="H3467" t="s">
        <v>92</v>
      </c>
      <c r="I3467">
        <v>1</v>
      </c>
      <c r="J3467">
        <v>1</v>
      </c>
      <c r="N3467">
        <v>1</v>
      </c>
      <c r="O3467">
        <v>1</v>
      </c>
      <c r="P3467">
        <v>1</v>
      </c>
      <c r="Q3467">
        <v>1</v>
      </c>
      <c r="R3467">
        <v>1</v>
      </c>
      <c r="S3467">
        <v>1</v>
      </c>
      <c r="T3467">
        <v>1</v>
      </c>
      <c r="W3467">
        <v>1</v>
      </c>
      <c r="X3467">
        <v>1</v>
      </c>
      <c r="Y3467">
        <v>1</v>
      </c>
      <c r="Z3467">
        <v>1</v>
      </c>
      <c r="AA3467">
        <v>1</v>
      </c>
      <c r="AB3467">
        <v>1</v>
      </c>
    </row>
    <row r="3468" spans="1:49" x14ac:dyDescent="0.25">
      <c r="A3468" t="str">
        <f>"3464"</f>
        <v>3464</v>
      </c>
      <c r="B3468" t="str">
        <f t="shared" si="198"/>
        <v>1</v>
      </c>
      <c r="C3468" t="str">
        <f t="shared" si="200"/>
        <v>152</v>
      </c>
      <c r="D3468" t="str">
        <f>"18"</f>
        <v>18</v>
      </c>
      <c r="E3468" t="str">
        <f>"1-152-18"</f>
        <v>1-152-18</v>
      </c>
      <c r="F3468" t="s">
        <v>83</v>
      </c>
      <c r="G3468" t="s">
        <v>84</v>
      </c>
      <c r="H3468" t="s">
        <v>92</v>
      </c>
      <c r="I3468">
        <v>1</v>
      </c>
      <c r="J3468">
        <v>1</v>
      </c>
      <c r="N3468">
        <v>1</v>
      </c>
      <c r="O3468">
        <v>1</v>
      </c>
      <c r="P3468">
        <v>1</v>
      </c>
      <c r="Q3468">
        <v>1</v>
      </c>
      <c r="R3468">
        <v>1</v>
      </c>
      <c r="S3468">
        <v>1</v>
      </c>
      <c r="T3468">
        <v>1</v>
      </c>
      <c r="W3468">
        <v>1</v>
      </c>
      <c r="X3468">
        <v>1</v>
      </c>
      <c r="Y3468">
        <v>1</v>
      </c>
      <c r="Z3468">
        <v>1</v>
      </c>
      <c r="AA3468">
        <v>1</v>
      </c>
      <c r="AB3468">
        <v>1</v>
      </c>
    </row>
    <row r="3469" spans="1:49" x14ac:dyDescent="0.25">
      <c r="A3469" t="str">
        <f>"3465"</f>
        <v>3465</v>
      </c>
      <c r="B3469" t="str">
        <f t="shared" si="198"/>
        <v>1</v>
      </c>
      <c r="C3469" t="str">
        <f t="shared" si="200"/>
        <v>152</v>
      </c>
      <c r="D3469" t="str">
        <f>"10"</f>
        <v>10</v>
      </c>
      <c r="E3469" t="str">
        <f>"1-152-10"</f>
        <v>1-152-10</v>
      </c>
      <c r="F3469" t="s">
        <v>83</v>
      </c>
      <c r="G3469" t="s">
        <v>84</v>
      </c>
      <c r="H3469" t="s">
        <v>85</v>
      </c>
      <c r="AC3469">
        <v>0</v>
      </c>
      <c r="AD3469">
        <v>0</v>
      </c>
      <c r="AE3469">
        <v>0</v>
      </c>
      <c r="AF3469">
        <v>0</v>
      </c>
      <c r="AG3469">
        <v>0</v>
      </c>
      <c r="AJ3469">
        <v>0</v>
      </c>
      <c r="AK3469">
        <v>0</v>
      </c>
      <c r="AL3469">
        <v>0</v>
      </c>
      <c r="AM3469">
        <v>0</v>
      </c>
      <c r="AN3469">
        <v>1</v>
      </c>
      <c r="AO3469">
        <v>0</v>
      </c>
      <c r="AP3469">
        <v>0</v>
      </c>
      <c r="AQ3469">
        <v>0</v>
      </c>
      <c r="AR3469">
        <v>0</v>
      </c>
      <c r="AS3469">
        <v>0</v>
      </c>
      <c r="AT3469">
        <v>0</v>
      </c>
      <c r="AV3469">
        <v>0</v>
      </c>
      <c r="AW3469">
        <v>1</v>
      </c>
    </row>
    <row r="3470" spans="1:49" x14ac:dyDescent="0.25">
      <c r="A3470" t="str">
        <f>"3466"</f>
        <v>3466</v>
      </c>
      <c r="B3470" t="str">
        <f t="shared" si="198"/>
        <v>1</v>
      </c>
      <c r="C3470" t="str">
        <f t="shared" si="200"/>
        <v>152</v>
      </c>
      <c r="D3470" t="str">
        <f>"3"</f>
        <v>3</v>
      </c>
      <c r="E3470" t="str">
        <f>"1-152-3"</f>
        <v>1-152-3</v>
      </c>
      <c r="F3470" t="s">
        <v>83</v>
      </c>
      <c r="G3470" t="s">
        <v>84</v>
      </c>
      <c r="H3470" t="s">
        <v>92</v>
      </c>
      <c r="I3470">
        <v>1</v>
      </c>
      <c r="J3470">
        <v>1</v>
      </c>
      <c r="N3470">
        <v>1</v>
      </c>
      <c r="O3470">
        <v>1</v>
      </c>
      <c r="P3470">
        <v>1</v>
      </c>
      <c r="Q3470">
        <v>1</v>
      </c>
      <c r="R3470">
        <v>1</v>
      </c>
      <c r="S3470">
        <v>1</v>
      </c>
      <c r="T3470">
        <v>1</v>
      </c>
      <c r="W3470">
        <v>1</v>
      </c>
      <c r="X3470">
        <v>1</v>
      </c>
      <c r="Y3470">
        <v>1</v>
      </c>
      <c r="Z3470">
        <v>1</v>
      </c>
      <c r="AA3470">
        <v>1</v>
      </c>
      <c r="AB3470">
        <v>1</v>
      </c>
    </row>
    <row r="3471" spans="1:49" x14ac:dyDescent="0.25">
      <c r="A3471" t="str">
        <f>"3467"</f>
        <v>3467</v>
      </c>
      <c r="B3471" t="str">
        <f t="shared" si="198"/>
        <v>1</v>
      </c>
      <c r="C3471" t="str">
        <f t="shared" si="200"/>
        <v>152</v>
      </c>
      <c r="D3471" t="str">
        <f>"20"</f>
        <v>20</v>
      </c>
      <c r="E3471" t="str">
        <f>"1-152-20"</f>
        <v>1-152-20</v>
      </c>
      <c r="F3471" t="s">
        <v>83</v>
      </c>
      <c r="G3471" t="s">
        <v>84</v>
      </c>
      <c r="H3471" t="s">
        <v>85</v>
      </c>
      <c r="AC3471">
        <v>1</v>
      </c>
      <c r="AD3471">
        <v>0</v>
      </c>
      <c r="AE3471">
        <v>0</v>
      </c>
      <c r="AF3471">
        <v>0</v>
      </c>
      <c r="AG3471">
        <v>1</v>
      </c>
      <c r="AJ3471">
        <v>1</v>
      </c>
      <c r="AK3471">
        <v>0</v>
      </c>
      <c r="AL3471">
        <v>1</v>
      </c>
      <c r="AM3471">
        <v>0</v>
      </c>
      <c r="AN3471">
        <v>0</v>
      </c>
      <c r="AO3471">
        <v>1</v>
      </c>
      <c r="AP3471">
        <v>1</v>
      </c>
      <c r="AQ3471">
        <v>1</v>
      </c>
      <c r="AR3471">
        <v>1</v>
      </c>
      <c r="AS3471">
        <v>0</v>
      </c>
      <c r="AT3471">
        <v>1</v>
      </c>
      <c r="AV3471">
        <v>1</v>
      </c>
      <c r="AW3471">
        <v>1</v>
      </c>
    </row>
    <row r="3472" spans="1:49" x14ac:dyDescent="0.25">
      <c r="A3472" t="str">
        <f>"3468"</f>
        <v>3468</v>
      </c>
      <c r="B3472" t="str">
        <f t="shared" si="198"/>
        <v>1</v>
      </c>
      <c r="C3472" t="str">
        <f t="shared" si="200"/>
        <v>152</v>
      </c>
      <c r="D3472" t="str">
        <f>"12"</f>
        <v>12</v>
      </c>
      <c r="E3472" t="str">
        <f>"1-152-12"</f>
        <v>1-152-12</v>
      </c>
      <c r="F3472" t="s">
        <v>83</v>
      </c>
      <c r="G3472" t="s">
        <v>84</v>
      </c>
      <c r="H3472" t="s">
        <v>92</v>
      </c>
      <c r="I3472">
        <v>1</v>
      </c>
      <c r="J3472">
        <v>1</v>
      </c>
      <c r="N3472">
        <v>1</v>
      </c>
      <c r="O3472">
        <v>1</v>
      </c>
      <c r="P3472">
        <v>1</v>
      </c>
      <c r="Q3472">
        <v>1</v>
      </c>
      <c r="R3472">
        <v>1</v>
      </c>
      <c r="S3472">
        <v>1</v>
      </c>
      <c r="T3472">
        <v>1</v>
      </c>
      <c r="W3472">
        <v>1</v>
      </c>
      <c r="X3472">
        <v>1</v>
      </c>
      <c r="Y3472">
        <v>1</v>
      </c>
      <c r="Z3472">
        <v>1</v>
      </c>
      <c r="AA3472">
        <v>1</v>
      </c>
      <c r="AB3472">
        <v>1</v>
      </c>
    </row>
    <row r="3473" spans="1:49" x14ac:dyDescent="0.25">
      <c r="A3473" t="str">
        <f>"3469"</f>
        <v>3469</v>
      </c>
      <c r="B3473" t="str">
        <f t="shared" si="198"/>
        <v>1</v>
      </c>
      <c r="C3473" t="str">
        <f t="shared" si="200"/>
        <v>152</v>
      </c>
      <c r="D3473" t="str">
        <f>"4"</f>
        <v>4</v>
      </c>
      <c r="E3473" t="str">
        <f>"1-152-4"</f>
        <v>1-152-4</v>
      </c>
      <c r="F3473" t="s">
        <v>83</v>
      </c>
      <c r="G3473" t="s">
        <v>84</v>
      </c>
      <c r="H3473" t="s">
        <v>92</v>
      </c>
      <c r="I3473">
        <v>1</v>
      </c>
      <c r="J3473">
        <v>1</v>
      </c>
      <c r="N3473">
        <v>1</v>
      </c>
      <c r="O3473">
        <v>1</v>
      </c>
      <c r="P3473">
        <v>1</v>
      </c>
      <c r="Q3473">
        <v>1</v>
      </c>
      <c r="R3473">
        <v>1</v>
      </c>
      <c r="S3473">
        <v>1</v>
      </c>
      <c r="T3473">
        <v>1</v>
      </c>
      <c r="W3473">
        <v>1</v>
      </c>
      <c r="X3473">
        <v>1</v>
      </c>
      <c r="Y3473">
        <v>1</v>
      </c>
      <c r="Z3473">
        <v>1</v>
      </c>
      <c r="AA3473">
        <v>1</v>
      </c>
      <c r="AB3473">
        <v>1</v>
      </c>
    </row>
    <row r="3474" spans="1:49" x14ac:dyDescent="0.25">
      <c r="A3474" t="str">
        <f>"3470"</f>
        <v>3470</v>
      </c>
      <c r="B3474" t="str">
        <f t="shared" si="198"/>
        <v>1</v>
      </c>
      <c r="C3474" t="str">
        <f t="shared" si="200"/>
        <v>152</v>
      </c>
      <c r="D3474" t="str">
        <f>"21"</f>
        <v>21</v>
      </c>
      <c r="E3474" t="str">
        <f>"1-152-21"</f>
        <v>1-152-21</v>
      </c>
      <c r="F3474" t="s">
        <v>83</v>
      </c>
      <c r="G3474" t="s">
        <v>88</v>
      </c>
      <c r="H3474" t="s">
        <v>89</v>
      </c>
      <c r="AC3474">
        <v>1</v>
      </c>
      <c r="AD3474">
        <v>0</v>
      </c>
      <c r="AE3474">
        <v>0</v>
      </c>
      <c r="AF3474">
        <v>0</v>
      </c>
      <c r="AH3474">
        <v>1</v>
      </c>
      <c r="AI3474">
        <v>0</v>
      </c>
      <c r="AJ3474">
        <v>0</v>
      </c>
      <c r="AK3474">
        <v>1</v>
      </c>
      <c r="AL3474">
        <v>1</v>
      </c>
      <c r="AM3474">
        <v>0</v>
      </c>
      <c r="AN3474">
        <v>0</v>
      </c>
      <c r="AO3474">
        <v>1</v>
      </c>
      <c r="AP3474">
        <v>1</v>
      </c>
      <c r="AQ3474">
        <v>1</v>
      </c>
      <c r="AR3474">
        <v>1</v>
      </c>
      <c r="AS3474">
        <v>1</v>
      </c>
      <c r="AT3474">
        <v>0</v>
      </c>
      <c r="AV3474">
        <v>1</v>
      </c>
      <c r="AW3474">
        <v>1</v>
      </c>
    </row>
    <row r="3475" spans="1:49" x14ac:dyDescent="0.25">
      <c r="A3475" t="str">
        <f>"3471"</f>
        <v>3471</v>
      </c>
      <c r="B3475" t="str">
        <f t="shared" si="198"/>
        <v>1</v>
      </c>
      <c r="C3475" t="str">
        <f t="shared" si="200"/>
        <v>152</v>
      </c>
      <c r="D3475" t="str">
        <f>"13"</f>
        <v>13</v>
      </c>
      <c r="E3475" t="str">
        <f>"1-152-13"</f>
        <v>1-152-13</v>
      </c>
      <c r="F3475" t="s">
        <v>83</v>
      </c>
      <c r="G3475" t="s">
        <v>84</v>
      </c>
      <c r="H3475" t="s">
        <v>92</v>
      </c>
      <c r="I3475">
        <v>1</v>
      </c>
      <c r="J3475">
        <v>1</v>
      </c>
      <c r="N3475">
        <v>1</v>
      </c>
      <c r="O3475">
        <v>1</v>
      </c>
      <c r="P3475">
        <v>1</v>
      </c>
      <c r="Q3475">
        <v>1</v>
      </c>
      <c r="R3475">
        <v>1</v>
      </c>
      <c r="S3475">
        <v>1</v>
      </c>
      <c r="T3475">
        <v>1</v>
      </c>
      <c r="W3475">
        <v>1</v>
      </c>
      <c r="X3475">
        <v>1</v>
      </c>
      <c r="Y3475">
        <v>1</v>
      </c>
      <c r="Z3475">
        <v>1</v>
      </c>
      <c r="AA3475">
        <v>1</v>
      </c>
      <c r="AB3475">
        <v>1</v>
      </c>
    </row>
    <row r="3476" spans="1:49" x14ac:dyDescent="0.25">
      <c r="A3476" t="str">
        <f>"3472"</f>
        <v>3472</v>
      </c>
      <c r="B3476" t="str">
        <f t="shared" si="198"/>
        <v>1</v>
      </c>
      <c r="C3476" t="str">
        <f t="shared" si="200"/>
        <v>152</v>
      </c>
      <c r="D3476" t="str">
        <f>"7"</f>
        <v>7</v>
      </c>
      <c r="E3476" t="str">
        <f>"1-152-7"</f>
        <v>1-152-7</v>
      </c>
      <c r="F3476" t="s">
        <v>83</v>
      </c>
      <c r="G3476" t="s">
        <v>84</v>
      </c>
      <c r="H3476" t="s">
        <v>85</v>
      </c>
      <c r="AC3476">
        <v>0</v>
      </c>
      <c r="AD3476">
        <v>1</v>
      </c>
      <c r="AE3476">
        <v>0</v>
      </c>
      <c r="AF3476">
        <v>0</v>
      </c>
      <c r="AG3476">
        <v>1</v>
      </c>
      <c r="AJ3476">
        <v>0</v>
      </c>
      <c r="AK3476">
        <v>1</v>
      </c>
      <c r="AL3476">
        <v>0</v>
      </c>
      <c r="AM3476">
        <v>0</v>
      </c>
      <c r="AN3476">
        <v>1</v>
      </c>
      <c r="AO3476">
        <v>1</v>
      </c>
      <c r="AP3476">
        <v>1</v>
      </c>
      <c r="AQ3476">
        <v>1</v>
      </c>
      <c r="AR3476">
        <v>1</v>
      </c>
      <c r="AS3476">
        <v>0</v>
      </c>
      <c r="AT3476">
        <v>1</v>
      </c>
      <c r="AV3476">
        <v>1</v>
      </c>
      <c r="AW3476">
        <v>1</v>
      </c>
    </row>
    <row r="3477" spans="1:49" x14ac:dyDescent="0.25">
      <c r="A3477" t="str">
        <f>"3473"</f>
        <v>3473</v>
      </c>
      <c r="B3477" t="str">
        <f t="shared" si="198"/>
        <v>1</v>
      </c>
      <c r="C3477" t="str">
        <f t="shared" si="200"/>
        <v>152</v>
      </c>
      <c r="D3477" t="str">
        <f>"17"</f>
        <v>17</v>
      </c>
      <c r="E3477" t="str">
        <f>"1-152-17"</f>
        <v>1-152-17</v>
      </c>
      <c r="F3477" t="s">
        <v>83</v>
      </c>
      <c r="G3477" t="s">
        <v>84</v>
      </c>
      <c r="H3477" t="s">
        <v>92</v>
      </c>
      <c r="I3477">
        <v>1</v>
      </c>
      <c r="J3477">
        <v>1</v>
      </c>
      <c r="N3477">
        <v>1</v>
      </c>
      <c r="O3477">
        <v>1</v>
      </c>
      <c r="P3477">
        <v>1</v>
      </c>
      <c r="Q3477">
        <v>1</v>
      </c>
      <c r="R3477">
        <v>1</v>
      </c>
      <c r="S3477">
        <v>1</v>
      </c>
      <c r="T3477">
        <v>1</v>
      </c>
      <c r="W3477">
        <v>1</v>
      </c>
      <c r="X3477">
        <v>1</v>
      </c>
      <c r="Y3477">
        <v>1</v>
      </c>
      <c r="Z3477">
        <v>1</v>
      </c>
      <c r="AA3477">
        <v>1</v>
      </c>
      <c r="AB3477">
        <v>1</v>
      </c>
    </row>
    <row r="3478" spans="1:49" x14ac:dyDescent="0.25">
      <c r="A3478" t="str">
        <f>"3474"</f>
        <v>3474</v>
      </c>
      <c r="B3478" t="str">
        <f t="shared" si="198"/>
        <v>1</v>
      </c>
      <c r="C3478" t="str">
        <f t="shared" si="200"/>
        <v>152</v>
      </c>
      <c r="D3478" t="str">
        <f>"2"</f>
        <v>2</v>
      </c>
      <c r="E3478" t="str">
        <f>"1-152-2"</f>
        <v>1-152-2</v>
      </c>
      <c r="F3478" t="s">
        <v>83</v>
      </c>
      <c r="G3478" t="s">
        <v>84</v>
      </c>
      <c r="H3478" t="s">
        <v>92</v>
      </c>
      <c r="I3478">
        <v>1</v>
      </c>
      <c r="J3478">
        <v>1</v>
      </c>
      <c r="N3478">
        <v>1</v>
      </c>
      <c r="O3478">
        <v>1</v>
      </c>
      <c r="P3478">
        <v>1</v>
      </c>
      <c r="Q3478">
        <v>1</v>
      </c>
      <c r="R3478">
        <v>1</v>
      </c>
      <c r="S3478">
        <v>1</v>
      </c>
      <c r="T3478">
        <v>1</v>
      </c>
      <c r="W3478">
        <v>1</v>
      </c>
      <c r="X3478">
        <v>1</v>
      </c>
      <c r="Y3478">
        <v>1</v>
      </c>
      <c r="Z3478">
        <v>1</v>
      </c>
      <c r="AA3478">
        <v>1</v>
      </c>
      <c r="AB3478">
        <v>1</v>
      </c>
    </row>
    <row r="3479" spans="1:49" x14ac:dyDescent="0.25">
      <c r="A3479" t="str">
        <f>"3475"</f>
        <v>3475</v>
      </c>
      <c r="B3479" t="str">
        <f t="shared" si="198"/>
        <v>1</v>
      </c>
      <c r="C3479" t="str">
        <f t="shared" si="200"/>
        <v>152</v>
      </c>
      <c r="D3479" t="str">
        <f>"19"</f>
        <v>19</v>
      </c>
      <c r="E3479" t="str">
        <f>"1-152-19"</f>
        <v>1-152-19</v>
      </c>
      <c r="F3479" t="s">
        <v>83</v>
      </c>
      <c r="G3479" t="s">
        <v>84</v>
      </c>
      <c r="H3479" t="s">
        <v>85</v>
      </c>
      <c r="AC3479">
        <v>0</v>
      </c>
      <c r="AD3479">
        <v>1</v>
      </c>
      <c r="AE3479">
        <v>0</v>
      </c>
      <c r="AF3479">
        <v>0</v>
      </c>
      <c r="AG3479">
        <v>1</v>
      </c>
      <c r="AJ3479">
        <v>0</v>
      </c>
      <c r="AK3479">
        <v>1</v>
      </c>
      <c r="AL3479">
        <v>0</v>
      </c>
      <c r="AM3479">
        <v>1</v>
      </c>
      <c r="AN3479">
        <v>0</v>
      </c>
      <c r="AO3479">
        <v>1</v>
      </c>
      <c r="AP3479">
        <v>1</v>
      </c>
      <c r="AQ3479">
        <v>1</v>
      </c>
      <c r="AR3479">
        <v>1</v>
      </c>
      <c r="AS3479">
        <v>0</v>
      </c>
      <c r="AT3479">
        <v>1</v>
      </c>
      <c r="AV3479">
        <v>1</v>
      </c>
      <c r="AW3479">
        <v>1</v>
      </c>
    </row>
    <row r="3480" spans="1:49" x14ac:dyDescent="0.25">
      <c r="A3480" t="str">
        <f>"3476"</f>
        <v>3476</v>
      </c>
      <c r="B3480" t="str">
        <f t="shared" si="198"/>
        <v>1</v>
      </c>
      <c r="C3480" t="str">
        <f t="shared" si="200"/>
        <v>152</v>
      </c>
      <c r="D3480" t="str">
        <f>"6"</f>
        <v>6</v>
      </c>
      <c r="E3480" t="str">
        <f>"1-152-6"</f>
        <v>1-152-6</v>
      </c>
      <c r="F3480" t="s">
        <v>83</v>
      </c>
      <c r="G3480" t="s">
        <v>88</v>
      </c>
      <c r="H3480" t="s">
        <v>95</v>
      </c>
      <c r="I3480">
        <v>1</v>
      </c>
      <c r="K3480">
        <v>0</v>
      </c>
      <c r="L3480">
        <v>0</v>
      </c>
      <c r="M3480">
        <v>1</v>
      </c>
      <c r="N3480">
        <v>1</v>
      </c>
      <c r="O3480">
        <v>1</v>
      </c>
      <c r="P3480">
        <v>1</v>
      </c>
      <c r="Q3480">
        <v>1</v>
      </c>
      <c r="R3480">
        <v>1</v>
      </c>
      <c r="S3480">
        <v>1</v>
      </c>
      <c r="T3480">
        <v>1</v>
      </c>
      <c r="W3480">
        <v>1</v>
      </c>
      <c r="X3480">
        <v>1</v>
      </c>
      <c r="Y3480">
        <v>1</v>
      </c>
      <c r="Z3480">
        <v>1</v>
      </c>
      <c r="AA3480">
        <v>1</v>
      </c>
      <c r="AB3480">
        <v>1</v>
      </c>
    </row>
    <row r="3481" spans="1:49" x14ac:dyDescent="0.25">
      <c r="A3481" t="str">
        <f>"3477"</f>
        <v>3477</v>
      </c>
      <c r="B3481" t="str">
        <f t="shared" si="198"/>
        <v>1</v>
      </c>
      <c r="C3481" t="str">
        <f t="shared" ref="C3481:C3505" si="201">"153"</f>
        <v>153</v>
      </c>
      <c r="D3481" t="str">
        <f>"23"</f>
        <v>23</v>
      </c>
      <c r="E3481" t="str">
        <f>"1-153-23"</f>
        <v>1-153-23</v>
      </c>
      <c r="F3481" t="s">
        <v>83</v>
      </c>
      <c r="G3481" t="s">
        <v>84</v>
      </c>
      <c r="H3481" t="s">
        <v>85</v>
      </c>
      <c r="AC3481">
        <v>1</v>
      </c>
      <c r="AD3481">
        <v>0</v>
      </c>
      <c r="AE3481">
        <v>0</v>
      </c>
      <c r="AF3481">
        <v>0</v>
      </c>
      <c r="AG3481">
        <v>1</v>
      </c>
      <c r="AJ3481">
        <v>0</v>
      </c>
      <c r="AK3481">
        <v>1</v>
      </c>
      <c r="AL3481">
        <v>0</v>
      </c>
      <c r="AM3481">
        <v>0</v>
      </c>
      <c r="AN3481">
        <v>1</v>
      </c>
      <c r="AO3481">
        <v>1</v>
      </c>
      <c r="AP3481">
        <v>1</v>
      </c>
      <c r="AQ3481">
        <v>1</v>
      </c>
      <c r="AR3481">
        <v>1</v>
      </c>
      <c r="AS3481">
        <v>1</v>
      </c>
      <c r="AT3481">
        <v>0</v>
      </c>
      <c r="AV3481">
        <v>1</v>
      </c>
      <c r="AW3481">
        <v>1</v>
      </c>
    </row>
    <row r="3482" spans="1:49" x14ac:dyDescent="0.25">
      <c r="A3482" t="str">
        <f>"3478"</f>
        <v>3478</v>
      </c>
      <c r="B3482" t="str">
        <f t="shared" si="198"/>
        <v>1</v>
      </c>
      <c r="C3482" t="str">
        <f t="shared" si="201"/>
        <v>153</v>
      </c>
      <c r="D3482" t="str">
        <f>"22"</f>
        <v>22</v>
      </c>
      <c r="E3482" t="str">
        <f>"1-153-22"</f>
        <v>1-153-22</v>
      </c>
      <c r="F3482" t="s">
        <v>83</v>
      </c>
      <c r="G3482" t="s">
        <v>84</v>
      </c>
      <c r="H3482" t="s">
        <v>92</v>
      </c>
      <c r="I3482">
        <v>1</v>
      </c>
      <c r="J3482">
        <v>1</v>
      </c>
      <c r="N3482">
        <v>1</v>
      </c>
      <c r="O3482">
        <v>1</v>
      </c>
      <c r="P3482">
        <v>1</v>
      </c>
      <c r="Q3482">
        <v>1</v>
      </c>
      <c r="R3482">
        <v>1</v>
      </c>
      <c r="S3482">
        <v>1</v>
      </c>
      <c r="T3482">
        <v>1</v>
      </c>
      <c r="W3482">
        <v>1</v>
      </c>
      <c r="X3482">
        <v>1</v>
      </c>
      <c r="Y3482">
        <v>1</v>
      </c>
      <c r="Z3482">
        <v>1</v>
      </c>
      <c r="AA3482">
        <v>1</v>
      </c>
      <c r="AB3482">
        <v>1</v>
      </c>
    </row>
    <row r="3483" spans="1:49" x14ac:dyDescent="0.25">
      <c r="A3483" t="str">
        <f>"3479"</f>
        <v>3479</v>
      </c>
      <c r="B3483" t="str">
        <f t="shared" si="198"/>
        <v>1</v>
      </c>
      <c r="C3483" t="str">
        <f t="shared" si="201"/>
        <v>153</v>
      </c>
      <c r="D3483" t="str">
        <f>"15"</f>
        <v>15</v>
      </c>
      <c r="E3483" t="str">
        <f>"1-153-15"</f>
        <v>1-153-15</v>
      </c>
      <c r="F3483" t="s">
        <v>83</v>
      </c>
      <c r="G3483" t="s">
        <v>84</v>
      </c>
      <c r="H3483" t="s">
        <v>85</v>
      </c>
      <c r="AC3483">
        <v>0</v>
      </c>
      <c r="AD3483">
        <v>1</v>
      </c>
      <c r="AE3483">
        <v>0</v>
      </c>
      <c r="AF3483">
        <v>0</v>
      </c>
      <c r="AG3483">
        <v>1</v>
      </c>
      <c r="AJ3483">
        <v>0</v>
      </c>
      <c r="AK3483">
        <v>1</v>
      </c>
      <c r="AL3483">
        <v>1</v>
      </c>
      <c r="AM3483">
        <v>0</v>
      </c>
      <c r="AN3483">
        <v>0</v>
      </c>
      <c r="AO3483">
        <v>1</v>
      </c>
      <c r="AP3483">
        <v>1</v>
      </c>
      <c r="AQ3483">
        <v>1</v>
      </c>
      <c r="AR3483">
        <v>1</v>
      </c>
      <c r="AS3483">
        <v>0</v>
      </c>
      <c r="AT3483">
        <v>1</v>
      </c>
      <c r="AV3483">
        <v>1</v>
      </c>
      <c r="AW3483">
        <v>1</v>
      </c>
    </row>
    <row r="3484" spans="1:49" x14ac:dyDescent="0.25">
      <c r="A3484" t="str">
        <f>"3480"</f>
        <v>3480</v>
      </c>
      <c r="B3484" t="str">
        <f t="shared" si="198"/>
        <v>1</v>
      </c>
      <c r="C3484" t="str">
        <f t="shared" si="201"/>
        <v>153</v>
      </c>
      <c r="D3484" t="str">
        <f>"14"</f>
        <v>14</v>
      </c>
      <c r="E3484" t="str">
        <f>"1-153-14"</f>
        <v>1-153-14</v>
      </c>
      <c r="F3484" t="s">
        <v>83</v>
      </c>
      <c r="G3484" t="s">
        <v>84</v>
      </c>
      <c r="H3484" t="s">
        <v>85</v>
      </c>
      <c r="AC3484">
        <v>1</v>
      </c>
      <c r="AD3484">
        <v>0</v>
      </c>
      <c r="AE3484">
        <v>0</v>
      </c>
      <c r="AF3484">
        <v>0</v>
      </c>
      <c r="AG3484">
        <v>0</v>
      </c>
      <c r="AJ3484">
        <v>1</v>
      </c>
      <c r="AK3484">
        <v>0</v>
      </c>
      <c r="AL3484">
        <v>1</v>
      </c>
      <c r="AM3484">
        <v>0</v>
      </c>
      <c r="AN3484">
        <v>0</v>
      </c>
      <c r="AO3484">
        <v>0</v>
      </c>
      <c r="AP3484">
        <v>0</v>
      </c>
      <c r="AQ3484">
        <v>0</v>
      </c>
      <c r="AR3484">
        <v>0</v>
      </c>
      <c r="AS3484">
        <v>0</v>
      </c>
      <c r="AT3484">
        <v>0</v>
      </c>
      <c r="AV3484">
        <v>0</v>
      </c>
      <c r="AW3484">
        <v>1</v>
      </c>
    </row>
    <row r="3485" spans="1:49" x14ac:dyDescent="0.25">
      <c r="A3485" t="str">
        <f>"3481"</f>
        <v>3481</v>
      </c>
      <c r="B3485" t="str">
        <f t="shared" si="198"/>
        <v>1</v>
      </c>
      <c r="C3485" t="str">
        <f t="shared" si="201"/>
        <v>153</v>
      </c>
      <c r="D3485" t="str">
        <f>"11"</f>
        <v>11</v>
      </c>
      <c r="E3485" t="str">
        <f>"1-153-11"</f>
        <v>1-153-11</v>
      </c>
      <c r="F3485" t="s">
        <v>83</v>
      </c>
      <c r="G3485" t="s">
        <v>84</v>
      </c>
      <c r="H3485" t="s">
        <v>92</v>
      </c>
      <c r="I3485">
        <v>1</v>
      </c>
      <c r="J3485">
        <v>1</v>
      </c>
      <c r="N3485">
        <v>1</v>
      </c>
      <c r="O3485">
        <v>1</v>
      </c>
      <c r="P3485">
        <v>1</v>
      </c>
      <c r="Q3485">
        <v>1</v>
      </c>
      <c r="R3485">
        <v>1</v>
      </c>
      <c r="S3485">
        <v>1</v>
      </c>
      <c r="T3485">
        <v>1</v>
      </c>
      <c r="W3485">
        <v>1</v>
      </c>
      <c r="X3485">
        <v>1</v>
      </c>
      <c r="Y3485">
        <v>1</v>
      </c>
      <c r="Z3485">
        <v>1</v>
      </c>
      <c r="AA3485">
        <v>1</v>
      </c>
      <c r="AB3485">
        <v>1</v>
      </c>
    </row>
    <row r="3486" spans="1:49" x14ac:dyDescent="0.25">
      <c r="A3486" t="str">
        <f>"3482"</f>
        <v>3482</v>
      </c>
      <c r="B3486" t="str">
        <f t="shared" ref="B3486:B3549" si="202">"1"</f>
        <v>1</v>
      </c>
      <c r="C3486" t="str">
        <f t="shared" si="201"/>
        <v>153</v>
      </c>
      <c r="D3486" t="str">
        <f>"8"</f>
        <v>8</v>
      </c>
      <c r="E3486" t="str">
        <f>"1-153-8"</f>
        <v>1-153-8</v>
      </c>
      <c r="F3486" t="s">
        <v>83</v>
      </c>
      <c r="G3486" t="s">
        <v>84</v>
      </c>
      <c r="H3486" t="s">
        <v>85</v>
      </c>
      <c r="AC3486">
        <v>1</v>
      </c>
      <c r="AD3486">
        <v>0</v>
      </c>
      <c r="AE3486">
        <v>0</v>
      </c>
      <c r="AF3486">
        <v>0</v>
      </c>
      <c r="AG3486">
        <v>0</v>
      </c>
      <c r="AJ3486">
        <v>0</v>
      </c>
      <c r="AK3486">
        <v>1</v>
      </c>
      <c r="AL3486">
        <v>1</v>
      </c>
      <c r="AM3486">
        <v>0</v>
      </c>
      <c r="AN3486">
        <v>0</v>
      </c>
      <c r="AO3486">
        <v>0</v>
      </c>
      <c r="AP3486">
        <v>0</v>
      </c>
      <c r="AQ3486">
        <v>0</v>
      </c>
      <c r="AR3486">
        <v>0</v>
      </c>
      <c r="AS3486">
        <v>0</v>
      </c>
      <c r="AT3486">
        <v>1</v>
      </c>
      <c r="AV3486">
        <v>0</v>
      </c>
      <c r="AW3486">
        <v>1</v>
      </c>
    </row>
    <row r="3487" spans="1:49" x14ac:dyDescent="0.25">
      <c r="A3487" t="str">
        <f>"3483"</f>
        <v>3483</v>
      </c>
      <c r="B3487" t="str">
        <f t="shared" si="202"/>
        <v>1</v>
      </c>
      <c r="C3487" t="str">
        <f t="shared" si="201"/>
        <v>153</v>
      </c>
      <c r="D3487" t="str">
        <f>"4"</f>
        <v>4</v>
      </c>
      <c r="E3487" t="str">
        <f>"1-153-4"</f>
        <v>1-153-4</v>
      </c>
      <c r="F3487" t="s">
        <v>83</v>
      </c>
      <c r="G3487" t="s">
        <v>84</v>
      </c>
      <c r="H3487" t="s">
        <v>85</v>
      </c>
      <c r="AC3487">
        <v>1</v>
      </c>
      <c r="AD3487">
        <v>0</v>
      </c>
      <c r="AE3487">
        <v>0</v>
      </c>
      <c r="AF3487">
        <v>0</v>
      </c>
      <c r="AG3487">
        <v>0</v>
      </c>
      <c r="AJ3487">
        <v>1</v>
      </c>
      <c r="AK3487">
        <v>0</v>
      </c>
      <c r="AL3487">
        <v>1</v>
      </c>
      <c r="AM3487">
        <v>0</v>
      </c>
      <c r="AN3487">
        <v>0</v>
      </c>
      <c r="AO3487">
        <v>1</v>
      </c>
      <c r="AP3487">
        <v>1</v>
      </c>
      <c r="AQ3487">
        <v>1</v>
      </c>
      <c r="AR3487">
        <v>1</v>
      </c>
      <c r="AS3487">
        <v>0</v>
      </c>
      <c r="AT3487">
        <v>1</v>
      </c>
      <c r="AV3487">
        <v>1</v>
      </c>
      <c r="AW3487">
        <v>1</v>
      </c>
    </row>
    <row r="3488" spans="1:49" x14ac:dyDescent="0.25">
      <c r="A3488" t="str">
        <f>"3484"</f>
        <v>3484</v>
      </c>
      <c r="B3488" t="str">
        <f t="shared" si="202"/>
        <v>1</v>
      </c>
      <c r="C3488" t="str">
        <f t="shared" si="201"/>
        <v>153</v>
      </c>
      <c r="D3488" t="str">
        <f>"19"</f>
        <v>19</v>
      </c>
      <c r="E3488" t="str">
        <f>"1-153-19"</f>
        <v>1-153-19</v>
      </c>
      <c r="F3488" t="s">
        <v>83</v>
      </c>
      <c r="G3488" t="s">
        <v>84</v>
      </c>
      <c r="H3488" t="s">
        <v>85</v>
      </c>
      <c r="AC3488">
        <v>0</v>
      </c>
      <c r="AD3488">
        <v>1</v>
      </c>
      <c r="AE3488">
        <v>0</v>
      </c>
      <c r="AF3488">
        <v>0</v>
      </c>
      <c r="AG3488">
        <v>0</v>
      </c>
      <c r="AJ3488">
        <v>0</v>
      </c>
      <c r="AK3488">
        <v>1</v>
      </c>
      <c r="AL3488">
        <v>0</v>
      </c>
      <c r="AM3488">
        <v>0</v>
      </c>
      <c r="AN3488">
        <v>1</v>
      </c>
      <c r="AO3488">
        <v>0</v>
      </c>
      <c r="AP3488">
        <v>0</v>
      </c>
      <c r="AQ3488">
        <v>0</v>
      </c>
      <c r="AR3488">
        <v>0</v>
      </c>
      <c r="AS3488">
        <v>0</v>
      </c>
      <c r="AT3488">
        <v>1</v>
      </c>
      <c r="AV3488">
        <v>0</v>
      </c>
      <c r="AW3488">
        <v>0</v>
      </c>
    </row>
    <row r="3489" spans="1:49" x14ac:dyDescent="0.25">
      <c r="A3489" t="str">
        <f>"3485"</f>
        <v>3485</v>
      </c>
      <c r="B3489" t="str">
        <f t="shared" si="202"/>
        <v>1</v>
      </c>
      <c r="C3489" t="str">
        <f t="shared" si="201"/>
        <v>153</v>
      </c>
      <c r="D3489" t="str">
        <f>"9"</f>
        <v>9</v>
      </c>
      <c r="E3489" t="str">
        <f>"1-153-9"</f>
        <v>1-153-9</v>
      </c>
      <c r="F3489" t="s">
        <v>83</v>
      </c>
      <c r="G3489" t="s">
        <v>84</v>
      </c>
      <c r="H3489" t="s">
        <v>85</v>
      </c>
      <c r="AC3489">
        <v>1</v>
      </c>
      <c r="AD3489">
        <v>0</v>
      </c>
      <c r="AE3489">
        <v>0</v>
      </c>
      <c r="AF3489">
        <v>0</v>
      </c>
      <c r="AG3489">
        <v>0</v>
      </c>
      <c r="AJ3489">
        <v>0</v>
      </c>
      <c r="AK3489">
        <v>1</v>
      </c>
      <c r="AL3489">
        <v>0</v>
      </c>
      <c r="AM3489">
        <v>0</v>
      </c>
      <c r="AN3489">
        <v>1</v>
      </c>
      <c r="AO3489">
        <v>0</v>
      </c>
      <c r="AP3489">
        <v>0</v>
      </c>
      <c r="AQ3489">
        <v>0</v>
      </c>
      <c r="AR3489">
        <v>0</v>
      </c>
      <c r="AS3489">
        <v>1</v>
      </c>
      <c r="AT3489">
        <v>0</v>
      </c>
      <c r="AV3489">
        <v>0</v>
      </c>
      <c r="AW3489">
        <v>0</v>
      </c>
    </row>
    <row r="3490" spans="1:49" x14ac:dyDescent="0.25">
      <c r="A3490" t="str">
        <f>"3486"</f>
        <v>3486</v>
      </c>
      <c r="B3490" t="str">
        <f t="shared" si="202"/>
        <v>1</v>
      </c>
      <c r="C3490" t="str">
        <f t="shared" si="201"/>
        <v>153</v>
      </c>
      <c r="D3490" t="str">
        <f>"1"</f>
        <v>1</v>
      </c>
      <c r="E3490" t="str">
        <f>"1-153-1"</f>
        <v>1-153-1</v>
      </c>
      <c r="F3490" t="s">
        <v>83</v>
      </c>
      <c r="G3490" t="s">
        <v>84</v>
      </c>
      <c r="H3490" t="s">
        <v>92</v>
      </c>
      <c r="I3490">
        <v>1</v>
      </c>
      <c r="J3490">
        <v>1</v>
      </c>
      <c r="N3490">
        <v>1</v>
      </c>
      <c r="O3490">
        <v>1</v>
      </c>
      <c r="P3490">
        <v>1</v>
      </c>
      <c r="Q3490">
        <v>1</v>
      </c>
      <c r="R3490">
        <v>1</v>
      </c>
      <c r="S3490">
        <v>1</v>
      </c>
      <c r="T3490">
        <v>1</v>
      </c>
      <c r="W3490">
        <v>1</v>
      </c>
      <c r="X3490">
        <v>1</v>
      </c>
      <c r="Y3490">
        <v>1</v>
      </c>
      <c r="Z3490">
        <v>1</v>
      </c>
      <c r="AA3490">
        <v>1</v>
      </c>
      <c r="AB3490">
        <v>1</v>
      </c>
    </row>
    <row r="3491" spans="1:49" x14ac:dyDescent="0.25">
      <c r="A3491" t="str">
        <f>"3487"</f>
        <v>3487</v>
      </c>
      <c r="B3491" t="str">
        <f t="shared" si="202"/>
        <v>1</v>
      </c>
      <c r="C3491" t="str">
        <f t="shared" si="201"/>
        <v>153</v>
      </c>
      <c r="D3491" t="str">
        <f>"25"</f>
        <v>25</v>
      </c>
      <c r="E3491" t="str">
        <f>"1-153-25"</f>
        <v>1-153-25</v>
      </c>
      <c r="F3491" t="s">
        <v>83</v>
      </c>
      <c r="G3491" t="s">
        <v>84</v>
      </c>
      <c r="H3491" t="s">
        <v>85</v>
      </c>
      <c r="AC3491">
        <v>0</v>
      </c>
      <c r="AD3491">
        <v>1</v>
      </c>
      <c r="AE3491">
        <v>0</v>
      </c>
      <c r="AF3491">
        <v>0</v>
      </c>
      <c r="AG3491">
        <v>0</v>
      </c>
      <c r="AJ3491">
        <v>0</v>
      </c>
      <c r="AK3491">
        <v>0</v>
      </c>
      <c r="AL3491">
        <v>0</v>
      </c>
      <c r="AM3491">
        <v>0</v>
      </c>
      <c r="AN3491">
        <v>0</v>
      </c>
      <c r="AO3491">
        <v>0</v>
      </c>
      <c r="AP3491">
        <v>0</v>
      </c>
      <c r="AQ3491">
        <v>0</v>
      </c>
      <c r="AR3491">
        <v>0</v>
      </c>
      <c r="AS3491">
        <v>0</v>
      </c>
      <c r="AT3491">
        <v>0</v>
      </c>
      <c r="AV3491">
        <v>0</v>
      </c>
      <c r="AW3491">
        <v>1</v>
      </c>
    </row>
    <row r="3492" spans="1:49" x14ac:dyDescent="0.25">
      <c r="A3492" t="str">
        <f>"3488"</f>
        <v>3488</v>
      </c>
      <c r="B3492" t="str">
        <f t="shared" si="202"/>
        <v>1</v>
      </c>
      <c r="C3492" t="str">
        <f t="shared" si="201"/>
        <v>153</v>
      </c>
      <c r="D3492" t="str">
        <f>"24"</f>
        <v>24</v>
      </c>
      <c r="E3492" t="str">
        <f>"1-153-24"</f>
        <v>1-153-24</v>
      </c>
      <c r="F3492" t="s">
        <v>83</v>
      </c>
      <c r="G3492" t="s">
        <v>84</v>
      </c>
      <c r="H3492" t="s">
        <v>85</v>
      </c>
      <c r="AC3492">
        <v>0</v>
      </c>
      <c r="AD3492">
        <v>1</v>
      </c>
      <c r="AE3492">
        <v>0</v>
      </c>
      <c r="AF3492">
        <v>0</v>
      </c>
      <c r="AG3492">
        <v>0</v>
      </c>
      <c r="AJ3492">
        <v>0</v>
      </c>
      <c r="AK3492">
        <v>1</v>
      </c>
      <c r="AL3492">
        <v>0</v>
      </c>
      <c r="AM3492">
        <v>0</v>
      </c>
      <c r="AN3492">
        <v>1</v>
      </c>
      <c r="AO3492">
        <v>0</v>
      </c>
      <c r="AP3492">
        <v>0</v>
      </c>
      <c r="AQ3492">
        <v>0</v>
      </c>
      <c r="AR3492">
        <v>0</v>
      </c>
      <c r="AS3492">
        <v>0</v>
      </c>
      <c r="AT3492">
        <v>1</v>
      </c>
      <c r="AV3492">
        <v>0</v>
      </c>
      <c r="AW3492">
        <v>1</v>
      </c>
    </row>
    <row r="3493" spans="1:49" x14ac:dyDescent="0.25">
      <c r="A3493" t="str">
        <f>"3489"</f>
        <v>3489</v>
      </c>
      <c r="B3493" t="str">
        <f t="shared" si="202"/>
        <v>1</v>
      </c>
      <c r="C3493" t="str">
        <f t="shared" si="201"/>
        <v>153</v>
      </c>
      <c r="D3493" t="str">
        <f>"16"</f>
        <v>16</v>
      </c>
      <c r="E3493" t="str">
        <f>"1-153-16"</f>
        <v>1-153-16</v>
      </c>
      <c r="F3493" t="s">
        <v>83</v>
      </c>
      <c r="G3493" t="s">
        <v>84</v>
      </c>
      <c r="H3493" t="s">
        <v>92</v>
      </c>
      <c r="I3493">
        <v>1</v>
      </c>
      <c r="J3493">
        <v>1</v>
      </c>
      <c r="N3493">
        <v>1</v>
      </c>
      <c r="O3493">
        <v>1</v>
      </c>
      <c r="P3493">
        <v>1</v>
      </c>
      <c r="Q3493">
        <v>1</v>
      </c>
      <c r="R3493">
        <v>1</v>
      </c>
      <c r="S3493">
        <v>1</v>
      </c>
      <c r="T3493">
        <v>1</v>
      </c>
      <c r="W3493">
        <v>1</v>
      </c>
      <c r="X3493">
        <v>1</v>
      </c>
      <c r="Y3493">
        <v>1</v>
      </c>
      <c r="Z3493">
        <v>1</v>
      </c>
      <c r="AA3493">
        <v>1</v>
      </c>
      <c r="AB3493">
        <v>1</v>
      </c>
    </row>
    <row r="3494" spans="1:49" x14ac:dyDescent="0.25">
      <c r="A3494" t="str">
        <f>"3490"</f>
        <v>3490</v>
      </c>
      <c r="B3494" t="str">
        <f t="shared" si="202"/>
        <v>1</v>
      </c>
      <c r="C3494" t="str">
        <f t="shared" si="201"/>
        <v>153</v>
      </c>
      <c r="D3494" t="str">
        <f>"10"</f>
        <v>10</v>
      </c>
      <c r="E3494" t="str">
        <f>"1-153-10"</f>
        <v>1-153-10</v>
      </c>
      <c r="F3494" t="s">
        <v>83</v>
      </c>
      <c r="G3494" t="s">
        <v>84</v>
      </c>
      <c r="H3494" t="s">
        <v>92</v>
      </c>
      <c r="I3494">
        <v>1</v>
      </c>
      <c r="J3494">
        <v>1</v>
      </c>
      <c r="N3494">
        <v>1</v>
      </c>
      <c r="O3494">
        <v>1</v>
      </c>
      <c r="P3494">
        <v>1</v>
      </c>
      <c r="Q3494">
        <v>1</v>
      </c>
      <c r="R3494">
        <v>1</v>
      </c>
      <c r="S3494">
        <v>1</v>
      </c>
      <c r="T3494">
        <v>1</v>
      </c>
      <c r="W3494">
        <v>1</v>
      </c>
      <c r="X3494">
        <v>1</v>
      </c>
      <c r="Y3494">
        <v>1</v>
      </c>
      <c r="Z3494">
        <v>1</v>
      </c>
      <c r="AA3494">
        <v>1</v>
      </c>
      <c r="AB3494">
        <v>1</v>
      </c>
    </row>
    <row r="3495" spans="1:49" x14ac:dyDescent="0.25">
      <c r="A3495" t="str">
        <f>"3491"</f>
        <v>3491</v>
      </c>
      <c r="B3495" t="str">
        <f t="shared" si="202"/>
        <v>1</v>
      </c>
      <c r="C3495" t="str">
        <f t="shared" si="201"/>
        <v>153</v>
      </c>
      <c r="D3495" t="str">
        <f>"7"</f>
        <v>7</v>
      </c>
      <c r="E3495" t="str">
        <f>"1-153-7"</f>
        <v>1-153-7</v>
      </c>
      <c r="F3495" t="s">
        <v>83</v>
      </c>
      <c r="G3495" t="s">
        <v>84</v>
      </c>
      <c r="H3495" t="s">
        <v>85</v>
      </c>
      <c r="AC3495">
        <v>0</v>
      </c>
      <c r="AD3495">
        <v>1</v>
      </c>
      <c r="AE3495">
        <v>0</v>
      </c>
      <c r="AF3495">
        <v>0</v>
      </c>
      <c r="AG3495">
        <v>0</v>
      </c>
      <c r="AJ3495">
        <v>0</v>
      </c>
      <c r="AK3495">
        <v>1</v>
      </c>
      <c r="AL3495">
        <v>1</v>
      </c>
      <c r="AM3495">
        <v>0</v>
      </c>
      <c r="AN3495">
        <v>0</v>
      </c>
      <c r="AO3495">
        <v>1</v>
      </c>
      <c r="AP3495">
        <v>1</v>
      </c>
      <c r="AQ3495">
        <v>1</v>
      </c>
      <c r="AR3495">
        <v>1</v>
      </c>
      <c r="AS3495">
        <v>1</v>
      </c>
      <c r="AT3495">
        <v>0</v>
      </c>
      <c r="AV3495">
        <v>1</v>
      </c>
      <c r="AW3495">
        <v>1</v>
      </c>
    </row>
    <row r="3496" spans="1:49" x14ac:dyDescent="0.25">
      <c r="A3496" t="str">
        <f>"3492"</f>
        <v>3492</v>
      </c>
      <c r="B3496" t="str">
        <f t="shared" si="202"/>
        <v>1</v>
      </c>
      <c r="C3496" t="str">
        <f t="shared" si="201"/>
        <v>153</v>
      </c>
      <c r="D3496" t="str">
        <f>"20"</f>
        <v>20</v>
      </c>
      <c r="E3496" t="str">
        <f>"1-153-20"</f>
        <v>1-153-20</v>
      </c>
      <c r="F3496" t="s">
        <v>83</v>
      </c>
      <c r="G3496" t="s">
        <v>84</v>
      </c>
      <c r="H3496" t="s">
        <v>85</v>
      </c>
      <c r="AC3496">
        <v>0</v>
      </c>
      <c r="AD3496">
        <v>1</v>
      </c>
      <c r="AE3496">
        <v>0</v>
      </c>
      <c r="AF3496">
        <v>0</v>
      </c>
      <c r="AG3496">
        <v>1</v>
      </c>
      <c r="AJ3496">
        <v>1</v>
      </c>
      <c r="AK3496">
        <v>0</v>
      </c>
      <c r="AL3496">
        <v>0</v>
      </c>
      <c r="AM3496">
        <v>1</v>
      </c>
      <c r="AN3496">
        <v>0</v>
      </c>
      <c r="AO3496">
        <v>1</v>
      </c>
      <c r="AP3496">
        <v>1</v>
      </c>
      <c r="AQ3496">
        <v>1</v>
      </c>
      <c r="AR3496">
        <v>1</v>
      </c>
      <c r="AS3496">
        <v>0</v>
      </c>
      <c r="AT3496">
        <v>1</v>
      </c>
      <c r="AV3496">
        <v>1</v>
      </c>
      <c r="AW3496">
        <v>1</v>
      </c>
    </row>
    <row r="3497" spans="1:49" x14ac:dyDescent="0.25">
      <c r="A3497" t="str">
        <f>"3493"</f>
        <v>3493</v>
      </c>
      <c r="B3497" t="str">
        <f t="shared" si="202"/>
        <v>1</v>
      </c>
      <c r="C3497" t="str">
        <f t="shared" si="201"/>
        <v>153</v>
      </c>
      <c r="D3497" t="str">
        <f>"12"</f>
        <v>12</v>
      </c>
      <c r="E3497" t="str">
        <f>"1-153-12"</f>
        <v>1-153-12</v>
      </c>
      <c r="F3497" t="s">
        <v>83</v>
      </c>
      <c r="G3497" t="s">
        <v>84</v>
      </c>
      <c r="H3497" t="s">
        <v>85</v>
      </c>
      <c r="AC3497">
        <v>0</v>
      </c>
      <c r="AD3497">
        <v>1</v>
      </c>
      <c r="AE3497">
        <v>0</v>
      </c>
      <c r="AF3497">
        <v>0</v>
      </c>
      <c r="AG3497">
        <v>0</v>
      </c>
      <c r="AJ3497">
        <v>1</v>
      </c>
      <c r="AK3497">
        <v>0</v>
      </c>
      <c r="AL3497">
        <v>1</v>
      </c>
      <c r="AM3497">
        <v>0</v>
      </c>
      <c r="AN3497">
        <v>0</v>
      </c>
      <c r="AO3497">
        <v>0</v>
      </c>
      <c r="AP3497">
        <v>0</v>
      </c>
      <c r="AQ3497">
        <v>0</v>
      </c>
      <c r="AR3497">
        <v>0</v>
      </c>
      <c r="AS3497">
        <v>0</v>
      </c>
      <c r="AT3497">
        <v>1</v>
      </c>
      <c r="AV3497">
        <v>1</v>
      </c>
      <c r="AW3497">
        <v>0</v>
      </c>
    </row>
    <row r="3498" spans="1:49" x14ac:dyDescent="0.25">
      <c r="A3498" t="str">
        <f>"3494"</f>
        <v>3494</v>
      </c>
      <c r="B3498" t="str">
        <f t="shared" si="202"/>
        <v>1</v>
      </c>
      <c r="C3498" t="str">
        <f t="shared" si="201"/>
        <v>153</v>
      </c>
      <c r="D3498" t="str">
        <f>"6"</f>
        <v>6</v>
      </c>
      <c r="E3498" t="str">
        <f>"1-153-6"</f>
        <v>1-153-6</v>
      </c>
      <c r="F3498" t="s">
        <v>83</v>
      </c>
      <c r="G3498" t="s">
        <v>84</v>
      </c>
      <c r="H3498" t="s">
        <v>92</v>
      </c>
      <c r="I3498">
        <v>1</v>
      </c>
      <c r="J3498">
        <v>1</v>
      </c>
      <c r="N3498">
        <v>1</v>
      </c>
      <c r="O3498">
        <v>1</v>
      </c>
      <c r="P3498">
        <v>1</v>
      </c>
      <c r="Q3498">
        <v>1</v>
      </c>
      <c r="R3498">
        <v>1</v>
      </c>
      <c r="S3498">
        <v>1</v>
      </c>
      <c r="T3498">
        <v>1</v>
      </c>
      <c r="W3498">
        <v>1</v>
      </c>
      <c r="X3498">
        <v>1</v>
      </c>
      <c r="Y3498">
        <v>1</v>
      </c>
      <c r="Z3498">
        <v>1</v>
      </c>
      <c r="AA3498">
        <v>1</v>
      </c>
      <c r="AB3498">
        <v>1</v>
      </c>
    </row>
    <row r="3499" spans="1:49" x14ac:dyDescent="0.25">
      <c r="A3499" t="str">
        <f>"3495"</f>
        <v>3495</v>
      </c>
      <c r="B3499" t="str">
        <f t="shared" si="202"/>
        <v>1</v>
      </c>
      <c r="C3499" t="str">
        <f t="shared" si="201"/>
        <v>153</v>
      </c>
      <c r="D3499" t="str">
        <f>"21"</f>
        <v>21</v>
      </c>
      <c r="E3499" t="str">
        <f>"1-153-21"</f>
        <v>1-153-21</v>
      </c>
      <c r="F3499" t="s">
        <v>83</v>
      </c>
      <c r="G3499" t="s">
        <v>84</v>
      </c>
      <c r="H3499" t="s">
        <v>85</v>
      </c>
      <c r="AC3499">
        <v>0</v>
      </c>
      <c r="AD3499">
        <v>1</v>
      </c>
      <c r="AE3499">
        <v>0</v>
      </c>
      <c r="AF3499">
        <v>0</v>
      </c>
      <c r="AG3499">
        <v>1</v>
      </c>
      <c r="AJ3499">
        <v>0</v>
      </c>
      <c r="AK3499">
        <v>1</v>
      </c>
      <c r="AL3499">
        <v>0</v>
      </c>
      <c r="AM3499">
        <v>0</v>
      </c>
      <c r="AN3499">
        <v>1</v>
      </c>
      <c r="AO3499">
        <v>1</v>
      </c>
      <c r="AP3499">
        <v>1</v>
      </c>
      <c r="AQ3499">
        <v>1</v>
      </c>
      <c r="AR3499">
        <v>1</v>
      </c>
      <c r="AS3499">
        <v>0</v>
      </c>
      <c r="AT3499">
        <v>1</v>
      </c>
      <c r="AV3499">
        <v>1</v>
      </c>
      <c r="AW3499">
        <v>1</v>
      </c>
    </row>
    <row r="3500" spans="1:49" x14ac:dyDescent="0.25">
      <c r="A3500" t="str">
        <f>"3496"</f>
        <v>3496</v>
      </c>
      <c r="B3500" t="str">
        <f t="shared" si="202"/>
        <v>1</v>
      </c>
      <c r="C3500" t="str">
        <f t="shared" si="201"/>
        <v>153</v>
      </c>
      <c r="D3500" t="str">
        <f>"13"</f>
        <v>13</v>
      </c>
      <c r="E3500" t="str">
        <f>"1-153-13"</f>
        <v>1-153-13</v>
      </c>
      <c r="F3500" t="s">
        <v>83</v>
      </c>
      <c r="G3500" t="s">
        <v>84</v>
      </c>
      <c r="H3500" t="s">
        <v>85</v>
      </c>
      <c r="AC3500">
        <v>0</v>
      </c>
      <c r="AD3500">
        <v>1</v>
      </c>
      <c r="AE3500">
        <v>0</v>
      </c>
      <c r="AF3500">
        <v>0</v>
      </c>
      <c r="AG3500">
        <v>1</v>
      </c>
      <c r="AJ3500">
        <v>0</v>
      </c>
      <c r="AK3500">
        <v>1</v>
      </c>
      <c r="AL3500">
        <v>0</v>
      </c>
      <c r="AM3500">
        <v>0</v>
      </c>
      <c r="AN3500">
        <v>1</v>
      </c>
      <c r="AO3500">
        <v>0</v>
      </c>
      <c r="AP3500">
        <v>0</v>
      </c>
      <c r="AQ3500">
        <v>0</v>
      </c>
      <c r="AR3500">
        <v>1</v>
      </c>
      <c r="AS3500">
        <v>0</v>
      </c>
      <c r="AT3500">
        <v>1</v>
      </c>
      <c r="AV3500">
        <v>1</v>
      </c>
      <c r="AW3500">
        <v>1</v>
      </c>
    </row>
    <row r="3501" spans="1:49" x14ac:dyDescent="0.25">
      <c r="A3501" t="str">
        <f>"3497"</f>
        <v>3497</v>
      </c>
      <c r="B3501" t="str">
        <f t="shared" si="202"/>
        <v>1</v>
      </c>
      <c r="C3501" t="str">
        <f t="shared" si="201"/>
        <v>153</v>
      </c>
      <c r="D3501" t="str">
        <f>"3"</f>
        <v>3</v>
      </c>
      <c r="E3501" t="str">
        <f>"1-153-3"</f>
        <v>1-153-3</v>
      </c>
      <c r="F3501" t="s">
        <v>83</v>
      </c>
      <c r="G3501" t="s">
        <v>84</v>
      </c>
      <c r="H3501" t="s">
        <v>92</v>
      </c>
      <c r="I3501">
        <v>1</v>
      </c>
      <c r="J3501">
        <v>1</v>
      </c>
      <c r="N3501">
        <v>1</v>
      </c>
      <c r="O3501">
        <v>1</v>
      </c>
      <c r="P3501">
        <v>1</v>
      </c>
      <c r="Q3501">
        <v>1</v>
      </c>
      <c r="R3501">
        <v>1</v>
      </c>
      <c r="S3501">
        <v>1</v>
      </c>
      <c r="T3501">
        <v>1</v>
      </c>
      <c r="W3501">
        <v>0</v>
      </c>
      <c r="X3501">
        <v>1</v>
      </c>
      <c r="Y3501">
        <v>1</v>
      </c>
      <c r="Z3501">
        <v>1</v>
      </c>
      <c r="AA3501">
        <v>1</v>
      </c>
      <c r="AB3501">
        <v>1</v>
      </c>
    </row>
    <row r="3502" spans="1:49" x14ac:dyDescent="0.25">
      <c r="A3502" t="str">
        <f>"3498"</f>
        <v>3498</v>
      </c>
      <c r="B3502" t="str">
        <f t="shared" si="202"/>
        <v>1</v>
      </c>
      <c r="C3502" t="str">
        <f t="shared" si="201"/>
        <v>153</v>
      </c>
      <c r="D3502" t="str">
        <f>"17"</f>
        <v>17</v>
      </c>
      <c r="E3502" t="str">
        <f>"1-153-17"</f>
        <v>1-153-17</v>
      </c>
      <c r="F3502" t="s">
        <v>83</v>
      </c>
      <c r="G3502" t="s">
        <v>84</v>
      </c>
      <c r="H3502" t="s">
        <v>85</v>
      </c>
      <c r="AC3502">
        <v>0</v>
      </c>
      <c r="AD3502">
        <v>1</v>
      </c>
      <c r="AE3502">
        <v>0</v>
      </c>
      <c r="AF3502">
        <v>0</v>
      </c>
      <c r="AG3502">
        <v>0</v>
      </c>
      <c r="AJ3502">
        <v>0</v>
      </c>
      <c r="AK3502">
        <v>1</v>
      </c>
      <c r="AL3502">
        <v>0</v>
      </c>
      <c r="AM3502">
        <v>0</v>
      </c>
      <c r="AN3502">
        <v>1</v>
      </c>
      <c r="AO3502">
        <v>0</v>
      </c>
      <c r="AP3502">
        <v>0</v>
      </c>
      <c r="AQ3502">
        <v>0</v>
      </c>
      <c r="AR3502">
        <v>0</v>
      </c>
      <c r="AS3502">
        <v>1</v>
      </c>
      <c r="AT3502">
        <v>0</v>
      </c>
      <c r="AV3502">
        <v>0</v>
      </c>
      <c r="AW3502">
        <v>0</v>
      </c>
    </row>
    <row r="3503" spans="1:49" x14ac:dyDescent="0.25">
      <c r="A3503" t="str">
        <f>"3499"</f>
        <v>3499</v>
      </c>
      <c r="B3503" t="str">
        <f t="shared" si="202"/>
        <v>1</v>
      </c>
      <c r="C3503" t="str">
        <f t="shared" si="201"/>
        <v>153</v>
      </c>
      <c r="D3503" t="str">
        <f>"2"</f>
        <v>2</v>
      </c>
      <c r="E3503" t="str">
        <f>"1-153-2"</f>
        <v>1-153-2</v>
      </c>
      <c r="F3503" t="s">
        <v>83</v>
      </c>
      <c r="G3503" t="s">
        <v>84</v>
      </c>
      <c r="H3503" t="s">
        <v>92</v>
      </c>
      <c r="I3503">
        <v>1</v>
      </c>
      <c r="J3503">
        <v>1</v>
      </c>
      <c r="N3503">
        <v>1</v>
      </c>
      <c r="O3503">
        <v>1</v>
      </c>
      <c r="P3503">
        <v>1</v>
      </c>
      <c r="Q3503">
        <v>1</v>
      </c>
      <c r="R3503">
        <v>1</v>
      </c>
      <c r="S3503">
        <v>1</v>
      </c>
      <c r="T3503">
        <v>1</v>
      </c>
      <c r="W3503">
        <v>1</v>
      </c>
      <c r="X3503">
        <v>1</v>
      </c>
      <c r="Y3503">
        <v>1</v>
      </c>
      <c r="Z3503">
        <v>1</v>
      </c>
      <c r="AA3503">
        <v>1</v>
      </c>
      <c r="AB3503">
        <v>1</v>
      </c>
    </row>
    <row r="3504" spans="1:49" x14ac:dyDescent="0.25">
      <c r="A3504" t="str">
        <f>"3500"</f>
        <v>3500</v>
      </c>
      <c r="B3504" t="str">
        <f t="shared" si="202"/>
        <v>1</v>
      </c>
      <c r="C3504" t="str">
        <f t="shared" si="201"/>
        <v>153</v>
      </c>
      <c r="D3504" t="str">
        <f>"18"</f>
        <v>18</v>
      </c>
      <c r="E3504" t="str">
        <f>"1-153-18"</f>
        <v>1-153-18</v>
      </c>
      <c r="F3504" t="s">
        <v>83</v>
      </c>
      <c r="G3504" t="s">
        <v>84</v>
      </c>
      <c r="H3504" t="s">
        <v>85</v>
      </c>
      <c r="AC3504">
        <v>1</v>
      </c>
      <c r="AD3504">
        <v>0</v>
      </c>
      <c r="AE3504">
        <v>0</v>
      </c>
      <c r="AF3504">
        <v>0</v>
      </c>
      <c r="AG3504">
        <v>1</v>
      </c>
      <c r="AJ3504">
        <v>1</v>
      </c>
      <c r="AK3504">
        <v>0</v>
      </c>
      <c r="AL3504">
        <v>1</v>
      </c>
      <c r="AM3504">
        <v>0</v>
      </c>
      <c r="AN3504">
        <v>0</v>
      </c>
      <c r="AO3504">
        <v>1</v>
      </c>
      <c r="AP3504">
        <v>1</v>
      </c>
      <c r="AQ3504">
        <v>1</v>
      </c>
      <c r="AR3504">
        <v>1</v>
      </c>
      <c r="AS3504">
        <v>1</v>
      </c>
      <c r="AT3504">
        <v>0</v>
      </c>
      <c r="AV3504">
        <v>1</v>
      </c>
      <c r="AW3504">
        <v>1</v>
      </c>
    </row>
    <row r="3505" spans="1:49" x14ac:dyDescent="0.25">
      <c r="A3505" t="str">
        <f>"3501"</f>
        <v>3501</v>
      </c>
      <c r="B3505" t="str">
        <f t="shared" si="202"/>
        <v>1</v>
      </c>
      <c r="C3505" t="str">
        <f t="shared" si="201"/>
        <v>153</v>
      </c>
      <c r="D3505" t="str">
        <f>"5"</f>
        <v>5</v>
      </c>
      <c r="E3505" t="str">
        <f>"1-153-5"</f>
        <v>1-153-5</v>
      </c>
      <c r="F3505" t="s">
        <v>83</v>
      </c>
      <c r="G3505" t="s">
        <v>84</v>
      </c>
      <c r="H3505" t="s">
        <v>85</v>
      </c>
      <c r="AC3505">
        <v>1</v>
      </c>
      <c r="AD3505">
        <v>0</v>
      </c>
      <c r="AE3505">
        <v>0</v>
      </c>
      <c r="AF3505">
        <v>0</v>
      </c>
      <c r="AG3505">
        <v>1</v>
      </c>
      <c r="AJ3505">
        <v>1</v>
      </c>
      <c r="AK3505">
        <v>0</v>
      </c>
      <c r="AL3505">
        <v>0</v>
      </c>
      <c r="AM3505">
        <v>1</v>
      </c>
      <c r="AN3505">
        <v>0</v>
      </c>
      <c r="AO3505">
        <v>1</v>
      </c>
      <c r="AP3505">
        <v>1</v>
      </c>
      <c r="AQ3505">
        <v>1</v>
      </c>
      <c r="AR3505">
        <v>1</v>
      </c>
      <c r="AS3505">
        <v>0</v>
      </c>
      <c r="AT3505">
        <v>1</v>
      </c>
      <c r="AV3505">
        <v>1</v>
      </c>
      <c r="AW3505">
        <v>0</v>
      </c>
    </row>
    <row r="3506" spans="1:49" x14ac:dyDescent="0.25">
      <c r="A3506" t="str">
        <f>"3502"</f>
        <v>3502</v>
      </c>
      <c r="B3506" t="str">
        <f t="shared" si="202"/>
        <v>1</v>
      </c>
      <c r="C3506" t="str">
        <f t="shared" ref="C3506:C3526" si="203">"154"</f>
        <v>154</v>
      </c>
      <c r="D3506" t="str">
        <f>"15"</f>
        <v>15</v>
      </c>
      <c r="E3506" t="str">
        <f>"1-154-15"</f>
        <v>1-154-15</v>
      </c>
      <c r="F3506" t="s">
        <v>83</v>
      </c>
      <c r="G3506" t="s">
        <v>84</v>
      </c>
      <c r="H3506" t="s">
        <v>85</v>
      </c>
      <c r="AC3506">
        <v>0</v>
      </c>
      <c r="AD3506">
        <v>1</v>
      </c>
      <c r="AE3506">
        <v>0</v>
      </c>
      <c r="AF3506">
        <v>0</v>
      </c>
      <c r="AG3506">
        <v>1</v>
      </c>
      <c r="AJ3506">
        <v>1</v>
      </c>
      <c r="AK3506">
        <v>0</v>
      </c>
      <c r="AL3506">
        <v>1</v>
      </c>
      <c r="AM3506">
        <v>0</v>
      </c>
      <c r="AN3506">
        <v>0</v>
      </c>
      <c r="AO3506">
        <v>1</v>
      </c>
      <c r="AP3506">
        <v>1</v>
      </c>
      <c r="AQ3506">
        <v>1</v>
      </c>
      <c r="AR3506">
        <v>1</v>
      </c>
      <c r="AS3506">
        <v>0</v>
      </c>
      <c r="AT3506">
        <v>1</v>
      </c>
      <c r="AV3506">
        <v>1</v>
      </c>
      <c r="AW3506">
        <v>1</v>
      </c>
    </row>
    <row r="3507" spans="1:49" x14ac:dyDescent="0.25">
      <c r="A3507" t="str">
        <f>"3503"</f>
        <v>3503</v>
      </c>
      <c r="B3507" t="str">
        <f t="shared" si="202"/>
        <v>1</v>
      </c>
      <c r="C3507" t="str">
        <f t="shared" si="203"/>
        <v>154</v>
      </c>
      <c r="D3507" t="str">
        <f>"8"</f>
        <v>8</v>
      </c>
      <c r="E3507" t="str">
        <f>"1-154-8"</f>
        <v>1-154-8</v>
      </c>
      <c r="F3507" t="s">
        <v>83</v>
      </c>
      <c r="G3507" t="s">
        <v>84</v>
      </c>
      <c r="H3507" t="s">
        <v>92</v>
      </c>
      <c r="I3507">
        <v>1</v>
      </c>
      <c r="J3507">
        <v>0</v>
      </c>
      <c r="N3507">
        <v>1</v>
      </c>
      <c r="O3507">
        <v>0</v>
      </c>
      <c r="P3507">
        <v>0</v>
      </c>
      <c r="Q3507">
        <v>0</v>
      </c>
      <c r="R3507">
        <v>0</v>
      </c>
      <c r="S3507">
        <v>0</v>
      </c>
      <c r="T3507">
        <v>0</v>
      </c>
      <c r="W3507">
        <v>0</v>
      </c>
      <c r="X3507">
        <v>0</v>
      </c>
      <c r="Y3507">
        <v>0</v>
      </c>
      <c r="Z3507">
        <v>0</v>
      </c>
      <c r="AA3507">
        <v>0</v>
      </c>
      <c r="AB3507">
        <v>0</v>
      </c>
    </row>
    <row r="3508" spans="1:49" x14ac:dyDescent="0.25">
      <c r="A3508" t="str">
        <f>"3504"</f>
        <v>3504</v>
      </c>
      <c r="B3508" t="str">
        <f t="shared" si="202"/>
        <v>1</v>
      </c>
      <c r="C3508" t="str">
        <f t="shared" si="203"/>
        <v>154</v>
      </c>
      <c r="D3508" t="str">
        <f>"1"</f>
        <v>1</v>
      </c>
      <c r="E3508" t="str">
        <f>"1-154-1"</f>
        <v>1-154-1</v>
      </c>
      <c r="F3508" t="s">
        <v>83</v>
      </c>
      <c r="G3508" t="s">
        <v>84</v>
      </c>
      <c r="H3508" t="s">
        <v>92</v>
      </c>
      <c r="I3508">
        <v>1</v>
      </c>
      <c r="J3508">
        <v>1</v>
      </c>
      <c r="N3508">
        <v>1</v>
      </c>
      <c r="O3508">
        <v>1</v>
      </c>
      <c r="P3508">
        <v>1</v>
      </c>
      <c r="Q3508">
        <v>1</v>
      </c>
      <c r="R3508">
        <v>1</v>
      </c>
      <c r="S3508">
        <v>1</v>
      </c>
      <c r="T3508">
        <v>1</v>
      </c>
      <c r="W3508">
        <v>1</v>
      </c>
      <c r="X3508">
        <v>1</v>
      </c>
      <c r="Y3508">
        <v>1</v>
      </c>
      <c r="Z3508">
        <v>1</v>
      </c>
      <c r="AA3508">
        <v>1</v>
      </c>
      <c r="AB3508">
        <v>1</v>
      </c>
    </row>
    <row r="3509" spans="1:49" x14ac:dyDescent="0.25">
      <c r="A3509" t="str">
        <f>"3505"</f>
        <v>3505</v>
      </c>
      <c r="B3509" t="str">
        <f t="shared" si="202"/>
        <v>1</v>
      </c>
      <c r="C3509" t="str">
        <f t="shared" si="203"/>
        <v>154</v>
      </c>
      <c r="D3509" t="str">
        <f>"16"</f>
        <v>16</v>
      </c>
      <c r="E3509" t="str">
        <f>"1-154-16"</f>
        <v>1-154-16</v>
      </c>
      <c r="F3509" t="s">
        <v>83</v>
      </c>
      <c r="G3509" t="s">
        <v>84</v>
      </c>
      <c r="H3509" t="s">
        <v>85</v>
      </c>
      <c r="AC3509">
        <v>0</v>
      </c>
      <c r="AD3509">
        <v>1</v>
      </c>
      <c r="AE3509">
        <v>0</v>
      </c>
      <c r="AF3509">
        <v>0</v>
      </c>
      <c r="AG3509">
        <v>1</v>
      </c>
      <c r="AJ3509">
        <v>0</v>
      </c>
      <c r="AK3509">
        <v>1</v>
      </c>
      <c r="AL3509">
        <v>0</v>
      </c>
      <c r="AM3509">
        <v>0</v>
      </c>
      <c r="AN3509">
        <v>1</v>
      </c>
      <c r="AO3509">
        <v>1</v>
      </c>
      <c r="AP3509">
        <v>1</v>
      </c>
      <c r="AQ3509">
        <v>1</v>
      </c>
      <c r="AR3509">
        <v>1</v>
      </c>
      <c r="AS3509">
        <v>0</v>
      </c>
      <c r="AT3509">
        <v>1</v>
      </c>
      <c r="AV3509">
        <v>1</v>
      </c>
      <c r="AW3509">
        <v>1</v>
      </c>
    </row>
    <row r="3510" spans="1:49" x14ac:dyDescent="0.25">
      <c r="A3510" t="str">
        <f>"3506"</f>
        <v>3506</v>
      </c>
      <c r="B3510" t="str">
        <f t="shared" si="202"/>
        <v>1</v>
      </c>
      <c r="C3510" t="str">
        <f t="shared" si="203"/>
        <v>154</v>
      </c>
      <c r="D3510" t="str">
        <f>"9"</f>
        <v>9</v>
      </c>
      <c r="E3510" t="str">
        <f>"1-154-9"</f>
        <v>1-154-9</v>
      </c>
      <c r="F3510" t="s">
        <v>83</v>
      </c>
      <c r="G3510" t="s">
        <v>84</v>
      </c>
      <c r="H3510" t="s">
        <v>85</v>
      </c>
      <c r="AC3510">
        <v>0</v>
      </c>
      <c r="AD3510">
        <v>1</v>
      </c>
      <c r="AE3510">
        <v>0</v>
      </c>
      <c r="AF3510">
        <v>0</v>
      </c>
      <c r="AG3510">
        <v>0</v>
      </c>
      <c r="AJ3510">
        <v>0</v>
      </c>
      <c r="AK3510">
        <v>0</v>
      </c>
      <c r="AL3510">
        <v>0</v>
      </c>
      <c r="AM3510">
        <v>0</v>
      </c>
      <c r="AN3510">
        <v>0</v>
      </c>
      <c r="AO3510">
        <v>0</v>
      </c>
      <c r="AP3510">
        <v>0</v>
      </c>
      <c r="AQ3510">
        <v>0</v>
      </c>
      <c r="AR3510">
        <v>0</v>
      </c>
      <c r="AS3510">
        <v>0</v>
      </c>
      <c r="AT3510">
        <v>0</v>
      </c>
      <c r="AV3510">
        <v>0</v>
      </c>
      <c r="AW3510">
        <v>0</v>
      </c>
    </row>
    <row r="3511" spans="1:49" x14ac:dyDescent="0.25">
      <c r="A3511" t="str">
        <f>"3507"</f>
        <v>3507</v>
      </c>
      <c r="B3511" t="str">
        <f t="shared" si="202"/>
        <v>1</v>
      </c>
      <c r="C3511" t="str">
        <f t="shared" si="203"/>
        <v>154</v>
      </c>
      <c r="D3511" t="str">
        <f>"7"</f>
        <v>7</v>
      </c>
      <c r="E3511" t="str">
        <f>"1-154-7"</f>
        <v>1-154-7</v>
      </c>
      <c r="F3511" t="s">
        <v>83</v>
      </c>
      <c r="G3511" t="s">
        <v>84</v>
      </c>
      <c r="H3511" t="s">
        <v>85</v>
      </c>
      <c r="AC3511">
        <v>0</v>
      </c>
      <c r="AD3511">
        <v>1</v>
      </c>
      <c r="AE3511">
        <v>0</v>
      </c>
      <c r="AF3511">
        <v>0</v>
      </c>
      <c r="AG3511">
        <v>0</v>
      </c>
      <c r="AJ3511">
        <v>1</v>
      </c>
      <c r="AK3511">
        <v>0</v>
      </c>
      <c r="AL3511">
        <v>0</v>
      </c>
      <c r="AM3511">
        <v>1</v>
      </c>
      <c r="AN3511">
        <v>0</v>
      </c>
      <c r="AO3511">
        <v>0</v>
      </c>
      <c r="AP3511">
        <v>0</v>
      </c>
      <c r="AQ3511">
        <v>0</v>
      </c>
      <c r="AR3511">
        <v>0</v>
      </c>
      <c r="AS3511">
        <v>0</v>
      </c>
      <c r="AT3511">
        <v>0</v>
      </c>
      <c r="AV3511">
        <v>0</v>
      </c>
      <c r="AW3511">
        <v>0</v>
      </c>
    </row>
    <row r="3512" spans="1:49" x14ac:dyDescent="0.25">
      <c r="A3512" t="str">
        <f>"3508"</f>
        <v>3508</v>
      </c>
      <c r="B3512" t="str">
        <f t="shared" si="202"/>
        <v>1</v>
      </c>
      <c r="C3512" t="str">
        <f t="shared" si="203"/>
        <v>154</v>
      </c>
      <c r="D3512" t="str">
        <f>"18"</f>
        <v>18</v>
      </c>
      <c r="E3512" t="str">
        <f>"1-154-18"</f>
        <v>1-154-18</v>
      </c>
      <c r="F3512" t="s">
        <v>83</v>
      </c>
      <c r="G3512" t="s">
        <v>84</v>
      </c>
      <c r="H3512" t="s">
        <v>92</v>
      </c>
      <c r="I3512">
        <v>1</v>
      </c>
      <c r="J3512">
        <v>1</v>
      </c>
      <c r="N3512">
        <v>1</v>
      </c>
      <c r="O3512">
        <v>1</v>
      </c>
      <c r="P3512">
        <v>1</v>
      </c>
      <c r="Q3512">
        <v>1</v>
      </c>
      <c r="R3512">
        <v>1</v>
      </c>
      <c r="S3512">
        <v>1</v>
      </c>
      <c r="T3512">
        <v>1</v>
      </c>
      <c r="W3512">
        <v>1</v>
      </c>
      <c r="X3512">
        <v>1</v>
      </c>
      <c r="Y3512">
        <v>1</v>
      </c>
      <c r="Z3512">
        <v>1</v>
      </c>
      <c r="AA3512">
        <v>1</v>
      </c>
      <c r="AB3512">
        <v>1</v>
      </c>
    </row>
    <row r="3513" spans="1:49" x14ac:dyDescent="0.25">
      <c r="A3513" t="str">
        <f>"3509"</f>
        <v>3509</v>
      </c>
      <c r="B3513" t="str">
        <f t="shared" si="202"/>
        <v>1</v>
      </c>
      <c r="C3513" t="str">
        <f t="shared" si="203"/>
        <v>154</v>
      </c>
      <c r="D3513" t="str">
        <f>"10"</f>
        <v>10</v>
      </c>
      <c r="E3513" t="str">
        <f>"1-154-10"</f>
        <v>1-154-10</v>
      </c>
      <c r="F3513" t="s">
        <v>83</v>
      </c>
      <c r="G3513" t="s">
        <v>84</v>
      </c>
      <c r="H3513" t="s">
        <v>85</v>
      </c>
      <c r="AC3513">
        <v>0</v>
      </c>
      <c r="AD3513">
        <v>1</v>
      </c>
      <c r="AE3513">
        <v>0</v>
      </c>
      <c r="AF3513">
        <v>0</v>
      </c>
      <c r="AG3513">
        <v>0</v>
      </c>
      <c r="AJ3513">
        <v>0</v>
      </c>
      <c r="AK3513">
        <v>0</v>
      </c>
      <c r="AL3513">
        <v>0</v>
      </c>
      <c r="AM3513">
        <v>0</v>
      </c>
      <c r="AN3513">
        <v>0</v>
      </c>
      <c r="AO3513">
        <v>0</v>
      </c>
      <c r="AP3513">
        <v>0</v>
      </c>
      <c r="AQ3513">
        <v>0</v>
      </c>
      <c r="AR3513">
        <v>0</v>
      </c>
      <c r="AS3513">
        <v>0</v>
      </c>
      <c r="AT3513">
        <v>0</v>
      </c>
      <c r="AV3513">
        <v>0</v>
      </c>
      <c r="AW3513">
        <v>0</v>
      </c>
    </row>
    <row r="3514" spans="1:49" x14ac:dyDescent="0.25">
      <c r="A3514" t="str">
        <f>"3510"</f>
        <v>3510</v>
      </c>
      <c r="B3514" t="str">
        <f t="shared" si="202"/>
        <v>1</v>
      </c>
      <c r="C3514" t="str">
        <f t="shared" si="203"/>
        <v>154</v>
      </c>
      <c r="D3514" t="str">
        <f>"2"</f>
        <v>2</v>
      </c>
      <c r="E3514" t="str">
        <f>"1-154-2"</f>
        <v>1-154-2</v>
      </c>
      <c r="F3514" t="s">
        <v>83</v>
      </c>
      <c r="G3514" t="s">
        <v>84</v>
      </c>
      <c r="H3514" t="s">
        <v>92</v>
      </c>
      <c r="I3514">
        <v>1</v>
      </c>
      <c r="J3514">
        <v>1</v>
      </c>
      <c r="N3514">
        <v>1</v>
      </c>
      <c r="O3514">
        <v>1</v>
      </c>
      <c r="P3514">
        <v>1</v>
      </c>
      <c r="Q3514">
        <v>1</v>
      </c>
      <c r="R3514">
        <v>1</v>
      </c>
      <c r="S3514">
        <v>1</v>
      </c>
      <c r="T3514">
        <v>1</v>
      </c>
      <c r="W3514">
        <v>1</v>
      </c>
      <c r="X3514">
        <v>1</v>
      </c>
      <c r="Y3514">
        <v>1</v>
      </c>
      <c r="Z3514">
        <v>1</v>
      </c>
      <c r="AA3514">
        <v>1</v>
      </c>
      <c r="AB3514">
        <v>0</v>
      </c>
    </row>
    <row r="3515" spans="1:49" x14ac:dyDescent="0.25">
      <c r="A3515" t="str">
        <f>"3511"</f>
        <v>3511</v>
      </c>
      <c r="B3515" t="str">
        <f t="shared" si="202"/>
        <v>1</v>
      </c>
      <c r="C3515" t="str">
        <f t="shared" si="203"/>
        <v>154</v>
      </c>
      <c r="D3515" t="str">
        <f>"17"</f>
        <v>17</v>
      </c>
      <c r="E3515" t="str">
        <f>"1-154-17"</f>
        <v>1-154-17</v>
      </c>
      <c r="F3515" t="s">
        <v>83</v>
      </c>
      <c r="G3515" t="s">
        <v>84</v>
      </c>
      <c r="H3515" t="s">
        <v>92</v>
      </c>
      <c r="I3515">
        <v>1</v>
      </c>
      <c r="J3515">
        <v>1</v>
      </c>
      <c r="N3515">
        <v>1</v>
      </c>
      <c r="O3515">
        <v>1</v>
      </c>
      <c r="P3515">
        <v>1</v>
      </c>
      <c r="Q3515">
        <v>1</v>
      </c>
      <c r="R3515">
        <v>1</v>
      </c>
      <c r="S3515">
        <v>1</v>
      </c>
      <c r="T3515">
        <v>1</v>
      </c>
      <c r="W3515">
        <v>1</v>
      </c>
      <c r="X3515">
        <v>1</v>
      </c>
      <c r="Y3515">
        <v>1</v>
      </c>
      <c r="Z3515">
        <v>1</v>
      </c>
      <c r="AA3515">
        <v>1</v>
      </c>
      <c r="AB3515">
        <v>1</v>
      </c>
    </row>
    <row r="3516" spans="1:49" x14ac:dyDescent="0.25">
      <c r="A3516" t="str">
        <f>"3512"</f>
        <v>3512</v>
      </c>
      <c r="B3516" t="str">
        <f t="shared" si="202"/>
        <v>1</v>
      </c>
      <c r="C3516" t="str">
        <f t="shared" si="203"/>
        <v>154</v>
      </c>
      <c r="D3516" t="str">
        <f>"11"</f>
        <v>11</v>
      </c>
      <c r="E3516" t="str">
        <f>"1-154-11"</f>
        <v>1-154-11</v>
      </c>
      <c r="F3516" t="s">
        <v>83</v>
      </c>
      <c r="G3516" t="s">
        <v>84</v>
      </c>
      <c r="H3516" t="s">
        <v>92</v>
      </c>
      <c r="I3516">
        <v>1</v>
      </c>
      <c r="J3516">
        <v>1</v>
      </c>
      <c r="N3516">
        <v>1</v>
      </c>
      <c r="O3516">
        <v>1</v>
      </c>
      <c r="P3516">
        <v>1</v>
      </c>
      <c r="Q3516">
        <v>1</v>
      </c>
      <c r="R3516">
        <v>1</v>
      </c>
      <c r="S3516">
        <v>1</v>
      </c>
      <c r="T3516">
        <v>1</v>
      </c>
      <c r="W3516">
        <v>1</v>
      </c>
      <c r="X3516">
        <v>1</v>
      </c>
      <c r="Y3516">
        <v>1</v>
      </c>
      <c r="Z3516">
        <v>1</v>
      </c>
      <c r="AA3516">
        <v>1</v>
      </c>
      <c r="AB3516">
        <v>1</v>
      </c>
    </row>
    <row r="3517" spans="1:49" x14ac:dyDescent="0.25">
      <c r="A3517" t="str">
        <f>"3513"</f>
        <v>3513</v>
      </c>
      <c r="B3517" t="str">
        <f t="shared" si="202"/>
        <v>1</v>
      </c>
      <c r="C3517" t="str">
        <f t="shared" si="203"/>
        <v>154</v>
      </c>
      <c r="D3517" t="str">
        <f>"6"</f>
        <v>6</v>
      </c>
      <c r="E3517" t="str">
        <f>"1-154-6"</f>
        <v>1-154-6</v>
      </c>
      <c r="F3517" t="s">
        <v>83</v>
      </c>
      <c r="G3517" t="s">
        <v>84</v>
      </c>
      <c r="H3517" t="s">
        <v>85</v>
      </c>
      <c r="AC3517">
        <v>0</v>
      </c>
      <c r="AD3517">
        <v>1</v>
      </c>
      <c r="AE3517">
        <v>0</v>
      </c>
      <c r="AF3517">
        <v>0</v>
      </c>
      <c r="AG3517">
        <v>0</v>
      </c>
      <c r="AJ3517">
        <v>0</v>
      </c>
      <c r="AK3517">
        <v>1</v>
      </c>
      <c r="AL3517">
        <v>0</v>
      </c>
      <c r="AM3517">
        <v>0</v>
      </c>
      <c r="AN3517">
        <v>1</v>
      </c>
      <c r="AO3517">
        <v>0</v>
      </c>
      <c r="AP3517">
        <v>0</v>
      </c>
      <c r="AQ3517">
        <v>0</v>
      </c>
      <c r="AR3517">
        <v>0</v>
      </c>
      <c r="AS3517">
        <v>0</v>
      </c>
      <c r="AT3517">
        <v>1</v>
      </c>
      <c r="AV3517">
        <v>0</v>
      </c>
      <c r="AW3517">
        <v>0</v>
      </c>
    </row>
    <row r="3518" spans="1:49" x14ac:dyDescent="0.25">
      <c r="A3518" t="str">
        <f>"3514"</f>
        <v>3514</v>
      </c>
      <c r="B3518" t="str">
        <f t="shared" si="202"/>
        <v>1</v>
      </c>
      <c r="C3518" t="str">
        <f t="shared" si="203"/>
        <v>154</v>
      </c>
      <c r="D3518" t="str">
        <f>"19"</f>
        <v>19</v>
      </c>
      <c r="E3518" t="str">
        <f>"1-154-19"</f>
        <v>1-154-19</v>
      </c>
      <c r="F3518" t="s">
        <v>83</v>
      </c>
      <c r="G3518" t="s">
        <v>84</v>
      </c>
      <c r="H3518" t="s">
        <v>85</v>
      </c>
      <c r="AC3518">
        <v>0</v>
      </c>
      <c r="AD3518">
        <v>1</v>
      </c>
      <c r="AE3518">
        <v>0</v>
      </c>
      <c r="AF3518">
        <v>0</v>
      </c>
      <c r="AG3518">
        <v>1</v>
      </c>
      <c r="AJ3518">
        <v>0</v>
      </c>
      <c r="AK3518">
        <v>1</v>
      </c>
      <c r="AL3518">
        <v>0</v>
      </c>
      <c r="AM3518">
        <v>0</v>
      </c>
      <c r="AN3518">
        <v>1</v>
      </c>
      <c r="AO3518">
        <v>1</v>
      </c>
      <c r="AP3518">
        <v>1</v>
      </c>
      <c r="AQ3518">
        <v>1</v>
      </c>
      <c r="AR3518">
        <v>1</v>
      </c>
      <c r="AS3518">
        <v>1</v>
      </c>
      <c r="AT3518">
        <v>0</v>
      </c>
      <c r="AV3518">
        <v>1</v>
      </c>
      <c r="AW3518">
        <v>1</v>
      </c>
    </row>
    <row r="3519" spans="1:49" x14ac:dyDescent="0.25">
      <c r="A3519" t="str">
        <f>"3515"</f>
        <v>3515</v>
      </c>
      <c r="B3519" t="str">
        <f t="shared" si="202"/>
        <v>1</v>
      </c>
      <c r="C3519" t="str">
        <f t="shared" si="203"/>
        <v>154</v>
      </c>
      <c r="D3519" t="str">
        <f>"12"</f>
        <v>12</v>
      </c>
      <c r="E3519" t="str">
        <f>"1-154-12"</f>
        <v>1-154-12</v>
      </c>
      <c r="F3519" t="s">
        <v>83</v>
      </c>
      <c r="G3519" t="s">
        <v>84</v>
      </c>
      <c r="H3519" t="s">
        <v>92</v>
      </c>
      <c r="I3519">
        <v>1</v>
      </c>
      <c r="J3519">
        <v>1</v>
      </c>
      <c r="N3519">
        <v>1</v>
      </c>
      <c r="O3519">
        <v>1</v>
      </c>
      <c r="P3519">
        <v>1</v>
      </c>
      <c r="Q3519">
        <v>1</v>
      </c>
      <c r="R3519">
        <v>1</v>
      </c>
      <c r="S3519">
        <v>1</v>
      </c>
      <c r="T3519">
        <v>1</v>
      </c>
      <c r="W3519">
        <v>1</v>
      </c>
      <c r="X3519">
        <v>1</v>
      </c>
      <c r="Y3519">
        <v>1</v>
      </c>
      <c r="Z3519">
        <v>1</v>
      </c>
      <c r="AA3519">
        <v>1</v>
      </c>
      <c r="AB3519">
        <v>1</v>
      </c>
    </row>
    <row r="3520" spans="1:49" x14ac:dyDescent="0.25">
      <c r="A3520" t="str">
        <f>"3516"</f>
        <v>3516</v>
      </c>
      <c r="B3520" t="str">
        <f t="shared" si="202"/>
        <v>1</v>
      </c>
      <c r="C3520" t="str">
        <f t="shared" si="203"/>
        <v>154</v>
      </c>
      <c r="D3520" t="str">
        <f>"3"</f>
        <v>3</v>
      </c>
      <c r="E3520" t="str">
        <f>"1-154-3"</f>
        <v>1-154-3</v>
      </c>
      <c r="F3520" t="s">
        <v>83</v>
      </c>
      <c r="G3520" t="s">
        <v>84</v>
      </c>
      <c r="H3520" t="s">
        <v>92</v>
      </c>
      <c r="I3520">
        <v>1</v>
      </c>
      <c r="J3520">
        <v>1</v>
      </c>
      <c r="N3520">
        <v>1</v>
      </c>
      <c r="O3520">
        <v>1</v>
      </c>
      <c r="P3520">
        <v>1</v>
      </c>
      <c r="Q3520">
        <v>1</v>
      </c>
      <c r="R3520">
        <v>1</v>
      </c>
      <c r="S3520">
        <v>1</v>
      </c>
      <c r="T3520">
        <v>1</v>
      </c>
      <c r="W3520">
        <v>1</v>
      </c>
      <c r="X3520">
        <v>1</v>
      </c>
      <c r="Y3520">
        <v>1</v>
      </c>
      <c r="Z3520">
        <v>1</v>
      </c>
      <c r="AA3520">
        <v>1</v>
      </c>
      <c r="AB3520">
        <v>1</v>
      </c>
    </row>
    <row r="3521" spans="1:49" x14ac:dyDescent="0.25">
      <c r="A3521" t="str">
        <f>"3517"</f>
        <v>3517</v>
      </c>
      <c r="B3521" t="str">
        <f t="shared" si="202"/>
        <v>1</v>
      </c>
      <c r="C3521" t="str">
        <f t="shared" si="203"/>
        <v>154</v>
      </c>
      <c r="D3521" t="str">
        <f>"20"</f>
        <v>20</v>
      </c>
      <c r="E3521" t="str">
        <f>"1-154-20"</f>
        <v>1-154-20</v>
      </c>
      <c r="F3521" t="s">
        <v>83</v>
      </c>
      <c r="G3521" t="s">
        <v>84</v>
      </c>
      <c r="H3521" t="s">
        <v>92</v>
      </c>
      <c r="I3521">
        <v>1</v>
      </c>
      <c r="J3521">
        <v>1</v>
      </c>
      <c r="N3521">
        <v>1</v>
      </c>
      <c r="O3521">
        <v>1</v>
      </c>
      <c r="P3521">
        <v>1</v>
      </c>
      <c r="Q3521">
        <v>1</v>
      </c>
      <c r="R3521">
        <v>1</v>
      </c>
      <c r="S3521">
        <v>1</v>
      </c>
      <c r="T3521">
        <v>1</v>
      </c>
      <c r="W3521">
        <v>1</v>
      </c>
      <c r="X3521">
        <v>1</v>
      </c>
      <c r="Y3521">
        <v>1</v>
      </c>
      <c r="Z3521">
        <v>1</v>
      </c>
      <c r="AA3521">
        <v>1</v>
      </c>
      <c r="AB3521">
        <v>1</v>
      </c>
    </row>
    <row r="3522" spans="1:49" x14ac:dyDescent="0.25">
      <c r="A3522" t="str">
        <f>"3518"</f>
        <v>3518</v>
      </c>
      <c r="B3522" t="str">
        <f t="shared" si="202"/>
        <v>1</v>
      </c>
      <c r="C3522" t="str">
        <f t="shared" si="203"/>
        <v>154</v>
      </c>
      <c r="D3522" t="str">
        <f>"13"</f>
        <v>13</v>
      </c>
      <c r="E3522" t="str">
        <f>"1-154-13"</f>
        <v>1-154-13</v>
      </c>
      <c r="F3522" t="s">
        <v>83</v>
      </c>
      <c r="G3522" t="s">
        <v>84</v>
      </c>
      <c r="H3522" t="s">
        <v>92</v>
      </c>
      <c r="I3522">
        <v>1</v>
      </c>
      <c r="J3522">
        <v>1</v>
      </c>
      <c r="N3522">
        <v>1</v>
      </c>
      <c r="O3522">
        <v>1</v>
      </c>
      <c r="P3522">
        <v>1</v>
      </c>
      <c r="Q3522">
        <v>1</v>
      </c>
      <c r="R3522">
        <v>1</v>
      </c>
      <c r="S3522">
        <v>1</v>
      </c>
      <c r="T3522">
        <v>1</v>
      </c>
      <c r="W3522">
        <v>1</v>
      </c>
      <c r="X3522">
        <v>1</v>
      </c>
      <c r="Y3522">
        <v>1</v>
      </c>
      <c r="Z3522">
        <v>1</v>
      </c>
      <c r="AA3522">
        <v>1</v>
      </c>
      <c r="AB3522">
        <v>1</v>
      </c>
    </row>
    <row r="3523" spans="1:49" x14ac:dyDescent="0.25">
      <c r="A3523" t="str">
        <f>"3519"</f>
        <v>3519</v>
      </c>
      <c r="B3523" t="str">
        <f t="shared" si="202"/>
        <v>1</v>
      </c>
      <c r="C3523" t="str">
        <f t="shared" si="203"/>
        <v>154</v>
      </c>
      <c r="D3523" t="str">
        <f>"5"</f>
        <v>5</v>
      </c>
      <c r="E3523" t="str">
        <f>"1-154-5"</f>
        <v>1-154-5</v>
      </c>
      <c r="F3523" t="s">
        <v>83</v>
      </c>
      <c r="G3523" t="s">
        <v>84</v>
      </c>
      <c r="H3523" t="s">
        <v>85</v>
      </c>
      <c r="AC3523">
        <v>0</v>
      </c>
      <c r="AD3523">
        <v>1</v>
      </c>
      <c r="AE3523">
        <v>0</v>
      </c>
      <c r="AF3523">
        <v>0</v>
      </c>
      <c r="AG3523">
        <v>1</v>
      </c>
      <c r="AJ3523">
        <v>0</v>
      </c>
      <c r="AK3523">
        <v>1</v>
      </c>
      <c r="AL3523">
        <v>0</v>
      </c>
      <c r="AM3523">
        <v>0</v>
      </c>
      <c r="AN3523">
        <v>1</v>
      </c>
      <c r="AO3523">
        <v>1</v>
      </c>
      <c r="AP3523">
        <v>1</v>
      </c>
      <c r="AQ3523">
        <v>1</v>
      </c>
      <c r="AR3523">
        <v>1</v>
      </c>
      <c r="AS3523">
        <v>0</v>
      </c>
      <c r="AT3523">
        <v>1</v>
      </c>
      <c r="AV3523">
        <v>1</v>
      </c>
      <c r="AW3523">
        <v>1</v>
      </c>
    </row>
    <row r="3524" spans="1:49" x14ac:dyDescent="0.25">
      <c r="A3524" t="str">
        <f>"3520"</f>
        <v>3520</v>
      </c>
      <c r="B3524" t="str">
        <f t="shared" si="202"/>
        <v>1</v>
      </c>
      <c r="C3524" t="str">
        <f t="shared" si="203"/>
        <v>154</v>
      </c>
      <c r="D3524" t="str">
        <f>"21"</f>
        <v>21</v>
      </c>
      <c r="E3524" t="str">
        <f>"1-154-21"</f>
        <v>1-154-21</v>
      </c>
      <c r="F3524" t="s">
        <v>83</v>
      </c>
      <c r="G3524" t="s">
        <v>84</v>
      </c>
      <c r="H3524" t="s">
        <v>85</v>
      </c>
      <c r="AC3524">
        <v>0</v>
      </c>
      <c r="AD3524">
        <v>1</v>
      </c>
      <c r="AE3524">
        <v>0</v>
      </c>
      <c r="AF3524">
        <v>0</v>
      </c>
      <c r="AG3524">
        <v>1</v>
      </c>
      <c r="AJ3524">
        <v>1</v>
      </c>
      <c r="AK3524">
        <v>0</v>
      </c>
      <c r="AL3524">
        <v>0</v>
      </c>
      <c r="AM3524">
        <v>0</v>
      </c>
      <c r="AN3524">
        <v>1</v>
      </c>
      <c r="AO3524">
        <v>1</v>
      </c>
      <c r="AP3524">
        <v>1</v>
      </c>
      <c r="AQ3524">
        <v>1</v>
      </c>
      <c r="AR3524">
        <v>1</v>
      </c>
      <c r="AS3524">
        <v>0</v>
      </c>
      <c r="AT3524">
        <v>0</v>
      </c>
      <c r="AV3524">
        <v>0</v>
      </c>
      <c r="AW3524">
        <v>0</v>
      </c>
    </row>
    <row r="3525" spans="1:49" x14ac:dyDescent="0.25">
      <c r="A3525" t="str">
        <f>"3521"</f>
        <v>3521</v>
      </c>
      <c r="B3525" t="str">
        <f t="shared" si="202"/>
        <v>1</v>
      </c>
      <c r="C3525" t="str">
        <f t="shared" si="203"/>
        <v>154</v>
      </c>
      <c r="D3525" t="str">
        <f>"14"</f>
        <v>14</v>
      </c>
      <c r="E3525" t="str">
        <f>"1-154-14"</f>
        <v>1-154-14</v>
      </c>
      <c r="F3525" t="s">
        <v>83</v>
      </c>
      <c r="G3525" t="s">
        <v>84</v>
      </c>
      <c r="H3525" t="s">
        <v>85</v>
      </c>
      <c r="AC3525">
        <v>1</v>
      </c>
      <c r="AD3525">
        <v>0</v>
      </c>
      <c r="AE3525">
        <v>0</v>
      </c>
      <c r="AF3525">
        <v>0</v>
      </c>
      <c r="AG3525">
        <v>1</v>
      </c>
      <c r="AJ3525">
        <v>0</v>
      </c>
      <c r="AK3525">
        <v>1</v>
      </c>
      <c r="AL3525">
        <v>0</v>
      </c>
      <c r="AM3525">
        <v>1</v>
      </c>
      <c r="AN3525">
        <v>0</v>
      </c>
      <c r="AO3525">
        <v>1</v>
      </c>
      <c r="AP3525">
        <v>1</v>
      </c>
      <c r="AQ3525">
        <v>1</v>
      </c>
      <c r="AR3525">
        <v>1</v>
      </c>
      <c r="AS3525">
        <v>1</v>
      </c>
      <c r="AT3525">
        <v>0</v>
      </c>
      <c r="AV3525">
        <v>1</v>
      </c>
      <c r="AW3525">
        <v>1</v>
      </c>
    </row>
    <row r="3526" spans="1:49" x14ac:dyDescent="0.25">
      <c r="A3526" t="str">
        <f>"3522"</f>
        <v>3522</v>
      </c>
      <c r="B3526" t="str">
        <f t="shared" si="202"/>
        <v>1</v>
      </c>
      <c r="C3526" t="str">
        <f t="shared" si="203"/>
        <v>154</v>
      </c>
      <c r="D3526" t="str">
        <f>"4"</f>
        <v>4</v>
      </c>
      <c r="E3526" t="str">
        <f>"1-154-4"</f>
        <v>1-154-4</v>
      </c>
      <c r="F3526" t="s">
        <v>83</v>
      </c>
      <c r="G3526" t="s">
        <v>84</v>
      </c>
      <c r="H3526" t="s">
        <v>92</v>
      </c>
      <c r="I3526">
        <v>1</v>
      </c>
      <c r="J3526">
        <v>1</v>
      </c>
      <c r="N3526">
        <v>1</v>
      </c>
      <c r="O3526">
        <v>1</v>
      </c>
      <c r="P3526">
        <v>1</v>
      </c>
      <c r="Q3526">
        <v>1</v>
      </c>
      <c r="R3526">
        <v>1</v>
      </c>
      <c r="S3526">
        <v>1</v>
      </c>
      <c r="T3526">
        <v>1</v>
      </c>
      <c r="W3526">
        <v>1</v>
      </c>
      <c r="X3526">
        <v>1</v>
      </c>
      <c r="Y3526">
        <v>1</v>
      </c>
      <c r="Z3526">
        <v>1</v>
      </c>
      <c r="AA3526">
        <v>1</v>
      </c>
      <c r="AB3526">
        <v>1</v>
      </c>
    </row>
    <row r="3527" spans="1:49" x14ac:dyDescent="0.25">
      <c r="A3527" t="str">
        <f>"3523"</f>
        <v>3523</v>
      </c>
      <c r="B3527" t="str">
        <f t="shared" si="202"/>
        <v>1</v>
      </c>
      <c r="C3527" t="str">
        <f t="shared" ref="C3527:C3551" si="204">"155"</f>
        <v>155</v>
      </c>
      <c r="D3527" t="str">
        <f>"23"</f>
        <v>23</v>
      </c>
      <c r="E3527" t="str">
        <f>"1-155-23"</f>
        <v>1-155-23</v>
      </c>
      <c r="F3527" t="s">
        <v>83</v>
      </c>
      <c r="G3527" t="s">
        <v>86</v>
      </c>
      <c r="H3527" t="s">
        <v>87</v>
      </c>
      <c r="AC3527">
        <v>1</v>
      </c>
      <c r="AD3527">
        <v>0</v>
      </c>
      <c r="AE3527">
        <v>0</v>
      </c>
      <c r="AF3527">
        <v>0</v>
      </c>
      <c r="AH3527">
        <v>1</v>
      </c>
      <c r="AI3527">
        <v>0</v>
      </c>
      <c r="AJ3527">
        <v>1</v>
      </c>
      <c r="AK3527">
        <v>0</v>
      </c>
      <c r="AL3527">
        <v>1</v>
      </c>
      <c r="AM3527">
        <v>0</v>
      </c>
      <c r="AN3527">
        <v>0</v>
      </c>
      <c r="AO3527">
        <v>1</v>
      </c>
      <c r="AP3527">
        <v>1</v>
      </c>
      <c r="AQ3527">
        <v>1</v>
      </c>
      <c r="AU3527">
        <v>1</v>
      </c>
      <c r="AV3527">
        <v>1</v>
      </c>
      <c r="AW3527">
        <v>1</v>
      </c>
    </row>
    <row r="3528" spans="1:49" x14ac:dyDescent="0.25">
      <c r="A3528" t="str">
        <f>"3524"</f>
        <v>3524</v>
      </c>
      <c r="B3528" t="str">
        <f t="shared" si="202"/>
        <v>1</v>
      </c>
      <c r="C3528" t="str">
        <f t="shared" si="204"/>
        <v>155</v>
      </c>
      <c r="D3528" t="str">
        <f>"22"</f>
        <v>22</v>
      </c>
      <c r="E3528" t="str">
        <f>"1-155-22"</f>
        <v>1-155-22</v>
      </c>
      <c r="F3528" t="s">
        <v>83</v>
      </c>
      <c r="G3528" t="s">
        <v>86</v>
      </c>
      <c r="H3528" t="s">
        <v>87</v>
      </c>
      <c r="AC3528">
        <v>0</v>
      </c>
      <c r="AD3528">
        <v>0</v>
      </c>
      <c r="AE3528">
        <v>0</v>
      </c>
      <c r="AF3528">
        <v>0</v>
      </c>
      <c r="AH3528">
        <v>0</v>
      </c>
      <c r="AI3528">
        <v>1</v>
      </c>
      <c r="AJ3528">
        <v>0</v>
      </c>
      <c r="AK3528">
        <v>0</v>
      </c>
      <c r="AL3528">
        <v>0</v>
      </c>
      <c r="AM3528">
        <v>0</v>
      </c>
      <c r="AN3528">
        <v>1</v>
      </c>
      <c r="AO3528">
        <v>0</v>
      </c>
      <c r="AP3528">
        <v>0</v>
      </c>
      <c r="AQ3528">
        <v>0</v>
      </c>
      <c r="AU3528">
        <v>0</v>
      </c>
      <c r="AV3528">
        <v>0</v>
      </c>
      <c r="AW3528">
        <v>0</v>
      </c>
    </row>
    <row r="3529" spans="1:49" x14ac:dyDescent="0.25">
      <c r="A3529" t="str">
        <f>"3525"</f>
        <v>3525</v>
      </c>
      <c r="B3529" t="str">
        <f t="shared" si="202"/>
        <v>1</v>
      </c>
      <c r="C3529" t="str">
        <f t="shared" si="204"/>
        <v>155</v>
      </c>
      <c r="D3529" t="str">
        <f>"15"</f>
        <v>15</v>
      </c>
      <c r="E3529" t="str">
        <f>"1-155-15"</f>
        <v>1-155-15</v>
      </c>
      <c r="F3529" t="s">
        <v>83</v>
      </c>
      <c r="G3529" t="s">
        <v>84</v>
      </c>
      <c r="H3529" t="s">
        <v>85</v>
      </c>
      <c r="AC3529">
        <v>0</v>
      </c>
      <c r="AD3529">
        <v>1</v>
      </c>
      <c r="AE3529">
        <v>0</v>
      </c>
      <c r="AF3529">
        <v>0</v>
      </c>
      <c r="AG3529">
        <v>0</v>
      </c>
      <c r="AJ3529">
        <v>1</v>
      </c>
      <c r="AK3529">
        <v>0</v>
      </c>
      <c r="AL3529">
        <v>0</v>
      </c>
      <c r="AM3529">
        <v>1</v>
      </c>
      <c r="AN3529">
        <v>0</v>
      </c>
      <c r="AO3529">
        <v>1</v>
      </c>
      <c r="AP3529">
        <v>1</v>
      </c>
      <c r="AQ3529">
        <v>1</v>
      </c>
      <c r="AR3529">
        <v>1</v>
      </c>
      <c r="AS3529">
        <v>0</v>
      </c>
      <c r="AT3529">
        <v>1</v>
      </c>
      <c r="AV3529">
        <v>1</v>
      </c>
      <c r="AW3529">
        <v>1</v>
      </c>
    </row>
    <row r="3530" spans="1:49" x14ac:dyDescent="0.25">
      <c r="A3530" t="str">
        <f>"3526"</f>
        <v>3526</v>
      </c>
      <c r="B3530" t="str">
        <f t="shared" si="202"/>
        <v>1</v>
      </c>
      <c r="C3530" t="str">
        <f t="shared" si="204"/>
        <v>155</v>
      </c>
      <c r="D3530" t="str">
        <f>"14"</f>
        <v>14</v>
      </c>
      <c r="E3530" t="str">
        <f>"1-155-14"</f>
        <v>1-155-14</v>
      </c>
      <c r="F3530" t="s">
        <v>83</v>
      </c>
      <c r="G3530" t="s">
        <v>84</v>
      </c>
      <c r="H3530" t="s">
        <v>92</v>
      </c>
      <c r="I3530">
        <v>1</v>
      </c>
      <c r="J3530">
        <v>1</v>
      </c>
      <c r="N3530">
        <v>1</v>
      </c>
      <c r="O3530">
        <v>1</v>
      </c>
      <c r="P3530">
        <v>1</v>
      </c>
      <c r="Q3530">
        <v>1</v>
      </c>
      <c r="R3530">
        <v>1</v>
      </c>
      <c r="S3530">
        <v>1</v>
      </c>
      <c r="T3530">
        <v>1</v>
      </c>
      <c r="W3530">
        <v>1</v>
      </c>
      <c r="X3530">
        <v>1</v>
      </c>
      <c r="Y3530">
        <v>1</v>
      </c>
      <c r="Z3530">
        <v>1</v>
      </c>
      <c r="AA3530">
        <v>1</v>
      </c>
      <c r="AB3530">
        <v>1</v>
      </c>
    </row>
    <row r="3531" spans="1:49" x14ac:dyDescent="0.25">
      <c r="A3531" t="str">
        <f>"3527"</f>
        <v>3527</v>
      </c>
      <c r="B3531" t="str">
        <f t="shared" si="202"/>
        <v>1</v>
      </c>
      <c r="C3531" t="str">
        <f t="shared" si="204"/>
        <v>155</v>
      </c>
      <c r="D3531" t="str">
        <f>"10"</f>
        <v>10</v>
      </c>
      <c r="E3531" t="str">
        <f>"1-155-10"</f>
        <v>1-155-10</v>
      </c>
      <c r="F3531" t="s">
        <v>83</v>
      </c>
      <c r="G3531" t="s">
        <v>84</v>
      </c>
      <c r="H3531" t="s">
        <v>85</v>
      </c>
      <c r="AC3531">
        <v>0</v>
      </c>
      <c r="AD3531">
        <v>1</v>
      </c>
      <c r="AE3531">
        <v>0</v>
      </c>
      <c r="AF3531">
        <v>0</v>
      </c>
      <c r="AG3531">
        <v>0</v>
      </c>
      <c r="AJ3531">
        <v>0</v>
      </c>
      <c r="AK3531">
        <v>1</v>
      </c>
      <c r="AL3531">
        <v>0</v>
      </c>
      <c r="AM3531">
        <v>0</v>
      </c>
      <c r="AN3531">
        <v>1</v>
      </c>
      <c r="AO3531">
        <v>0</v>
      </c>
      <c r="AP3531">
        <v>0</v>
      </c>
      <c r="AQ3531">
        <v>0</v>
      </c>
      <c r="AR3531">
        <v>0</v>
      </c>
      <c r="AS3531">
        <v>1</v>
      </c>
      <c r="AT3531">
        <v>0</v>
      </c>
      <c r="AV3531">
        <v>0</v>
      </c>
      <c r="AW3531">
        <v>0</v>
      </c>
    </row>
    <row r="3532" spans="1:49" x14ac:dyDescent="0.25">
      <c r="A3532" t="str">
        <f>"3528"</f>
        <v>3528</v>
      </c>
      <c r="B3532" t="str">
        <f t="shared" si="202"/>
        <v>1</v>
      </c>
      <c r="C3532" t="str">
        <f t="shared" si="204"/>
        <v>155</v>
      </c>
      <c r="D3532" t="str">
        <f>"8"</f>
        <v>8</v>
      </c>
      <c r="E3532" t="str">
        <f>"1-155-8"</f>
        <v>1-155-8</v>
      </c>
      <c r="F3532" t="s">
        <v>83</v>
      </c>
      <c r="G3532" t="s">
        <v>86</v>
      </c>
      <c r="H3532" t="s">
        <v>93</v>
      </c>
      <c r="I3532">
        <v>1</v>
      </c>
      <c r="K3532">
        <v>0</v>
      </c>
      <c r="L3532">
        <v>0</v>
      </c>
      <c r="M3532">
        <v>1</v>
      </c>
      <c r="N3532">
        <v>1</v>
      </c>
      <c r="O3532">
        <v>1</v>
      </c>
      <c r="P3532">
        <v>1</v>
      </c>
      <c r="Q3532">
        <v>1</v>
      </c>
      <c r="R3532">
        <v>1</v>
      </c>
      <c r="U3532">
        <v>1</v>
      </c>
      <c r="V3532">
        <v>0</v>
      </c>
      <c r="W3532">
        <v>1</v>
      </c>
      <c r="X3532">
        <v>1</v>
      </c>
      <c r="Y3532">
        <v>1</v>
      </c>
      <c r="Z3532">
        <v>1</v>
      </c>
      <c r="AA3532">
        <v>1</v>
      </c>
      <c r="AB3532">
        <v>1</v>
      </c>
    </row>
    <row r="3533" spans="1:49" x14ac:dyDescent="0.25">
      <c r="A3533" t="str">
        <f>"3529"</f>
        <v>3529</v>
      </c>
      <c r="B3533" t="str">
        <f t="shared" si="202"/>
        <v>1</v>
      </c>
      <c r="C3533" t="str">
        <f t="shared" si="204"/>
        <v>155</v>
      </c>
      <c r="D3533" t="str">
        <f>"1"</f>
        <v>1</v>
      </c>
      <c r="E3533" t="str">
        <f>"1-155-1"</f>
        <v>1-155-1</v>
      </c>
      <c r="F3533" t="s">
        <v>83</v>
      </c>
      <c r="G3533" t="s">
        <v>84</v>
      </c>
      <c r="H3533" t="s">
        <v>92</v>
      </c>
      <c r="I3533">
        <v>1</v>
      </c>
      <c r="J3533">
        <v>1</v>
      </c>
      <c r="N3533">
        <v>1</v>
      </c>
      <c r="O3533">
        <v>1</v>
      </c>
      <c r="P3533">
        <v>1</v>
      </c>
      <c r="Q3533">
        <v>1</v>
      </c>
      <c r="R3533">
        <v>1</v>
      </c>
      <c r="S3533">
        <v>1</v>
      </c>
      <c r="T3533">
        <v>1</v>
      </c>
      <c r="W3533">
        <v>1</v>
      </c>
      <c r="X3533">
        <v>1</v>
      </c>
      <c r="Y3533">
        <v>1</v>
      </c>
      <c r="Z3533">
        <v>1</v>
      </c>
      <c r="AA3533">
        <v>1</v>
      </c>
      <c r="AB3533">
        <v>1</v>
      </c>
    </row>
    <row r="3534" spans="1:49" x14ac:dyDescent="0.25">
      <c r="A3534" t="str">
        <f>"3530"</f>
        <v>3530</v>
      </c>
      <c r="B3534" t="str">
        <f t="shared" si="202"/>
        <v>1</v>
      </c>
      <c r="C3534" t="str">
        <f t="shared" si="204"/>
        <v>155</v>
      </c>
      <c r="D3534" t="str">
        <f>"17"</f>
        <v>17</v>
      </c>
      <c r="E3534" t="str">
        <f>"1-155-17"</f>
        <v>1-155-17</v>
      </c>
      <c r="F3534" t="s">
        <v>83</v>
      </c>
      <c r="G3534" t="s">
        <v>84</v>
      </c>
      <c r="H3534" t="s">
        <v>85</v>
      </c>
      <c r="AC3534">
        <v>1</v>
      </c>
      <c r="AD3534">
        <v>0</v>
      </c>
      <c r="AE3534">
        <v>0</v>
      </c>
      <c r="AF3534">
        <v>0</v>
      </c>
      <c r="AG3534">
        <v>1</v>
      </c>
      <c r="AJ3534">
        <v>1</v>
      </c>
      <c r="AK3534">
        <v>0</v>
      </c>
      <c r="AL3534">
        <v>1</v>
      </c>
      <c r="AM3534">
        <v>0</v>
      </c>
      <c r="AN3534">
        <v>0</v>
      </c>
      <c r="AO3534">
        <v>1</v>
      </c>
      <c r="AP3534">
        <v>1</v>
      </c>
      <c r="AQ3534">
        <v>1</v>
      </c>
      <c r="AR3534">
        <v>1</v>
      </c>
      <c r="AS3534">
        <v>0</v>
      </c>
      <c r="AT3534">
        <v>1</v>
      </c>
      <c r="AV3534">
        <v>1</v>
      </c>
      <c r="AW3534">
        <v>1</v>
      </c>
    </row>
    <row r="3535" spans="1:49" x14ac:dyDescent="0.25">
      <c r="A3535" t="str">
        <f>"3531"</f>
        <v>3531</v>
      </c>
      <c r="B3535" t="str">
        <f t="shared" si="202"/>
        <v>1</v>
      </c>
      <c r="C3535" t="str">
        <f t="shared" si="204"/>
        <v>155</v>
      </c>
      <c r="D3535" t="str">
        <f>"9"</f>
        <v>9</v>
      </c>
      <c r="E3535" t="str">
        <f>"1-155-9"</f>
        <v>1-155-9</v>
      </c>
      <c r="F3535" t="s">
        <v>83</v>
      </c>
      <c r="G3535" t="s">
        <v>84</v>
      </c>
      <c r="H3535" t="s">
        <v>85</v>
      </c>
      <c r="AC3535">
        <v>0</v>
      </c>
      <c r="AD3535">
        <v>0</v>
      </c>
      <c r="AE3535">
        <v>0</v>
      </c>
      <c r="AF3535">
        <v>0</v>
      </c>
      <c r="AG3535">
        <v>0</v>
      </c>
      <c r="AJ3535">
        <v>1</v>
      </c>
      <c r="AK3535">
        <v>0</v>
      </c>
      <c r="AL3535">
        <v>0</v>
      </c>
      <c r="AM3535">
        <v>0</v>
      </c>
      <c r="AN3535">
        <v>0</v>
      </c>
      <c r="AO3535">
        <v>1</v>
      </c>
      <c r="AP3535">
        <v>0</v>
      </c>
      <c r="AQ3535">
        <v>0</v>
      </c>
      <c r="AR3535">
        <v>0</v>
      </c>
      <c r="AS3535">
        <v>0</v>
      </c>
      <c r="AT3535">
        <v>0</v>
      </c>
      <c r="AV3535">
        <v>0</v>
      </c>
      <c r="AW3535">
        <v>0</v>
      </c>
    </row>
    <row r="3536" spans="1:49" x14ac:dyDescent="0.25">
      <c r="A3536" t="str">
        <f>"3532"</f>
        <v>3532</v>
      </c>
      <c r="B3536" t="str">
        <f t="shared" si="202"/>
        <v>1</v>
      </c>
      <c r="C3536" t="str">
        <f t="shared" si="204"/>
        <v>155</v>
      </c>
      <c r="D3536" t="str">
        <f>"2"</f>
        <v>2</v>
      </c>
      <c r="E3536" t="str">
        <f>"1-155-2"</f>
        <v>1-155-2</v>
      </c>
      <c r="F3536" t="s">
        <v>83</v>
      </c>
      <c r="G3536" t="s">
        <v>84</v>
      </c>
      <c r="H3536" t="s">
        <v>92</v>
      </c>
      <c r="I3536">
        <v>1</v>
      </c>
      <c r="J3536">
        <v>1</v>
      </c>
      <c r="N3536">
        <v>1</v>
      </c>
      <c r="O3536">
        <v>0</v>
      </c>
      <c r="P3536">
        <v>0</v>
      </c>
      <c r="Q3536">
        <v>0</v>
      </c>
      <c r="R3536">
        <v>0</v>
      </c>
      <c r="S3536">
        <v>0</v>
      </c>
      <c r="T3536">
        <v>0</v>
      </c>
      <c r="W3536">
        <v>0</v>
      </c>
      <c r="X3536">
        <v>1</v>
      </c>
      <c r="Y3536">
        <v>1</v>
      </c>
      <c r="Z3536">
        <v>1</v>
      </c>
      <c r="AA3536">
        <v>0</v>
      </c>
      <c r="AB3536">
        <v>1</v>
      </c>
    </row>
    <row r="3537" spans="1:49" x14ac:dyDescent="0.25">
      <c r="A3537" t="str">
        <f>"3533"</f>
        <v>3533</v>
      </c>
      <c r="B3537" t="str">
        <f t="shared" si="202"/>
        <v>1</v>
      </c>
      <c r="C3537" t="str">
        <f t="shared" si="204"/>
        <v>155</v>
      </c>
      <c r="D3537" t="str">
        <f>"25"</f>
        <v>25</v>
      </c>
      <c r="E3537" t="str">
        <f>"1-155-25"</f>
        <v>1-155-25</v>
      </c>
      <c r="F3537" t="s">
        <v>83</v>
      </c>
      <c r="G3537" t="s">
        <v>84</v>
      </c>
      <c r="H3537" t="s">
        <v>92</v>
      </c>
      <c r="I3537">
        <v>1</v>
      </c>
      <c r="J3537">
        <v>1</v>
      </c>
      <c r="N3537">
        <v>1</v>
      </c>
      <c r="O3537">
        <v>1</v>
      </c>
      <c r="P3537">
        <v>1</v>
      </c>
      <c r="Q3537">
        <v>1</v>
      </c>
      <c r="R3537">
        <v>1</v>
      </c>
      <c r="S3537">
        <v>1</v>
      </c>
      <c r="T3537">
        <v>1</v>
      </c>
      <c r="W3537">
        <v>1</v>
      </c>
      <c r="X3537">
        <v>1</v>
      </c>
      <c r="Y3537">
        <v>1</v>
      </c>
      <c r="Z3537">
        <v>1</v>
      </c>
      <c r="AA3537">
        <v>1</v>
      </c>
      <c r="AB3537">
        <v>1</v>
      </c>
    </row>
    <row r="3538" spans="1:49" x14ac:dyDescent="0.25">
      <c r="A3538" t="str">
        <f>"3534"</f>
        <v>3534</v>
      </c>
      <c r="B3538" t="str">
        <f t="shared" si="202"/>
        <v>1</v>
      </c>
      <c r="C3538" t="str">
        <f t="shared" si="204"/>
        <v>155</v>
      </c>
      <c r="D3538" t="str">
        <f>"24"</f>
        <v>24</v>
      </c>
      <c r="E3538" t="str">
        <f>"1-155-24"</f>
        <v>1-155-24</v>
      </c>
      <c r="F3538" t="s">
        <v>83</v>
      </c>
      <c r="G3538" t="s">
        <v>86</v>
      </c>
      <c r="H3538" t="s">
        <v>87</v>
      </c>
      <c r="AC3538">
        <v>1</v>
      </c>
      <c r="AD3538">
        <v>0</v>
      </c>
      <c r="AE3538">
        <v>0</v>
      </c>
      <c r="AF3538">
        <v>0</v>
      </c>
      <c r="AH3538">
        <v>1</v>
      </c>
      <c r="AI3538">
        <v>0</v>
      </c>
      <c r="AJ3538">
        <v>1</v>
      </c>
      <c r="AK3538">
        <v>0</v>
      </c>
      <c r="AL3538">
        <v>1</v>
      </c>
      <c r="AM3538">
        <v>0</v>
      </c>
      <c r="AN3538">
        <v>0</v>
      </c>
      <c r="AO3538">
        <v>1</v>
      </c>
      <c r="AP3538">
        <v>1</v>
      </c>
      <c r="AQ3538">
        <v>1</v>
      </c>
      <c r="AU3538">
        <v>1</v>
      </c>
      <c r="AV3538">
        <v>1</v>
      </c>
      <c r="AW3538">
        <v>1</v>
      </c>
    </row>
    <row r="3539" spans="1:49" x14ac:dyDescent="0.25">
      <c r="A3539" t="str">
        <f>"3535"</f>
        <v>3535</v>
      </c>
      <c r="B3539" t="str">
        <f t="shared" si="202"/>
        <v>1</v>
      </c>
      <c r="C3539" t="str">
        <f t="shared" si="204"/>
        <v>155</v>
      </c>
      <c r="D3539" t="str">
        <f>"18"</f>
        <v>18</v>
      </c>
      <c r="E3539" t="str">
        <f>"1-155-18"</f>
        <v>1-155-18</v>
      </c>
      <c r="F3539" t="s">
        <v>83</v>
      </c>
      <c r="G3539" t="s">
        <v>84</v>
      </c>
      <c r="H3539" t="s">
        <v>85</v>
      </c>
      <c r="AC3539">
        <v>0</v>
      </c>
      <c r="AD3539">
        <v>1</v>
      </c>
      <c r="AE3539">
        <v>0</v>
      </c>
      <c r="AF3539">
        <v>0</v>
      </c>
      <c r="AG3539">
        <v>0</v>
      </c>
      <c r="AJ3539">
        <v>1</v>
      </c>
      <c r="AK3539">
        <v>0</v>
      </c>
      <c r="AL3539">
        <v>1</v>
      </c>
      <c r="AM3539">
        <v>0</v>
      </c>
      <c r="AN3539">
        <v>0</v>
      </c>
      <c r="AO3539">
        <v>1</v>
      </c>
      <c r="AP3539">
        <v>1</v>
      </c>
      <c r="AQ3539">
        <v>1</v>
      </c>
      <c r="AR3539">
        <v>1</v>
      </c>
      <c r="AS3539">
        <v>0</v>
      </c>
      <c r="AT3539">
        <v>1</v>
      </c>
      <c r="AV3539">
        <v>1</v>
      </c>
      <c r="AW3539">
        <v>1</v>
      </c>
    </row>
    <row r="3540" spans="1:49" x14ac:dyDescent="0.25">
      <c r="A3540" t="str">
        <f>"3536"</f>
        <v>3536</v>
      </c>
      <c r="B3540" t="str">
        <f t="shared" si="202"/>
        <v>1</v>
      </c>
      <c r="C3540" t="str">
        <f t="shared" si="204"/>
        <v>155</v>
      </c>
      <c r="D3540" t="str">
        <f>"11"</f>
        <v>11</v>
      </c>
      <c r="E3540" t="str">
        <f>"1-155-11"</f>
        <v>1-155-11</v>
      </c>
      <c r="F3540" t="s">
        <v>83</v>
      </c>
      <c r="G3540" t="s">
        <v>84</v>
      </c>
      <c r="H3540" t="s">
        <v>85</v>
      </c>
      <c r="AC3540">
        <v>0</v>
      </c>
      <c r="AD3540">
        <v>1</v>
      </c>
      <c r="AE3540">
        <v>0</v>
      </c>
      <c r="AF3540">
        <v>0</v>
      </c>
      <c r="AG3540">
        <v>0</v>
      </c>
      <c r="AJ3540">
        <v>0</v>
      </c>
      <c r="AK3540">
        <v>1</v>
      </c>
      <c r="AL3540">
        <v>0</v>
      </c>
      <c r="AM3540">
        <v>0</v>
      </c>
      <c r="AN3540">
        <v>1</v>
      </c>
      <c r="AO3540">
        <v>0</v>
      </c>
      <c r="AP3540">
        <v>0</v>
      </c>
      <c r="AQ3540">
        <v>0</v>
      </c>
      <c r="AR3540">
        <v>0</v>
      </c>
      <c r="AS3540">
        <v>1</v>
      </c>
      <c r="AT3540">
        <v>0</v>
      </c>
      <c r="AV3540">
        <v>0</v>
      </c>
      <c r="AW3540">
        <v>0</v>
      </c>
    </row>
    <row r="3541" spans="1:49" x14ac:dyDescent="0.25">
      <c r="A3541" t="str">
        <f>"3537"</f>
        <v>3537</v>
      </c>
      <c r="B3541" t="str">
        <f t="shared" si="202"/>
        <v>1</v>
      </c>
      <c r="C3541" t="str">
        <f t="shared" si="204"/>
        <v>155</v>
      </c>
      <c r="D3541" t="str">
        <f>"5"</f>
        <v>5</v>
      </c>
      <c r="E3541" t="str">
        <f>"1-155-5"</f>
        <v>1-155-5</v>
      </c>
      <c r="F3541" t="s">
        <v>83</v>
      </c>
      <c r="G3541" t="s">
        <v>84</v>
      </c>
      <c r="H3541" t="s">
        <v>85</v>
      </c>
      <c r="AC3541">
        <v>1</v>
      </c>
      <c r="AD3541">
        <v>0</v>
      </c>
      <c r="AE3541">
        <v>0</v>
      </c>
      <c r="AF3541">
        <v>0</v>
      </c>
      <c r="AG3541">
        <v>1</v>
      </c>
      <c r="AJ3541">
        <v>1</v>
      </c>
      <c r="AK3541">
        <v>0</v>
      </c>
      <c r="AL3541">
        <v>1</v>
      </c>
      <c r="AM3541">
        <v>0</v>
      </c>
      <c r="AN3541">
        <v>0</v>
      </c>
      <c r="AO3541">
        <v>1</v>
      </c>
      <c r="AP3541">
        <v>1</v>
      </c>
      <c r="AQ3541">
        <v>1</v>
      </c>
      <c r="AR3541">
        <v>1</v>
      </c>
      <c r="AS3541">
        <v>0</v>
      </c>
      <c r="AT3541">
        <v>1</v>
      </c>
      <c r="AV3541">
        <v>1</v>
      </c>
      <c r="AW3541">
        <v>1</v>
      </c>
    </row>
    <row r="3542" spans="1:49" x14ac:dyDescent="0.25">
      <c r="A3542" t="str">
        <f>"3538"</f>
        <v>3538</v>
      </c>
      <c r="B3542" t="str">
        <f t="shared" si="202"/>
        <v>1</v>
      </c>
      <c r="C3542" t="str">
        <f t="shared" si="204"/>
        <v>155</v>
      </c>
      <c r="D3542" t="str">
        <f>"21"</f>
        <v>21</v>
      </c>
      <c r="E3542" t="str">
        <f>"1-155-21"</f>
        <v>1-155-21</v>
      </c>
      <c r="F3542" t="s">
        <v>83</v>
      </c>
      <c r="G3542" t="s">
        <v>86</v>
      </c>
      <c r="H3542" t="s">
        <v>87</v>
      </c>
      <c r="AC3542">
        <v>0</v>
      </c>
      <c r="AD3542">
        <v>0</v>
      </c>
      <c r="AE3542">
        <v>0</v>
      </c>
      <c r="AF3542">
        <v>0</v>
      </c>
      <c r="AH3542">
        <v>0</v>
      </c>
      <c r="AI3542">
        <v>1</v>
      </c>
      <c r="AJ3542">
        <v>0</v>
      </c>
      <c r="AK3542">
        <v>0</v>
      </c>
      <c r="AL3542">
        <v>0</v>
      </c>
      <c r="AM3542">
        <v>0</v>
      </c>
      <c r="AN3542">
        <v>1</v>
      </c>
      <c r="AO3542">
        <v>0</v>
      </c>
      <c r="AP3542">
        <v>0</v>
      </c>
      <c r="AQ3542">
        <v>0</v>
      </c>
      <c r="AU3542">
        <v>0</v>
      </c>
      <c r="AV3542">
        <v>0</v>
      </c>
      <c r="AW3542">
        <v>0</v>
      </c>
    </row>
    <row r="3543" spans="1:49" x14ac:dyDescent="0.25">
      <c r="A3543" t="str">
        <f>"3539"</f>
        <v>3539</v>
      </c>
      <c r="B3543" t="str">
        <f t="shared" si="202"/>
        <v>1</v>
      </c>
      <c r="C3543" t="str">
        <f t="shared" si="204"/>
        <v>155</v>
      </c>
      <c r="D3543" t="str">
        <f>"12"</f>
        <v>12</v>
      </c>
      <c r="E3543" t="str">
        <f>"1-155-12"</f>
        <v>1-155-12</v>
      </c>
      <c r="F3543" t="s">
        <v>83</v>
      </c>
      <c r="G3543" t="s">
        <v>84</v>
      </c>
      <c r="H3543" t="s">
        <v>92</v>
      </c>
      <c r="I3543">
        <v>1</v>
      </c>
      <c r="J3543">
        <v>1</v>
      </c>
      <c r="N3543">
        <v>1</v>
      </c>
      <c r="O3543">
        <v>1</v>
      </c>
      <c r="P3543">
        <v>1</v>
      </c>
      <c r="Q3543">
        <v>1</v>
      </c>
      <c r="R3543">
        <v>1</v>
      </c>
      <c r="S3543">
        <v>1</v>
      </c>
      <c r="T3543">
        <v>1</v>
      </c>
      <c r="W3543">
        <v>1</v>
      </c>
      <c r="X3543">
        <v>1</v>
      </c>
      <c r="Y3543">
        <v>1</v>
      </c>
      <c r="Z3543">
        <v>1</v>
      </c>
      <c r="AA3543">
        <v>1</v>
      </c>
      <c r="AB3543">
        <v>1</v>
      </c>
    </row>
    <row r="3544" spans="1:49" x14ac:dyDescent="0.25">
      <c r="A3544" t="str">
        <f>"3540"</f>
        <v>3540</v>
      </c>
      <c r="B3544" t="str">
        <f t="shared" si="202"/>
        <v>1</v>
      </c>
      <c r="C3544" t="str">
        <f t="shared" si="204"/>
        <v>155</v>
      </c>
      <c r="D3544" t="str">
        <f>"4"</f>
        <v>4</v>
      </c>
      <c r="E3544" t="str">
        <f>"1-155-4"</f>
        <v>1-155-4</v>
      </c>
      <c r="F3544" t="s">
        <v>83</v>
      </c>
      <c r="G3544" t="s">
        <v>86</v>
      </c>
      <c r="H3544" t="s">
        <v>87</v>
      </c>
      <c r="AC3544">
        <v>0</v>
      </c>
      <c r="AD3544">
        <v>1</v>
      </c>
      <c r="AE3544">
        <v>0</v>
      </c>
      <c r="AF3544">
        <v>0</v>
      </c>
      <c r="AH3544">
        <v>1</v>
      </c>
      <c r="AI3544">
        <v>0</v>
      </c>
      <c r="AJ3544">
        <v>0</v>
      </c>
      <c r="AK3544">
        <v>1</v>
      </c>
      <c r="AL3544">
        <v>0</v>
      </c>
      <c r="AM3544">
        <v>1</v>
      </c>
      <c r="AN3544">
        <v>0</v>
      </c>
      <c r="AO3544">
        <v>1</v>
      </c>
      <c r="AP3544">
        <v>1</v>
      </c>
      <c r="AQ3544">
        <v>1</v>
      </c>
      <c r="AU3544">
        <v>1</v>
      </c>
      <c r="AV3544">
        <v>1</v>
      </c>
      <c r="AW3544">
        <v>1</v>
      </c>
    </row>
    <row r="3545" spans="1:49" x14ac:dyDescent="0.25">
      <c r="A3545" t="str">
        <f>"3541"</f>
        <v>3541</v>
      </c>
      <c r="B3545" t="str">
        <f t="shared" si="202"/>
        <v>1</v>
      </c>
      <c r="C3545" t="str">
        <f t="shared" si="204"/>
        <v>155</v>
      </c>
      <c r="D3545" t="str">
        <f>"20"</f>
        <v>20</v>
      </c>
      <c r="E3545" t="str">
        <f>"1-155-20"</f>
        <v>1-155-20</v>
      </c>
      <c r="F3545" t="s">
        <v>83</v>
      </c>
      <c r="G3545" t="s">
        <v>86</v>
      </c>
      <c r="H3545" t="s">
        <v>87</v>
      </c>
      <c r="AC3545">
        <v>0</v>
      </c>
      <c r="AD3545">
        <v>1</v>
      </c>
      <c r="AE3545">
        <v>0</v>
      </c>
      <c r="AF3545">
        <v>0</v>
      </c>
      <c r="AH3545">
        <v>0</v>
      </c>
      <c r="AI3545">
        <v>1</v>
      </c>
      <c r="AJ3545">
        <v>0</v>
      </c>
      <c r="AK3545">
        <v>1</v>
      </c>
      <c r="AL3545">
        <v>0</v>
      </c>
      <c r="AM3545">
        <v>0</v>
      </c>
      <c r="AN3545">
        <v>1</v>
      </c>
      <c r="AO3545">
        <v>0</v>
      </c>
      <c r="AP3545">
        <v>0</v>
      </c>
      <c r="AQ3545">
        <v>0</v>
      </c>
      <c r="AU3545">
        <v>0</v>
      </c>
      <c r="AV3545">
        <v>0</v>
      </c>
      <c r="AW3545">
        <v>0</v>
      </c>
    </row>
    <row r="3546" spans="1:49" x14ac:dyDescent="0.25">
      <c r="A3546" t="str">
        <f>"3542"</f>
        <v>3542</v>
      </c>
      <c r="B3546" t="str">
        <f t="shared" si="202"/>
        <v>1</v>
      </c>
      <c r="C3546" t="str">
        <f t="shared" si="204"/>
        <v>155</v>
      </c>
      <c r="D3546" t="str">
        <f>"13"</f>
        <v>13</v>
      </c>
      <c r="E3546" t="str">
        <f>"1-155-13"</f>
        <v>1-155-13</v>
      </c>
      <c r="F3546" t="s">
        <v>83</v>
      </c>
      <c r="G3546" t="s">
        <v>84</v>
      </c>
      <c r="H3546" t="s">
        <v>92</v>
      </c>
      <c r="I3546">
        <v>1</v>
      </c>
      <c r="J3546">
        <v>1</v>
      </c>
      <c r="N3546">
        <v>1</v>
      </c>
      <c r="O3546">
        <v>0</v>
      </c>
      <c r="P3546">
        <v>0</v>
      </c>
      <c r="Q3546">
        <v>1</v>
      </c>
      <c r="R3546">
        <v>0</v>
      </c>
      <c r="S3546">
        <v>1</v>
      </c>
      <c r="T3546">
        <v>0</v>
      </c>
      <c r="W3546">
        <v>1</v>
      </c>
      <c r="X3546">
        <v>1</v>
      </c>
      <c r="Y3546">
        <v>1</v>
      </c>
      <c r="Z3546">
        <v>1</v>
      </c>
      <c r="AA3546">
        <v>0</v>
      </c>
      <c r="AB3546">
        <v>1</v>
      </c>
    </row>
    <row r="3547" spans="1:49" x14ac:dyDescent="0.25">
      <c r="A3547" t="str">
        <f>"3543"</f>
        <v>3543</v>
      </c>
      <c r="B3547" t="str">
        <f t="shared" si="202"/>
        <v>1</v>
      </c>
      <c r="C3547" t="str">
        <f t="shared" si="204"/>
        <v>155</v>
      </c>
      <c r="D3547" t="str">
        <f>"6"</f>
        <v>6</v>
      </c>
      <c r="E3547" t="str">
        <f>"1-155-6"</f>
        <v>1-155-6</v>
      </c>
      <c r="F3547" t="s">
        <v>83</v>
      </c>
      <c r="G3547" t="s">
        <v>84</v>
      </c>
      <c r="H3547" t="s">
        <v>85</v>
      </c>
      <c r="AC3547">
        <v>0</v>
      </c>
      <c r="AD3547">
        <v>1</v>
      </c>
      <c r="AE3547">
        <v>0</v>
      </c>
      <c r="AF3547">
        <v>0</v>
      </c>
      <c r="AG3547">
        <v>1</v>
      </c>
      <c r="AJ3547">
        <v>1</v>
      </c>
      <c r="AK3547">
        <v>0</v>
      </c>
      <c r="AL3547">
        <v>1</v>
      </c>
      <c r="AM3547">
        <v>0</v>
      </c>
      <c r="AN3547">
        <v>0</v>
      </c>
      <c r="AO3547">
        <v>1</v>
      </c>
      <c r="AP3547">
        <v>1</v>
      </c>
      <c r="AQ3547">
        <v>1</v>
      </c>
      <c r="AR3547">
        <v>1</v>
      </c>
      <c r="AS3547">
        <v>0</v>
      </c>
      <c r="AT3547">
        <v>1</v>
      </c>
      <c r="AV3547">
        <v>1</v>
      </c>
      <c r="AW3547">
        <v>1</v>
      </c>
    </row>
    <row r="3548" spans="1:49" x14ac:dyDescent="0.25">
      <c r="A3548" t="str">
        <f>"3544"</f>
        <v>3544</v>
      </c>
      <c r="B3548" t="str">
        <f t="shared" si="202"/>
        <v>1</v>
      </c>
      <c r="C3548" t="str">
        <f t="shared" si="204"/>
        <v>155</v>
      </c>
      <c r="D3548" t="str">
        <f>"16"</f>
        <v>16</v>
      </c>
      <c r="E3548" t="str">
        <f>"1-155-16"</f>
        <v>1-155-16</v>
      </c>
      <c r="F3548" t="s">
        <v>83</v>
      </c>
      <c r="G3548" t="s">
        <v>84</v>
      </c>
      <c r="H3548" t="s">
        <v>85</v>
      </c>
      <c r="AC3548">
        <v>1</v>
      </c>
      <c r="AD3548">
        <v>0</v>
      </c>
      <c r="AE3548">
        <v>0</v>
      </c>
      <c r="AF3548">
        <v>0</v>
      </c>
      <c r="AG3548">
        <v>1</v>
      </c>
      <c r="AJ3548">
        <v>1</v>
      </c>
      <c r="AK3548">
        <v>0</v>
      </c>
      <c r="AL3548">
        <v>1</v>
      </c>
      <c r="AM3548">
        <v>0</v>
      </c>
      <c r="AN3548">
        <v>0</v>
      </c>
      <c r="AO3548">
        <v>0</v>
      </c>
      <c r="AP3548">
        <v>0</v>
      </c>
      <c r="AQ3548">
        <v>1</v>
      </c>
      <c r="AR3548">
        <v>0</v>
      </c>
      <c r="AS3548">
        <v>0</v>
      </c>
      <c r="AT3548">
        <v>1</v>
      </c>
      <c r="AV3548">
        <v>0</v>
      </c>
      <c r="AW3548">
        <v>1</v>
      </c>
    </row>
    <row r="3549" spans="1:49" x14ac:dyDescent="0.25">
      <c r="A3549" t="str">
        <f>"3545"</f>
        <v>3545</v>
      </c>
      <c r="B3549" t="str">
        <f t="shared" si="202"/>
        <v>1</v>
      </c>
      <c r="C3549" t="str">
        <f t="shared" si="204"/>
        <v>155</v>
      </c>
      <c r="D3549" t="str">
        <f>"7"</f>
        <v>7</v>
      </c>
      <c r="E3549" t="str">
        <f>"1-155-7"</f>
        <v>1-155-7</v>
      </c>
      <c r="F3549" t="s">
        <v>83</v>
      </c>
      <c r="G3549" t="s">
        <v>84</v>
      </c>
      <c r="H3549" t="s">
        <v>92</v>
      </c>
      <c r="I3549">
        <v>1</v>
      </c>
      <c r="J3549">
        <v>1</v>
      </c>
      <c r="N3549">
        <v>1</v>
      </c>
      <c r="O3549">
        <v>1</v>
      </c>
      <c r="P3549">
        <v>1</v>
      </c>
      <c r="Q3549">
        <v>1</v>
      </c>
      <c r="R3549">
        <v>1</v>
      </c>
      <c r="S3549">
        <v>1</v>
      </c>
      <c r="T3549">
        <v>1</v>
      </c>
      <c r="W3549">
        <v>1</v>
      </c>
      <c r="X3549">
        <v>1</v>
      </c>
      <c r="Y3549">
        <v>1</v>
      </c>
      <c r="Z3549">
        <v>1</v>
      </c>
      <c r="AA3549">
        <v>1</v>
      </c>
      <c r="AB3549">
        <v>1</v>
      </c>
    </row>
    <row r="3550" spans="1:49" x14ac:dyDescent="0.25">
      <c r="A3550" t="str">
        <f>"3546"</f>
        <v>3546</v>
      </c>
      <c r="B3550" t="str">
        <f t="shared" ref="B3550:B3613" si="205">"1"</f>
        <v>1</v>
      </c>
      <c r="C3550" t="str">
        <f t="shared" si="204"/>
        <v>155</v>
      </c>
      <c r="D3550" t="str">
        <f>"19"</f>
        <v>19</v>
      </c>
      <c r="E3550" t="str">
        <f>"1-155-19"</f>
        <v>1-155-19</v>
      </c>
      <c r="F3550" t="s">
        <v>83</v>
      </c>
      <c r="G3550" t="s">
        <v>84</v>
      </c>
      <c r="H3550" t="s">
        <v>85</v>
      </c>
      <c r="AC3550">
        <v>0</v>
      </c>
      <c r="AD3550">
        <v>1</v>
      </c>
      <c r="AE3550">
        <v>0</v>
      </c>
      <c r="AF3550">
        <v>0</v>
      </c>
      <c r="AG3550">
        <v>1</v>
      </c>
      <c r="AJ3550">
        <v>1</v>
      </c>
      <c r="AK3550">
        <v>0</v>
      </c>
      <c r="AL3550">
        <v>0</v>
      </c>
      <c r="AM3550">
        <v>1</v>
      </c>
      <c r="AN3550">
        <v>0</v>
      </c>
      <c r="AO3550">
        <v>1</v>
      </c>
      <c r="AP3550">
        <v>1</v>
      </c>
      <c r="AQ3550">
        <v>1</v>
      </c>
      <c r="AR3550">
        <v>1</v>
      </c>
      <c r="AS3550">
        <v>1</v>
      </c>
      <c r="AT3550">
        <v>0</v>
      </c>
      <c r="AV3550">
        <v>1</v>
      </c>
      <c r="AW3550">
        <v>1</v>
      </c>
    </row>
    <row r="3551" spans="1:49" x14ac:dyDescent="0.25">
      <c r="A3551" t="str">
        <f>"3547"</f>
        <v>3547</v>
      </c>
      <c r="B3551" t="str">
        <f t="shared" si="205"/>
        <v>1</v>
      </c>
      <c r="C3551" t="str">
        <f t="shared" si="204"/>
        <v>155</v>
      </c>
      <c r="D3551" t="str">
        <f>"3"</f>
        <v>3</v>
      </c>
      <c r="E3551" t="str">
        <f>"1-155-3"</f>
        <v>1-155-3</v>
      </c>
      <c r="F3551" t="s">
        <v>83</v>
      </c>
      <c r="G3551" t="s">
        <v>84</v>
      </c>
      <c r="H3551" t="s">
        <v>85</v>
      </c>
      <c r="AC3551">
        <v>1</v>
      </c>
      <c r="AD3551">
        <v>0</v>
      </c>
      <c r="AE3551">
        <v>0</v>
      </c>
      <c r="AF3551">
        <v>0</v>
      </c>
      <c r="AG3551">
        <v>1</v>
      </c>
      <c r="AJ3551">
        <v>1</v>
      </c>
      <c r="AK3551">
        <v>0</v>
      </c>
      <c r="AL3551">
        <v>1</v>
      </c>
      <c r="AM3551">
        <v>0</v>
      </c>
      <c r="AN3551">
        <v>0</v>
      </c>
      <c r="AO3551">
        <v>1</v>
      </c>
      <c r="AP3551">
        <v>1</v>
      </c>
      <c r="AQ3551">
        <v>1</v>
      </c>
      <c r="AR3551">
        <v>1</v>
      </c>
      <c r="AS3551">
        <v>1</v>
      </c>
      <c r="AT3551">
        <v>0</v>
      </c>
      <c r="AV3551">
        <v>1</v>
      </c>
      <c r="AW3551">
        <v>1</v>
      </c>
    </row>
    <row r="3552" spans="1:49" x14ac:dyDescent="0.25">
      <c r="A3552" t="str">
        <f>"3548"</f>
        <v>3548</v>
      </c>
      <c r="B3552" t="str">
        <f t="shared" si="205"/>
        <v>1</v>
      </c>
      <c r="C3552" t="str">
        <f t="shared" ref="C3552:C3576" si="206">"156"</f>
        <v>156</v>
      </c>
      <c r="D3552" t="str">
        <f>"23"</f>
        <v>23</v>
      </c>
      <c r="E3552" t="str">
        <f>"1-156-23"</f>
        <v>1-156-23</v>
      </c>
      <c r="F3552" t="s">
        <v>83</v>
      </c>
      <c r="G3552" t="s">
        <v>84</v>
      </c>
      <c r="H3552" t="s">
        <v>85</v>
      </c>
      <c r="AC3552">
        <v>1</v>
      </c>
      <c r="AD3552">
        <v>0</v>
      </c>
      <c r="AE3552">
        <v>0</v>
      </c>
      <c r="AF3552">
        <v>0</v>
      </c>
      <c r="AG3552">
        <v>1</v>
      </c>
      <c r="AJ3552">
        <v>1</v>
      </c>
      <c r="AK3552">
        <v>0</v>
      </c>
      <c r="AL3552">
        <v>0</v>
      </c>
      <c r="AM3552">
        <v>1</v>
      </c>
      <c r="AN3552">
        <v>0</v>
      </c>
      <c r="AO3552">
        <v>1</v>
      </c>
      <c r="AP3552">
        <v>1</v>
      </c>
      <c r="AQ3552">
        <v>1</v>
      </c>
      <c r="AR3552">
        <v>1</v>
      </c>
      <c r="AS3552">
        <v>0</v>
      </c>
      <c r="AT3552">
        <v>1</v>
      </c>
      <c r="AV3552">
        <v>1</v>
      </c>
      <c r="AW3552">
        <v>1</v>
      </c>
    </row>
    <row r="3553" spans="1:49" x14ac:dyDescent="0.25">
      <c r="A3553" t="str">
        <f>"3549"</f>
        <v>3549</v>
      </c>
      <c r="B3553" t="str">
        <f t="shared" si="205"/>
        <v>1</v>
      </c>
      <c r="C3553" t="str">
        <f t="shared" si="206"/>
        <v>156</v>
      </c>
      <c r="D3553" t="str">
        <f>"22"</f>
        <v>22</v>
      </c>
      <c r="E3553" t="str">
        <f>"1-156-22"</f>
        <v>1-156-22</v>
      </c>
      <c r="F3553" t="s">
        <v>83</v>
      </c>
      <c r="G3553" t="s">
        <v>84</v>
      </c>
      <c r="H3553" t="s">
        <v>85</v>
      </c>
      <c r="AC3553">
        <v>0</v>
      </c>
      <c r="AD3553">
        <v>1</v>
      </c>
      <c r="AE3553">
        <v>0</v>
      </c>
      <c r="AF3553">
        <v>0</v>
      </c>
      <c r="AG3553">
        <v>1</v>
      </c>
      <c r="AJ3553">
        <v>0</v>
      </c>
      <c r="AK3553">
        <v>1</v>
      </c>
      <c r="AL3553">
        <v>0</v>
      </c>
      <c r="AM3553">
        <v>0</v>
      </c>
      <c r="AN3553">
        <v>1</v>
      </c>
      <c r="AO3553">
        <v>1</v>
      </c>
      <c r="AP3553">
        <v>1</v>
      </c>
      <c r="AQ3553">
        <v>1</v>
      </c>
      <c r="AR3553">
        <v>1</v>
      </c>
      <c r="AS3553">
        <v>0</v>
      </c>
      <c r="AT3553">
        <v>1</v>
      </c>
      <c r="AV3553">
        <v>1</v>
      </c>
      <c r="AW3553">
        <v>1</v>
      </c>
    </row>
    <row r="3554" spans="1:49" x14ac:dyDescent="0.25">
      <c r="A3554" t="str">
        <f>"3550"</f>
        <v>3550</v>
      </c>
      <c r="B3554" t="str">
        <f t="shared" si="205"/>
        <v>1</v>
      </c>
      <c r="C3554" t="str">
        <f t="shared" si="206"/>
        <v>156</v>
      </c>
      <c r="D3554" t="str">
        <f>"15"</f>
        <v>15</v>
      </c>
      <c r="E3554" t="str">
        <f>"1-156-15"</f>
        <v>1-156-15</v>
      </c>
      <c r="F3554" t="s">
        <v>83</v>
      </c>
      <c r="G3554" t="s">
        <v>84</v>
      </c>
      <c r="H3554" t="s">
        <v>85</v>
      </c>
      <c r="AC3554">
        <v>1</v>
      </c>
      <c r="AD3554">
        <v>0</v>
      </c>
      <c r="AE3554">
        <v>0</v>
      </c>
      <c r="AF3554">
        <v>0</v>
      </c>
      <c r="AG3554">
        <v>1</v>
      </c>
      <c r="AJ3554">
        <v>1</v>
      </c>
      <c r="AK3554">
        <v>0</v>
      </c>
      <c r="AL3554">
        <v>0</v>
      </c>
      <c r="AM3554">
        <v>0</v>
      </c>
      <c r="AN3554">
        <v>0</v>
      </c>
      <c r="AO3554">
        <v>0</v>
      </c>
      <c r="AP3554">
        <v>0</v>
      </c>
      <c r="AQ3554">
        <v>0</v>
      </c>
      <c r="AR3554">
        <v>1</v>
      </c>
      <c r="AS3554">
        <v>1</v>
      </c>
      <c r="AT3554">
        <v>0</v>
      </c>
      <c r="AV3554">
        <v>0</v>
      </c>
      <c r="AW3554">
        <v>1</v>
      </c>
    </row>
    <row r="3555" spans="1:49" x14ac:dyDescent="0.25">
      <c r="A3555" t="str">
        <f>"3551"</f>
        <v>3551</v>
      </c>
      <c r="B3555" t="str">
        <f t="shared" si="205"/>
        <v>1</v>
      </c>
      <c r="C3555" t="str">
        <f t="shared" si="206"/>
        <v>156</v>
      </c>
      <c r="D3555" t="str">
        <f>"14"</f>
        <v>14</v>
      </c>
      <c r="E3555" t="str">
        <f>"1-156-14"</f>
        <v>1-156-14</v>
      </c>
      <c r="F3555" t="s">
        <v>83</v>
      </c>
      <c r="G3555" t="s">
        <v>84</v>
      </c>
      <c r="H3555" t="s">
        <v>85</v>
      </c>
      <c r="AC3555">
        <v>1</v>
      </c>
      <c r="AD3555">
        <v>0</v>
      </c>
      <c r="AE3555">
        <v>0</v>
      </c>
      <c r="AF3555">
        <v>0</v>
      </c>
      <c r="AG3555">
        <v>1</v>
      </c>
      <c r="AJ3555">
        <v>1</v>
      </c>
      <c r="AK3555">
        <v>0</v>
      </c>
      <c r="AL3555">
        <v>1</v>
      </c>
      <c r="AM3555">
        <v>0</v>
      </c>
      <c r="AN3555">
        <v>0</v>
      </c>
      <c r="AO3555">
        <v>1</v>
      </c>
      <c r="AP3555">
        <v>1</v>
      </c>
      <c r="AQ3555">
        <v>1</v>
      </c>
      <c r="AR3555">
        <v>1</v>
      </c>
      <c r="AS3555">
        <v>0</v>
      </c>
      <c r="AT3555">
        <v>1</v>
      </c>
      <c r="AV3555">
        <v>1</v>
      </c>
      <c r="AW3555">
        <v>1</v>
      </c>
    </row>
    <row r="3556" spans="1:49" x14ac:dyDescent="0.25">
      <c r="A3556" t="str">
        <f>"3552"</f>
        <v>3552</v>
      </c>
      <c r="B3556" t="str">
        <f t="shared" si="205"/>
        <v>1</v>
      </c>
      <c r="C3556" t="str">
        <f t="shared" si="206"/>
        <v>156</v>
      </c>
      <c r="D3556" t="str">
        <f>"11"</f>
        <v>11</v>
      </c>
      <c r="E3556" t="str">
        <f>"1-156-11"</f>
        <v>1-156-11</v>
      </c>
      <c r="F3556" t="s">
        <v>83</v>
      </c>
      <c r="G3556" t="s">
        <v>84</v>
      </c>
      <c r="H3556" t="s">
        <v>85</v>
      </c>
      <c r="AC3556">
        <v>1</v>
      </c>
      <c r="AD3556">
        <v>0</v>
      </c>
      <c r="AE3556">
        <v>0</v>
      </c>
      <c r="AF3556">
        <v>0</v>
      </c>
      <c r="AG3556">
        <v>1</v>
      </c>
      <c r="AJ3556">
        <v>0</v>
      </c>
      <c r="AK3556">
        <v>1</v>
      </c>
      <c r="AL3556">
        <v>0</v>
      </c>
      <c r="AM3556">
        <v>0</v>
      </c>
      <c r="AN3556">
        <v>1</v>
      </c>
      <c r="AO3556">
        <v>1</v>
      </c>
      <c r="AP3556">
        <v>1</v>
      </c>
      <c r="AQ3556">
        <v>1</v>
      </c>
      <c r="AR3556">
        <v>1</v>
      </c>
      <c r="AS3556">
        <v>0</v>
      </c>
      <c r="AT3556">
        <v>1</v>
      </c>
      <c r="AV3556">
        <v>1</v>
      </c>
      <c r="AW3556">
        <v>1</v>
      </c>
    </row>
    <row r="3557" spans="1:49" x14ac:dyDescent="0.25">
      <c r="A3557" t="str">
        <f>"3553"</f>
        <v>3553</v>
      </c>
      <c r="B3557" t="str">
        <f t="shared" si="205"/>
        <v>1</v>
      </c>
      <c r="C3557" t="str">
        <f t="shared" si="206"/>
        <v>156</v>
      </c>
      <c r="D3557" t="str">
        <f>"8"</f>
        <v>8</v>
      </c>
      <c r="E3557" t="str">
        <f>"1-156-8"</f>
        <v>1-156-8</v>
      </c>
      <c r="F3557" t="s">
        <v>83</v>
      </c>
      <c r="G3557" t="s">
        <v>84</v>
      </c>
      <c r="H3557" t="s">
        <v>85</v>
      </c>
      <c r="AC3557">
        <v>0</v>
      </c>
      <c r="AD3557">
        <v>1</v>
      </c>
      <c r="AE3557">
        <v>0</v>
      </c>
      <c r="AF3557">
        <v>0</v>
      </c>
      <c r="AG3557">
        <v>1</v>
      </c>
      <c r="AJ3557">
        <v>0</v>
      </c>
      <c r="AK3557">
        <v>1</v>
      </c>
      <c r="AL3557">
        <v>0</v>
      </c>
      <c r="AM3557">
        <v>0</v>
      </c>
      <c r="AN3557">
        <v>1</v>
      </c>
      <c r="AO3557">
        <v>1</v>
      </c>
      <c r="AP3557">
        <v>1</v>
      </c>
      <c r="AQ3557">
        <v>1</v>
      </c>
      <c r="AR3557">
        <v>1</v>
      </c>
      <c r="AS3557">
        <v>0</v>
      </c>
      <c r="AT3557">
        <v>1</v>
      </c>
      <c r="AV3557">
        <v>1</v>
      </c>
      <c r="AW3557">
        <v>1</v>
      </c>
    </row>
    <row r="3558" spans="1:49" x14ac:dyDescent="0.25">
      <c r="A3558" t="str">
        <f>"3554"</f>
        <v>3554</v>
      </c>
      <c r="B3558" t="str">
        <f t="shared" si="205"/>
        <v>1</v>
      </c>
      <c r="C3558" t="str">
        <f t="shared" si="206"/>
        <v>156</v>
      </c>
      <c r="D3558" t="str">
        <f>"6"</f>
        <v>6</v>
      </c>
      <c r="E3558" t="str">
        <f>"1-156-6"</f>
        <v>1-156-6</v>
      </c>
      <c r="F3558" t="s">
        <v>83</v>
      </c>
      <c r="G3558" t="s">
        <v>84</v>
      </c>
      <c r="H3558" t="s">
        <v>85</v>
      </c>
      <c r="AC3558">
        <v>1</v>
      </c>
      <c r="AD3558">
        <v>0</v>
      </c>
      <c r="AE3558">
        <v>0</v>
      </c>
      <c r="AF3558">
        <v>0</v>
      </c>
      <c r="AG3558">
        <v>0</v>
      </c>
      <c r="AJ3558">
        <v>1</v>
      </c>
      <c r="AK3558">
        <v>0</v>
      </c>
      <c r="AL3558">
        <v>1</v>
      </c>
      <c r="AM3558">
        <v>0</v>
      </c>
      <c r="AN3558">
        <v>0</v>
      </c>
      <c r="AO3558">
        <v>0</v>
      </c>
      <c r="AP3558">
        <v>0</v>
      </c>
      <c r="AQ3558">
        <v>0</v>
      </c>
      <c r="AR3558">
        <v>0</v>
      </c>
      <c r="AS3558">
        <v>0</v>
      </c>
      <c r="AT3558">
        <v>1</v>
      </c>
      <c r="AV3558">
        <v>0</v>
      </c>
      <c r="AW3558">
        <v>0</v>
      </c>
    </row>
    <row r="3559" spans="1:49" x14ac:dyDescent="0.25">
      <c r="A3559" t="str">
        <f>"3555"</f>
        <v>3555</v>
      </c>
      <c r="B3559" t="str">
        <f t="shared" si="205"/>
        <v>1</v>
      </c>
      <c r="C3559" t="str">
        <f t="shared" si="206"/>
        <v>156</v>
      </c>
      <c r="D3559" t="str">
        <f>"17"</f>
        <v>17</v>
      </c>
      <c r="E3559" t="str">
        <f>"1-156-17"</f>
        <v>1-156-17</v>
      </c>
      <c r="F3559" t="s">
        <v>83</v>
      </c>
      <c r="G3559" t="s">
        <v>84</v>
      </c>
      <c r="H3559" t="s">
        <v>85</v>
      </c>
      <c r="AC3559">
        <v>0</v>
      </c>
      <c r="AD3559">
        <v>1</v>
      </c>
      <c r="AE3559">
        <v>0</v>
      </c>
      <c r="AF3559">
        <v>0</v>
      </c>
      <c r="AG3559">
        <v>1</v>
      </c>
      <c r="AJ3559">
        <v>0</v>
      </c>
      <c r="AK3559">
        <v>1</v>
      </c>
      <c r="AL3559">
        <v>0</v>
      </c>
      <c r="AM3559">
        <v>1</v>
      </c>
      <c r="AN3559">
        <v>0</v>
      </c>
      <c r="AO3559">
        <v>1</v>
      </c>
      <c r="AP3559">
        <v>1</v>
      </c>
      <c r="AQ3559">
        <v>1</v>
      </c>
      <c r="AR3559">
        <v>1</v>
      </c>
      <c r="AS3559">
        <v>0</v>
      </c>
      <c r="AT3559">
        <v>1</v>
      </c>
      <c r="AV3559">
        <v>1</v>
      </c>
      <c r="AW3559">
        <v>1</v>
      </c>
    </row>
    <row r="3560" spans="1:49" x14ac:dyDescent="0.25">
      <c r="A3560" t="str">
        <f>"3556"</f>
        <v>3556</v>
      </c>
      <c r="B3560" t="str">
        <f t="shared" si="205"/>
        <v>1</v>
      </c>
      <c r="C3560" t="str">
        <f t="shared" si="206"/>
        <v>156</v>
      </c>
      <c r="D3560" t="str">
        <f>"9"</f>
        <v>9</v>
      </c>
      <c r="E3560" t="str">
        <f>"1-156-9"</f>
        <v>1-156-9</v>
      </c>
      <c r="F3560" t="s">
        <v>83</v>
      </c>
      <c r="G3560" t="s">
        <v>84</v>
      </c>
      <c r="H3560" t="s">
        <v>85</v>
      </c>
      <c r="AC3560">
        <v>1</v>
      </c>
      <c r="AD3560">
        <v>0</v>
      </c>
      <c r="AE3560">
        <v>0</v>
      </c>
      <c r="AF3560">
        <v>0</v>
      </c>
      <c r="AG3560">
        <v>0</v>
      </c>
      <c r="AJ3560">
        <v>1</v>
      </c>
      <c r="AK3560">
        <v>0</v>
      </c>
      <c r="AL3560">
        <v>1</v>
      </c>
      <c r="AM3560">
        <v>0</v>
      </c>
      <c r="AN3560">
        <v>0</v>
      </c>
      <c r="AO3560">
        <v>0</v>
      </c>
      <c r="AP3560">
        <v>0</v>
      </c>
      <c r="AQ3560">
        <v>0</v>
      </c>
      <c r="AR3560">
        <v>0</v>
      </c>
      <c r="AS3560">
        <v>0</v>
      </c>
      <c r="AT3560">
        <v>1</v>
      </c>
      <c r="AV3560">
        <v>0</v>
      </c>
      <c r="AW3560">
        <v>0</v>
      </c>
    </row>
    <row r="3561" spans="1:49" x14ac:dyDescent="0.25">
      <c r="A3561" t="str">
        <f>"3557"</f>
        <v>3557</v>
      </c>
      <c r="B3561" t="str">
        <f t="shared" si="205"/>
        <v>1</v>
      </c>
      <c r="C3561" t="str">
        <f t="shared" si="206"/>
        <v>156</v>
      </c>
      <c r="D3561" t="str">
        <f>"1"</f>
        <v>1</v>
      </c>
      <c r="E3561" t="str">
        <f>"1-156-1"</f>
        <v>1-156-1</v>
      </c>
      <c r="F3561" t="s">
        <v>83</v>
      </c>
      <c r="G3561" t="s">
        <v>84</v>
      </c>
      <c r="H3561" t="s">
        <v>92</v>
      </c>
      <c r="I3561">
        <v>0</v>
      </c>
      <c r="J3561">
        <v>1</v>
      </c>
      <c r="N3561">
        <v>1</v>
      </c>
      <c r="O3561">
        <v>1</v>
      </c>
      <c r="P3561">
        <v>1</v>
      </c>
      <c r="Q3561">
        <v>1</v>
      </c>
      <c r="R3561">
        <v>1</v>
      </c>
      <c r="S3561">
        <v>1</v>
      </c>
      <c r="T3561">
        <v>1</v>
      </c>
      <c r="W3561">
        <v>1</v>
      </c>
      <c r="X3561">
        <v>1</v>
      </c>
      <c r="Y3561">
        <v>1</v>
      </c>
      <c r="Z3561">
        <v>1</v>
      </c>
      <c r="AA3561">
        <v>1</v>
      </c>
      <c r="AB3561">
        <v>1</v>
      </c>
    </row>
    <row r="3562" spans="1:49" x14ac:dyDescent="0.25">
      <c r="A3562" t="str">
        <f>"3558"</f>
        <v>3558</v>
      </c>
      <c r="B3562" t="str">
        <f t="shared" si="205"/>
        <v>1</v>
      </c>
      <c r="C3562" t="str">
        <f t="shared" si="206"/>
        <v>156</v>
      </c>
      <c r="D3562" t="str">
        <f>"25"</f>
        <v>25</v>
      </c>
      <c r="E3562" t="str">
        <f>"1-156-25"</f>
        <v>1-156-25</v>
      </c>
      <c r="F3562" t="s">
        <v>83</v>
      </c>
      <c r="G3562" t="s">
        <v>84</v>
      </c>
      <c r="H3562" t="s">
        <v>85</v>
      </c>
      <c r="AC3562">
        <v>0</v>
      </c>
      <c r="AD3562">
        <v>1</v>
      </c>
      <c r="AE3562">
        <v>0</v>
      </c>
      <c r="AF3562">
        <v>0</v>
      </c>
      <c r="AG3562">
        <v>0</v>
      </c>
      <c r="AJ3562">
        <v>1</v>
      </c>
      <c r="AK3562">
        <v>0</v>
      </c>
      <c r="AL3562">
        <v>0</v>
      </c>
      <c r="AM3562">
        <v>0</v>
      </c>
      <c r="AN3562">
        <v>1</v>
      </c>
      <c r="AO3562">
        <v>0</v>
      </c>
      <c r="AP3562">
        <v>0</v>
      </c>
      <c r="AQ3562">
        <v>0</v>
      </c>
      <c r="AR3562">
        <v>0</v>
      </c>
      <c r="AS3562">
        <v>0</v>
      </c>
      <c r="AT3562">
        <v>1</v>
      </c>
      <c r="AV3562">
        <v>0</v>
      </c>
      <c r="AW3562">
        <v>0</v>
      </c>
    </row>
    <row r="3563" spans="1:49" x14ac:dyDescent="0.25">
      <c r="A3563" t="str">
        <f>"3559"</f>
        <v>3559</v>
      </c>
      <c r="B3563" t="str">
        <f t="shared" si="205"/>
        <v>1</v>
      </c>
      <c r="C3563" t="str">
        <f t="shared" si="206"/>
        <v>156</v>
      </c>
      <c r="D3563" t="str">
        <f>"24"</f>
        <v>24</v>
      </c>
      <c r="E3563" t="str">
        <f>"1-156-24"</f>
        <v>1-156-24</v>
      </c>
      <c r="F3563" t="s">
        <v>83</v>
      </c>
      <c r="G3563" t="s">
        <v>84</v>
      </c>
      <c r="H3563" t="s">
        <v>85</v>
      </c>
      <c r="AC3563">
        <v>1</v>
      </c>
      <c r="AD3563">
        <v>0</v>
      </c>
      <c r="AE3563">
        <v>0</v>
      </c>
      <c r="AF3563">
        <v>0</v>
      </c>
      <c r="AG3563">
        <v>1</v>
      </c>
      <c r="AJ3563">
        <v>0</v>
      </c>
      <c r="AK3563">
        <v>1</v>
      </c>
      <c r="AL3563">
        <v>0</v>
      </c>
      <c r="AM3563">
        <v>1</v>
      </c>
      <c r="AN3563">
        <v>0</v>
      </c>
      <c r="AO3563">
        <v>1</v>
      </c>
      <c r="AP3563">
        <v>1</v>
      </c>
      <c r="AQ3563">
        <v>1</v>
      </c>
      <c r="AR3563">
        <v>1</v>
      </c>
      <c r="AS3563">
        <v>1</v>
      </c>
      <c r="AT3563">
        <v>0</v>
      </c>
      <c r="AV3563">
        <v>1</v>
      </c>
      <c r="AW3563">
        <v>1</v>
      </c>
    </row>
    <row r="3564" spans="1:49" x14ac:dyDescent="0.25">
      <c r="A3564" t="str">
        <f>"3560"</f>
        <v>3560</v>
      </c>
      <c r="B3564" t="str">
        <f t="shared" si="205"/>
        <v>1</v>
      </c>
      <c r="C3564" t="str">
        <f t="shared" si="206"/>
        <v>156</v>
      </c>
      <c r="D3564" t="str">
        <f>"16"</f>
        <v>16</v>
      </c>
      <c r="E3564" t="str">
        <f>"1-156-16"</f>
        <v>1-156-16</v>
      </c>
      <c r="F3564" t="s">
        <v>83</v>
      </c>
      <c r="G3564" t="s">
        <v>84</v>
      </c>
      <c r="H3564" t="s">
        <v>85</v>
      </c>
      <c r="AC3564">
        <v>1</v>
      </c>
      <c r="AD3564">
        <v>0</v>
      </c>
      <c r="AE3564">
        <v>0</v>
      </c>
      <c r="AF3564">
        <v>0</v>
      </c>
      <c r="AG3564">
        <v>1</v>
      </c>
      <c r="AJ3564">
        <v>1</v>
      </c>
      <c r="AK3564">
        <v>0</v>
      </c>
      <c r="AL3564">
        <v>0</v>
      </c>
      <c r="AM3564">
        <v>0</v>
      </c>
      <c r="AN3564">
        <v>0</v>
      </c>
      <c r="AO3564">
        <v>0</v>
      </c>
      <c r="AP3564">
        <v>0</v>
      </c>
      <c r="AQ3564">
        <v>0</v>
      </c>
      <c r="AR3564">
        <v>1</v>
      </c>
      <c r="AS3564">
        <v>1</v>
      </c>
      <c r="AT3564">
        <v>0</v>
      </c>
      <c r="AV3564">
        <v>0</v>
      </c>
      <c r="AW3564">
        <v>1</v>
      </c>
    </row>
    <row r="3565" spans="1:49" x14ac:dyDescent="0.25">
      <c r="A3565" t="str">
        <f>"3561"</f>
        <v>3561</v>
      </c>
      <c r="B3565" t="str">
        <f t="shared" si="205"/>
        <v>1</v>
      </c>
      <c r="C3565" t="str">
        <f t="shared" si="206"/>
        <v>156</v>
      </c>
      <c r="D3565" t="str">
        <f>"10"</f>
        <v>10</v>
      </c>
      <c r="E3565" t="str">
        <f>"1-156-10"</f>
        <v>1-156-10</v>
      </c>
      <c r="F3565" t="s">
        <v>83</v>
      </c>
      <c r="G3565" t="s">
        <v>84</v>
      </c>
      <c r="H3565" t="s">
        <v>85</v>
      </c>
      <c r="AC3565">
        <v>1</v>
      </c>
      <c r="AD3565">
        <v>0</v>
      </c>
      <c r="AE3565">
        <v>0</v>
      </c>
      <c r="AF3565">
        <v>0</v>
      </c>
      <c r="AG3565">
        <v>1</v>
      </c>
      <c r="AJ3565">
        <v>0</v>
      </c>
      <c r="AK3565">
        <v>1</v>
      </c>
      <c r="AL3565">
        <v>1</v>
      </c>
      <c r="AM3565">
        <v>0</v>
      </c>
      <c r="AN3565">
        <v>0</v>
      </c>
      <c r="AO3565">
        <v>1</v>
      </c>
      <c r="AP3565">
        <v>1</v>
      </c>
      <c r="AQ3565">
        <v>1</v>
      </c>
      <c r="AR3565">
        <v>0</v>
      </c>
      <c r="AS3565">
        <v>0</v>
      </c>
      <c r="AT3565">
        <v>1</v>
      </c>
      <c r="AV3565">
        <v>1</v>
      </c>
      <c r="AW3565">
        <v>1</v>
      </c>
    </row>
    <row r="3566" spans="1:49" x14ac:dyDescent="0.25">
      <c r="A3566" t="str">
        <f>"3562"</f>
        <v>3562</v>
      </c>
      <c r="B3566" t="str">
        <f t="shared" si="205"/>
        <v>1</v>
      </c>
      <c r="C3566" t="str">
        <f t="shared" si="206"/>
        <v>156</v>
      </c>
      <c r="D3566" t="str">
        <f>"7"</f>
        <v>7</v>
      </c>
      <c r="E3566" t="str">
        <f>"1-156-7"</f>
        <v>1-156-7</v>
      </c>
      <c r="F3566" t="s">
        <v>83</v>
      </c>
      <c r="G3566" t="s">
        <v>84</v>
      </c>
      <c r="H3566" t="s">
        <v>85</v>
      </c>
      <c r="AC3566">
        <v>1</v>
      </c>
      <c r="AD3566">
        <v>0</v>
      </c>
      <c r="AE3566">
        <v>0</v>
      </c>
      <c r="AF3566">
        <v>0</v>
      </c>
      <c r="AG3566">
        <v>1</v>
      </c>
      <c r="AJ3566">
        <v>0</v>
      </c>
      <c r="AK3566">
        <v>1</v>
      </c>
      <c r="AL3566">
        <v>0</v>
      </c>
      <c r="AM3566">
        <v>1</v>
      </c>
      <c r="AN3566">
        <v>0</v>
      </c>
      <c r="AO3566">
        <v>1</v>
      </c>
      <c r="AP3566">
        <v>1</v>
      </c>
      <c r="AQ3566">
        <v>1</v>
      </c>
      <c r="AR3566">
        <v>1</v>
      </c>
      <c r="AS3566">
        <v>0</v>
      </c>
      <c r="AT3566">
        <v>1</v>
      </c>
      <c r="AV3566">
        <v>1</v>
      </c>
      <c r="AW3566">
        <v>1</v>
      </c>
    </row>
    <row r="3567" spans="1:49" x14ac:dyDescent="0.25">
      <c r="A3567" t="str">
        <f>"3563"</f>
        <v>3563</v>
      </c>
      <c r="B3567" t="str">
        <f t="shared" si="205"/>
        <v>1</v>
      </c>
      <c r="C3567" t="str">
        <f t="shared" si="206"/>
        <v>156</v>
      </c>
      <c r="D3567" t="str">
        <f>"20"</f>
        <v>20</v>
      </c>
      <c r="E3567" t="str">
        <f>"1-156-20"</f>
        <v>1-156-20</v>
      </c>
      <c r="F3567" t="s">
        <v>83</v>
      </c>
      <c r="G3567" t="s">
        <v>84</v>
      </c>
      <c r="H3567" t="s">
        <v>85</v>
      </c>
      <c r="AC3567">
        <v>0</v>
      </c>
      <c r="AD3567">
        <v>1</v>
      </c>
      <c r="AE3567">
        <v>0</v>
      </c>
      <c r="AF3567">
        <v>0</v>
      </c>
      <c r="AG3567">
        <v>1</v>
      </c>
      <c r="AJ3567">
        <v>1</v>
      </c>
      <c r="AK3567">
        <v>0</v>
      </c>
      <c r="AL3567">
        <v>0</v>
      </c>
      <c r="AM3567">
        <v>0</v>
      </c>
      <c r="AN3567">
        <v>1</v>
      </c>
      <c r="AO3567">
        <v>1</v>
      </c>
      <c r="AP3567">
        <v>1</v>
      </c>
      <c r="AQ3567">
        <v>1</v>
      </c>
      <c r="AR3567">
        <v>1</v>
      </c>
      <c r="AS3567">
        <v>0</v>
      </c>
      <c r="AT3567">
        <v>1</v>
      </c>
      <c r="AV3567">
        <v>1</v>
      </c>
      <c r="AW3567">
        <v>1</v>
      </c>
    </row>
    <row r="3568" spans="1:49" x14ac:dyDescent="0.25">
      <c r="A3568" t="str">
        <f>"3564"</f>
        <v>3564</v>
      </c>
      <c r="B3568" t="str">
        <f t="shared" si="205"/>
        <v>1</v>
      </c>
      <c r="C3568" t="str">
        <f t="shared" si="206"/>
        <v>156</v>
      </c>
      <c r="D3568" t="str">
        <f>"12"</f>
        <v>12</v>
      </c>
      <c r="E3568" t="str">
        <f>"1-156-12"</f>
        <v>1-156-12</v>
      </c>
      <c r="F3568" t="s">
        <v>83</v>
      </c>
      <c r="G3568" t="s">
        <v>84</v>
      </c>
      <c r="H3568" t="s">
        <v>85</v>
      </c>
      <c r="AC3568">
        <v>1</v>
      </c>
      <c r="AD3568">
        <v>0</v>
      </c>
      <c r="AE3568">
        <v>0</v>
      </c>
      <c r="AF3568">
        <v>0</v>
      </c>
      <c r="AG3568">
        <v>0</v>
      </c>
      <c r="AJ3568">
        <v>0</v>
      </c>
      <c r="AK3568">
        <v>0</v>
      </c>
      <c r="AL3568">
        <v>0</v>
      </c>
      <c r="AM3568">
        <v>0</v>
      </c>
      <c r="AN3568">
        <v>0</v>
      </c>
      <c r="AO3568">
        <v>0</v>
      </c>
      <c r="AP3568">
        <v>0</v>
      </c>
      <c r="AQ3568">
        <v>0</v>
      </c>
      <c r="AR3568">
        <v>0</v>
      </c>
      <c r="AS3568">
        <v>0</v>
      </c>
      <c r="AT3568">
        <v>0</v>
      </c>
      <c r="AV3568">
        <v>0</v>
      </c>
      <c r="AW3568">
        <v>0</v>
      </c>
    </row>
    <row r="3569" spans="1:49" x14ac:dyDescent="0.25">
      <c r="A3569" t="str">
        <f>"3565"</f>
        <v>3565</v>
      </c>
      <c r="B3569" t="str">
        <f t="shared" si="205"/>
        <v>1</v>
      </c>
      <c r="C3569" t="str">
        <f t="shared" si="206"/>
        <v>156</v>
      </c>
      <c r="D3569" t="str">
        <f>"4"</f>
        <v>4</v>
      </c>
      <c r="E3569" t="str">
        <f>"1-156-4"</f>
        <v>1-156-4</v>
      </c>
      <c r="F3569" t="s">
        <v>83</v>
      </c>
      <c r="G3569" t="s">
        <v>84</v>
      </c>
      <c r="H3569" t="s">
        <v>85</v>
      </c>
      <c r="AC3569">
        <v>1</v>
      </c>
      <c r="AD3569">
        <v>0</v>
      </c>
      <c r="AE3569">
        <v>0</v>
      </c>
      <c r="AF3569">
        <v>0</v>
      </c>
      <c r="AG3569">
        <v>0</v>
      </c>
      <c r="AJ3569">
        <v>1</v>
      </c>
      <c r="AK3569">
        <v>0</v>
      </c>
      <c r="AL3569">
        <v>0</v>
      </c>
      <c r="AM3569">
        <v>0</v>
      </c>
      <c r="AN3569">
        <v>0</v>
      </c>
      <c r="AO3569">
        <v>0</v>
      </c>
      <c r="AP3569">
        <v>0</v>
      </c>
      <c r="AQ3569">
        <v>0</v>
      </c>
      <c r="AR3569">
        <v>0</v>
      </c>
      <c r="AS3569">
        <v>0</v>
      </c>
      <c r="AT3569">
        <v>0</v>
      </c>
      <c r="AV3569">
        <v>0</v>
      </c>
      <c r="AW3569">
        <v>0</v>
      </c>
    </row>
    <row r="3570" spans="1:49" x14ac:dyDescent="0.25">
      <c r="A3570" t="str">
        <f>"3566"</f>
        <v>3566</v>
      </c>
      <c r="B3570" t="str">
        <f t="shared" si="205"/>
        <v>1</v>
      </c>
      <c r="C3570" t="str">
        <f t="shared" si="206"/>
        <v>156</v>
      </c>
      <c r="D3570" t="str">
        <f>"21"</f>
        <v>21</v>
      </c>
      <c r="E3570" t="str">
        <f>"1-156-21"</f>
        <v>1-156-21</v>
      </c>
      <c r="F3570" t="s">
        <v>83</v>
      </c>
      <c r="G3570" t="s">
        <v>84</v>
      </c>
      <c r="H3570" t="s">
        <v>85</v>
      </c>
      <c r="AC3570">
        <v>0</v>
      </c>
      <c r="AD3570">
        <v>1</v>
      </c>
      <c r="AE3570">
        <v>0</v>
      </c>
      <c r="AF3570">
        <v>0</v>
      </c>
      <c r="AG3570">
        <v>1</v>
      </c>
      <c r="AJ3570">
        <v>1</v>
      </c>
      <c r="AK3570">
        <v>0</v>
      </c>
      <c r="AL3570">
        <v>0</v>
      </c>
      <c r="AM3570">
        <v>0</v>
      </c>
      <c r="AN3570">
        <v>1</v>
      </c>
      <c r="AO3570">
        <v>1</v>
      </c>
      <c r="AP3570">
        <v>1</v>
      </c>
      <c r="AQ3570">
        <v>1</v>
      </c>
      <c r="AR3570">
        <v>1</v>
      </c>
      <c r="AS3570">
        <v>0</v>
      </c>
      <c r="AT3570">
        <v>1</v>
      </c>
      <c r="AV3570">
        <v>1</v>
      </c>
      <c r="AW3570">
        <v>1</v>
      </c>
    </row>
    <row r="3571" spans="1:49" x14ac:dyDescent="0.25">
      <c r="A3571" t="str">
        <f>"3567"</f>
        <v>3567</v>
      </c>
      <c r="B3571" t="str">
        <f t="shared" si="205"/>
        <v>1</v>
      </c>
      <c r="C3571" t="str">
        <f t="shared" si="206"/>
        <v>156</v>
      </c>
      <c r="D3571" t="str">
        <f>"13"</f>
        <v>13</v>
      </c>
      <c r="E3571" t="str">
        <f>"1-156-13"</f>
        <v>1-156-13</v>
      </c>
      <c r="F3571" t="s">
        <v>83</v>
      </c>
      <c r="G3571" t="s">
        <v>84</v>
      </c>
      <c r="H3571" t="s">
        <v>85</v>
      </c>
      <c r="AC3571">
        <v>0</v>
      </c>
      <c r="AD3571">
        <v>1</v>
      </c>
      <c r="AE3571">
        <v>0</v>
      </c>
      <c r="AF3571">
        <v>0</v>
      </c>
      <c r="AG3571">
        <v>0</v>
      </c>
      <c r="AJ3571">
        <v>0</v>
      </c>
      <c r="AK3571">
        <v>1</v>
      </c>
      <c r="AL3571">
        <v>0</v>
      </c>
      <c r="AM3571">
        <v>0</v>
      </c>
      <c r="AN3571">
        <v>1</v>
      </c>
      <c r="AO3571">
        <v>0</v>
      </c>
      <c r="AP3571">
        <v>0</v>
      </c>
      <c r="AQ3571">
        <v>0</v>
      </c>
      <c r="AR3571">
        <v>0</v>
      </c>
      <c r="AS3571">
        <v>0</v>
      </c>
      <c r="AT3571">
        <v>0</v>
      </c>
      <c r="AV3571">
        <v>0</v>
      </c>
      <c r="AW3571">
        <v>0</v>
      </c>
    </row>
    <row r="3572" spans="1:49" x14ac:dyDescent="0.25">
      <c r="A3572" t="str">
        <f>"3568"</f>
        <v>3568</v>
      </c>
      <c r="B3572" t="str">
        <f t="shared" si="205"/>
        <v>1</v>
      </c>
      <c r="C3572" t="str">
        <f t="shared" si="206"/>
        <v>156</v>
      </c>
      <c r="D3572" t="str">
        <f>"3"</f>
        <v>3</v>
      </c>
      <c r="E3572" t="str">
        <f>"1-156-3"</f>
        <v>1-156-3</v>
      </c>
      <c r="F3572" t="s">
        <v>83</v>
      </c>
      <c r="G3572" t="s">
        <v>88</v>
      </c>
      <c r="H3572" t="s">
        <v>95</v>
      </c>
      <c r="I3572">
        <v>1</v>
      </c>
      <c r="K3572">
        <v>1</v>
      </c>
      <c r="L3572">
        <v>0</v>
      </c>
      <c r="M3572">
        <v>0</v>
      </c>
      <c r="N3572">
        <v>1</v>
      </c>
      <c r="O3572">
        <v>1</v>
      </c>
      <c r="P3572">
        <v>1</v>
      </c>
      <c r="Q3572">
        <v>1</v>
      </c>
      <c r="R3572">
        <v>1</v>
      </c>
      <c r="S3572">
        <v>1</v>
      </c>
      <c r="T3572">
        <v>1</v>
      </c>
      <c r="W3572">
        <v>1</v>
      </c>
      <c r="X3572">
        <v>1</v>
      </c>
      <c r="Y3572">
        <v>1</v>
      </c>
      <c r="Z3572">
        <v>1</v>
      </c>
      <c r="AA3572">
        <v>1</v>
      </c>
      <c r="AB3572">
        <v>1</v>
      </c>
    </row>
    <row r="3573" spans="1:49" x14ac:dyDescent="0.25">
      <c r="A3573" t="str">
        <f>"3569"</f>
        <v>3569</v>
      </c>
      <c r="B3573" t="str">
        <f t="shared" si="205"/>
        <v>1</v>
      </c>
      <c r="C3573" t="str">
        <f t="shared" si="206"/>
        <v>156</v>
      </c>
      <c r="D3573" t="str">
        <f>"18"</f>
        <v>18</v>
      </c>
      <c r="E3573" t="str">
        <f>"1-156-18"</f>
        <v>1-156-18</v>
      </c>
      <c r="F3573" t="s">
        <v>83</v>
      </c>
      <c r="G3573" t="s">
        <v>84</v>
      </c>
      <c r="H3573" t="s">
        <v>85</v>
      </c>
      <c r="AC3573">
        <v>1</v>
      </c>
      <c r="AD3573">
        <v>0</v>
      </c>
      <c r="AE3573">
        <v>0</v>
      </c>
      <c r="AF3573">
        <v>0</v>
      </c>
      <c r="AG3573">
        <v>1</v>
      </c>
      <c r="AJ3573">
        <v>1</v>
      </c>
      <c r="AK3573">
        <v>0</v>
      </c>
      <c r="AL3573">
        <v>0</v>
      </c>
      <c r="AM3573">
        <v>0</v>
      </c>
      <c r="AN3573">
        <v>1</v>
      </c>
      <c r="AO3573">
        <v>1</v>
      </c>
      <c r="AP3573">
        <v>1</v>
      </c>
      <c r="AQ3573">
        <v>1</v>
      </c>
      <c r="AR3573">
        <v>1</v>
      </c>
      <c r="AS3573">
        <v>0</v>
      </c>
      <c r="AT3573">
        <v>1</v>
      </c>
      <c r="AV3573">
        <v>1</v>
      </c>
      <c r="AW3573">
        <v>0</v>
      </c>
    </row>
    <row r="3574" spans="1:49" x14ac:dyDescent="0.25">
      <c r="A3574" t="str">
        <f>"3570"</f>
        <v>3570</v>
      </c>
      <c r="B3574" t="str">
        <f t="shared" si="205"/>
        <v>1</v>
      </c>
      <c r="C3574" t="str">
        <f t="shared" si="206"/>
        <v>156</v>
      </c>
      <c r="D3574" t="str">
        <f>"2"</f>
        <v>2</v>
      </c>
      <c r="E3574" t="str">
        <f>"1-156-2"</f>
        <v>1-156-2</v>
      </c>
      <c r="F3574" t="s">
        <v>83</v>
      </c>
      <c r="G3574" t="s">
        <v>86</v>
      </c>
      <c r="H3574" t="s">
        <v>87</v>
      </c>
      <c r="AC3574">
        <v>0</v>
      </c>
      <c r="AD3574">
        <v>1</v>
      </c>
      <c r="AE3574">
        <v>0</v>
      </c>
      <c r="AF3574">
        <v>0</v>
      </c>
      <c r="AH3574">
        <v>1</v>
      </c>
      <c r="AI3574">
        <v>0</v>
      </c>
      <c r="AJ3574">
        <v>0</v>
      </c>
      <c r="AK3574">
        <v>1</v>
      </c>
      <c r="AL3574">
        <v>0</v>
      </c>
      <c r="AM3574">
        <v>0</v>
      </c>
      <c r="AN3574">
        <v>1</v>
      </c>
      <c r="AO3574">
        <v>1</v>
      </c>
      <c r="AP3574">
        <v>1</v>
      </c>
      <c r="AQ3574">
        <v>1</v>
      </c>
      <c r="AU3574">
        <v>1</v>
      </c>
      <c r="AV3574">
        <v>1</v>
      </c>
      <c r="AW3574">
        <v>0</v>
      </c>
    </row>
    <row r="3575" spans="1:49" x14ac:dyDescent="0.25">
      <c r="A3575" t="str">
        <f>"3571"</f>
        <v>3571</v>
      </c>
      <c r="B3575" t="str">
        <f t="shared" si="205"/>
        <v>1</v>
      </c>
      <c r="C3575" t="str">
        <f t="shared" si="206"/>
        <v>156</v>
      </c>
      <c r="D3575" t="str">
        <f>"19"</f>
        <v>19</v>
      </c>
      <c r="E3575" t="str">
        <f>"1-156-19"</f>
        <v>1-156-19</v>
      </c>
      <c r="F3575" t="s">
        <v>83</v>
      </c>
      <c r="G3575" t="s">
        <v>84</v>
      </c>
      <c r="H3575" t="s">
        <v>85</v>
      </c>
      <c r="AC3575">
        <v>0</v>
      </c>
      <c r="AD3575">
        <v>1</v>
      </c>
      <c r="AE3575">
        <v>0</v>
      </c>
      <c r="AF3575">
        <v>0</v>
      </c>
      <c r="AG3575">
        <v>0</v>
      </c>
      <c r="AJ3575">
        <v>0</v>
      </c>
      <c r="AK3575">
        <v>1</v>
      </c>
      <c r="AL3575">
        <v>0</v>
      </c>
      <c r="AM3575">
        <v>0</v>
      </c>
      <c r="AN3575">
        <v>1</v>
      </c>
      <c r="AO3575">
        <v>0</v>
      </c>
      <c r="AP3575">
        <v>0</v>
      </c>
      <c r="AQ3575">
        <v>0</v>
      </c>
      <c r="AR3575">
        <v>0</v>
      </c>
      <c r="AS3575">
        <v>1</v>
      </c>
      <c r="AT3575">
        <v>0</v>
      </c>
      <c r="AV3575">
        <v>0</v>
      </c>
      <c r="AW3575">
        <v>0</v>
      </c>
    </row>
    <row r="3576" spans="1:49" x14ac:dyDescent="0.25">
      <c r="A3576" t="str">
        <f>"3572"</f>
        <v>3572</v>
      </c>
      <c r="B3576" t="str">
        <f t="shared" si="205"/>
        <v>1</v>
      </c>
      <c r="C3576" t="str">
        <f t="shared" si="206"/>
        <v>156</v>
      </c>
      <c r="D3576" t="str">
        <f>"5"</f>
        <v>5</v>
      </c>
      <c r="E3576" t="str">
        <f>"1-156-5"</f>
        <v>1-156-5</v>
      </c>
      <c r="F3576" t="s">
        <v>83</v>
      </c>
      <c r="G3576" t="s">
        <v>84</v>
      </c>
      <c r="H3576" t="s">
        <v>85</v>
      </c>
      <c r="AC3576">
        <v>0</v>
      </c>
      <c r="AD3576">
        <v>1</v>
      </c>
      <c r="AE3576">
        <v>0</v>
      </c>
      <c r="AF3576">
        <v>0</v>
      </c>
      <c r="AG3576">
        <v>1</v>
      </c>
      <c r="AJ3576">
        <v>0</v>
      </c>
      <c r="AK3576">
        <v>1</v>
      </c>
      <c r="AL3576">
        <v>0</v>
      </c>
      <c r="AM3576">
        <v>0</v>
      </c>
      <c r="AN3576">
        <v>1</v>
      </c>
      <c r="AO3576">
        <v>1</v>
      </c>
      <c r="AP3576">
        <v>1</v>
      </c>
      <c r="AQ3576">
        <v>1</v>
      </c>
      <c r="AR3576">
        <v>1</v>
      </c>
      <c r="AS3576">
        <v>0</v>
      </c>
      <c r="AT3576">
        <v>1</v>
      </c>
      <c r="AV3576">
        <v>1</v>
      </c>
      <c r="AW3576">
        <v>1</v>
      </c>
    </row>
    <row r="3577" spans="1:49" x14ac:dyDescent="0.25">
      <c r="A3577" t="str">
        <f>"3573"</f>
        <v>3573</v>
      </c>
      <c r="B3577" t="str">
        <f t="shared" si="205"/>
        <v>1</v>
      </c>
      <c r="C3577" t="str">
        <f t="shared" ref="C3577:C3601" si="207">"157"</f>
        <v>157</v>
      </c>
      <c r="D3577" t="str">
        <f>"23"</f>
        <v>23</v>
      </c>
      <c r="E3577" t="str">
        <f>"1-157-23"</f>
        <v>1-157-23</v>
      </c>
      <c r="F3577" t="s">
        <v>83</v>
      </c>
      <c r="G3577" t="s">
        <v>84</v>
      </c>
      <c r="H3577" t="s">
        <v>85</v>
      </c>
      <c r="AC3577">
        <v>0</v>
      </c>
      <c r="AD3577">
        <v>1</v>
      </c>
      <c r="AE3577">
        <v>0</v>
      </c>
      <c r="AF3577">
        <v>0</v>
      </c>
      <c r="AG3577">
        <v>1</v>
      </c>
      <c r="AJ3577">
        <v>0</v>
      </c>
      <c r="AK3577">
        <v>1</v>
      </c>
      <c r="AL3577">
        <v>0</v>
      </c>
      <c r="AM3577">
        <v>1</v>
      </c>
      <c r="AN3577">
        <v>0</v>
      </c>
      <c r="AO3577">
        <v>1</v>
      </c>
      <c r="AP3577">
        <v>1</v>
      </c>
      <c r="AQ3577">
        <v>1</v>
      </c>
      <c r="AR3577">
        <v>1</v>
      </c>
      <c r="AS3577">
        <v>0</v>
      </c>
      <c r="AT3577">
        <v>1</v>
      </c>
      <c r="AV3577">
        <v>1</v>
      </c>
      <c r="AW3577">
        <v>1</v>
      </c>
    </row>
    <row r="3578" spans="1:49" x14ac:dyDescent="0.25">
      <c r="A3578" t="str">
        <f>"3574"</f>
        <v>3574</v>
      </c>
      <c r="B3578" t="str">
        <f t="shared" si="205"/>
        <v>1</v>
      </c>
      <c r="C3578" t="str">
        <f t="shared" si="207"/>
        <v>157</v>
      </c>
      <c r="D3578" t="str">
        <f>"22"</f>
        <v>22</v>
      </c>
      <c r="E3578" t="str">
        <f>"1-157-22"</f>
        <v>1-157-22</v>
      </c>
      <c r="F3578" t="s">
        <v>83</v>
      </c>
      <c r="G3578" t="s">
        <v>84</v>
      </c>
      <c r="H3578" t="s">
        <v>85</v>
      </c>
      <c r="AC3578">
        <v>1</v>
      </c>
      <c r="AD3578">
        <v>0</v>
      </c>
      <c r="AE3578">
        <v>0</v>
      </c>
      <c r="AF3578">
        <v>0</v>
      </c>
      <c r="AG3578">
        <v>1</v>
      </c>
      <c r="AJ3578">
        <v>1</v>
      </c>
      <c r="AK3578">
        <v>0</v>
      </c>
      <c r="AL3578">
        <v>0</v>
      </c>
      <c r="AM3578">
        <v>0</v>
      </c>
      <c r="AN3578">
        <v>1</v>
      </c>
      <c r="AO3578">
        <v>1</v>
      </c>
      <c r="AP3578">
        <v>1</v>
      </c>
      <c r="AQ3578">
        <v>1</v>
      </c>
      <c r="AR3578">
        <v>1</v>
      </c>
      <c r="AS3578">
        <v>1</v>
      </c>
      <c r="AT3578">
        <v>0</v>
      </c>
      <c r="AV3578">
        <v>0</v>
      </c>
      <c r="AW3578">
        <v>1</v>
      </c>
    </row>
    <row r="3579" spans="1:49" x14ac:dyDescent="0.25">
      <c r="A3579" t="str">
        <f>"3575"</f>
        <v>3575</v>
      </c>
      <c r="B3579" t="str">
        <f t="shared" si="205"/>
        <v>1</v>
      </c>
      <c r="C3579" t="str">
        <f t="shared" si="207"/>
        <v>157</v>
      </c>
      <c r="D3579" t="str">
        <f>"15"</f>
        <v>15</v>
      </c>
      <c r="E3579" t="str">
        <f>"1-157-15"</f>
        <v>1-157-15</v>
      </c>
      <c r="F3579" t="s">
        <v>83</v>
      </c>
      <c r="G3579" t="s">
        <v>84</v>
      </c>
      <c r="H3579" t="s">
        <v>85</v>
      </c>
      <c r="AC3579">
        <v>1</v>
      </c>
      <c r="AD3579">
        <v>0</v>
      </c>
      <c r="AE3579">
        <v>0</v>
      </c>
      <c r="AF3579">
        <v>0</v>
      </c>
      <c r="AG3579">
        <v>0</v>
      </c>
      <c r="AJ3579">
        <v>1</v>
      </c>
      <c r="AK3579">
        <v>0</v>
      </c>
      <c r="AL3579">
        <v>0</v>
      </c>
      <c r="AM3579">
        <v>1</v>
      </c>
      <c r="AN3579">
        <v>0</v>
      </c>
      <c r="AO3579">
        <v>0</v>
      </c>
      <c r="AP3579">
        <v>0</v>
      </c>
      <c r="AQ3579">
        <v>0</v>
      </c>
      <c r="AR3579">
        <v>0</v>
      </c>
      <c r="AS3579">
        <v>0</v>
      </c>
      <c r="AT3579">
        <v>1</v>
      </c>
      <c r="AV3579">
        <v>0</v>
      </c>
      <c r="AW3579">
        <v>0</v>
      </c>
    </row>
    <row r="3580" spans="1:49" x14ac:dyDescent="0.25">
      <c r="A3580" t="str">
        <f>"3576"</f>
        <v>3576</v>
      </c>
      <c r="B3580" t="str">
        <f t="shared" si="205"/>
        <v>1</v>
      </c>
      <c r="C3580" t="str">
        <f t="shared" si="207"/>
        <v>157</v>
      </c>
      <c r="D3580" t="str">
        <f>"8"</f>
        <v>8</v>
      </c>
      <c r="E3580" t="str">
        <f>"1-157-8"</f>
        <v>1-157-8</v>
      </c>
      <c r="F3580" t="s">
        <v>83</v>
      </c>
      <c r="G3580" t="s">
        <v>86</v>
      </c>
      <c r="H3580" t="s">
        <v>87</v>
      </c>
      <c r="AC3580">
        <v>1</v>
      </c>
      <c r="AD3580">
        <v>0</v>
      </c>
      <c r="AE3580">
        <v>0</v>
      </c>
      <c r="AF3580">
        <v>0</v>
      </c>
      <c r="AH3580">
        <v>0</v>
      </c>
      <c r="AI3580">
        <v>1</v>
      </c>
      <c r="AJ3580">
        <v>1</v>
      </c>
      <c r="AK3580">
        <v>0</v>
      </c>
      <c r="AL3580">
        <v>1</v>
      </c>
      <c r="AM3580">
        <v>0</v>
      </c>
      <c r="AN3580">
        <v>0</v>
      </c>
      <c r="AO3580">
        <v>0</v>
      </c>
      <c r="AP3580">
        <v>1</v>
      </c>
      <c r="AQ3580">
        <v>1</v>
      </c>
      <c r="AU3580">
        <v>1</v>
      </c>
      <c r="AV3580">
        <v>1</v>
      </c>
      <c r="AW3580">
        <v>1</v>
      </c>
    </row>
    <row r="3581" spans="1:49" x14ac:dyDescent="0.25">
      <c r="A3581" t="str">
        <f>"3577"</f>
        <v>3577</v>
      </c>
      <c r="B3581" t="str">
        <f t="shared" si="205"/>
        <v>1</v>
      </c>
      <c r="C3581" t="str">
        <f t="shared" si="207"/>
        <v>157</v>
      </c>
      <c r="D3581" t="str">
        <f>"7"</f>
        <v>7</v>
      </c>
      <c r="E3581" t="str">
        <f>"1-157-7"</f>
        <v>1-157-7</v>
      </c>
      <c r="F3581" t="s">
        <v>83</v>
      </c>
      <c r="G3581" t="s">
        <v>84</v>
      </c>
      <c r="H3581" t="s">
        <v>92</v>
      </c>
      <c r="I3581">
        <v>1</v>
      </c>
      <c r="J3581">
        <v>1</v>
      </c>
      <c r="N3581">
        <v>1</v>
      </c>
      <c r="O3581">
        <v>1</v>
      </c>
      <c r="P3581">
        <v>1</v>
      </c>
      <c r="Q3581">
        <v>1</v>
      </c>
      <c r="R3581">
        <v>1</v>
      </c>
      <c r="S3581">
        <v>1</v>
      </c>
      <c r="T3581">
        <v>1</v>
      </c>
      <c r="W3581">
        <v>1</v>
      </c>
      <c r="X3581">
        <v>1</v>
      </c>
      <c r="Y3581">
        <v>1</v>
      </c>
      <c r="Z3581">
        <v>1</v>
      </c>
      <c r="AA3581">
        <v>1</v>
      </c>
      <c r="AB3581">
        <v>1</v>
      </c>
    </row>
    <row r="3582" spans="1:49" x14ac:dyDescent="0.25">
      <c r="A3582" t="str">
        <f>"3578"</f>
        <v>3578</v>
      </c>
      <c r="B3582" t="str">
        <f t="shared" si="205"/>
        <v>1</v>
      </c>
      <c r="C3582" t="str">
        <f t="shared" si="207"/>
        <v>157</v>
      </c>
      <c r="D3582" t="str">
        <f>"25"</f>
        <v>25</v>
      </c>
      <c r="E3582" t="str">
        <f>"1-157-25"</f>
        <v>1-157-25</v>
      </c>
      <c r="F3582" t="s">
        <v>83</v>
      </c>
      <c r="G3582" t="s">
        <v>84</v>
      </c>
      <c r="H3582" t="s">
        <v>85</v>
      </c>
      <c r="AC3582">
        <v>1</v>
      </c>
      <c r="AD3582">
        <v>0</v>
      </c>
      <c r="AE3582">
        <v>0</v>
      </c>
      <c r="AF3582">
        <v>0</v>
      </c>
      <c r="AG3582">
        <v>1</v>
      </c>
      <c r="AJ3582">
        <v>0</v>
      </c>
      <c r="AK3582">
        <v>1</v>
      </c>
      <c r="AL3582">
        <v>1</v>
      </c>
      <c r="AM3582">
        <v>0</v>
      </c>
      <c r="AN3582">
        <v>0</v>
      </c>
      <c r="AO3582">
        <v>1</v>
      </c>
      <c r="AP3582">
        <v>1</v>
      </c>
      <c r="AQ3582">
        <v>1</v>
      </c>
      <c r="AR3582">
        <v>1</v>
      </c>
      <c r="AS3582">
        <v>0</v>
      </c>
      <c r="AT3582">
        <v>1</v>
      </c>
      <c r="AV3582">
        <v>1</v>
      </c>
      <c r="AW3582">
        <v>0</v>
      </c>
    </row>
    <row r="3583" spans="1:49" x14ac:dyDescent="0.25">
      <c r="A3583" t="str">
        <f>"3579"</f>
        <v>3579</v>
      </c>
      <c r="B3583" t="str">
        <f t="shared" si="205"/>
        <v>1</v>
      </c>
      <c r="C3583" t="str">
        <f t="shared" si="207"/>
        <v>157</v>
      </c>
      <c r="D3583" t="str">
        <f>"24"</f>
        <v>24</v>
      </c>
      <c r="E3583" t="str">
        <f>"1-157-24"</f>
        <v>1-157-24</v>
      </c>
      <c r="F3583" t="s">
        <v>83</v>
      </c>
      <c r="G3583" t="s">
        <v>84</v>
      </c>
      <c r="H3583" t="s">
        <v>85</v>
      </c>
      <c r="AC3583">
        <v>1</v>
      </c>
      <c r="AD3583">
        <v>0</v>
      </c>
      <c r="AE3583">
        <v>0</v>
      </c>
      <c r="AF3583">
        <v>0</v>
      </c>
      <c r="AG3583">
        <v>1</v>
      </c>
      <c r="AJ3583">
        <v>1</v>
      </c>
      <c r="AK3583">
        <v>0</v>
      </c>
      <c r="AL3583">
        <v>1</v>
      </c>
      <c r="AM3583">
        <v>0</v>
      </c>
      <c r="AN3583">
        <v>0</v>
      </c>
      <c r="AO3583">
        <v>1</v>
      </c>
      <c r="AP3583">
        <v>1</v>
      </c>
      <c r="AQ3583">
        <v>1</v>
      </c>
      <c r="AR3583">
        <v>1</v>
      </c>
      <c r="AS3583">
        <v>0</v>
      </c>
      <c r="AT3583">
        <v>1</v>
      </c>
      <c r="AV3583">
        <v>1</v>
      </c>
      <c r="AW3583">
        <v>1</v>
      </c>
    </row>
    <row r="3584" spans="1:49" x14ac:dyDescent="0.25">
      <c r="A3584" t="str">
        <f>"3580"</f>
        <v>3580</v>
      </c>
      <c r="B3584" t="str">
        <f t="shared" si="205"/>
        <v>1</v>
      </c>
      <c r="C3584" t="str">
        <f t="shared" si="207"/>
        <v>157</v>
      </c>
      <c r="D3584" t="str">
        <f>"16"</f>
        <v>16</v>
      </c>
      <c r="E3584" t="str">
        <f>"1-157-16"</f>
        <v>1-157-16</v>
      </c>
      <c r="F3584" t="s">
        <v>83</v>
      </c>
      <c r="G3584" t="s">
        <v>84</v>
      </c>
      <c r="H3584" t="s">
        <v>85</v>
      </c>
      <c r="AC3584">
        <v>0</v>
      </c>
      <c r="AD3584">
        <v>1</v>
      </c>
      <c r="AE3584">
        <v>0</v>
      </c>
      <c r="AF3584">
        <v>0</v>
      </c>
      <c r="AG3584">
        <v>0</v>
      </c>
      <c r="AJ3584">
        <v>0</v>
      </c>
      <c r="AK3584">
        <v>1</v>
      </c>
      <c r="AL3584">
        <v>1</v>
      </c>
      <c r="AM3584">
        <v>0</v>
      </c>
      <c r="AN3584">
        <v>0</v>
      </c>
      <c r="AO3584">
        <v>1</v>
      </c>
      <c r="AP3584">
        <v>1</v>
      </c>
      <c r="AQ3584">
        <v>1</v>
      </c>
      <c r="AR3584">
        <v>1</v>
      </c>
      <c r="AS3584">
        <v>1</v>
      </c>
      <c r="AT3584">
        <v>0</v>
      </c>
      <c r="AV3584">
        <v>1</v>
      </c>
      <c r="AW3584">
        <v>1</v>
      </c>
    </row>
    <row r="3585" spans="1:49" x14ac:dyDescent="0.25">
      <c r="A3585" t="str">
        <f>"3581"</f>
        <v>3581</v>
      </c>
      <c r="B3585" t="str">
        <f t="shared" si="205"/>
        <v>1</v>
      </c>
      <c r="C3585" t="str">
        <f t="shared" si="207"/>
        <v>157</v>
      </c>
      <c r="D3585" t="str">
        <f>"9"</f>
        <v>9</v>
      </c>
      <c r="E3585" t="str">
        <f>"1-157-9"</f>
        <v>1-157-9</v>
      </c>
      <c r="F3585" t="s">
        <v>83</v>
      </c>
      <c r="G3585" t="s">
        <v>84</v>
      </c>
      <c r="H3585" t="s">
        <v>85</v>
      </c>
      <c r="AC3585">
        <v>0</v>
      </c>
      <c r="AD3585">
        <v>0</v>
      </c>
      <c r="AE3585">
        <v>0</v>
      </c>
      <c r="AF3585">
        <v>0</v>
      </c>
      <c r="AG3585">
        <v>1</v>
      </c>
      <c r="AJ3585">
        <v>0</v>
      </c>
      <c r="AK3585">
        <v>1</v>
      </c>
      <c r="AL3585">
        <v>0</v>
      </c>
      <c r="AM3585">
        <v>1</v>
      </c>
      <c r="AN3585">
        <v>0</v>
      </c>
      <c r="AO3585">
        <v>1</v>
      </c>
      <c r="AP3585">
        <v>1</v>
      </c>
      <c r="AQ3585">
        <v>1</v>
      </c>
      <c r="AR3585">
        <v>1</v>
      </c>
      <c r="AS3585">
        <v>0</v>
      </c>
      <c r="AT3585">
        <v>1</v>
      </c>
      <c r="AV3585">
        <v>1</v>
      </c>
      <c r="AW3585">
        <v>1</v>
      </c>
    </row>
    <row r="3586" spans="1:49" x14ac:dyDescent="0.25">
      <c r="A3586" t="str">
        <f>"3582"</f>
        <v>3582</v>
      </c>
      <c r="B3586" t="str">
        <f t="shared" si="205"/>
        <v>1</v>
      </c>
      <c r="C3586" t="str">
        <f t="shared" si="207"/>
        <v>157</v>
      </c>
      <c r="D3586" t="str">
        <f>"1"</f>
        <v>1</v>
      </c>
      <c r="E3586" t="str">
        <f>"1-157-1"</f>
        <v>1-157-1</v>
      </c>
      <c r="F3586" t="s">
        <v>83</v>
      </c>
      <c r="G3586" t="s">
        <v>84</v>
      </c>
      <c r="H3586" t="s">
        <v>85</v>
      </c>
      <c r="AC3586">
        <v>1</v>
      </c>
      <c r="AD3586">
        <v>0</v>
      </c>
      <c r="AE3586">
        <v>0</v>
      </c>
      <c r="AF3586">
        <v>0</v>
      </c>
      <c r="AG3586">
        <v>0</v>
      </c>
      <c r="AJ3586">
        <v>0</v>
      </c>
      <c r="AK3586">
        <v>1</v>
      </c>
      <c r="AL3586">
        <v>1</v>
      </c>
      <c r="AM3586">
        <v>0</v>
      </c>
      <c r="AN3586">
        <v>0</v>
      </c>
      <c r="AO3586">
        <v>0</v>
      </c>
      <c r="AP3586">
        <v>0</v>
      </c>
      <c r="AQ3586">
        <v>0</v>
      </c>
      <c r="AR3586">
        <v>0</v>
      </c>
      <c r="AS3586">
        <v>0</v>
      </c>
      <c r="AT3586">
        <v>0</v>
      </c>
      <c r="AV3586">
        <v>0</v>
      </c>
      <c r="AW3586">
        <v>0</v>
      </c>
    </row>
    <row r="3587" spans="1:49" x14ac:dyDescent="0.25">
      <c r="A3587" t="str">
        <f>"3583"</f>
        <v>3583</v>
      </c>
      <c r="B3587" t="str">
        <f t="shared" si="205"/>
        <v>1</v>
      </c>
      <c r="C3587" t="str">
        <f t="shared" si="207"/>
        <v>157</v>
      </c>
      <c r="D3587" t="str">
        <f>"18"</f>
        <v>18</v>
      </c>
      <c r="E3587" t="str">
        <f>"1-157-18"</f>
        <v>1-157-18</v>
      </c>
      <c r="F3587" t="s">
        <v>83</v>
      </c>
      <c r="G3587" t="s">
        <v>84</v>
      </c>
      <c r="H3587" t="s">
        <v>85</v>
      </c>
      <c r="AC3587">
        <v>0</v>
      </c>
      <c r="AD3587">
        <v>1</v>
      </c>
      <c r="AE3587">
        <v>0</v>
      </c>
      <c r="AF3587">
        <v>0</v>
      </c>
      <c r="AG3587">
        <v>1</v>
      </c>
      <c r="AJ3587">
        <v>0</v>
      </c>
      <c r="AK3587">
        <v>1</v>
      </c>
      <c r="AL3587">
        <v>1</v>
      </c>
      <c r="AM3587">
        <v>0</v>
      </c>
      <c r="AN3587">
        <v>0</v>
      </c>
      <c r="AO3587">
        <v>1</v>
      </c>
      <c r="AP3587">
        <v>1</v>
      </c>
      <c r="AQ3587">
        <v>1</v>
      </c>
      <c r="AR3587">
        <v>1</v>
      </c>
      <c r="AS3587">
        <v>1</v>
      </c>
      <c r="AT3587">
        <v>0</v>
      </c>
      <c r="AV3587">
        <v>1</v>
      </c>
      <c r="AW3587">
        <v>1</v>
      </c>
    </row>
    <row r="3588" spans="1:49" x14ac:dyDescent="0.25">
      <c r="A3588" t="str">
        <f>"3584"</f>
        <v>3584</v>
      </c>
      <c r="B3588" t="str">
        <f t="shared" si="205"/>
        <v>1</v>
      </c>
      <c r="C3588" t="str">
        <f t="shared" si="207"/>
        <v>157</v>
      </c>
      <c r="D3588" t="str">
        <f>"10"</f>
        <v>10</v>
      </c>
      <c r="E3588" t="str">
        <f>"1-157-10"</f>
        <v>1-157-10</v>
      </c>
      <c r="F3588" t="s">
        <v>83</v>
      </c>
      <c r="G3588" t="s">
        <v>84</v>
      </c>
      <c r="H3588" t="s">
        <v>85</v>
      </c>
      <c r="AC3588">
        <v>0</v>
      </c>
      <c r="AD3588">
        <v>1</v>
      </c>
      <c r="AE3588">
        <v>0</v>
      </c>
      <c r="AF3588">
        <v>0</v>
      </c>
      <c r="AG3588">
        <v>1</v>
      </c>
      <c r="AJ3588">
        <v>0</v>
      </c>
      <c r="AK3588">
        <v>1</v>
      </c>
      <c r="AL3588">
        <v>0</v>
      </c>
      <c r="AM3588">
        <v>0</v>
      </c>
      <c r="AN3588">
        <v>1</v>
      </c>
      <c r="AO3588">
        <v>1</v>
      </c>
      <c r="AP3588">
        <v>1</v>
      </c>
      <c r="AQ3588">
        <v>1</v>
      </c>
      <c r="AR3588">
        <v>1</v>
      </c>
      <c r="AS3588">
        <v>1</v>
      </c>
      <c r="AT3588">
        <v>0</v>
      </c>
      <c r="AV3588">
        <v>1</v>
      </c>
      <c r="AW3588">
        <v>1</v>
      </c>
    </row>
    <row r="3589" spans="1:49" x14ac:dyDescent="0.25">
      <c r="A3589" t="str">
        <f>"3585"</f>
        <v>3585</v>
      </c>
      <c r="B3589" t="str">
        <f t="shared" si="205"/>
        <v>1</v>
      </c>
      <c r="C3589" t="str">
        <f t="shared" si="207"/>
        <v>157</v>
      </c>
      <c r="D3589" t="str">
        <f>"6"</f>
        <v>6</v>
      </c>
      <c r="E3589" t="str">
        <f>"1-157-6"</f>
        <v>1-157-6</v>
      </c>
      <c r="F3589" t="s">
        <v>83</v>
      </c>
      <c r="G3589" t="s">
        <v>84</v>
      </c>
      <c r="H3589" t="s">
        <v>92</v>
      </c>
      <c r="I3589">
        <v>1</v>
      </c>
      <c r="J3589">
        <v>1</v>
      </c>
      <c r="N3589">
        <v>1</v>
      </c>
      <c r="O3589">
        <v>1</v>
      </c>
      <c r="P3589">
        <v>1</v>
      </c>
      <c r="Q3589">
        <v>1</v>
      </c>
      <c r="R3589">
        <v>1</v>
      </c>
      <c r="S3589">
        <v>1</v>
      </c>
      <c r="T3589">
        <v>1</v>
      </c>
      <c r="W3589">
        <v>1</v>
      </c>
      <c r="X3589">
        <v>1</v>
      </c>
      <c r="Y3589">
        <v>1</v>
      </c>
      <c r="Z3589">
        <v>1</v>
      </c>
      <c r="AA3589">
        <v>1</v>
      </c>
      <c r="AB3589">
        <v>1</v>
      </c>
    </row>
    <row r="3590" spans="1:49" x14ac:dyDescent="0.25">
      <c r="A3590" t="str">
        <f>"3586"</f>
        <v>3586</v>
      </c>
      <c r="B3590" t="str">
        <f t="shared" si="205"/>
        <v>1</v>
      </c>
      <c r="C3590" t="str">
        <f t="shared" si="207"/>
        <v>157</v>
      </c>
      <c r="D3590" t="str">
        <f>"17"</f>
        <v>17</v>
      </c>
      <c r="E3590" t="str">
        <f>"1-157-17"</f>
        <v>1-157-17</v>
      </c>
      <c r="F3590" t="s">
        <v>83</v>
      </c>
      <c r="G3590" t="s">
        <v>84</v>
      </c>
      <c r="H3590" t="s">
        <v>85</v>
      </c>
      <c r="AC3590">
        <v>0</v>
      </c>
      <c r="AD3590">
        <v>0</v>
      </c>
      <c r="AE3590">
        <v>0</v>
      </c>
      <c r="AF3590">
        <v>0</v>
      </c>
      <c r="AG3590">
        <v>0</v>
      </c>
      <c r="AJ3590">
        <v>0</v>
      </c>
      <c r="AK3590">
        <v>0</v>
      </c>
      <c r="AL3590">
        <v>0</v>
      </c>
      <c r="AM3590">
        <v>0</v>
      </c>
      <c r="AN3590">
        <v>0</v>
      </c>
      <c r="AO3590">
        <v>0</v>
      </c>
      <c r="AP3590">
        <v>0</v>
      </c>
      <c r="AQ3590">
        <v>1</v>
      </c>
      <c r="AR3590">
        <v>0</v>
      </c>
      <c r="AS3590">
        <v>0</v>
      </c>
      <c r="AT3590">
        <v>1</v>
      </c>
      <c r="AV3590">
        <v>0</v>
      </c>
      <c r="AW3590">
        <v>1</v>
      </c>
    </row>
    <row r="3591" spans="1:49" x14ac:dyDescent="0.25">
      <c r="A3591" t="str">
        <f>"3587"</f>
        <v>3587</v>
      </c>
      <c r="B3591" t="str">
        <f t="shared" si="205"/>
        <v>1</v>
      </c>
      <c r="C3591" t="str">
        <f t="shared" si="207"/>
        <v>157</v>
      </c>
      <c r="D3591" t="str">
        <f>"11"</f>
        <v>11</v>
      </c>
      <c r="E3591" t="str">
        <f>"1-157-11"</f>
        <v>1-157-11</v>
      </c>
      <c r="F3591" t="s">
        <v>83</v>
      </c>
      <c r="G3591" t="s">
        <v>84</v>
      </c>
      <c r="H3591" t="s">
        <v>85</v>
      </c>
      <c r="AC3591">
        <v>1</v>
      </c>
      <c r="AD3591">
        <v>0</v>
      </c>
      <c r="AE3591">
        <v>0</v>
      </c>
      <c r="AF3591">
        <v>0</v>
      </c>
      <c r="AG3591">
        <v>1</v>
      </c>
      <c r="AJ3591">
        <v>1</v>
      </c>
      <c r="AK3591">
        <v>0</v>
      </c>
      <c r="AL3591">
        <v>0</v>
      </c>
      <c r="AM3591">
        <v>0</v>
      </c>
      <c r="AN3591">
        <v>1</v>
      </c>
      <c r="AO3591">
        <v>1</v>
      </c>
      <c r="AP3591">
        <v>1</v>
      </c>
      <c r="AQ3591">
        <v>1</v>
      </c>
      <c r="AR3591">
        <v>1</v>
      </c>
      <c r="AS3591">
        <v>1</v>
      </c>
      <c r="AT3591">
        <v>0</v>
      </c>
      <c r="AV3591">
        <v>1</v>
      </c>
      <c r="AW3591">
        <v>1</v>
      </c>
    </row>
    <row r="3592" spans="1:49" x14ac:dyDescent="0.25">
      <c r="A3592" t="str">
        <f>"3588"</f>
        <v>3588</v>
      </c>
      <c r="B3592" t="str">
        <f t="shared" si="205"/>
        <v>1</v>
      </c>
      <c r="C3592" t="str">
        <f t="shared" si="207"/>
        <v>157</v>
      </c>
      <c r="D3592" t="str">
        <f>"3"</f>
        <v>3</v>
      </c>
      <c r="E3592" t="str">
        <f>"1-157-3"</f>
        <v>1-157-3</v>
      </c>
      <c r="F3592" t="s">
        <v>83</v>
      </c>
      <c r="G3592" t="s">
        <v>84</v>
      </c>
      <c r="H3592" t="s">
        <v>85</v>
      </c>
      <c r="AC3592">
        <v>0</v>
      </c>
      <c r="AD3592">
        <v>1</v>
      </c>
      <c r="AE3592">
        <v>0</v>
      </c>
      <c r="AF3592">
        <v>0</v>
      </c>
      <c r="AG3592">
        <v>0</v>
      </c>
      <c r="AJ3592">
        <v>1</v>
      </c>
      <c r="AK3592">
        <v>0</v>
      </c>
      <c r="AL3592">
        <v>0</v>
      </c>
      <c r="AM3592">
        <v>1</v>
      </c>
      <c r="AN3592">
        <v>0</v>
      </c>
      <c r="AO3592">
        <v>0</v>
      </c>
      <c r="AP3592">
        <v>1</v>
      </c>
      <c r="AQ3592">
        <v>1</v>
      </c>
      <c r="AR3592">
        <v>1</v>
      </c>
      <c r="AS3592">
        <v>0</v>
      </c>
      <c r="AT3592">
        <v>1</v>
      </c>
      <c r="AV3592">
        <v>0</v>
      </c>
      <c r="AW3592">
        <v>1</v>
      </c>
    </row>
    <row r="3593" spans="1:49" x14ac:dyDescent="0.25">
      <c r="A3593" t="str">
        <f>"3589"</f>
        <v>3589</v>
      </c>
      <c r="B3593" t="str">
        <f t="shared" si="205"/>
        <v>1</v>
      </c>
      <c r="C3593" t="str">
        <f t="shared" si="207"/>
        <v>157</v>
      </c>
      <c r="D3593" t="str">
        <f>"21"</f>
        <v>21</v>
      </c>
      <c r="E3593" t="str">
        <f>"1-157-21"</f>
        <v>1-157-21</v>
      </c>
      <c r="F3593" t="s">
        <v>83</v>
      </c>
      <c r="G3593" t="s">
        <v>84</v>
      </c>
      <c r="H3593" t="s">
        <v>85</v>
      </c>
      <c r="AC3593">
        <v>0</v>
      </c>
      <c r="AD3593">
        <v>1</v>
      </c>
      <c r="AE3593">
        <v>0</v>
      </c>
      <c r="AF3593">
        <v>0</v>
      </c>
      <c r="AG3593">
        <v>1</v>
      </c>
      <c r="AJ3593">
        <v>0</v>
      </c>
      <c r="AK3593">
        <v>1</v>
      </c>
      <c r="AL3593">
        <v>0</v>
      </c>
      <c r="AM3593">
        <v>0</v>
      </c>
      <c r="AN3593">
        <v>1</v>
      </c>
      <c r="AO3593">
        <v>1</v>
      </c>
      <c r="AP3593">
        <v>1</v>
      </c>
      <c r="AQ3593">
        <v>1</v>
      </c>
      <c r="AR3593">
        <v>1</v>
      </c>
      <c r="AS3593">
        <v>0</v>
      </c>
      <c r="AT3593">
        <v>1</v>
      </c>
      <c r="AV3593">
        <v>1</v>
      </c>
      <c r="AW3593">
        <v>1</v>
      </c>
    </row>
    <row r="3594" spans="1:49" x14ac:dyDescent="0.25">
      <c r="A3594" t="str">
        <f>"3590"</f>
        <v>3590</v>
      </c>
      <c r="B3594" t="str">
        <f t="shared" si="205"/>
        <v>1</v>
      </c>
      <c r="C3594" t="str">
        <f t="shared" si="207"/>
        <v>157</v>
      </c>
      <c r="D3594" t="str">
        <f>"12"</f>
        <v>12</v>
      </c>
      <c r="E3594" t="str">
        <f>"1-157-12"</f>
        <v>1-157-12</v>
      </c>
      <c r="F3594" t="s">
        <v>83</v>
      </c>
      <c r="G3594" t="s">
        <v>84</v>
      </c>
      <c r="H3594" t="s">
        <v>85</v>
      </c>
      <c r="AC3594">
        <v>0</v>
      </c>
      <c r="AD3594">
        <v>1</v>
      </c>
      <c r="AE3594">
        <v>0</v>
      </c>
      <c r="AF3594">
        <v>0</v>
      </c>
      <c r="AG3594">
        <v>1</v>
      </c>
      <c r="AJ3594">
        <v>1</v>
      </c>
      <c r="AK3594">
        <v>0</v>
      </c>
      <c r="AL3594">
        <v>1</v>
      </c>
      <c r="AM3594">
        <v>0</v>
      </c>
      <c r="AN3594">
        <v>0</v>
      </c>
      <c r="AO3594">
        <v>1</v>
      </c>
      <c r="AP3594">
        <v>1</v>
      </c>
      <c r="AQ3594">
        <v>1</v>
      </c>
      <c r="AR3594">
        <v>1</v>
      </c>
      <c r="AS3594">
        <v>0</v>
      </c>
      <c r="AT3594">
        <v>1</v>
      </c>
      <c r="AV3594">
        <v>1</v>
      </c>
      <c r="AW3594">
        <v>1</v>
      </c>
    </row>
    <row r="3595" spans="1:49" x14ac:dyDescent="0.25">
      <c r="A3595" t="str">
        <f>"3591"</f>
        <v>3591</v>
      </c>
      <c r="B3595" t="str">
        <f t="shared" si="205"/>
        <v>1</v>
      </c>
      <c r="C3595" t="str">
        <f t="shared" si="207"/>
        <v>157</v>
      </c>
      <c r="D3595" t="str">
        <f>"2"</f>
        <v>2</v>
      </c>
      <c r="E3595" t="str">
        <f>"1-157-2"</f>
        <v>1-157-2</v>
      </c>
      <c r="F3595" t="s">
        <v>83</v>
      </c>
      <c r="G3595" t="s">
        <v>84</v>
      </c>
      <c r="H3595" t="s">
        <v>92</v>
      </c>
      <c r="I3595">
        <v>1</v>
      </c>
      <c r="J3595">
        <v>1</v>
      </c>
      <c r="N3595">
        <v>1</v>
      </c>
      <c r="O3595">
        <v>1</v>
      </c>
      <c r="P3595">
        <v>1</v>
      </c>
      <c r="Q3595">
        <v>1</v>
      </c>
      <c r="R3595">
        <v>1</v>
      </c>
      <c r="S3595">
        <v>1</v>
      </c>
      <c r="T3595">
        <v>1</v>
      </c>
      <c r="W3595">
        <v>1</v>
      </c>
      <c r="X3595">
        <v>1</v>
      </c>
      <c r="Y3595">
        <v>1</v>
      </c>
      <c r="Z3595">
        <v>1</v>
      </c>
      <c r="AA3595">
        <v>1</v>
      </c>
      <c r="AB3595">
        <v>1</v>
      </c>
    </row>
    <row r="3596" spans="1:49" x14ac:dyDescent="0.25">
      <c r="A3596" t="str">
        <f>"3592"</f>
        <v>3592</v>
      </c>
      <c r="B3596" t="str">
        <f t="shared" si="205"/>
        <v>1</v>
      </c>
      <c r="C3596" t="str">
        <f t="shared" si="207"/>
        <v>157</v>
      </c>
      <c r="D3596" t="str">
        <f>"20"</f>
        <v>20</v>
      </c>
      <c r="E3596" t="str">
        <f>"1-157-20"</f>
        <v>1-157-20</v>
      </c>
      <c r="F3596" t="s">
        <v>83</v>
      </c>
      <c r="G3596" t="s">
        <v>84</v>
      </c>
      <c r="H3596" t="s">
        <v>85</v>
      </c>
      <c r="AC3596">
        <v>0</v>
      </c>
      <c r="AD3596">
        <v>0</v>
      </c>
      <c r="AE3596">
        <v>0</v>
      </c>
      <c r="AF3596">
        <v>0</v>
      </c>
      <c r="AG3596">
        <v>1</v>
      </c>
      <c r="AJ3596">
        <v>1</v>
      </c>
      <c r="AK3596">
        <v>0</v>
      </c>
      <c r="AL3596">
        <v>0</v>
      </c>
      <c r="AM3596">
        <v>1</v>
      </c>
      <c r="AN3596">
        <v>0</v>
      </c>
      <c r="AO3596">
        <v>1</v>
      </c>
      <c r="AP3596">
        <v>1</v>
      </c>
      <c r="AQ3596">
        <v>1</v>
      </c>
      <c r="AR3596">
        <v>0</v>
      </c>
      <c r="AS3596">
        <v>1</v>
      </c>
      <c r="AT3596">
        <v>0</v>
      </c>
      <c r="AV3596">
        <v>1</v>
      </c>
      <c r="AW3596">
        <v>1</v>
      </c>
    </row>
    <row r="3597" spans="1:49" x14ac:dyDescent="0.25">
      <c r="A3597" t="str">
        <f>"3593"</f>
        <v>3593</v>
      </c>
      <c r="B3597" t="str">
        <f t="shared" si="205"/>
        <v>1</v>
      </c>
      <c r="C3597" t="str">
        <f t="shared" si="207"/>
        <v>157</v>
      </c>
      <c r="D3597" t="str">
        <f>"13"</f>
        <v>13</v>
      </c>
      <c r="E3597" t="str">
        <f>"1-157-13"</f>
        <v>1-157-13</v>
      </c>
      <c r="F3597" t="s">
        <v>83</v>
      </c>
      <c r="G3597" t="s">
        <v>84</v>
      </c>
      <c r="H3597" t="s">
        <v>85</v>
      </c>
      <c r="AC3597">
        <v>0</v>
      </c>
      <c r="AD3597">
        <v>1</v>
      </c>
      <c r="AE3597">
        <v>0</v>
      </c>
      <c r="AF3597">
        <v>0</v>
      </c>
      <c r="AG3597">
        <v>1</v>
      </c>
      <c r="AJ3597">
        <v>0</v>
      </c>
      <c r="AK3597">
        <v>1</v>
      </c>
      <c r="AL3597">
        <v>0</v>
      </c>
      <c r="AM3597">
        <v>0</v>
      </c>
      <c r="AN3597">
        <v>1</v>
      </c>
      <c r="AO3597">
        <v>1</v>
      </c>
      <c r="AP3597">
        <v>1</v>
      </c>
      <c r="AQ3597">
        <v>1</v>
      </c>
      <c r="AR3597">
        <v>1</v>
      </c>
      <c r="AS3597">
        <v>0</v>
      </c>
      <c r="AT3597">
        <v>1</v>
      </c>
      <c r="AV3597">
        <v>1</v>
      </c>
      <c r="AW3597">
        <v>1</v>
      </c>
    </row>
    <row r="3598" spans="1:49" x14ac:dyDescent="0.25">
      <c r="A3598" t="str">
        <f>"3594"</f>
        <v>3594</v>
      </c>
      <c r="B3598" t="str">
        <f t="shared" si="205"/>
        <v>1</v>
      </c>
      <c r="C3598" t="str">
        <f t="shared" si="207"/>
        <v>157</v>
      </c>
      <c r="D3598" t="str">
        <f>"5"</f>
        <v>5</v>
      </c>
      <c r="E3598" t="str">
        <f>"1-157-5"</f>
        <v>1-157-5</v>
      </c>
      <c r="F3598" t="s">
        <v>83</v>
      </c>
      <c r="G3598" t="s">
        <v>84</v>
      </c>
      <c r="H3598" t="s">
        <v>92</v>
      </c>
      <c r="I3598">
        <v>1</v>
      </c>
      <c r="J3598">
        <v>1</v>
      </c>
      <c r="N3598">
        <v>1</v>
      </c>
      <c r="O3598">
        <v>0</v>
      </c>
      <c r="P3598">
        <v>0</v>
      </c>
      <c r="Q3598">
        <v>1</v>
      </c>
      <c r="R3598">
        <v>0</v>
      </c>
      <c r="S3598">
        <v>0</v>
      </c>
      <c r="T3598">
        <v>0</v>
      </c>
      <c r="W3598">
        <v>0</v>
      </c>
      <c r="X3598">
        <v>0</v>
      </c>
      <c r="Y3598">
        <v>1</v>
      </c>
      <c r="Z3598">
        <v>0</v>
      </c>
      <c r="AA3598">
        <v>0</v>
      </c>
      <c r="AB3598">
        <v>0</v>
      </c>
    </row>
    <row r="3599" spans="1:49" x14ac:dyDescent="0.25">
      <c r="A3599" t="str">
        <f>"3595"</f>
        <v>3595</v>
      </c>
      <c r="B3599" t="str">
        <f t="shared" si="205"/>
        <v>1</v>
      </c>
      <c r="C3599" t="str">
        <f t="shared" si="207"/>
        <v>157</v>
      </c>
      <c r="D3599" t="str">
        <f>"19"</f>
        <v>19</v>
      </c>
      <c r="E3599" t="str">
        <f>"1-157-19"</f>
        <v>1-157-19</v>
      </c>
      <c r="F3599" t="s">
        <v>83</v>
      </c>
      <c r="G3599" t="s">
        <v>84</v>
      </c>
      <c r="H3599" t="s">
        <v>85</v>
      </c>
      <c r="AC3599">
        <v>0</v>
      </c>
      <c r="AD3599">
        <v>1</v>
      </c>
      <c r="AE3599">
        <v>0</v>
      </c>
      <c r="AF3599">
        <v>0</v>
      </c>
      <c r="AG3599">
        <v>1</v>
      </c>
      <c r="AJ3599">
        <v>1</v>
      </c>
      <c r="AK3599">
        <v>0</v>
      </c>
      <c r="AL3599">
        <v>0</v>
      </c>
      <c r="AM3599">
        <v>1</v>
      </c>
      <c r="AN3599">
        <v>0</v>
      </c>
      <c r="AO3599">
        <v>1</v>
      </c>
      <c r="AP3599">
        <v>1</v>
      </c>
      <c r="AQ3599">
        <v>1</v>
      </c>
      <c r="AR3599">
        <v>1</v>
      </c>
      <c r="AS3599">
        <v>1</v>
      </c>
      <c r="AT3599">
        <v>0</v>
      </c>
      <c r="AV3599">
        <v>1</v>
      </c>
      <c r="AW3599">
        <v>1</v>
      </c>
    </row>
    <row r="3600" spans="1:49" x14ac:dyDescent="0.25">
      <c r="A3600" t="str">
        <f>"3596"</f>
        <v>3596</v>
      </c>
      <c r="B3600" t="str">
        <f t="shared" si="205"/>
        <v>1</v>
      </c>
      <c r="C3600" t="str">
        <f t="shared" si="207"/>
        <v>157</v>
      </c>
      <c r="D3600" t="str">
        <f>"14"</f>
        <v>14</v>
      </c>
      <c r="E3600" t="str">
        <f>"1-157-14"</f>
        <v>1-157-14</v>
      </c>
      <c r="F3600" t="s">
        <v>83</v>
      </c>
      <c r="G3600" t="s">
        <v>84</v>
      </c>
      <c r="H3600" t="s">
        <v>85</v>
      </c>
      <c r="AC3600">
        <v>1</v>
      </c>
      <c r="AD3600">
        <v>0</v>
      </c>
      <c r="AE3600">
        <v>0</v>
      </c>
      <c r="AF3600">
        <v>0</v>
      </c>
      <c r="AG3600">
        <v>1</v>
      </c>
      <c r="AJ3600">
        <v>1</v>
      </c>
      <c r="AK3600">
        <v>0</v>
      </c>
      <c r="AL3600">
        <v>0</v>
      </c>
      <c r="AM3600">
        <v>1</v>
      </c>
      <c r="AN3600">
        <v>0</v>
      </c>
      <c r="AO3600">
        <v>1</v>
      </c>
      <c r="AP3600">
        <v>1</v>
      </c>
      <c r="AQ3600">
        <v>1</v>
      </c>
      <c r="AR3600">
        <v>1</v>
      </c>
      <c r="AS3600">
        <v>0</v>
      </c>
      <c r="AT3600">
        <v>1</v>
      </c>
      <c r="AV3600">
        <v>1</v>
      </c>
      <c r="AW3600">
        <v>0</v>
      </c>
    </row>
    <row r="3601" spans="1:49" x14ac:dyDescent="0.25">
      <c r="A3601" t="str">
        <f>"3597"</f>
        <v>3597</v>
      </c>
      <c r="B3601" t="str">
        <f t="shared" si="205"/>
        <v>1</v>
      </c>
      <c r="C3601" t="str">
        <f t="shared" si="207"/>
        <v>157</v>
      </c>
      <c r="D3601" t="str">
        <f>"4"</f>
        <v>4</v>
      </c>
      <c r="E3601" t="str">
        <f>"1-157-4"</f>
        <v>1-157-4</v>
      </c>
      <c r="F3601" t="s">
        <v>83</v>
      </c>
      <c r="G3601" t="s">
        <v>84</v>
      </c>
      <c r="H3601" t="s">
        <v>92</v>
      </c>
      <c r="I3601">
        <v>1</v>
      </c>
      <c r="J3601">
        <v>1</v>
      </c>
      <c r="N3601">
        <v>1</v>
      </c>
      <c r="O3601">
        <v>1</v>
      </c>
      <c r="P3601">
        <v>1</v>
      </c>
      <c r="Q3601">
        <v>1</v>
      </c>
      <c r="R3601">
        <v>1</v>
      </c>
      <c r="S3601">
        <v>1</v>
      </c>
      <c r="T3601">
        <v>1</v>
      </c>
      <c r="W3601">
        <v>1</v>
      </c>
      <c r="X3601">
        <v>1</v>
      </c>
      <c r="Y3601">
        <v>1</v>
      </c>
      <c r="Z3601">
        <v>1</v>
      </c>
      <c r="AA3601">
        <v>1</v>
      </c>
      <c r="AB3601">
        <v>1</v>
      </c>
    </row>
    <row r="3602" spans="1:49" x14ac:dyDescent="0.25">
      <c r="A3602" t="str">
        <f>"3598"</f>
        <v>3598</v>
      </c>
      <c r="B3602" t="str">
        <f t="shared" si="205"/>
        <v>1</v>
      </c>
      <c r="C3602" t="str">
        <f t="shared" ref="C3602:C3626" si="208">"158"</f>
        <v>158</v>
      </c>
      <c r="D3602" t="str">
        <f>"23"</f>
        <v>23</v>
      </c>
      <c r="E3602" t="str">
        <f>"1-158-23"</f>
        <v>1-158-23</v>
      </c>
      <c r="F3602" t="s">
        <v>83</v>
      </c>
      <c r="G3602" t="s">
        <v>86</v>
      </c>
      <c r="H3602" t="s">
        <v>93</v>
      </c>
      <c r="I3602">
        <v>1</v>
      </c>
      <c r="K3602">
        <v>1</v>
      </c>
      <c r="L3602">
        <v>0</v>
      </c>
      <c r="M3602">
        <v>0</v>
      </c>
      <c r="N3602">
        <v>1</v>
      </c>
      <c r="O3602">
        <v>1</v>
      </c>
      <c r="P3602">
        <v>1</v>
      </c>
      <c r="Q3602">
        <v>1</v>
      </c>
      <c r="R3602">
        <v>1</v>
      </c>
      <c r="U3602">
        <v>1</v>
      </c>
      <c r="V3602">
        <v>0</v>
      </c>
      <c r="W3602">
        <v>1</v>
      </c>
      <c r="X3602">
        <v>1</v>
      </c>
      <c r="Y3602">
        <v>1</v>
      </c>
      <c r="Z3602">
        <v>1</v>
      </c>
      <c r="AA3602">
        <v>1</v>
      </c>
      <c r="AB3602">
        <v>1</v>
      </c>
    </row>
    <row r="3603" spans="1:49" x14ac:dyDescent="0.25">
      <c r="A3603" t="str">
        <f>"3599"</f>
        <v>3599</v>
      </c>
      <c r="B3603" t="str">
        <f t="shared" si="205"/>
        <v>1</v>
      </c>
      <c r="C3603" t="str">
        <f t="shared" si="208"/>
        <v>158</v>
      </c>
      <c r="D3603" t="str">
        <f>"22"</f>
        <v>22</v>
      </c>
      <c r="E3603" t="str">
        <f>"1-158-22"</f>
        <v>1-158-22</v>
      </c>
      <c r="F3603" t="s">
        <v>83</v>
      </c>
      <c r="G3603" t="s">
        <v>86</v>
      </c>
      <c r="H3603" t="s">
        <v>93</v>
      </c>
      <c r="I3603">
        <v>1</v>
      </c>
      <c r="K3603">
        <v>0</v>
      </c>
      <c r="L3603">
        <v>0</v>
      </c>
      <c r="M3603">
        <v>1</v>
      </c>
      <c r="N3603">
        <v>1</v>
      </c>
      <c r="O3603">
        <v>1</v>
      </c>
      <c r="P3603">
        <v>1</v>
      </c>
      <c r="Q3603">
        <v>1</v>
      </c>
      <c r="R3603">
        <v>1</v>
      </c>
      <c r="U3603">
        <v>0</v>
      </c>
      <c r="V3603">
        <v>1</v>
      </c>
      <c r="W3603">
        <v>0</v>
      </c>
      <c r="X3603">
        <v>1</v>
      </c>
      <c r="Y3603">
        <v>1</v>
      </c>
      <c r="Z3603">
        <v>1</v>
      </c>
      <c r="AA3603">
        <v>1</v>
      </c>
      <c r="AB3603">
        <v>1</v>
      </c>
    </row>
    <row r="3604" spans="1:49" x14ac:dyDescent="0.25">
      <c r="A3604" t="str">
        <f>"3600"</f>
        <v>3600</v>
      </c>
      <c r="B3604" t="str">
        <f t="shared" si="205"/>
        <v>1</v>
      </c>
      <c r="C3604" t="str">
        <f t="shared" si="208"/>
        <v>158</v>
      </c>
      <c r="D3604" t="str">
        <f>"15"</f>
        <v>15</v>
      </c>
      <c r="E3604" t="str">
        <f>"1-158-15"</f>
        <v>1-158-15</v>
      </c>
      <c r="F3604" t="s">
        <v>83</v>
      </c>
      <c r="G3604" t="s">
        <v>86</v>
      </c>
      <c r="H3604" t="s">
        <v>93</v>
      </c>
      <c r="I3604">
        <v>1</v>
      </c>
      <c r="K3604">
        <v>0</v>
      </c>
      <c r="L3604">
        <v>1</v>
      </c>
      <c r="M3604">
        <v>0</v>
      </c>
      <c r="N3604">
        <v>1</v>
      </c>
      <c r="O3604">
        <v>1</v>
      </c>
      <c r="P3604">
        <v>1</v>
      </c>
      <c r="Q3604">
        <v>1</v>
      </c>
      <c r="R3604">
        <v>1</v>
      </c>
      <c r="U3604">
        <v>1</v>
      </c>
      <c r="V3604">
        <v>0</v>
      </c>
      <c r="W3604">
        <v>1</v>
      </c>
      <c r="X3604">
        <v>1</v>
      </c>
      <c r="Y3604">
        <v>1</v>
      </c>
      <c r="Z3604">
        <v>1</v>
      </c>
      <c r="AA3604">
        <v>1</v>
      </c>
      <c r="AB3604">
        <v>1</v>
      </c>
    </row>
    <row r="3605" spans="1:49" x14ac:dyDescent="0.25">
      <c r="A3605" t="str">
        <f>"3601"</f>
        <v>3601</v>
      </c>
      <c r="B3605" t="str">
        <f t="shared" si="205"/>
        <v>1</v>
      </c>
      <c r="C3605" t="str">
        <f t="shared" si="208"/>
        <v>158</v>
      </c>
      <c r="D3605" t="str">
        <f>"14"</f>
        <v>14</v>
      </c>
      <c r="E3605" t="str">
        <f>"1-158-14"</f>
        <v>1-158-14</v>
      </c>
      <c r="F3605" t="s">
        <v>83</v>
      </c>
      <c r="G3605" t="s">
        <v>86</v>
      </c>
      <c r="H3605" t="s">
        <v>93</v>
      </c>
      <c r="I3605">
        <v>1</v>
      </c>
      <c r="K3605">
        <v>0</v>
      </c>
      <c r="L3605">
        <v>0</v>
      </c>
      <c r="M3605">
        <v>1</v>
      </c>
      <c r="N3605">
        <v>1</v>
      </c>
      <c r="O3605">
        <v>1</v>
      </c>
      <c r="P3605">
        <v>1</v>
      </c>
      <c r="Q3605">
        <v>1</v>
      </c>
      <c r="R3605">
        <v>1</v>
      </c>
      <c r="U3605">
        <v>1</v>
      </c>
      <c r="V3605">
        <v>0</v>
      </c>
      <c r="W3605">
        <v>1</v>
      </c>
      <c r="X3605">
        <v>1</v>
      </c>
      <c r="Y3605">
        <v>1</v>
      </c>
      <c r="Z3605">
        <v>1</v>
      </c>
      <c r="AA3605">
        <v>1</v>
      </c>
      <c r="AB3605">
        <v>1</v>
      </c>
    </row>
    <row r="3606" spans="1:49" x14ac:dyDescent="0.25">
      <c r="A3606" t="str">
        <f>"3602"</f>
        <v>3602</v>
      </c>
      <c r="B3606" t="str">
        <f t="shared" si="205"/>
        <v>1</v>
      </c>
      <c r="C3606" t="str">
        <f t="shared" si="208"/>
        <v>158</v>
      </c>
      <c r="D3606" t="str">
        <f>"11"</f>
        <v>11</v>
      </c>
      <c r="E3606" t="str">
        <f>"1-158-11"</f>
        <v>1-158-11</v>
      </c>
      <c r="F3606" t="s">
        <v>83</v>
      </c>
      <c r="G3606" t="s">
        <v>86</v>
      </c>
      <c r="H3606" t="s">
        <v>93</v>
      </c>
      <c r="I3606">
        <v>1</v>
      </c>
      <c r="K3606">
        <v>0</v>
      </c>
      <c r="L3606">
        <v>0</v>
      </c>
      <c r="M3606">
        <v>1</v>
      </c>
      <c r="N3606">
        <v>1</v>
      </c>
      <c r="O3606">
        <v>1</v>
      </c>
      <c r="P3606">
        <v>1</v>
      </c>
      <c r="Q3606">
        <v>1</v>
      </c>
      <c r="R3606">
        <v>1</v>
      </c>
      <c r="U3606">
        <v>1</v>
      </c>
      <c r="V3606">
        <v>0</v>
      </c>
      <c r="W3606">
        <v>1</v>
      </c>
      <c r="X3606">
        <v>1</v>
      </c>
      <c r="Y3606">
        <v>1</v>
      </c>
      <c r="Z3606">
        <v>1</v>
      </c>
      <c r="AA3606">
        <v>1</v>
      </c>
      <c r="AB3606">
        <v>1</v>
      </c>
    </row>
    <row r="3607" spans="1:49" x14ac:dyDescent="0.25">
      <c r="A3607" t="str">
        <f>"3603"</f>
        <v>3603</v>
      </c>
      <c r="B3607" t="str">
        <f t="shared" si="205"/>
        <v>1</v>
      </c>
      <c r="C3607" t="str">
        <f t="shared" si="208"/>
        <v>158</v>
      </c>
      <c r="D3607" t="str">
        <f>"8"</f>
        <v>8</v>
      </c>
      <c r="E3607" t="str">
        <f>"1-158-8"</f>
        <v>1-158-8</v>
      </c>
      <c r="F3607" t="s">
        <v>83</v>
      </c>
      <c r="G3607" t="s">
        <v>84</v>
      </c>
      <c r="H3607" t="s">
        <v>92</v>
      </c>
      <c r="I3607">
        <v>1</v>
      </c>
      <c r="J3607">
        <v>1</v>
      </c>
      <c r="N3607">
        <v>1</v>
      </c>
      <c r="O3607">
        <v>1</v>
      </c>
      <c r="P3607">
        <v>1</v>
      </c>
      <c r="Q3607">
        <v>1</v>
      </c>
      <c r="R3607">
        <v>1</v>
      </c>
      <c r="S3607">
        <v>1</v>
      </c>
      <c r="T3607">
        <v>1</v>
      </c>
      <c r="W3607">
        <v>1</v>
      </c>
      <c r="X3607">
        <v>1</v>
      </c>
      <c r="Y3607">
        <v>1</v>
      </c>
      <c r="Z3607">
        <v>1</v>
      </c>
      <c r="AA3607">
        <v>1</v>
      </c>
      <c r="AB3607">
        <v>1</v>
      </c>
    </row>
    <row r="3608" spans="1:49" x14ac:dyDescent="0.25">
      <c r="A3608" t="str">
        <f>"3604"</f>
        <v>3604</v>
      </c>
      <c r="B3608" t="str">
        <f t="shared" si="205"/>
        <v>1</v>
      </c>
      <c r="C3608" t="str">
        <f t="shared" si="208"/>
        <v>158</v>
      </c>
      <c r="D3608" t="str">
        <f>"1"</f>
        <v>1</v>
      </c>
      <c r="E3608" t="str">
        <f>"1-158-1"</f>
        <v>1-158-1</v>
      </c>
      <c r="F3608" t="s">
        <v>83</v>
      </c>
      <c r="G3608" t="s">
        <v>86</v>
      </c>
      <c r="H3608" t="s">
        <v>87</v>
      </c>
      <c r="AC3608">
        <v>0</v>
      </c>
      <c r="AD3608">
        <v>0</v>
      </c>
      <c r="AE3608">
        <v>0</v>
      </c>
      <c r="AF3608">
        <v>0</v>
      </c>
      <c r="AH3608">
        <v>0</v>
      </c>
      <c r="AI3608">
        <v>1</v>
      </c>
      <c r="AJ3608">
        <v>0</v>
      </c>
      <c r="AK3608">
        <v>0</v>
      </c>
      <c r="AL3608">
        <v>0</v>
      </c>
      <c r="AM3608">
        <v>0</v>
      </c>
      <c r="AN3608">
        <v>1</v>
      </c>
      <c r="AO3608">
        <v>0</v>
      </c>
      <c r="AP3608">
        <v>0</v>
      </c>
      <c r="AQ3608">
        <v>0</v>
      </c>
      <c r="AU3608">
        <v>0</v>
      </c>
      <c r="AV3608">
        <v>0</v>
      </c>
      <c r="AW3608">
        <v>1</v>
      </c>
    </row>
    <row r="3609" spans="1:49" x14ac:dyDescent="0.25">
      <c r="A3609" t="str">
        <f>"3605"</f>
        <v>3605</v>
      </c>
      <c r="B3609" t="str">
        <f t="shared" si="205"/>
        <v>1</v>
      </c>
      <c r="C3609" t="str">
        <f t="shared" si="208"/>
        <v>158</v>
      </c>
      <c r="D3609" t="str">
        <f>"25"</f>
        <v>25</v>
      </c>
      <c r="E3609" t="str">
        <f>"1-158-25"</f>
        <v>1-158-25</v>
      </c>
      <c r="F3609" t="s">
        <v>83</v>
      </c>
      <c r="G3609" t="s">
        <v>90</v>
      </c>
      <c r="H3609" t="s">
        <v>94</v>
      </c>
      <c r="I3609">
        <v>1</v>
      </c>
      <c r="K3609">
        <v>1</v>
      </c>
      <c r="L3609">
        <v>0</v>
      </c>
      <c r="M3609">
        <v>0</v>
      </c>
      <c r="N3609">
        <v>1</v>
      </c>
      <c r="O3609">
        <v>1</v>
      </c>
      <c r="P3609">
        <v>1</v>
      </c>
      <c r="Q3609">
        <v>1</v>
      </c>
      <c r="R3609">
        <v>1</v>
      </c>
      <c r="S3609">
        <v>1</v>
      </c>
      <c r="U3609">
        <v>0</v>
      </c>
      <c r="V3609">
        <v>1</v>
      </c>
      <c r="W3609">
        <v>1</v>
      </c>
      <c r="X3609">
        <v>1</v>
      </c>
      <c r="Y3609">
        <v>1</v>
      </c>
      <c r="Z3609">
        <v>1</v>
      </c>
      <c r="AA3609">
        <v>1</v>
      </c>
      <c r="AB3609">
        <v>1</v>
      </c>
    </row>
    <row r="3610" spans="1:49" x14ac:dyDescent="0.25">
      <c r="A3610" t="str">
        <f>"3606"</f>
        <v>3606</v>
      </c>
      <c r="B3610" t="str">
        <f t="shared" si="205"/>
        <v>1</v>
      </c>
      <c r="C3610" t="str">
        <f t="shared" si="208"/>
        <v>158</v>
      </c>
      <c r="D3610" t="str">
        <f>"24"</f>
        <v>24</v>
      </c>
      <c r="E3610" t="str">
        <f>"1-158-24"</f>
        <v>1-158-24</v>
      </c>
      <c r="F3610" t="s">
        <v>83</v>
      </c>
      <c r="G3610" t="s">
        <v>86</v>
      </c>
      <c r="H3610" t="s">
        <v>93</v>
      </c>
      <c r="I3610">
        <v>1</v>
      </c>
      <c r="K3610">
        <v>0</v>
      </c>
      <c r="L3610">
        <v>0</v>
      </c>
      <c r="M3610">
        <v>1</v>
      </c>
      <c r="N3610">
        <v>1</v>
      </c>
      <c r="O3610">
        <v>1</v>
      </c>
      <c r="P3610">
        <v>1</v>
      </c>
      <c r="Q3610">
        <v>1</v>
      </c>
      <c r="R3610">
        <v>0</v>
      </c>
      <c r="U3610">
        <v>0</v>
      </c>
      <c r="V3610">
        <v>1</v>
      </c>
      <c r="W3610">
        <v>0</v>
      </c>
      <c r="X3610">
        <v>1</v>
      </c>
      <c r="Y3610">
        <v>0</v>
      </c>
      <c r="Z3610">
        <v>1</v>
      </c>
      <c r="AA3610">
        <v>0</v>
      </c>
      <c r="AB3610">
        <v>0</v>
      </c>
    </row>
    <row r="3611" spans="1:49" x14ac:dyDescent="0.25">
      <c r="A3611" t="str">
        <f>"3607"</f>
        <v>3607</v>
      </c>
      <c r="B3611" t="str">
        <f t="shared" si="205"/>
        <v>1</v>
      </c>
      <c r="C3611" t="str">
        <f t="shared" si="208"/>
        <v>158</v>
      </c>
      <c r="D3611" t="str">
        <f>"17"</f>
        <v>17</v>
      </c>
      <c r="E3611" t="str">
        <f>"1-158-17"</f>
        <v>1-158-17</v>
      </c>
      <c r="F3611" t="s">
        <v>83</v>
      </c>
      <c r="G3611" t="s">
        <v>86</v>
      </c>
      <c r="H3611" t="s">
        <v>93</v>
      </c>
      <c r="I3611">
        <v>1</v>
      </c>
      <c r="K3611">
        <v>0</v>
      </c>
      <c r="L3611">
        <v>0</v>
      </c>
      <c r="M3611">
        <v>1</v>
      </c>
      <c r="N3611">
        <v>1</v>
      </c>
      <c r="O3611">
        <v>1</v>
      </c>
      <c r="P3611">
        <v>1</v>
      </c>
      <c r="Q3611">
        <v>0</v>
      </c>
      <c r="R3611">
        <v>0</v>
      </c>
      <c r="U3611">
        <v>1</v>
      </c>
      <c r="V3611">
        <v>0</v>
      </c>
      <c r="W3611">
        <v>1</v>
      </c>
      <c r="X3611">
        <v>1</v>
      </c>
      <c r="Y3611">
        <v>1</v>
      </c>
      <c r="Z3611">
        <v>1</v>
      </c>
      <c r="AA3611">
        <v>1</v>
      </c>
      <c r="AB3611">
        <v>1</v>
      </c>
    </row>
    <row r="3612" spans="1:49" x14ac:dyDescent="0.25">
      <c r="A3612" t="str">
        <f>"3608"</f>
        <v>3608</v>
      </c>
      <c r="B3612" t="str">
        <f t="shared" si="205"/>
        <v>1</v>
      </c>
      <c r="C3612" t="str">
        <f t="shared" si="208"/>
        <v>158</v>
      </c>
      <c r="D3612" t="str">
        <f>"9"</f>
        <v>9</v>
      </c>
      <c r="E3612" t="str">
        <f>"1-158-9"</f>
        <v>1-158-9</v>
      </c>
      <c r="F3612" t="s">
        <v>83</v>
      </c>
      <c r="G3612" t="s">
        <v>84</v>
      </c>
      <c r="H3612" t="s">
        <v>92</v>
      </c>
      <c r="I3612">
        <v>1</v>
      </c>
      <c r="J3612">
        <v>1</v>
      </c>
      <c r="N3612">
        <v>1</v>
      </c>
      <c r="O3612">
        <v>1</v>
      </c>
      <c r="P3612">
        <v>1</v>
      </c>
      <c r="Q3612">
        <v>1</v>
      </c>
      <c r="R3612">
        <v>1</v>
      </c>
      <c r="S3612">
        <v>1</v>
      </c>
      <c r="T3612">
        <v>1</v>
      </c>
      <c r="W3612">
        <v>1</v>
      </c>
      <c r="X3612">
        <v>1</v>
      </c>
      <c r="Y3612">
        <v>1</v>
      </c>
      <c r="Z3612">
        <v>1</v>
      </c>
      <c r="AA3612">
        <v>1</v>
      </c>
      <c r="AB3612">
        <v>1</v>
      </c>
    </row>
    <row r="3613" spans="1:49" x14ac:dyDescent="0.25">
      <c r="A3613" t="str">
        <f>"3609"</f>
        <v>3609</v>
      </c>
      <c r="B3613" t="str">
        <f t="shared" si="205"/>
        <v>1</v>
      </c>
      <c r="C3613" t="str">
        <f t="shared" si="208"/>
        <v>158</v>
      </c>
      <c r="D3613" t="str">
        <f>"2"</f>
        <v>2</v>
      </c>
      <c r="E3613" t="str">
        <f>"1-158-2"</f>
        <v>1-158-2</v>
      </c>
      <c r="F3613" t="s">
        <v>83</v>
      </c>
      <c r="G3613" t="s">
        <v>86</v>
      </c>
      <c r="H3613" t="s">
        <v>87</v>
      </c>
      <c r="AC3613">
        <v>0</v>
      </c>
      <c r="AD3613">
        <v>0</v>
      </c>
      <c r="AE3613">
        <v>0</v>
      </c>
      <c r="AF3613">
        <v>0</v>
      </c>
      <c r="AH3613">
        <v>0</v>
      </c>
      <c r="AI3613">
        <v>1</v>
      </c>
      <c r="AJ3613">
        <v>0</v>
      </c>
      <c r="AK3613">
        <v>0</v>
      </c>
      <c r="AL3613">
        <v>0</v>
      </c>
      <c r="AM3613">
        <v>0</v>
      </c>
      <c r="AN3613">
        <v>0</v>
      </c>
      <c r="AO3613">
        <v>0</v>
      </c>
      <c r="AP3613">
        <v>0</v>
      </c>
      <c r="AQ3613">
        <v>0</v>
      </c>
      <c r="AU3613">
        <v>0</v>
      </c>
      <c r="AV3613">
        <v>0</v>
      </c>
      <c r="AW3613">
        <v>0</v>
      </c>
    </row>
    <row r="3614" spans="1:49" x14ac:dyDescent="0.25">
      <c r="A3614" t="str">
        <f>"3610"</f>
        <v>3610</v>
      </c>
      <c r="B3614" t="str">
        <f t="shared" ref="B3614:B3677" si="209">"1"</f>
        <v>1</v>
      </c>
      <c r="C3614" t="str">
        <f t="shared" si="208"/>
        <v>158</v>
      </c>
      <c r="D3614" t="str">
        <f>"18"</f>
        <v>18</v>
      </c>
      <c r="E3614" t="str">
        <f>"1-158-18"</f>
        <v>1-158-18</v>
      </c>
      <c r="F3614" t="s">
        <v>83</v>
      </c>
      <c r="G3614" t="s">
        <v>86</v>
      </c>
      <c r="H3614" t="s">
        <v>93</v>
      </c>
      <c r="I3614">
        <v>1</v>
      </c>
      <c r="K3614">
        <v>1</v>
      </c>
      <c r="L3614">
        <v>0</v>
      </c>
      <c r="M3614">
        <v>0</v>
      </c>
      <c r="N3614">
        <v>1</v>
      </c>
      <c r="O3614">
        <v>1</v>
      </c>
      <c r="P3614">
        <v>1</v>
      </c>
      <c r="Q3614">
        <v>1</v>
      </c>
      <c r="R3614">
        <v>1</v>
      </c>
      <c r="U3614">
        <v>0</v>
      </c>
      <c r="V3614">
        <v>1</v>
      </c>
      <c r="W3614">
        <v>1</v>
      </c>
      <c r="X3614">
        <v>1</v>
      </c>
      <c r="Y3614">
        <v>1</v>
      </c>
      <c r="Z3614">
        <v>1</v>
      </c>
      <c r="AA3614">
        <v>1</v>
      </c>
      <c r="AB3614">
        <v>1</v>
      </c>
    </row>
    <row r="3615" spans="1:49" x14ac:dyDescent="0.25">
      <c r="A3615" t="str">
        <f>"3611"</f>
        <v>3611</v>
      </c>
      <c r="B3615" t="str">
        <f t="shared" si="209"/>
        <v>1</v>
      </c>
      <c r="C3615" t="str">
        <f t="shared" si="208"/>
        <v>158</v>
      </c>
      <c r="D3615" t="str">
        <f>"10"</f>
        <v>10</v>
      </c>
      <c r="E3615" t="str">
        <f>"1-158-10"</f>
        <v>1-158-10</v>
      </c>
      <c r="F3615" t="s">
        <v>83</v>
      </c>
      <c r="G3615" t="s">
        <v>86</v>
      </c>
      <c r="H3615" t="s">
        <v>93</v>
      </c>
      <c r="I3615">
        <v>1</v>
      </c>
      <c r="K3615">
        <v>0</v>
      </c>
      <c r="L3615">
        <v>1</v>
      </c>
      <c r="M3615">
        <v>0</v>
      </c>
      <c r="N3615">
        <v>1</v>
      </c>
      <c r="O3615">
        <v>1</v>
      </c>
      <c r="P3615">
        <v>1</v>
      </c>
      <c r="Q3615">
        <v>1</v>
      </c>
      <c r="R3615">
        <v>1</v>
      </c>
      <c r="U3615">
        <v>0</v>
      </c>
      <c r="V3615">
        <v>1</v>
      </c>
      <c r="W3615">
        <v>1</v>
      </c>
      <c r="X3615">
        <v>1</v>
      </c>
      <c r="Y3615">
        <v>1</v>
      </c>
      <c r="Z3615">
        <v>1</v>
      </c>
      <c r="AA3615">
        <v>1</v>
      </c>
      <c r="AB3615">
        <v>1</v>
      </c>
    </row>
    <row r="3616" spans="1:49" x14ac:dyDescent="0.25">
      <c r="A3616" t="str">
        <f>"3612"</f>
        <v>3612</v>
      </c>
      <c r="B3616" t="str">
        <f t="shared" si="209"/>
        <v>1</v>
      </c>
      <c r="C3616" t="str">
        <f t="shared" si="208"/>
        <v>158</v>
      </c>
      <c r="D3616" t="str">
        <f>"4"</f>
        <v>4</v>
      </c>
      <c r="E3616" t="str">
        <f>"1-158-4"</f>
        <v>1-158-4</v>
      </c>
      <c r="F3616" t="s">
        <v>83</v>
      </c>
      <c r="G3616" t="s">
        <v>84</v>
      </c>
      <c r="H3616" t="s">
        <v>85</v>
      </c>
      <c r="AC3616">
        <v>0</v>
      </c>
      <c r="AD3616">
        <v>1</v>
      </c>
      <c r="AE3616">
        <v>0</v>
      </c>
      <c r="AF3616">
        <v>0</v>
      </c>
      <c r="AG3616">
        <v>1</v>
      </c>
      <c r="AJ3616">
        <v>1</v>
      </c>
      <c r="AK3616">
        <v>0</v>
      </c>
      <c r="AL3616">
        <v>0</v>
      </c>
      <c r="AM3616">
        <v>1</v>
      </c>
      <c r="AN3616">
        <v>0</v>
      </c>
      <c r="AO3616">
        <v>1</v>
      </c>
      <c r="AP3616">
        <v>1</v>
      </c>
      <c r="AQ3616">
        <v>1</v>
      </c>
      <c r="AR3616">
        <v>1</v>
      </c>
      <c r="AS3616">
        <v>0</v>
      </c>
      <c r="AT3616">
        <v>1</v>
      </c>
      <c r="AV3616">
        <v>1</v>
      </c>
      <c r="AW3616">
        <v>1</v>
      </c>
    </row>
    <row r="3617" spans="1:49" x14ac:dyDescent="0.25">
      <c r="A3617" t="str">
        <f>"3613"</f>
        <v>3613</v>
      </c>
      <c r="B3617" t="str">
        <f t="shared" si="209"/>
        <v>1</v>
      </c>
      <c r="C3617" t="str">
        <f t="shared" si="208"/>
        <v>158</v>
      </c>
      <c r="D3617" t="str">
        <f>"21"</f>
        <v>21</v>
      </c>
      <c r="E3617" t="str">
        <f>"1-158-21"</f>
        <v>1-158-21</v>
      </c>
      <c r="F3617" t="s">
        <v>83</v>
      </c>
      <c r="G3617" t="s">
        <v>84</v>
      </c>
      <c r="H3617" t="s">
        <v>92</v>
      </c>
      <c r="I3617">
        <v>1</v>
      </c>
      <c r="J3617">
        <v>1</v>
      </c>
      <c r="N3617">
        <v>1</v>
      </c>
      <c r="O3617">
        <v>1</v>
      </c>
      <c r="P3617">
        <v>1</v>
      </c>
      <c r="Q3617">
        <v>1</v>
      </c>
      <c r="R3617">
        <v>1</v>
      </c>
      <c r="S3617">
        <v>1</v>
      </c>
      <c r="T3617">
        <v>1</v>
      </c>
      <c r="W3617">
        <v>1</v>
      </c>
      <c r="X3617">
        <v>1</v>
      </c>
      <c r="Y3617">
        <v>1</v>
      </c>
      <c r="Z3617">
        <v>1</v>
      </c>
      <c r="AA3617">
        <v>1</v>
      </c>
      <c r="AB3617">
        <v>1</v>
      </c>
    </row>
    <row r="3618" spans="1:49" x14ac:dyDescent="0.25">
      <c r="A3618" t="str">
        <f>"3614"</f>
        <v>3614</v>
      </c>
      <c r="B3618" t="str">
        <f t="shared" si="209"/>
        <v>1</v>
      </c>
      <c r="C3618" t="str">
        <f t="shared" si="208"/>
        <v>158</v>
      </c>
      <c r="D3618" t="str">
        <f>"12"</f>
        <v>12</v>
      </c>
      <c r="E3618" t="str">
        <f>"1-158-12"</f>
        <v>1-158-12</v>
      </c>
      <c r="F3618" t="s">
        <v>83</v>
      </c>
      <c r="G3618" t="s">
        <v>86</v>
      </c>
      <c r="H3618" t="s">
        <v>93</v>
      </c>
      <c r="I3618">
        <v>1</v>
      </c>
      <c r="K3618">
        <v>0</v>
      </c>
      <c r="L3618">
        <v>0</v>
      </c>
      <c r="M3618">
        <v>1</v>
      </c>
      <c r="N3618">
        <v>1</v>
      </c>
      <c r="O3618">
        <v>1</v>
      </c>
      <c r="P3618">
        <v>1</v>
      </c>
      <c r="Q3618">
        <v>1</v>
      </c>
      <c r="R3618">
        <v>1</v>
      </c>
      <c r="U3618">
        <v>1</v>
      </c>
      <c r="V3618">
        <v>0</v>
      </c>
      <c r="W3618">
        <v>1</v>
      </c>
      <c r="X3618">
        <v>1</v>
      </c>
      <c r="Y3618">
        <v>1</v>
      </c>
      <c r="Z3618">
        <v>1</v>
      </c>
      <c r="AA3618">
        <v>1</v>
      </c>
      <c r="AB3618">
        <v>1</v>
      </c>
    </row>
    <row r="3619" spans="1:49" x14ac:dyDescent="0.25">
      <c r="A3619" t="str">
        <f>"3615"</f>
        <v>3615</v>
      </c>
      <c r="B3619" t="str">
        <f t="shared" si="209"/>
        <v>1</v>
      </c>
      <c r="C3619" t="str">
        <f t="shared" si="208"/>
        <v>158</v>
      </c>
      <c r="D3619" t="str">
        <f>"5"</f>
        <v>5</v>
      </c>
      <c r="E3619" t="str">
        <f>"1-158-5"</f>
        <v>1-158-5</v>
      </c>
      <c r="F3619" t="s">
        <v>83</v>
      </c>
      <c r="G3619" t="s">
        <v>84</v>
      </c>
      <c r="H3619" t="s">
        <v>92</v>
      </c>
      <c r="I3619">
        <v>1</v>
      </c>
      <c r="J3619">
        <v>1</v>
      </c>
      <c r="N3619">
        <v>1</v>
      </c>
      <c r="O3619">
        <v>1</v>
      </c>
      <c r="P3619">
        <v>1</v>
      </c>
      <c r="Q3619">
        <v>1</v>
      </c>
      <c r="R3619">
        <v>1</v>
      </c>
      <c r="S3619">
        <v>1</v>
      </c>
      <c r="T3619">
        <v>1</v>
      </c>
      <c r="W3619">
        <v>1</v>
      </c>
      <c r="X3619">
        <v>1</v>
      </c>
      <c r="Y3619">
        <v>1</v>
      </c>
      <c r="Z3619">
        <v>1</v>
      </c>
      <c r="AA3619">
        <v>1</v>
      </c>
      <c r="AB3619">
        <v>1</v>
      </c>
    </row>
    <row r="3620" spans="1:49" x14ac:dyDescent="0.25">
      <c r="A3620" t="str">
        <f>"3616"</f>
        <v>3616</v>
      </c>
      <c r="B3620" t="str">
        <f t="shared" si="209"/>
        <v>1</v>
      </c>
      <c r="C3620" t="str">
        <f t="shared" si="208"/>
        <v>158</v>
      </c>
      <c r="D3620" t="str">
        <f>"20"</f>
        <v>20</v>
      </c>
      <c r="E3620" t="str">
        <f>"1-158-20"</f>
        <v>1-158-20</v>
      </c>
      <c r="F3620" t="s">
        <v>83</v>
      </c>
      <c r="G3620" t="s">
        <v>86</v>
      </c>
      <c r="H3620" t="s">
        <v>93</v>
      </c>
      <c r="I3620">
        <v>1</v>
      </c>
      <c r="K3620">
        <v>1</v>
      </c>
      <c r="L3620">
        <v>0</v>
      </c>
      <c r="M3620">
        <v>0</v>
      </c>
      <c r="N3620">
        <v>1</v>
      </c>
      <c r="O3620">
        <v>1</v>
      </c>
      <c r="P3620">
        <v>1</v>
      </c>
      <c r="Q3620">
        <v>1</v>
      </c>
      <c r="R3620">
        <v>1</v>
      </c>
      <c r="U3620">
        <v>0</v>
      </c>
      <c r="V3620">
        <v>1</v>
      </c>
      <c r="W3620">
        <v>1</v>
      </c>
      <c r="X3620">
        <v>1</v>
      </c>
      <c r="Y3620">
        <v>1</v>
      </c>
      <c r="Z3620">
        <v>1</v>
      </c>
      <c r="AA3620">
        <v>1</v>
      </c>
      <c r="AB3620">
        <v>1</v>
      </c>
    </row>
    <row r="3621" spans="1:49" x14ac:dyDescent="0.25">
      <c r="A3621" t="str">
        <f>"3617"</f>
        <v>3617</v>
      </c>
      <c r="B3621" t="str">
        <f t="shared" si="209"/>
        <v>1</v>
      </c>
      <c r="C3621" t="str">
        <f t="shared" si="208"/>
        <v>158</v>
      </c>
      <c r="D3621" t="str">
        <f>"13"</f>
        <v>13</v>
      </c>
      <c r="E3621" t="str">
        <f>"1-158-13"</f>
        <v>1-158-13</v>
      </c>
      <c r="F3621" t="s">
        <v>83</v>
      </c>
      <c r="G3621" t="s">
        <v>86</v>
      </c>
      <c r="H3621" t="s">
        <v>93</v>
      </c>
      <c r="I3621">
        <v>1</v>
      </c>
      <c r="K3621">
        <v>1</v>
      </c>
      <c r="L3621">
        <v>0</v>
      </c>
      <c r="M3621">
        <v>0</v>
      </c>
      <c r="N3621">
        <v>1</v>
      </c>
      <c r="O3621">
        <v>1</v>
      </c>
      <c r="P3621">
        <v>1</v>
      </c>
      <c r="Q3621">
        <v>1</v>
      </c>
      <c r="R3621">
        <v>1</v>
      </c>
      <c r="U3621">
        <v>0</v>
      </c>
      <c r="V3621">
        <v>1</v>
      </c>
      <c r="W3621">
        <v>1</v>
      </c>
      <c r="X3621">
        <v>1</v>
      </c>
      <c r="Y3621">
        <v>1</v>
      </c>
      <c r="Z3621">
        <v>1</v>
      </c>
      <c r="AA3621">
        <v>1</v>
      </c>
      <c r="AB3621">
        <v>1</v>
      </c>
    </row>
    <row r="3622" spans="1:49" x14ac:dyDescent="0.25">
      <c r="A3622" t="str">
        <f>"3618"</f>
        <v>3618</v>
      </c>
      <c r="B3622" t="str">
        <f t="shared" si="209"/>
        <v>1</v>
      </c>
      <c r="C3622" t="str">
        <f t="shared" si="208"/>
        <v>158</v>
      </c>
      <c r="D3622" t="str">
        <f>"6"</f>
        <v>6</v>
      </c>
      <c r="E3622" t="str">
        <f>"1-158-6"</f>
        <v>1-158-6</v>
      </c>
      <c r="F3622" t="s">
        <v>83</v>
      </c>
      <c r="G3622" t="s">
        <v>86</v>
      </c>
      <c r="H3622" t="s">
        <v>93</v>
      </c>
      <c r="I3622">
        <v>1</v>
      </c>
      <c r="K3622">
        <v>1</v>
      </c>
      <c r="L3622">
        <v>0</v>
      </c>
      <c r="M3622">
        <v>0</v>
      </c>
      <c r="N3622">
        <v>1</v>
      </c>
      <c r="O3622">
        <v>1</v>
      </c>
      <c r="P3622">
        <v>1</v>
      </c>
      <c r="Q3622">
        <v>1</v>
      </c>
      <c r="R3622">
        <v>1</v>
      </c>
      <c r="U3622">
        <v>0</v>
      </c>
      <c r="V3622">
        <v>1</v>
      </c>
      <c r="W3622">
        <v>1</v>
      </c>
      <c r="X3622">
        <v>1</v>
      </c>
      <c r="Y3622">
        <v>1</v>
      </c>
      <c r="Z3622">
        <v>1</v>
      </c>
      <c r="AA3622">
        <v>1</v>
      </c>
      <c r="AB3622">
        <v>1</v>
      </c>
    </row>
    <row r="3623" spans="1:49" x14ac:dyDescent="0.25">
      <c r="A3623" t="str">
        <f>"3619"</f>
        <v>3619</v>
      </c>
      <c r="B3623" t="str">
        <f t="shared" si="209"/>
        <v>1</v>
      </c>
      <c r="C3623" t="str">
        <f t="shared" si="208"/>
        <v>158</v>
      </c>
      <c r="D3623" t="str">
        <f>"16"</f>
        <v>16</v>
      </c>
      <c r="E3623" t="str">
        <f>"1-158-16"</f>
        <v>1-158-16</v>
      </c>
      <c r="F3623" t="s">
        <v>83</v>
      </c>
      <c r="G3623" t="s">
        <v>86</v>
      </c>
      <c r="H3623" t="s">
        <v>93</v>
      </c>
      <c r="I3623">
        <v>1</v>
      </c>
      <c r="K3623">
        <v>0</v>
      </c>
      <c r="L3623">
        <v>1</v>
      </c>
      <c r="M3623">
        <v>0</v>
      </c>
      <c r="N3623">
        <v>1</v>
      </c>
      <c r="O3623">
        <v>1</v>
      </c>
      <c r="P3623">
        <v>1</v>
      </c>
      <c r="Q3623">
        <v>1</v>
      </c>
      <c r="R3623">
        <v>1</v>
      </c>
      <c r="U3623">
        <v>1</v>
      </c>
      <c r="V3623">
        <v>0</v>
      </c>
      <c r="W3623">
        <v>1</v>
      </c>
      <c r="X3623">
        <v>1</v>
      </c>
      <c r="Y3623">
        <v>1</v>
      </c>
      <c r="Z3623">
        <v>0</v>
      </c>
      <c r="AA3623">
        <v>1</v>
      </c>
      <c r="AB3623">
        <v>1</v>
      </c>
    </row>
    <row r="3624" spans="1:49" x14ac:dyDescent="0.25">
      <c r="A3624" t="str">
        <f>"3620"</f>
        <v>3620</v>
      </c>
      <c r="B3624" t="str">
        <f t="shared" si="209"/>
        <v>1</v>
      </c>
      <c r="C3624" t="str">
        <f t="shared" si="208"/>
        <v>158</v>
      </c>
      <c r="D3624" t="str">
        <f>"3"</f>
        <v>3</v>
      </c>
      <c r="E3624" t="str">
        <f>"1-158-3"</f>
        <v>1-158-3</v>
      </c>
      <c r="F3624" t="s">
        <v>83</v>
      </c>
      <c r="G3624" t="s">
        <v>86</v>
      </c>
      <c r="H3624" t="s">
        <v>87</v>
      </c>
      <c r="AC3624">
        <v>0</v>
      </c>
      <c r="AD3624">
        <v>0</v>
      </c>
      <c r="AE3624">
        <v>0</v>
      </c>
      <c r="AF3624">
        <v>0</v>
      </c>
      <c r="AH3624">
        <v>0</v>
      </c>
      <c r="AI3624">
        <v>1</v>
      </c>
      <c r="AJ3624">
        <v>0</v>
      </c>
      <c r="AK3624">
        <v>0</v>
      </c>
      <c r="AL3624">
        <v>0</v>
      </c>
      <c r="AM3624">
        <v>0</v>
      </c>
      <c r="AN3624">
        <v>1</v>
      </c>
      <c r="AO3624">
        <v>0</v>
      </c>
      <c r="AP3624">
        <v>0</v>
      </c>
      <c r="AQ3624">
        <v>0</v>
      </c>
      <c r="AU3624">
        <v>0</v>
      </c>
      <c r="AV3624">
        <v>0</v>
      </c>
      <c r="AW3624">
        <v>0</v>
      </c>
    </row>
    <row r="3625" spans="1:49" x14ac:dyDescent="0.25">
      <c r="A3625" t="str">
        <f>"3621"</f>
        <v>3621</v>
      </c>
      <c r="B3625" t="str">
        <f t="shared" si="209"/>
        <v>1</v>
      </c>
      <c r="C3625" t="str">
        <f t="shared" si="208"/>
        <v>158</v>
      </c>
      <c r="D3625" t="str">
        <f>"19"</f>
        <v>19</v>
      </c>
      <c r="E3625" t="str">
        <f>"1-158-19"</f>
        <v>1-158-19</v>
      </c>
      <c r="F3625" t="s">
        <v>83</v>
      </c>
      <c r="G3625" t="s">
        <v>86</v>
      </c>
      <c r="H3625" t="s">
        <v>93</v>
      </c>
      <c r="I3625">
        <v>1</v>
      </c>
      <c r="K3625">
        <v>0</v>
      </c>
      <c r="L3625">
        <v>0</v>
      </c>
      <c r="M3625">
        <v>1</v>
      </c>
      <c r="N3625">
        <v>1</v>
      </c>
      <c r="O3625">
        <v>1</v>
      </c>
      <c r="P3625">
        <v>1</v>
      </c>
      <c r="Q3625">
        <v>1</v>
      </c>
      <c r="R3625">
        <v>1</v>
      </c>
      <c r="U3625">
        <v>0</v>
      </c>
      <c r="V3625">
        <v>1</v>
      </c>
      <c r="W3625">
        <v>1</v>
      </c>
      <c r="X3625">
        <v>1</v>
      </c>
      <c r="Y3625">
        <v>1</v>
      </c>
      <c r="Z3625">
        <v>1</v>
      </c>
      <c r="AA3625">
        <v>1</v>
      </c>
      <c r="AB3625">
        <v>1</v>
      </c>
    </row>
    <row r="3626" spans="1:49" x14ac:dyDescent="0.25">
      <c r="A3626" t="str">
        <f>"3622"</f>
        <v>3622</v>
      </c>
      <c r="B3626" t="str">
        <f t="shared" si="209"/>
        <v>1</v>
      </c>
      <c r="C3626" t="str">
        <f t="shared" si="208"/>
        <v>158</v>
      </c>
      <c r="D3626" t="str">
        <f>"7"</f>
        <v>7</v>
      </c>
      <c r="E3626" t="str">
        <f>"1-158-7"</f>
        <v>1-158-7</v>
      </c>
      <c r="F3626" t="s">
        <v>83</v>
      </c>
      <c r="G3626" t="s">
        <v>86</v>
      </c>
      <c r="H3626" t="s">
        <v>93</v>
      </c>
      <c r="I3626">
        <v>1</v>
      </c>
      <c r="K3626">
        <v>0</v>
      </c>
      <c r="L3626">
        <v>0</v>
      </c>
      <c r="M3626">
        <v>1</v>
      </c>
      <c r="N3626">
        <v>1</v>
      </c>
      <c r="O3626">
        <v>1</v>
      </c>
      <c r="P3626">
        <v>1</v>
      </c>
      <c r="Q3626">
        <v>1</v>
      </c>
      <c r="R3626">
        <v>1</v>
      </c>
      <c r="U3626">
        <v>0</v>
      </c>
      <c r="V3626">
        <v>0</v>
      </c>
      <c r="W3626">
        <v>0</v>
      </c>
      <c r="X3626">
        <v>0</v>
      </c>
      <c r="Y3626">
        <v>0</v>
      </c>
      <c r="Z3626">
        <v>0</v>
      </c>
      <c r="AA3626">
        <v>0</v>
      </c>
      <c r="AB3626">
        <v>0</v>
      </c>
    </row>
    <row r="3627" spans="1:49" x14ac:dyDescent="0.25">
      <c r="A3627" t="str">
        <f>"3623"</f>
        <v>3623</v>
      </c>
      <c r="B3627" t="str">
        <f t="shared" si="209"/>
        <v>1</v>
      </c>
      <c r="C3627" t="str">
        <f t="shared" ref="C3627:C3648" si="210">"159"</f>
        <v>159</v>
      </c>
      <c r="D3627" t="str">
        <f>"22"</f>
        <v>22</v>
      </c>
      <c r="E3627" t="str">
        <f>"1-159-22"</f>
        <v>1-159-22</v>
      </c>
      <c r="F3627" t="s">
        <v>83</v>
      </c>
      <c r="G3627" t="s">
        <v>84</v>
      </c>
      <c r="H3627" t="s">
        <v>92</v>
      </c>
      <c r="I3627">
        <v>1</v>
      </c>
      <c r="J3627">
        <v>1</v>
      </c>
      <c r="N3627">
        <v>1</v>
      </c>
      <c r="O3627">
        <v>1</v>
      </c>
      <c r="P3627">
        <v>1</v>
      </c>
      <c r="Q3627">
        <v>1</v>
      </c>
      <c r="R3627">
        <v>1</v>
      </c>
      <c r="S3627">
        <v>1</v>
      </c>
      <c r="T3627">
        <v>1</v>
      </c>
      <c r="W3627">
        <v>1</v>
      </c>
      <c r="X3627">
        <v>1</v>
      </c>
      <c r="Y3627">
        <v>1</v>
      </c>
      <c r="Z3627">
        <v>1</v>
      </c>
      <c r="AA3627">
        <v>1</v>
      </c>
      <c r="AB3627">
        <v>1</v>
      </c>
    </row>
    <row r="3628" spans="1:49" x14ac:dyDescent="0.25">
      <c r="A3628" t="str">
        <f>"3624"</f>
        <v>3624</v>
      </c>
      <c r="B3628" t="str">
        <f t="shared" si="209"/>
        <v>1</v>
      </c>
      <c r="C3628" t="str">
        <f t="shared" si="210"/>
        <v>159</v>
      </c>
      <c r="D3628" t="str">
        <f>"15"</f>
        <v>15</v>
      </c>
      <c r="E3628" t="str">
        <f>"1-159-15"</f>
        <v>1-159-15</v>
      </c>
      <c r="F3628" t="s">
        <v>83</v>
      </c>
      <c r="G3628" t="s">
        <v>84</v>
      </c>
      <c r="H3628" t="s">
        <v>92</v>
      </c>
      <c r="I3628">
        <v>0</v>
      </c>
      <c r="J3628">
        <v>0</v>
      </c>
      <c r="N3628">
        <v>1</v>
      </c>
      <c r="O3628">
        <v>0</v>
      </c>
      <c r="P3628">
        <v>0</v>
      </c>
      <c r="Q3628">
        <v>0</v>
      </c>
      <c r="R3628">
        <v>0</v>
      </c>
      <c r="S3628">
        <v>0</v>
      </c>
      <c r="T3628">
        <v>0</v>
      </c>
      <c r="W3628">
        <v>0</v>
      </c>
      <c r="X3628">
        <v>0</v>
      </c>
      <c r="Y3628">
        <v>0</v>
      </c>
      <c r="Z3628">
        <v>0</v>
      </c>
      <c r="AA3628">
        <v>0</v>
      </c>
      <c r="AB3628">
        <v>0</v>
      </c>
    </row>
    <row r="3629" spans="1:49" x14ac:dyDescent="0.25">
      <c r="A3629" t="str">
        <f>"3625"</f>
        <v>3625</v>
      </c>
      <c r="B3629" t="str">
        <f t="shared" si="209"/>
        <v>1</v>
      </c>
      <c r="C3629" t="str">
        <f t="shared" si="210"/>
        <v>159</v>
      </c>
      <c r="D3629" t="str">
        <f>"8"</f>
        <v>8</v>
      </c>
      <c r="E3629" t="str">
        <f>"1-159-8"</f>
        <v>1-159-8</v>
      </c>
      <c r="F3629" t="s">
        <v>83</v>
      </c>
      <c r="G3629" t="s">
        <v>84</v>
      </c>
      <c r="H3629" t="s">
        <v>92</v>
      </c>
      <c r="I3629">
        <v>1</v>
      </c>
      <c r="J3629">
        <v>1</v>
      </c>
      <c r="N3629">
        <v>1</v>
      </c>
      <c r="O3629">
        <v>1</v>
      </c>
      <c r="P3629">
        <v>1</v>
      </c>
      <c r="Q3629">
        <v>1</v>
      </c>
      <c r="R3629">
        <v>1</v>
      </c>
      <c r="S3629">
        <v>1</v>
      </c>
      <c r="T3629">
        <v>1</v>
      </c>
      <c r="W3629">
        <v>1</v>
      </c>
      <c r="X3629">
        <v>1</v>
      </c>
      <c r="Y3629">
        <v>1</v>
      </c>
      <c r="Z3629">
        <v>1</v>
      </c>
      <c r="AA3629">
        <v>1</v>
      </c>
      <c r="AB3629">
        <v>1</v>
      </c>
    </row>
    <row r="3630" spans="1:49" x14ac:dyDescent="0.25">
      <c r="A3630" t="str">
        <f>"3626"</f>
        <v>3626</v>
      </c>
      <c r="B3630" t="str">
        <f t="shared" si="209"/>
        <v>1</v>
      </c>
      <c r="C3630" t="str">
        <f t="shared" si="210"/>
        <v>159</v>
      </c>
      <c r="D3630" t="str">
        <f>"6"</f>
        <v>6</v>
      </c>
      <c r="E3630" t="str">
        <f>"1-159-6"</f>
        <v>1-159-6</v>
      </c>
      <c r="F3630" t="s">
        <v>83</v>
      </c>
      <c r="G3630" t="s">
        <v>84</v>
      </c>
      <c r="H3630" t="s">
        <v>92</v>
      </c>
      <c r="I3630">
        <v>1</v>
      </c>
      <c r="J3630">
        <v>1</v>
      </c>
      <c r="N3630">
        <v>1</v>
      </c>
      <c r="O3630">
        <v>1</v>
      </c>
      <c r="P3630">
        <v>1</v>
      </c>
      <c r="Q3630">
        <v>1</v>
      </c>
      <c r="R3630">
        <v>1</v>
      </c>
      <c r="S3630">
        <v>1</v>
      </c>
      <c r="T3630">
        <v>1</v>
      </c>
      <c r="W3630">
        <v>1</v>
      </c>
      <c r="X3630">
        <v>1</v>
      </c>
      <c r="Y3630">
        <v>1</v>
      </c>
      <c r="Z3630">
        <v>1</v>
      </c>
      <c r="AA3630">
        <v>1</v>
      </c>
      <c r="AB3630">
        <v>1</v>
      </c>
    </row>
    <row r="3631" spans="1:49" x14ac:dyDescent="0.25">
      <c r="A3631" t="str">
        <f>"3627"</f>
        <v>3627</v>
      </c>
      <c r="B3631" t="str">
        <f t="shared" si="209"/>
        <v>1</v>
      </c>
      <c r="C3631" t="str">
        <f t="shared" si="210"/>
        <v>159</v>
      </c>
      <c r="D3631" t="str">
        <f>"16"</f>
        <v>16</v>
      </c>
      <c r="E3631" t="str">
        <f>"1-159-16"</f>
        <v>1-159-16</v>
      </c>
      <c r="F3631" t="s">
        <v>83</v>
      </c>
      <c r="G3631" t="s">
        <v>84</v>
      </c>
      <c r="H3631" t="s">
        <v>92</v>
      </c>
      <c r="I3631">
        <v>1</v>
      </c>
      <c r="J3631">
        <v>1</v>
      </c>
      <c r="N3631">
        <v>1</v>
      </c>
      <c r="O3631">
        <v>1</v>
      </c>
      <c r="P3631">
        <v>1</v>
      </c>
      <c r="Q3631">
        <v>1</v>
      </c>
      <c r="R3631">
        <v>1</v>
      </c>
      <c r="S3631">
        <v>1</v>
      </c>
      <c r="T3631">
        <v>1</v>
      </c>
      <c r="W3631">
        <v>0</v>
      </c>
      <c r="X3631">
        <v>0</v>
      </c>
      <c r="Y3631">
        <v>0</v>
      </c>
      <c r="Z3631">
        <v>1</v>
      </c>
      <c r="AA3631">
        <v>1</v>
      </c>
      <c r="AB3631">
        <v>1</v>
      </c>
    </row>
    <row r="3632" spans="1:49" x14ac:dyDescent="0.25">
      <c r="A3632" t="str">
        <f>"3628"</f>
        <v>3628</v>
      </c>
      <c r="B3632" t="str">
        <f t="shared" si="209"/>
        <v>1</v>
      </c>
      <c r="C3632" t="str">
        <f t="shared" si="210"/>
        <v>159</v>
      </c>
      <c r="D3632" t="str">
        <f>"9"</f>
        <v>9</v>
      </c>
      <c r="E3632" t="str">
        <f>"1-159-9"</f>
        <v>1-159-9</v>
      </c>
      <c r="F3632" t="s">
        <v>83</v>
      </c>
      <c r="G3632" t="s">
        <v>84</v>
      </c>
      <c r="H3632" t="s">
        <v>92</v>
      </c>
      <c r="I3632">
        <v>1</v>
      </c>
      <c r="J3632">
        <v>1</v>
      </c>
      <c r="N3632">
        <v>1</v>
      </c>
      <c r="O3632">
        <v>1</v>
      </c>
      <c r="P3632">
        <v>1</v>
      </c>
      <c r="Q3632">
        <v>1</v>
      </c>
      <c r="R3632">
        <v>1</v>
      </c>
      <c r="S3632">
        <v>1</v>
      </c>
      <c r="T3632">
        <v>1</v>
      </c>
      <c r="W3632">
        <v>1</v>
      </c>
      <c r="X3632">
        <v>1</v>
      </c>
      <c r="Y3632">
        <v>1</v>
      </c>
      <c r="Z3632">
        <v>1</v>
      </c>
      <c r="AA3632">
        <v>1</v>
      </c>
      <c r="AB3632">
        <v>1</v>
      </c>
    </row>
    <row r="3633" spans="1:49" x14ac:dyDescent="0.25">
      <c r="A3633" t="str">
        <f>"3629"</f>
        <v>3629</v>
      </c>
      <c r="B3633" t="str">
        <f t="shared" si="209"/>
        <v>1</v>
      </c>
      <c r="C3633" t="str">
        <f t="shared" si="210"/>
        <v>159</v>
      </c>
      <c r="D3633" t="str">
        <f>"1"</f>
        <v>1</v>
      </c>
      <c r="E3633" t="str">
        <f>"1-159-1"</f>
        <v>1-159-1</v>
      </c>
      <c r="F3633" t="s">
        <v>83</v>
      </c>
      <c r="G3633" t="s">
        <v>84</v>
      </c>
      <c r="H3633" t="s">
        <v>92</v>
      </c>
      <c r="I3633">
        <v>1</v>
      </c>
      <c r="J3633">
        <v>1</v>
      </c>
      <c r="N3633">
        <v>1</v>
      </c>
      <c r="O3633">
        <v>1</v>
      </c>
      <c r="P3633">
        <v>1</v>
      </c>
      <c r="Q3633">
        <v>1</v>
      </c>
      <c r="R3633">
        <v>1</v>
      </c>
      <c r="S3633">
        <v>1</v>
      </c>
      <c r="T3633">
        <v>1</v>
      </c>
      <c r="W3633">
        <v>1</v>
      </c>
      <c r="X3633">
        <v>1</v>
      </c>
      <c r="Y3633">
        <v>1</v>
      </c>
      <c r="Z3633">
        <v>1</v>
      </c>
      <c r="AA3633">
        <v>1</v>
      </c>
      <c r="AB3633">
        <v>1</v>
      </c>
    </row>
    <row r="3634" spans="1:49" x14ac:dyDescent="0.25">
      <c r="A3634" t="str">
        <f>"3630"</f>
        <v>3630</v>
      </c>
      <c r="B3634" t="str">
        <f t="shared" si="209"/>
        <v>1</v>
      </c>
      <c r="C3634" t="str">
        <f t="shared" si="210"/>
        <v>159</v>
      </c>
      <c r="D3634" t="str">
        <f>"17"</f>
        <v>17</v>
      </c>
      <c r="E3634" t="str">
        <f>"1-159-17"</f>
        <v>1-159-17</v>
      </c>
      <c r="F3634" t="s">
        <v>83</v>
      </c>
      <c r="G3634" t="s">
        <v>84</v>
      </c>
      <c r="H3634" t="s">
        <v>92</v>
      </c>
      <c r="I3634">
        <v>1</v>
      </c>
      <c r="J3634">
        <v>1</v>
      </c>
      <c r="N3634">
        <v>1</v>
      </c>
      <c r="O3634">
        <v>1</v>
      </c>
      <c r="P3634">
        <v>1</v>
      </c>
      <c r="Q3634">
        <v>1</v>
      </c>
      <c r="R3634">
        <v>1</v>
      </c>
      <c r="S3634">
        <v>1</v>
      </c>
      <c r="T3634">
        <v>1</v>
      </c>
      <c r="W3634">
        <v>1</v>
      </c>
      <c r="X3634">
        <v>1</v>
      </c>
      <c r="Y3634">
        <v>1</v>
      </c>
      <c r="Z3634">
        <v>1</v>
      </c>
      <c r="AA3634">
        <v>1</v>
      </c>
      <c r="AB3634">
        <v>1</v>
      </c>
    </row>
    <row r="3635" spans="1:49" x14ac:dyDescent="0.25">
      <c r="A3635" t="str">
        <f>"3631"</f>
        <v>3631</v>
      </c>
      <c r="B3635" t="str">
        <f t="shared" si="209"/>
        <v>1</v>
      </c>
      <c r="C3635" t="str">
        <f t="shared" si="210"/>
        <v>159</v>
      </c>
      <c r="D3635" t="str">
        <f>"10"</f>
        <v>10</v>
      </c>
      <c r="E3635" t="str">
        <f>"1-159-10"</f>
        <v>1-159-10</v>
      </c>
      <c r="F3635" t="s">
        <v>83</v>
      </c>
      <c r="G3635" t="s">
        <v>84</v>
      </c>
      <c r="H3635" t="s">
        <v>92</v>
      </c>
      <c r="I3635">
        <v>1</v>
      </c>
      <c r="J3635">
        <v>1</v>
      </c>
      <c r="N3635">
        <v>1</v>
      </c>
      <c r="O3635">
        <v>1</v>
      </c>
      <c r="P3635">
        <v>1</v>
      </c>
      <c r="Q3635">
        <v>1</v>
      </c>
      <c r="R3635">
        <v>1</v>
      </c>
      <c r="S3635">
        <v>1</v>
      </c>
      <c r="T3635">
        <v>1</v>
      </c>
      <c r="W3635">
        <v>1</v>
      </c>
      <c r="X3635">
        <v>1</v>
      </c>
      <c r="Y3635">
        <v>1</v>
      </c>
      <c r="Z3635">
        <v>1</v>
      </c>
      <c r="AA3635">
        <v>1</v>
      </c>
      <c r="AB3635">
        <v>1</v>
      </c>
    </row>
    <row r="3636" spans="1:49" x14ac:dyDescent="0.25">
      <c r="A3636" t="str">
        <f>"3632"</f>
        <v>3632</v>
      </c>
      <c r="B3636" t="str">
        <f t="shared" si="209"/>
        <v>1</v>
      </c>
      <c r="C3636" t="str">
        <f t="shared" si="210"/>
        <v>159</v>
      </c>
      <c r="D3636" t="str">
        <f>"4"</f>
        <v>4</v>
      </c>
      <c r="E3636" t="str">
        <f>"1-159-4"</f>
        <v>1-159-4</v>
      </c>
      <c r="F3636" t="s">
        <v>83</v>
      </c>
      <c r="G3636" t="s">
        <v>84</v>
      </c>
      <c r="H3636" t="s">
        <v>92</v>
      </c>
      <c r="I3636">
        <v>1</v>
      </c>
      <c r="J3636">
        <v>0</v>
      </c>
      <c r="N3636">
        <v>1</v>
      </c>
      <c r="O3636">
        <v>0</v>
      </c>
      <c r="P3636">
        <v>0</v>
      </c>
      <c r="Q3636">
        <v>0</v>
      </c>
      <c r="R3636">
        <v>0</v>
      </c>
      <c r="S3636">
        <v>0</v>
      </c>
      <c r="T3636">
        <v>0</v>
      </c>
      <c r="W3636">
        <v>1</v>
      </c>
      <c r="X3636">
        <v>1</v>
      </c>
      <c r="Y3636">
        <v>1</v>
      </c>
      <c r="Z3636">
        <v>1</v>
      </c>
      <c r="AA3636">
        <v>0</v>
      </c>
      <c r="AB3636">
        <v>0</v>
      </c>
    </row>
    <row r="3637" spans="1:49" x14ac:dyDescent="0.25">
      <c r="A3637" t="str">
        <f>"3633"</f>
        <v>3633</v>
      </c>
      <c r="B3637" t="str">
        <f t="shared" si="209"/>
        <v>1</v>
      </c>
      <c r="C3637" t="str">
        <f t="shared" si="210"/>
        <v>159</v>
      </c>
      <c r="D3637" t="str">
        <f>"18"</f>
        <v>18</v>
      </c>
      <c r="E3637" t="str">
        <f>"1-159-18"</f>
        <v>1-159-18</v>
      </c>
      <c r="F3637" t="s">
        <v>83</v>
      </c>
      <c r="G3637" t="s">
        <v>84</v>
      </c>
      <c r="H3637" t="s">
        <v>92</v>
      </c>
      <c r="I3637">
        <v>1</v>
      </c>
      <c r="J3637">
        <v>1</v>
      </c>
      <c r="N3637">
        <v>1</v>
      </c>
      <c r="O3637">
        <v>1</v>
      </c>
      <c r="P3637">
        <v>1</v>
      </c>
      <c r="Q3637">
        <v>1</v>
      </c>
      <c r="R3637">
        <v>1</v>
      </c>
      <c r="S3637">
        <v>1</v>
      </c>
      <c r="T3637">
        <v>1</v>
      </c>
      <c r="W3637">
        <v>1</v>
      </c>
      <c r="X3637">
        <v>1</v>
      </c>
      <c r="Y3637">
        <v>1</v>
      </c>
      <c r="Z3637">
        <v>1</v>
      </c>
      <c r="AA3637">
        <v>1</v>
      </c>
      <c r="AB3637">
        <v>1</v>
      </c>
    </row>
    <row r="3638" spans="1:49" x14ac:dyDescent="0.25">
      <c r="A3638" t="str">
        <f>"3634"</f>
        <v>3634</v>
      </c>
      <c r="B3638" t="str">
        <f t="shared" si="209"/>
        <v>1</v>
      </c>
      <c r="C3638" t="str">
        <f t="shared" si="210"/>
        <v>159</v>
      </c>
      <c r="D3638" t="str">
        <f>"11"</f>
        <v>11</v>
      </c>
      <c r="E3638" t="str">
        <f>"1-159-11"</f>
        <v>1-159-11</v>
      </c>
      <c r="F3638" t="s">
        <v>83</v>
      </c>
      <c r="G3638" t="s">
        <v>84</v>
      </c>
      <c r="H3638" t="s">
        <v>92</v>
      </c>
      <c r="I3638">
        <v>1</v>
      </c>
      <c r="J3638">
        <v>1</v>
      </c>
      <c r="N3638">
        <v>1</v>
      </c>
      <c r="O3638">
        <v>1</v>
      </c>
      <c r="P3638">
        <v>1</v>
      </c>
      <c r="Q3638">
        <v>1</v>
      </c>
      <c r="R3638">
        <v>1</v>
      </c>
      <c r="S3638">
        <v>1</v>
      </c>
      <c r="T3638">
        <v>1</v>
      </c>
      <c r="W3638">
        <v>1</v>
      </c>
      <c r="X3638">
        <v>1</v>
      </c>
      <c r="Y3638">
        <v>1</v>
      </c>
      <c r="Z3638">
        <v>1</v>
      </c>
      <c r="AA3638">
        <v>1</v>
      </c>
      <c r="AB3638">
        <v>1</v>
      </c>
    </row>
    <row r="3639" spans="1:49" x14ac:dyDescent="0.25">
      <c r="A3639" t="str">
        <f>"3635"</f>
        <v>3635</v>
      </c>
      <c r="B3639" t="str">
        <f t="shared" si="209"/>
        <v>1</v>
      </c>
      <c r="C3639" t="str">
        <f t="shared" si="210"/>
        <v>159</v>
      </c>
      <c r="D3639" t="str">
        <f>"7"</f>
        <v>7</v>
      </c>
      <c r="E3639" t="str">
        <f>"1-159-7"</f>
        <v>1-159-7</v>
      </c>
      <c r="F3639" t="s">
        <v>83</v>
      </c>
      <c r="G3639" t="s">
        <v>84</v>
      </c>
      <c r="H3639" t="s">
        <v>92</v>
      </c>
      <c r="I3639">
        <v>1</v>
      </c>
      <c r="J3639">
        <v>1</v>
      </c>
      <c r="N3639">
        <v>1</v>
      </c>
      <c r="O3639">
        <v>1</v>
      </c>
      <c r="P3639">
        <v>1</v>
      </c>
      <c r="Q3639">
        <v>1</v>
      </c>
      <c r="R3639">
        <v>1</v>
      </c>
      <c r="S3639">
        <v>1</v>
      </c>
      <c r="T3639">
        <v>1</v>
      </c>
      <c r="W3639">
        <v>1</v>
      </c>
      <c r="X3639">
        <v>1</v>
      </c>
      <c r="Y3639">
        <v>1</v>
      </c>
      <c r="Z3639">
        <v>1</v>
      </c>
      <c r="AA3639">
        <v>1</v>
      </c>
      <c r="AB3639">
        <v>1</v>
      </c>
    </row>
    <row r="3640" spans="1:49" x14ac:dyDescent="0.25">
      <c r="A3640" t="str">
        <f>"3636"</f>
        <v>3636</v>
      </c>
      <c r="B3640" t="str">
        <f t="shared" si="209"/>
        <v>1</v>
      </c>
      <c r="C3640" t="str">
        <f t="shared" si="210"/>
        <v>159</v>
      </c>
      <c r="D3640" t="str">
        <f>"20"</f>
        <v>20</v>
      </c>
      <c r="E3640" t="str">
        <f>"1-159-20"</f>
        <v>1-159-20</v>
      </c>
      <c r="F3640" t="s">
        <v>83</v>
      </c>
      <c r="G3640" t="s">
        <v>84</v>
      </c>
      <c r="H3640" t="s">
        <v>92</v>
      </c>
      <c r="I3640">
        <v>1</v>
      </c>
      <c r="J3640">
        <v>1</v>
      </c>
      <c r="N3640">
        <v>1</v>
      </c>
      <c r="O3640">
        <v>1</v>
      </c>
      <c r="P3640">
        <v>1</v>
      </c>
      <c r="Q3640">
        <v>1</v>
      </c>
      <c r="R3640">
        <v>1</v>
      </c>
      <c r="S3640">
        <v>1</v>
      </c>
      <c r="T3640">
        <v>1</v>
      </c>
      <c r="W3640">
        <v>1</v>
      </c>
      <c r="X3640">
        <v>1</v>
      </c>
      <c r="Y3640">
        <v>1</v>
      </c>
      <c r="Z3640">
        <v>1</v>
      </c>
      <c r="AA3640">
        <v>1</v>
      </c>
      <c r="AB3640">
        <v>1</v>
      </c>
    </row>
    <row r="3641" spans="1:49" x14ac:dyDescent="0.25">
      <c r="A3641" t="str">
        <f>"3637"</f>
        <v>3637</v>
      </c>
      <c r="B3641" t="str">
        <f t="shared" si="209"/>
        <v>1</v>
      </c>
      <c r="C3641" t="str">
        <f t="shared" si="210"/>
        <v>159</v>
      </c>
      <c r="D3641" t="str">
        <f>"12"</f>
        <v>12</v>
      </c>
      <c r="E3641" t="str">
        <f>"1-159-12"</f>
        <v>1-159-12</v>
      </c>
      <c r="F3641" t="s">
        <v>83</v>
      </c>
      <c r="G3641" t="s">
        <v>84</v>
      </c>
      <c r="H3641" t="s">
        <v>92</v>
      </c>
      <c r="I3641">
        <v>1</v>
      </c>
      <c r="J3641">
        <v>1</v>
      </c>
      <c r="N3641">
        <v>1</v>
      </c>
      <c r="O3641">
        <v>1</v>
      </c>
      <c r="P3641">
        <v>1</v>
      </c>
      <c r="Q3641">
        <v>1</v>
      </c>
      <c r="R3641">
        <v>1</v>
      </c>
      <c r="S3641">
        <v>1</v>
      </c>
      <c r="T3641">
        <v>1</v>
      </c>
      <c r="W3641">
        <v>1</v>
      </c>
      <c r="X3641">
        <v>1</v>
      </c>
      <c r="Y3641">
        <v>1</v>
      </c>
      <c r="Z3641">
        <v>1</v>
      </c>
      <c r="AA3641">
        <v>1</v>
      </c>
      <c r="AB3641">
        <v>1</v>
      </c>
    </row>
    <row r="3642" spans="1:49" x14ac:dyDescent="0.25">
      <c r="A3642" t="str">
        <f>"3638"</f>
        <v>3638</v>
      </c>
      <c r="B3642" t="str">
        <f t="shared" si="209"/>
        <v>1</v>
      </c>
      <c r="C3642" t="str">
        <f t="shared" si="210"/>
        <v>159</v>
      </c>
      <c r="D3642" t="str">
        <f>"19"</f>
        <v>19</v>
      </c>
      <c r="E3642" t="str">
        <f>"1-159-19"</f>
        <v>1-159-19</v>
      </c>
      <c r="F3642" t="s">
        <v>83</v>
      </c>
      <c r="G3642" t="s">
        <v>84</v>
      </c>
      <c r="H3642" t="s">
        <v>92</v>
      </c>
      <c r="I3642">
        <v>1</v>
      </c>
      <c r="J3642">
        <v>1</v>
      </c>
      <c r="N3642">
        <v>1</v>
      </c>
      <c r="O3642">
        <v>1</v>
      </c>
      <c r="P3642">
        <v>1</v>
      </c>
      <c r="Q3642">
        <v>1</v>
      </c>
      <c r="R3642">
        <v>1</v>
      </c>
      <c r="S3642">
        <v>1</v>
      </c>
      <c r="T3642">
        <v>1</v>
      </c>
      <c r="W3642">
        <v>1</v>
      </c>
      <c r="X3642">
        <v>1</v>
      </c>
      <c r="Y3642">
        <v>1</v>
      </c>
      <c r="Z3642">
        <v>1</v>
      </c>
      <c r="AA3642">
        <v>1</v>
      </c>
      <c r="AB3642">
        <v>1</v>
      </c>
    </row>
    <row r="3643" spans="1:49" x14ac:dyDescent="0.25">
      <c r="A3643" t="str">
        <f>"3639"</f>
        <v>3639</v>
      </c>
      <c r="B3643" t="str">
        <f t="shared" si="209"/>
        <v>1</v>
      </c>
      <c r="C3643" t="str">
        <f t="shared" si="210"/>
        <v>159</v>
      </c>
      <c r="D3643" t="str">
        <f>"13"</f>
        <v>13</v>
      </c>
      <c r="E3643" t="str">
        <f>"1-159-13"</f>
        <v>1-159-13</v>
      </c>
      <c r="F3643" t="s">
        <v>83</v>
      </c>
      <c r="G3643" t="s">
        <v>84</v>
      </c>
      <c r="H3643" t="s">
        <v>92</v>
      </c>
      <c r="I3643">
        <v>1</v>
      </c>
      <c r="J3643">
        <v>1</v>
      </c>
      <c r="N3643">
        <v>1</v>
      </c>
      <c r="O3643">
        <v>1</v>
      </c>
      <c r="P3643">
        <v>1</v>
      </c>
      <c r="Q3643">
        <v>1</v>
      </c>
      <c r="R3643">
        <v>1</v>
      </c>
      <c r="S3643">
        <v>1</v>
      </c>
      <c r="T3643">
        <v>1</v>
      </c>
      <c r="W3643">
        <v>1</v>
      </c>
      <c r="X3643">
        <v>1</v>
      </c>
      <c r="Y3643">
        <v>1</v>
      </c>
      <c r="Z3643">
        <v>1</v>
      </c>
      <c r="AA3643">
        <v>1</v>
      </c>
      <c r="AB3643">
        <v>1</v>
      </c>
    </row>
    <row r="3644" spans="1:49" x14ac:dyDescent="0.25">
      <c r="A3644" t="str">
        <f>"3640"</f>
        <v>3640</v>
      </c>
      <c r="B3644" t="str">
        <f t="shared" si="209"/>
        <v>1</v>
      </c>
      <c r="C3644" t="str">
        <f t="shared" si="210"/>
        <v>159</v>
      </c>
      <c r="D3644" t="str">
        <f>"3"</f>
        <v>3</v>
      </c>
      <c r="E3644" t="str">
        <f>"1-159-3"</f>
        <v>1-159-3</v>
      </c>
      <c r="F3644" t="s">
        <v>83</v>
      </c>
      <c r="G3644" t="s">
        <v>86</v>
      </c>
      <c r="H3644" t="s">
        <v>87</v>
      </c>
      <c r="AC3644">
        <v>0</v>
      </c>
      <c r="AD3644">
        <v>0</v>
      </c>
      <c r="AE3644">
        <v>0</v>
      </c>
      <c r="AF3644">
        <v>0</v>
      </c>
      <c r="AH3644">
        <v>0</v>
      </c>
      <c r="AI3644">
        <v>1</v>
      </c>
      <c r="AJ3644">
        <v>0</v>
      </c>
      <c r="AK3644">
        <v>0</v>
      </c>
      <c r="AL3644">
        <v>0</v>
      </c>
      <c r="AM3644">
        <v>0</v>
      </c>
      <c r="AN3644">
        <v>0</v>
      </c>
      <c r="AO3644">
        <v>0</v>
      </c>
      <c r="AP3644">
        <v>0</v>
      </c>
      <c r="AQ3644">
        <v>0</v>
      </c>
      <c r="AU3644">
        <v>0</v>
      </c>
      <c r="AV3644">
        <v>0</v>
      </c>
      <c r="AW3644">
        <v>0</v>
      </c>
    </row>
    <row r="3645" spans="1:49" x14ac:dyDescent="0.25">
      <c r="A3645" t="str">
        <f>"3641"</f>
        <v>3641</v>
      </c>
      <c r="B3645" t="str">
        <f t="shared" si="209"/>
        <v>1</v>
      </c>
      <c r="C3645" t="str">
        <f t="shared" si="210"/>
        <v>159</v>
      </c>
      <c r="D3645" t="str">
        <f>"21"</f>
        <v>21</v>
      </c>
      <c r="E3645" t="str">
        <f>"1-159-21"</f>
        <v>1-159-21</v>
      </c>
      <c r="F3645" t="s">
        <v>83</v>
      </c>
      <c r="G3645" t="s">
        <v>84</v>
      </c>
      <c r="H3645" t="s">
        <v>92</v>
      </c>
      <c r="I3645">
        <v>1</v>
      </c>
      <c r="J3645">
        <v>1</v>
      </c>
      <c r="N3645">
        <v>1</v>
      </c>
      <c r="O3645">
        <v>1</v>
      </c>
      <c r="P3645">
        <v>1</v>
      </c>
      <c r="Q3645">
        <v>1</v>
      </c>
      <c r="R3645">
        <v>1</v>
      </c>
      <c r="S3645">
        <v>1</v>
      </c>
      <c r="T3645">
        <v>1</v>
      </c>
      <c r="W3645">
        <v>1</v>
      </c>
      <c r="X3645">
        <v>1</v>
      </c>
      <c r="Y3645">
        <v>1</v>
      </c>
      <c r="Z3645">
        <v>1</v>
      </c>
      <c r="AA3645">
        <v>1</v>
      </c>
      <c r="AB3645">
        <v>1</v>
      </c>
    </row>
    <row r="3646" spans="1:49" x14ac:dyDescent="0.25">
      <c r="A3646" t="str">
        <f>"3642"</f>
        <v>3642</v>
      </c>
      <c r="B3646" t="str">
        <f t="shared" si="209"/>
        <v>1</v>
      </c>
      <c r="C3646" t="str">
        <f t="shared" si="210"/>
        <v>159</v>
      </c>
      <c r="D3646" t="str">
        <f>"14"</f>
        <v>14</v>
      </c>
      <c r="E3646" t="str">
        <f>"1-159-14"</f>
        <v>1-159-14</v>
      </c>
      <c r="F3646" t="s">
        <v>83</v>
      </c>
      <c r="G3646" t="s">
        <v>84</v>
      </c>
      <c r="H3646" t="s">
        <v>92</v>
      </c>
      <c r="I3646">
        <v>0</v>
      </c>
      <c r="J3646">
        <v>0</v>
      </c>
      <c r="N3646">
        <v>1</v>
      </c>
      <c r="O3646">
        <v>0</v>
      </c>
      <c r="P3646">
        <v>0</v>
      </c>
      <c r="Q3646">
        <v>0</v>
      </c>
      <c r="R3646">
        <v>0</v>
      </c>
      <c r="S3646">
        <v>0</v>
      </c>
      <c r="T3646">
        <v>0</v>
      </c>
      <c r="W3646">
        <v>0</v>
      </c>
      <c r="X3646">
        <v>0</v>
      </c>
      <c r="Y3646">
        <v>0</v>
      </c>
      <c r="Z3646">
        <v>0</v>
      </c>
      <c r="AA3646">
        <v>0</v>
      </c>
      <c r="AB3646">
        <v>0</v>
      </c>
    </row>
    <row r="3647" spans="1:49" x14ac:dyDescent="0.25">
      <c r="A3647" t="str">
        <f>"3643"</f>
        <v>3643</v>
      </c>
      <c r="B3647" t="str">
        <f t="shared" si="209"/>
        <v>1</v>
      </c>
      <c r="C3647" t="str">
        <f t="shared" si="210"/>
        <v>159</v>
      </c>
      <c r="D3647" t="str">
        <f>"5"</f>
        <v>5</v>
      </c>
      <c r="E3647" t="str">
        <f>"1-159-5"</f>
        <v>1-159-5</v>
      </c>
      <c r="F3647" t="s">
        <v>83</v>
      </c>
      <c r="G3647" t="s">
        <v>84</v>
      </c>
      <c r="H3647" t="s">
        <v>85</v>
      </c>
      <c r="AC3647">
        <v>1</v>
      </c>
      <c r="AD3647">
        <v>0</v>
      </c>
      <c r="AE3647">
        <v>0</v>
      </c>
      <c r="AF3647">
        <v>0</v>
      </c>
      <c r="AG3647">
        <v>0</v>
      </c>
      <c r="AJ3647">
        <v>1</v>
      </c>
      <c r="AK3647">
        <v>0</v>
      </c>
      <c r="AL3647">
        <v>0</v>
      </c>
      <c r="AM3647">
        <v>1</v>
      </c>
      <c r="AN3647">
        <v>0</v>
      </c>
      <c r="AO3647">
        <v>1</v>
      </c>
      <c r="AP3647">
        <v>1</v>
      </c>
      <c r="AQ3647">
        <v>0</v>
      </c>
      <c r="AR3647">
        <v>1</v>
      </c>
      <c r="AS3647">
        <v>1</v>
      </c>
      <c r="AT3647">
        <v>0</v>
      </c>
      <c r="AV3647">
        <v>1</v>
      </c>
      <c r="AW3647">
        <v>1</v>
      </c>
    </row>
    <row r="3648" spans="1:49" x14ac:dyDescent="0.25">
      <c r="A3648" t="str">
        <f>"3644"</f>
        <v>3644</v>
      </c>
      <c r="B3648" t="str">
        <f t="shared" si="209"/>
        <v>1</v>
      </c>
      <c r="C3648" t="str">
        <f t="shared" si="210"/>
        <v>159</v>
      </c>
      <c r="D3648" t="str">
        <f>"2"</f>
        <v>2</v>
      </c>
      <c r="E3648" t="str">
        <f>"1-159-2"</f>
        <v>1-159-2</v>
      </c>
      <c r="F3648" t="s">
        <v>83</v>
      </c>
      <c r="G3648" t="s">
        <v>86</v>
      </c>
      <c r="H3648" t="s">
        <v>87</v>
      </c>
      <c r="AC3648">
        <v>1</v>
      </c>
      <c r="AD3648">
        <v>0</v>
      </c>
      <c r="AE3648">
        <v>0</v>
      </c>
      <c r="AF3648">
        <v>0</v>
      </c>
      <c r="AH3648">
        <v>0</v>
      </c>
      <c r="AI3648">
        <v>1</v>
      </c>
      <c r="AJ3648">
        <v>0</v>
      </c>
      <c r="AK3648">
        <v>0</v>
      </c>
      <c r="AL3648">
        <v>0</v>
      </c>
      <c r="AM3648">
        <v>0</v>
      </c>
      <c r="AN3648">
        <v>0</v>
      </c>
      <c r="AO3648">
        <v>0</v>
      </c>
      <c r="AP3648">
        <v>1</v>
      </c>
      <c r="AQ3648">
        <v>0</v>
      </c>
      <c r="AU3648">
        <v>1</v>
      </c>
      <c r="AV3648">
        <v>0</v>
      </c>
      <c r="AW3648">
        <v>0</v>
      </c>
    </row>
    <row r="3649" spans="1:28" x14ac:dyDescent="0.25">
      <c r="A3649" t="str">
        <f>"3645"</f>
        <v>3645</v>
      </c>
      <c r="B3649" t="str">
        <f t="shared" si="209"/>
        <v>1</v>
      </c>
      <c r="C3649" t="str">
        <f t="shared" ref="C3649:C3673" si="211">"160"</f>
        <v>160</v>
      </c>
      <c r="D3649" t="str">
        <f>"23"</f>
        <v>23</v>
      </c>
      <c r="E3649" t="str">
        <f>"1-160-23"</f>
        <v>1-160-23</v>
      </c>
      <c r="F3649" t="s">
        <v>83</v>
      </c>
      <c r="G3649" t="s">
        <v>84</v>
      </c>
      <c r="H3649" t="s">
        <v>92</v>
      </c>
      <c r="I3649">
        <v>1</v>
      </c>
      <c r="J3649">
        <v>1</v>
      </c>
      <c r="N3649">
        <v>1</v>
      </c>
      <c r="O3649">
        <v>1</v>
      </c>
      <c r="P3649">
        <v>1</v>
      </c>
      <c r="Q3649">
        <v>1</v>
      </c>
      <c r="R3649">
        <v>1</v>
      </c>
      <c r="S3649">
        <v>1</v>
      </c>
      <c r="T3649">
        <v>1</v>
      </c>
      <c r="W3649">
        <v>1</v>
      </c>
      <c r="X3649">
        <v>1</v>
      </c>
      <c r="Y3649">
        <v>1</v>
      </c>
      <c r="Z3649">
        <v>1</v>
      </c>
      <c r="AA3649">
        <v>1</v>
      </c>
      <c r="AB3649">
        <v>1</v>
      </c>
    </row>
    <row r="3650" spans="1:28" x14ac:dyDescent="0.25">
      <c r="A3650" t="str">
        <f>"3646"</f>
        <v>3646</v>
      </c>
      <c r="B3650" t="str">
        <f t="shared" si="209"/>
        <v>1</v>
      </c>
      <c r="C3650" t="str">
        <f t="shared" si="211"/>
        <v>160</v>
      </c>
      <c r="D3650" t="str">
        <f>"22"</f>
        <v>22</v>
      </c>
      <c r="E3650" t="str">
        <f>"1-160-22"</f>
        <v>1-160-22</v>
      </c>
      <c r="F3650" t="s">
        <v>83</v>
      </c>
      <c r="G3650" t="s">
        <v>84</v>
      </c>
      <c r="H3650" t="s">
        <v>92</v>
      </c>
      <c r="I3650">
        <v>1</v>
      </c>
      <c r="J3650">
        <v>1</v>
      </c>
      <c r="N3650">
        <v>1</v>
      </c>
      <c r="O3650">
        <v>1</v>
      </c>
      <c r="P3650">
        <v>1</v>
      </c>
      <c r="Q3650">
        <v>1</v>
      </c>
      <c r="R3650">
        <v>1</v>
      </c>
      <c r="S3650">
        <v>1</v>
      </c>
      <c r="T3650">
        <v>1</v>
      </c>
      <c r="W3650">
        <v>1</v>
      </c>
      <c r="X3650">
        <v>1</v>
      </c>
      <c r="Y3650">
        <v>1</v>
      </c>
      <c r="Z3650">
        <v>1</v>
      </c>
      <c r="AA3650">
        <v>1</v>
      </c>
      <c r="AB3650">
        <v>1</v>
      </c>
    </row>
    <row r="3651" spans="1:28" x14ac:dyDescent="0.25">
      <c r="A3651" t="str">
        <f>"3647"</f>
        <v>3647</v>
      </c>
      <c r="B3651" t="str">
        <f t="shared" si="209"/>
        <v>1</v>
      </c>
      <c r="C3651" t="str">
        <f t="shared" si="211"/>
        <v>160</v>
      </c>
      <c r="D3651" t="str">
        <f>"15"</f>
        <v>15</v>
      </c>
      <c r="E3651" t="str">
        <f>"1-160-15"</f>
        <v>1-160-15</v>
      </c>
      <c r="F3651" t="s">
        <v>83</v>
      </c>
      <c r="G3651" t="s">
        <v>84</v>
      </c>
      <c r="H3651" t="s">
        <v>92</v>
      </c>
      <c r="I3651">
        <v>1</v>
      </c>
      <c r="J3651">
        <v>1</v>
      </c>
      <c r="N3651">
        <v>1</v>
      </c>
      <c r="O3651">
        <v>1</v>
      </c>
      <c r="P3651">
        <v>1</v>
      </c>
      <c r="Q3651">
        <v>1</v>
      </c>
      <c r="R3651">
        <v>1</v>
      </c>
      <c r="S3651">
        <v>1</v>
      </c>
      <c r="T3651">
        <v>1</v>
      </c>
      <c r="W3651">
        <v>1</v>
      </c>
      <c r="X3651">
        <v>1</v>
      </c>
      <c r="Y3651">
        <v>1</v>
      </c>
      <c r="Z3651">
        <v>1</v>
      </c>
      <c r="AA3651">
        <v>1</v>
      </c>
      <c r="AB3651">
        <v>1</v>
      </c>
    </row>
    <row r="3652" spans="1:28" x14ac:dyDescent="0.25">
      <c r="A3652" t="str">
        <f>"3648"</f>
        <v>3648</v>
      </c>
      <c r="B3652" t="str">
        <f t="shared" si="209"/>
        <v>1</v>
      </c>
      <c r="C3652" t="str">
        <f t="shared" si="211"/>
        <v>160</v>
      </c>
      <c r="D3652" t="str">
        <f>"14"</f>
        <v>14</v>
      </c>
      <c r="E3652" t="str">
        <f>"1-160-14"</f>
        <v>1-160-14</v>
      </c>
      <c r="F3652" t="s">
        <v>83</v>
      </c>
      <c r="G3652" t="s">
        <v>84</v>
      </c>
      <c r="H3652" t="s">
        <v>92</v>
      </c>
      <c r="I3652">
        <v>1</v>
      </c>
      <c r="J3652">
        <v>1</v>
      </c>
      <c r="N3652">
        <v>1</v>
      </c>
      <c r="O3652">
        <v>1</v>
      </c>
      <c r="P3652">
        <v>1</v>
      </c>
      <c r="Q3652">
        <v>1</v>
      </c>
      <c r="R3652">
        <v>1</v>
      </c>
      <c r="S3652">
        <v>1</v>
      </c>
      <c r="T3652">
        <v>1</v>
      </c>
      <c r="W3652">
        <v>1</v>
      </c>
      <c r="X3652">
        <v>1</v>
      </c>
      <c r="Y3652">
        <v>1</v>
      </c>
      <c r="Z3652">
        <v>1</v>
      </c>
      <c r="AA3652">
        <v>1</v>
      </c>
      <c r="AB3652">
        <v>1</v>
      </c>
    </row>
    <row r="3653" spans="1:28" x14ac:dyDescent="0.25">
      <c r="A3653" t="str">
        <f>"3649"</f>
        <v>3649</v>
      </c>
      <c r="B3653" t="str">
        <f t="shared" si="209"/>
        <v>1</v>
      </c>
      <c r="C3653" t="str">
        <f t="shared" si="211"/>
        <v>160</v>
      </c>
      <c r="D3653" t="str">
        <f>"13"</f>
        <v>13</v>
      </c>
      <c r="E3653" t="str">
        <f>"1-160-13"</f>
        <v>1-160-13</v>
      </c>
      <c r="F3653" t="s">
        <v>83</v>
      </c>
      <c r="G3653" t="s">
        <v>84</v>
      </c>
      <c r="H3653" t="s">
        <v>92</v>
      </c>
      <c r="I3653">
        <v>1</v>
      </c>
      <c r="J3653">
        <v>1</v>
      </c>
      <c r="N3653">
        <v>1</v>
      </c>
      <c r="O3653">
        <v>1</v>
      </c>
      <c r="P3653">
        <v>1</v>
      </c>
      <c r="Q3653">
        <v>1</v>
      </c>
      <c r="R3653">
        <v>1</v>
      </c>
      <c r="S3653">
        <v>1</v>
      </c>
      <c r="T3653">
        <v>1</v>
      </c>
      <c r="W3653">
        <v>1</v>
      </c>
      <c r="X3653">
        <v>1</v>
      </c>
      <c r="Y3653">
        <v>1</v>
      </c>
      <c r="Z3653">
        <v>1</v>
      </c>
      <c r="AA3653">
        <v>1</v>
      </c>
      <c r="AB3653">
        <v>1</v>
      </c>
    </row>
    <row r="3654" spans="1:28" x14ac:dyDescent="0.25">
      <c r="A3654" t="str">
        <f>"3650"</f>
        <v>3650</v>
      </c>
      <c r="B3654" t="str">
        <f t="shared" si="209"/>
        <v>1</v>
      </c>
      <c r="C3654" t="str">
        <f t="shared" si="211"/>
        <v>160</v>
      </c>
      <c r="D3654" t="str">
        <f>"8"</f>
        <v>8</v>
      </c>
      <c r="E3654" t="str">
        <f>"1-160-8"</f>
        <v>1-160-8</v>
      </c>
      <c r="F3654" t="s">
        <v>83</v>
      </c>
      <c r="G3654" t="s">
        <v>84</v>
      </c>
      <c r="H3654" t="s">
        <v>92</v>
      </c>
      <c r="I3654">
        <v>1</v>
      </c>
      <c r="J3654">
        <v>1</v>
      </c>
      <c r="N3654">
        <v>1</v>
      </c>
      <c r="O3654">
        <v>1</v>
      </c>
      <c r="P3654">
        <v>1</v>
      </c>
      <c r="Q3654">
        <v>1</v>
      </c>
      <c r="R3654">
        <v>1</v>
      </c>
      <c r="S3654">
        <v>1</v>
      </c>
      <c r="T3654">
        <v>1</v>
      </c>
      <c r="W3654">
        <v>1</v>
      </c>
      <c r="X3654">
        <v>1</v>
      </c>
      <c r="Y3654">
        <v>1</v>
      </c>
      <c r="Z3654">
        <v>1</v>
      </c>
      <c r="AA3654">
        <v>1</v>
      </c>
      <c r="AB3654">
        <v>1</v>
      </c>
    </row>
    <row r="3655" spans="1:28" x14ac:dyDescent="0.25">
      <c r="A3655" t="str">
        <f>"3651"</f>
        <v>3651</v>
      </c>
      <c r="B3655" t="str">
        <f t="shared" si="209"/>
        <v>1</v>
      </c>
      <c r="C3655" t="str">
        <f t="shared" si="211"/>
        <v>160</v>
      </c>
      <c r="D3655" t="str">
        <f>"1"</f>
        <v>1</v>
      </c>
      <c r="E3655" t="str">
        <f>"1-160-1"</f>
        <v>1-160-1</v>
      </c>
      <c r="F3655" t="s">
        <v>83</v>
      </c>
      <c r="G3655" t="s">
        <v>84</v>
      </c>
      <c r="H3655" t="s">
        <v>92</v>
      </c>
      <c r="I3655">
        <v>1</v>
      </c>
      <c r="J3655">
        <v>1</v>
      </c>
      <c r="N3655">
        <v>1</v>
      </c>
      <c r="O3655">
        <v>1</v>
      </c>
      <c r="P3655">
        <v>1</v>
      </c>
      <c r="Q3655">
        <v>1</v>
      </c>
      <c r="R3655">
        <v>1</v>
      </c>
      <c r="S3655">
        <v>1</v>
      </c>
      <c r="T3655">
        <v>1</v>
      </c>
      <c r="W3655">
        <v>1</v>
      </c>
      <c r="X3655">
        <v>1</v>
      </c>
      <c r="Y3655">
        <v>1</v>
      </c>
      <c r="Z3655">
        <v>1</v>
      </c>
      <c r="AA3655">
        <v>1</v>
      </c>
      <c r="AB3655">
        <v>1</v>
      </c>
    </row>
    <row r="3656" spans="1:28" x14ac:dyDescent="0.25">
      <c r="A3656" t="str">
        <f>"3652"</f>
        <v>3652</v>
      </c>
      <c r="B3656" t="str">
        <f t="shared" si="209"/>
        <v>1</v>
      </c>
      <c r="C3656" t="str">
        <f t="shared" si="211"/>
        <v>160</v>
      </c>
      <c r="D3656" t="str">
        <f>"25"</f>
        <v>25</v>
      </c>
      <c r="E3656" t="str">
        <f>"1-160-25"</f>
        <v>1-160-25</v>
      </c>
      <c r="F3656" t="s">
        <v>83</v>
      </c>
      <c r="G3656" t="s">
        <v>84</v>
      </c>
      <c r="H3656" t="s">
        <v>92</v>
      </c>
      <c r="I3656">
        <v>1</v>
      </c>
      <c r="J3656">
        <v>1</v>
      </c>
      <c r="N3656">
        <v>1</v>
      </c>
      <c r="O3656">
        <v>1</v>
      </c>
      <c r="P3656">
        <v>1</v>
      </c>
      <c r="Q3656">
        <v>1</v>
      </c>
      <c r="R3656">
        <v>1</v>
      </c>
      <c r="S3656">
        <v>1</v>
      </c>
      <c r="T3656">
        <v>1</v>
      </c>
      <c r="W3656">
        <v>1</v>
      </c>
      <c r="X3656">
        <v>1</v>
      </c>
      <c r="Y3656">
        <v>1</v>
      </c>
      <c r="Z3656">
        <v>1</v>
      </c>
      <c r="AA3656">
        <v>1</v>
      </c>
      <c r="AB3656">
        <v>1</v>
      </c>
    </row>
    <row r="3657" spans="1:28" x14ac:dyDescent="0.25">
      <c r="A3657" t="str">
        <f>"3653"</f>
        <v>3653</v>
      </c>
      <c r="B3657" t="str">
        <f t="shared" si="209"/>
        <v>1</v>
      </c>
      <c r="C3657" t="str">
        <f t="shared" si="211"/>
        <v>160</v>
      </c>
      <c r="D3657" t="str">
        <f>"24"</f>
        <v>24</v>
      </c>
      <c r="E3657" t="str">
        <f>"1-160-24"</f>
        <v>1-160-24</v>
      </c>
      <c r="F3657" t="s">
        <v>83</v>
      </c>
      <c r="G3657" t="s">
        <v>84</v>
      </c>
      <c r="H3657" t="s">
        <v>92</v>
      </c>
      <c r="I3657">
        <v>1</v>
      </c>
      <c r="J3657">
        <v>1</v>
      </c>
      <c r="N3657">
        <v>1</v>
      </c>
      <c r="O3657">
        <v>1</v>
      </c>
      <c r="P3657">
        <v>1</v>
      </c>
      <c r="Q3657">
        <v>1</v>
      </c>
      <c r="R3657">
        <v>1</v>
      </c>
      <c r="S3657">
        <v>1</v>
      </c>
      <c r="T3657">
        <v>1</v>
      </c>
      <c r="W3657">
        <v>1</v>
      </c>
      <c r="X3657">
        <v>1</v>
      </c>
      <c r="Y3657">
        <v>1</v>
      </c>
      <c r="Z3657">
        <v>1</v>
      </c>
      <c r="AA3657">
        <v>1</v>
      </c>
      <c r="AB3657">
        <v>1</v>
      </c>
    </row>
    <row r="3658" spans="1:28" x14ac:dyDescent="0.25">
      <c r="A3658" t="str">
        <f>"3654"</f>
        <v>3654</v>
      </c>
      <c r="B3658" t="str">
        <f t="shared" si="209"/>
        <v>1</v>
      </c>
      <c r="C3658" t="str">
        <f t="shared" si="211"/>
        <v>160</v>
      </c>
      <c r="D3658" t="str">
        <f>"18"</f>
        <v>18</v>
      </c>
      <c r="E3658" t="str">
        <f>"1-160-18"</f>
        <v>1-160-18</v>
      </c>
      <c r="F3658" t="s">
        <v>83</v>
      </c>
      <c r="G3658" t="s">
        <v>84</v>
      </c>
      <c r="H3658" t="s">
        <v>92</v>
      </c>
      <c r="I3658">
        <v>1</v>
      </c>
      <c r="J3658">
        <v>1</v>
      </c>
      <c r="N3658">
        <v>1</v>
      </c>
      <c r="O3658">
        <v>1</v>
      </c>
      <c r="P3658">
        <v>1</v>
      </c>
      <c r="Q3658">
        <v>1</v>
      </c>
      <c r="R3658">
        <v>1</v>
      </c>
      <c r="S3658">
        <v>1</v>
      </c>
      <c r="T3658">
        <v>1</v>
      </c>
      <c r="W3658">
        <v>1</v>
      </c>
      <c r="X3658">
        <v>1</v>
      </c>
      <c r="Y3658">
        <v>1</v>
      </c>
      <c r="Z3658">
        <v>1</v>
      </c>
      <c r="AA3658">
        <v>1</v>
      </c>
      <c r="AB3658">
        <v>1</v>
      </c>
    </row>
    <row r="3659" spans="1:28" x14ac:dyDescent="0.25">
      <c r="A3659" t="str">
        <f>"3655"</f>
        <v>3655</v>
      </c>
      <c r="B3659" t="str">
        <f t="shared" si="209"/>
        <v>1</v>
      </c>
      <c r="C3659" t="str">
        <f t="shared" si="211"/>
        <v>160</v>
      </c>
      <c r="D3659" t="str">
        <f>"9"</f>
        <v>9</v>
      </c>
      <c r="E3659" t="str">
        <f>"1-160-9"</f>
        <v>1-160-9</v>
      </c>
      <c r="F3659" t="s">
        <v>83</v>
      </c>
      <c r="G3659" t="s">
        <v>84</v>
      </c>
      <c r="H3659" t="s">
        <v>92</v>
      </c>
      <c r="I3659">
        <v>1</v>
      </c>
      <c r="J3659">
        <v>1</v>
      </c>
      <c r="N3659">
        <v>1</v>
      </c>
      <c r="O3659">
        <v>1</v>
      </c>
      <c r="P3659">
        <v>1</v>
      </c>
      <c r="Q3659">
        <v>1</v>
      </c>
      <c r="R3659">
        <v>1</v>
      </c>
      <c r="S3659">
        <v>1</v>
      </c>
      <c r="T3659">
        <v>1</v>
      </c>
      <c r="W3659">
        <v>1</v>
      </c>
      <c r="X3659">
        <v>1</v>
      </c>
      <c r="Y3659">
        <v>1</v>
      </c>
      <c r="Z3659">
        <v>1</v>
      </c>
      <c r="AA3659">
        <v>1</v>
      </c>
      <c r="AB3659">
        <v>1</v>
      </c>
    </row>
    <row r="3660" spans="1:28" x14ac:dyDescent="0.25">
      <c r="A3660" t="str">
        <f>"3656"</f>
        <v>3656</v>
      </c>
      <c r="B3660" t="str">
        <f t="shared" si="209"/>
        <v>1</v>
      </c>
      <c r="C3660" t="str">
        <f t="shared" si="211"/>
        <v>160</v>
      </c>
      <c r="D3660" t="str">
        <f>"3"</f>
        <v>3</v>
      </c>
      <c r="E3660" t="str">
        <f>"1-160-3"</f>
        <v>1-160-3</v>
      </c>
      <c r="F3660" t="s">
        <v>83</v>
      </c>
      <c r="G3660" t="s">
        <v>84</v>
      </c>
      <c r="H3660" t="s">
        <v>92</v>
      </c>
      <c r="I3660">
        <v>1</v>
      </c>
      <c r="J3660">
        <v>1</v>
      </c>
      <c r="N3660">
        <v>1</v>
      </c>
      <c r="O3660">
        <v>1</v>
      </c>
      <c r="P3660">
        <v>1</v>
      </c>
      <c r="Q3660">
        <v>1</v>
      </c>
      <c r="R3660">
        <v>1</v>
      </c>
      <c r="S3660">
        <v>1</v>
      </c>
      <c r="T3660">
        <v>1</v>
      </c>
      <c r="W3660">
        <v>1</v>
      </c>
      <c r="X3660">
        <v>1</v>
      </c>
      <c r="Y3660">
        <v>1</v>
      </c>
      <c r="Z3660">
        <v>1</v>
      </c>
      <c r="AA3660">
        <v>1</v>
      </c>
      <c r="AB3660">
        <v>1</v>
      </c>
    </row>
    <row r="3661" spans="1:28" x14ac:dyDescent="0.25">
      <c r="A3661" t="str">
        <f>"3657"</f>
        <v>3657</v>
      </c>
      <c r="B3661" t="str">
        <f t="shared" si="209"/>
        <v>1</v>
      </c>
      <c r="C3661" t="str">
        <f t="shared" si="211"/>
        <v>160</v>
      </c>
      <c r="D3661" t="str">
        <f>"16"</f>
        <v>16</v>
      </c>
      <c r="E3661" t="str">
        <f>"1-160-16"</f>
        <v>1-160-16</v>
      </c>
      <c r="F3661" t="s">
        <v>83</v>
      </c>
      <c r="G3661" t="s">
        <v>84</v>
      </c>
      <c r="H3661" t="s">
        <v>92</v>
      </c>
      <c r="I3661">
        <v>1</v>
      </c>
      <c r="J3661">
        <v>1</v>
      </c>
      <c r="N3661">
        <v>1</v>
      </c>
      <c r="O3661">
        <v>1</v>
      </c>
      <c r="P3661">
        <v>1</v>
      </c>
      <c r="Q3661">
        <v>1</v>
      </c>
      <c r="R3661">
        <v>1</v>
      </c>
      <c r="S3661">
        <v>1</v>
      </c>
      <c r="T3661">
        <v>1</v>
      </c>
      <c r="W3661">
        <v>1</v>
      </c>
      <c r="X3661">
        <v>1</v>
      </c>
      <c r="Y3661">
        <v>1</v>
      </c>
      <c r="Z3661">
        <v>1</v>
      </c>
      <c r="AA3661">
        <v>1</v>
      </c>
      <c r="AB3661">
        <v>1</v>
      </c>
    </row>
    <row r="3662" spans="1:28" x14ac:dyDescent="0.25">
      <c r="A3662" t="str">
        <f>"3658"</f>
        <v>3658</v>
      </c>
      <c r="B3662" t="str">
        <f t="shared" si="209"/>
        <v>1</v>
      </c>
      <c r="C3662" t="str">
        <f t="shared" si="211"/>
        <v>160</v>
      </c>
      <c r="D3662" t="str">
        <f>"10"</f>
        <v>10</v>
      </c>
      <c r="E3662" t="str">
        <f>"1-160-10"</f>
        <v>1-160-10</v>
      </c>
      <c r="F3662" t="s">
        <v>83</v>
      </c>
      <c r="G3662" t="s">
        <v>84</v>
      </c>
      <c r="H3662" t="s">
        <v>92</v>
      </c>
      <c r="I3662">
        <v>1</v>
      </c>
      <c r="J3662">
        <v>1</v>
      </c>
      <c r="N3662">
        <v>1</v>
      </c>
      <c r="O3662">
        <v>1</v>
      </c>
      <c r="P3662">
        <v>1</v>
      </c>
      <c r="Q3662">
        <v>1</v>
      </c>
      <c r="R3662">
        <v>1</v>
      </c>
      <c r="S3662">
        <v>1</v>
      </c>
      <c r="T3662">
        <v>1</v>
      </c>
      <c r="W3662">
        <v>1</v>
      </c>
      <c r="X3662">
        <v>1</v>
      </c>
      <c r="Y3662">
        <v>1</v>
      </c>
      <c r="Z3662">
        <v>1</v>
      </c>
      <c r="AA3662">
        <v>1</v>
      </c>
      <c r="AB3662">
        <v>1</v>
      </c>
    </row>
    <row r="3663" spans="1:28" x14ac:dyDescent="0.25">
      <c r="A3663" t="str">
        <f>"3659"</f>
        <v>3659</v>
      </c>
      <c r="B3663" t="str">
        <f t="shared" si="209"/>
        <v>1</v>
      </c>
      <c r="C3663" t="str">
        <f t="shared" si="211"/>
        <v>160</v>
      </c>
      <c r="D3663" t="str">
        <f>"6"</f>
        <v>6</v>
      </c>
      <c r="E3663" t="str">
        <f>"1-160-6"</f>
        <v>1-160-6</v>
      </c>
      <c r="F3663" t="s">
        <v>83</v>
      </c>
      <c r="G3663" t="s">
        <v>84</v>
      </c>
      <c r="H3663" t="s">
        <v>92</v>
      </c>
      <c r="I3663">
        <v>1</v>
      </c>
      <c r="J3663">
        <v>1</v>
      </c>
      <c r="N3663">
        <v>1</v>
      </c>
      <c r="O3663">
        <v>1</v>
      </c>
      <c r="P3663">
        <v>1</v>
      </c>
      <c r="Q3663">
        <v>1</v>
      </c>
      <c r="R3663">
        <v>1</v>
      </c>
      <c r="S3663">
        <v>1</v>
      </c>
      <c r="T3663">
        <v>1</v>
      </c>
      <c r="W3663">
        <v>1</v>
      </c>
      <c r="X3663">
        <v>1</v>
      </c>
      <c r="Y3663">
        <v>1</v>
      </c>
      <c r="Z3663">
        <v>1</v>
      </c>
      <c r="AA3663">
        <v>1</v>
      </c>
      <c r="AB3663">
        <v>1</v>
      </c>
    </row>
    <row r="3664" spans="1:28" x14ac:dyDescent="0.25">
      <c r="A3664" t="str">
        <f>"3660"</f>
        <v>3660</v>
      </c>
      <c r="B3664" t="str">
        <f t="shared" si="209"/>
        <v>1</v>
      </c>
      <c r="C3664" t="str">
        <f t="shared" si="211"/>
        <v>160</v>
      </c>
      <c r="D3664" t="str">
        <f>"21"</f>
        <v>21</v>
      </c>
      <c r="E3664" t="str">
        <f>"1-160-21"</f>
        <v>1-160-21</v>
      </c>
      <c r="F3664" t="s">
        <v>83</v>
      </c>
      <c r="G3664" t="s">
        <v>84</v>
      </c>
      <c r="H3664" t="s">
        <v>92</v>
      </c>
      <c r="I3664">
        <v>1</v>
      </c>
      <c r="J3664">
        <v>1</v>
      </c>
      <c r="N3664">
        <v>1</v>
      </c>
      <c r="O3664">
        <v>1</v>
      </c>
      <c r="P3664">
        <v>1</v>
      </c>
      <c r="Q3664">
        <v>1</v>
      </c>
      <c r="R3664">
        <v>1</v>
      </c>
      <c r="S3664">
        <v>1</v>
      </c>
      <c r="T3664">
        <v>1</v>
      </c>
      <c r="W3664">
        <v>1</v>
      </c>
      <c r="X3664">
        <v>1</v>
      </c>
      <c r="Y3664">
        <v>1</v>
      </c>
      <c r="Z3664">
        <v>1</v>
      </c>
      <c r="AA3664">
        <v>1</v>
      </c>
      <c r="AB3664">
        <v>1</v>
      </c>
    </row>
    <row r="3665" spans="1:49" x14ac:dyDescent="0.25">
      <c r="A3665" t="str">
        <f>"3661"</f>
        <v>3661</v>
      </c>
      <c r="B3665" t="str">
        <f t="shared" si="209"/>
        <v>1</v>
      </c>
      <c r="C3665" t="str">
        <f t="shared" si="211"/>
        <v>160</v>
      </c>
      <c r="D3665" t="str">
        <f>"11"</f>
        <v>11</v>
      </c>
      <c r="E3665" t="str">
        <f>"1-160-11"</f>
        <v>1-160-11</v>
      </c>
      <c r="F3665" t="s">
        <v>83</v>
      </c>
      <c r="G3665" t="s">
        <v>84</v>
      </c>
      <c r="H3665" t="s">
        <v>92</v>
      </c>
      <c r="I3665">
        <v>1</v>
      </c>
      <c r="J3665">
        <v>0</v>
      </c>
      <c r="N3665">
        <v>1</v>
      </c>
      <c r="O3665">
        <v>0</v>
      </c>
      <c r="P3665">
        <v>0</v>
      </c>
      <c r="Q3665">
        <v>0</v>
      </c>
      <c r="R3665">
        <v>0</v>
      </c>
      <c r="S3665">
        <v>0</v>
      </c>
      <c r="T3665">
        <v>0</v>
      </c>
      <c r="W3665">
        <v>0</v>
      </c>
      <c r="X3665">
        <v>0</v>
      </c>
      <c r="Y3665">
        <v>0</v>
      </c>
      <c r="Z3665">
        <v>0</v>
      </c>
      <c r="AA3665">
        <v>0</v>
      </c>
      <c r="AB3665">
        <v>0</v>
      </c>
    </row>
    <row r="3666" spans="1:49" x14ac:dyDescent="0.25">
      <c r="A3666" t="str">
        <f>"3662"</f>
        <v>3662</v>
      </c>
      <c r="B3666" t="str">
        <f t="shared" si="209"/>
        <v>1</v>
      </c>
      <c r="C3666" t="str">
        <f t="shared" si="211"/>
        <v>160</v>
      </c>
      <c r="D3666" t="str">
        <f>"4"</f>
        <v>4</v>
      </c>
      <c r="E3666" t="str">
        <f>"1-160-4"</f>
        <v>1-160-4</v>
      </c>
      <c r="F3666" t="s">
        <v>83</v>
      </c>
      <c r="G3666" t="s">
        <v>84</v>
      </c>
      <c r="H3666" t="s">
        <v>92</v>
      </c>
      <c r="I3666">
        <v>1</v>
      </c>
      <c r="J3666">
        <v>1</v>
      </c>
      <c r="N3666">
        <v>1</v>
      </c>
      <c r="O3666">
        <v>1</v>
      </c>
      <c r="P3666">
        <v>1</v>
      </c>
      <c r="Q3666">
        <v>1</v>
      </c>
      <c r="R3666">
        <v>1</v>
      </c>
      <c r="S3666">
        <v>1</v>
      </c>
      <c r="T3666">
        <v>1</v>
      </c>
      <c r="W3666">
        <v>1</v>
      </c>
      <c r="X3666">
        <v>1</v>
      </c>
      <c r="Y3666">
        <v>1</v>
      </c>
      <c r="Z3666">
        <v>1</v>
      </c>
      <c r="AA3666">
        <v>1</v>
      </c>
      <c r="AB3666">
        <v>1</v>
      </c>
    </row>
    <row r="3667" spans="1:49" x14ac:dyDescent="0.25">
      <c r="A3667" t="str">
        <f>"3663"</f>
        <v>3663</v>
      </c>
      <c r="B3667" t="str">
        <f t="shared" si="209"/>
        <v>1</v>
      </c>
      <c r="C3667" t="str">
        <f t="shared" si="211"/>
        <v>160</v>
      </c>
      <c r="D3667" t="str">
        <f>"20"</f>
        <v>20</v>
      </c>
      <c r="E3667" t="str">
        <f>"1-160-20"</f>
        <v>1-160-20</v>
      </c>
      <c r="F3667" t="s">
        <v>83</v>
      </c>
      <c r="G3667" t="s">
        <v>84</v>
      </c>
      <c r="H3667" t="s">
        <v>92</v>
      </c>
      <c r="I3667">
        <v>1</v>
      </c>
      <c r="J3667">
        <v>1</v>
      </c>
      <c r="N3667">
        <v>1</v>
      </c>
      <c r="O3667">
        <v>1</v>
      </c>
      <c r="P3667">
        <v>1</v>
      </c>
      <c r="Q3667">
        <v>1</v>
      </c>
      <c r="R3667">
        <v>1</v>
      </c>
      <c r="S3667">
        <v>1</v>
      </c>
      <c r="T3667">
        <v>1</v>
      </c>
      <c r="W3667">
        <v>1</v>
      </c>
      <c r="X3667">
        <v>1</v>
      </c>
      <c r="Y3667">
        <v>1</v>
      </c>
      <c r="Z3667">
        <v>1</v>
      </c>
      <c r="AA3667">
        <v>1</v>
      </c>
      <c r="AB3667">
        <v>1</v>
      </c>
    </row>
    <row r="3668" spans="1:49" x14ac:dyDescent="0.25">
      <c r="A3668" t="str">
        <f>"3664"</f>
        <v>3664</v>
      </c>
      <c r="B3668" t="str">
        <f t="shared" si="209"/>
        <v>1</v>
      </c>
      <c r="C3668" t="str">
        <f t="shared" si="211"/>
        <v>160</v>
      </c>
      <c r="D3668" t="str">
        <f>"12"</f>
        <v>12</v>
      </c>
      <c r="E3668" t="str">
        <f>"1-160-12"</f>
        <v>1-160-12</v>
      </c>
      <c r="F3668" t="s">
        <v>83</v>
      </c>
      <c r="G3668" t="s">
        <v>84</v>
      </c>
      <c r="H3668" t="s">
        <v>92</v>
      </c>
      <c r="I3668">
        <v>1</v>
      </c>
      <c r="J3668">
        <v>1</v>
      </c>
      <c r="N3668">
        <v>1</v>
      </c>
      <c r="O3668">
        <v>1</v>
      </c>
      <c r="P3668">
        <v>1</v>
      </c>
      <c r="Q3668">
        <v>1</v>
      </c>
      <c r="R3668">
        <v>1</v>
      </c>
      <c r="S3668">
        <v>1</v>
      </c>
      <c r="T3668">
        <v>1</v>
      </c>
      <c r="W3668">
        <v>1</v>
      </c>
      <c r="X3668">
        <v>1</v>
      </c>
      <c r="Y3668">
        <v>1</v>
      </c>
      <c r="Z3668">
        <v>1</v>
      </c>
      <c r="AA3668">
        <v>1</v>
      </c>
      <c r="AB3668">
        <v>1</v>
      </c>
    </row>
    <row r="3669" spans="1:49" x14ac:dyDescent="0.25">
      <c r="A3669" t="str">
        <f>"3665"</f>
        <v>3665</v>
      </c>
      <c r="B3669" t="str">
        <f t="shared" si="209"/>
        <v>1</v>
      </c>
      <c r="C3669" t="str">
        <f t="shared" si="211"/>
        <v>160</v>
      </c>
      <c r="D3669" t="str">
        <f>"5"</f>
        <v>5</v>
      </c>
      <c r="E3669" t="str">
        <f>"1-160-5"</f>
        <v>1-160-5</v>
      </c>
      <c r="F3669" t="s">
        <v>83</v>
      </c>
      <c r="G3669" t="s">
        <v>84</v>
      </c>
      <c r="H3669" t="s">
        <v>92</v>
      </c>
      <c r="I3669">
        <v>1</v>
      </c>
      <c r="J3669">
        <v>1</v>
      </c>
      <c r="N3669">
        <v>1</v>
      </c>
      <c r="O3669">
        <v>1</v>
      </c>
      <c r="P3669">
        <v>1</v>
      </c>
      <c r="Q3669">
        <v>1</v>
      </c>
      <c r="R3669">
        <v>1</v>
      </c>
      <c r="S3669">
        <v>1</v>
      </c>
      <c r="T3669">
        <v>1</v>
      </c>
      <c r="W3669">
        <v>1</v>
      </c>
      <c r="X3669">
        <v>1</v>
      </c>
      <c r="Y3669">
        <v>1</v>
      </c>
      <c r="Z3669">
        <v>1</v>
      </c>
      <c r="AA3669">
        <v>1</v>
      </c>
      <c r="AB3669">
        <v>1</v>
      </c>
    </row>
    <row r="3670" spans="1:49" x14ac:dyDescent="0.25">
      <c r="A3670" t="str">
        <f>"3666"</f>
        <v>3666</v>
      </c>
      <c r="B3670" t="str">
        <f t="shared" si="209"/>
        <v>1</v>
      </c>
      <c r="C3670" t="str">
        <f t="shared" si="211"/>
        <v>160</v>
      </c>
      <c r="D3670" t="str">
        <f>"17"</f>
        <v>17</v>
      </c>
      <c r="E3670" t="str">
        <f>"1-160-17"</f>
        <v>1-160-17</v>
      </c>
      <c r="F3670" t="s">
        <v>83</v>
      </c>
      <c r="G3670" t="s">
        <v>84</v>
      </c>
      <c r="H3670" t="s">
        <v>92</v>
      </c>
      <c r="I3670">
        <v>1</v>
      </c>
      <c r="J3670">
        <v>1</v>
      </c>
      <c r="N3670">
        <v>1</v>
      </c>
      <c r="O3670">
        <v>1</v>
      </c>
      <c r="P3670">
        <v>1</v>
      </c>
      <c r="Q3670">
        <v>1</v>
      </c>
      <c r="R3670">
        <v>1</v>
      </c>
      <c r="S3670">
        <v>1</v>
      </c>
      <c r="T3670">
        <v>1</v>
      </c>
      <c r="W3670">
        <v>1</v>
      </c>
      <c r="X3670">
        <v>1</v>
      </c>
      <c r="Y3670">
        <v>1</v>
      </c>
      <c r="Z3670">
        <v>1</v>
      </c>
      <c r="AA3670">
        <v>1</v>
      </c>
      <c r="AB3670">
        <v>1</v>
      </c>
    </row>
    <row r="3671" spans="1:49" x14ac:dyDescent="0.25">
      <c r="A3671" t="str">
        <f>"3667"</f>
        <v>3667</v>
      </c>
      <c r="B3671" t="str">
        <f t="shared" si="209"/>
        <v>1</v>
      </c>
      <c r="C3671" t="str">
        <f t="shared" si="211"/>
        <v>160</v>
      </c>
      <c r="D3671" t="str">
        <f>"7"</f>
        <v>7</v>
      </c>
      <c r="E3671" t="str">
        <f>"1-160-7"</f>
        <v>1-160-7</v>
      </c>
      <c r="F3671" t="s">
        <v>83</v>
      </c>
      <c r="G3671" t="s">
        <v>84</v>
      </c>
      <c r="H3671" t="s">
        <v>92</v>
      </c>
      <c r="I3671">
        <v>1</v>
      </c>
      <c r="J3671">
        <v>1</v>
      </c>
      <c r="N3671">
        <v>1</v>
      </c>
      <c r="O3671">
        <v>1</v>
      </c>
      <c r="P3671">
        <v>1</v>
      </c>
      <c r="Q3671">
        <v>1</v>
      </c>
      <c r="R3671">
        <v>1</v>
      </c>
      <c r="S3671">
        <v>1</v>
      </c>
      <c r="T3671">
        <v>1</v>
      </c>
      <c r="W3671">
        <v>1</v>
      </c>
      <c r="X3671">
        <v>1</v>
      </c>
      <c r="Y3671">
        <v>1</v>
      </c>
      <c r="Z3671">
        <v>1</v>
      </c>
      <c r="AA3671">
        <v>1</v>
      </c>
      <c r="AB3671">
        <v>1</v>
      </c>
    </row>
    <row r="3672" spans="1:49" x14ac:dyDescent="0.25">
      <c r="A3672" t="str">
        <f>"3668"</f>
        <v>3668</v>
      </c>
      <c r="B3672" t="str">
        <f t="shared" si="209"/>
        <v>1</v>
      </c>
      <c r="C3672" t="str">
        <f t="shared" si="211"/>
        <v>160</v>
      </c>
      <c r="D3672" t="str">
        <f>"19"</f>
        <v>19</v>
      </c>
      <c r="E3672" t="str">
        <f>"1-160-19"</f>
        <v>1-160-19</v>
      </c>
      <c r="F3672" t="s">
        <v>83</v>
      </c>
      <c r="G3672" t="s">
        <v>84</v>
      </c>
      <c r="H3672" t="s">
        <v>92</v>
      </c>
      <c r="I3672">
        <v>1</v>
      </c>
      <c r="J3672">
        <v>1</v>
      </c>
      <c r="N3672">
        <v>1</v>
      </c>
      <c r="O3672">
        <v>1</v>
      </c>
      <c r="P3672">
        <v>1</v>
      </c>
      <c r="Q3672">
        <v>1</v>
      </c>
      <c r="R3672">
        <v>1</v>
      </c>
      <c r="S3672">
        <v>1</v>
      </c>
      <c r="T3672">
        <v>1</v>
      </c>
      <c r="W3672">
        <v>1</v>
      </c>
      <c r="X3672">
        <v>1</v>
      </c>
      <c r="Y3672">
        <v>1</v>
      </c>
      <c r="Z3672">
        <v>1</v>
      </c>
      <c r="AA3672">
        <v>1</v>
      </c>
      <c r="AB3672">
        <v>1</v>
      </c>
    </row>
    <row r="3673" spans="1:49" x14ac:dyDescent="0.25">
      <c r="A3673" t="str">
        <f>"3669"</f>
        <v>3669</v>
      </c>
      <c r="B3673" t="str">
        <f t="shared" si="209"/>
        <v>1</v>
      </c>
      <c r="C3673" t="str">
        <f t="shared" si="211"/>
        <v>160</v>
      </c>
      <c r="D3673" t="str">
        <f>"2"</f>
        <v>2</v>
      </c>
      <c r="E3673" t="str">
        <f>"1-160-2"</f>
        <v>1-160-2</v>
      </c>
      <c r="F3673" t="s">
        <v>83</v>
      </c>
      <c r="G3673" t="s">
        <v>84</v>
      </c>
      <c r="H3673" t="s">
        <v>92</v>
      </c>
      <c r="I3673">
        <v>1</v>
      </c>
      <c r="J3673">
        <v>1</v>
      </c>
      <c r="N3673">
        <v>1</v>
      </c>
      <c r="O3673">
        <v>1</v>
      </c>
      <c r="P3673">
        <v>1</v>
      </c>
      <c r="Q3673">
        <v>1</v>
      </c>
      <c r="R3673">
        <v>1</v>
      </c>
      <c r="S3673">
        <v>1</v>
      </c>
      <c r="T3673">
        <v>1</v>
      </c>
      <c r="W3673">
        <v>1</v>
      </c>
      <c r="X3673">
        <v>1</v>
      </c>
      <c r="Y3673">
        <v>1</v>
      </c>
      <c r="Z3673">
        <v>1</v>
      </c>
      <c r="AA3673">
        <v>1</v>
      </c>
      <c r="AB3673">
        <v>1</v>
      </c>
    </row>
    <row r="3674" spans="1:49" x14ac:dyDescent="0.25">
      <c r="A3674" t="str">
        <f>"3670"</f>
        <v>3670</v>
      </c>
      <c r="B3674" t="str">
        <f t="shared" si="209"/>
        <v>1</v>
      </c>
      <c r="C3674" t="str">
        <f t="shared" ref="C3674:C3694" si="212">"161"</f>
        <v>161</v>
      </c>
      <c r="D3674" t="str">
        <f>"21"</f>
        <v>21</v>
      </c>
      <c r="E3674" t="str">
        <f>"1-161-21"</f>
        <v>1-161-21</v>
      </c>
      <c r="F3674" t="s">
        <v>83</v>
      </c>
      <c r="G3674" t="s">
        <v>84</v>
      </c>
      <c r="H3674" t="s">
        <v>85</v>
      </c>
      <c r="AC3674">
        <v>0</v>
      </c>
      <c r="AD3674">
        <v>1</v>
      </c>
      <c r="AE3674">
        <v>0</v>
      </c>
      <c r="AF3674">
        <v>0</v>
      </c>
      <c r="AG3674">
        <v>1</v>
      </c>
      <c r="AJ3674">
        <v>0</v>
      </c>
      <c r="AK3674">
        <v>1</v>
      </c>
      <c r="AL3674">
        <v>0</v>
      </c>
      <c r="AM3674">
        <v>1</v>
      </c>
      <c r="AN3674">
        <v>0</v>
      </c>
      <c r="AO3674">
        <v>1</v>
      </c>
      <c r="AP3674">
        <v>1</v>
      </c>
      <c r="AQ3674">
        <v>1</v>
      </c>
      <c r="AR3674">
        <v>1</v>
      </c>
      <c r="AS3674">
        <v>0</v>
      </c>
      <c r="AT3674">
        <v>1</v>
      </c>
      <c r="AV3674">
        <v>0</v>
      </c>
      <c r="AW3674">
        <v>0</v>
      </c>
    </row>
    <row r="3675" spans="1:49" x14ac:dyDescent="0.25">
      <c r="A3675" t="str">
        <f>"3671"</f>
        <v>3671</v>
      </c>
      <c r="B3675" t="str">
        <f t="shared" si="209"/>
        <v>1</v>
      </c>
      <c r="C3675" t="str">
        <f t="shared" si="212"/>
        <v>161</v>
      </c>
      <c r="D3675" t="str">
        <f>"20"</f>
        <v>20</v>
      </c>
      <c r="E3675" t="str">
        <f>"1-161-20"</f>
        <v>1-161-20</v>
      </c>
      <c r="F3675" t="s">
        <v>83</v>
      </c>
      <c r="G3675" t="s">
        <v>84</v>
      </c>
      <c r="H3675" t="s">
        <v>85</v>
      </c>
      <c r="AC3675">
        <v>1</v>
      </c>
      <c r="AD3675">
        <v>0</v>
      </c>
      <c r="AE3675">
        <v>0</v>
      </c>
      <c r="AF3675">
        <v>0</v>
      </c>
      <c r="AG3675">
        <v>1</v>
      </c>
      <c r="AJ3675">
        <v>1</v>
      </c>
      <c r="AK3675">
        <v>0</v>
      </c>
      <c r="AL3675">
        <v>1</v>
      </c>
      <c r="AM3675">
        <v>0</v>
      </c>
      <c r="AN3675">
        <v>0</v>
      </c>
      <c r="AO3675">
        <v>1</v>
      </c>
      <c r="AP3675">
        <v>1</v>
      </c>
      <c r="AQ3675">
        <v>1</v>
      </c>
      <c r="AR3675">
        <v>1</v>
      </c>
      <c r="AS3675">
        <v>0</v>
      </c>
      <c r="AT3675">
        <v>1</v>
      </c>
      <c r="AV3675">
        <v>1</v>
      </c>
      <c r="AW3675">
        <v>1</v>
      </c>
    </row>
    <row r="3676" spans="1:49" x14ac:dyDescent="0.25">
      <c r="A3676" t="str">
        <f>"3672"</f>
        <v>3672</v>
      </c>
      <c r="B3676" t="str">
        <f t="shared" si="209"/>
        <v>1</v>
      </c>
      <c r="C3676" t="str">
        <f t="shared" si="212"/>
        <v>161</v>
      </c>
      <c r="D3676" t="str">
        <f>"15"</f>
        <v>15</v>
      </c>
      <c r="E3676" t="str">
        <f>"1-161-15"</f>
        <v>1-161-15</v>
      </c>
      <c r="F3676" t="s">
        <v>83</v>
      </c>
      <c r="G3676" t="s">
        <v>84</v>
      </c>
      <c r="H3676" t="s">
        <v>85</v>
      </c>
      <c r="AC3676">
        <v>0</v>
      </c>
      <c r="AD3676">
        <v>1</v>
      </c>
      <c r="AE3676">
        <v>0</v>
      </c>
      <c r="AF3676">
        <v>0</v>
      </c>
      <c r="AG3676">
        <v>0</v>
      </c>
      <c r="AJ3676">
        <v>1</v>
      </c>
      <c r="AK3676">
        <v>0</v>
      </c>
      <c r="AL3676">
        <v>0</v>
      </c>
      <c r="AM3676">
        <v>0</v>
      </c>
      <c r="AN3676">
        <v>0</v>
      </c>
      <c r="AO3676">
        <v>0</v>
      </c>
      <c r="AP3676">
        <v>0</v>
      </c>
      <c r="AQ3676">
        <v>0</v>
      </c>
      <c r="AR3676">
        <v>0</v>
      </c>
      <c r="AS3676">
        <v>0</v>
      </c>
      <c r="AT3676">
        <v>0</v>
      </c>
      <c r="AV3676">
        <v>0</v>
      </c>
      <c r="AW3676">
        <v>0</v>
      </c>
    </row>
    <row r="3677" spans="1:49" x14ac:dyDescent="0.25">
      <c r="A3677" t="str">
        <f>"3673"</f>
        <v>3673</v>
      </c>
      <c r="B3677" t="str">
        <f t="shared" si="209"/>
        <v>1</v>
      </c>
      <c r="C3677" t="str">
        <f t="shared" si="212"/>
        <v>161</v>
      </c>
      <c r="D3677" t="str">
        <f>"14"</f>
        <v>14</v>
      </c>
      <c r="E3677" t="str">
        <f>"1-161-14"</f>
        <v>1-161-14</v>
      </c>
      <c r="F3677" t="s">
        <v>83</v>
      </c>
      <c r="G3677" t="s">
        <v>84</v>
      </c>
      <c r="H3677" t="s">
        <v>85</v>
      </c>
      <c r="AC3677">
        <v>0</v>
      </c>
      <c r="AD3677">
        <v>1</v>
      </c>
      <c r="AE3677">
        <v>0</v>
      </c>
      <c r="AF3677">
        <v>0</v>
      </c>
      <c r="AG3677">
        <v>1</v>
      </c>
      <c r="AJ3677">
        <v>0</v>
      </c>
      <c r="AK3677">
        <v>1</v>
      </c>
      <c r="AL3677">
        <v>0</v>
      </c>
      <c r="AM3677">
        <v>0</v>
      </c>
      <c r="AN3677">
        <v>1</v>
      </c>
      <c r="AO3677">
        <v>1</v>
      </c>
      <c r="AP3677">
        <v>1</v>
      </c>
      <c r="AQ3677">
        <v>1</v>
      </c>
      <c r="AR3677">
        <v>1</v>
      </c>
      <c r="AS3677">
        <v>1</v>
      </c>
      <c r="AT3677">
        <v>0</v>
      </c>
      <c r="AV3677">
        <v>1</v>
      </c>
      <c r="AW3677">
        <v>1</v>
      </c>
    </row>
    <row r="3678" spans="1:49" x14ac:dyDescent="0.25">
      <c r="A3678" t="str">
        <f>"3674"</f>
        <v>3674</v>
      </c>
      <c r="B3678" t="str">
        <f t="shared" ref="B3678:B3741" si="213">"1"</f>
        <v>1</v>
      </c>
      <c r="C3678" t="str">
        <f t="shared" si="212"/>
        <v>161</v>
      </c>
      <c r="D3678" t="str">
        <f>"9"</f>
        <v>9</v>
      </c>
      <c r="E3678" t="str">
        <f>"1-161-9"</f>
        <v>1-161-9</v>
      </c>
      <c r="F3678" t="s">
        <v>83</v>
      </c>
      <c r="G3678" t="s">
        <v>84</v>
      </c>
      <c r="H3678" t="s">
        <v>85</v>
      </c>
      <c r="AC3678">
        <v>0</v>
      </c>
      <c r="AD3678">
        <v>1</v>
      </c>
      <c r="AE3678">
        <v>0</v>
      </c>
      <c r="AF3678">
        <v>0</v>
      </c>
      <c r="AG3678">
        <v>1</v>
      </c>
      <c r="AJ3678">
        <v>0</v>
      </c>
      <c r="AK3678">
        <v>1</v>
      </c>
      <c r="AL3678">
        <v>0</v>
      </c>
      <c r="AM3678">
        <v>0</v>
      </c>
      <c r="AN3678">
        <v>1</v>
      </c>
      <c r="AO3678">
        <v>1</v>
      </c>
      <c r="AP3678">
        <v>1</v>
      </c>
      <c r="AQ3678">
        <v>1</v>
      </c>
      <c r="AR3678">
        <v>1</v>
      </c>
      <c r="AS3678">
        <v>0</v>
      </c>
      <c r="AT3678">
        <v>1</v>
      </c>
      <c r="AV3678">
        <v>1</v>
      </c>
      <c r="AW3678">
        <v>1</v>
      </c>
    </row>
    <row r="3679" spans="1:49" x14ac:dyDescent="0.25">
      <c r="A3679" t="str">
        <f>"3675"</f>
        <v>3675</v>
      </c>
      <c r="B3679" t="str">
        <f t="shared" si="213"/>
        <v>1</v>
      </c>
      <c r="C3679" t="str">
        <f t="shared" si="212"/>
        <v>161</v>
      </c>
      <c r="D3679" t="str">
        <f>"8"</f>
        <v>8</v>
      </c>
      <c r="E3679" t="str">
        <f>"1-161-8"</f>
        <v>1-161-8</v>
      </c>
      <c r="F3679" t="s">
        <v>83</v>
      </c>
      <c r="G3679" t="s">
        <v>84</v>
      </c>
      <c r="H3679" t="s">
        <v>85</v>
      </c>
      <c r="AC3679">
        <v>0</v>
      </c>
      <c r="AD3679">
        <v>1</v>
      </c>
      <c r="AE3679">
        <v>0</v>
      </c>
      <c r="AF3679">
        <v>0</v>
      </c>
      <c r="AG3679">
        <v>1</v>
      </c>
      <c r="AJ3679">
        <v>0</v>
      </c>
      <c r="AK3679">
        <v>1</v>
      </c>
      <c r="AL3679">
        <v>0</v>
      </c>
      <c r="AM3679">
        <v>0</v>
      </c>
      <c r="AN3679">
        <v>1</v>
      </c>
      <c r="AO3679">
        <v>1</v>
      </c>
      <c r="AP3679">
        <v>1</v>
      </c>
      <c r="AQ3679">
        <v>1</v>
      </c>
      <c r="AR3679">
        <v>1</v>
      </c>
      <c r="AS3679">
        <v>1</v>
      </c>
      <c r="AT3679">
        <v>0</v>
      </c>
      <c r="AV3679">
        <v>1</v>
      </c>
      <c r="AW3679">
        <v>1</v>
      </c>
    </row>
    <row r="3680" spans="1:49" x14ac:dyDescent="0.25">
      <c r="A3680" t="str">
        <f>"3676"</f>
        <v>3676</v>
      </c>
      <c r="B3680" t="str">
        <f t="shared" si="213"/>
        <v>1</v>
      </c>
      <c r="C3680" t="str">
        <f t="shared" si="212"/>
        <v>161</v>
      </c>
      <c r="D3680" t="str">
        <f>"3"</f>
        <v>3</v>
      </c>
      <c r="E3680" t="str">
        <f>"1-161-3"</f>
        <v>1-161-3</v>
      </c>
      <c r="F3680" t="s">
        <v>83</v>
      </c>
      <c r="G3680" t="s">
        <v>84</v>
      </c>
      <c r="H3680" t="s">
        <v>85</v>
      </c>
      <c r="AC3680">
        <v>1</v>
      </c>
      <c r="AD3680">
        <v>0</v>
      </c>
      <c r="AE3680">
        <v>0</v>
      </c>
      <c r="AF3680">
        <v>0</v>
      </c>
      <c r="AG3680">
        <v>0</v>
      </c>
      <c r="AJ3680">
        <v>0</v>
      </c>
      <c r="AK3680">
        <v>1</v>
      </c>
      <c r="AL3680">
        <v>1</v>
      </c>
      <c r="AM3680">
        <v>0</v>
      </c>
      <c r="AN3680">
        <v>0</v>
      </c>
      <c r="AO3680">
        <v>0</v>
      </c>
      <c r="AP3680">
        <v>0</v>
      </c>
      <c r="AQ3680">
        <v>0</v>
      </c>
      <c r="AR3680">
        <v>0</v>
      </c>
      <c r="AS3680">
        <v>1</v>
      </c>
      <c r="AT3680">
        <v>0</v>
      </c>
      <c r="AV3680">
        <v>0</v>
      </c>
      <c r="AW3680">
        <v>0</v>
      </c>
    </row>
    <row r="3681" spans="1:49" x14ac:dyDescent="0.25">
      <c r="A3681" t="str">
        <f>"3677"</f>
        <v>3677</v>
      </c>
      <c r="B3681" t="str">
        <f t="shared" si="213"/>
        <v>1</v>
      </c>
      <c r="C3681" t="str">
        <f t="shared" si="212"/>
        <v>161</v>
      </c>
      <c r="D3681" t="str">
        <f>"18"</f>
        <v>18</v>
      </c>
      <c r="E3681" t="str">
        <f>"1-161-18"</f>
        <v>1-161-18</v>
      </c>
      <c r="F3681" t="s">
        <v>83</v>
      </c>
      <c r="G3681" t="s">
        <v>84</v>
      </c>
      <c r="H3681" t="s">
        <v>85</v>
      </c>
      <c r="AC3681">
        <v>0</v>
      </c>
      <c r="AD3681">
        <v>1</v>
      </c>
      <c r="AE3681">
        <v>0</v>
      </c>
      <c r="AF3681">
        <v>0</v>
      </c>
      <c r="AG3681">
        <v>0</v>
      </c>
      <c r="AJ3681">
        <v>0</v>
      </c>
      <c r="AK3681">
        <v>1</v>
      </c>
      <c r="AL3681">
        <v>0</v>
      </c>
      <c r="AM3681">
        <v>1</v>
      </c>
      <c r="AN3681">
        <v>0</v>
      </c>
      <c r="AO3681">
        <v>1</v>
      </c>
      <c r="AP3681">
        <v>1</v>
      </c>
      <c r="AQ3681">
        <v>1</v>
      </c>
      <c r="AR3681">
        <v>1</v>
      </c>
      <c r="AS3681">
        <v>0</v>
      </c>
      <c r="AT3681">
        <v>1</v>
      </c>
      <c r="AV3681">
        <v>1</v>
      </c>
      <c r="AW3681">
        <v>0</v>
      </c>
    </row>
    <row r="3682" spans="1:49" x14ac:dyDescent="0.25">
      <c r="A3682" t="str">
        <f>"3678"</f>
        <v>3678</v>
      </c>
      <c r="B3682" t="str">
        <f t="shared" si="213"/>
        <v>1</v>
      </c>
      <c r="C3682" t="str">
        <f t="shared" si="212"/>
        <v>161</v>
      </c>
      <c r="D3682" t="str">
        <f>"10"</f>
        <v>10</v>
      </c>
      <c r="E3682" t="str">
        <f>"1-161-10"</f>
        <v>1-161-10</v>
      </c>
      <c r="F3682" t="s">
        <v>83</v>
      </c>
      <c r="G3682" t="s">
        <v>84</v>
      </c>
      <c r="H3682" t="s">
        <v>85</v>
      </c>
      <c r="AC3682">
        <v>0</v>
      </c>
      <c r="AD3682">
        <v>0</v>
      </c>
      <c r="AE3682">
        <v>0</v>
      </c>
      <c r="AF3682">
        <v>0</v>
      </c>
      <c r="AG3682">
        <v>0</v>
      </c>
      <c r="AJ3682">
        <v>0</v>
      </c>
      <c r="AK3682">
        <v>0</v>
      </c>
      <c r="AL3682">
        <v>0</v>
      </c>
      <c r="AM3682">
        <v>0</v>
      </c>
      <c r="AN3682">
        <v>0</v>
      </c>
      <c r="AO3682">
        <v>1</v>
      </c>
      <c r="AP3682">
        <v>1</v>
      </c>
      <c r="AQ3682">
        <v>1</v>
      </c>
      <c r="AR3682">
        <v>0</v>
      </c>
      <c r="AS3682">
        <v>0</v>
      </c>
      <c r="AT3682">
        <v>0</v>
      </c>
      <c r="AV3682">
        <v>1</v>
      </c>
      <c r="AW3682">
        <v>1</v>
      </c>
    </row>
    <row r="3683" spans="1:49" x14ac:dyDescent="0.25">
      <c r="A3683" t="str">
        <f>"3679"</f>
        <v>3679</v>
      </c>
      <c r="B3683" t="str">
        <f t="shared" si="213"/>
        <v>1</v>
      </c>
      <c r="C3683" t="str">
        <f t="shared" si="212"/>
        <v>161</v>
      </c>
      <c r="D3683" t="str">
        <f>"7"</f>
        <v>7</v>
      </c>
      <c r="E3683" t="str">
        <f>"1-161-7"</f>
        <v>1-161-7</v>
      </c>
      <c r="F3683" t="s">
        <v>83</v>
      </c>
      <c r="G3683" t="s">
        <v>84</v>
      </c>
      <c r="H3683" t="s">
        <v>85</v>
      </c>
      <c r="AC3683">
        <v>1</v>
      </c>
      <c r="AD3683">
        <v>0</v>
      </c>
      <c r="AE3683">
        <v>0</v>
      </c>
      <c r="AF3683">
        <v>0</v>
      </c>
      <c r="AG3683">
        <v>1</v>
      </c>
      <c r="AJ3683">
        <v>1</v>
      </c>
      <c r="AK3683">
        <v>0</v>
      </c>
      <c r="AL3683">
        <v>1</v>
      </c>
      <c r="AM3683">
        <v>0</v>
      </c>
      <c r="AN3683">
        <v>0</v>
      </c>
      <c r="AO3683">
        <v>1</v>
      </c>
      <c r="AP3683">
        <v>1</v>
      </c>
      <c r="AQ3683">
        <v>1</v>
      </c>
      <c r="AR3683">
        <v>1</v>
      </c>
      <c r="AS3683">
        <v>1</v>
      </c>
      <c r="AT3683">
        <v>0</v>
      </c>
      <c r="AV3683">
        <v>1</v>
      </c>
      <c r="AW3683">
        <v>1</v>
      </c>
    </row>
    <row r="3684" spans="1:49" x14ac:dyDescent="0.25">
      <c r="A3684" t="str">
        <f>"3680"</f>
        <v>3680</v>
      </c>
      <c r="B3684" t="str">
        <f t="shared" si="213"/>
        <v>1</v>
      </c>
      <c r="C3684" t="str">
        <f t="shared" si="212"/>
        <v>161</v>
      </c>
      <c r="D3684" t="str">
        <f>"19"</f>
        <v>19</v>
      </c>
      <c r="E3684" t="str">
        <f>"1-161-19"</f>
        <v>1-161-19</v>
      </c>
      <c r="F3684" t="s">
        <v>83</v>
      </c>
      <c r="G3684" t="s">
        <v>84</v>
      </c>
      <c r="H3684" t="s">
        <v>85</v>
      </c>
      <c r="AC3684">
        <v>0</v>
      </c>
      <c r="AD3684">
        <v>1</v>
      </c>
      <c r="AE3684">
        <v>0</v>
      </c>
      <c r="AF3684">
        <v>0</v>
      </c>
      <c r="AG3684">
        <v>1</v>
      </c>
      <c r="AJ3684">
        <v>0</v>
      </c>
      <c r="AK3684">
        <v>1</v>
      </c>
      <c r="AL3684">
        <v>1</v>
      </c>
      <c r="AM3684">
        <v>0</v>
      </c>
      <c r="AN3684">
        <v>0</v>
      </c>
      <c r="AO3684">
        <v>1</v>
      </c>
      <c r="AP3684">
        <v>1</v>
      </c>
      <c r="AQ3684">
        <v>1</v>
      </c>
      <c r="AR3684">
        <v>1</v>
      </c>
      <c r="AS3684">
        <v>1</v>
      </c>
      <c r="AT3684">
        <v>0</v>
      </c>
      <c r="AV3684">
        <v>1</v>
      </c>
      <c r="AW3684">
        <v>0</v>
      </c>
    </row>
    <row r="3685" spans="1:49" x14ac:dyDescent="0.25">
      <c r="A3685" t="str">
        <f>"3681"</f>
        <v>3681</v>
      </c>
      <c r="B3685" t="str">
        <f t="shared" si="213"/>
        <v>1</v>
      </c>
      <c r="C3685" t="str">
        <f t="shared" si="212"/>
        <v>161</v>
      </c>
      <c r="D3685" t="str">
        <f>"11"</f>
        <v>11</v>
      </c>
      <c r="E3685" t="str">
        <f>"1-161-11"</f>
        <v>1-161-11</v>
      </c>
      <c r="F3685" t="s">
        <v>83</v>
      </c>
      <c r="G3685" t="s">
        <v>84</v>
      </c>
      <c r="H3685" t="s">
        <v>85</v>
      </c>
      <c r="AC3685">
        <v>0</v>
      </c>
      <c r="AD3685">
        <v>1</v>
      </c>
      <c r="AE3685">
        <v>0</v>
      </c>
      <c r="AF3685">
        <v>0</v>
      </c>
      <c r="AG3685">
        <v>1</v>
      </c>
      <c r="AJ3685">
        <v>0</v>
      </c>
      <c r="AK3685">
        <v>1</v>
      </c>
      <c r="AL3685">
        <v>0</v>
      </c>
      <c r="AM3685">
        <v>0</v>
      </c>
      <c r="AN3685">
        <v>1</v>
      </c>
      <c r="AO3685">
        <v>1</v>
      </c>
      <c r="AP3685">
        <v>1</v>
      </c>
      <c r="AQ3685">
        <v>1</v>
      </c>
      <c r="AR3685">
        <v>1</v>
      </c>
      <c r="AS3685">
        <v>1</v>
      </c>
      <c r="AT3685">
        <v>0</v>
      </c>
      <c r="AV3685">
        <v>1</v>
      </c>
      <c r="AW3685">
        <v>1</v>
      </c>
    </row>
    <row r="3686" spans="1:49" x14ac:dyDescent="0.25">
      <c r="A3686" t="str">
        <f>"3682"</f>
        <v>3682</v>
      </c>
      <c r="B3686" t="str">
        <f t="shared" si="213"/>
        <v>1</v>
      </c>
      <c r="C3686" t="str">
        <f t="shared" si="212"/>
        <v>161</v>
      </c>
      <c r="D3686" t="str">
        <f>"1"</f>
        <v>1</v>
      </c>
      <c r="E3686" t="str">
        <f>"1-161-1"</f>
        <v>1-161-1</v>
      </c>
      <c r="F3686" t="s">
        <v>83</v>
      </c>
      <c r="G3686" t="s">
        <v>84</v>
      </c>
      <c r="H3686" t="s">
        <v>85</v>
      </c>
      <c r="AC3686">
        <v>1</v>
      </c>
      <c r="AD3686">
        <v>0</v>
      </c>
      <c r="AE3686">
        <v>0</v>
      </c>
      <c r="AF3686">
        <v>0</v>
      </c>
      <c r="AG3686">
        <v>0</v>
      </c>
      <c r="AJ3686">
        <v>0</v>
      </c>
      <c r="AK3686">
        <v>1</v>
      </c>
      <c r="AL3686">
        <v>0</v>
      </c>
      <c r="AM3686">
        <v>0</v>
      </c>
      <c r="AN3686">
        <v>0</v>
      </c>
      <c r="AO3686">
        <v>0</v>
      </c>
      <c r="AP3686">
        <v>1</v>
      </c>
      <c r="AQ3686">
        <v>0</v>
      </c>
      <c r="AR3686">
        <v>1</v>
      </c>
      <c r="AS3686">
        <v>1</v>
      </c>
      <c r="AT3686">
        <v>0</v>
      </c>
      <c r="AV3686">
        <v>1</v>
      </c>
      <c r="AW3686">
        <v>1</v>
      </c>
    </row>
    <row r="3687" spans="1:49" x14ac:dyDescent="0.25">
      <c r="A3687" t="str">
        <f>"3683"</f>
        <v>3683</v>
      </c>
      <c r="B3687" t="str">
        <f t="shared" si="213"/>
        <v>1</v>
      </c>
      <c r="C3687" t="str">
        <f t="shared" si="212"/>
        <v>161</v>
      </c>
      <c r="D3687" t="str">
        <f>"12"</f>
        <v>12</v>
      </c>
      <c r="E3687" t="str">
        <f>"1-161-12"</f>
        <v>1-161-12</v>
      </c>
      <c r="F3687" t="s">
        <v>83</v>
      </c>
      <c r="G3687" t="s">
        <v>84</v>
      </c>
      <c r="H3687" t="s">
        <v>85</v>
      </c>
      <c r="AC3687">
        <v>0</v>
      </c>
      <c r="AD3687">
        <v>1</v>
      </c>
      <c r="AE3687">
        <v>0</v>
      </c>
      <c r="AF3687">
        <v>0</v>
      </c>
      <c r="AG3687">
        <v>1</v>
      </c>
      <c r="AJ3687">
        <v>0</v>
      </c>
      <c r="AK3687">
        <v>1</v>
      </c>
      <c r="AL3687">
        <v>0</v>
      </c>
      <c r="AM3687">
        <v>0</v>
      </c>
      <c r="AN3687">
        <v>1</v>
      </c>
      <c r="AO3687">
        <v>1</v>
      </c>
      <c r="AP3687">
        <v>1</v>
      </c>
      <c r="AQ3687">
        <v>1</v>
      </c>
      <c r="AR3687">
        <v>1</v>
      </c>
      <c r="AS3687">
        <v>1</v>
      </c>
      <c r="AT3687">
        <v>0</v>
      </c>
      <c r="AV3687">
        <v>1</v>
      </c>
      <c r="AW3687">
        <v>1</v>
      </c>
    </row>
    <row r="3688" spans="1:49" x14ac:dyDescent="0.25">
      <c r="A3688" t="str">
        <f>"3684"</f>
        <v>3684</v>
      </c>
      <c r="B3688" t="str">
        <f t="shared" si="213"/>
        <v>1</v>
      </c>
      <c r="C3688" t="str">
        <f t="shared" si="212"/>
        <v>161</v>
      </c>
      <c r="D3688" t="str">
        <f>"4"</f>
        <v>4</v>
      </c>
      <c r="E3688" t="str">
        <f>"1-161-4"</f>
        <v>1-161-4</v>
      </c>
      <c r="F3688" t="s">
        <v>83</v>
      </c>
      <c r="G3688" t="s">
        <v>84</v>
      </c>
      <c r="H3688" t="s">
        <v>85</v>
      </c>
      <c r="AC3688">
        <v>0</v>
      </c>
      <c r="AD3688">
        <v>1</v>
      </c>
      <c r="AE3688">
        <v>0</v>
      </c>
      <c r="AF3688">
        <v>0</v>
      </c>
      <c r="AG3688">
        <v>1</v>
      </c>
      <c r="AJ3688">
        <v>1</v>
      </c>
      <c r="AK3688">
        <v>0</v>
      </c>
      <c r="AL3688">
        <v>0</v>
      </c>
      <c r="AM3688">
        <v>0</v>
      </c>
      <c r="AN3688">
        <v>1</v>
      </c>
      <c r="AO3688">
        <v>1</v>
      </c>
      <c r="AP3688">
        <v>1</v>
      </c>
      <c r="AQ3688">
        <v>1</v>
      </c>
      <c r="AR3688">
        <v>1</v>
      </c>
      <c r="AS3688">
        <v>0</v>
      </c>
      <c r="AT3688">
        <v>1</v>
      </c>
      <c r="AV3688">
        <v>1</v>
      </c>
      <c r="AW3688">
        <v>1</v>
      </c>
    </row>
    <row r="3689" spans="1:49" x14ac:dyDescent="0.25">
      <c r="A3689" t="str">
        <f>"3685"</f>
        <v>3685</v>
      </c>
      <c r="B3689" t="str">
        <f t="shared" si="213"/>
        <v>1</v>
      </c>
      <c r="C3689" t="str">
        <f t="shared" si="212"/>
        <v>161</v>
      </c>
      <c r="D3689" t="str">
        <f>"13"</f>
        <v>13</v>
      </c>
      <c r="E3689" t="str">
        <f>"1-161-13"</f>
        <v>1-161-13</v>
      </c>
      <c r="F3689" t="s">
        <v>83</v>
      </c>
      <c r="G3689" t="s">
        <v>84</v>
      </c>
      <c r="H3689" t="s">
        <v>85</v>
      </c>
      <c r="AC3689">
        <v>1</v>
      </c>
      <c r="AD3689">
        <v>0</v>
      </c>
      <c r="AE3689">
        <v>0</v>
      </c>
      <c r="AF3689">
        <v>0</v>
      </c>
      <c r="AG3689">
        <v>0</v>
      </c>
      <c r="AJ3689">
        <v>0</v>
      </c>
      <c r="AK3689">
        <v>1</v>
      </c>
      <c r="AL3689">
        <v>0</v>
      </c>
      <c r="AM3689">
        <v>0</v>
      </c>
      <c r="AN3689">
        <v>1</v>
      </c>
      <c r="AO3689">
        <v>0</v>
      </c>
      <c r="AP3689">
        <v>0</v>
      </c>
      <c r="AQ3689">
        <v>0</v>
      </c>
      <c r="AR3689">
        <v>0</v>
      </c>
      <c r="AS3689">
        <v>0</v>
      </c>
      <c r="AT3689">
        <v>1</v>
      </c>
      <c r="AV3689">
        <v>0</v>
      </c>
      <c r="AW3689">
        <v>1</v>
      </c>
    </row>
    <row r="3690" spans="1:49" x14ac:dyDescent="0.25">
      <c r="A3690" t="str">
        <f>"3686"</f>
        <v>3686</v>
      </c>
      <c r="B3690" t="str">
        <f t="shared" si="213"/>
        <v>1</v>
      </c>
      <c r="C3690" t="str">
        <f t="shared" si="212"/>
        <v>161</v>
      </c>
      <c r="D3690" t="str">
        <f>"6"</f>
        <v>6</v>
      </c>
      <c r="E3690" t="str">
        <f>"1-161-6"</f>
        <v>1-161-6</v>
      </c>
      <c r="F3690" t="s">
        <v>83</v>
      </c>
      <c r="G3690" t="s">
        <v>84</v>
      </c>
      <c r="H3690" t="s">
        <v>85</v>
      </c>
      <c r="AC3690">
        <v>0</v>
      </c>
      <c r="AD3690">
        <v>1</v>
      </c>
      <c r="AE3690">
        <v>0</v>
      </c>
      <c r="AF3690">
        <v>0</v>
      </c>
      <c r="AG3690">
        <v>1</v>
      </c>
      <c r="AJ3690">
        <v>0</v>
      </c>
      <c r="AK3690">
        <v>1</v>
      </c>
      <c r="AL3690">
        <v>0</v>
      </c>
      <c r="AM3690">
        <v>0</v>
      </c>
      <c r="AN3690">
        <v>1</v>
      </c>
      <c r="AO3690">
        <v>1</v>
      </c>
      <c r="AP3690">
        <v>1</v>
      </c>
      <c r="AQ3690">
        <v>1</v>
      </c>
      <c r="AR3690">
        <v>1</v>
      </c>
      <c r="AS3690">
        <v>1</v>
      </c>
      <c r="AT3690">
        <v>0</v>
      </c>
      <c r="AV3690">
        <v>1</v>
      </c>
      <c r="AW3690">
        <v>1</v>
      </c>
    </row>
    <row r="3691" spans="1:49" x14ac:dyDescent="0.25">
      <c r="A3691" t="str">
        <f>"3687"</f>
        <v>3687</v>
      </c>
      <c r="B3691" t="str">
        <f t="shared" si="213"/>
        <v>1</v>
      </c>
      <c r="C3691" t="str">
        <f t="shared" si="212"/>
        <v>161</v>
      </c>
      <c r="D3691" t="str">
        <f>"16"</f>
        <v>16</v>
      </c>
      <c r="E3691" t="str">
        <f>"1-161-16"</f>
        <v>1-161-16</v>
      </c>
      <c r="F3691" t="s">
        <v>83</v>
      </c>
      <c r="G3691" t="s">
        <v>84</v>
      </c>
      <c r="H3691" t="s">
        <v>85</v>
      </c>
      <c r="AC3691">
        <v>1</v>
      </c>
      <c r="AD3691">
        <v>0</v>
      </c>
      <c r="AE3691">
        <v>0</v>
      </c>
      <c r="AF3691">
        <v>0</v>
      </c>
      <c r="AG3691">
        <v>1</v>
      </c>
      <c r="AJ3691">
        <v>0</v>
      </c>
      <c r="AK3691">
        <v>1</v>
      </c>
      <c r="AL3691">
        <v>1</v>
      </c>
      <c r="AM3691">
        <v>0</v>
      </c>
      <c r="AN3691">
        <v>0</v>
      </c>
      <c r="AO3691">
        <v>1</v>
      </c>
      <c r="AP3691">
        <v>1</v>
      </c>
      <c r="AQ3691">
        <v>1</v>
      </c>
      <c r="AR3691">
        <v>1</v>
      </c>
      <c r="AS3691">
        <v>1</v>
      </c>
      <c r="AT3691">
        <v>0</v>
      </c>
      <c r="AV3691">
        <v>1</v>
      </c>
      <c r="AW3691">
        <v>1</v>
      </c>
    </row>
    <row r="3692" spans="1:49" x14ac:dyDescent="0.25">
      <c r="A3692" t="str">
        <f>"3688"</f>
        <v>3688</v>
      </c>
      <c r="B3692" t="str">
        <f t="shared" si="213"/>
        <v>1</v>
      </c>
      <c r="C3692" t="str">
        <f t="shared" si="212"/>
        <v>161</v>
      </c>
      <c r="D3692" t="str">
        <f>"2"</f>
        <v>2</v>
      </c>
      <c r="E3692" t="str">
        <f>"1-161-2"</f>
        <v>1-161-2</v>
      </c>
      <c r="F3692" t="s">
        <v>83</v>
      </c>
      <c r="G3692" t="s">
        <v>84</v>
      </c>
      <c r="H3692" t="s">
        <v>85</v>
      </c>
      <c r="AC3692">
        <v>0</v>
      </c>
      <c r="AD3692">
        <v>1</v>
      </c>
      <c r="AE3692">
        <v>0</v>
      </c>
      <c r="AF3692">
        <v>0</v>
      </c>
      <c r="AG3692">
        <v>1</v>
      </c>
      <c r="AJ3692">
        <v>0</v>
      </c>
      <c r="AK3692">
        <v>1</v>
      </c>
      <c r="AL3692">
        <v>1</v>
      </c>
      <c r="AM3692">
        <v>0</v>
      </c>
      <c r="AN3692">
        <v>0</v>
      </c>
      <c r="AO3692">
        <v>1</v>
      </c>
      <c r="AP3692">
        <v>1</v>
      </c>
      <c r="AQ3692">
        <v>1</v>
      </c>
      <c r="AR3692">
        <v>1</v>
      </c>
      <c r="AS3692">
        <v>1</v>
      </c>
      <c r="AT3692">
        <v>0</v>
      </c>
      <c r="AV3692">
        <v>1</v>
      </c>
      <c r="AW3692">
        <v>0</v>
      </c>
    </row>
    <row r="3693" spans="1:49" x14ac:dyDescent="0.25">
      <c r="A3693" t="str">
        <f>"3689"</f>
        <v>3689</v>
      </c>
      <c r="B3693" t="str">
        <f t="shared" si="213"/>
        <v>1</v>
      </c>
      <c r="C3693" t="str">
        <f t="shared" si="212"/>
        <v>161</v>
      </c>
      <c r="D3693" t="str">
        <f>"17"</f>
        <v>17</v>
      </c>
      <c r="E3693" t="str">
        <f>"1-161-17"</f>
        <v>1-161-17</v>
      </c>
      <c r="F3693" t="s">
        <v>83</v>
      </c>
      <c r="G3693" t="s">
        <v>84</v>
      </c>
      <c r="H3693" t="s">
        <v>85</v>
      </c>
      <c r="AC3693">
        <v>1</v>
      </c>
      <c r="AD3693">
        <v>0</v>
      </c>
      <c r="AE3693">
        <v>0</v>
      </c>
      <c r="AF3693">
        <v>0</v>
      </c>
      <c r="AG3693">
        <v>1</v>
      </c>
      <c r="AJ3693">
        <v>1</v>
      </c>
      <c r="AK3693">
        <v>0</v>
      </c>
      <c r="AL3693">
        <v>1</v>
      </c>
      <c r="AM3693">
        <v>0</v>
      </c>
      <c r="AN3693">
        <v>0</v>
      </c>
      <c r="AO3693">
        <v>1</v>
      </c>
      <c r="AP3693">
        <v>1</v>
      </c>
      <c r="AQ3693">
        <v>0</v>
      </c>
      <c r="AR3693">
        <v>0</v>
      </c>
      <c r="AS3693">
        <v>0</v>
      </c>
      <c r="AT3693">
        <v>1</v>
      </c>
      <c r="AV3693">
        <v>0</v>
      </c>
      <c r="AW3693">
        <v>0</v>
      </c>
    </row>
    <row r="3694" spans="1:49" x14ac:dyDescent="0.25">
      <c r="A3694" t="str">
        <f>"3690"</f>
        <v>3690</v>
      </c>
      <c r="B3694" t="str">
        <f t="shared" si="213"/>
        <v>1</v>
      </c>
      <c r="C3694" t="str">
        <f t="shared" si="212"/>
        <v>161</v>
      </c>
      <c r="D3694" t="str">
        <f>"5"</f>
        <v>5</v>
      </c>
      <c r="E3694" t="str">
        <f>"1-161-5"</f>
        <v>1-161-5</v>
      </c>
      <c r="F3694" t="s">
        <v>83</v>
      </c>
      <c r="G3694" t="s">
        <v>84</v>
      </c>
      <c r="H3694" t="s">
        <v>85</v>
      </c>
      <c r="AC3694">
        <v>0</v>
      </c>
      <c r="AD3694">
        <v>1</v>
      </c>
      <c r="AE3694">
        <v>0</v>
      </c>
      <c r="AF3694">
        <v>0</v>
      </c>
      <c r="AG3694">
        <v>1</v>
      </c>
      <c r="AJ3694">
        <v>0</v>
      </c>
      <c r="AK3694">
        <v>1</v>
      </c>
      <c r="AL3694">
        <v>0</v>
      </c>
      <c r="AM3694">
        <v>0</v>
      </c>
      <c r="AN3694">
        <v>1</v>
      </c>
      <c r="AO3694">
        <v>1</v>
      </c>
      <c r="AP3694">
        <v>1</v>
      </c>
      <c r="AQ3694">
        <v>1</v>
      </c>
      <c r="AR3694">
        <v>1</v>
      </c>
      <c r="AS3694">
        <v>0</v>
      </c>
      <c r="AT3694">
        <v>1</v>
      </c>
      <c r="AV3694">
        <v>1</v>
      </c>
      <c r="AW3694">
        <v>1</v>
      </c>
    </row>
    <row r="3695" spans="1:49" x14ac:dyDescent="0.25">
      <c r="A3695" t="str">
        <f>"3691"</f>
        <v>3691</v>
      </c>
      <c r="B3695" t="str">
        <f t="shared" si="213"/>
        <v>1</v>
      </c>
      <c r="C3695" t="str">
        <f t="shared" ref="C3695:C3719" si="214">"162"</f>
        <v>162</v>
      </c>
      <c r="D3695" t="str">
        <f>"17"</f>
        <v>17</v>
      </c>
      <c r="E3695" t="str">
        <f>"1-162-17"</f>
        <v>1-162-17</v>
      </c>
      <c r="F3695" t="s">
        <v>83</v>
      </c>
      <c r="G3695" t="s">
        <v>84</v>
      </c>
      <c r="H3695" t="s">
        <v>85</v>
      </c>
      <c r="AC3695">
        <v>1</v>
      </c>
      <c r="AD3695">
        <v>0</v>
      </c>
      <c r="AE3695">
        <v>0</v>
      </c>
      <c r="AF3695">
        <v>0</v>
      </c>
      <c r="AG3695">
        <v>1</v>
      </c>
      <c r="AJ3695">
        <v>0</v>
      </c>
      <c r="AK3695">
        <v>1</v>
      </c>
      <c r="AL3695">
        <v>0</v>
      </c>
      <c r="AM3695">
        <v>0</v>
      </c>
      <c r="AN3695">
        <v>1</v>
      </c>
      <c r="AO3695">
        <v>1</v>
      </c>
      <c r="AP3695">
        <v>1</v>
      </c>
      <c r="AQ3695">
        <v>1</v>
      </c>
      <c r="AR3695">
        <v>1</v>
      </c>
      <c r="AS3695">
        <v>1</v>
      </c>
      <c r="AT3695">
        <v>0</v>
      </c>
      <c r="AV3695">
        <v>1</v>
      </c>
      <c r="AW3695">
        <v>1</v>
      </c>
    </row>
    <row r="3696" spans="1:49" x14ac:dyDescent="0.25">
      <c r="A3696" t="str">
        <f>"3692"</f>
        <v>3692</v>
      </c>
      <c r="B3696" t="str">
        <f t="shared" si="213"/>
        <v>1</v>
      </c>
      <c r="C3696" t="str">
        <f t="shared" si="214"/>
        <v>162</v>
      </c>
      <c r="D3696" t="str">
        <f>"16"</f>
        <v>16</v>
      </c>
      <c r="E3696" t="str">
        <f>"1-162-16"</f>
        <v>1-162-16</v>
      </c>
      <c r="F3696" t="s">
        <v>83</v>
      </c>
      <c r="G3696" t="s">
        <v>84</v>
      </c>
      <c r="H3696" t="s">
        <v>85</v>
      </c>
      <c r="AC3696">
        <v>0</v>
      </c>
      <c r="AD3696">
        <v>0</v>
      </c>
      <c r="AE3696">
        <v>0</v>
      </c>
      <c r="AF3696">
        <v>0</v>
      </c>
      <c r="AG3696">
        <v>1</v>
      </c>
      <c r="AJ3696">
        <v>0</v>
      </c>
      <c r="AK3696">
        <v>0</v>
      </c>
      <c r="AL3696">
        <v>0</v>
      </c>
      <c r="AM3696">
        <v>0</v>
      </c>
      <c r="AN3696">
        <v>0</v>
      </c>
      <c r="AO3696">
        <v>1</v>
      </c>
      <c r="AP3696">
        <v>1</v>
      </c>
      <c r="AQ3696">
        <v>1</v>
      </c>
      <c r="AR3696">
        <v>1</v>
      </c>
      <c r="AS3696">
        <v>0</v>
      </c>
      <c r="AT3696">
        <v>0</v>
      </c>
      <c r="AV3696">
        <v>1</v>
      </c>
      <c r="AW3696">
        <v>1</v>
      </c>
    </row>
    <row r="3697" spans="1:49" x14ac:dyDescent="0.25">
      <c r="A3697" t="str">
        <f>"3693"</f>
        <v>3693</v>
      </c>
      <c r="B3697" t="str">
        <f t="shared" si="213"/>
        <v>1</v>
      </c>
      <c r="C3697" t="str">
        <f t="shared" si="214"/>
        <v>162</v>
      </c>
      <c r="D3697" t="str">
        <f>"13"</f>
        <v>13</v>
      </c>
      <c r="E3697" t="str">
        <f>"1-162-13"</f>
        <v>1-162-13</v>
      </c>
      <c r="F3697" t="s">
        <v>83</v>
      </c>
      <c r="G3697" t="s">
        <v>84</v>
      </c>
      <c r="H3697" t="s">
        <v>85</v>
      </c>
      <c r="AC3697">
        <v>0</v>
      </c>
      <c r="AD3697">
        <v>1</v>
      </c>
      <c r="AE3697">
        <v>0</v>
      </c>
      <c r="AF3697">
        <v>0</v>
      </c>
      <c r="AG3697">
        <v>1</v>
      </c>
      <c r="AJ3697">
        <v>1</v>
      </c>
      <c r="AK3697">
        <v>0</v>
      </c>
      <c r="AL3697">
        <v>0</v>
      </c>
      <c r="AM3697">
        <v>1</v>
      </c>
      <c r="AN3697">
        <v>0</v>
      </c>
      <c r="AO3697">
        <v>1</v>
      </c>
      <c r="AP3697">
        <v>1</v>
      </c>
      <c r="AQ3697">
        <v>1</v>
      </c>
      <c r="AR3697">
        <v>1</v>
      </c>
      <c r="AS3697">
        <v>0</v>
      </c>
      <c r="AT3697">
        <v>1</v>
      </c>
      <c r="AV3697">
        <v>1</v>
      </c>
      <c r="AW3697">
        <v>1</v>
      </c>
    </row>
    <row r="3698" spans="1:49" x14ac:dyDescent="0.25">
      <c r="A3698" t="str">
        <f>"3694"</f>
        <v>3694</v>
      </c>
      <c r="B3698" t="str">
        <f t="shared" si="213"/>
        <v>1</v>
      </c>
      <c r="C3698" t="str">
        <f t="shared" si="214"/>
        <v>162</v>
      </c>
      <c r="D3698" t="str">
        <f>"8"</f>
        <v>8</v>
      </c>
      <c r="E3698" t="str">
        <f>"1-162-8"</f>
        <v>1-162-8</v>
      </c>
      <c r="F3698" t="s">
        <v>83</v>
      </c>
      <c r="G3698" t="s">
        <v>84</v>
      </c>
      <c r="H3698" t="s">
        <v>85</v>
      </c>
      <c r="AC3698">
        <v>1</v>
      </c>
      <c r="AD3698">
        <v>0</v>
      </c>
      <c r="AE3698">
        <v>0</v>
      </c>
      <c r="AF3698">
        <v>0</v>
      </c>
      <c r="AG3698">
        <v>0</v>
      </c>
      <c r="AJ3698">
        <v>1</v>
      </c>
      <c r="AK3698">
        <v>0</v>
      </c>
      <c r="AL3698">
        <v>0</v>
      </c>
      <c r="AM3698">
        <v>0</v>
      </c>
      <c r="AN3698">
        <v>1</v>
      </c>
      <c r="AO3698">
        <v>1</v>
      </c>
      <c r="AP3698">
        <v>1</v>
      </c>
      <c r="AQ3698">
        <v>1</v>
      </c>
      <c r="AR3698">
        <v>1</v>
      </c>
      <c r="AS3698">
        <v>1</v>
      </c>
      <c r="AT3698">
        <v>0</v>
      </c>
      <c r="AV3698">
        <v>1</v>
      </c>
      <c r="AW3698">
        <v>1</v>
      </c>
    </row>
    <row r="3699" spans="1:49" x14ac:dyDescent="0.25">
      <c r="A3699" t="str">
        <f>"3695"</f>
        <v>3695</v>
      </c>
      <c r="B3699" t="str">
        <f t="shared" si="213"/>
        <v>1</v>
      </c>
      <c r="C3699" t="str">
        <f t="shared" si="214"/>
        <v>162</v>
      </c>
      <c r="D3699" t="str">
        <f>"3"</f>
        <v>3</v>
      </c>
      <c r="E3699" t="str">
        <f>"1-162-3"</f>
        <v>1-162-3</v>
      </c>
      <c r="F3699" t="s">
        <v>83</v>
      </c>
      <c r="G3699" t="s">
        <v>84</v>
      </c>
      <c r="H3699" t="s">
        <v>85</v>
      </c>
      <c r="AC3699">
        <v>1</v>
      </c>
      <c r="AD3699">
        <v>0</v>
      </c>
      <c r="AE3699">
        <v>0</v>
      </c>
      <c r="AF3699">
        <v>0</v>
      </c>
      <c r="AG3699">
        <v>1</v>
      </c>
      <c r="AJ3699">
        <v>0</v>
      </c>
      <c r="AK3699">
        <v>1</v>
      </c>
      <c r="AL3699">
        <v>0</v>
      </c>
      <c r="AM3699">
        <v>1</v>
      </c>
      <c r="AN3699">
        <v>0</v>
      </c>
      <c r="AO3699">
        <v>1</v>
      </c>
      <c r="AP3699">
        <v>1</v>
      </c>
      <c r="AQ3699">
        <v>1</v>
      </c>
      <c r="AR3699">
        <v>1</v>
      </c>
      <c r="AS3699">
        <v>0</v>
      </c>
      <c r="AT3699">
        <v>1</v>
      </c>
      <c r="AV3699">
        <v>1</v>
      </c>
      <c r="AW3699">
        <v>1</v>
      </c>
    </row>
    <row r="3700" spans="1:49" x14ac:dyDescent="0.25">
      <c r="A3700" t="str">
        <f>"3696"</f>
        <v>3696</v>
      </c>
      <c r="B3700" t="str">
        <f t="shared" si="213"/>
        <v>1</v>
      </c>
      <c r="C3700" t="str">
        <f t="shared" si="214"/>
        <v>162</v>
      </c>
      <c r="D3700" t="str">
        <f>"23"</f>
        <v>23</v>
      </c>
      <c r="E3700" t="str">
        <f>"1-162-23"</f>
        <v>1-162-23</v>
      </c>
      <c r="F3700" t="s">
        <v>83</v>
      </c>
      <c r="G3700" t="s">
        <v>84</v>
      </c>
      <c r="H3700" t="s">
        <v>85</v>
      </c>
      <c r="AC3700">
        <v>0</v>
      </c>
      <c r="AD3700">
        <v>1</v>
      </c>
      <c r="AE3700">
        <v>0</v>
      </c>
      <c r="AF3700">
        <v>0</v>
      </c>
      <c r="AG3700">
        <v>1</v>
      </c>
      <c r="AJ3700">
        <v>0</v>
      </c>
      <c r="AK3700">
        <v>1</v>
      </c>
      <c r="AL3700">
        <v>0</v>
      </c>
      <c r="AM3700">
        <v>0</v>
      </c>
      <c r="AN3700">
        <v>1</v>
      </c>
      <c r="AO3700">
        <v>1</v>
      </c>
      <c r="AP3700">
        <v>1</v>
      </c>
      <c r="AQ3700">
        <v>1</v>
      </c>
      <c r="AR3700">
        <v>1</v>
      </c>
      <c r="AS3700">
        <v>0</v>
      </c>
      <c r="AT3700">
        <v>1</v>
      </c>
      <c r="AV3700">
        <v>1</v>
      </c>
      <c r="AW3700">
        <v>1</v>
      </c>
    </row>
    <row r="3701" spans="1:49" x14ac:dyDescent="0.25">
      <c r="A3701" t="str">
        <f>"3697"</f>
        <v>3697</v>
      </c>
      <c r="B3701" t="str">
        <f t="shared" si="213"/>
        <v>1</v>
      </c>
      <c r="C3701" t="str">
        <f t="shared" si="214"/>
        <v>162</v>
      </c>
      <c r="D3701" t="str">
        <f>"22"</f>
        <v>22</v>
      </c>
      <c r="E3701" t="str">
        <f>"1-162-22"</f>
        <v>1-162-22</v>
      </c>
      <c r="F3701" t="s">
        <v>83</v>
      </c>
      <c r="G3701" t="s">
        <v>84</v>
      </c>
      <c r="H3701" t="s">
        <v>85</v>
      </c>
      <c r="AC3701">
        <v>0</v>
      </c>
      <c r="AD3701">
        <v>1</v>
      </c>
      <c r="AE3701">
        <v>0</v>
      </c>
      <c r="AF3701">
        <v>0</v>
      </c>
      <c r="AG3701">
        <v>1</v>
      </c>
      <c r="AJ3701">
        <v>0</v>
      </c>
      <c r="AK3701">
        <v>1</v>
      </c>
      <c r="AL3701">
        <v>1</v>
      </c>
      <c r="AM3701">
        <v>0</v>
      </c>
      <c r="AN3701">
        <v>0</v>
      </c>
      <c r="AO3701">
        <v>1</v>
      </c>
      <c r="AP3701">
        <v>1</v>
      </c>
      <c r="AQ3701">
        <v>1</v>
      </c>
      <c r="AR3701">
        <v>1</v>
      </c>
      <c r="AS3701">
        <v>0</v>
      </c>
      <c r="AT3701">
        <v>1</v>
      </c>
      <c r="AV3701">
        <v>1</v>
      </c>
      <c r="AW3701">
        <v>1</v>
      </c>
    </row>
    <row r="3702" spans="1:49" x14ac:dyDescent="0.25">
      <c r="A3702" t="str">
        <f>"3698"</f>
        <v>3698</v>
      </c>
      <c r="B3702" t="str">
        <f t="shared" si="213"/>
        <v>1</v>
      </c>
      <c r="C3702" t="str">
        <f t="shared" si="214"/>
        <v>162</v>
      </c>
      <c r="D3702" t="str">
        <f>"14"</f>
        <v>14</v>
      </c>
      <c r="E3702" t="str">
        <f>"1-162-14"</f>
        <v>1-162-14</v>
      </c>
      <c r="F3702" t="s">
        <v>83</v>
      </c>
      <c r="G3702" t="s">
        <v>84</v>
      </c>
      <c r="H3702" t="s">
        <v>85</v>
      </c>
      <c r="AC3702">
        <v>0</v>
      </c>
      <c r="AD3702">
        <v>1</v>
      </c>
      <c r="AE3702">
        <v>0</v>
      </c>
      <c r="AF3702">
        <v>0</v>
      </c>
      <c r="AG3702">
        <v>1</v>
      </c>
      <c r="AJ3702">
        <v>1</v>
      </c>
      <c r="AK3702">
        <v>0</v>
      </c>
      <c r="AL3702">
        <v>0</v>
      </c>
      <c r="AM3702">
        <v>1</v>
      </c>
      <c r="AN3702">
        <v>0</v>
      </c>
      <c r="AO3702">
        <v>1</v>
      </c>
      <c r="AP3702">
        <v>1</v>
      </c>
      <c r="AQ3702">
        <v>1</v>
      </c>
      <c r="AR3702">
        <v>1</v>
      </c>
      <c r="AS3702">
        <v>0</v>
      </c>
      <c r="AT3702">
        <v>1</v>
      </c>
      <c r="AV3702">
        <v>1</v>
      </c>
      <c r="AW3702">
        <v>1</v>
      </c>
    </row>
    <row r="3703" spans="1:49" x14ac:dyDescent="0.25">
      <c r="A3703" t="str">
        <f>"3699"</f>
        <v>3699</v>
      </c>
      <c r="B3703" t="str">
        <f t="shared" si="213"/>
        <v>1</v>
      </c>
      <c r="C3703" t="str">
        <f t="shared" si="214"/>
        <v>162</v>
      </c>
      <c r="D3703" t="str">
        <f>"9"</f>
        <v>9</v>
      </c>
      <c r="E3703" t="str">
        <f>"1-162-9"</f>
        <v>1-162-9</v>
      </c>
      <c r="F3703" t="s">
        <v>83</v>
      </c>
      <c r="G3703" t="s">
        <v>84</v>
      </c>
      <c r="H3703" t="s">
        <v>85</v>
      </c>
      <c r="AC3703">
        <v>1</v>
      </c>
      <c r="AD3703">
        <v>0</v>
      </c>
      <c r="AE3703">
        <v>0</v>
      </c>
      <c r="AF3703">
        <v>0</v>
      </c>
      <c r="AG3703">
        <v>0</v>
      </c>
      <c r="AJ3703">
        <v>1</v>
      </c>
      <c r="AK3703">
        <v>0</v>
      </c>
      <c r="AL3703">
        <v>0</v>
      </c>
      <c r="AM3703">
        <v>1</v>
      </c>
      <c r="AN3703">
        <v>0</v>
      </c>
      <c r="AO3703">
        <v>0</v>
      </c>
      <c r="AP3703">
        <v>0</v>
      </c>
      <c r="AQ3703">
        <v>0</v>
      </c>
      <c r="AR3703">
        <v>0</v>
      </c>
      <c r="AS3703">
        <v>1</v>
      </c>
      <c r="AT3703">
        <v>0</v>
      </c>
      <c r="AV3703">
        <v>0</v>
      </c>
      <c r="AW3703">
        <v>1</v>
      </c>
    </row>
    <row r="3704" spans="1:49" x14ac:dyDescent="0.25">
      <c r="A3704" t="str">
        <f>"3700"</f>
        <v>3700</v>
      </c>
      <c r="B3704" t="str">
        <f t="shared" si="213"/>
        <v>1</v>
      </c>
      <c r="C3704" t="str">
        <f t="shared" si="214"/>
        <v>162</v>
      </c>
      <c r="D3704" t="str">
        <f>"4"</f>
        <v>4</v>
      </c>
      <c r="E3704" t="str">
        <f>"1-162-4"</f>
        <v>1-162-4</v>
      </c>
      <c r="F3704" t="s">
        <v>83</v>
      </c>
      <c r="G3704" t="s">
        <v>84</v>
      </c>
      <c r="H3704" t="s">
        <v>85</v>
      </c>
      <c r="AC3704">
        <v>1</v>
      </c>
      <c r="AD3704">
        <v>0</v>
      </c>
      <c r="AE3704">
        <v>0</v>
      </c>
      <c r="AF3704">
        <v>0</v>
      </c>
      <c r="AG3704">
        <v>0</v>
      </c>
      <c r="AJ3704">
        <v>0</v>
      </c>
      <c r="AK3704">
        <v>1</v>
      </c>
      <c r="AL3704">
        <v>1</v>
      </c>
      <c r="AM3704">
        <v>0</v>
      </c>
      <c r="AN3704">
        <v>0</v>
      </c>
      <c r="AO3704">
        <v>0</v>
      </c>
      <c r="AP3704">
        <v>0</v>
      </c>
      <c r="AQ3704">
        <v>0</v>
      </c>
      <c r="AR3704">
        <v>0</v>
      </c>
      <c r="AS3704">
        <v>0</v>
      </c>
      <c r="AT3704">
        <v>1</v>
      </c>
      <c r="AV3704">
        <v>1</v>
      </c>
      <c r="AW3704">
        <v>1</v>
      </c>
    </row>
    <row r="3705" spans="1:49" x14ac:dyDescent="0.25">
      <c r="A3705" t="str">
        <f>"3701"</f>
        <v>3701</v>
      </c>
      <c r="B3705" t="str">
        <f t="shared" si="213"/>
        <v>1</v>
      </c>
      <c r="C3705" t="str">
        <f t="shared" si="214"/>
        <v>162</v>
      </c>
      <c r="D3705" t="str">
        <f>"25"</f>
        <v>25</v>
      </c>
      <c r="E3705" t="str">
        <f>"1-162-25"</f>
        <v>1-162-25</v>
      </c>
      <c r="F3705" t="s">
        <v>83</v>
      </c>
      <c r="G3705" t="s">
        <v>84</v>
      </c>
      <c r="H3705" t="s">
        <v>85</v>
      </c>
      <c r="AC3705">
        <v>0</v>
      </c>
      <c r="AD3705">
        <v>1</v>
      </c>
      <c r="AE3705">
        <v>0</v>
      </c>
      <c r="AF3705">
        <v>0</v>
      </c>
      <c r="AG3705">
        <v>1</v>
      </c>
      <c r="AJ3705">
        <v>0</v>
      </c>
      <c r="AK3705">
        <v>1</v>
      </c>
      <c r="AL3705">
        <v>0</v>
      </c>
      <c r="AM3705">
        <v>0</v>
      </c>
      <c r="AN3705">
        <v>1</v>
      </c>
      <c r="AO3705">
        <v>1</v>
      </c>
      <c r="AP3705">
        <v>1</v>
      </c>
      <c r="AQ3705">
        <v>1</v>
      </c>
      <c r="AR3705">
        <v>1</v>
      </c>
      <c r="AS3705">
        <v>1</v>
      </c>
      <c r="AT3705">
        <v>0</v>
      </c>
      <c r="AV3705">
        <v>1</v>
      </c>
      <c r="AW3705">
        <v>1</v>
      </c>
    </row>
    <row r="3706" spans="1:49" x14ac:dyDescent="0.25">
      <c r="A3706" t="str">
        <f>"3702"</f>
        <v>3702</v>
      </c>
      <c r="B3706" t="str">
        <f t="shared" si="213"/>
        <v>1</v>
      </c>
      <c r="C3706" t="str">
        <f t="shared" si="214"/>
        <v>162</v>
      </c>
      <c r="D3706" t="str">
        <f>"24"</f>
        <v>24</v>
      </c>
      <c r="E3706" t="str">
        <f>"1-162-24"</f>
        <v>1-162-24</v>
      </c>
      <c r="F3706" t="s">
        <v>83</v>
      </c>
      <c r="G3706" t="s">
        <v>84</v>
      </c>
      <c r="H3706" t="s">
        <v>85</v>
      </c>
      <c r="AC3706">
        <v>0</v>
      </c>
      <c r="AD3706">
        <v>1</v>
      </c>
      <c r="AE3706">
        <v>0</v>
      </c>
      <c r="AF3706">
        <v>0</v>
      </c>
      <c r="AG3706">
        <v>1</v>
      </c>
      <c r="AJ3706">
        <v>0</v>
      </c>
      <c r="AK3706">
        <v>1</v>
      </c>
      <c r="AL3706">
        <v>0</v>
      </c>
      <c r="AM3706">
        <v>0</v>
      </c>
      <c r="AN3706">
        <v>1</v>
      </c>
      <c r="AO3706">
        <v>1</v>
      </c>
      <c r="AP3706">
        <v>1</v>
      </c>
      <c r="AQ3706">
        <v>1</v>
      </c>
      <c r="AR3706">
        <v>1</v>
      </c>
      <c r="AS3706">
        <v>1</v>
      </c>
      <c r="AT3706">
        <v>0</v>
      </c>
      <c r="AV3706">
        <v>1</v>
      </c>
      <c r="AW3706">
        <v>1</v>
      </c>
    </row>
    <row r="3707" spans="1:49" x14ac:dyDescent="0.25">
      <c r="A3707" t="str">
        <f>"3703"</f>
        <v>3703</v>
      </c>
      <c r="B3707" t="str">
        <f t="shared" si="213"/>
        <v>1</v>
      </c>
      <c r="C3707" t="str">
        <f t="shared" si="214"/>
        <v>162</v>
      </c>
      <c r="D3707" t="str">
        <f>"15"</f>
        <v>15</v>
      </c>
      <c r="E3707" t="str">
        <f>"1-162-15"</f>
        <v>1-162-15</v>
      </c>
      <c r="F3707" t="s">
        <v>83</v>
      </c>
      <c r="G3707" t="s">
        <v>84</v>
      </c>
      <c r="H3707" t="s">
        <v>85</v>
      </c>
      <c r="AC3707">
        <v>0</v>
      </c>
      <c r="AD3707">
        <v>1</v>
      </c>
      <c r="AE3707">
        <v>0</v>
      </c>
      <c r="AF3707">
        <v>0</v>
      </c>
      <c r="AG3707">
        <v>1</v>
      </c>
      <c r="AJ3707">
        <v>0</v>
      </c>
      <c r="AK3707">
        <v>1</v>
      </c>
      <c r="AL3707">
        <v>0</v>
      </c>
      <c r="AM3707">
        <v>0</v>
      </c>
      <c r="AN3707">
        <v>1</v>
      </c>
      <c r="AO3707">
        <v>1</v>
      </c>
      <c r="AP3707">
        <v>1</v>
      </c>
      <c r="AQ3707">
        <v>1</v>
      </c>
      <c r="AR3707">
        <v>1</v>
      </c>
      <c r="AS3707">
        <v>0</v>
      </c>
      <c r="AT3707">
        <v>1</v>
      </c>
      <c r="AV3707">
        <v>1</v>
      </c>
      <c r="AW3707">
        <v>1</v>
      </c>
    </row>
    <row r="3708" spans="1:49" x14ac:dyDescent="0.25">
      <c r="A3708" t="str">
        <f>"3704"</f>
        <v>3704</v>
      </c>
      <c r="B3708" t="str">
        <f t="shared" si="213"/>
        <v>1</v>
      </c>
      <c r="C3708" t="str">
        <f t="shared" si="214"/>
        <v>162</v>
      </c>
      <c r="D3708" t="str">
        <f>"10"</f>
        <v>10</v>
      </c>
      <c r="E3708" t="str">
        <f>"1-162-10"</f>
        <v>1-162-10</v>
      </c>
      <c r="F3708" t="s">
        <v>83</v>
      </c>
      <c r="G3708" t="s">
        <v>84</v>
      </c>
      <c r="H3708" t="s">
        <v>85</v>
      </c>
      <c r="AC3708">
        <v>1</v>
      </c>
      <c r="AD3708">
        <v>0</v>
      </c>
      <c r="AE3708">
        <v>0</v>
      </c>
      <c r="AF3708">
        <v>0</v>
      </c>
      <c r="AG3708">
        <v>0</v>
      </c>
      <c r="AJ3708">
        <v>0</v>
      </c>
      <c r="AK3708">
        <v>1</v>
      </c>
      <c r="AL3708">
        <v>1</v>
      </c>
      <c r="AM3708">
        <v>0</v>
      </c>
      <c r="AN3708">
        <v>0</v>
      </c>
      <c r="AO3708">
        <v>0</v>
      </c>
      <c r="AP3708">
        <v>0</v>
      </c>
      <c r="AQ3708">
        <v>0</v>
      </c>
      <c r="AR3708">
        <v>0</v>
      </c>
      <c r="AS3708">
        <v>0</v>
      </c>
      <c r="AT3708">
        <v>1</v>
      </c>
      <c r="AV3708">
        <v>1</v>
      </c>
      <c r="AW3708">
        <v>1</v>
      </c>
    </row>
    <row r="3709" spans="1:49" x14ac:dyDescent="0.25">
      <c r="A3709" t="str">
        <f>"3705"</f>
        <v>3705</v>
      </c>
      <c r="B3709" t="str">
        <f t="shared" si="213"/>
        <v>1</v>
      </c>
      <c r="C3709" t="str">
        <f t="shared" si="214"/>
        <v>162</v>
      </c>
      <c r="D3709" t="str">
        <f>"5"</f>
        <v>5</v>
      </c>
      <c r="E3709" t="str">
        <f>"1-162-5"</f>
        <v>1-162-5</v>
      </c>
      <c r="F3709" t="s">
        <v>83</v>
      </c>
      <c r="G3709" t="s">
        <v>84</v>
      </c>
      <c r="H3709" t="s">
        <v>85</v>
      </c>
      <c r="AC3709">
        <v>0</v>
      </c>
      <c r="AD3709">
        <v>1</v>
      </c>
      <c r="AE3709">
        <v>0</v>
      </c>
      <c r="AF3709">
        <v>0</v>
      </c>
      <c r="AG3709">
        <v>1</v>
      </c>
      <c r="AJ3709">
        <v>1</v>
      </c>
      <c r="AK3709">
        <v>0</v>
      </c>
      <c r="AL3709">
        <v>0</v>
      </c>
      <c r="AM3709">
        <v>0</v>
      </c>
      <c r="AN3709">
        <v>1</v>
      </c>
      <c r="AO3709">
        <v>1</v>
      </c>
      <c r="AP3709">
        <v>1</v>
      </c>
      <c r="AQ3709">
        <v>1</v>
      </c>
      <c r="AR3709">
        <v>1</v>
      </c>
      <c r="AS3709">
        <v>1</v>
      </c>
      <c r="AT3709">
        <v>0</v>
      </c>
      <c r="AV3709">
        <v>1</v>
      </c>
      <c r="AW3709">
        <v>1</v>
      </c>
    </row>
    <row r="3710" spans="1:49" x14ac:dyDescent="0.25">
      <c r="A3710" t="str">
        <f>"3706"</f>
        <v>3706</v>
      </c>
      <c r="B3710" t="str">
        <f t="shared" si="213"/>
        <v>1</v>
      </c>
      <c r="C3710" t="str">
        <f t="shared" si="214"/>
        <v>162</v>
      </c>
      <c r="D3710" t="str">
        <f>"21"</f>
        <v>21</v>
      </c>
      <c r="E3710" t="str">
        <f>"1-162-21"</f>
        <v>1-162-21</v>
      </c>
      <c r="F3710" t="s">
        <v>83</v>
      </c>
      <c r="G3710" t="s">
        <v>84</v>
      </c>
      <c r="H3710" t="s">
        <v>85</v>
      </c>
      <c r="AC3710">
        <v>0</v>
      </c>
      <c r="AD3710">
        <v>1</v>
      </c>
      <c r="AE3710">
        <v>0</v>
      </c>
      <c r="AF3710">
        <v>0</v>
      </c>
      <c r="AG3710">
        <v>1</v>
      </c>
      <c r="AJ3710">
        <v>1</v>
      </c>
      <c r="AK3710">
        <v>0</v>
      </c>
      <c r="AL3710">
        <v>0</v>
      </c>
      <c r="AM3710">
        <v>1</v>
      </c>
      <c r="AN3710">
        <v>0</v>
      </c>
      <c r="AO3710">
        <v>1</v>
      </c>
      <c r="AP3710">
        <v>1</v>
      </c>
      <c r="AQ3710">
        <v>1</v>
      </c>
      <c r="AR3710">
        <v>1</v>
      </c>
      <c r="AS3710">
        <v>0</v>
      </c>
      <c r="AT3710">
        <v>1</v>
      </c>
      <c r="AV3710">
        <v>1</v>
      </c>
      <c r="AW3710">
        <v>1</v>
      </c>
    </row>
    <row r="3711" spans="1:49" x14ac:dyDescent="0.25">
      <c r="A3711" t="str">
        <f>"3707"</f>
        <v>3707</v>
      </c>
      <c r="B3711" t="str">
        <f t="shared" si="213"/>
        <v>1</v>
      </c>
      <c r="C3711" t="str">
        <f t="shared" si="214"/>
        <v>162</v>
      </c>
      <c r="D3711" t="str">
        <f>"11"</f>
        <v>11</v>
      </c>
      <c r="E3711" t="str">
        <f>"1-162-11"</f>
        <v>1-162-11</v>
      </c>
      <c r="F3711" t="s">
        <v>83</v>
      </c>
      <c r="G3711" t="s">
        <v>84</v>
      </c>
      <c r="H3711" t="s">
        <v>85</v>
      </c>
      <c r="AC3711">
        <v>1</v>
      </c>
      <c r="AD3711">
        <v>0</v>
      </c>
      <c r="AE3711">
        <v>0</v>
      </c>
      <c r="AF3711">
        <v>0</v>
      </c>
      <c r="AG3711">
        <v>1</v>
      </c>
      <c r="AJ3711">
        <v>0</v>
      </c>
      <c r="AK3711">
        <v>1</v>
      </c>
      <c r="AL3711">
        <v>1</v>
      </c>
      <c r="AM3711">
        <v>0</v>
      </c>
      <c r="AN3711">
        <v>0</v>
      </c>
      <c r="AO3711">
        <v>1</v>
      </c>
      <c r="AP3711">
        <v>1</v>
      </c>
      <c r="AQ3711">
        <v>1</v>
      </c>
      <c r="AR3711">
        <v>1</v>
      </c>
      <c r="AS3711">
        <v>1</v>
      </c>
      <c r="AT3711">
        <v>0</v>
      </c>
      <c r="AV3711">
        <v>1</v>
      </c>
      <c r="AW3711">
        <v>1</v>
      </c>
    </row>
    <row r="3712" spans="1:49" x14ac:dyDescent="0.25">
      <c r="A3712" t="str">
        <f>"3708"</f>
        <v>3708</v>
      </c>
      <c r="B3712" t="str">
        <f t="shared" si="213"/>
        <v>1</v>
      </c>
      <c r="C3712" t="str">
        <f t="shared" si="214"/>
        <v>162</v>
      </c>
      <c r="D3712" t="str">
        <f>"19"</f>
        <v>19</v>
      </c>
      <c r="E3712" t="str">
        <f>"1-162-19"</f>
        <v>1-162-19</v>
      </c>
      <c r="F3712" t="s">
        <v>83</v>
      </c>
      <c r="G3712" t="s">
        <v>84</v>
      </c>
      <c r="H3712" t="s">
        <v>85</v>
      </c>
      <c r="AC3712">
        <v>0</v>
      </c>
      <c r="AD3712">
        <v>1</v>
      </c>
      <c r="AE3712">
        <v>0</v>
      </c>
      <c r="AF3712">
        <v>0</v>
      </c>
      <c r="AG3712">
        <v>1</v>
      </c>
      <c r="AJ3712">
        <v>1</v>
      </c>
      <c r="AK3712">
        <v>0</v>
      </c>
      <c r="AL3712">
        <v>0</v>
      </c>
      <c r="AM3712">
        <v>1</v>
      </c>
      <c r="AN3712">
        <v>0</v>
      </c>
      <c r="AO3712">
        <v>1</v>
      </c>
      <c r="AP3712">
        <v>1</v>
      </c>
      <c r="AQ3712">
        <v>1</v>
      </c>
      <c r="AR3712">
        <v>1</v>
      </c>
      <c r="AS3712">
        <v>0</v>
      </c>
      <c r="AT3712">
        <v>1</v>
      </c>
      <c r="AV3712">
        <v>1</v>
      </c>
      <c r="AW3712">
        <v>1</v>
      </c>
    </row>
    <row r="3713" spans="1:49" x14ac:dyDescent="0.25">
      <c r="A3713" t="str">
        <f>"3709"</f>
        <v>3709</v>
      </c>
      <c r="B3713" t="str">
        <f t="shared" si="213"/>
        <v>1</v>
      </c>
      <c r="C3713" t="str">
        <f t="shared" si="214"/>
        <v>162</v>
      </c>
      <c r="D3713" t="str">
        <f>"12"</f>
        <v>12</v>
      </c>
      <c r="E3713" t="str">
        <f>"1-162-12"</f>
        <v>1-162-12</v>
      </c>
      <c r="F3713" t="s">
        <v>83</v>
      </c>
      <c r="G3713" t="s">
        <v>84</v>
      </c>
      <c r="H3713" t="s">
        <v>85</v>
      </c>
      <c r="AC3713">
        <v>1</v>
      </c>
      <c r="AD3713">
        <v>0</v>
      </c>
      <c r="AE3713">
        <v>0</v>
      </c>
      <c r="AF3713">
        <v>0</v>
      </c>
      <c r="AG3713">
        <v>0</v>
      </c>
      <c r="AJ3713">
        <v>1</v>
      </c>
      <c r="AK3713">
        <v>0</v>
      </c>
      <c r="AL3713">
        <v>0</v>
      </c>
      <c r="AM3713">
        <v>1</v>
      </c>
      <c r="AN3713">
        <v>0</v>
      </c>
      <c r="AO3713">
        <v>0</v>
      </c>
      <c r="AP3713">
        <v>0</v>
      </c>
      <c r="AQ3713">
        <v>0</v>
      </c>
      <c r="AR3713">
        <v>0</v>
      </c>
      <c r="AS3713">
        <v>1</v>
      </c>
      <c r="AT3713">
        <v>0</v>
      </c>
      <c r="AV3713">
        <v>0</v>
      </c>
      <c r="AW3713">
        <v>1</v>
      </c>
    </row>
    <row r="3714" spans="1:49" x14ac:dyDescent="0.25">
      <c r="A3714" t="str">
        <f>"3710"</f>
        <v>3710</v>
      </c>
      <c r="B3714" t="str">
        <f t="shared" si="213"/>
        <v>1</v>
      </c>
      <c r="C3714" t="str">
        <f t="shared" si="214"/>
        <v>162</v>
      </c>
      <c r="D3714" t="str">
        <f>"7"</f>
        <v>7</v>
      </c>
      <c r="E3714" t="str">
        <f>"1-162-7"</f>
        <v>1-162-7</v>
      </c>
      <c r="F3714" t="s">
        <v>83</v>
      </c>
      <c r="G3714" t="s">
        <v>84</v>
      </c>
      <c r="H3714" t="s">
        <v>85</v>
      </c>
      <c r="AC3714">
        <v>0</v>
      </c>
      <c r="AD3714">
        <v>1</v>
      </c>
      <c r="AE3714">
        <v>0</v>
      </c>
      <c r="AF3714">
        <v>0</v>
      </c>
      <c r="AG3714">
        <v>1</v>
      </c>
      <c r="AJ3714">
        <v>1</v>
      </c>
      <c r="AK3714">
        <v>0</v>
      </c>
      <c r="AL3714">
        <v>0</v>
      </c>
      <c r="AM3714">
        <v>1</v>
      </c>
      <c r="AN3714">
        <v>0</v>
      </c>
      <c r="AO3714">
        <v>1</v>
      </c>
      <c r="AP3714">
        <v>1</v>
      </c>
      <c r="AQ3714">
        <v>1</v>
      </c>
      <c r="AR3714">
        <v>1</v>
      </c>
      <c r="AS3714">
        <v>0</v>
      </c>
      <c r="AT3714">
        <v>1</v>
      </c>
      <c r="AV3714">
        <v>1</v>
      </c>
      <c r="AW3714">
        <v>1</v>
      </c>
    </row>
    <row r="3715" spans="1:49" x14ac:dyDescent="0.25">
      <c r="A3715" t="str">
        <f>"3711"</f>
        <v>3711</v>
      </c>
      <c r="B3715" t="str">
        <f t="shared" si="213"/>
        <v>1</v>
      </c>
      <c r="C3715" t="str">
        <f t="shared" si="214"/>
        <v>162</v>
      </c>
      <c r="D3715" t="str">
        <f>"18"</f>
        <v>18</v>
      </c>
      <c r="E3715" t="str">
        <f>"1-162-18"</f>
        <v>1-162-18</v>
      </c>
      <c r="F3715" t="s">
        <v>83</v>
      </c>
      <c r="G3715" t="s">
        <v>84</v>
      </c>
      <c r="H3715" t="s">
        <v>85</v>
      </c>
      <c r="AC3715">
        <v>1</v>
      </c>
      <c r="AD3715">
        <v>0</v>
      </c>
      <c r="AE3715">
        <v>0</v>
      </c>
      <c r="AF3715">
        <v>0</v>
      </c>
      <c r="AG3715">
        <v>1</v>
      </c>
      <c r="AJ3715">
        <v>1</v>
      </c>
      <c r="AK3715">
        <v>0</v>
      </c>
      <c r="AL3715">
        <v>1</v>
      </c>
      <c r="AM3715">
        <v>0</v>
      </c>
      <c r="AN3715">
        <v>0</v>
      </c>
      <c r="AO3715">
        <v>1</v>
      </c>
      <c r="AP3715">
        <v>1</v>
      </c>
      <c r="AQ3715">
        <v>1</v>
      </c>
      <c r="AR3715">
        <v>1</v>
      </c>
      <c r="AS3715">
        <v>0</v>
      </c>
      <c r="AT3715">
        <v>1</v>
      </c>
      <c r="AV3715">
        <v>1</v>
      </c>
      <c r="AW3715">
        <v>1</v>
      </c>
    </row>
    <row r="3716" spans="1:49" x14ac:dyDescent="0.25">
      <c r="A3716" t="str">
        <f>"3712"</f>
        <v>3712</v>
      </c>
      <c r="B3716" t="str">
        <f t="shared" si="213"/>
        <v>1</v>
      </c>
      <c r="C3716" t="str">
        <f t="shared" si="214"/>
        <v>162</v>
      </c>
      <c r="D3716" t="str">
        <f>"6"</f>
        <v>6</v>
      </c>
      <c r="E3716" t="str">
        <f>"1-162-6"</f>
        <v>1-162-6</v>
      </c>
      <c r="F3716" t="s">
        <v>83</v>
      </c>
      <c r="G3716" t="s">
        <v>84</v>
      </c>
      <c r="H3716" t="s">
        <v>85</v>
      </c>
      <c r="AC3716">
        <v>0</v>
      </c>
      <c r="AD3716">
        <v>1</v>
      </c>
      <c r="AE3716">
        <v>0</v>
      </c>
      <c r="AF3716">
        <v>0</v>
      </c>
      <c r="AG3716">
        <v>0</v>
      </c>
      <c r="AJ3716">
        <v>1</v>
      </c>
      <c r="AK3716">
        <v>0</v>
      </c>
      <c r="AL3716">
        <v>0</v>
      </c>
      <c r="AM3716">
        <v>1</v>
      </c>
      <c r="AN3716">
        <v>0</v>
      </c>
      <c r="AO3716">
        <v>1</v>
      </c>
      <c r="AP3716">
        <v>1</v>
      </c>
      <c r="AQ3716">
        <v>1</v>
      </c>
      <c r="AR3716">
        <v>1</v>
      </c>
      <c r="AS3716">
        <v>0</v>
      </c>
      <c r="AT3716">
        <v>1</v>
      </c>
      <c r="AV3716">
        <v>1</v>
      </c>
      <c r="AW3716">
        <v>1</v>
      </c>
    </row>
    <row r="3717" spans="1:49" x14ac:dyDescent="0.25">
      <c r="A3717" t="str">
        <f>"3713"</f>
        <v>3713</v>
      </c>
      <c r="B3717" t="str">
        <f t="shared" si="213"/>
        <v>1</v>
      </c>
      <c r="C3717" t="str">
        <f t="shared" si="214"/>
        <v>162</v>
      </c>
      <c r="D3717" t="str">
        <f>"20"</f>
        <v>20</v>
      </c>
      <c r="E3717" t="str">
        <f>"1-162-20"</f>
        <v>1-162-20</v>
      </c>
      <c r="F3717" t="s">
        <v>83</v>
      </c>
      <c r="G3717" t="s">
        <v>84</v>
      </c>
      <c r="H3717" t="s">
        <v>85</v>
      </c>
      <c r="AC3717">
        <v>0</v>
      </c>
      <c r="AD3717">
        <v>0</v>
      </c>
      <c r="AE3717">
        <v>0</v>
      </c>
      <c r="AF3717">
        <v>0</v>
      </c>
      <c r="AG3717">
        <v>1</v>
      </c>
      <c r="AJ3717">
        <v>0</v>
      </c>
      <c r="AK3717">
        <v>0</v>
      </c>
      <c r="AL3717">
        <v>0</v>
      </c>
      <c r="AM3717">
        <v>0</v>
      </c>
      <c r="AN3717">
        <v>0</v>
      </c>
      <c r="AO3717">
        <v>1</v>
      </c>
      <c r="AP3717">
        <v>1</v>
      </c>
      <c r="AQ3717">
        <v>1</v>
      </c>
      <c r="AR3717">
        <v>1</v>
      </c>
      <c r="AS3717">
        <v>0</v>
      </c>
      <c r="AT3717">
        <v>0</v>
      </c>
      <c r="AV3717">
        <v>1</v>
      </c>
      <c r="AW3717">
        <v>1</v>
      </c>
    </row>
    <row r="3718" spans="1:49" x14ac:dyDescent="0.25">
      <c r="A3718" t="str">
        <f>"3714"</f>
        <v>3714</v>
      </c>
      <c r="B3718" t="str">
        <f t="shared" si="213"/>
        <v>1</v>
      </c>
      <c r="C3718" t="str">
        <f t="shared" si="214"/>
        <v>162</v>
      </c>
      <c r="D3718" t="str">
        <f>"2"</f>
        <v>2</v>
      </c>
      <c r="E3718" t="str">
        <f>"1-162-2"</f>
        <v>1-162-2</v>
      </c>
      <c r="F3718" t="s">
        <v>83</v>
      </c>
      <c r="G3718" t="s">
        <v>84</v>
      </c>
      <c r="H3718" t="s">
        <v>85</v>
      </c>
      <c r="AC3718">
        <v>1</v>
      </c>
      <c r="AD3718">
        <v>0</v>
      </c>
      <c r="AE3718">
        <v>0</v>
      </c>
      <c r="AF3718">
        <v>0</v>
      </c>
      <c r="AG3718">
        <v>0</v>
      </c>
      <c r="AJ3718">
        <v>1</v>
      </c>
      <c r="AK3718">
        <v>0</v>
      </c>
      <c r="AL3718">
        <v>0</v>
      </c>
      <c r="AM3718">
        <v>1</v>
      </c>
      <c r="AN3718">
        <v>0</v>
      </c>
      <c r="AO3718">
        <v>0</v>
      </c>
      <c r="AP3718">
        <v>0</v>
      </c>
      <c r="AQ3718">
        <v>0</v>
      </c>
      <c r="AR3718">
        <v>0</v>
      </c>
      <c r="AS3718">
        <v>1</v>
      </c>
      <c r="AT3718">
        <v>0</v>
      </c>
      <c r="AV3718">
        <v>0</v>
      </c>
      <c r="AW3718">
        <v>0</v>
      </c>
    </row>
    <row r="3719" spans="1:49" x14ac:dyDescent="0.25">
      <c r="A3719" t="str">
        <f>"3715"</f>
        <v>3715</v>
      </c>
      <c r="B3719" t="str">
        <f t="shared" si="213"/>
        <v>1</v>
      </c>
      <c r="C3719" t="str">
        <f t="shared" si="214"/>
        <v>162</v>
      </c>
      <c r="D3719" t="str">
        <f>"1"</f>
        <v>1</v>
      </c>
      <c r="E3719" t="str">
        <f>"1-162-1"</f>
        <v>1-162-1</v>
      </c>
      <c r="F3719" t="s">
        <v>83</v>
      </c>
      <c r="G3719" t="s">
        <v>84</v>
      </c>
      <c r="H3719" t="s">
        <v>85</v>
      </c>
      <c r="AC3719">
        <v>0</v>
      </c>
      <c r="AD3719">
        <v>1</v>
      </c>
      <c r="AE3719">
        <v>0</v>
      </c>
      <c r="AF3719">
        <v>0</v>
      </c>
      <c r="AG3719">
        <v>1</v>
      </c>
      <c r="AJ3719">
        <v>1</v>
      </c>
      <c r="AK3719">
        <v>0</v>
      </c>
      <c r="AL3719">
        <v>0</v>
      </c>
      <c r="AM3719">
        <v>0</v>
      </c>
      <c r="AN3719">
        <v>1</v>
      </c>
      <c r="AO3719">
        <v>1</v>
      </c>
      <c r="AP3719">
        <v>1</v>
      </c>
      <c r="AQ3719">
        <v>1</v>
      </c>
      <c r="AR3719">
        <v>1</v>
      </c>
      <c r="AS3719">
        <v>1</v>
      </c>
      <c r="AT3719">
        <v>0</v>
      </c>
      <c r="AV3719">
        <v>1</v>
      </c>
      <c r="AW3719">
        <v>1</v>
      </c>
    </row>
    <row r="3720" spans="1:49" x14ac:dyDescent="0.25">
      <c r="A3720" t="str">
        <f>"3716"</f>
        <v>3716</v>
      </c>
      <c r="B3720" t="str">
        <f t="shared" si="213"/>
        <v>1</v>
      </c>
      <c r="C3720" t="str">
        <f t="shared" ref="C3720:C3744" si="215">"163"</f>
        <v>163</v>
      </c>
      <c r="D3720" t="str">
        <f>"25"</f>
        <v>25</v>
      </c>
      <c r="E3720" t="str">
        <f>"1-163-25"</f>
        <v>1-163-25</v>
      </c>
      <c r="F3720" t="s">
        <v>83</v>
      </c>
      <c r="G3720" t="s">
        <v>84</v>
      </c>
      <c r="H3720" t="s">
        <v>85</v>
      </c>
      <c r="AC3720">
        <v>1</v>
      </c>
      <c r="AD3720">
        <v>0</v>
      </c>
      <c r="AE3720">
        <v>0</v>
      </c>
      <c r="AF3720">
        <v>0</v>
      </c>
      <c r="AG3720">
        <v>1</v>
      </c>
      <c r="AJ3720">
        <v>1</v>
      </c>
      <c r="AK3720">
        <v>0</v>
      </c>
      <c r="AL3720">
        <v>1</v>
      </c>
      <c r="AM3720">
        <v>0</v>
      </c>
      <c r="AN3720">
        <v>0</v>
      </c>
      <c r="AO3720">
        <v>1</v>
      </c>
      <c r="AP3720">
        <v>1</v>
      </c>
      <c r="AQ3720">
        <v>1</v>
      </c>
      <c r="AR3720">
        <v>1</v>
      </c>
      <c r="AS3720">
        <v>1</v>
      </c>
      <c r="AT3720">
        <v>0</v>
      </c>
      <c r="AV3720">
        <v>1</v>
      </c>
      <c r="AW3720">
        <v>1</v>
      </c>
    </row>
    <row r="3721" spans="1:49" x14ac:dyDescent="0.25">
      <c r="A3721" t="str">
        <f>"3717"</f>
        <v>3717</v>
      </c>
      <c r="B3721" t="str">
        <f t="shared" si="213"/>
        <v>1</v>
      </c>
      <c r="C3721" t="str">
        <f t="shared" si="215"/>
        <v>163</v>
      </c>
      <c r="D3721" t="str">
        <f>"24"</f>
        <v>24</v>
      </c>
      <c r="E3721" t="str">
        <f>"1-163-24"</f>
        <v>1-163-24</v>
      </c>
      <c r="F3721" t="s">
        <v>83</v>
      </c>
      <c r="G3721" t="s">
        <v>84</v>
      </c>
      <c r="H3721" t="s">
        <v>85</v>
      </c>
      <c r="AC3721">
        <v>1</v>
      </c>
      <c r="AD3721">
        <v>0</v>
      </c>
      <c r="AE3721">
        <v>0</v>
      </c>
      <c r="AF3721">
        <v>0</v>
      </c>
      <c r="AG3721">
        <v>1</v>
      </c>
      <c r="AJ3721">
        <v>1</v>
      </c>
      <c r="AK3721">
        <v>0</v>
      </c>
      <c r="AL3721">
        <v>1</v>
      </c>
      <c r="AM3721">
        <v>0</v>
      </c>
      <c r="AN3721">
        <v>0</v>
      </c>
      <c r="AO3721">
        <v>1</v>
      </c>
      <c r="AP3721">
        <v>1</v>
      </c>
      <c r="AQ3721">
        <v>1</v>
      </c>
      <c r="AR3721">
        <v>1</v>
      </c>
      <c r="AS3721">
        <v>0</v>
      </c>
      <c r="AT3721">
        <v>1</v>
      </c>
      <c r="AV3721">
        <v>1</v>
      </c>
      <c r="AW3721">
        <v>1</v>
      </c>
    </row>
    <row r="3722" spans="1:49" x14ac:dyDescent="0.25">
      <c r="A3722" t="str">
        <f>"3718"</f>
        <v>3718</v>
      </c>
      <c r="B3722" t="str">
        <f t="shared" si="213"/>
        <v>1</v>
      </c>
      <c r="C3722" t="str">
        <f t="shared" si="215"/>
        <v>163</v>
      </c>
      <c r="D3722" t="str">
        <f>"16"</f>
        <v>16</v>
      </c>
      <c r="E3722" t="str">
        <f>"1-163-16"</f>
        <v>1-163-16</v>
      </c>
      <c r="F3722" t="s">
        <v>83</v>
      </c>
      <c r="G3722" t="s">
        <v>86</v>
      </c>
      <c r="H3722" t="s">
        <v>87</v>
      </c>
      <c r="AC3722">
        <v>0</v>
      </c>
      <c r="AD3722">
        <v>0</v>
      </c>
      <c r="AE3722">
        <v>0</v>
      </c>
      <c r="AF3722">
        <v>0</v>
      </c>
      <c r="AH3722">
        <v>0</v>
      </c>
      <c r="AI3722">
        <v>1</v>
      </c>
      <c r="AJ3722">
        <v>0</v>
      </c>
      <c r="AK3722">
        <v>0</v>
      </c>
      <c r="AL3722">
        <v>0</v>
      </c>
      <c r="AM3722">
        <v>0</v>
      </c>
      <c r="AN3722">
        <v>0</v>
      </c>
      <c r="AO3722">
        <v>0</v>
      </c>
      <c r="AP3722">
        <v>0</v>
      </c>
      <c r="AQ3722">
        <v>0</v>
      </c>
      <c r="AU3722">
        <v>0</v>
      </c>
      <c r="AV3722">
        <v>0</v>
      </c>
      <c r="AW3722">
        <v>0</v>
      </c>
    </row>
    <row r="3723" spans="1:49" x14ac:dyDescent="0.25">
      <c r="A3723" t="str">
        <f>"3719"</f>
        <v>3719</v>
      </c>
      <c r="B3723" t="str">
        <f t="shared" si="213"/>
        <v>1</v>
      </c>
      <c r="C3723" t="str">
        <f t="shared" si="215"/>
        <v>163</v>
      </c>
      <c r="D3723" t="str">
        <f>"8"</f>
        <v>8</v>
      </c>
      <c r="E3723" t="str">
        <f>"1-163-8"</f>
        <v>1-163-8</v>
      </c>
      <c r="F3723" t="s">
        <v>83</v>
      </c>
      <c r="G3723" t="s">
        <v>84</v>
      </c>
      <c r="H3723" t="s">
        <v>85</v>
      </c>
      <c r="AC3723">
        <v>1</v>
      </c>
      <c r="AD3723">
        <v>0</v>
      </c>
      <c r="AE3723">
        <v>0</v>
      </c>
      <c r="AF3723">
        <v>0</v>
      </c>
      <c r="AG3723">
        <v>1</v>
      </c>
      <c r="AJ3723">
        <v>0</v>
      </c>
      <c r="AK3723">
        <v>1</v>
      </c>
      <c r="AL3723">
        <v>0</v>
      </c>
      <c r="AM3723">
        <v>0</v>
      </c>
      <c r="AN3723">
        <v>1</v>
      </c>
      <c r="AO3723">
        <v>1</v>
      </c>
      <c r="AP3723">
        <v>1</v>
      </c>
      <c r="AQ3723">
        <v>1</v>
      </c>
      <c r="AR3723">
        <v>1</v>
      </c>
      <c r="AS3723">
        <v>0</v>
      </c>
      <c r="AT3723">
        <v>1</v>
      </c>
      <c r="AV3723">
        <v>1</v>
      </c>
      <c r="AW3723">
        <v>1</v>
      </c>
    </row>
    <row r="3724" spans="1:49" x14ac:dyDescent="0.25">
      <c r="A3724" t="str">
        <f>"3720"</f>
        <v>3720</v>
      </c>
      <c r="B3724" t="str">
        <f t="shared" si="213"/>
        <v>1</v>
      </c>
      <c r="C3724" t="str">
        <f t="shared" si="215"/>
        <v>163</v>
      </c>
      <c r="D3724" t="str">
        <f>"4"</f>
        <v>4</v>
      </c>
      <c r="E3724" t="str">
        <f>"1-163-4"</f>
        <v>1-163-4</v>
      </c>
      <c r="F3724" t="s">
        <v>83</v>
      </c>
      <c r="G3724" t="s">
        <v>86</v>
      </c>
      <c r="H3724" t="s">
        <v>87</v>
      </c>
      <c r="AC3724">
        <v>1</v>
      </c>
      <c r="AD3724">
        <v>0</v>
      </c>
      <c r="AE3724">
        <v>0</v>
      </c>
      <c r="AF3724">
        <v>0</v>
      </c>
      <c r="AH3724">
        <v>1</v>
      </c>
      <c r="AI3724">
        <v>0</v>
      </c>
      <c r="AJ3724">
        <v>1</v>
      </c>
      <c r="AK3724">
        <v>0</v>
      </c>
      <c r="AL3724">
        <v>1</v>
      </c>
      <c r="AM3724">
        <v>0</v>
      </c>
      <c r="AN3724">
        <v>0</v>
      </c>
      <c r="AO3724">
        <v>1</v>
      </c>
      <c r="AP3724">
        <v>1</v>
      </c>
      <c r="AQ3724">
        <v>1</v>
      </c>
      <c r="AU3724">
        <v>1</v>
      </c>
      <c r="AV3724">
        <v>1</v>
      </c>
      <c r="AW3724">
        <v>1</v>
      </c>
    </row>
    <row r="3725" spans="1:49" x14ac:dyDescent="0.25">
      <c r="A3725" t="str">
        <f>"3721"</f>
        <v>3721</v>
      </c>
      <c r="B3725" t="str">
        <f t="shared" si="213"/>
        <v>1</v>
      </c>
      <c r="C3725" t="str">
        <f t="shared" si="215"/>
        <v>163</v>
      </c>
      <c r="D3725" t="str">
        <f>"23"</f>
        <v>23</v>
      </c>
      <c r="E3725" t="str">
        <f>"1-163-23"</f>
        <v>1-163-23</v>
      </c>
      <c r="F3725" t="s">
        <v>83</v>
      </c>
      <c r="G3725" t="s">
        <v>84</v>
      </c>
      <c r="H3725" t="s">
        <v>85</v>
      </c>
      <c r="AC3725">
        <v>1</v>
      </c>
      <c r="AD3725">
        <v>0</v>
      </c>
      <c r="AE3725">
        <v>0</v>
      </c>
      <c r="AF3725">
        <v>0</v>
      </c>
      <c r="AG3725">
        <v>1</v>
      </c>
      <c r="AJ3725">
        <v>1</v>
      </c>
      <c r="AK3725">
        <v>0</v>
      </c>
      <c r="AL3725">
        <v>0</v>
      </c>
      <c r="AM3725">
        <v>0</v>
      </c>
      <c r="AN3725">
        <v>1</v>
      </c>
      <c r="AO3725">
        <v>1</v>
      </c>
      <c r="AP3725">
        <v>1</v>
      </c>
      <c r="AQ3725">
        <v>1</v>
      </c>
      <c r="AR3725">
        <v>1</v>
      </c>
      <c r="AS3725">
        <v>1</v>
      </c>
      <c r="AT3725">
        <v>0</v>
      </c>
      <c r="AV3725">
        <v>1</v>
      </c>
      <c r="AW3725">
        <v>1</v>
      </c>
    </row>
    <row r="3726" spans="1:49" x14ac:dyDescent="0.25">
      <c r="A3726" t="str">
        <f>"3722"</f>
        <v>3722</v>
      </c>
      <c r="B3726" t="str">
        <f t="shared" si="213"/>
        <v>1</v>
      </c>
      <c r="C3726" t="str">
        <f t="shared" si="215"/>
        <v>163</v>
      </c>
      <c r="D3726" t="str">
        <f>"22"</f>
        <v>22</v>
      </c>
      <c r="E3726" t="str">
        <f>"1-163-22"</f>
        <v>1-163-22</v>
      </c>
      <c r="F3726" t="s">
        <v>83</v>
      </c>
      <c r="G3726" t="s">
        <v>84</v>
      </c>
      <c r="H3726" t="s">
        <v>85</v>
      </c>
      <c r="AC3726">
        <v>0</v>
      </c>
      <c r="AD3726">
        <v>1</v>
      </c>
      <c r="AE3726">
        <v>0</v>
      </c>
      <c r="AF3726">
        <v>0</v>
      </c>
      <c r="AG3726">
        <v>1</v>
      </c>
      <c r="AJ3726">
        <v>1</v>
      </c>
      <c r="AK3726">
        <v>0</v>
      </c>
      <c r="AL3726">
        <v>1</v>
      </c>
      <c r="AM3726">
        <v>0</v>
      </c>
      <c r="AN3726">
        <v>0</v>
      </c>
      <c r="AO3726">
        <v>1</v>
      </c>
      <c r="AP3726">
        <v>1</v>
      </c>
      <c r="AQ3726">
        <v>1</v>
      </c>
      <c r="AR3726">
        <v>1</v>
      </c>
      <c r="AS3726">
        <v>0</v>
      </c>
      <c r="AT3726">
        <v>1</v>
      </c>
      <c r="AV3726">
        <v>1</v>
      </c>
      <c r="AW3726">
        <v>1</v>
      </c>
    </row>
    <row r="3727" spans="1:49" x14ac:dyDescent="0.25">
      <c r="A3727" t="str">
        <f>"3723"</f>
        <v>3723</v>
      </c>
      <c r="B3727" t="str">
        <f t="shared" si="213"/>
        <v>1</v>
      </c>
      <c r="C3727" t="str">
        <f t="shared" si="215"/>
        <v>163</v>
      </c>
      <c r="D3727" t="str">
        <f>"15"</f>
        <v>15</v>
      </c>
      <c r="E3727" t="str">
        <f>"1-163-15"</f>
        <v>1-163-15</v>
      </c>
      <c r="F3727" t="s">
        <v>83</v>
      </c>
      <c r="G3727" t="s">
        <v>86</v>
      </c>
      <c r="H3727" t="s">
        <v>87</v>
      </c>
      <c r="AC3727">
        <v>0</v>
      </c>
      <c r="AD3727">
        <v>1</v>
      </c>
      <c r="AE3727">
        <v>0</v>
      </c>
      <c r="AF3727">
        <v>0</v>
      </c>
      <c r="AH3727">
        <v>0</v>
      </c>
      <c r="AI3727">
        <v>1</v>
      </c>
      <c r="AJ3727">
        <v>0</v>
      </c>
      <c r="AK3727">
        <v>1</v>
      </c>
      <c r="AL3727">
        <v>0</v>
      </c>
      <c r="AM3727">
        <v>0</v>
      </c>
      <c r="AN3727">
        <v>1</v>
      </c>
      <c r="AO3727">
        <v>1</v>
      </c>
      <c r="AP3727">
        <v>1</v>
      </c>
      <c r="AQ3727">
        <v>1</v>
      </c>
      <c r="AU3727">
        <v>1</v>
      </c>
      <c r="AV3727">
        <v>1</v>
      </c>
      <c r="AW3727">
        <v>1</v>
      </c>
    </row>
    <row r="3728" spans="1:49" x14ac:dyDescent="0.25">
      <c r="A3728" t="str">
        <f>"3724"</f>
        <v>3724</v>
      </c>
      <c r="B3728" t="str">
        <f t="shared" si="213"/>
        <v>1</v>
      </c>
      <c r="C3728" t="str">
        <f t="shared" si="215"/>
        <v>163</v>
      </c>
      <c r="D3728" t="str">
        <f>"9"</f>
        <v>9</v>
      </c>
      <c r="E3728" t="str">
        <f>"1-163-9"</f>
        <v>1-163-9</v>
      </c>
      <c r="F3728" t="s">
        <v>83</v>
      </c>
      <c r="G3728" t="s">
        <v>86</v>
      </c>
      <c r="H3728" t="s">
        <v>87</v>
      </c>
      <c r="AC3728">
        <v>1</v>
      </c>
      <c r="AD3728">
        <v>0</v>
      </c>
      <c r="AE3728">
        <v>0</v>
      </c>
      <c r="AF3728">
        <v>0</v>
      </c>
      <c r="AH3728">
        <v>1</v>
      </c>
      <c r="AI3728">
        <v>0</v>
      </c>
      <c r="AJ3728">
        <v>1</v>
      </c>
      <c r="AK3728">
        <v>0</v>
      </c>
      <c r="AL3728">
        <v>0</v>
      </c>
      <c r="AM3728">
        <v>1</v>
      </c>
      <c r="AN3728">
        <v>0</v>
      </c>
      <c r="AO3728">
        <v>1</v>
      </c>
      <c r="AP3728">
        <v>1</v>
      </c>
      <c r="AQ3728">
        <v>1</v>
      </c>
      <c r="AU3728">
        <v>1</v>
      </c>
      <c r="AV3728">
        <v>1</v>
      </c>
      <c r="AW3728">
        <v>1</v>
      </c>
    </row>
    <row r="3729" spans="1:49" x14ac:dyDescent="0.25">
      <c r="A3729" t="str">
        <f>"3725"</f>
        <v>3725</v>
      </c>
      <c r="B3729" t="str">
        <f t="shared" si="213"/>
        <v>1</v>
      </c>
      <c r="C3729" t="str">
        <f t="shared" si="215"/>
        <v>163</v>
      </c>
      <c r="D3729" t="str">
        <f>"5"</f>
        <v>5</v>
      </c>
      <c r="E3729" t="str">
        <f>"1-163-5"</f>
        <v>1-163-5</v>
      </c>
      <c r="F3729" t="s">
        <v>83</v>
      </c>
      <c r="G3729" t="s">
        <v>86</v>
      </c>
      <c r="H3729" t="s">
        <v>87</v>
      </c>
      <c r="AC3729">
        <v>1</v>
      </c>
      <c r="AD3729">
        <v>0</v>
      </c>
      <c r="AE3729">
        <v>0</v>
      </c>
      <c r="AF3729">
        <v>0</v>
      </c>
      <c r="AH3729">
        <v>1</v>
      </c>
      <c r="AI3729">
        <v>0</v>
      </c>
      <c r="AJ3729">
        <v>1</v>
      </c>
      <c r="AK3729">
        <v>0</v>
      </c>
      <c r="AL3729">
        <v>1</v>
      </c>
      <c r="AM3729">
        <v>0</v>
      </c>
      <c r="AN3729">
        <v>0</v>
      </c>
      <c r="AO3729">
        <v>1</v>
      </c>
      <c r="AP3729">
        <v>1</v>
      </c>
      <c r="AQ3729">
        <v>1</v>
      </c>
      <c r="AU3729">
        <v>1</v>
      </c>
      <c r="AV3729">
        <v>1</v>
      </c>
      <c r="AW3729">
        <v>1</v>
      </c>
    </row>
    <row r="3730" spans="1:49" x14ac:dyDescent="0.25">
      <c r="A3730" t="str">
        <f>"3726"</f>
        <v>3726</v>
      </c>
      <c r="B3730" t="str">
        <f t="shared" si="213"/>
        <v>1</v>
      </c>
      <c r="C3730" t="str">
        <f t="shared" si="215"/>
        <v>163</v>
      </c>
      <c r="D3730" t="str">
        <f>"17"</f>
        <v>17</v>
      </c>
      <c r="E3730" t="str">
        <f>"1-163-17"</f>
        <v>1-163-17</v>
      </c>
      <c r="F3730" t="s">
        <v>83</v>
      </c>
      <c r="G3730" t="s">
        <v>84</v>
      </c>
      <c r="H3730" t="s">
        <v>85</v>
      </c>
      <c r="AC3730">
        <v>1</v>
      </c>
      <c r="AD3730">
        <v>0</v>
      </c>
      <c r="AE3730">
        <v>0</v>
      </c>
      <c r="AF3730">
        <v>0</v>
      </c>
      <c r="AG3730">
        <v>1</v>
      </c>
      <c r="AJ3730">
        <v>0</v>
      </c>
      <c r="AK3730">
        <v>1</v>
      </c>
      <c r="AL3730">
        <v>0</v>
      </c>
      <c r="AM3730">
        <v>0</v>
      </c>
      <c r="AN3730">
        <v>1</v>
      </c>
      <c r="AO3730">
        <v>1</v>
      </c>
      <c r="AP3730">
        <v>1</v>
      </c>
      <c r="AQ3730">
        <v>1</v>
      </c>
      <c r="AR3730">
        <v>1</v>
      </c>
      <c r="AS3730">
        <v>0</v>
      </c>
      <c r="AT3730">
        <v>1</v>
      </c>
      <c r="AV3730">
        <v>1</v>
      </c>
      <c r="AW3730">
        <v>1</v>
      </c>
    </row>
    <row r="3731" spans="1:49" x14ac:dyDescent="0.25">
      <c r="A3731" t="str">
        <f>"3727"</f>
        <v>3727</v>
      </c>
      <c r="B3731" t="str">
        <f t="shared" si="213"/>
        <v>1</v>
      </c>
      <c r="C3731" t="str">
        <f t="shared" si="215"/>
        <v>163</v>
      </c>
      <c r="D3731" t="str">
        <f>"10"</f>
        <v>10</v>
      </c>
      <c r="E3731" t="str">
        <f>"1-163-10"</f>
        <v>1-163-10</v>
      </c>
      <c r="F3731" t="s">
        <v>83</v>
      </c>
      <c r="G3731" t="s">
        <v>86</v>
      </c>
      <c r="H3731" t="s">
        <v>87</v>
      </c>
      <c r="AC3731">
        <v>0</v>
      </c>
      <c r="AD3731">
        <v>1</v>
      </c>
      <c r="AE3731">
        <v>0</v>
      </c>
      <c r="AF3731">
        <v>0</v>
      </c>
      <c r="AH3731">
        <v>1</v>
      </c>
      <c r="AI3731">
        <v>0</v>
      </c>
      <c r="AJ3731">
        <v>1</v>
      </c>
      <c r="AK3731">
        <v>0</v>
      </c>
      <c r="AL3731">
        <v>0</v>
      </c>
      <c r="AM3731">
        <v>0</v>
      </c>
      <c r="AN3731">
        <v>1</v>
      </c>
      <c r="AO3731">
        <v>1</v>
      </c>
      <c r="AP3731">
        <v>1</v>
      </c>
      <c r="AQ3731">
        <v>1</v>
      </c>
      <c r="AU3731">
        <v>1</v>
      </c>
      <c r="AV3731">
        <v>1</v>
      </c>
      <c r="AW3731">
        <v>0</v>
      </c>
    </row>
    <row r="3732" spans="1:49" x14ac:dyDescent="0.25">
      <c r="A3732" t="str">
        <f>"3728"</f>
        <v>3728</v>
      </c>
      <c r="B3732" t="str">
        <f t="shared" si="213"/>
        <v>1</v>
      </c>
      <c r="C3732" t="str">
        <f t="shared" si="215"/>
        <v>163</v>
      </c>
      <c r="D3732" t="str">
        <f>"1"</f>
        <v>1</v>
      </c>
      <c r="E3732" t="str">
        <f>"1-163-1"</f>
        <v>1-163-1</v>
      </c>
      <c r="F3732" t="s">
        <v>83</v>
      </c>
      <c r="G3732" t="s">
        <v>86</v>
      </c>
      <c r="H3732" t="s">
        <v>87</v>
      </c>
      <c r="AC3732">
        <v>1</v>
      </c>
      <c r="AD3732">
        <v>0</v>
      </c>
      <c r="AE3732">
        <v>0</v>
      </c>
      <c r="AF3732">
        <v>0</v>
      </c>
      <c r="AH3732">
        <v>1</v>
      </c>
      <c r="AI3732">
        <v>0</v>
      </c>
      <c r="AJ3732">
        <v>1</v>
      </c>
      <c r="AK3732">
        <v>0</v>
      </c>
      <c r="AL3732">
        <v>1</v>
      </c>
      <c r="AM3732">
        <v>0</v>
      </c>
      <c r="AN3732">
        <v>0</v>
      </c>
      <c r="AO3732">
        <v>1</v>
      </c>
      <c r="AP3732">
        <v>1</v>
      </c>
      <c r="AQ3732">
        <v>1</v>
      </c>
      <c r="AU3732">
        <v>1</v>
      </c>
      <c r="AV3732">
        <v>1</v>
      </c>
      <c r="AW3732">
        <v>1</v>
      </c>
    </row>
    <row r="3733" spans="1:49" x14ac:dyDescent="0.25">
      <c r="A3733" t="str">
        <f>"3729"</f>
        <v>3729</v>
      </c>
      <c r="B3733" t="str">
        <f t="shared" si="213"/>
        <v>1</v>
      </c>
      <c r="C3733" t="str">
        <f t="shared" si="215"/>
        <v>163</v>
      </c>
      <c r="D3733" t="str">
        <f>"18"</f>
        <v>18</v>
      </c>
      <c r="E3733" t="str">
        <f>"1-163-18"</f>
        <v>1-163-18</v>
      </c>
      <c r="F3733" t="s">
        <v>83</v>
      </c>
      <c r="G3733" t="s">
        <v>84</v>
      </c>
      <c r="H3733" t="s">
        <v>85</v>
      </c>
      <c r="AC3733">
        <v>0</v>
      </c>
      <c r="AD3733">
        <v>1</v>
      </c>
      <c r="AE3733">
        <v>0</v>
      </c>
      <c r="AF3733">
        <v>0</v>
      </c>
      <c r="AG3733">
        <v>1</v>
      </c>
      <c r="AJ3733">
        <v>0</v>
      </c>
      <c r="AK3733">
        <v>1</v>
      </c>
      <c r="AL3733">
        <v>0</v>
      </c>
      <c r="AM3733">
        <v>0</v>
      </c>
      <c r="AN3733">
        <v>1</v>
      </c>
      <c r="AO3733">
        <v>1</v>
      </c>
      <c r="AP3733">
        <v>1</v>
      </c>
      <c r="AQ3733">
        <v>1</v>
      </c>
      <c r="AR3733">
        <v>1</v>
      </c>
      <c r="AS3733">
        <v>1</v>
      </c>
      <c r="AT3733">
        <v>0</v>
      </c>
      <c r="AV3733">
        <v>1</v>
      </c>
      <c r="AW3733">
        <v>1</v>
      </c>
    </row>
    <row r="3734" spans="1:49" x14ac:dyDescent="0.25">
      <c r="A3734" t="str">
        <f>"3730"</f>
        <v>3730</v>
      </c>
      <c r="B3734" t="str">
        <f t="shared" si="213"/>
        <v>1</v>
      </c>
      <c r="C3734" t="str">
        <f t="shared" si="215"/>
        <v>163</v>
      </c>
      <c r="D3734" t="str">
        <f>"11"</f>
        <v>11</v>
      </c>
      <c r="E3734" t="str">
        <f>"1-163-11"</f>
        <v>1-163-11</v>
      </c>
      <c r="F3734" t="s">
        <v>83</v>
      </c>
      <c r="G3734" t="s">
        <v>86</v>
      </c>
      <c r="H3734" t="s">
        <v>87</v>
      </c>
      <c r="AC3734">
        <v>1</v>
      </c>
      <c r="AD3734">
        <v>0</v>
      </c>
      <c r="AE3734">
        <v>0</v>
      </c>
      <c r="AF3734">
        <v>0</v>
      </c>
      <c r="AH3734">
        <v>1</v>
      </c>
      <c r="AI3734">
        <v>0</v>
      </c>
      <c r="AJ3734">
        <v>1</v>
      </c>
      <c r="AK3734">
        <v>0</v>
      </c>
      <c r="AL3734">
        <v>1</v>
      </c>
      <c r="AM3734">
        <v>0</v>
      </c>
      <c r="AN3734">
        <v>0</v>
      </c>
      <c r="AO3734">
        <v>0</v>
      </c>
      <c r="AP3734">
        <v>0</v>
      </c>
      <c r="AQ3734">
        <v>0</v>
      </c>
      <c r="AU3734">
        <v>0</v>
      </c>
      <c r="AV3734">
        <v>0</v>
      </c>
      <c r="AW3734">
        <v>0</v>
      </c>
    </row>
    <row r="3735" spans="1:49" x14ac:dyDescent="0.25">
      <c r="A3735" t="str">
        <f>"3731"</f>
        <v>3731</v>
      </c>
      <c r="B3735" t="str">
        <f t="shared" si="213"/>
        <v>1</v>
      </c>
      <c r="C3735" t="str">
        <f t="shared" si="215"/>
        <v>163</v>
      </c>
      <c r="D3735" t="str">
        <f>"7"</f>
        <v>7</v>
      </c>
      <c r="E3735" t="str">
        <f>"1-163-7"</f>
        <v>1-163-7</v>
      </c>
      <c r="F3735" t="s">
        <v>83</v>
      </c>
      <c r="G3735" t="s">
        <v>86</v>
      </c>
      <c r="H3735" t="s">
        <v>87</v>
      </c>
      <c r="AC3735">
        <v>0</v>
      </c>
      <c r="AD3735">
        <v>1</v>
      </c>
      <c r="AE3735">
        <v>0</v>
      </c>
      <c r="AF3735">
        <v>0</v>
      </c>
      <c r="AH3735">
        <v>0</v>
      </c>
      <c r="AI3735">
        <v>1</v>
      </c>
      <c r="AJ3735">
        <v>0</v>
      </c>
      <c r="AK3735">
        <v>1</v>
      </c>
      <c r="AL3735">
        <v>0</v>
      </c>
      <c r="AM3735">
        <v>1</v>
      </c>
      <c r="AN3735">
        <v>0</v>
      </c>
      <c r="AO3735">
        <v>1</v>
      </c>
      <c r="AP3735">
        <v>1</v>
      </c>
      <c r="AQ3735">
        <v>1</v>
      </c>
      <c r="AU3735">
        <v>1</v>
      </c>
      <c r="AV3735">
        <v>1</v>
      </c>
      <c r="AW3735">
        <v>1</v>
      </c>
    </row>
    <row r="3736" spans="1:49" x14ac:dyDescent="0.25">
      <c r="A3736" t="str">
        <f>"3732"</f>
        <v>3732</v>
      </c>
      <c r="B3736" t="str">
        <f t="shared" si="213"/>
        <v>1</v>
      </c>
      <c r="C3736" t="str">
        <f t="shared" si="215"/>
        <v>163</v>
      </c>
      <c r="D3736" t="str">
        <f>"19"</f>
        <v>19</v>
      </c>
      <c r="E3736" t="str">
        <f>"1-163-19"</f>
        <v>1-163-19</v>
      </c>
      <c r="F3736" t="s">
        <v>83</v>
      </c>
      <c r="G3736" t="s">
        <v>86</v>
      </c>
      <c r="H3736" t="s">
        <v>87</v>
      </c>
      <c r="AC3736">
        <v>0</v>
      </c>
      <c r="AD3736">
        <v>0</v>
      </c>
      <c r="AE3736">
        <v>0</v>
      </c>
      <c r="AF3736">
        <v>0</v>
      </c>
      <c r="AH3736">
        <v>0</v>
      </c>
      <c r="AI3736">
        <v>1</v>
      </c>
      <c r="AJ3736">
        <v>0</v>
      </c>
      <c r="AK3736">
        <v>0</v>
      </c>
      <c r="AL3736">
        <v>0</v>
      </c>
      <c r="AM3736">
        <v>0</v>
      </c>
      <c r="AN3736">
        <v>0</v>
      </c>
      <c r="AO3736">
        <v>0</v>
      </c>
      <c r="AP3736">
        <v>0</v>
      </c>
      <c r="AQ3736">
        <v>0</v>
      </c>
      <c r="AU3736">
        <v>0</v>
      </c>
      <c r="AV3736">
        <v>0</v>
      </c>
      <c r="AW3736">
        <v>0</v>
      </c>
    </row>
    <row r="3737" spans="1:49" x14ac:dyDescent="0.25">
      <c r="A3737" t="str">
        <f>"3733"</f>
        <v>3733</v>
      </c>
      <c r="B3737" t="str">
        <f t="shared" si="213"/>
        <v>1</v>
      </c>
      <c r="C3737" t="str">
        <f t="shared" si="215"/>
        <v>163</v>
      </c>
      <c r="D3737" t="str">
        <f>"12"</f>
        <v>12</v>
      </c>
      <c r="E3737" t="str">
        <f>"1-163-12"</f>
        <v>1-163-12</v>
      </c>
      <c r="F3737" t="s">
        <v>83</v>
      </c>
      <c r="G3737" t="s">
        <v>86</v>
      </c>
      <c r="H3737" t="s">
        <v>87</v>
      </c>
      <c r="AC3737">
        <v>1</v>
      </c>
      <c r="AD3737">
        <v>0</v>
      </c>
      <c r="AE3737">
        <v>0</v>
      </c>
      <c r="AF3737">
        <v>0</v>
      </c>
      <c r="AH3737">
        <v>1</v>
      </c>
      <c r="AI3737">
        <v>0</v>
      </c>
      <c r="AJ3737">
        <v>1</v>
      </c>
      <c r="AK3737">
        <v>0</v>
      </c>
      <c r="AL3737">
        <v>1</v>
      </c>
      <c r="AM3737">
        <v>0</v>
      </c>
      <c r="AN3737">
        <v>0</v>
      </c>
      <c r="AO3737">
        <v>1</v>
      </c>
      <c r="AP3737">
        <v>1</v>
      </c>
      <c r="AQ3737">
        <v>1</v>
      </c>
      <c r="AU3737">
        <v>1</v>
      </c>
      <c r="AV3737">
        <v>1</v>
      </c>
      <c r="AW3737">
        <v>1</v>
      </c>
    </row>
    <row r="3738" spans="1:49" x14ac:dyDescent="0.25">
      <c r="A3738" t="str">
        <f>"3734"</f>
        <v>3734</v>
      </c>
      <c r="B3738" t="str">
        <f t="shared" si="213"/>
        <v>1</v>
      </c>
      <c r="C3738" t="str">
        <f t="shared" si="215"/>
        <v>163</v>
      </c>
      <c r="D3738" t="str">
        <f>"2"</f>
        <v>2</v>
      </c>
      <c r="E3738" t="str">
        <f>"1-163-2"</f>
        <v>1-163-2</v>
      </c>
      <c r="F3738" t="s">
        <v>83</v>
      </c>
      <c r="G3738" t="s">
        <v>86</v>
      </c>
      <c r="H3738" t="s">
        <v>87</v>
      </c>
      <c r="AC3738">
        <v>0</v>
      </c>
      <c r="AD3738">
        <v>1</v>
      </c>
      <c r="AE3738">
        <v>0</v>
      </c>
      <c r="AF3738">
        <v>0</v>
      </c>
      <c r="AH3738">
        <v>1</v>
      </c>
      <c r="AI3738">
        <v>0</v>
      </c>
      <c r="AJ3738">
        <v>1</v>
      </c>
      <c r="AK3738">
        <v>0</v>
      </c>
      <c r="AL3738">
        <v>1</v>
      </c>
      <c r="AM3738">
        <v>0</v>
      </c>
      <c r="AN3738">
        <v>0</v>
      </c>
      <c r="AO3738">
        <v>1</v>
      </c>
      <c r="AP3738">
        <v>1</v>
      </c>
      <c r="AQ3738">
        <v>1</v>
      </c>
      <c r="AU3738">
        <v>1</v>
      </c>
      <c r="AV3738">
        <v>1</v>
      </c>
      <c r="AW3738">
        <v>1</v>
      </c>
    </row>
    <row r="3739" spans="1:49" x14ac:dyDescent="0.25">
      <c r="A3739" t="str">
        <f>"3735"</f>
        <v>3735</v>
      </c>
      <c r="B3739" t="str">
        <f t="shared" si="213"/>
        <v>1</v>
      </c>
      <c r="C3739" t="str">
        <f t="shared" si="215"/>
        <v>163</v>
      </c>
      <c r="D3739" t="str">
        <f>"20"</f>
        <v>20</v>
      </c>
      <c r="E3739" t="str">
        <f>"1-163-20"</f>
        <v>1-163-20</v>
      </c>
      <c r="F3739" t="s">
        <v>83</v>
      </c>
      <c r="G3739" t="s">
        <v>86</v>
      </c>
      <c r="H3739" t="s">
        <v>87</v>
      </c>
      <c r="AC3739">
        <v>0</v>
      </c>
      <c r="AD3739">
        <v>0</v>
      </c>
      <c r="AE3739">
        <v>0</v>
      </c>
      <c r="AF3739">
        <v>0</v>
      </c>
      <c r="AH3739">
        <v>1</v>
      </c>
      <c r="AI3739">
        <v>0</v>
      </c>
      <c r="AJ3739">
        <v>0</v>
      </c>
      <c r="AK3739">
        <v>0</v>
      </c>
      <c r="AL3739">
        <v>0</v>
      </c>
      <c r="AM3739">
        <v>0</v>
      </c>
      <c r="AN3739">
        <v>0</v>
      </c>
      <c r="AO3739">
        <v>0</v>
      </c>
      <c r="AP3739">
        <v>0</v>
      </c>
      <c r="AQ3739">
        <v>0</v>
      </c>
      <c r="AU3739">
        <v>0</v>
      </c>
      <c r="AV3739">
        <v>0</v>
      </c>
      <c r="AW3739">
        <v>0</v>
      </c>
    </row>
    <row r="3740" spans="1:49" x14ac:dyDescent="0.25">
      <c r="A3740" t="str">
        <f>"3736"</f>
        <v>3736</v>
      </c>
      <c r="B3740" t="str">
        <f t="shared" si="213"/>
        <v>1</v>
      </c>
      <c r="C3740" t="str">
        <f t="shared" si="215"/>
        <v>163</v>
      </c>
      <c r="D3740" t="str">
        <f>"13"</f>
        <v>13</v>
      </c>
      <c r="E3740" t="str">
        <f>"1-163-13"</f>
        <v>1-163-13</v>
      </c>
      <c r="F3740" t="s">
        <v>83</v>
      </c>
      <c r="G3740" t="s">
        <v>86</v>
      </c>
      <c r="H3740" t="s">
        <v>87</v>
      </c>
      <c r="AC3740">
        <v>0</v>
      </c>
      <c r="AD3740">
        <v>1</v>
      </c>
      <c r="AE3740">
        <v>0</v>
      </c>
      <c r="AF3740">
        <v>0</v>
      </c>
      <c r="AH3740">
        <v>1</v>
      </c>
      <c r="AI3740">
        <v>0</v>
      </c>
      <c r="AJ3740">
        <v>0</v>
      </c>
      <c r="AK3740">
        <v>1</v>
      </c>
      <c r="AL3740">
        <v>1</v>
      </c>
      <c r="AM3740">
        <v>0</v>
      </c>
      <c r="AN3740">
        <v>0</v>
      </c>
      <c r="AO3740">
        <v>1</v>
      </c>
      <c r="AP3740">
        <v>1</v>
      </c>
      <c r="AQ3740">
        <v>1</v>
      </c>
      <c r="AU3740">
        <v>1</v>
      </c>
      <c r="AV3740">
        <v>1</v>
      </c>
      <c r="AW3740">
        <v>1</v>
      </c>
    </row>
    <row r="3741" spans="1:49" x14ac:dyDescent="0.25">
      <c r="A3741" t="str">
        <f>"3737"</f>
        <v>3737</v>
      </c>
      <c r="B3741" t="str">
        <f t="shared" si="213"/>
        <v>1</v>
      </c>
      <c r="C3741" t="str">
        <f t="shared" si="215"/>
        <v>163</v>
      </c>
      <c r="D3741" t="str">
        <f>"6"</f>
        <v>6</v>
      </c>
      <c r="E3741" t="str">
        <f>"1-163-6"</f>
        <v>1-163-6</v>
      </c>
      <c r="F3741" t="s">
        <v>83</v>
      </c>
      <c r="G3741" t="s">
        <v>86</v>
      </c>
      <c r="H3741" t="s">
        <v>87</v>
      </c>
      <c r="AC3741">
        <v>0</v>
      </c>
      <c r="AD3741">
        <v>1</v>
      </c>
      <c r="AE3741">
        <v>0</v>
      </c>
      <c r="AF3741">
        <v>0</v>
      </c>
      <c r="AH3741">
        <v>0</v>
      </c>
      <c r="AI3741">
        <v>1</v>
      </c>
      <c r="AJ3741">
        <v>0</v>
      </c>
      <c r="AK3741">
        <v>1</v>
      </c>
      <c r="AL3741">
        <v>0</v>
      </c>
      <c r="AM3741">
        <v>1</v>
      </c>
      <c r="AN3741">
        <v>0</v>
      </c>
      <c r="AO3741">
        <v>1</v>
      </c>
      <c r="AP3741">
        <v>1</v>
      </c>
      <c r="AQ3741">
        <v>1</v>
      </c>
      <c r="AU3741">
        <v>1</v>
      </c>
      <c r="AV3741">
        <v>1</v>
      </c>
      <c r="AW3741">
        <v>1</v>
      </c>
    </row>
    <row r="3742" spans="1:49" x14ac:dyDescent="0.25">
      <c r="A3742" t="str">
        <f>"3738"</f>
        <v>3738</v>
      </c>
      <c r="B3742" t="str">
        <f t="shared" ref="B3742:B3805" si="216">"1"</f>
        <v>1</v>
      </c>
      <c r="C3742" t="str">
        <f t="shared" si="215"/>
        <v>163</v>
      </c>
      <c r="D3742" t="str">
        <f>"21"</f>
        <v>21</v>
      </c>
      <c r="E3742" t="str">
        <f>"1-163-21"</f>
        <v>1-163-21</v>
      </c>
      <c r="F3742" t="s">
        <v>83</v>
      </c>
      <c r="G3742" t="s">
        <v>84</v>
      </c>
      <c r="H3742" t="s">
        <v>85</v>
      </c>
      <c r="AC3742">
        <v>0</v>
      </c>
      <c r="AD3742">
        <v>1</v>
      </c>
      <c r="AE3742">
        <v>0</v>
      </c>
      <c r="AF3742">
        <v>0</v>
      </c>
      <c r="AG3742">
        <v>1</v>
      </c>
      <c r="AJ3742">
        <v>0</v>
      </c>
      <c r="AK3742">
        <v>1</v>
      </c>
      <c r="AL3742">
        <v>0</v>
      </c>
      <c r="AM3742">
        <v>0</v>
      </c>
      <c r="AN3742">
        <v>1</v>
      </c>
      <c r="AO3742">
        <v>1</v>
      </c>
      <c r="AP3742">
        <v>1</v>
      </c>
      <c r="AQ3742">
        <v>1</v>
      </c>
      <c r="AR3742">
        <v>1</v>
      </c>
      <c r="AS3742">
        <v>0</v>
      </c>
      <c r="AT3742">
        <v>1</v>
      </c>
      <c r="AV3742">
        <v>1</v>
      </c>
      <c r="AW3742">
        <v>1</v>
      </c>
    </row>
    <row r="3743" spans="1:49" x14ac:dyDescent="0.25">
      <c r="A3743" t="str">
        <f>"3739"</f>
        <v>3739</v>
      </c>
      <c r="B3743" t="str">
        <f t="shared" si="216"/>
        <v>1</v>
      </c>
      <c r="C3743" t="str">
        <f t="shared" si="215"/>
        <v>163</v>
      </c>
      <c r="D3743" t="str">
        <f>"14"</f>
        <v>14</v>
      </c>
      <c r="E3743" t="str">
        <f>"1-163-14"</f>
        <v>1-163-14</v>
      </c>
      <c r="F3743" t="s">
        <v>83</v>
      </c>
      <c r="G3743" t="s">
        <v>84</v>
      </c>
      <c r="H3743" t="s">
        <v>85</v>
      </c>
      <c r="AC3743">
        <v>0</v>
      </c>
      <c r="AD3743">
        <v>1</v>
      </c>
      <c r="AE3743">
        <v>0</v>
      </c>
      <c r="AF3743">
        <v>0</v>
      </c>
      <c r="AG3743">
        <v>1</v>
      </c>
      <c r="AJ3743">
        <v>0</v>
      </c>
      <c r="AK3743">
        <v>1</v>
      </c>
      <c r="AL3743">
        <v>0</v>
      </c>
      <c r="AM3743">
        <v>0</v>
      </c>
      <c r="AN3743">
        <v>1</v>
      </c>
      <c r="AO3743">
        <v>1</v>
      </c>
      <c r="AP3743">
        <v>1</v>
      </c>
      <c r="AQ3743">
        <v>1</v>
      </c>
      <c r="AR3743">
        <v>1</v>
      </c>
      <c r="AS3743">
        <v>0</v>
      </c>
      <c r="AT3743">
        <v>1</v>
      </c>
      <c r="AV3743">
        <v>1</v>
      </c>
      <c r="AW3743">
        <v>1</v>
      </c>
    </row>
    <row r="3744" spans="1:49" x14ac:dyDescent="0.25">
      <c r="A3744" t="str">
        <f>"3740"</f>
        <v>3740</v>
      </c>
      <c r="B3744" t="str">
        <f t="shared" si="216"/>
        <v>1</v>
      </c>
      <c r="C3744" t="str">
        <f t="shared" si="215"/>
        <v>163</v>
      </c>
      <c r="D3744" t="str">
        <f>"3"</f>
        <v>3</v>
      </c>
      <c r="E3744" t="str">
        <f>"1-163-3"</f>
        <v>1-163-3</v>
      </c>
      <c r="F3744" t="s">
        <v>83</v>
      </c>
      <c r="G3744" t="s">
        <v>86</v>
      </c>
      <c r="H3744" t="s">
        <v>87</v>
      </c>
      <c r="AC3744">
        <v>0</v>
      </c>
      <c r="AD3744">
        <v>0</v>
      </c>
      <c r="AE3744">
        <v>0</v>
      </c>
      <c r="AF3744">
        <v>0</v>
      </c>
      <c r="AH3744">
        <v>0</v>
      </c>
      <c r="AI3744">
        <v>1</v>
      </c>
      <c r="AJ3744">
        <v>0</v>
      </c>
      <c r="AK3744">
        <v>0</v>
      </c>
      <c r="AL3744">
        <v>0</v>
      </c>
      <c r="AM3744">
        <v>1</v>
      </c>
      <c r="AN3744">
        <v>0</v>
      </c>
      <c r="AO3744">
        <v>0</v>
      </c>
      <c r="AP3744">
        <v>0</v>
      </c>
      <c r="AQ3744">
        <v>0</v>
      </c>
      <c r="AU3744">
        <v>0</v>
      </c>
      <c r="AV3744">
        <v>0</v>
      </c>
      <c r="AW3744">
        <v>0</v>
      </c>
    </row>
    <row r="3745" spans="1:49" x14ac:dyDescent="0.25">
      <c r="A3745" t="str">
        <f>"3741"</f>
        <v>3741</v>
      </c>
      <c r="B3745" t="str">
        <f t="shared" si="216"/>
        <v>1</v>
      </c>
      <c r="C3745" t="str">
        <f t="shared" ref="C3745:C3769" si="217">"164"</f>
        <v>164</v>
      </c>
      <c r="D3745" t="str">
        <f>"16"</f>
        <v>16</v>
      </c>
      <c r="E3745" t="str">
        <f>"1-164-16"</f>
        <v>1-164-16</v>
      </c>
      <c r="F3745" t="s">
        <v>83</v>
      </c>
      <c r="G3745" t="s">
        <v>84</v>
      </c>
      <c r="H3745" t="s">
        <v>85</v>
      </c>
      <c r="AC3745">
        <v>1</v>
      </c>
      <c r="AD3745">
        <v>0</v>
      </c>
      <c r="AE3745">
        <v>0</v>
      </c>
      <c r="AF3745">
        <v>0</v>
      </c>
      <c r="AG3745">
        <v>1</v>
      </c>
      <c r="AJ3745">
        <v>1</v>
      </c>
      <c r="AK3745">
        <v>0</v>
      </c>
      <c r="AL3745">
        <v>0</v>
      </c>
      <c r="AM3745">
        <v>1</v>
      </c>
      <c r="AN3745">
        <v>0</v>
      </c>
      <c r="AO3745">
        <v>1</v>
      </c>
      <c r="AP3745">
        <v>1</v>
      </c>
      <c r="AQ3745">
        <v>1</v>
      </c>
      <c r="AR3745">
        <v>1</v>
      </c>
      <c r="AS3745">
        <v>0</v>
      </c>
      <c r="AT3745">
        <v>1</v>
      </c>
      <c r="AV3745">
        <v>1</v>
      </c>
      <c r="AW3745">
        <v>1</v>
      </c>
    </row>
    <row r="3746" spans="1:49" x14ac:dyDescent="0.25">
      <c r="A3746" t="str">
        <f>"3742"</f>
        <v>3742</v>
      </c>
      <c r="B3746" t="str">
        <f t="shared" si="216"/>
        <v>1</v>
      </c>
      <c r="C3746" t="str">
        <f t="shared" si="217"/>
        <v>164</v>
      </c>
      <c r="D3746" t="str">
        <f>"15"</f>
        <v>15</v>
      </c>
      <c r="E3746" t="str">
        <f>"1-164-15"</f>
        <v>1-164-15</v>
      </c>
      <c r="F3746" t="s">
        <v>83</v>
      </c>
      <c r="G3746" t="s">
        <v>84</v>
      </c>
      <c r="H3746" t="s">
        <v>85</v>
      </c>
      <c r="AC3746">
        <v>1</v>
      </c>
      <c r="AD3746">
        <v>0</v>
      </c>
      <c r="AE3746">
        <v>0</v>
      </c>
      <c r="AF3746">
        <v>0</v>
      </c>
      <c r="AG3746">
        <v>1</v>
      </c>
      <c r="AJ3746">
        <v>1</v>
      </c>
      <c r="AK3746">
        <v>0</v>
      </c>
      <c r="AL3746">
        <v>0</v>
      </c>
      <c r="AM3746">
        <v>1</v>
      </c>
      <c r="AN3746">
        <v>0</v>
      </c>
      <c r="AO3746">
        <v>1</v>
      </c>
      <c r="AP3746">
        <v>1</v>
      </c>
      <c r="AQ3746">
        <v>1</v>
      </c>
      <c r="AR3746">
        <v>1</v>
      </c>
      <c r="AS3746">
        <v>0</v>
      </c>
      <c r="AT3746">
        <v>1</v>
      </c>
      <c r="AV3746">
        <v>1</v>
      </c>
      <c r="AW3746">
        <v>1</v>
      </c>
    </row>
    <row r="3747" spans="1:49" x14ac:dyDescent="0.25">
      <c r="A3747" t="str">
        <f>"3743"</f>
        <v>3743</v>
      </c>
      <c r="B3747" t="str">
        <f t="shared" si="216"/>
        <v>1</v>
      </c>
      <c r="C3747" t="str">
        <f t="shared" si="217"/>
        <v>164</v>
      </c>
      <c r="D3747" t="str">
        <f>"13"</f>
        <v>13</v>
      </c>
      <c r="E3747" t="str">
        <f>"1-164-13"</f>
        <v>1-164-13</v>
      </c>
      <c r="F3747" t="s">
        <v>83</v>
      </c>
      <c r="G3747" t="s">
        <v>84</v>
      </c>
      <c r="H3747" t="s">
        <v>85</v>
      </c>
      <c r="AC3747">
        <v>0</v>
      </c>
      <c r="AD3747">
        <v>1</v>
      </c>
      <c r="AE3747">
        <v>0</v>
      </c>
      <c r="AF3747">
        <v>0</v>
      </c>
      <c r="AG3747">
        <v>1</v>
      </c>
      <c r="AJ3747">
        <v>0</v>
      </c>
      <c r="AK3747">
        <v>1</v>
      </c>
      <c r="AL3747">
        <v>0</v>
      </c>
      <c r="AM3747">
        <v>0</v>
      </c>
      <c r="AN3747">
        <v>1</v>
      </c>
      <c r="AO3747">
        <v>1</v>
      </c>
      <c r="AP3747">
        <v>1</v>
      </c>
      <c r="AQ3747">
        <v>1</v>
      </c>
      <c r="AR3747">
        <v>1</v>
      </c>
      <c r="AS3747">
        <v>0</v>
      </c>
      <c r="AT3747">
        <v>1</v>
      </c>
      <c r="AV3747">
        <v>1</v>
      </c>
      <c r="AW3747">
        <v>1</v>
      </c>
    </row>
    <row r="3748" spans="1:49" x14ac:dyDescent="0.25">
      <c r="A3748" t="str">
        <f>"3744"</f>
        <v>3744</v>
      </c>
      <c r="B3748" t="str">
        <f t="shared" si="216"/>
        <v>1</v>
      </c>
      <c r="C3748" t="str">
        <f t="shared" si="217"/>
        <v>164</v>
      </c>
      <c r="D3748" t="str">
        <f>"8"</f>
        <v>8</v>
      </c>
      <c r="E3748" t="str">
        <f>"1-164-8"</f>
        <v>1-164-8</v>
      </c>
      <c r="F3748" t="s">
        <v>83</v>
      </c>
      <c r="G3748" t="s">
        <v>84</v>
      </c>
      <c r="H3748" t="s">
        <v>85</v>
      </c>
      <c r="AC3748">
        <v>0</v>
      </c>
      <c r="AD3748">
        <v>0</v>
      </c>
      <c r="AE3748">
        <v>0</v>
      </c>
      <c r="AF3748">
        <v>0</v>
      </c>
      <c r="AG3748">
        <v>0</v>
      </c>
      <c r="AJ3748">
        <v>0</v>
      </c>
      <c r="AK3748">
        <v>0</v>
      </c>
      <c r="AL3748">
        <v>0</v>
      </c>
      <c r="AM3748">
        <v>0</v>
      </c>
      <c r="AN3748">
        <v>0</v>
      </c>
      <c r="AO3748">
        <v>0</v>
      </c>
      <c r="AP3748">
        <v>0</v>
      </c>
      <c r="AQ3748">
        <v>0</v>
      </c>
      <c r="AR3748">
        <v>0</v>
      </c>
      <c r="AS3748">
        <v>0</v>
      </c>
      <c r="AT3748">
        <v>1</v>
      </c>
      <c r="AV3748">
        <v>0</v>
      </c>
      <c r="AW3748">
        <v>1</v>
      </c>
    </row>
    <row r="3749" spans="1:49" x14ac:dyDescent="0.25">
      <c r="A3749" t="str">
        <f>"3745"</f>
        <v>3745</v>
      </c>
      <c r="B3749" t="str">
        <f t="shared" si="216"/>
        <v>1</v>
      </c>
      <c r="C3749" t="str">
        <f t="shared" si="217"/>
        <v>164</v>
      </c>
      <c r="D3749" t="str">
        <f>"3"</f>
        <v>3</v>
      </c>
      <c r="E3749" t="str">
        <f>"1-164-3"</f>
        <v>1-164-3</v>
      </c>
      <c r="F3749" t="s">
        <v>83</v>
      </c>
      <c r="G3749" t="s">
        <v>84</v>
      </c>
      <c r="H3749" t="s">
        <v>85</v>
      </c>
      <c r="AC3749">
        <v>0</v>
      </c>
      <c r="AD3749">
        <v>1</v>
      </c>
      <c r="AE3749">
        <v>0</v>
      </c>
      <c r="AF3749">
        <v>0</v>
      </c>
      <c r="AG3749">
        <v>1</v>
      </c>
      <c r="AJ3749">
        <v>0</v>
      </c>
      <c r="AK3749">
        <v>1</v>
      </c>
      <c r="AL3749">
        <v>0</v>
      </c>
      <c r="AM3749">
        <v>1</v>
      </c>
      <c r="AN3749">
        <v>0</v>
      </c>
      <c r="AO3749">
        <v>1</v>
      </c>
      <c r="AP3749">
        <v>1</v>
      </c>
      <c r="AQ3749">
        <v>1</v>
      </c>
      <c r="AR3749">
        <v>1</v>
      </c>
      <c r="AS3749">
        <v>0</v>
      </c>
      <c r="AT3749">
        <v>1</v>
      </c>
      <c r="AV3749">
        <v>1</v>
      </c>
      <c r="AW3749">
        <v>1</v>
      </c>
    </row>
    <row r="3750" spans="1:49" x14ac:dyDescent="0.25">
      <c r="A3750" t="str">
        <f>"3746"</f>
        <v>3746</v>
      </c>
      <c r="B3750" t="str">
        <f t="shared" si="216"/>
        <v>1</v>
      </c>
      <c r="C3750" t="str">
        <f t="shared" si="217"/>
        <v>164</v>
      </c>
      <c r="D3750" t="str">
        <f>"25"</f>
        <v>25</v>
      </c>
      <c r="E3750" t="str">
        <f>"1-164-25"</f>
        <v>1-164-25</v>
      </c>
      <c r="F3750" t="s">
        <v>83</v>
      </c>
      <c r="G3750" t="s">
        <v>84</v>
      </c>
      <c r="H3750" t="s">
        <v>85</v>
      </c>
      <c r="AC3750">
        <v>0</v>
      </c>
      <c r="AD3750">
        <v>1</v>
      </c>
      <c r="AE3750">
        <v>0</v>
      </c>
      <c r="AF3750">
        <v>0</v>
      </c>
      <c r="AG3750">
        <v>1</v>
      </c>
      <c r="AJ3750">
        <v>0</v>
      </c>
      <c r="AK3750">
        <v>1</v>
      </c>
      <c r="AL3750">
        <v>0</v>
      </c>
      <c r="AM3750">
        <v>1</v>
      </c>
      <c r="AN3750">
        <v>0</v>
      </c>
      <c r="AO3750">
        <v>1</v>
      </c>
      <c r="AP3750">
        <v>1</v>
      </c>
      <c r="AQ3750">
        <v>1</v>
      </c>
      <c r="AR3750">
        <v>1</v>
      </c>
      <c r="AS3750">
        <v>1</v>
      </c>
      <c r="AT3750">
        <v>0</v>
      </c>
      <c r="AV3750">
        <v>1</v>
      </c>
      <c r="AW3750">
        <v>1</v>
      </c>
    </row>
    <row r="3751" spans="1:49" x14ac:dyDescent="0.25">
      <c r="A3751" t="str">
        <f>"3747"</f>
        <v>3747</v>
      </c>
      <c r="B3751" t="str">
        <f t="shared" si="216"/>
        <v>1</v>
      </c>
      <c r="C3751" t="str">
        <f t="shared" si="217"/>
        <v>164</v>
      </c>
      <c r="D3751" t="str">
        <f>"24"</f>
        <v>24</v>
      </c>
      <c r="E3751" t="str">
        <f>"1-164-24"</f>
        <v>1-164-24</v>
      </c>
      <c r="F3751" t="s">
        <v>83</v>
      </c>
      <c r="G3751" t="s">
        <v>84</v>
      </c>
      <c r="H3751" t="s">
        <v>85</v>
      </c>
      <c r="AC3751">
        <v>1</v>
      </c>
      <c r="AD3751">
        <v>0</v>
      </c>
      <c r="AE3751">
        <v>0</v>
      </c>
      <c r="AF3751">
        <v>0</v>
      </c>
      <c r="AG3751">
        <v>1</v>
      </c>
      <c r="AJ3751">
        <v>1</v>
      </c>
      <c r="AK3751">
        <v>0</v>
      </c>
      <c r="AL3751">
        <v>0</v>
      </c>
      <c r="AM3751">
        <v>1</v>
      </c>
      <c r="AN3751">
        <v>0</v>
      </c>
      <c r="AO3751">
        <v>1</v>
      </c>
      <c r="AP3751">
        <v>1</v>
      </c>
      <c r="AQ3751">
        <v>1</v>
      </c>
      <c r="AR3751">
        <v>1</v>
      </c>
      <c r="AS3751">
        <v>0</v>
      </c>
      <c r="AT3751">
        <v>1</v>
      </c>
      <c r="AV3751">
        <v>1</v>
      </c>
      <c r="AW3751">
        <v>1</v>
      </c>
    </row>
    <row r="3752" spans="1:49" x14ac:dyDescent="0.25">
      <c r="A3752" t="str">
        <f>"3748"</f>
        <v>3748</v>
      </c>
      <c r="B3752" t="str">
        <f t="shared" si="216"/>
        <v>1</v>
      </c>
      <c r="C3752" t="str">
        <f t="shared" si="217"/>
        <v>164</v>
      </c>
      <c r="D3752" t="str">
        <f>"17"</f>
        <v>17</v>
      </c>
      <c r="E3752" t="str">
        <f>"1-164-17"</f>
        <v>1-164-17</v>
      </c>
      <c r="F3752" t="s">
        <v>83</v>
      </c>
      <c r="G3752" t="s">
        <v>84</v>
      </c>
      <c r="H3752" t="s">
        <v>85</v>
      </c>
      <c r="AC3752">
        <v>1</v>
      </c>
      <c r="AD3752">
        <v>0</v>
      </c>
      <c r="AE3752">
        <v>0</v>
      </c>
      <c r="AF3752">
        <v>0</v>
      </c>
      <c r="AG3752">
        <v>0</v>
      </c>
      <c r="AJ3752">
        <v>1</v>
      </c>
      <c r="AK3752">
        <v>0</v>
      </c>
      <c r="AL3752">
        <v>0</v>
      </c>
      <c r="AM3752">
        <v>0</v>
      </c>
      <c r="AN3752">
        <v>0</v>
      </c>
      <c r="AO3752">
        <v>1</v>
      </c>
      <c r="AP3752">
        <v>1</v>
      </c>
      <c r="AQ3752">
        <v>1</v>
      </c>
      <c r="AR3752">
        <v>1</v>
      </c>
      <c r="AS3752">
        <v>0</v>
      </c>
      <c r="AT3752">
        <v>1</v>
      </c>
      <c r="AV3752">
        <v>1</v>
      </c>
      <c r="AW3752">
        <v>1</v>
      </c>
    </row>
    <row r="3753" spans="1:49" x14ac:dyDescent="0.25">
      <c r="A3753" t="str">
        <f>"3749"</f>
        <v>3749</v>
      </c>
      <c r="B3753" t="str">
        <f t="shared" si="216"/>
        <v>1</v>
      </c>
      <c r="C3753" t="str">
        <f t="shared" si="217"/>
        <v>164</v>
      </c>
      <c r="D3753" t="str">
        <f>"9"</f>
        <v>9</v>
      </c>
      <c r="E3753" t="str">
        <f>"1-164-9"</f>
        <v>1-164-9</v>
      </c>
      <c r="F3753" t="s">
        <v>83</v>
      </c>
      <c r="G3753" t="s">
        <v>84</v>
      </c>
      <c r="H3753" t="s">
        <v>85</v>
      </c>
      <c r="AC3753">
        <v>0</v>
      </c>
      <c r="AD3753">
        <v>1</v>
      </c>
      <c r="AE3753">
        <v>0</v>
      </c>
      <c r="AF3753">
        <v>0</v>
      </c>
      <c r="AG3753">
        <v>1</v>
      </c>
      <c r="AJ3753">
        <v>0</v>
      </c>
      <c r="AK3753">
        <v>1</v>
      </c>
      <c r="AL3753">
        <v>0</v>
      </c>
      <c r="AM3753">
        <v>0</v>
      </c>
      <c r="AN3753">
        <v>1</v>
      </c>
      <c r="AO3753">
        <v>1</v>
      </c>
      <c r="AP3753">
        <v>1</v>
      </c>
      <c r="AQ3753">
        <v>1</v>
      </c>
      <c r="AR3753">
        <v>1</v>
      </c>
      <c r="AS3753">
        <v>0</v>
      </c>
      <c r="AT3753">
        <v>1</v>
      </c>
      <c r="AV3753">
        <v>1</v>
      </c>
      <c r="AW3753">
        <v>1</v>
      </c>
    </row>
    <row r="3754" spans="1:49" x14ac:dyDescent="0.25">
      <c r="A3754" t="str">
        <f>"3750"</f>
        <v>3750</v>
      </c>
      <c r="B3754" t="str">
        <f t="shared" si="216"/>
        <v>1</v>
      </c>
      <c r="C3754" t="str">
        <f t="shared" si="217"/>
        <v>164</v>
      </c>
      <c r="D3754" t="str">
        <f>"7"</f>
        <v>7</v>
      </c>
      <c r="E3754" t="str">
        <f>"1-164-7"</f>
        <v>1-164-7</v>
      </c>
      <c r="F3754" t="s">
        <v>83</v>
      </c>
      <c r="G3754" t="s">
        <v>84</v>
      </c>
      <c r="H3754" t="s">
        <v>85</v>
      </c>
      <c r="AC3754">
        <v>0</v>
      </c>
      <c r="AD3754">
        <v>1</v>
      </c>
      <c r="AE3754">
        <v>0</v>
      </c>
      <c r="AF3754">
        <v>0</v>
      </c>
      <c r="AG3754">
        <v>0</v>
      </c>
      <c r="AJ3754">
        <v>1</v>
      </c>
      <c r="AK3754">
        <v>0</v>
      </c>
      <c r="AL3754">
        <v>0</v>
      </c>
      <c r="AM3754">
        <v>0</v>
      </c>
      <c r="AN3754">
        <v>1</v>
      </c>
      <c r="AO3754">
        <v>1</v>
      </c>
      <c r="AP3754">
        <v>1</v>
      </c>
      <c r="AQ3754">
        <v>1</v>
      </c>
      <c r="AR3754">
        <v>1</v>
      </c>
      <c r="AS3754">
        <v>1</v>
      </c>
      <c r="AT3754">
        <v>0</v>
      </c>
      <c r="AV3754">
        <v>1</v>
      </c>
      <c r="AW3754">
        <v>1</v>
      </c>
    </row>
    <row r="3755" spans="1:49" x14ac:dyDescent="0.25">
      <c r="A3755" t="str">
        <f>"3751"</f>
        <v>3751</v>
      </c>
      <c r="B3755" t="str">
        <f t="shared" si="216"/>
        <v>1</v>
      </c>
      <c r="C3755" t="str">
        <f t="shared" si="217"/>
        <v>164</v>
      </c>
      <c r="D3755" t="str">
        <f>"23"</f>
        <v>23</v>
      </c>
      <c r="E3755" t="str">
        <f>"1-164-23"</f>
        <v>1-164-23</v>
      </c>
      <c r="F3755" t="s">
        <v>83</v>
      </c>
      <c r="G3755" t="s">
        <v>84</v>
      </c>
      <c r="H3755" t="s">
        <v>85</v>
      </c>
      <c r="AC3755">
        <v>0</v>
      </c>
      <c r="AD3755">
        <v>1</v>
      </c>
      <c r="AE3755">
        <v>0</v>
      </c>
      <c r="AF3755">
        <v>0</v>
      </c>
      <c r="AG3755">
        <v>1</v>
      </c>
      <c r="AJ3755">
        <v>0</v>
      </c>
      <c r="AK3755">
        <v>1</v>
      </c>
      <c r="AL3755">
        <v>0</v>
      </c>
      <c r="AM3755">
        <v>1</v>
      </c>
      <c r="AN3755">
        <v>0</v>
      </c>
      <c r="AO3755">
        <v>1</v>
      </c>
      <c r="AP3755">
        <v>1</v>
      </c>
      <c r="AQ3755">
        <v>1</v>
      </c>
      <c r="AR3755">
        <v>1</v>
      </c>
      <c r="AS3755">
        <v>0</v>
      </c>
      <c r="AT3755">
        <v>1</v>
      </c>
      <c r="AV3755">
        <v>1</v>
      </c>
      <c r="AW3755">
        <v>1</v>
      </c>
    </row>
    <row r="3756" spans="1:49" x14ac:dyDescent="0.25">
      <c r="A3756" t="str">
        <f>"3752"</f>
        <v>3752</v>
      </c>
      <c r="B3756" t="str">
        <f t="shared" si="216"/>
        <v>1</v>
      </c>
      <c r="C3756" t="str">
        <f t="shared" si="217"/>
        <v>164</v>
      </c>
      <c r="D3756" t="str">
        <f>"22"</f>
        <v>22</v>
      </c>
      <c r="E3756" t="str">
        <f>"1-164-22"</f>
        <v>1-164-22</v>
      </c>
      <c r="F3756" t="s">
        <v>83</v>
      </c>
      <c r="G3756" t="s">
        <v>84</v>
      </c>
      <c r="H3756" t="s">
        <v>85</v>
      </c>
      <c r="AC3756">
        <v>1</v>
      </c>
      <c r="AD3756">
        <v>0</v>
      </c>
      <c r="AE3756">
        <v>0</v>
      </c>
      <c r="AF3756">
        <v>0</v>
      </c>
      <c r="AG3756">
        <v>1</v>
      </c>
      <c r="AJ3756">
        <v>1</v>
      </c>
      <c r="AK3756">
        <v>0</v>
      </c>
      <c r="AL3756">
        <v>1</v>
      </c>
      <c r="AM3756">
        <v>0</v>
      </c>
      <c r="AN3756">
        <v>0</v>
      </c>
      <c r="AO3756">
        <v>1</v>
      </c>
      <c r="AP3756">
        <v>1</v>
      </c>
      <c r="AQ3756">
        <v>1</v>
      </c>
      <c r="AR3756">
        <v>1</v>
      </c>
      <c r="AS3756">
        <v>1</v>
      </c>
      <c r="AT3756">
        <v>0</v>
      </c>
      <c r="AV3756">
        <v>1</v>
      </c>
      <c r="AW3756">
        <v>1</v>
      </c>
    </row>
    <row r="3757" spans="1:49" x14ac:dyDescent="0.25">
      <c r="A3757" t="str">
        <f>"3753"</f>
        <v>3753</v>
      </c>
      <c r="B3757" t="str">
        <f t="shared" si="216"/>
        <v>1</v>
      </c>
      <c r="C3757" t="str">
        <f t="shared" si="217"/>
        <v>164</v>
      </c>
      <c r="D3757" t="str">
        <f>"14"</f>
        <v>14</v>
      </c>
      <c r="E3757" t="str">
        <f>"1-164-14"</f>
        <v>1-164-14</v>
      </c>
      <c r="F3757" t="s">
        <v>83</v>
      </c>
      <c r="G3757" t="s">
        <v>84</v>
      </c>
      <c r="H3757" t="s">
        <v>85</v>
      </c>
      <c r="AC3757">
        <v>0</v>
      </c>
      <c r="AD3757">
        <v>1</v>
      </c>
      <c r="AE3757">
        <v>0</v>
      </c>
      <c r="AF3757">
        <v>0</v>
      </c>
      <c r="AG3757">
        <v>1</v>
      </c>
      <c r="AJ3757">
        <v>0</v>
      </c>
      <c r="AK3757">
        <v>1</v>
      </c>
      <c r="AL3757">
        <v>0</v>
      </c>
      <c r="AM3757">
        <v>0</v>
      </c>
      <c r="AN3757">
        <v>1</v>
      </c>
      <c r="AO3757">
        <v>1</v>
      </c>
      <c r="AP3757">
        <v>1</v>
      </c>
      <c r="AQ3757">
        <v>1</v>
      </c>
      <c r="AR3757">
        <v>1</v>
      </c>
      <c r="AS3757">
        <v>0</v>
      </c>
      <c r="AT3757">
        <v>1</v>
      </c>
      <c r="AV3757">
        <v>1</v>
      </c>
      <c r="AW3757">
        <v>1</v>
      </c>
    </row>
    <row r="3758" spans="1:49" x14ac:dyDescent="0.25">
      <c r="A3758" t="str">
        <f>"3754"</f>
        <v>3754</v>
      </c>
      <c r="B3758" t="str">
        <f t="shared" si="216"/>
        <v>1</v>
      </c>
      <c r="C3758" t="str">
        <f t="shared" si="217"/>
        <v>164</v>
      </c>
      <c r="D3758" t="str">
        <f>"10"</f>
        <v>10</v>
      </c>
      <c r="E3758" t="str">
        <f>"1-164-10"</f>
        <v>1-164-10</v>
      </c>
      <c r="F3758" t="s">
        <v>83</v>
      </c>
      <c r="G3758" t="s">
        <v>84</v>
      </c>
      <c r="H3758" t="s">
        <v>85</v>
      </c>
      <c r="AC3758">
        <v>0</v>
      </c>
      <c r="AD3758">
        <v>1</v>
      </c>
      <c r="AE3758">
        <v>0</v>
      </c>
      <c r="AF3758">
        <v>0</v>
      </c>
      <c r="AG3758">
        <v>0</v>
      </c>
      <c r="AJ3758">
        <v>0</v>
      </c>
      <c r="AK3758">
        <v>1</v>
      </c>
      <c r="AL3758">
        <v>0</v>
      </c>
      <c r="AM3758">
        <v>0</v>
      </c>
      <c r="AN3758">
        <v>1</v>
      </c>
      <c r="AO3758">
        <v>0</v>
      </c>
      <c r="AP3758">
        <v>0</v>
      </c>
      <c r="AQ3758">
        <v>0</v>
      </c>
      <c r="AR3758">
        <v>0</v>
      </c>
      <c r="AS3758">
        <v>1</v>
      </c>
      <c r="AT3758">
        <v>0</v>
      </c>
      <c r="AV3758">
        <v>0</v>
      </c>
      <c r="AW3758">
        <v>0</v>
      </c>
    </row>
    <row r="3759" spans="1:49" x14ac:dyDescent="0.25">
      <c r="A3759" t="str">
        <f>"3755"</f>
        <v>3755</v>
      </c>
      <c r="B3759" t="str">
        <f t="shared" si="216"/>
        <v>1</v>
      </c>
      <c r="C3759" t="str">
        <f t="shared" si="217"/>
        <v>164</v>
      </c>
      <c r="D3759" t="str">
        <f>"4"</f>
        <v>4</v>
      </c>
      <c r="E3759" t="str">
        <f>"1-164-4"</f>
        <v>1-164-4</v>
      </c>
      <c r="F3759" t="s">
        <v>83</v>
      </c>
      <c r="G3759" t="s">
        <v>84</v>
      </c>
      <c r="H3759" t="s">
        <v>85</v>
      </c>
      <c r="AC3759">
        <v>1</v>
      </c>
      <c r="AD3759">
        <v>0</v>
      </c>
      <c r="AE3759">
        <v>0</v>
      </c>
      <c r="AF3759">
        <v>0</v>
      </c>
      <c r="AG3759">
        <v>1</v>
      </c>
      <c r="AJ3759">
        <v>1</v>
      </c>
      <c r="AK3759">
        <v>0</v>
      </c>
      <c r="AL3759">
        <v>0</v>
      </c>
      <c r="AM3759">
        <v>1</v>
      </c>
      <c r="AN3759">
        <v>0</v>
      </c>
      <c r="AO3759">
        <v>1</v>
      </c>
      <c r="AP3759">
        <v>1</v>
      </c>
      <c r="AQ3759">
        <v>1</v>
      </c>
      <c r="AR3759">
        <v>1</v>
      </c>
      <c r="AS3759">
        <v>1</v>
      </c>
      <c r="AT3759">
        <v>0</v>
      </c>
      <c r="AV3759">
        <v>1</v>
      </c>
      <c r="AW3759">
        <v>1</v>
      </c>
    </row>
    <row r="3760" spans="1:49" x14ac:dyDescent="0.25">
      <c r="A3760" t="str">
        <f>"3756"</f>
        <v>3756</v>
      </c>
      <c r="B3760" t="str">
        <f t="shared" si="216"/>
        <v>1</v>
      </c>
      <c r="C3760" t="str">
        <f t="shared" si="217"/>
        <v>164</v>
      </c>
      <c r="D3760" t="str">
        <f>"20"</f>
        <v>20</v>
      </c>
      <c r="E3760" t="str">
        <f>"1-164-20"</f>
        <v>1-164-20</v>
      </c>
      <c r="F3760" t="s">
        <v>83</v>
      </c>
      <c r="G3760" t="s">
        <v>84</v>
      </c>
      <c r="H3760" t="s">
        <v>85</v>
      </c>
      <c r="AC3760">
        <v>0</v>
      </c>
      <c r="AD3760">
        <v>1</v>
      </c>
      <c r="AE3760">
        <v>0</v>
      </c>
      <c r="AF3760">
        <v>0</v>
      </c>
      <c r="AG3760">
        <v>0</v>
      </c>
      <c r="AJ3760">
        <v>0</v>
      </c>
      <c r="AK3760">
        <v>1</v>
      </c>
      <c r="AL3760">
        <v>0</v>
      </c>
      <c r="AM3760">
        <v>0</v>
      </c>
      <c r="AN3760">
        <v>1</v>
      </c>
      <c r="AO3760">
        <v>1</v>
      </c>
      <c r="AP3760">
        <v>1</v>
      </c>
      <c r="AQ3760">
        <v>1</v>
      </c>
      <c r="AR3760">
        <v>1</v>
      </c>
      <c r="AS3760">
        <v>0</v>
      </c>
      <c r="AT3760">
        <v>1</v>
      </c>
      <c r="AV3760">
        <v>1</v>
      </c>
      <c r="AW3760">
        <v>1</v>
      </c>
    </row>
    <row r="3761" spans="1:49" x14ac:dyDescent="0.25">
      <c r="A3761" t="str">
        <f>"3757"</f>
        <v>3757</v>
      </c>
      <c r="B3761" t="str">
        <f t="shared" si="216"/>
        <v>1</v>
      </c>
      <c r="C3761" t="str">
        <f t="shared" si="217"/>
        <v>164</v>
      </c>
      <c r="D3761" t="str">
        <f>"11"</f>
        <v>11</v>
      </c>
      <c r="E3761" t="str">
        <f>"1-164-11"</f>
        <v>1-164-11</v>
      </c>
      <c r="F3761" t="s">
        <v>83</v>
      </c>
      <c r="G3761" t="s">
        <v>84</v>
      </c>
      <c r="H3761" t="s">
        <v>85</v>
      </c>
      <c r="AC3761">
        <v>0</v>
      </c>
      <c r="AD3761">
        <v>1</v>
      </c>
      <c r="AE3761">
        <v>0</v>
      </c>
      <c r="AF3761">
        <v>0</v>
      </c>
      <c r="AG3761">
        <v>0</v>
      </c>
      <c r="AJ3761">
        <v>1</v>
      </c>
      <c r="AK3761">
        <v>0</v>
      </c>
      <c r="AL3761">
        <v>0</v>
      </c>
      <c r="AM3761">
        <v>0</v>
      </c>
      <c r="AN3761">
        <v>0</v>
      </c>
      <c r="AO3761">
        <v>1</v>
      </c>
      <c r="AP3761">
        <v>0</v>
      </c>
      <c r="AQ3761">
        <v>1</v>
      </c>
      <c r="AR3761">
        <v>0</v>
      </c>
      <c r="AS3761">
        <v>0</v>
      </c>
      <c r="AT3761">
        <v>0</v>
      </c>
      <c r="AV3761">
        <v>0</v>
      </c>
      <c r="AW3761">
        <v>0</v>
      </c>
    </row>
    <row r="3762" spans="1:49" x14ac:dyDescent="0.25">
      <c r="A3762" t="str">
        <f>"3758"</f>
        <v>3758</v>
      </c>
      <c r="B3762" t="str">
        <f t="shared" si="216"/>
        <v>1</v>
      </c>
      <c r="C3762" t="str">
        <f t="shared" si="217"/>
        <v>164</v>
      </c>
      <c r="D3762" t="str">
        <f>"1"</f>
        <v>1</v>
      </c>
      <c r="E3762" t="str">
        <f>"1-164-1"</f>
        <v>1-164-1</v>
      </c>
      <c r="F3762" t="s">
        <v>83</v>
      </c>
      <c r="G3762" t="s">
        <v>84</v>
      </c>
      <c r="H3762" t="s">
        <v>85</v>
      </c>
      <c r="AC3762">
        <v>0</v>
      </c>
      <c r="AD3762">
        <v>1</v>
      </c>
      <c r="AE3762">
        <v>0</v>
      </c>
      <c r="AF3762">
        <v>0</v>
      </c>
      <c r="AG3762">
        <v>1</v>
      </c>
      <c r="AJ3762">
        <v>1</v>
      </c>
      <c r="AK3762">
        <v>0</v>
      </c>
      <c r="AL3762">
        <v>1</v>
      </c>
      <c r="AM3762">
        <v>0</v>
      </c>
      <c r="AN3762">
        <v>0</v>
      </c>
      <c r="AO3762">
        <v>1</v>
      </c>
      <c r="AP3762">
        <v>1</v>
      </c>
      <c r="AQ3762">
        <v>1</v>
      </c>
      <c r="AR3762">
        <v>1</v>
      </c>
      <c r="AS3762">
        <v>0</v>
      </c>
      <c r="AT3762">
        <v>1</v>
      </c>
      <c r="AV3762">
        <v>1</v>
      </c>
      <c r="AW3762">
        <v>1</v>
      </c>
    </row>
    <row r="3763" spans="1:49" x14ac:dyDescent="0.25">
      <c r="A3763" t="str">
        <f>"3759"</f>
        <v>3759</v>
      </c>
      <c r="B3763" t="str">
        <f t="shared" si="216"/>
        <v>1</v>
      </c>
      <c r="C3763" t="str">
        <f t="shared" si="217"/>
        <v>164</v>
      </c>
      <c r="D3763" t="str">
        <f>"21"</f>
        <v>21</v>
      </c>
      <c r="E3763" t="str">
        <f>"1-164-21"</f>
        <v>1-164-21</v>
      </c>
      <c r="F3763" t="s">
        <v>83</v>
      </c>
      <c r="G3763" t="s">
        <v>84</v>
      </c>
      <c r="H3763" t="s">
        <v>85</v>
      </c>
      <c r="AC3763">
        <v>0</v>
      </c>
      <c r="AD3763">
        <v>1</v>
      </c>
      <c r="AE3763">
        <v>0</v>
      </c>
      <c r="AF3763">
        <v>0</v>
      </c>
      <c r="AG3763">
        <v>0</v>
      </c>
      <c r="AJ3763">
        <v>0</v>
      </c>
      <c r="AK3763">
        <v>1</v>
      </c>
      <c r="AL3763">
        <v>0</v>
      </c>
      <c r="AM3763">
        <v>1</v>
      </c>
      <c r="AN3763">
        <v>0</v>
      </c>
      <c r="AO3763">
        <v>1</v>
      </c>
      <c r="AP3763">
        <v>1</v>
      </c>
      <c r="AQ3763">
        <v>1</v>
      </c>
      <c r="AR3763">
        <v>1</v>
      </c>
      <c r="AS3763">
        <v>0</v>
      </c>
      <c r="AT3763">
        <v>1</v>
      </c>
      <c r="AV3763">
        <v>1</v>
      </c>
      <c r="AW3763">
        <v>1</v>
      </c>
    </row>
    <row r="3764" spans="1:49" x14ac:dyDescent="0.25">
      <c r="A3764" t="str">
        <f>"3760"</f>
        <v>3760</v>
      </c>
      <c r="B3764" t="str">
        <f t="shared" si="216"/>
        <v>1</v>
      </c>
      <c r="C3764" t="str">
        <f t="shared" si="217"/>
        <v>164</v>
      </c>
      <c r="D3764" t="str">
        <f>"12"</f>
        <v>12</v>
      </c>
      <c r="E3764" t="str">
        <f>"1-164-12"</f>
        <v>1-164-12</v>
      </c>
      <c r="F3764" t="s">
        <v>83</v>
      </c>
      <c r="G3764" t="s">
        <v>84</v>
      </c>
      <c r="H3764" t="s">
        <v>85</v>
      </c>
      <c r="AC3764">
        <v>1</v>
      </c>
      <c r="AD3764">
        <v>0</v>
      </c>
      <c r="AE3764">
        <v>0</v>
      </c>
      <c r="AF3764">
        <v>0</v>
      </c>
      <c r="AG3764">
        <v>1</v>
      </c>
      <c r="AJ3764">
        <v>0</v>
      </c>
      <c r="AK3764">
        <v>1</v>
      </c>
      <c r="AL3764">
        <v>1</v>
      </c>
      <c r="AM3764">
        <v>0</v>
      </c>
      <c r="AN3764">
        <v>0</v>
      </c>
      <c r="AO3764">
        <v>1</v>
      </c>
      <c r="AP3764">
        <v>1</v>
      </c>
      <c r="AQ3764">
        <v>1</v>
      </c>
      <c r="AR3764">
        <v>1</v>
      </c>
      <c r="AS3764">
        <v>0</v>
      </c>
      <c r="AT3764">
        <v>1</v>
      </c>
      <c r="AV3764">
        <v>1</v>
      </c>
      <c r="AW3764">
        <v>1</v>
      </c>
    </row>
    <row r="3765" spans="1:49" x14ac:dyDescent="0.25">
      <c r="A3765" t="str">
        <f>"3761"</f>
        <v>3761</v>
      </c>
      <c r="B3765" t="str">
        <f t="shared" si="216"/>
        <v>1</v>
      </c>
      <c r="C3765" t="str">
        <f t="shared" si="217"/>
        <v>164</v>
      </c>
      <c r="D3765" t="str">
        <f>"6"</f>
        <v>6</v>
      </c>
      <c r="E3765" t="str">
        <f>"1-164-6"</f>
        <v>1-164-6</v>
      </c>
      <c r="F3765" t="s">
        <v>83</v>
      </c>
      <c r="G3765" t="s">
        <v>84</v>
      </c>
      <c r="H3765" t="s">
        <v>85</v>
      </c>
      <c r="AC3765">
        <v>0</v>
      </c>
      <c r="AD3765">
        <v>1</v>
      </c>
      <c r="AE3765">
        <v>0</v>
      </c>
      <c r="AF3765">
        <v>0</v>
      </c>
      <c r="AG3765">
        <v>0</v>
      </c>
      <c r="AJ3765">
        <v>1</v>
      </c>
      <c r="AK3765">
        <v>0</v>
      </c>
      <c r="AL3765">
        <v>0</v>
      </c>
      <c r="AM3765">
        <v>0</v>
      </c>
      <c r="AN3765">
        <v>1</v>
      </c>
      <c r="AO3765">
        <v>0</v>
      </c>
      <c r="AP3765">
        <v>0</v>
      </c>
      <c r="AQ3765">
        <v>0</v>
      </c>
      <c r="AR3765">
        <v>0</v>
      </c>
      <c r="AS3765">
        <v>0</v>
      </c>
      <c r="AT3765">
        <v>1</v>
      </c>
      <c r="AV3765">
        <v>0</v>
      </c>
      <c r="AW3765">
        <v>0</v>
      </c>
    </row>
    <row r="3766" spans="1:49" x14ac:dyDescent="0.25">
      <c r="A3766" t="str">
        <f>"3762"</f>
        <v>3762</v>
      </c>
      <c r="B3766" t="str">
        <f t="shared" si="216"/>
        <v>1</v>
      </c>
      <c r="C3766" t="str">
        <f t="shared" si="217"/>
        <v>164</v>
      </c>
      <c r="D3766" t="str">
        <f>"2"</f>
        <v>2</v>
      </c>
      <c r="E3766" t="str">
        <f>"1-164-2"</f>
        <v>1-164-2</v>
      </c>
      <c r="F3766" t="s">
        <v>83</v>
      </c>
      <c r="G3766" t="s">
        <v>84</v>
      </c>
      <c r="H3766" t="s">
        <v>85</v>
      </c>
      <c r="AC3766">
        <v>0</v>
      </c>
      <c r="AD3766">
        <v>1</v>
      </c>
      <c r="AE3766">
        <v>0</v>
      </c>
      <c r="AF3766">
        <v>0</v>
      </c>
      <c r="AG3766">
        <v>0</v>
      </c>
      <c r="AJ3766">
        <v>0</v>
      </c>
      <c r="AK3766">
        <v>0</v>
      </c>
      <c r="AL3766">
        <v>0</v>
      </c>
      <c r="AM3766">
        <v>0</v>
      </c>
      <c r="AN3766">
        <v>0</v>
      </c>
      <c r="AO3766">
        <v>0</v>
      </c>
      <c r="AP3766">
        <v>0</v>
      </c>
      <c r="AQ3766">
        <v>0</v>
      </c>
      <c r="AR3766">
        <v>0</v>
      </c>
      <c r="AS3766">
        <v>0</v>
      </c>
      <c r="AT3766">
        <v>0</v>
      </c>
      <c r="AV3766">
        <v>0</v>
      </c>
      <c r="AW3766">
        <v>0</v>
      </c>
    </row>
    <row r="3767" spans="1:49" x14ac:dyDescent="0.25">
      <c r="A3767" t="str">
        <f>"3763"</f>
        <v>3763</v>
      </c>
      <c r="B3767" t="str">
        <f t="shared" si="216"/>
        <v>1</v>
      </c>
      <c r="C3767" t="str">
        <f t="shared" si="217"/>
        <v>164</v>
      </c>
      <c r="D3767" t="str">
        <f>"19"</f>
        <v>19</v>
      </c>
      <c r="E3767" t="str">
        <f>"1-164-19"</f>
        <v>1-164-19</v>
      </c>
      <c r="F3767" t="s">
        <v>83</v>
      </c>
      <c r="G3767" t="s">
        <v>84</v>
      </c>
      <c r="H3767" t="s">
        <v>85</v>
      </c>
      <c r="AC3767">
        <v>0</v>
      </c>
      <c r="AD3767">
        <v>1</v>
      </c>
      <c r="AE3767">
        <v>0</v>
      </c>
      <c r="AF3767">
        <v>0</v>
      </c>
      <c r="AG3767">
        <v>0</v>
      </c>
      <c r="AJ3767">
        <v>0</v>
      </c>
      <c r="AK3767">
        <v>1</v>
      </c>
      <c r="AL3767">
        <v>0</v>
      </c>
      <c r="AM3767">
        <v>0</v>
      </c>
      <c r="AN3767">
        <v>0</v>
      </c>
      <c r="AO3767">
        <v>0</v>
      </c>
      <c r="AP3767">
        <v>0</v>
      </c>
      <c r="AQ3767">
        <v>0</v>
      </c>
      <c r="AR3767">
        <v>1</v>
      </c>
      <c r="AS3767">
        <v>0</v>
      </c>
      <c r="AT3767">
        <v>1</v>
      </c>
      <c r="AV3767">
        <v>0</v>
      </c>
      <c r="AW3767">
        <v>0</v>
      </c>
    </row>
    <row r="3768" spans="1:49" x14ac:dyDescent="0.25">
      <c r="A3768" t="str">
        <f>"3764"</f>
        <v>3764</v>
      </c>
      <c r="B3768" t="str">
        <f t="shared" si="216"/>
        <v>1</v>
      </c>
      <c r="C3768" t="str">
        <f t="shared" si="217"/>
        <v>164</v>
      </c>
      <c r="D3768" t="str">
        <f>"5"</f>
        <v>5</v>
      </c>
      <c r="E3768" t="str">
        <f>"1-164-5"</f>
        <v>1-164-5</v>
      </c>
      <c r="F3768" t="s">
        <v>83</v>
      </c>
      <c r="G3768" t="s">
        <v>84</v>
      </c>
      <c r="H3768" t="s">
        <v>85</v>
      </c>
      <c r="AC3768">
        <v>0</v>
      </c>
      <c r="AD3768">
        <v>1</v>
      </c>
      <c r="AE3768">
        <v>0</v>
      </c>
      <c r="AF3768">
        <v>0</v>
      </c>
      <c r="AG3768">
        <v>1</v>
      </c>
      <c r="AJ3768">
        <v>1</v>
      </c>
      <c r="AK3768">
        <v>0</v>
      </c>
      <c r="AL3768">
        <v>0</v>
      </c>
      <c r="AM3768">
        <v>1</v>
      </c>
      <c r="AN3768">
        <v>0</v>
      </c>
      <c r="AO3768">
        <v>1</v>
      </c>
      <c r="AP3768">
        <v>1</v>
      </c>
      <c r="AQ3768">
        <v>1</v>
      </c>
      <c r="AR3768">
        <v>1</v>
      </c>
      <c r="AS3768">
        <v>0</v>
      </c>
      <c r="AT3768">
        <v>1</v>
      </c>
      <c r="AV3768">
        <v>1</v>
      </c>
      <c r="AW3768">
        <v>1</v>
      </c>
    </row>
    <row r="3769" spans="1:49" x14ac:dyDescent="0.25">
      <c r="A3769" t="str">
        <f>"3765"</f>
        <v>3765</v>
      </c>
      <c r="B3769" t="str">
        <f t="shared" si="216"/>
        <v>1</v>
      </c>
      <c r="C3769" t="str">
        <f t="shared" si="217"/>
        <v>164</v>
      </c>
      <c r="D3769" t="str">
        <f>"18"</f>
        <v>18</v>
      </c>
      <c r="E3769" t="str">
        <f>"1-164-18"</f>
        <v>1-164-18</v>
      </c>
      <c r="F3769" t="s">
        <v>83</v>
      </c>
      <c r="G3769" t="s">
        <v>84</v>
      </c>
      <c r="H3769" t="s">
        <v>85</v>
      </c>
      <c r="AC3769">
        <v>0</v>
      </c>
      <c r="AD3769">
        <v>1</v>
      </c>
      <c r="AE3769">
        <v>0</v>
      </c>
      <c r="AF3769">
        <v>0</v>
      </c>
      <c r="AG3769">
        <v>1</v>
      </c>
      <c r="AJ3769">
        <v>1</v>
      </c>
      <c r="AK3769">
        <v>0</v>
      </c>
      <c r="AL3769">
        <v>1</v>
      </c>
      <c r="AM3769">
        <v>0</v>
      </c>
      <c r="AN3769">
        <v>0</v>
      </c>
      <c r="AO3769">
        <v>1</v>
      </c>
      <c r="AP3769">
        <v>1</v>
      </c>
      <c r="AQ3769">
        <v>1</v>
      </c>
      <c r="AR3769">
        <v>1</v>
      </c>
      <c r="AS3769">
        <v>0</v>
      </c>
      <c r="AT3769">
        <v>1</v>
      </c>
      <c r="AV3769">
        <v>1</v>
      </c>
      <c r="AW3769">
        <v>1</v>
      </c>
    </row>
    <row r="3770" spans="1:49" x14ac:dyDescent="0.25">
      <c r="A3770" t="str">
        <f>"3766"</f>
        <v>3766</v>
      </c>
      <c r="B3770" t="str">
        <f t="shared" si="216"/>
        <v>1</v>
      </c>
      <c r="C3770" t="str">
        <f t="shared" ref="C3770:C3792" si="218">"165"</f>
        <v>165</v>
      </c>
      <c r="D3770" t="str">
        <f>"21"</f>
        <v>21</v>
      </c>
      <c r="E3770" t="str">
        <f>"1-165-21"</f>
        <v>1-165-21</v>
      </c>
      <c r="F3770" t="s">
        <v>83</v>
      </c>
      <c r="G3770" t="s">
        <v>84</v>
      </c>
      <c r="H3770" t="s">
        <v>85</v>
      </c>
      <c r="AC3770">
        <v>1</v>
      </c>
      <c r="AD3770">
        <v>0</v>
      </c>
      <c r="AE3770">
        <v>0</v>
      </c>
      <c r="AF3770">
        <v>0</v>
      </c>
      <c r="AG3770">
        <v>1</v>
      </c>
      <c r="AJ3770">
        <v>0</v>
      </c>
      <c r="AK3770">
        <v>1</v>
      </c>
      <c r="AL3770">
        <v>1</v>
      </c>
      <c r="AM3770">
        <v>0</v>
      </c>
      <c r="AN3770">
        <v>0</v>
      </c>
      <c r="AO3770">
        <v>1</v>
      </c>
      <c r="AP3770">
        <v>1</v>
      </c>
      <c r="AQ3770">
        <v>1</v>
      </c>
      <c r="AR3770">
        <v>1</v>
      </c>
      <c r="AS3770">
        <v>0</v>
      </c>
      <c r="AT3770">
        <v>1</v>
      </c>
      <c r="AV3770">
        <v>1</v>
      </c>
      <c r="AW3770">
        <v>1</v>
      </c>
    </row>
    <row r="3771" spans="1:49" x14ac:dyDescent="0.25">
      <c r="A3771" t="str">
        <f>"3767"</f>
        <v>3767</v>
      </c>
      <c r="B3771" t="str">
        <f t="shared" si="216"/>
        <v>1</v>
      </c>
      <c r="C3771" t="str">
        <f t="shared" si="218"/>
        <v>165</v>
      </c>
      <c r="D3771" t="str">
        <f>"20"</f>
        <v>20</v>
      </c>
      <c r="E3771" t="str">
        <f>"1-165-20"</f>
        <v>1-165-20</v>
      </c>
      <c r="F3771" t="s">
        <v>83</v>
      </c>
      <c r="G3771" t="s">
        <v>84</v>
      </c>
      <c r="H3771" t="s">
        <v>85</v>
      </c>
      <c r="AC3771">
        <v>1</v>
      </c>
      <c r="AD3771">
        <v>0</v>
      </c>
      <c r="AE3771">
        <v>0</v>
      </c>
      <c r="AF3771">
        <v>0</v>
      </c>
      <c r="AG3771">
        <v>1</v>
      </c>
      <c r="AJ3771">
        <v>0</v>
      </c>
      <c r="AK3771">
        <v>1</v>
      </c>
      <c r="AL3771">
        <v>0</v>
      </c>
      <c r="AM3771">
        <v>1</v>
      </c>
      <c r="AN3771">
        <v>0</v>
      </c>
      <c r="AO3771">
        <v>1</v>
      </c>
      <c r="AP3771">
        <v>1</v>
      </c>
      <c r="AQ3771">
        <v>1</v>
      </c>
      <c r="AR3771">
        <v>1</v>
      </c>
      <c r="AS3771">
        <v>0</v>
      </c>
      <c r="AT3771">
        <v>1</v>
      </c>
      <c r="AV3771">
        <v>1</v>
      </c>
      <c r="AW3771">
        <v>1</v>
      </c>
    </row>
    <row r="3772" spans="1:49" x14ac:dyDescent="0.25">
      <c r="A3772" t="str">
        <f>"3768"</f>
        <v>3768</v>
      </c>
      <c r="B3772" t="str">
        <f t="shared" si="216"/>
        <v>1</v>
      </c>
      <c r="C3772" t="str">
        <f t="shared" si="218"/>
        <v>165</v>
      </c>
      <c r="D3772" t="str">
        <f>"15"</f>
        <v>15</v>
      </c>
      <c r="E3772" t="str">
        <f>"1-165-15"</f>
        <v>1-165-15</v>
      </c>
      <c r="F3772" t="s">
        <v>83</v>
      </c>
      <c r="G3772" t="s">
        <v>84</v>
      </c>
      <c r="H3772" t="s">
        <v>85</v>
      </c>
      <c r="AC3772">
        <v>1</v>
      </c>
      <c r="AD3772">
        <v>0</v>
      </c>
      <c r="AE3772">
        <v>0</v>
      </c>
      <c r="AF3772">
        <v>0</v>
      </c>
      <c r="AG3772">
        <v>1</v>
      </c>
      <c r="AJ3772">
        <v>0</v>
      </c>
      <c r="AK3772">
        <v>1</v>
      </c>
      <c r="AL3772">
        <v>0</v>
      </c>
      <c r="AM3772">
        <v>1</v>
      </c>
      <c r="AN3772">
        <v>0</v>
      </c>
      <c r="AO3772">
        <v>1</v>
      </c>
      <c r="AP3772">
        <v>1</v>
      </c>
      <c r="AQ3772">
        <v>1</v>
      </c>
      <c r="AR3772">
        <v>1</v>
      </c>
      <c r="AS3772">
        <v>0</v>
      </c>
      <c r="AT3772">
        <v>1</v>
      </c>
      <c r="AV3772">
        <v>1</v>
      </c>
      <c r="AW3772">
        <v>0</v>
      </c>
    </row>
    <row r="3773" spans="1:49" x14ac:dyDescent="0.25">
      <c r="A3773" t="str">
        <f>"3769"</f>
        <v>3769</v>
      </c>
      <c r="B3773" t="str">
        <f t="shared" si="216"/>
        <v>1</v>
      </c>
      <c r="C3773" t="str">
        <f t="shared" si="218"/>
        <v>165</v>
      </c>
      <c r="D3773" t="str">
        <f>"8"</f>
        <v>8</v>
      </c>
      <c r="E3773" t="str">
        <f>"1-165-8"</f>
        <v>1-165-8</v>
      </c>
      <c r="F3773" t="s">
        <v>83</v>
      </c>
      <c r="G3773" t="s">
        <v>84</v>
      </c>
      <c r="H3773" t="s">
        <v>85</v>
      </c>
      <c r="AC3773">
        <v>0</v>
      </c>
      <c r="AD3773">
        <v>1</v>
      </c>
      <c r="AE3773">
        <v>0</v>
      </c>
      <c r="AF3773">
        <v>0</v>
      </c>
      <c r="AG3773">
        <v>1</v>
      </c>
      <c r="AJ3773">
        <v>1</v>
      </c>
      <c r="AK3773">
        <v>0</v>
      </c>
      <c r="AL3773">
        <v>0</v>
      </c>
      <c r="AM3773">
        <v>0</v>
      </c>
      <c r="AN3773">
        <v>1</v>
      </c>
      <c r="AO3773">
        <v>1</v>
      </c>
      <c r="AP3773">
        <v>1</v>
      </c>
      <c r="AQ3773">
        <v>1</v>
      </c>
      <c r="AR3773">
        <v>1</v>
      </c>
      <c r="AS3773">
        <v>1</v>
      </c>
      <c r="AT3773">
        <v>0</v>
      </c>
      <c r="AV3773">
        <v>1</v>
      </c>
      <c r="AW3773">
        <v>1</v>
      </c>
    </row>
    <row r="3774" spans="1:49" x14ac:dyDescent="0.25">
      <c r="A3774" t="str">
        <f>"3770"</f>
        <v>3770</v>
      </c>
      <c r="B3774" t="str">
        <f t="shared" si="216"/>
        <v>1</v>
      </c>
      <c r="C3774" t="str">
        <f t="shared" si="218"/>
        <v>165</v>
      </c>
      <c r="D3774" t="str">
        <f>"4"</f>
        <v>4</v>
      </c>
      <c r="E3774" t="str">
        <f>"1-165-4"</f>
        <v>1-165-4</v>
      </c>
      <c r="F3774" t="s">
        <v>83</v>
      </c>
      <c r="G3774" t="s">
        <v>84</v>
      </c>
      <c r="H3774" t="s">
        <v>85</v>
      </c>
      <c r="AC3774">
        <v>1</v>
      </c>
      <c r="AD3774">
        <v>0</v>
      </c>
      <c r="AE3774">
        <v>0</v>
      </c>
      <c r="AF3774">
        <v>0</v>
      </c>
      <c r="AG3774">
        <v>0</v>
      </c>
      <c r="AJ3774">
        <v>1</v>
      </c>
      <c r="AK3774">
        <v>0</v>
      </c>
      <c r="AL3774">
        <v>1</v>
      </c>
      <c r="AM3774">
        <v>0</v>
      </c>
      <c r="AN3774">
        <v>0</v>
      </c>
      <c r="AO3774">
        <v>0</v>
      </c>
      <c r="AP3774">
        <v>0</v>
      </c>
      <c r="AQ3774">
        <v>0</v>
      </c>
      <c r="AR3774">
        <v>0</v>
      </c>
      <c r="AS3774">
        <v>0</v>
      </c>
      <c r="AT3774">
        <v>1</v>
      </c>
      <c r="AV3774">
        <v>1</v>
      </c>
      <c r="AW3774">
        <v>1</v>
      </c>
    </row>
    <row r="3775" spans="1:49" x14ac:dyDescent="0.25">
      <c r="A3775" t="str">
        <f>"3771"</f>
        <v>3771</v>
      </c>
      <c r="B3775" t="str">
        <f t="shared" si="216"/>
        <v>1</v>
      </c>
      <c r="C3775" t="str">
        <f t="shared" si="218"/>
        <v>165</v>
      </c>
      <c r="D3775" t="str">
        <f>"16"</f>
        <v>16</v>
      </c>
      <c r="E3775" t="str">
        <f>"1-165-16"</f>
        <v>1-165-16</v>
      </c>
      <c r="F3775" t="s">
        <v>83</v>
      </c>
      <c r="G3775" t="s">
        <v>84</v>
      </c>
      <c r="H3775" t="s">
        <v>85</v>
      </c>
      <c r="AC3775">
        <v>1</v>
      </c>
      <c r="AD3775">
        <v>0</v>
      </c>
      <c r="AE3775">
        <v>0</v>
      </c>
      <c r="AF3775">
        <v>0</v>
      </c>
      <c r="AG3775">
        <v>0</v>
      </c>
      <c r="AJ3775">
        <v>1</v>
      </c>
      <c r="AK3775">
        <v>0</v>
      </c>
      <c r="AL3775">
        <v>1</v>
      </c>
      <c r="AM3775">
        <v>0</v>
      </c>
      <c r="AN3775">
        <v>0</v>
      </c>
      <c r="AO3775">
        <v>0</v>
      </c>
      <c r="AP3775">
        <v>0</v>
      </c>
      <c r="AQ3775">
        <v>0</v>
      </c>
      <c r="AR3775">
        <v>0</v>
      </c>
      <c r="AS3775">
        <v>0</v>
      </c>
      <c r="AT3775">
        <v>1</v>
      </c>
      <c r="AV3775">
        <v>1</v>
      </c>
      <c r="AW3775">
        <v>1</v>
      </c>
    </row>
    <row r="3776" spans="1:49" x14ac:dyDescent="0.25">
      <c r="A3776" t="str">
        <f>"3772"</f>
        <v>3772</v>
      </c>
      <c r="B3776" t="str">
        <f t="shared" si="216"/>
        <v>1</v>
      </c>
      <c r="C3776" t="str">
        <f t="shared" si="218"/>
        <v>165</v>
      </c>
      <c r="D3776" t="str">
        <f>"9"</f>
        <v>9</v>
      </c>
      <c r="E3776" t="str">
        <f>"1-165-9"</f>
        <v>1-165-9</v>
      </c>
      <c r="F3776" t="s">
        <v>83</v>
      </c>
      <c r="G3776" t="s">
        <v>88</v>
      </c>
      <c r="H3776" t="s">
        <v>89</v>
      </c>
      <c r="AC3776">
        <v>0</v>
      </c>
      <c r="AD3776">
        <v>1</v>
      </c>
      <c r="AE3776">
        <v>0</v>
      </c>
      <c r="AF3776">
        <v>0</v>
      </c>
      <c r="AH3776">
        <v>0</v>
      </c>
      <c r="AI3776">
        <v>1</v>
      </c>
      <c r="AJ3776">
        <v>1</v>
      </c>
      <c r="AK3776">
        <v>0</v>
      </c>
      <c r="AL3776">
        <v>1</v>
      </c>
      <c r="AM3776">
        <v>0</v>
      </c>
      <c r="AN3776">
        <v>0</v>
      </c>
      <c r="AO3776">
        <v>0</v>
      </c>
      <c r="AP3776">
        <v>0</v>
      </c>
      <c r="AQ3776">
        <v>1</v>
      </c>
      <c r="AR3776">
        <v>0</v>
      </c>
      <c r="AS3776">
        <v>0</v>
      </c>
      <c r="AT3776">
        <v>1</v>
      </c>
      <c r="AV3776">
        <v>0</v>
      </c>
      <c r="AW3776">
        <v>1</v>
      </c>
    </row>
    <row r="3777" spans="1:49" x14ac:dyDescent="0.25">
      <c r="A3777" t="str">
        <f>"3773"</f>
        <v>3773</v>
      </c>
      <c r="B3777" t="str">
        <f t="shared" si="216"/>
        <v>1</v>
      </c>
      <c r="C3777" t="str">
        <f t="shared" si="218"/>
        <v>165</v>
      </c>
      <c r="D3777" t="str">
        <f>"5"</f>
        <v>5</v>
      </c>
      <c r="E3777" t="str">
        <f>"1-165-5"</f>
        <v>1-165-5</v>
      </c>
      <c r="F3777" t="s">
        <v>83</v>
      </c>
      <c r="G3777" t="s">
        <v>84</v>
      </c>
      <c r="H3777" t="s">
        <v>85</v>
      </c>
      <c r="AC3777">
        <v>0</v>
      </c>
      <c r="AD3777">
        <v>1</v>
      </c>
      <c r="AE3777">
        <v>0</v>
      </c>
      <c r="AF3777">
        <v>0</v>
      </c>
      <c r="AG3777">
        <v>0</v>
      </c>
      <c r="AJ3777">
        <v>0</v>
      </c>
      <c r="AK3777">
        <v>1</v>
      </c>
      <c r="AL3777">
        <v>0</v>
      </c>
      <c r="AM3777">
        <v>0</v>
      </c>
      <c r="AN3777">
        <v>1</v>
      </c>
      <c r="AO3777">
        <v>1</v>
      </c>
      <c r="AP3777">
        <v>1</v>
      </c>
      <c r="AQ3777">
        <v>1</v>
      </c>
      <c r="AR3777">
        <v>1</v>
      </c>
      <c r="AS3777">
        <v>1</v>
      </c>
      <c r="AT3777">
        <v>0</v>
      </c>
      <c r="AV3777">
        <v>1</v>
      </c>
      <c r="AW3777">
        <v>1</v>
      </c>
    </row>
    <row r="3778" spans="1:49" x14ac:dyDescent="0.25">
      <c r="A3778" t="str">
        <f>"3774"</f>
        <v>3774</v>
      </c>
      <c r="B3778" t="str">
        <f t="shared" si="216"/>
        <v>1</v>
      </c>
      <c r="C3778" t="str">
        <f t="shared" si="218"/>
        <v>165</v>
      </c>
      <c r="D3778" t="str">
        <f>"17"</f>
        <v>17</v>
      </c>
      <c r="E3778" t="str">
        <f>"1-165-17"</f>
        <v>1-165-17</v>
      </c>
      <c r="F3778" t="s">
        <v>83</v>
      </c>
      <c r="G3778" t="s">
        <v>86</v>
      </c>
      <c r="H3778" t="s">
        <v>87</v>
      </c>
      <c r="AC3778">
        <v>0</v>
      </c>
      <c r="AD3778">
        <v>1</v>
      </c>
      <c r="AE3778">
        <v>0</v>
      </c>
      <c r="AF3778">
        <v>0</v>
      </c>
      <c r="AH3778">
        <v>0</v>
      </c>
      <c r="AI3778">
        <v>1</v>
      </c>
      <c r="AJ3778">
        <v>0</v>
      </c>
      <c r="AK3778">
        <v>0</v>
      </c>
      <c r="AL3778">
        <v>0</v>
      </c>
      <c r="AM3778">
        <v>0</v>
      </c>
      <c r="AN3778">
        <v>1</v>
      </c>
      <c r="AO3778">
        <v>0</v>
      </c>
      <c r="AP3778">
        <v>0</v>
      </c>
      <c r="AQ3778">
        <v>0</v>
      </c>
      <c r="AU3778">
        <v>0</v>
      </c>
      <c r="AV3778">
        <v>0</v>
      </c>
      <c r="AW3778">
        <v>0</v>
      </c>
    </row>
    <row r="3779" spans="1:49" x14ac:dyDescent="0.25">
      <c r="A3779" t="str">
        <f>"3775"</f>
        <v>3775</v>
      </c>
      <c r="B3779" t="str">
        <f t="shared" si="216"/>
        <v>1</v>
      </c>
      <c r="C3779" t="str">
        <f t="shared" si="218"/>
        <v>165</v>
      </c>
      <c r="D3779" t="str">
        <f>"10"</f>
        <v>10</v>
      </c>
      <c r="E3779" t="str">
        <f>"1-165-10"</f>
        <v>1-165-10</v>
      </c>
      <c r="F3779" t="s">
        <v>83</v>
      </c>
      <c r="G3779" t="s">
        <v>88</v>
      </c>
      <c r="H3779" t="s">
        <v>89</v>
      </c>
      <c r="AC3779">
        <v>1</v>
      </c>
      <c r="AD3779">
        <v>0</v>
      </c>
      <c r="AE3779">
        <v>0</v>
      </c>
      <c r="AF3779">
        <v>0</v>
      </c>
      <c r="AH3779">
        <v>1</v>
      </c>
      <c r="AI3779">
        <v>0</v>
      </c>
      <c r="AJ3779">
        <v>1</v>
      </c>
      <c r="AK3779">
        <v>0</v>
      </c>
      <c r="AL3779">
        <v>0</v>
      </c>
      <c r="AM3779">
        <v>0</v>
      </c>
      <c r="AN3779">
        <v>0</v>
      </c>
      <c r="AO3779">
        <v>0</v>
      </c>
      <c r="AP3779">
        <v>0</v>
      </c>
      <c r="AQ3779">
        <v>0</v>
      </c>
      <c r="AR3779">
        <v>0</v>
      </c>
      <c r="AS3779">
        <v>1</v>
      </c>
      <c r="AT3779">
        <v>0</v>
      </c>
      <c r="AV3779">
        <v>0</v>
      </c>
      <c r="AW3779">
        <v>1</v>
      </c>
    </row>
    <row r="3780" spans="1:49" x14ac:dyDescent="0.25">
      <c r="A3780" t="str">
        <f>"3776"</f>
        <v>3776</v>
      </c>
      <c r="B3780" t="str">
        <f t="shared" si="216"/>
        <v>1</v>
      </c>
      <c r="C3780" t="str">
        <f t="shared" si="218"/>
        <v>165</v>
      </c>
      <c r="D3780" t="str">
        <f>"7"</f>
        <v>7</v>
      </c>
      <c r="E3780" t="str">
        <f>"1-165-7"</f>
        <v>1-165-7</v>
      </c>
      <c r="F3780" t="s">
        <v>83</v>
      </c>
      <c r="G3780" t="s">
        <v>84</v>
      </c>
      <c r="H3780" t="s">
        <v>85</v>
      </c>
      <c r="AC3780">
        <v>0</v>
      </c>
      <c r="AD3780">
        <v>1</v>
      </c>
      <c r="AE3780">
        <v>0</v>
      </c>
      <c r="AF3780">
        <v>0</v>
      </c>
      <c r="AG3780">
        <v>1</v>
      </c>
      <c r="AJ3780">
        <v>1</v>
      </c>
      <c r="AK3780">
        <v>0</v>
      </c>
      <c r="AL3780">
        <v>0</v>
      </c>
      <c r="AM3780">
        <v>0</v>
      </c>
      <c r="AN3780">
        <v>1</v>
      </c>
      <c r="AO3780">
        <v>1</v>
      </c>
      <c r="AP3780">
        <v>1</v>
      </c>
      <c r="AQ3780">
        <v>1</v>
      </c>
      <c r="AR3780">
        <v>1</v>
      </c>
      <c r="AS3780">
        <v>1</v>
      </c>
      <c r="AT3780">
        <v>0</v>
      </c>
      <c r="AV3780">
        <v>1</v>
      </c>
      <c r="AW3780">
        <v>1</v>
      </c>
    </row>
    <row r="3781" spans="1:49" x14ac:dyDescent="0.25">
      <c r="A3781" t="str">
        <f>"3777"</f>
        <v>3777</v>
      </c>
      <c r="B3781" t="str">
        <f t="shared" si="216"/>
        <v>1</v>
      </c>
      <c r="C3781" t="str">
        <f t="shared" si="218"/>
        <v>165</v>
      </c>
      <c r="D3781" t="str">
        <f>"11"</f>
        <v>11</v>
      </c>
      <c r="E3781" t="str">
        <f>"1-165-11"</f>
        <v>1-165-11</v>
      </c>
      <c r="F3781" t="s">
        <v>83</v>
      </c>
      <c r="G3781" t="s">
        <v>84</v>
      </c>
      <c r="H3781" t="s">
        <v>85</v>
      </c>
      <c r="AC3781">
        <v>1</v>
      </c>
      <c r="AD3781">
        <v>0</v>
      </c>
      <c r="AE3781">
        <v>0</v>
      </c>
      <c r="AF3781">
        <v>0</v>
      </c>
      <c r="AG3781">
        <v>0</v>
      </c>
      <c r="AJ3781">
        <v>1</v>
      </c>
      <c r="AK3781">
        <v>0</v>
      </c>
      <c r="AL3781">
        <v>0</v>
      </c>
      <c r="AM3781">
        <v>0</v>
      </c>
      <c r="AN3781">
        <v>0</v>
      </c>
      <c r="AO3781">
        <v>0</v>
      </c>
      <c r="AP3781">
        <v>0</v>
      </c>
      <c r="AQ3781">
        <v>0</v>
      </c>
      <c r="AR3781">
        <v>1</v>
      </c>
      <c r="AS3781">
        <v>0</v>
      </c>
      <c r="AT3781">
        <v>1</v>
      </c>
      <c r="AV3781">
        <v>1</v>
      </c>
      <c r="AW3781">
        <v>0</v>
      </c>
    </row>
    <row r="3782" spans="1:49" x14ac:dyDescent="0.25">
      <c r="A3782" t="str">
        <f>"3778"</f>
        <v>3778</v>
      </c>
      <c r="B3782" t="str">
        <f t="shared" si="216"/>
        <v>1</v>
      </c>
      <c r="C3782" t="str">
        <f t="shared" si="218"/>
        <v>165</v>
      </c>
      <c r="D3782" t="str">
        <f>"2"</f>
        <v>2</v>
      </c>
      <c r="E3782" t="str">
        <f>"1-165-2"</f>
        <v>1-165-2</v>
      </c>
      <c r="F3782" t="s">
        <v>83</v>
      </c>
      <c r="G3782" t="s">
        <v>84</v>
      </c>
      <c r="H3782" t="s">
        <v>85</v>
      </c>
      <c r="AC3782">
        <v>0</v>
      </c>
      <c r="AD3782">
        <v>1</v>
      </c>
      <c r="AE3782">
        <v>0</v>
      </c>
      <c r="AF3782">
        <v>0</v>
      </c>
      <c r="AG3782">
        <v>1</v>
      </c>
      <c r="AJ3782">
        <v>0</v>
      </c>
      <c r="AK3782">
        <v>1</v>
      </c>
      <c r="AL3782">
        <v>0</v>
      </c>
      <c r="AM3782">
        <v>1</v>
      </c>
      <c r="AN3782">
        <v>0</v>
      </c>
      <c r="AO3782">
        <v>1</v>
      </c>
      <c r="AP3782">
        <v>1</v>
      </c>
      <c r="AQ3782">
        <v>1</v>
      </c>
      <c r="AR3782">
        <v>1</v>
      </c>
      <c r="AS3782">
        <v>0</v>
      </c>
      <c r="AT3782">
        <v>1</v>
      </c>
      <c r="AV3782">
        <v>1</v>
      </c>
      <c r="AW3782">
        <v>0</v>
      </c>
    </row>
    <row r="3783" spans="1:49" x14ac:dyDescent="0.25">
      <c r="A3783" t="str">
        <f>"3779"</f>
        <v>3779</v>
      </c>
      <c r="B3783" t="str">
        <f t="shared" si="216"/>
        <v>1</v>
      </c>
      <c r="C3783" t="str">
        <f t="shared" si="218"/>
        <v>165</v>
      </c>
      <c r="D3783" t="str">
        <f>"19"</f>
        <v>19</v>
      </c>
      <c r="E3783" t="str">
        <f>"1-165-19"</f>
        <v>1-165-19</v>
      </c>
      <c r="F3783" t="s">
        <v>83</v>
      </c>
      <c r="G3783" t="s">
        <v>84</v>
      </c>
      <c r="H3783" t="s">
        <v>85</v>
      </c>
      <c r="AC3783">
        <v>1</v>
      </c>
      <c r="AD3783">
        <v>0</v>
      </c>
      <c r="AE3783">
        <v>0</v>
      </c>
      <c r="AF3783">
        <v>0</v>
      </c>
      <c r="AG3783">
        <v>1</v>
      </c>
      <c r="AJ3783">
        <v>1</v>
      </c>
      <c r="AK3783">
        <v>0</v>
      </c>
      <c r="AL3783">
        <v>0</v>
      </c>
      <c r="AM3783">
        <v>1</v>
      </c>
      <c r="AN3783">
        <v>0</v>
      </c>
      <c r="AO3783">
        <v>1</v>
      </c>
      <c r="AP3783">
        <v>1</v>
      </c>
      <c r="AQ3783">
        <v>1</v>
      </c>
      <c r="AR3783">
        <v>1</v>
      </c>
      <c r="AS3783">
        <v>1</v>
      </c>
      <c r="AT3783">
        <v>0</v>
      </c>
      <c r="AV3783">
        <v>1</v>
      </c>
      <c r="AW3783">
        <v>1</v>
      </c>
    </row>
    <row r="3784" spans="1:49" x14ac:dyDescent="0.25">
      <c r="A3784" t="str">
        <f>"3780"</f>
        <v>3780</v>
      </c>
      <c r="B3784" t="str">
        <f t="shared" si="216"/>
        <v>1</v>
      </c>
      <c r="C3784" t="str">
        <f t="shared" si="218"/>
        <v>165</v>
      </c>
      <c r="D3784" t="str">
        <f>"12"</f>
        <v>12</v>
      </c>
      <c r="E3784" t="str">
        <f>"1-165-12"</f>
        <v>1-165-12</v>
      </c>
      <c r="F3784" t="s">
        <v>83</v>
      </c>
      <c r="G3784" t="s">
        <v>84</v>
      </c>
      <c r="H3784" t="s">
        <v>85</v>
      </c>
      <c r="AC3784">
        <v>0</v>
      </c>
      <c r="AD3784">
        <v>1</v>
      </c>
      <c r="AE3784">
        <v>0</v>
      </c>
      <c r="AF3784">
        <v>0</v>
      </c>
      <c r="AG3784">
        <v>1</v>
      </c>
      <c r="AJ3784">
        <v>0</v>
      </c>
      <c r="AK3784">
        <v>1</v>
      </c>
      <c r="AL3784">
        <v>0</v>
      </c>
      <c r="AM3784">
        <v>0</v>
      </c>
      <c r="AN3784">
        <v>1</v>
      </c>
      <c r="AO3784">
        <v>1</v>
      </c>
      <c r="AP3784">
        <v>1</v>
      </c>
      <c r="AQ3784">
        <v>1</v>
      </c>
      <c r="AR3784">
        <v>1</v>
      </c>
      <c r="AS3784">
        <v>1</v>
      </c>
      <c r="AT3784">
        <v>0</v>
      </c>
      <c r="AV3784">
        <v>1</v>
      </c>
      <c r="AW3784">
        <v>1</v>
      </c>
    </row>
    <row r="3785" spans="1:49" x14ac:dyDescent="0.25">
      <c r="A3785" t="str">
        <f>"3781"</f>
        <v>3781</v>
      </c>
      <c r="B3785" t="str">
        <f t="shared" si="216"/>
        <v>1</v>
      </c>
      <c r="C3785" t="str">
        <f t="shared" si="218"/>
        <v>165</v>
      </c>
      <c r="D3785" t="str">
        <f>"22"</f>
        <v>22</v>
      </c>
      <c r="E3785" t="str">
        <f>"1-165-22"</f>
        <v>1-165-22</v>
      </c>
      <c r="F3785" t="s">
        <v>83</v>
      </c>
      <c r="G3785" t="s">
        <v>84</v>
      </c>
      <c r="H3785" t="s">
        <v>85</v>
      </c>
      <c r="AC3785">
        <v>0</v>
      </c>
      <c r="AD3785">
        <v>1</v>
      </c>
      <c r="AE3785">
        <v>0</v>
      </c>
      <c r="AF3785">
        <v>0</v>
      </c>
      <c r="AG3785">
        <v>1</v>
      </c>
      <c r="AJ3785">
        <v>0</v>
      </c>
      <c r="AK3785">
        <v>1</v>
      </c>
      <c r="AL3785">
        <v>1</v>
      </c>
      <c r="AM3785">
        <v>0</v>
      </c>
      <c r="AN3785">
        <v>0</v>
      </c>
      <c r="AO3785">
        <v>1</v>
      </c>
      <c r="AP3785">
        <v>1</v>
      </c>
      <c r="AQ3785">
        <v>1</v>
      </c>
      <c r="AR3785">
        <v>1</v>
      </c>
      <c r="AS3785">
        <v>1</v>
      </c>
      <c r="AT3785">
        <v>0</v>
      </c>
      <c r="AV3785">
        <v>1</v>
      </c>
      <c r="AW3785">
        <v>1</v>
      </c>
    </row>
    <row r="3786" spans="1:49" x14ac:dyDescent="0.25">
      <c r="A3786" t="str">
        <f>"3782"</f>
        <v>3782</v>
      </c>
      <c r="B3786" t="str">
        <f t="shared" si="216"/>
        <v>1</v>
      </c>
      <c r="C3786" t="str">
        <f t="shared" si="218"/>
        <v>165</v>
      </c>
      <c r="D3786" t="str">
        <f>"13"</f>
        <v>13</v>
      </c>
      <c r="E3786" t="str">
        <f>"1-165-13"</f>
        <v>1-165-13</v>
      </c>
      <c r="F3786" t="s">
        <v>83</v>
      </c>
      <c r="G3786" t="s">
        <v>84</v>
      </c>
      <c r="H3786" t="s">
        <v>85</v>
      </c>
      <c r="AC3786">
        <v>1</v>
      </c>
      <c r="AD3786">
        <v>0</v>
      </c>
      <c r="AE3786">
        <v>0</v>
      </c>
      <c r="AF3786">
        <v>0</v>
      </c>
      <c r="AG3786">
        <v>1</v>
      </c>
      <c r="AJ3786">
        <v>1</v>
      </c>
      <c r="AK3786">
        <v>0</v>
      </c>
      <c r="AL3786">
        <v>1</v>
      </c>
      <c r="AM3786">
        <v>0</v>
      </c>
      <c r="AN3786">
        <v>0</v>
      </c>
      <c r="AO3786">
        <v>1</v>
      </c>
      <c r="AP3786">
        <v>1</v>
      </c>
      <c r="AQ3786">
        <v>1</v>
      </c>
      <c r="AR3786">
        <v>1</v>
      </c>
      <c r="AS3786">
        <v>0</v>
      </c>
      <c r="AT3786">
        <v>1</v>
      </c>
      <c r="AV3786">
        <v>1</v>
      </c>
      <c r="AW3786">
        <v>1</v>
      </c>
    </row>
    <row r="3787" spans="1:49" x14ac:dyDescent="0.25">
      <c r="A3787" t="str">
        <f>"3783"</f>
        <v>3783</v>
      </c>
      <c r="B3787" t="str">
        <f t="shared" si="216"/>
        <v>1</v>
      </c>
      <c r="C3787" t="str">
        <f t="shared" si="218"/>
        <v>165</v>
      </c>
      <c r="D3787" t="str">
        <f>"3"</f>
        <v>3</v>
      </c>
      <c r="E3787" t="str">
        <f>"1-165-3"</f>
        <v>1-165-3</v>
      </c>
      <c r="F3787" t="s">
        <v>83</v>
      </c>
      <c r="G3787" t="s">
        <v>84</v>
      </c>
      <c r="H3787" t="s">
        <v>85</v>
      </c>
      <c r="AC3787">
        <v>0</v>
      </c>
      <c r="AD3787">
        <v>1</v>
      </c>
      <c r="AE3787">
        <v>0</v>
      </c>
      <c r="AF3787">
        <v>0</v>
      </c>
      <c r="AG3787">
        <v>1</v>
      </c>
      <c r="AJ3787">
        <v>0</v>
      </c>
      <c r="AK3787">
        <v>1</v>
      </c>
      <c r="AL3787">
        <v>0</v>
      </c>
      <c r="AM3787">
        <v>0</v>
      </c>
      <c r="AN3787">
        <v>1</v>
      </c>
      <c r="AO3787">
        <v>1</v>
      </c>
      <c r="AP3787">
        <v>1</v>
      </c>
      <c r="AQ3787">
        <v>1</v>
      </c>
      <c r="AR3787">
        <v>1</v>
      </c>
      <c r="AS3787">
        <v>0</v>
      </c>
      <c r="AT3787">
        <v>1</v>
      </c>
      <c r="AV3787">
        <v>1</v>
      </c>
      <c r="AW3787">
        <v>1</v>
      </c>
    </row>
    <row r="3788" spans="1:49" x14ac:dyDescent="0.25">
      <c r="A3788" t="str">
        <f>"3784"</f>
        <v>3784</v>
      </c>
      <c r="B3788" t="str">
        <f t="shared" si="216"/>
        <v>1</v>
      </c>
      <c r="C3788" t="str">
        <f t="shared" si="218"/>
        <v>165</v>
      </c>
      <c r="D3788" t="str">
        <f>"23"</f>
        <v>23</v>
      </c>
      <c r="E3788" t="str">
        <f>"1-165-23"</f>
        <v>1-165-23</v>
      </c>
      <c r="F3788" t="s">
        <v>83</v>
      </c>
      <c r="G3788" t="s">
        <v>84</v>
      </c>
      <c r="H3788" t="s">
        <v>85</v>
      </c>
      <c r="AC3788">
        <v>0</v>
      </c>
      <c r="AD3788">
        <v>1</v>
      </c>
      <c r="AE3788">
        <v>0</v>
      </c>
      <c r="AF3788">
        <v>0</v>
      </c>
      <c r="AG3788">
        <v>1</v>
      </c>
      <c r="AJ3788">
        <v>1</v>
      </c>
      <c r="AK3788">
        <v>0</v>
      </c>
      <c r="AL3788">
        <v>1</v>
      </c>
      <c r="AM3788">
        <v>0</v>
      </c>
      <c r="AN3788">
        <v>0</v>
      </c>
      <c r="AO3788">
        <v>1</v>
      </c>
      <c r="AP3788">
        <v>1</v>
      </c>
      <c r="AQ3788">
        <v>1</v>
      </c>
      <c r="AR3788">
        <v>1</v>
      </c>
      <c r="AS3788">
        <v>0</v>
      </c>
      <c r="AT3788">
        <v>1</v>
      </c>
      <c r="AV3788">
        <v>1</v>
      </c>
      <c r="AW3788">
        <v>1</v>
      </c>
    </row>
    <row r="3789" spans="1:49" x14ac:dyDescent="0.25">
      <c r="A3789" t="str">
        <f>"3785"</f>
        <v>3785</v>
      </c>
      <c r="B3789" t="str">
        <f t="shared" si="216"/>
        <v>1</v>
      </c>
      <c r="C3789" t="str">
        <f t="shared" si="218"/>
        <v>165</v>
      </c>
      <c r="D3789" t="str">
        <f>"18"</f>
        <v>18</v>
      </c>
      <c r="E3789" t="str">
        <f>"1-165-18"</f>
        <v>1-165-18</v>
      </c>
      <c r="F3789" t="s">
        <v>83</v>
      </c>
      <c r="G3789" t="s">
        <v>84</v>
      </c>
      <c r="H3789" t="s">
        <v>85</v>
      </c>
      <c r="AC3789">
        <v>0</v>
      </c>
      <c r="AD3789">
        <v>1</v>
      </c>
      <c r="AE3789">
        <v>0</v>
      </c>
      <c r="AF3789">
        <v>0</v>
      </c>
      <c r="AG3789">
        <v>0</v>
      </c>
      <c r="AJ3789">
        <v>1</v>
      </c>
      <c r="AK3789">
        <v>0</v>
      </c>
      <c r="AL3789">
        <v>0</v>
      </c>
      <c r="AM3789">
        <v>0</v>
      </c>
      <c r="AN3789">
        <v>0</v>
      </c>
      <c r="AO3789">
        <v>0</v>
      </c>
      <c r="AP3789">
        <v>0</v>
      </c>
      <c r="AQ3789">
        <v>1</v>
      </c>
      <c r="AR3789">
        <v>0</v>
      </c>
      <c r="AS3789">
        <v>1</v>
      </c>
      <c r="AT3789">
        <v>0</v>
      </c>
      <c r="AV3789">
        <v>0</v>
      </c>
      <c r="AW3789">
        <v>1</v>
      </c>
    </row>
    <row r="3790" spans="1:49" x14ac:dyDescent="0.25">
      <c r="A3790" t="str">
        <f>"3786"</f>
        <v>3786</v>
      </c>
      <c r="B3790" t="str">
        <f t="shared" si="216"/>
        <v>1</v>
      </c>
      <c r="C3790" t="str">
        <f t="shared" si="218"/>
        <v>165</v>
      </c>
      <c r="D3790" t="str">
        <f>"14"</f>
        <v>14</v>
      </c>
      <c r="E3790" t="str">
        <f>"1-165-14"</f>
        <v>1-165-14</v>
      </c>
      <c r="F3790" t="s">
        <v>83</v>
      </c>
      <c r="G3790" t="s">
        <v>84</v>
      </c>
      <c r="H3790" t="s">
        <v>85</v>
      </c>
      <c r="AC3790">
        <v>1</v>
      </c>
      <c r="AD3790">
        <v>0</v>
      </c>
      <c r="AE3790">
        <v>0</v>
      </c>
      <c r="AF3790">
        <v>0</v>
      </c>
      <c r="AG3790">
        <v>1</v>
      </c>
      <c r="AJ3790">
        <v>1</v>
      </c>
      <c r="AK3790">
        <v>0</v>
      </c>
      <c r="AL3790">
        <v>1</v>
      </c>
      <c r="AM3790">
        <v>0</v>
      </c>
      <c r="AN3790">
        <v>0</v>
      </c>
      <c r="AO3790">
        <v>1</v>
      </c>
      <c r="AP3790">
        <v>1</v>
      </c>
      <c r="AQ3790">
        <v>1</v>
      </c>
      <c r="AR3790">
        <v>1</v>
      </c>
      <c r="AS3790">
        <v>1</v>
      </c>
      <c r="AT3790">
        <v>0</v>
      </c>
      <c r="AV3790">
        <v>1</v>
      </c>
      <c r="AW3790">
        <v>1</v>
      </c>
    </row>
    <row r="3791" spans="1:49" x14ac:dyDescent="0.25">
      <c r="A3791" t="str">
        <f>"3787"</f>
        <v>3787</v>
      </c>
      <c r="B3791" t="str">
        <f t="shared" si="216"/>
        <v>1</v>
      </c>
      <c r="C3791" t="str">
        <f t="shared" si="218"/>
        <v>165</v>
      </c>
      <c r="D3791" t="str">
        <f>"6"</f>
        <v>6</v>
      </c>
      <c r="E3791" t="str">
        <f>"1-165-6"</f>
        <v>1-165-6</v>
      </c>
      <c r="F3791" t="s">
        <v>83</v>
      </c>
      <c r="G3791" t="s">
        <v>84</v>
      </c>
      <c r="H3791" t="s">
        <v>85</v>
      </c>
      <c r="AC3791">
        <v>1</v>
      </c>
      <c r="AD3791">
        <v>0</v>
      </c>
      <c r="AE3791">
        <v>0</v>
      </c>
      <c r="AF3791">
        <v>0</v>
      </c>
      <c r="AG3791">
        <v>0</v>
      </c>
      <c r="AJ3791">
        <v>1</v>
      </c>
      <c r="AK3791">
        <v>0</v>
      </c>
      <c r="AL3791">
        <v>1</v>
      </c>
      <c r="AM3791">
        <v>0</v>
      </c>
      <c r="AN3791">
        <v>0</v>
      </c>
      <c r="AO3791">
        <v>0</v>
      </c>
      <c r="AP3791">
        <v>0</v>
      </c>
      <c r="AQ3791">
        <v>0</v>
      </c>
      <c r="AR3791">
        <v>0</v>
      </c>
      <c r="AS3791">
        <v>0</v>
      </c>
      <c r="AT3791">
        <v>1</v>
      </c>
      <c r="AV3791">
        <v>1</v>
      </c>
      <c r="AW3791">
        <v>1</v>
      </c>
    </row>
    <row r="3792" spans="1:49" x14ac:dyDescent="0.25">
      <c r="A3792" t="str">
        <f>"3788"</f>
        <v>3788</v>
      </c>
      <c r="B3792" t="str">
        <f t="shared" si="216"/>
        <v>1</v>
      </c>
      <c r="C3792" t="str">
        <f t="shared" si="218"/>
        <v>165</v>
      </c>
      <c r="D3792" t="str">
        <f>"1"</f>
        <v>1</v>
      </c>
      <c r="E3792" t="str">
        <f>"1-165-1"</f>
        <v>1-165-1</v>
      </c>
      <c r="F3792" t="s">
        <v>83</v>
      </c>
      <c r="G3792" t="s">
        <v>84</v>
      </c>
      <c r="H3792" t="s">
        <v>85</v>
      </c>
      <c r="AC3792">
        <v>1</v>
      </c>
      <c r="AD3792">
        <v>0</v>
      </c>
      <c r="AE3792">
        <v>0</v>
      </c>
      <c r="AF3792">
        <v>0</v>
      </c>
      <c r="AG3792">
        <v>1</v>
      </c>
      <c r="AJ3792">
        <v>1</v>
      </c>
      <c r="AK3792">
        <v>0</v>
      </c>
      <c r="AL3792">
        <v>0</v>
      </c>
      <c r="AM3792">
        <v>1</v>
      </c>
      <c r="AN3792">
        <v>0</v>
      </c>
      <c r="AO3792">
        <v>1</v>
      </c>
      <c r="AP3792">
        <v>1</v>
      </c>
      <c r="AQ3792">
        <v>1</v>
      </c>
      <c r="AR3792">
        <v>1</v>
      </c>
      <c r="AS3792">
        <v>1</v>
      </c>
      <c r="AT3792">
        <v>0</v>
      </c>
      <c r="AV3792">
        <v>1</v>
      </c>
      <c r="AW3792">
        <v>1</v>
      </c>
    </row>
    <row r="3793" spans="1:49" x14ac:dyDescent="0.25">
      <c r="A3793" t="str">
        <f>"3789"</f>
        <v>3789</v>
      </c>
      <c r="B3793" t="str">
        <f t="shared" si="216"/>
        <v>1</v>
      </c>
      <c r="C3793" t="str">
        <f t="shared" ref="C3793:C3817" si="219">"166"</f>
        <v>166</v>
      </c>
      <c r="D3793" t="str">
        <f>"23"</f>
        <v>23</v>
      </c>
      <c r="E3793" t="str">
        <f>"1-166-23"</f>
        <v>1-166-23</v>
      </c>
      <c r="F3793" t="s">
        <v>83</v>
      </c>
      <c r="G3793" t="s">
        <v>84</v>
      </c>
      <c r="H3793" t="s">
        <v>85</v>
      </c>
      <c r="AC3793">
        <v>1</v>
      </c>
      <c r="AD3793">
        <v>0</v>
      </c>
      <c r="AE3793">
        <v>0</v>
      </c>
      <c r="AF3793">
        <v>0</v>
      </c>
      <c r="AG3793">
        <v>1</v>
      </c>
      <c r="AJ3793">
        <v>0</v>
      </c>
      <c r="AK3793">
        <v>1</v>
      </c>
      <c r="AL3793">
        <v>0</v>
      </c>
      <c r="AM3793">
        <v>1</v>
      </c>
      <c r="AN3793">
        <v>0</v>
      </c>
      <c r="AO3793">
        <v>1</v>
      </c>
      <c r="AP3793">
        <v>1</v>
      </c>
      <c r="AQ3793">
        <v>1</v>
      </c>
      <c r="AR3793">
        <v>1</v>
      </c>
      <c r="AS3793">
        <v>0</v>
      </c>
      <c r="AT3793">
        <v>1</v>
      </c>
      <c r="AV3793">
        <v>1</v>
      </c>
      <c r="AW3793">
        <v>1</v>
      </c>
    </row>
    <row r="3794" spans="1:49" x14ac:dyDescent="0.25">
      <c r="A3794" t="str">
        <f>"3790"</f>
        <v>3790</v>
      </c>
      <c r="B3794" t="str">
        <f t="shared" si="216"/>
        <v>1</v>
      </c>
      <c r="C3794" t="str">
        <f t="shared" si="219"/>
        <v>166</v>
      </c>
      <c r="D3794" t="str">
        <f>"22"</f>
        <v>22</v>
      </c>
      <c r="E3794" t="str">
        <f>"1-166-22"</f>
        <v>1-166-22</v>
      </c>
      <c r="F3794" t="s">
        <v>83</v>
      </c>
      <c r="G3794" t="s">
        <v>86</v>
      </c>
      <c r="H3794" t="s">
        <v>87</v>
      </c>
      <c r="AC3794">
        <v>1</v>
      </c>
      <c r="AD3794">
        <v>0</v>
      </c>
      <c r="AE3794">
        <v>0</v>
      </c>
      <c r="AF3794">
        <v>0</v>
      </c>
      <c r="AH3794">
        <v>1</v>
      </c>
      <c r="AI3794">
        <v>0</v>
      </c>
      <c r="AJ3794">
        <v>1</v>
      </c>
      <c r="AK3794">
        <v>0</v>
      </c>
      <c r="AL3794">
        <v>1</v>
      </c>
      <c r="AM3794">
        <v>0</v>
      </c>
      <c r="AN3794">
        <v>0</v>
      </c>
      <c r="AO3794">
        <v>1</v>
      </c>
      <c r="AP3794">
        <v>1</v>
      </c>
      <c r="AQ3794">
        <v>1</v>
      </c>
      <c r="AU3794">
        <v>1</v>
      </c>
      <c r="AV3794">
        <v>1</v>
      </c>
      <c r="AW3794">
        <v>0</v>
      </c>
    </row>
    <row r="3795" spans="1:49" x14ac:dyDescent="0.25">
      <c r="A3795" t="str">
        <f>"3791"</f>
        <v>3791</v>
      </c>
      <c r="B3795" t="str">
        <f t="shared" si="216"/>
        <v>1</v>
      </c>
      <c r="C3795" t="str">
        <f t="shared" si="219"/>
        <v>166</v>
      </c>
      <c r="D3795" t="str">
        <f>"15"</f>
        <v>15</v>
      </c>
      <c r="E3795" t="str">
        <f>"1-166-15"</f>
        <v>1-166-15</v>
      </c>
      <c r="F3795" t="s">
        <v>83</v>
      </c>
      <c r="G3795" t="s">
        <v>84</v>
      </c>
      <c r="H3795" t="s">
        <v>85</v>
      </c>
      <c r="AC3795">
        <v>0</v>
      </c>
      <c r="AD3795">
        <v>1</v>
      </c>
      <c r="AE3795">
        <v>0</v>
      </c>
      <c r="AF3795">
        <v>0</v>
      </c>
      <c r="AG3795">
        <v>1</v>
      </c>
      <c r="AJ3795">
        <v>0</v>
      </c>
      <c r="AK3795">
        <v>1</v>
      </c>
      <c r="AL3795">
        <v>0</v>
      </c>
      <c r="AM3795">
        <v>0</v>
      </c>
      <c r="AN3795">
        <v>1</v>
      </c>
      <c r="AO3795">
        <v>1</v>
      </c>
      <c r="AP3795">
        <v>1</v>
      </c>
      <c r="AQ3795">
        <v>1</v>
      </c>
      <c r="AR3795">
        <v>1</v>
      </c>
      <c r="AS3795">
        <v>0</v>
      </c>
      <c r="AT3795">
        <v>1</v>
      </c>
      <c r="AV3795">
        <v>1</v>
      </c>
      <c r="AW3795">
        <v>1</v>
      </c>
    </row>
    <row r="3796" spans="1:49" x14ac:dyDescent="0.25">
      <c r="A3796" t="str">
        <f>"3792"</f>
        <v>3792</v>
      </c>
      <c r="B3796" t="str">
        <f t="shared" si="216"/>
        <v>1</v>
      </c>
      <c r="C3796" t="str">
        <f t="shared" si="219"/>
        <v>166</v>
      </c>
      <c r="D3796" t="str">
        <f>"8"</f>
        <v>8</v>
      </c>
      <c r="E3796" t="str">
        <f>"1-166-8"</f>
        <v>1-166-8</v>
      </c>
      <c r="F3796" t="s">
        <v>83</v>
      </c>
      <c r="G3796" t="s">
        <v>84</v>
      </c>
      <c r="H3796" t="s">
        <v>85</v>
      </c>
      <c r="AC3796">
        <v>0</v>
      </c>
      <c r="AD3796">
        <v>1</v>
      </c>
      <c r="AE3796">
        <v>0</v>
      </c>
      <c r="AF3796">
        <v>0</v>
      </c>
      <c r="AG3796">
        <v>1</v>
      </c>
      <c r="AJ3796">
        <v>0</v>
      </c>
      <c r="AK3796">
        <v>1</v>
      </c>
      <c r="AL3796">
        <v>1</v>
      </c>
      <c r="AM3796">
        <v>0</v>
      </c>
      <c r="AN3796">
        <v>0</v>
      </c>
      <c r="AO3796">
        <v>1</v>
      </c>
      <c r="AP3796">
        <v>1</v>
      </c>
      <c r="AQ3796">
        <v>1</v>
      </c>
      <c r="AR3796">
        <v>1</v>
      </c>
      <c r="AS3796">
        <v>1</v>
      </c>
      <c r="AT3796">
        <v>0</v>
      </c>
      <c r="AV3796">
        <v>1</v>
      </c>
      <c r="AW3796">
        <v>1</v>
      </c>
    </row>
    <row r="3797" spans="1:49" x14ac:dyDescent="0.25">
      <c r="A3797" t="str">
        <f>"3793"</f>
        <v>3793</v>
      </c>
      <c r="B3797" t="str">
        <f t="shared" si="216"/>
        <v>1</v>
      </c>
      <c r="C3797" t="str">
        <f t="shared" si="219"/>
        <v>166</v>
      </c>
      <c r="D3797" t="str">
        <f>"2"</f>
        <v>2</v>
      </c>
      <c r="E3797" t="str">
        <f>"1-166-2"</f>
        <v>1-166-2</v>
      </c>
      <c r="F3797" t="s">
        <v>83</v>
      </c>
      <c r="G3797" t="s">
        <v>86</v>
      </c>
      <c r="H3797" t="s">
        <v>87</v>
      </c>
      <c r="AC3797">
        <v>1</v>
      </c>
      <c r="AD3797">
        <v>0</v>
      </c>
      <c r="AE3797">
        <v>0</v>
      </c>
      <c r="AF3797">
        <v>0</v>
      </c>
      <c r="AH3797">
        <v>1</v>
      </c>
      <c r="AI3797">
        <v>0</v>
      </c>
      <c r="AJ3797">
        <v>1</v>
      </c>
      <c r="AK3797">
        <v>0</v>
      </c>
      <c r="AL3797">
        <v>1</v>
      </c>
      <c r="AM3797">
        <v>0</v>
      </c>
      <c r="AN3797">
        <v>0</v>
      </c>
      <c r="AO3797">
        <v>0</v>
      </c>
      <c r="AP3797">
        <v>0</v>
      </c>
      <c r="AQ3797">
        <v>0</v>
      </c>
      <c r="AU3797">
        <v>0</v>
      </c>
      <c r="AV3797">
        <v>0</v>
      </c>
      <c r="AW3797">
        <v>0</v>
      </c>
    </row>
    <row r="3798" spans="1:49" x14ac:dyDescent="0.25">
      <c r="A3798" t="str">
        <f>"3794"</f>
        <v>3794</v>
      </c>
      <c r="B3798" t="str">
        <f t="shared" si="216"/>
        <v>1</v>
      </c>
      <c r="C3798" t="str">
        <f t="shared" si="219"/>
        <v>166</v>
      </c>
      <c r="D3798" t="str">
        <f>"25"</f>
        <v>25</v>
      </c>
      <c r="E3798" t="str">
        <f>"1-166-25"</f>
        <v>1-166-25</v>
      </c>
      <c r="F3798" t="s">
        <v>83</v>
      </c>
      <c r="G3798" t="s">
        <v>84</v>
      </c>
      <c r="H3798" t="s">
        <v>85</v>
      </c>
      <c r="AC3798">
        <v>0</v>
      </c>
      <c r="AD3798">
        <v>1</v>
      </c>
      <c r="AE3798">
        <v>0</v>
      </c>
      <c r="AF3798">
        <v>0</v>
      </c>
      <c r="AG3798">
        <v>0</v>
      </c>
      <c r="AJ3798">
        <v>0</v>
      </c>
      <c r="AK3798">
        <v>0</v>
      </c>
      <c r="AL3798">
        <v>0</v>
      </c>
      <c r="AM3798">
        <v>0</v>
      </c>
      <c r="AN3798">
        <v>1</v>
      </c>
      <c r="AO3798">
        <v>0</v>
      </c>
      <c r="AP3798">
        <v>0</v>
      </c>
      <c r="AQ3798">
        <v>0</v>
      </c>
      <c r="AR3798">
        <v>0</v>
      </c>
      <c r="AS3798">
        <v>1</v>
      </c>
      <c r="AT3798">
        <v>0</v>
      </c>
      <c r="AV3798">
        <v>0</v>
      </c>
      <c r="AW3798">
        <v>1</v>
      </c>
    </row>
    <row r="3799" spans="1:49" x14ac:dyDescent="0.25">
      <c r="A3799" t="str">
        <f>"3795"</f>
        <v>3795</v>
      </c>
      <c r="B3799" t="str">
        <f t="shared" si="216"/>
        <v>1</v>
      </c>
      <c r="C3799" t="str">
        <f t="shared" si="219"/>
        <v>166</v>
      </c>
      <c r="D3799" t="str">
        <f>"24"</f>
        <v>24</v>
      </c>
      <c r="E3799" t="str">
        <f>"1-166-24"</f>
        <v>1-166-24</v>
      </c>
      <c r="F3799" t="s">
        <v>83</v>
      </c>
      <c r="G3799" t="s">
        <v>84</v>
      </c>
      <c r="H3799" t="s">
        <v>85</v>
      </c>
      <c r="AC3799">
        <v>0</v>
      </c>
      <c r="AD3799">
        <v>1</v>
      </c>
      <c r="AE3799">
        <v>0</v>
      </c>
      <c r="AF3799">
        <v>0</v>
      </c>
      <c r="AG3799">
        <v>0</v>
      </c>
      <c r="AJ3799">
        <v>0</v>
      </c>
      <c r="AK3799">
        <v>0</v>
      </c>
      <c r="AL3799">
        <v>0</v>
      </c>
      <c r="AM3799">
        <v>0</v>
      </c>
      <c r="AN3799">
        <v>1</v>
      </c>
      <c r="AO3799">
        <v>0</v>
      </c>
      <c r="AP3799">
        <v>0</v>
      </c>
      <c r="AQ3799">
        <v>0</v>
      </c>
      <c r="AR3799">
        <v>0</v>
      </c>
      <c r="AS3799">
        <v>1</v>
      </c>
      <c r="AT3799">
        <v>0</v>
      </c>
      <c r="AV3799">
        <v>0</v>
      </c>
      <c r="AW3799">
        <v>1</v>
      </c>
    </row>
    <row r="3800" spans="1:49" x14ac:dyDescent="0.25">
      <c r="A3800" t="str">
        <f>"3796"</f>
        <v>3796</v>
      </c>
      <c r="B3800" t="str">
        <f t="shared" si="216"/>
        <v>1</v>
      </c>
      <c r="C3800" t="str">
        <f t="shared" si="219"/>
        <v>166</v>
      </c>
      <c r="D3800" t="str">
        <f>"16"</f>
        <v>16</v>
      </c>
      <c r="E3800" t="str">
        <f>"1-166-16"</f>
        <v>1-166-16</v>
      </c>
      <c r="F3800" t="s">
        <v>83</v>
      </c>
      <c r="G3800" t="s">
        <v>84</v>
      </c>
      <c r="H3800" t="s">
        <v>85</v>
      </c>
      <c r="AC3800">
        <v>0</v>
      </c>
      <c r="AD3800">
        <v>1</v>
      </c>
      <c r="AE3800">
        <v>0</v>
      </c>
      <c r="AF3800">
        <v>0</v>
      </c>
      <c r="AG3800">
        <v>1</v>
      </c>
      <c r="AJ3800">
        <v>0</v>
      </c>
      <c r="AK3800">
        <v>1</v>
      </c>
      <c r="AL3800">
        <v>0</v>
      </c>
      <c r="AM3800">
        <v>1</v>
      </c>
      <c r="AN3800">
        <v>0</v>
      </c>
      <c r="AO3800">
        <v>1</v>
      </c>
      <c r="AP3800">
        <v>1</v>
      </c>
      <c r="AQ3800">
        <v>1</v>
      </c>
      <c r="AR3800">
        <v>1</v>
      </c>
      <c r="AS3800">
        <v>0</v>
      </c>
      <c r="AT3800">
        <v>1</v>
      </c>
      <c r="AV3800">
        <v>1</v>
      </c>
      <c r="AW3800">
        <v>1</v>
      </c>
    </row>
    <row r="3801" spans="1:49" x14ac:dyDescent="0.25">
      <c r="A3801" t="str">
        <f>"3797"</f>
        <v>3797</v>
      </c>
      <c r="B3801" t="str">
        <f t="shared" si="216"/>
        <v>1</v>
      </c>
      <c r="C3801" t="str">
        <f t="shared" si="219"/>
        <v>166</v>
      </c>
      <c r="D3801" t="str">
        <f>"9"</f>
        <v>9</v>
      </c>
      <c r="E3801" t="str">
        <f>"1-166-9"</f>
        <v>1-166-9</v>
      </c>
      <c r="F3801" t="s">
        <v>83</v>
      </c>
      <c r="G3801" t="s">
        <v>84</v>
      </c>
      <c r="H3801" t="s">
        <v>85</v>
      </c>
      <c r="AC3801">
        <v>1</v>
      </c>
      <c r="AD3801">
        <v>0</v>
      </c>
      <c r="AE3801">
        <v>0</v>
      </c>
      <c r="AF3801">
        <v>0</v>
      </c>
      <c r="AG3801">
        <v>0</v>
      </c>
      <c r="AJ3801">
        <v>1</v>
      </c>
      <c r="AK3801">
        <v>0</v>
      </c>
      <c r="AL3801">
        <v>0</v>
      </c>
      <c r="AM3801">
        <v>1</v>
      </c>
      <c r="AN3801">
        <v>0</v>
      </c>
      <c r="AO3801">
        <v>0</v>
      </c>
      <c r="AP3801">
        <v>0</v>
      </c>
      <c r="AQ3801">
        <v>0</v>
      </c>
      <c r="AR3801">
        <v>0</v>
      </c>
      <c r="AS3801">
        <v>1</v>
      </c>
      <c r="AT3801">
        <v>0</v>
      </c>
      <c r="AV3801">
        <v>0</v>
      </c>
      <c r="AW3801">
        <v>0</v>
      </c>
    </row>
    <row r="3802" spans="1:49" x14ac:dyDescent="0.25">
      <c r="A3802" t="str">
        <f>"3798"</f>
        <v>3798</v>
      </c>
      <c r="B3802" t="str">
        <f t="shared" si="216"/>
        <v>1</v>
      </c>
      <c r="C3802" t="str">
        <f t="shared" si="219"/>
        <v>166</v>
      </c>
      <c r="D3802" t="str">
        <f>"6"</f>
        <v>6</v>
      </c>
      <c r="E3802" t="str">
        <f>"1-166-6"</f>
        <v>1-166-6</v>
      </c>
      <c r="F3802" t="s">
        <v>83</v>
      </c>
      <c r="G3802" t="s">
        <v>84</v>
      </c>
      <c r="H3802" t="s">
        <v>85</v>
      </c>
      <c r="AC3802">
        <v>0</v>
      </c>
      <c r="AD3802">
        <v>1</v>
      </c>
      <c r="AE3802">
        <v>0</v>
      </c>
      <c r="AF3802">
        <v>0</v>
      </c>
      <c r="AG3802">
        <v>1</v>
      </c>
      <c r="AJ3802">
        <v>0</v>
      </c>
      <c r="AK3802">
        <v>1</v>
      </c>
      <c r="AL3802">
        <v>0</v>
      </c>
      <c r="AM3802">
        <v>0</v>
      </c>
      <c r="AN3802">
        <v>1</v>
      </c>
      <c r="AO3802">
        <v>1</v>
      </c>
      <c r="AP3802">
        <v>1</v>
      </c>
      <c r="AQ3802">
        <v>1</v>
      </c>
      <c r="AR3802">
        <v>1</v>
      </c>
      <c r="AS3802">
        <v>1</v>
      </c>
      <c r="AT3802">
        <v>0</v>
      </c>
      <c r="AV3802">
        <v>1</v>
      </c>
      <c r="AW3802">
        <v>1</v>
      </c>
    </row>
    <row r="3803" spans="1:49" x14ac:dyDescent="0.25">
      <c r="A3803" t="str">
        <f>"3799"</f>
        <v>3799</v>
      </c>
      <c r="B3803" t="str">
        <f t="shared" si="216"/>
        <v>1</v>
      </c>
      <c r="C3803" t="str">
        <f t="shared" si="219"/>
        <v>166</v>
      </c>
      <c r="D3803" t="str">
        <f>"17"</f>
        <v>17</v>
      </c>
      <c r="E3803" t="str">
        <f>"1-166-17"</f>
        <v>1-166-17</v>
      </c>
      <c r="F3803" t="s">
        <v>83</v>
      </c>
      <c r="G3803" t="s">
        <v>84</v>
      </c>
      <c r="H3803" t="s">
        <v>85</v>
      </c>
      <c r="AC3803">
        <v>0</v>
      </c>
      <c r="AD3803">
        <v>1</v>
      </c>
      <c r="AE3803">
        <v>0</v>
      </c>
      <c r="AF3803">
        <v>0</v>
      </c>
      <c r="AG3803">
        <v>1</v>
      </c>
      <c r="AJ3803">
        <v>0</v>
      </c>
      <c r="AK3803">
        <v>1</v>
      </c>
      <c r="AL3803">
        <v>0</v>
      </c>
      <c r="AM3803">
        <v>1</v>
      </c>
      <c r="AN3803">
        <v>0</v>
      </c>
      <c r="AO3803">
        <v>1</v>
      </c>
      <c r="AP3803">
        <v>1</v>
      </c>
      <c r="AQ3803">
        <v>1</v>
      </c>
      <c r="AR3803">
        <v>1</v>
      </c>
      <c r="AS3803">
        <v>0</v>
      </c>
      <c r="AT3803">
        <v>1</v>
      </c>
      <c r="AV3803">
        <v>1</v>
      </c>
      <c r="AW3803">
        <v>1</v>
      </c>
    </row>
    <row r="3804" spans="1:49" x14ac:dyDescent="0.25">
      <c r="A3804" t="str">
        <f>"3800"</f>
        <v>3800</v>
      </c>
      <c r="B3804" t="str">
        <f t="shared" si="216"/>
        <v>1</v>
      </c>
      <c r="C3804" t="str">
        <f t="shared" si="219"/>
        <v>166</v>
      </c>
      <c r="D3804" t="str">
        <f>"10"</f>
        <v>10</v>
      </c>
      <c r="E3804" t="str">
        <f>"1-166-10"</f>
        <v>1-166-10</v>
      </c>
      <c r="F3804" t="s">
        <v>83</v>
      </c>
      <c r="G3804" t="s">
        <v>84</v>
      </c>
      <c r="H3804" t="s">
        <v>85</v>
      </c>
      <c r="AC3804">
        <v>1</v>
      </c>
      <c r="AD3804">
        <v>0</v>
      </c>
      <c r="AE3804">
        <v>0</v>
      </c>
      <c r="AF3804">
        <v>0</v>
      </c>
      <c r="AG3804">
        <v>0</v>
      </c>
      <c r="AJ3804">
        <v>1</v>
      </c>
      <c r="AK3804">
        <v>0</v>
      </c>
      <c r="AL3804">
        <v>0</v>
      </c>
      <c r="AM3804">
        <v>1</v>
      </c>
      <c r="AN3804">
        <v>0</v>
      </c>
      <c r="AO3804">
        <v>0</v>
      </c>
      <c r="AP3804">
        <v>0</v>
      </c>
      <c r="AQ3804">
        <v>0</v>
      </c>
      <c r="AR3804">
        <v>0</v>
      </c>
      <c r="AS3804">
        <v>0</v>
      </c>
      <c r="AT3804">
        <v>1</v>
      </c>
      <c r="AV3804">
        <v>0</v>
      </c>
      <c r="AW3804">
        <v>0</v>
      </c>
    </row>
    <row r="3805" spans="1:49" x14ac:dyDescent="0.25">
      <c r="A3805" t="str">
        <f>"3801"</f>
        <v>3801</v>
      </c>
      <c r="B3805" t="str">
        <f t="shared" si="216"/>
        <v>1</v>
      </c>
      <c r="C3805" t="str">
        <f t="shared" si="219"/>
        <v>166</v>
      </c>
      <c r="D3805" t="str">
        <f>"4"</f>
        <v>4</v>
      </c>
      <c r="E3805" t="str">
        <f>"1-166-4"</f>
        <v>1-166-4</v>
      </c>
      <c r="F3805" t="s">
        <v>83</v>
      </c>
      <c r="G3805" t="s">
        <v>86</v>
      </c>
      <c r="H3805" t="s">
        <v>87</v>
      </c>
      <c r="AC3805">
        <v>0</v>
      </c>
      <c r="AD3805">
        <v>1</v>
      </c>
      <c r="AE3805">
        <v>0</v>
      </c>
      <c r="AF3805">
        <v>0</v>
      </c>
      <c r="AH3805">
        <v>1</v>
      </c>
      <c r="AI3805">
        <v>0</v>
      </c>
      <c r="AJ3805">
        <v>1</v>
      </c>
      <c r="AK3805">
        <v>0</v>
      </c>
      <c r="AL3805">
        <v>0</v>
      </c>
      <c r="AM3805">
        <v>0</v>
      </c>
      <c r="AN3805">
        <v>1</v>
      </c>
      <c r="AO3805">
        <v>0</v>
      </c>
      <c r="AP3805">
        <v>0</v>
      </c>
      <c r="AQ3805">
        <v>0</v>
      </c>
      <c r="AU3805">
        <v>0</v>
      </c>
      <c r="AV3805">
        <v>0</v>
      </c>
      <c r="AW3805">
        <v>0</v>
      </c>
    </row>
    <row r="3806" spans="1:49" x14ac:dyDescent="0.25">
      <c r="A3806" t="str">
        <f>"3802"</f>
        <v>3802</v>
      </c>
      <c r="B3806" t="str">
        <f t="shared" ref="B3806:B3869" si="220">"1"</f>
        <v>1</v>
      </c>
      <c r="C3806" t="str">
        <f t="shared" si="219"/>
        <v>166</v>
      </c>
      <c r="D3806" t="str">
        <f>"18"</f>
        <v>18</v>
      </c>
      <c r="E3806" t="str">
        <f>"1-166-18"</f>
        <v>1-166-18</v>
      </c>
      <c r="F3806" t="s">
        <v>83</v>
      </c>
      <c r="G3806" t="s">
        <v>84</v>
      </c>
      <c r="H3806" t="s">
        <v>85</v>
      </c>
      <c r="AC3806">
        <v>0</v>
      </c>
      <c r="AD3806">
        <v>1</v>
      </c>
      <c r="AE3806">
        <v>0</v>
      </c>
      <c r="AF3806">
        <v>0</v>
      </c>
      <c r="AG3806">
        <v>1</v>
      </c>
      <c r="AJ3806">
        <v>0</v>
      </c>
      <c r="AK3806">
        <v>1</v>
      </c>
      <c r="AL3806">
        <v>0</v>
      </c>
      <c r="AM3806">
        <v>0</v>
      </c>
      <c r="AN3806">
        <v>1</v>
      </c>
      <c r="AO3806">
        <v>1</v>
      </c>
      <c r="AP3806">
        <v>1</v>
      </c>
      <c r="AQ3806">
        <v>1</v>
      </c>
      <c r="AR3806">
        <v>1</v>
      </c>
      <c r="AS3806">
        <v>0</v>
      </c>
      <c r="AT3806">
        <v>1</v>
      </c>
      <c r="AV3806">
        <v>1</v>
      </c>
      <c r="AW3806">
        <v>1</v>
      </c>
    </row>
    <row r="3807" spans="1:49" x14ac:dyDescent="0.25">
      <c r="A3807" t="str">
        <f>"3803"</f>
        <v>3803</v>
      </c>
      <c r="B3807" t="str">
        <f t="shared" si="220"/>
        <v>1</v>
      </c>
      <c r="C3807" t="str">
        <f t="shared" si="219"/>
        <v>166</v>
      </c>
      <c r="D3807" t="str">
        <f>"11"</f>
        <v>11</v>
      </c>
      <c r="E3807" t="str">
        <f>"1-166-11"</f>
        <v>1-166-11</v>
      </c>
      <c r="F3807" t="s">
        <v>83</v>
      </c>
      <c r="G3807" t="s">
        <v>84</v>
      </c>
      <c r="H3807" t="s">
        <v>85</v>
      </c>
      <c r="AC3807">
        <v>0</v>
      </c>
      <c r="AD3807">
        <v>1</v>
      </c>
      <c r="AE3807">
        <v>0</v>
      </c>
      <c r="AF3807">
        <v>0</v>
      </c>
      <c r="AG3807">
        <v>1</v>
      </c>
      <c r="AJ3807">
        <v>0</v>
      </c>
      <c r="AK3807">
        <v>1</v>
      </c>
      <c r="AL3807">
        <v>0</v>
      </c>
      <c r="AM3807">
        <v>0</v>
      </c>
      <c r="AN3807">
        <v>1</v>
      </c>
      <c r="AO3807">
        <v>1</v>
      </c>
      <c r="AP3807">
        <v>1</v>
      </c>
      <c r="AQ3807">
        <v>1</v>
      </c>
      <c r="AR3807">
        <v>1</v>
      </c>
      <c r="AS3807">
        <v>0</v>
      </c>
      <c r="AT3807">
        <v>1</v>
      </c>
      <c r="AV3807">
        <v>1</v>
      </c>
      <c r="AW3807">
        <v>1</v>
      </c>
    </row>
    <row r="3808" spans="1:49" x14ac:dyDescent="0.25">
      <c r="A3808" t="str">
        <f>"3804"</f>
        <v>3804</v>
      </c>
      <c r="B3808" t="str">
        <f t="shared" si="220"/>
        <v>1</v>
      </c>
      <c r="C3808" t="str">
        <f t="shared" si="219"/>
        <v>166</v>
      </c>
      <c r="D3808" t="str">
        <f>"7"</f>
        <v>7</v>
      </c>
      <c r="E3808" t="str">
        <f>"1-166-7"</f>
        <v>1-166-7</v>
      </c>
      <c r="F3808" t="s">
        <v>83</v>
      </c>
      <c r="G3808" t="s">
        <v>84</v>
      </c>
      <c r="H3808" t="s">
        <v>85</v>
      </c>
      <c r="AC3808">
        <v>0</v>
      </c>
      <c r="AD3808">
        <v>1</v>
      </c>
      <c r="AE3808">
        <v>0</v>
      </c>
      <c r="AF3808">
        <v>0</v>
      </c>
      <c r="AG3808">
        <v>1</v>
      </c>
      <c r="AJ3808">
        <v>0</v>
      </c>
      <c r="AK3808">
        <v>1</v>
      </c>
      <c r="AL3808">
        <v>0</v>
      </c>
      <c r="AM3808">
        <v>1</v>
      </c>
      <c r="AN3808">
        <v>0</v>
      </c>
      <c r="AO3808">
        <v>1</v>
      </c>
      <c r="AP3808">
        <v>1</v>
      </c>
      <c r="AQ3808">
        <v>1</v>
      </c>
      <c r="AR3808">
        <v>1</v>
      </c>
      <c r="AS3808">
        <v>0</v>
      </c>
      <c r="AT3808">
        <v>1</v>
      </c>
      <c r="AV3808">
        <v>1</v>
      </c>
      <c r="AW3808">
        <v>1</v>
      </c>
    </row>
    <row r="3809" spans="1:49" x14ac:dyDescent="0.25">
      <c r="A3809" t="str">
        <f>"3805"</f>
        <v>3805</v>
      </c>
      <c r="B3809" t="str">
        <f t="shared" si="220"/>
        <v>1</v>
      </c>
      <c r="C3809" t="str">
        <f t="shared" si="219"/>
        <v>166</v>
      </c>
      <c r="D3809" t="str">
        <f>"19"</f>
        <v>19</v>
      </c>
      <c r="E3809" t="str">
        <f>"1-166-19"</f>
        <v>1-166-19</v>
      </c>
      <c r="F3809" t="s">
        <v>83</v>
      </c>
      <c r="G3809" t="s">
        <v>86</v>
      </c>
      <c r="H3809" t="s">
        <v>87</v>
      </c>
      <c r="AC3809">
        <v>0</v>
      </c>
      <c r="AD3809">
        <v>1</v>
      </c>
      <c r="AE3809">
        <v>0</v>
      </c>
      <c r="AF3809">
        <v>0</v>
      </c>
      <c r="AH3809">
        <v>1</v>
      </c>
      <c r="AI3809">
        <v>0</v>
      </c>
      <c r="AJ3809">
        <v>0</v>
      </c>
      <c r="AK3809">
        <v>0</v>
      </c>
      <c r="AL3809">
        <v>0</v>
      </c>
      <c r="AM3809">
        <v>0</v>
      </c>
      <c r="AN3809">
        <v>0</v>
      </c>
      <c r="AO3809">
        <v>1</v>
      </c>
      <c r="AP3809">
        <v>1</v>
      </c>
      <c r="AQ3809">
        <v>0</v>
      </c>
      <c r="AU3809">
        <v>1</v>
      </c>
      <c r="AV3809">
        <v>1</v>
      </c>
      <c r="AW3809">
        <v>1</v>
      </c>
    </row>
    <row r="3810" spans="1:49" x14ac:dyDescent="0.25">
      <c r="A3810" t="str">
        <f>"3806"</f>
        <v>3806</v>
      </c>
      <c r="B3810" t="str">
        <f t="shared" si="220"/>
        <v>1</v>
      </c>
      <c r="C3810" t="str">
        <f t="shared" si="219"/>
        <v>166</v>
      </c>
      <c r="D3810" t="str">
        <f>"12"</f>
        <v>12</v>
      </c>
      <c r="E3810" t="str">
        <f>"1-166-12"</f>
        <v>1-166-12</v>
      </c>
      <c r="F3810" t="s">
        <v>83</v>
      </c>
      <c r="G3810" t="s">
        <v>84</v>
      </c>
      <c r="H3810" t="s">
        <v>85</v>
      </c>
      <c r="AC3810">
        <v>0</v>
      </c>
      <c r="AD3810">
        <v>1</v>
      </c>
      <c r="AE3810">
        <v>0</v>
      </c>
      <c r="AF3810">
        <v>0</v>
      </c>
      <c r="AG3810">
        <v>0</v>
      </c>
      <c r="AJ3810">
        <v>0</v>
      </c>
      <c r="AK3810">
        <v>1</v>
      </c>
      <c r="AL3810">
        <v>0</v>
      </c>
      <c r="AM3810">
        <v>0</v>
      </c>
      <c r="AN3810">
        <v>0</v>
      </c>
      <c r="AO3810">
        <v>0</v>
      </c>
      <c r="AP3810">
        <v>0</v>
      </c>
      <c r="AQ3810">
        <v>0</v>
      </c>
      <c r="AR3810">
        <v>1</v>
      </c>
      <c r="AS3810">
        <v>1</v>
      </c>
      <c r="AT3810">
        <v>0</v>
      </c>
      <c r="AV3810">
        <v>0</v>
      </c>
      <c r="AW3810">
        <v>0</v>
      </c>
    </row>
    <row r="3811" spans="1:49" x14ac:dyDescent="0.25">
      <c r="A3811" t="str">
        <f>"3807"</f>
        <v>3807</v>
      </c>
      <c r="B3811" t="str">
        <f t="shared" si="220"/>
        <v>1</v>
      </c>
      <c r="C3811" t="str">
        <f t="shared" si="219"/>
        <v>166</v>
      </c>
      <c r="D3811" t="str">
        <f>"5"</f>
        <v>5</v>
      </c>
      <c r="E3811" t="str">
        <f>"1-166-5"</f>
        <v>1-166-5</v>
      </c>
      <c r="F3811" t="s">
        <v>83</v>
      </c>
      <c r="G3811" t="s">
        <v>86</v>
      </c>
      <c r="H3811" t="s">
        <v>87</v>
      </c>
      <c r="AC3811">
        <v>0</v>
      </c>
      <c r="AD3811">
        <v>1</v>
      </c>
      <c r="AE3811">
        <v>0</v>
      </c>
      <c r="AF3811">
        <v>0</v>
      </c>
      <c r="AH3811">
        <v>1</v>
      </c>
      <c r="AI3811">
        <v>0</v>
      </c>
      <c r="AJ3811">
        <v>1</v>
      </c>
      <c r="AK3811">
        <v>0</v>
      </c>
      <c r="AL3811">
        <v>0</v>
      </c>
      <c r="AM3811">
        <v>0</v>
      </c>
      <c r="AN3811">
        <v>1</v>
      </c>
      <c r="AO3811">
        <v>0</v>
      </c>
      <c r="AP3811">
        <v>0</v>
      </c>
      <c r="AQ3811">
        <v>0</v>
      </c>
      <c r="AU3811">
        <v>0</v>
      </c>
      <c r="AV3811">
        <v>0</v>
      </c>
      <c r="AW3811">
        <v>0</v>
      </c>
    </row>
    <row r="3812" spans="1:49" x14ac:dyDescent="0.25">
      <c r="A3812" t="str">
        <f>"3808"</f>
        <v>3808</v>
      </c>
      <c r="B3812" t="str">
        <f t="shared" si="220"/>
        <v>1</v>
      </c>
      <c r="C3812" t="str">
        <f t="shared" si="219"/>
        <v>166</v>
      </c>
      <c r="D3812" t="str">
        <f>"20"</f>
        <v>20</v>
      </c>
      <c r="E3812" t="str">
        <f>"1-166-20"</f>
        <v>1-166-20</v>
      </c>
      <c r="F3812" t="s">
        <v>83</v>
      </c>
      <c r="G3812" t="s">
        <v>84</v>
      </c>
      <c r="H3812" t="s">
        <v>85</v>
      </c>
      <c r="AC3812">
        <v>0</v>
      </c>
      <c r="AD3812">
        <v>1</v>
      </c>
      <c r="AE3812">
        <v>0</v>
      </c>
      <c r="AF3812">
        <v>0</v>
      </c>
      <c r="AG3812">
        <v>1</v>
      </c>
      <c r="AJ3812">
        <v>0</v>
      </c>
      <c r="AK3812">
        <v>1</v>
      </c>
      <c r="AL3812">
        <v>0</v>
      </c>
      <c r="AM3812">
        <v>0</v>
      </c>
      <c r="AN3812">
        <v>1</v>
      </c>
      <c r="AO3812">
        <v>1</v>
      </c>
      <c r="AP3812">
        <v>1</v>
      </c>
      <c r="AQ3812">
        <v>1</v>
      </c>
      <c r="AR3812">
        <v>1</v>
      </c>
      <c r="AS3812">
        <v>0</v>
      </c>
      <c r="AT3812">
        <v>1</v>
      </c>
      <c r="AV3812">
        <v>1</v>
      </c>
      <c r="AW3812">
        <v>1</v>
      </c>
    </row>
    <row r="3813" spans="1:49" x14ac:dyDescent="0.25">
      <c r="A3813" t="str">
        <f>"3809"</f>
        <v>3809</v>
      </c>
      <c r="B3813" t="str">
        <f t="shared" si="220"/>
        <v>1</v>
      </c>
      <c r="C3813" t="str">
        <f t="shared" si="219"/>
        <v>166</v>
      </c>
      <c r="D3813" t="str">
        <f>"21"</f>
        <v>21</v>
      </c>
      <c r="E3813" t="str">
        <f>"1-166-21"</f>
        <v>1-166-21</v>
      </c>
      <c r="F3813" t="s">
        <v>83</v>
      </c>
      <c r="G3813" t="s">
        <v>86</v>
      </c>
      <c r="H3813" t="s">
        <v>87</v>
      </c>
      <c r="AC3813">
        <v>1</v>
      </c>
      <c r="AD3813">
        <v>0</v>
      </c>
      <c r="AE3813">
        <v>0</v>
      </c>
      <c r="AF3813">
        <v>0</v>
      </c>
      <c r="AH3813">
        <v>1</v>
      </c>
      <c r="AI3813">
        <v>0</v>
      </c>
      <c r="AJ3813">
        <v>1</v>
      </c>
      <c r="AK3813">
        <v>0</v>
      </c>
      <c r="AL3813">
        <v>1</v>
      </c>
      <c r="AM3813">
        <v>0</v>
      </c>
      <c r="AN3813">
        <v>0</v>
      </c>
      <c r="AO3813">
        <v>1</v>
      </c>
      <c r="AP3813">
        <v>1</v>
      </c>
      <c r="AQ3813">
        <v>1</v>
      </c>
      <c r="AU3813">
        <v>1</v>
      </c>
      <c r="AV3813">
        <v>1</v>
      </c>
      <c r="AW3813">
        <v>1</v>
      </c>
    </row>
    <row r="3814" spans="1:49" x14ac:dyDescent="0.25">
      <c r="A3814" t="str">
        <f>"3810"</f>
        <v>3810</v>
      </c>
      <c r="B3814" t="str">
        <f t="shared" si="220"/>
        <v>1</v>
      </c>
      <c r="C3814" t="str">
        <f t="shared" si="219"/>
        <v>166</v>
      </c>
      <c r="D3814" t="str">
        <f>"14"</f>
        <v>14</v>
      </c>
      <c r="E3814" t="str">
        <f>"1-166-14"</f>
        <v>1-166-14</v>
      </c>
      <c r="F3814" t="s">
        <v>83</v>
      </c>
      <c r="G3814" t="s">
        <v>84</v>
      </c>
      <c r="H3814" t="s">
        <v>85</v>
      </c>
      <c r="AC3814">
        <v>1</v>
      </c>
      <c r="AD3814">
        <v>0</v>
      </c>
      <c r="AE3814">
        <v>0</v>
      </c>
      <c r="AF3814">
        <v>0</v>
      </c>
      <c r="AG3814">
        <v>1</v>
      </c>
      <c r="AJ3814">
        <v>0</v>
      </c>
      <c r="AK3814">
        <v>1</v>
      </c>
      <c r="AL3814">
        <v>1</v>
      </c>
      <c r="AM3814">
        <v>0</v>
      </c>
      <c r="AN3814">
        <v>0</v>
      </c>
      <c r="AO3814">
        <v>1</v>
      </c>
      <c r="AP3814">
        <v>1</v>
      </c>
      <c r="AQ3814">
        <v>1</v>
      </c>
      <c r="AR3814">
        <v>1</v>
      </c>
      <c r="AS3814">
        <v>1</v>
      </c>
      <c r="AT3814">
        <v>0</v>
      </c>
      <c r="AV3814">
        <v>1</v>
      </c>
      <c r="AW3814">
        <v>1</v>
      </c>
    </row>
    <row r="3815" spans="1:49" x14ac:dyDescent="0.25">
      <c r="A3815" t="str">
        <f>"3811"</f>
        <v>3811</v>
      </c>
      <c r="B3815" t="str">
        <f t="shared" si="220"/>
        <v>1</v>
      </c>
      <c r="C3815" t="str">
        <f t="shared" si="219"/>
        <v>166</v>
      </c>
      <c r="D3815" t="str">
        <f>"3"</f>
        <v>3</v>
      </c>
      <c r="E3815" t="str">
        <f>"1-166-3"</f>
        <v>1-166-3</v>
      </c>
      <c r="F3815" t="s">
        <v>83</v>
      </c>
      <c r="G3815" t="s">
        <v>86</v>
      </c>
      <c r="H3815" t="s">
        <v>87</v>
      </c>
      <c r="AC3815">
        <v>0</v>
      </c>
      <c r="AD3815">
        <v>1</v>
      </c>
      <c r="AE3815">
        <v>0</v>
      </c>
      <c r="AF3815">
        <v>0</v>
      </c>
      <c r="AH3815">
        <v>0</v>
      </c>
      <c r="AI3815">
        <v>1</v>
      </c>
      <c r="AJ3815">
        <v>0</v>
      </c>
      <c r="AK3815">
        <v>0</v>
      </c>
      <c r="AL3815">
        <v>0</v>
      </c>
      <c r="AM3815">
        <v>0</v>
      </c>
      <c r="AN3815">
        <v>0</v>
      </c>
      <c r="AO3815">
        <v>1</v>
      </c>
      <c r="AP3815">
        <v>1</v>
      </c>
      <c r="AQ3815">
        <v>1</v>
      </c>
      <c r="AU3815">
        <v>1</v>
      </c>
      <c r="AV3815">
        <v>1</v>
      </c>
      <c r="AW3815">
        <v>1</v>
      </c>
    </row>
    <row r="3816" spans="1:49" x14ac:dyDescent="0.25">
      <c r="A3816" t="str">
        <f>"3812"</f>
        <v>3812</v>
      </c>
      <c r="B3816" t="str">
        <f t="shared" si="220"/>
        <v>1</v>
      </c>
      <c r="C3816" t="str">
        <f t="shared" si="219"/>
        <v>166</v>
      </c>
      <c r="D3816" t="str">
        <f>"1"</f>
        <v>1</v>
      </c>
      <c r="E3816" t="str">
        <f>"1-166-1"</f>
        <v>1-166-1</v>
      </c>
      <c r="F3816" t="s">
        <v>83</v>
      </c>
      <c r="G3816" t="s">
        <v>86</v>
      </c>
      <c r="H3816" t="s">
        <v>87</v>
      </c>
      <c r="AC3816">
        <v>1</v>
      </c>
      <c r="AD3816">
        <v>0</v>
      </c>
      <c r="AE3816">
        <v>0</v>
      </c>
      <c r="AF3816">
        <v>0</v>
      </c>
      <c r="AH3816">
        <v>1</v>
      </c>
      <c r="AI3816">
        <v>0</v>
      </c>
      <c r="AJ3816">
        <v>1</v>
      </c>
      <c r="AK3816">
        <v>0</v>
      </c>
      <c r="AL3816">
        <v>0</v>
      </c>
      <c r="AM3816">
        <v>1</v>
      </c>
      <c r="AN3816">
        <v>0</v>
      </c>
      <c r="AO3816">
        <v>1</v>
      </c>
      <c r="AP3816">
        <v>1</v>
      </c>
      <c r="AQ3816">
        <v>1</v>
      </c>
      <c r="AU3816">
        <v>1</v>
      </c>
      <c r="AV3816">
        <v>1</v>
      </c>
      <c r="AW3816">
        <v>1</v>
      </c>
    </row>
    <row r="3817" spans="1:49" x14ac:dyDescent="0.25">
      <c r="A3817" t="str">
        <f>"3813"</f>
        <v>3813</v>
      </c>
      <c r="B3817" t="str">
        <f t="shared" si="220"/>
        <v>1</v>
      </c>
      <c r="C3817" t="str">
        <f t="shared" si="219"/>
        <v>166</v>
      </c>
      <c r="D3817" t="str">
        <f>"13"</f>
        <v>13</v>
      </c>
      <c r="E3817" t="str">
        <f>"1-166-13"</f>
        <v>1-166-13</v>
      </c>
      <c r="F3817" t="s">
        <v>83</v>
      </c>
      <c r="G3817" t="s">
        <v>84</v>
      </c>
      <c r="H3817" t="s">
        <v>85</v>
      </c>
      <c r="AC3817">
        <v>0</v>
      </c>
      <c r="AD3817">
        <v>1</v>
      </c>
      <c r="AE3817">
        <v>0</v>
      </c>
      <c r="AF3817">
        <v>0</v>
      </c>
      <c r="AG3817">
        <v>1</v>
      </c>
      <c r="AJ3817">
        <v>0</v>
      </c>
      <c r="AK3817">
        <v>1</v>
      </c>
      <c r="AL3817">
        <v>0</v>
      </c>
      <c r="AM3817">
        <v>1</v>
      </c>
      <c r="AN3817">
        <v>0</v>
      </c>
      <c r="AO3817">
        <v>1</v>
      </c>
      <c r="AP3817">
        <v>1</v>
      </c>
      <c r="AQ3817">
        <v>0</v>
      </c>
      <c r="AR3817">
        <v>1</v>
      </c>
      <c r="AS3817">
        <v>0</v>
      </c>
      <c r="AT3817">
        <v>1</v>
      </c>
      <c r="AV3817">
        <v>0</v>
      </c>
      <c r="AW3817">
        <v>0</v>
      </c>
    </row>
    <row r="3818" spans="1:49" x14ac:dyDescent="0.25">
      <c r="A3818" t="str">
        <f>"3814"</f>
        <v>3814</v>
      </c>
      <c r="B3818" t="str">
        <f t="shared" si="220"/>
        <v>1</v>
      </c>
      <c r="C3818" t="str">
        <f t="shared" ref="C3818:C3841" si="221">"167"</f>
        <v>167</v>
      </c>
      <c r="D3818" t="str">
        <f>"23"</f>
        <v>23</v>
      </c>
      <c r="E3818" t="str">
        <f>"1-167-23"</f>
        <v>1-167-23</v>
      </c>
      <c r="F3818" t="s">
        <v>83</v>
      </c>
      <c r="G3818" t="s">
        <v>84</v>
      </c>
      <c r="H3818" t="s">
        <v>92</v>
      </c>
      <c r="I3818">
        <v>1</v>
      </c>
      <c r="J3818">
        <v>1</v>
      </c>
      <c r="N3818">
        <v>1</v>
      </c>
      <c r="O3818">
        <v>1</v>
      </c>
      <c r="P3818">
        <v>1</v>
      </c>
      <c r="Q3818">
        <v>1</v>
      </c>
      <c r="R3818">
        <v>1</v>
      </c>
      <c r="S3818">
        <v>1</v>
      </c>
      <c r="T3818">
        <v>1</v>
      </c>
      <c r="W3818">
        <v>1</v>
      </c>
      <c r="X3818">
        <v>1</v>
      </c>
      <c r="Y3818">
        <v>1</v>
      </c>
      <c r="Z3818">
        <v>1</v>
      </c>
      <c r="AA3818">
        <v>1</v>
      </c>
      <c r="AB3818">
        <v>1</v>
      </c>
    </row>
    <row r="3819" spans="1:49" x14ac:dyDescent="0.25">
      <c r="A3819" t="str">
        <f>"3815"</f>
        <v>3815</v>
      </c>
      <c r="B3819" t="str">
        <f t="shared" si="220"/>
        <v>1</v>
      </c>
      <c r="C3819" t="str">
        <f t="shared" si="221"/>
        <v>167</v>
      </c>
      <c r="D3819" t="str">
        <f>"22"</f>
        <v>22</v>
      </c>
      <c r="E3819" t="str">
        <f>"1-167-22"</f>
        <v>1-167-22</v>
      </c>
      <c r="F3819" t="s">
        <v>83</v>
      </c>
      <c r="G3819" t="s">
        <v>84</v>
      </c>
      <c r="H3819" t="s">
        <v>92</v>
      </c>
      <c r="I3819">
        <v>1</v>
      </c>
      <c r="J3819">
        <v>1</v>
      </c>
      <c r="N3819">
        <v>1</v>
      </c>
      <c r="O3819">
        <v>1</v>
      </c>
      <c r="P3819">
        <v>1</v>
      </c>
      <c r="Q3819">
        <v>1</v>
      </c>
      <c r="R3819">
        <v>1</v>
      </c>
      <c r="S3819">
        <v>1</v>
      </c>
      <c r="T3819">
        <v>1</v>
      </c>
      <c r="W3819">
        <v>1</v>
      </c>
      <c r="X3819">
        <v>1</v>
      </c>
      <c r="Y3819">
        <v>1</v>
      </c>
      <c r="Z3819">
        <v>1</v>
      </c>
      <c r="AA3819">
        <v>1</v>
      </c>
      <c r="AB3819">
        <v>1</v>
      </c>
    </row>
    <row r="3820" spans="1:49" x14ac:dyDescent="0.25">
      <c r="A3820" t="str">
        <f>"3816"</f>
        <v>3816</v>
      </c>
      <c r="B3820" t="str">
        <f t="shared" si="220"/>
        <v>1</v>
      </c>
      <c r="C3820" t="str">
        <f t="shared" si="221"/>
        <v>167</v>
      </c>
      <c r="D3820" t="str">
        <f>"15"</f>
        <v>15</v>
      </c>
      <c r="E3820" t="str">
        <f>"1-167-15"</f>
        <v>1-167-15</v>
      </c>
      <c r="F3820" t="s">
        <v>83</v>
      </c>
      <c r="G3820" t="s">
        <v>84</v>
      </c>
      <c r="H3820" t="s">
        <v>92</v>
      </c>
      <c r="I3820">
        <v>1</v>
      </c>
      <c r="J3820">
        <v>1</v>
      </c>
      <c r="N3820">
        <v>1</v>
      </c>
      <c r="O3820">
        <v>1</v>
      </c>
      <c r="P3820">
        <v>1</v>
      </c>
      <c r="Q3820">
        <v>1</v>
      </c>
      <c r="R3820">
        <v>1</v>
      </c>
      <c r="S3820">
        <v>1</v>
      </c>
      <c r="T3820">
        <v>1</v>
      </c>
      <c r="W3820">
        <v>1</v>
      </c>
      <c r="X3820">
        <v>1</v>
      </c>
      <c r="Y3820">
        <v>1</v>
      </c>
      <c r="Z3820">
        <v>1</v>
      </c>
      <c r="AA3820">
        <v>1</v>
      </c>
      <c r="AB3820">
        <v>1</v>
      </c>
    </row>
    <row r="3821" spans="1:49" x14ac:dyDescent="0.25">
      <c r="A3821" t="str">
        <f>"3817"</f>
        <v>3817</v>
      </c>
      <c r="B3821" t="str">
        <f t="shared" si="220"/>
        <v>1</v>
      </c>
      <c r="C3821" t="str">
        <f t="shared" si="221"/>
        <v>167</v>
      </c>
      <c r="D3821" t="str">
        <f>"8"</f>
        <v>8</v>
      </c>
      <c r="E3821" t="str">
        <f>"1-167-8"</f>
        <v>1-167-8</v>
      </c>
      <c r="F3821" t="s">
        <v>83</v>
      </c>
      <c r="G3821" t="s">
        <v>84</v>
      </c>
      <c r="H3821" t="s">
        <v>92</v>
      </c>
      <c r="I3821">
        <v>1</v>
      </c>
      <c r="J3821">
        <v>1</v>
      </c>
      <c r="N3821">
        <v>1</v>
      </c>
      <c r="O3821">
        <v>1</v>
      </c>
      <c r="P3821">
        <v>1</v>
      </c>
      <c r="Q3821">
        <v>1</v>
      </c>
      <c r="R3821">
        <v>1</v>
      </c>
      <c r="S3821">
        <v>1</v>
      </c>
      <c r="T3821">
        <v>1</v>
      </c>
      <c r="W3821">
        <v>1</v>
      </c>
      <c r="X3821">
        <v>1</v>
      </c>
      <c r="Y3821">
        <v>1</v>
      </c>
      <c r="Z3821">
        <v>1</v>
      </c>
      <c r="AA3821">
        <v>1</v>
      </c>
      <c r="AB3821">
        <v>1</v>
      </c>
    </row>
    <row r="3822" spans="1:49" x14ac:dyDescent="0.25">
      <c r="A3822" t="str">
        <f>"3818"</f>
        <v>3818</v>
      </c>
      <c r="B3822" t="str">
        <f t="shared" si="220"/>
        <v>1</v>
      </c>
      <c r="C3822" t="str">
        <f t="shared" si="221"/>
        <v>167</v>
      </c>
      <c r="D3822" t="str">
        <f>"5"</f>
        <v>5</v>
      </c>
      <c r="E3822" t="str">
        <f>"1-167-5"</f>
        <v>1-167-5</v>
      </c>
      <c r="F3822" t="s">
        <v>83</v>
      </c>
      <c r="G3822" t="s">
        <v>84</v>
      </c>
      <c r="H3822" t="s">
        <v>92</v>
      </c>
      <c r="I3822">
        <v>1</v>
      </c>
      <c r="J3822">
        <v>1</v>
      </c>
      <c r="N3822">
        <v>1</v>
      </c>
      <c r="O3822">
        <v>1</v>
      </c>
      <c r="P3822">
        <v>1</v>
      </c>
      <c r="Q3822">
        <v>1</v>
      </c>
      <c r="R3822">
        <v>1</v>
      </c>
      <c r="S3822">
        <v>1</v>
      </c>
      <c r="T3822">
        <v>1</v>
      </c>
      <c r="W3822">
        <v>1</v>
      </c>
      <c r="X3822">
        <v>1</v>
      </c>
      <c r="Y3822">
        <v>1</v>
      </c>
      <c r="Z3822">
        <v>1</v>
      </c>
      <c r="AA3822">
        <v>1</v>
      </c>
      <c r="AB3822">
        <v>1</v>
      </c>
    </row>
    <row r="3823" spans="1:49" x14ac:dyDescent="0.25">
      <c r="A3823" t="str">
        <f>"3819"</f>
        <v>3819</v>
      </c>
      <c r="B3823" t="str">
        <f t="shared" si="220"/>
        <v>1</v>
      </c>
      <c r="C3823" t="str">
        <f t="shared" si="221"/>
        <v>167</v>
      </c>
      <c r="D3823" t="str">
        <f>"24"</f>
        <v>24</v>
      </c>
      <c r="E3823" t="str">
        <f>"1-167-24"</f>
        <v>1-167-24</v>
      </c>
      <c r="F3823" t="s">
        <v>83</v>
      </c>
      <c r="G3823" t="s">
        <v>84</v>
      </c>
      <c r="H3823" t="s">
        <v>92</v>
      </c>
      <c r="I3823">
        <v>1</v>
      </c>
      <c r="J3823">
        <v>1</v>
      </c>
      <c r="N3823">
        <v>1</v>
      </c>
      <c r="O3823">
        <v>1</v>
      </c>
      <c r="P3823">
        <v>1</v>
      </c>
      <c r="Q3823">
        <v>1</v>
      </c>
      <c r="R3823">
        <v>1</v>
      </c>
      <c r="S3823">
        <v>1</v>
      </c>
      <c r="T3823">
        <v>1</v>
      </c>
      <c r="W3823">
        <v>1</v>
      </c>
      <c r="X3823">
        <v>1</v>
      </c>
      <c r="Y3823">
        <v>1</v>
      </c>
      <c r="Z3823">
        <v>1</v>
      </c>
      <c r="AA3823">
        <v>1</v>
      </c>
      <c r="AB3823">
        <v>1</v>
      </c>
    </row>
    <row r="3824" spans="1:49" x14ac:dyDescent="0.25">
      <c r="A3824" t="str">
        <f>"3820"</f>
        <v>3820</v>
      </c>
      <c r="B3824" t="str">
        <f t="shared" si="220"/>
        <v>1</v>
      </c>
      <c r="C3824" t="str">
        <f t="shared" si="221"/>
        <v>167</v>
      </c>
      <c r="D3824" t="str">
        <f>"16"</f>
        <v>16</v>
      </c>
      <c r="E3824" t="str">
        <f>"1-167-16"</f>
        <v>1-167-16</v>
      </c>
      <c r="F3824" t="s">
        <v>83</v>
      </c>
      <c r="G3824" t="s">
        <v>84</v>
      </c>
      <c r="H3824" t="s">
        <v>92</v>
      </c>
      <c r="I3824">
        <v>0</v>
      </c>
      <c r="J3824">
        <v>0</v>
      </c>
      <c r="N3824">
        <v>0</v>
      </c>
      <c r="O3824">
        <v>0</v>
      </c>
      <c r="P3824">
        <v>0</v>
      </c>
      <c r="Q3824">
        <v>0</v>
      </c>
      <c r="R3824">
        <v>0</v>
      </c>
      <c r="S3824">
        <v>0</v>
      </c>
      <c r="T3824">
        <v>0</v>
      </c>
      <c r="W3824">
        <v>0</v>
      </c>
      <c r="X3824">
        <v>0</v>
      </c>
      <c r="Y3824">
        <v>0</v>
      </c>
      <c r="Z3824">
        <v>0</v>
      </c>
      <c r="AA3824">
        <v>0</v>
      </c>
      <c r="AB3824">
        <v>1</v>
      </c>
    </row>
    <row r="3825" spans="1:28" x14ac:dyDescent="0.25">
      <c r="A3825" t="str">
        <f>"3821"</f>
        <v>3821</v>
      </c>
      <c r="B3825" t="str">
        <f t="shared" si="220"/>
        <v>1</v>
      </c>
      <c r="C3825" t="str">
        <f t="shared" si="221"/>
        <v>167</v>
      </c>
      <c r="D3825" t="str">
        <f>"9"</f>
        <v>9</v>
      </c>
      <c r="E3825" t="str">
        <f>"1-167-9"</f>
        <v>1-167-9</v>
      </c>
      <c r="F3825" t="s">
        <v>83</v>
      </c>
      <c r="G3825" t="s">
        <v>84</v>
      </c>
      <c r="H3825" t="s">
        <v>92</v>
      </c>
      <c r="I3825">
        <v>1</v>
      </c>
      <c r="J3825">
        <v>1</v>
      </c>
      <c r="N3825">
        <v>1</v>
      </c>
      <c r="O3825">
        <v>1</v>
      </c>
      <c r="P3825">
        <v>1</v>
      </c>
      <c r="Q3825">
        <v>1</v>
      </c>
      <c r="R3825">
        <v>1</v>
      </c>
      <c r="S3825">
        <v>1</v>
      </c>
      <c r="T3825">
        <v>1</v>
      </c>
      <c r="W3825">
        <v>1</v>
      </c>
      <c r="X3825">
        <v>1</v>
      </c>
      <c r="Y3825">
        <v>1</v>
      </c>
      <c r="Z3825">
        <v>1</v>
      </c>
      <c r="AA3825">
        <v>1</v>
      </c>
      <c r="AB3825">
        <v>1</v>
      </c>
    </row>
    <row r="3826" spans="1:28" x14ac:dyDescent="0.25">
      <c r="A3826" t="str">
        <f>"3822"</f>
        <v>3822</v>
      </c>
      <c r="B3826" t="str">
        <f t="shared" si="220"/>
        <v>1</v>
      </c>
      <c r="C3826" t="str">
        <f t="shared" si="221"/>
        <v>167</v>
      </c>
      <c r="D3826" t="str">
        <f>"4"</f>
        <v>4</v>
      </c>
      <c r="E3826" t="str">
        <f>"1-167-4"</f>
        <v>1-167-4</v>
      </c>
      <c r="F3826" t="s">
        <v>83</v>
      </c>
      <c r="G3826" t="s">
        <v>84</v>
      </c>
      <c r="H3826" t="s">
        <v>92</v>
      </c>
      <c r="I3826">
        <v>1</v>
      </c>
      <c r="J3826">
        <v>1</v>
      </c>
      <c r="N3826">
        <v>1</v>
      </c>
      <c r="O3826">
        <v>1</v>
      </c>
      <c r="P3826">
        <v>1</v>
      </c>
      <c r="Q3826">
        <v>1</v>
      </c>
      <c r="R3826">
        <v>1</v>
      </c>
      <c r="S3826">
        <v>1</v>
      </c>
      <c r="T3826">
        <v>1</v>
      </c>
      <c r="W3826">
        <v>1</v>
      </c>
      <c r="X3826">
        <v>1</v>
      </c>
      <c r="Y3826">
        <v>1</v>
      </c>
      <c r="Z3826">
        <v>1</v>
      </c>
      <c r="AA3826">
        <v>1</v>
      </c>
      <c r="AB3826">
        <v>1</v>
      </c>
    </row>
    <row r="3827" spans="1:28" x14ac:dyDescent="0.25">
      <c r="A3827" t="str">
        <f>"3823"</f>
        <v>3823</v>
      </c>
      <c r="B3827" t="str">
        <f t="shared" si="220"/>
        <v>1</v>
      </c>
      <c r="C3827" t="str">
        <f t="shared" si="221"/>
        <v>167</v>
      </c>
      <c r="D3827" t="str">
        <f>"17"</f>
        <v>17</v>
      </c>
      <c r="E3827" t="str">
        <f>"1-167-17"</f>
        <v>1-167-17</v>
      </c>
      <c r="F3827" t="s">
        <v>83</v>
      </c>
      <c r="G3827" t="s">
        <v>84</v>
      </c>
      <c r="H3827" t="s">
        <v>92</v>
      </c>
      <c r="I3827">
        <v>1</v>
      </c>
      <c r="J3827">
        <v>1</v>
      </c>
      <c r="N3827">
        <v>1</v>
      </c>
      <c r="O3827">
        <v>1</v>
      </c>
      <c r="P3827">
        <v>1</v>
      </c>
      <c r="Q3827">
        <v>1</v>
      </c>
      <c r="R3827">
        <v>1</v>
      </c>
      <c r="S3827">
        <v>1</v>
      </c>
      <c r="T3827">
        <v>1</v>
      </c>
      <c r="W3827">
        <v>1</v>
      </c>
      <c r="X3827">
        <v>1</v>
      </c>
      <c r="Y3827">
        <v>1</v>
      </c>
      <c r="Z3827">
        <v>1</v>
      </c>
      <c r="AA3827">
        <v>1</v>
      </c>
      <c r="AB3827">
        <v>1</v>
      </c>
    </row>
    <row r="3828" spans="1:28" x14ac:dyDescent="0.25">
      <c r="A3828" t="str">
        <f>"3824"</f>
        <v>3824</v>
      </c>
      <c r="B3828" t="str">
        <f t="shared" si="220"/>
        <v>1</v>
      </c>
      <c r="C3828" t="str">
        <f t="shared" si="221"/>
        <v>167</v>
      </c>
      <c r="D3828" t="str">
        <f>"10"</f>
        <v>10</v>
      </c>
      <c r="E3828" t="str">
        <f>"1-167-10"</f>
        <v>1-167-10</v>
      </c>
      <c r="F3828" t="s">
        <v>83</v>
      </c>
      <c r="G3828" t="s">
        <v>84</v>
      </c>
      <c r="H3828" t="s">
        <v>92</v>
      </c>
      <c r="I3828">
        <v>1</v>
      </c>
      <c r="J3828">
        <v>1</v>
      </c>
      <c r="N3828">
        <v>1</v>
      </c>
      <c r="O3828">
        <v>1</v>
      </c>
      <c r="P3828">
        <v>1</v>
      </c>
      <c r="Q3828">
        <v>1</v>
      </c>
      <c r="R3828">
        <v>1</v>
      </c>
      <c r="S3828">
        <v>1</v>
      </c>
      <c r="T3828">
        <v>1</v>
      </c>
      <c r="W3828">
        <v>1</v>
      </c>
      <c r="X3828">
        <v>1</v>
      </c>
      <c r="Y3828">
        <v>1</v>
      </c>
      <c r="Z3828">
        <v>1</v>
      </c>
      <c r="AA3828">
        <v>1</v>
      </c>
      <c r="AB3828">
        <v>1</v>
      </c>
    </row>
    <row r="3829" spans="1:28" x14ac:dyDescent="0.25">
      <c r="A3829" t="str">
        <f>"3825"</f>
        <v>3825</v>
      </c>
      <c r="B3829" t="str">
        <f t="shared" si="220"/>
        <v>1</v>
      </c>
      <c r="C3829" t="str">
        <f t="shared" si="221"/>
        <v>167</v>
      </c>
      <c r="D3829" t="str">
        <f>"7"</f>
        <v>7</v>
      </c>
      <c r="E3829" t="str">
        <f>"1-167-7"</f>
        <v>1-167-7</v>
      </c>
      <c r="F3829" t="s">
        <v>83</v>
      </c>
      <c r="G3829" t="s">
        <v>84</v>
      </c>
      <c r="H3829" t="s">
        <v>92</v>
      </c>
      <c r="I3829">
        <v>1</v>
      </c>
      <c r="J3829">
        <v>1</v>
      </c>
      <c r="N3829">
        <v>1</v>
      </c>
      <c r="O3829">
        <v>1</v>
      </c>
      <c r="P3829">
        <v>1</v>
      </c>
      <c r="Q3829">
        <v>1</v>
      </c>
      <c r="R3829">
        <v>1</v>
      </c>
      <c r="S3829">
        <v>1</v>
      </c>
      <c r="T3829">
        <v>1</v>
      </c>
      <c r="W3829">
        <v>1</v>
      </c>
      <c r="X3829">
        <v>1</v>
      </c>
      <c r="Y3829">
        <v>1</v>
      </c>
      <c r="Z3829">
        <v>1</v>
      </c>
      <c r="AA3829">
        <v>1</v>
      </c>
      <c r="AB3829">
        <v>1</v>
      </c>
    </row>
    <row r="3830" spans="1:28" x14ac:dyDescent="0.25">
      <c r="A3830" t="str">
        <f>"3826"</f>
        <v>3826</v>
      </c>
      <c r="B3830" t="str">
        <f t="shared" si="220"/>
        <v>1</v>
      </c>
      <c r="C3830" t="str">
        <f t="shared" si="221"/>
        <v>167</v>
      </c>
      <c r="D3830" t="str">
        <f>"19"</f>
        <v>19</v>
      </c>
      <c r="E3830" t="str">
        <f>"1-167-19"</f>
        <v>1-167-19</v>
      </c>
      <c r="F3830" t="s">
        <v>83</v>
      </c>
      <c r="G3830" t="s">
        <v>84</v>
      </c>
      <c r="H3830" t="s">
        <v>92</v>
      </c>
      <c r="I3830">
        <v>1</v>
      </c>
      <c r="J3830">
        <v>1</v>
      </c>
      <c r="N3830">
        <v>1</v>
      </c>
      <c r="O3830">
        <v>1</v>
      </c>
      <c r="P3830">
        <v>1</v>
      </c>
      <c r="Q3830">
        <v>1</v>
      </c>
      <c r="R3830">
        <v>1</v>
      </c>
      <c r="S3830">
        <v>1</v>
      </c>
      <c r="T3830">
        <v>1</v>
      </c>
      <c r="W3830">
        <v>1</v>
      </c>
      <c r="X3830">
        <v>1</v>
      </c>
      <c r="Y3830">
        <v>1</v>
      </c>
      <c r="Z3830">
        <v>1</v>
      </c>
      <c r="AA3830">
        <v>1</v>
      </c>
      <c r="AB3830">
        <v>1</v>
      </c>
    </row>
    <row r="3831" spans="1:28" x14ac:dyDescent="0.25">
      <c r="A3831" t="str">
        <f>"3827"</f>
        <v>3827</v>
      </c>
      <c r="B3831" t="str">
        <f t="shared" si="220"/>
        <v>1</v>
      </c>
      <c r="C3831" t="str">
        <f t="shared" si="221"/>
        <v>167</v>
      </c>
      <c r="D3831" t="str">
        <f>"11"</f>
        <v>11</v>
      </c>
      <c r="E3831" t="str">
        <f>"1-167-11"</f>
        <v>1-167-11</v>
      </c>
      <c r="F3831" t="s">
        <v>83</v>
      </c>
      <c r="G3831" t="s">
        <v>84</v>
      </c>
      <c r="H3831" t="s">
        <v>92</v>
      </c>
      <c r="I3831">
        <v>1</v>
      </c>
      <c r="J3831">
        <v>1</v>
      </c>
      <c r="N3831">
        <v>1</v>
      </c>
      <c r="O3831">
        <v>1</v>
      </c>
      <c r="P3831">
        <v>1</v>
      </c>
      <c r="Q3831">
        <v>1</v>
      </c>
      <c r="R3831">
        <v>1</v>
      </c>
      <c r="S3831">
        <v>1</v>
      </c>
      <c r="T3831">
        <v>1</v>
      </c>
      <c r="W3831">
        <v>1</v>
      </c>
      <c r="X3831">
        <v>1</v>
      </c>
      <c r="Y3831">
        <v>1</v>
      </c>
      <c r="Z3831">
        <v>1</v>
      </c>
      <c r="AA3831">
        <v>1</v>
      </c>
      <c r="AB3831">
        <v>1</v>
      </c>
    </row>
    <row r="3832" spans="1:28" x14ac:dyDescent="0.25">
      <c r="A3832" t="str">
        <f>"3828"</f>
        <v>3828</v>
      </c>
      <c r="B3832" t="str">
        <f t="shared" si="220"/>
        <v>1</v>
      </c>
      <c r="C3832" t="str">
        <f t="shared" si="221"/>
        <v>167</v>
      </c>
      <c r="D3832" t="str">
        <f>"1"</f>
        <v>1</v>
      </c>
      <c r="E3832" t="str">
        <f>"1-167-1"</f>
        <v>1-167-1</v>
      </c>
      <c r="F3832" t="s">
        <v>83</v>
      </c>
      <c r="G3832" t="s">
        <v>84</v>
      </c>
      <c r="H3832" t="s">
        <v>92</v>
      </c>
      <c r="I3832">
        <v>1</v>
      </c>
      <c r="J3832">
        <v>1</v>
      </c>
      <c r="N3832">
        <v>1</v>
      </c>
      <c r="O3832">
        <v>1</v>
      </c>
      <c r="P3832">
        <v>1</v>
      </c>
      <c r="Q3832">
        <v>1</v>
      </c>
      <c r="R3832">
        <v>1</v>
      </c>
      <c r="S3832">
        <v>1</v>
      </c>
      <c r="T3832">
        <v>1</v>
      </c>
      <c r="W3832">
        <v>1</v>
      </c>
      <c r="X3832">
        <v>1</v>
      </c>
      <c r="Y3832">
        <v>1</v>
      </c>
      <c r="Z3832">
        <v>1</v>
      </c>
      <c r="AA3832">
        <v>1</v>
      </c>
      <c r="AB3832">
        <v>1</v>
      </c>
    </row>
    <row r="3833" spans="1:28" x14ac:dyDescent="0.25">
      <c r="A3833" t="str">
        <f>"3829"</f>
        <v>3829</v>
      </c>
      <c r="B3833" t="str">
        <f t="shared" si="220"/>
        <v>1</v>
      </c>
      <c r="C3833" t="str">
        <f t="shared" si="221"/>
        <v>167</v>
      </c>
      <c r="D3833" t="str">
        <f>"20"</f>
        <v>20</v>
      </c>
      <c r="E3833" t="str">
        <f>"1-167-20"</f>
        <v>1-167-20</v>
      </c>
      <c r="F3833" t="s">
        <v>83</v>
      </c>
      <c r="G3833" t="s">
        <v>84</v>
      </c>
      <c r="H3833" t="s">
        <v>92</v>
      </c>
      <c r="I3833">
        <v>1</v>
      </c>
      <c r="J3833">
        <v>1</v>
      </c>
      <c r="N3833">
        <v>1</v>
      </c>
      <c r="O3833">
        <v>1</v>
      </c>
      <c r="P3833">
        <v>1</v>
      </c>
      <c r="Q3833">
        <v>1</v>
      </c>
      <c r="R3833">
        <v>1</v>
      </c>
      <c r="S3833">
        <v>1</v>
      </c>
      <c r="T3833">
        <v>1</v>
      </c>
      <c r="W3833">
        <v>1</v>
      </c>
      <c r="X3833">
        <v>1</v>
      </c>
      <c r="Y3833">
        <v>1</v>
      </c>
      <c r="Z3833">
        <v>1</v>
      </c>
      <c r="AA3833">
        <v>1</v>
      </c>
      <c r="AB3833">
        <v>0</v>
      </c>
    </row>
    <row r="3834" spans="1:28" x14ac:dyDescent="0.25">
      <c r="A3834" t="str">
        <f>"3830"</f>
        <v>3830</v>
      </c>
      <c r="B3834" t="str">
        <f t="shared" si="220"/>
        <v>1</v>
      </c>
      <c r="C3834" t="str">
        <f t="shared" si="221"/>
        <v>167</v>
      </c>
      <c r="D3834" t="str">
        <f>"12"</f>
        <v>12</v>
      </c>
      <c r="E3834" t="str">
        <f>"1-167-12"</f>
        <v>1-167-12</v>
      </c>
      <c r="F3834" t="s">
        <v>83</v>
      </c>
      <c r="G3834" t="s">
        <v>84</v>
      </c>
      <c r="H3834" t="s">
        <v>92</v>
      </c>
      <c r="I3834">
        <v>1</v>
      </c>
      <c r="J3834">
        <v>1</v>
      </c>
      <c r="N3834">
        <v>1</v>
      </c>
      <c r="O3834">
        <v>1</v>
      </c>
      <c r="P3834">
        <v>1</v>
      </c>
      <c r="Q3834">
        <v>1</v>
      </c>
      <c r="R3834">
        <v>1</v>
      </c>
      <c r="S3834">
        <v>1</v>
      </c>
      <c r="T3834">
        <v>1</v>
      </c>
      <c r="W3834">
        <v>1</v>
      </c>
      <c r="X3834">
        <v>1</v>
      </c>
      <c r="Y3834">
        <v>1</v>
      </c>
      <c r="Z3834">
        <v>1</v>
      </c>
      <c r="AA3834">
        <v>1</v>
      </c>
      <c r="AB3834">
        <v>0</v>
      </c>
    </row>
    <row r="3835" spans="1:28" x14ac:dyDescent="0.25">
      <c r="A3835" t="str">
        <f>"3831"</f>
        <v>3831</v>
      </c>
      <c r="B3835" t="str">
        <f t="shared" si="220"/>
        <v>1</v>
      </c>
      <c r="C3835" t="str">
        <f t="shared" si="221"/>
        <v>167</v>
      </c>
      <c r="D3835" t="str">
        <f>"6"</f>
        <v>6</v>
      </c>
      <c r="E3835" t="str">
        <f>"1-167-6"</f>
        <v>1-167-6</v>
      </c>
      <c r="F3835" t="s">
        <v>83</v>
      </c>
      <c r="G3835" t="s">
        <v>84</v>
      </c>
      <c r="H3835" t="s">
        <v>92</v>
      </c>
      <c r="I3835">
        <v>1</v>
      </c>
      <c r="J3835">
        <v>1</v>
      </c>
      <c r="N3835">
        <v>1</v>
      </c>
      <c r="O3835">
        <v>1</v>
      </c>
      <c r="P3835">
        <v>1</v>
      </c>
      <c r="Q3835">
        <v>1</v>
      </c>
      <c r="R3835">
        <v>1</v>
      </c>
      <c r="S3835">
        <v>1</v>
      </c>
      <c r="T3835">
        <v>1</v>
      </c>
      <c r="W3835">
        <v>0</v>
      </c>
      <c r="X3835">
        <v>1</v>
      </c>
      <c r="Y3835">
        <v>1</v>
      </c>
      <c r="Z3835">
        <v>1</v>
      </c>
      <c r="AA3835">
        <v>1</v>
      </c>
      <c r="AB3835">
        <v>1</v>
      </c>
    </row>
    <row r="3836" spans="1:28" x14ac:dyDescent="0.25">
      <c r="A3836" t="str">
        <f>"3832"</f>
        <v>3832</v>
      </c>
      <c r="B3836" t="str">
        <f t="shared" si="220"/>
        <v>1</v>
      </c>
      <c r="C3836" t="str">
        <f t="shared" si="221"/>
        <v>167</v>
      </c>
      <c r="D3836" t="str">
        <f>"21"</f>
        <v>21</v>
      </c>
      <c r="E3836" t="str">
        <f>"1-167-21"</f>
        <v>1-167-21</v>
      </c>
      <c r="F3836" t="s">
        <v>83</v>
      </c>
      <c r="G3836" t="s">
        <v>84</v>
      </c>
      <c r="H3836" t="s">
        <v>92</v>
      </c>
      <c r="I3836">
        <v>1</v>
      </c>
      <c r="J3836">
        <v>0</v>
      </c>
      <c r="N3836">
        <v>1</v>
      </c>
      <c r="O3836">
        <v>1</v>
      </c>
      <c r="P3836">
        <v>1</v>
      </c>
      <c r="Q3836">
        <v>1</v>
      </c>
      <c r="R3836">
        <v>1</v>
      </c>
      <c r="S3836">
        <v>1</v>
      </c>
      <c r="T3836">
        <v>1</v>
      </c>
      <c r="W3836">
        <v>1</v>
      </c>
      <c r="X3836">
        <v>1</v>
      </c>
      <c r="Y3836">
        <v>1</v>
      </c>
      <c r="Z3836">
        <v>1</v>
      </c>
      <c r="AA3836">
        <v>1</v>
      </c>
      <c r="AB3836">
        <v>1</v>
      </c>
    </row>
    <row r="3837" spans="1:28" x14ac:dyDescent="0.25">
      <c r="A3837" t="str">
        <f>"3833"</f>
        <v>3833</v>
      </c>
      <c r="B3837" t="str">
        <f t="shared" si="220"/>
        <v>1</v>
      </c>
      <c r="C3837" t="str">
        <f t="shared" si="221"/>
        <v>167</v>
      </c>
      <c r="D3837" t="str">
        <f>"13"</f>
        <v>13</v>
      </c>
      <c r="E3837" t="str">
        <f>"1-167-13"</f>
        <v>1-167-13</v>
      </c>
      <c r="F3837" t="s">
        <v>83</v>
      </c>
      <c r="G3837" t="s">
        <v>84</v>
      </c>
      <c r="H3837" t="s">
        <v>92</v>
      </c>
      <c r="I3837">
        <v>1</v>
      </c>
      <c r="J3837">
        <v>1</v>
      </c>
      <c r="N3837">
        <v>1</v>
      </c>
      <c r="O3837">
        <v>1</v>
      </c>
      <c r="P3837">
        <v>1</v>
      </c>
      <c r="Q3837">
        <v>1</v>
      </c>
      <c r="R3837">
        <v>1</v>
      </c>
      <c r="S3837">
        <v>1</v>
      </c>
      <c r="T3837">
        <v>1</v>
      </c>
      <c r="W3837">
        <v>1</v>
      </c>
      <c r="X3837">
        <v>1</v>
      </c>
      <c r="Y3837">
        <v>1</v>
      </c>
      <c r="Z3837">
        <v>1</v>
      </c>
      <c r="AA3837">
        <v>1</v>
      </c>
      <c r="AB3837">
        <v>1</v>
      </c>
    </row>
    <row r="3838" spans="1:28" x14ac:dyDescent="0.25">
      <c r="A3838" t="str">
        <f>"3834"</f>
        <v>3834</v>
      </c>
      <c r="B3838" t="str">
        <f t="shared" si="220"/>
        <v>1</v>
      </c>
      <c r="C3838" t="str">
        <f t="shared" si="221"/>
        <v>167</v>
      </c>
      <c r="D3838" t="str">
        <f>"2"</f>
        <v>2</v>
      </c>
      <c r="E3838" t="str">
        <f>"1-167-2"</f>
        <v>1-167-2</v>
      </c>
      <c r="F3838" t="s">
        <v>83</v>
      </c>
      <c r="G3838" t="s">
        <v>84</v>
      </c>
      <c r="H3838" t="s">
        <v>92</v>
      </c>
      <c r="I3838">
        <v>1</v>
      </c>
      <c r="J3838">
        <v>1</v>
      </c>
      <c r="N3838">
        <v>1</v>
      </c>
      <c r="O3838">
        <v>1</v>
      </c>
      <c r="P3838">
        <v>1</v>
      </c>
      <c r="Q3838">
        <v>1</v>
      </c>
      <c r="R3838">
        <v>1</v>
      </c>
      <c r="S3838">
        <v>1</v>
      </c>
      <c r="T3838">
        <v>1</v>
      </c>
      <c r="W3838">
        <v>1</v>
      </c>
      <c r="X3838">
        <v>1</v>
      </c>
      <c r="Y3838">
        <v>1</v>
      </c>
      <c r="Z3838">
        <v>1</v>
      </c>
      <c r="AA3838">
        <v>1</v>
      </c>
      <c r="AB3838">
        <v>1</v>
      </c>
    </row>
    <row r="3839" spans="1:28" x14ac:dyDescent="0.25">
      <c r="A3839" t="str">
        <f>"3835"</f>
        <v>3835</v>
      </c>
      <c r="B3839" t="str">
        <f t="shared" si="220"/>
        <v>1</v>
      </c>
      <c r="C3839" t="str">
        <f t="shared" si="221"/>
        <v>167</v>
      </c>
      <c r="D3839" t="str">
        <f>"18"</f>
        <v>18</v>
      </c>
      <c r="E3839" t="str">
        <f>"1-167-18"</f>
        <v>1-167-18</v>
      </c>
      <c r="F3839" t="s">
        <v>83</v>
      </c>
      <c r="G3839" t="s">
        <v>84</v>
      </c>
      <c r="H3839" t="s">
        <v>92</v>
      </c>
      <c r="I3839">
        <v>1</v>
      </c>
      <c r="J3839">
        <v>1</v>
      </c>
      <c r="N3839">
        <v>1</v>
      </c>
      <c r="O3839">
        <v>1</v>
      </c>
      <c r="P3839">
        <v>1</v>
      </c>
      <c r="Q3839">
        <v>1</v>
      </c>
      <c r="R3839">
        <v>1</v>
      </c>
      <c r="S3839">
        <v>1</v>
      </c>
      <c r="T3839">
        <v>1</v>
      </c>
      <c r="W3839">
        <v>1</v>
      </c>
      <c r="X3839">
        <v>1</v>
      </c>
      <c r="Y3839">
        <v>1</v>
      </c>
      <c r="Z3839">
        <v>1</v>
      </c>
      <c r="AA3839">
        <v>1</v>
      </c>
      <c r="AB3839">
        <v>1</v>
      </c>
    </row>
    <row r="3840" spans="1:28" x14ac:dyDescent="0.25">
      <c r="A3840" t="str">
        <f>"3836"</f>
        <v>3836</v>
      </c>
      <c r="B3840" t="str">
        <f t="shared" si="220"/>
        <v>1</v>
      </c>
      <c r="C3840" t="str">
        <f t="shared" si="221"/>
        <v>167</v>
      </c>
      <c r="D3840" t="str">
        <f>"14"</f>
        <v>14</v>
      </c>
      <c r="E3840" t="str">
        <f>"1-167-14"</f>
        <v>1-167-14</v>
      </c>
      <c r="F3840" t="s">
        <v>83</v>
      </c>
      <c r="G3840" t="s">
        <v>84</v>
      </c>
      <c r="H3840" t="s">
        <v>92</v>
      </c>
      <c r="I3840">
        <v>1</v>
      </c>
      <c r="J3840">
        <v>1</v>
      </c>
      <c r="N3840">
        <v>1</v>
      </c>
      <c r="O3840">
        <v>1</v>
      </c>
      <c r="P3840">
        <v>1</v>
      </c>
      <c r="Q3840">
        <v>1</v>
      </c>
      <c r="R3840">
        <v>1</v>
      </c>
      <c r="S3840">
        <v>1</v>
      </c>
      <c r="T3840">
        <v>0</v>
      </c>
      <c r="W3840">
        <v>1</v>
      </c>
      <c r="X3840">
        <v>1</v>
      </c>
      <c r="Y3840">
        <v>1</v>
      </c>
      <c r="Z3840">
        <v>1</v>
      </c>
      <c r="AA3840">
        <v>1</v>
      </c>
      <c r="AB3840">
        <v>1</v>
      </c>
    </row>
    <row r="3841" spans="1:28" x14ac:dyDescent="0.25">
      <c r="A3841" t="str">
        <f>"3837"</f>
        <v>3837</v>
      </c>
      <c r="B3841" t="str">
        <f t="shared" si="220"/>
        <v>1</v>
      </c>
      <c r="C3841" t="str">
        <f t="shared" si="221"/>
        <v>167</v>
      </c>
      <c r="D3841" t="str">
        <f>"3"</f>
        <v>3</v>
      </c>
      <c r="E3841" t="str">
        <f>"1-167-3"</f>
        <v>1-167-3</v>
      </c>
      <c r="F3841" t="s">
        <v>83</v>
      </c>
      <c r="G3841" t="s">
        <v>84</v>
      </c>
      <c r="H3841" t="s">
        <v>92</v>
      </c>
      <c r="I3841">
        <v>1</v>
      </c>
      <c r="J3841">
        <v>1</v>
      </c>
      <c r="N3841">
        <v>1</v>
      </c>
      <c r="O3841">
        <v>1</v>
      </c>
      <c r="P3841">
        <v>1</v>
      </c>
      <c r="Q3841">
        <v>1</v>
      </c>
      <c r="R3841">
        <v>1</v>
      </c>
      <c r="S3841">
        <v>1</v>
      </c>
      <c r="T3841">
        <v>1</v>
      </c>
      <c r="W3841">
        <v>1</v>
      </c>
      <c r="X3841">
        <v>1</v>
      </c>
      <c r="Y3841">
        <v>1</v>
      </c>
      <c r="Z3841">
        <v>1</v>
      </c>
      <c r="AA3841">
        <v>1</v>
      </c>
      <c r="AB3841">
        <v>1</v>
      </c>
    </row>
    <row r="3842" spans="1:28" x14ac:dyDescent="0.25">
      <c r="A3842" t="str">
        <f>"3838"</f>
        <v>3838</v>
      </c>
      <c r="B3842" t="str">
        <f t="shared" si="220"/>
        <v>1</v>
      </c>
      <c r="C3842" t="str">
        <f t="shared" ref="C3842:C3866" si="222">"168"</f>
        <v>168</v>
      </c>
      <c r="D3842" t="str">
        <f>"23"</f>
        <v>23</v>
      </c>
      <c r="E3842" t="str">
        <f>"1-168-23"</f>
        <v>1-168-23</v>
      </c>
      <c r="F3842" t="s">
        <v>83</v>
      </c>
      <c r="G3842" t="s">
        <v>84</v>
      </c>
      <c r="H3842" t="s">
        <v>92</v>
      </c>
      <c r="I3842">
        <v>1</v>
      </c>
      <c r="J3842">
        <v>1</v>
      </c>
      <c r="N3842">
        <v>1</v>
      </c>
      <c r="O3842">
        <v>1</v>
      </c>
      <c r="P3842">
        <v>1</v>
      </c>
      <c r="Q3842">
        <v>1</v>
      </c>
      <c r="R3842">
        <v>1</v>
      </c>
      <c r="S3842">
        <v>1</v>
      </c>
      <c r="T3842">
        <v>1</v>
      </c>
      <c r="W3842">
        <v>1</v>
      </c>
      <c r="X3842">
        <v>1</v>
      </c>
      <c r="Y3842">
        <v>1</v>
      </c>
      <c r="Z3842">
        <v>1</v>
      </c>
      <c r="AA3842">
        <v>1</v>
      </c>
      <c r="AB3842">
        <v>1</v>
      </c>
    </row>
    <row r="3843" spans="1:28" x14ac:dyDescent="0.25">
      <c r="A3843" t="str">
        <f>"3839"</f>
        <v>3839</v>
      </c>
      <c r="B3843" t="str">
        <f t="shared" si="220"/>
        <v>1</v>
      </c>
      <c r="C3843" t="str">
        <f t="shared" si="222"/>
        <v>168</v>
      </c>
      <c r="D3843" t="str">
        <f>"22"</f>
        <v>22</v>
      </c>
      <c r="E3843" t="str">
        <f>"1-168-22"</f>
        <v>1-168-22</v>
      </c>
      <c r="F3843" t="s">
        <v>83</v>
      </c>
      <c r="G3843" t="s">
        <v>84</v>
      </c>
      <c r="H3843" t="s">
        <v>92</v>
      </c>
      <c r="I3843">
        <v>1</v>
      </c>
      <c r="J3843">
        <v>1</v>
      </c>
      <c r="N3843">
        <v>1</v>
      </c>
      <c r="O3843">
        <v>1</v>
      </c>
      <c r="P3843">
        <v>1</v>
      </c>
      <c r="Q3843">
        <v>1</v>
      </c>
      <c r="R3843">
        <v>1</v>
      </c>
      <c r="S3843">
        <v>1</v>
      </c>
      <c r="T3843">
        <v>1</v>
      </c>
      <c r="W3843">
        <v>1</v>
      </c>
      <c r="X3843">
        <v>1</v>
      </c>
      <c r="Y3843">
        <v>1</v>
      </c>
      <c r="Z3843">
        <v>1</v>
      </c>
      <c r="AA3843">
        <v>1</v>
      </c>
      <c r="AB3843">
        <v>1</v>
      </c>
    </row>
    <row r="3844" spans="1:28" x14ac:dyDescent="0.25">
      <c r="A3844" t="str">
        <f>"3840"</f>
        <v>3840</v>
      </c>
      <c r="B3844" t="str">
        <f t="shared" si="220"/>
        <v>1</v>
      </c>
      <c r="C3844" t="str">
        <f t="shared" si="222"/>
        <v>168</v>
      </c>
      <c r="D3844" t="str">
        <f>"15"</f>
        <v>15</v>
      </c>
      <c r="E3844" t="str">
        <f>"1-168-15"</f>
        <v>1-168-15</v>
      </c>
      <c r="F3844" t="s">
        <v>83</v>
      </c>
      <c r="G3844" t="s">
        <v>84</v>
      </c>
      <c r="H3844" t="s">
        <v>92</v>
      </c>
      <c r="I3844">
        <v>1</v>
      </c>
      <c r="J3844">
        <v>1</v>
      </c>
      <c r="N3844">
        <v>1</v>
      </c>
      <c r="O3844">
        <v>1</v>
      </c>
      <c r="P3844">
        <v>1</v>
      </c>
      <c r="Q3844">
        <v>1</v>
      </c>
      <c r="R3844">
        <v>1</v>
      </c>
      <c r="S3844">
        <v>1</v>
      </c>
      <c r="T3844">
        <v>1</v>
      </c>
      <c r="W3844">
        <v>1</v>
      </c>
      <c r="X3844">
        <v>1</v>
      </c>
      <c r="Y3844">
        <v>1</v>
      </c>
      <c r="Z3844">
        <v>1</v>
      </c>
      <c r="AA3844">
        <v>1</v>
      </c>
      <c r="AB3844">
        <v>1</v>
      </c>
    </row>
    <row r="3845" spans="1:28" x14ac:dyDescent="0.25">
      <c r="A3845" t="str">
        <f>"3841"</f>
        <v>3841</v>
      </c>
      <c r="B3845" t="str">
        <f t="shared" si="220"/>
        <v>1</v>
      </c>
      <c r="C3845" t="str">
        <f t="shared" si="222"/>
        <v>168</v>
      </c>
      <c r="D3845" t="str">
        <f>"8"</f>
        <v>8</v>
      </c>
      <c r="E3845" t="str">
        <f>"1-168-8"</f>
        <v>1-168-8</v>
      </c>
      <c r="F3845" t="s">
        <v>83</v>
      </c>
      <c r="G3845" t="s">
        <v>84</v>
      </c>
      <c r="H3845" t="s">
        <v>92</v>
      </c>
      <c r="I3845">
        <v>1</v>
      </c>
      <c r="J3845">
        <v>1</v>
      </c>
      <c r="N3845">
        <v>1</v>
      </c>
      <c r="O3845">
        <v>1</v>
      </c>
      <c r="P3845">
        <v>1</v>
      </c>
      <c r="Q3845">
        <v>1</v>
      </c>
      <c r="R3845">
        <v>1</v>
      </c>
      <c r="S3845">
        <v>1</v>
      </c>
      <c r="T3845">
        <v>1</v>
      </c>
      <c r="W3845">
        <v>1</v>
      </c>
      <c r="X3845">
        <v>1</v>
      </c>
      <c r="Y3845">
        <v>1</v>
      </c>
      <c r="Z3845">
        <v>1</v>
      </c>
      <c r="AA3845">
        <v>1</v>
      </c>
      <c r="AB3845">
        <v>1</v>
      </c>
    </row>
    <row r="3846" spans="1:28" x14ac:dyDescent="0.25">
      <c r="A3846" t="str">
        <f>"3842"</f>
        <v>3842</v>
      </c>
      <c r="B3846" t="str">
        <f t="shared" si="220"/>
        <v>1</v>
      </c>
      <c r="C3846" t="str">
        <f t="shared" si="222"/>
        <v>168</v>
      </c>
      <c r="D3846" t="str">
        <f>"5"</f>
        <v>5</v>
      </c>
      <c r="E3846" t="str">
        <f>"1-168-5"</f>
        <v>1-168-5</v>
      </c>
      <c r="F3846" t="s">
        <v>83</v>
      </c>
      <c r="G3846" t="s">
        <v>84</v>
      </c>
      <c r="H3846" t="s">
        <v>92</v>
      </c>
      <c r="I3846">
        <v>1</v>
      </c>
      <c r="J3846">
        <v>1</v>
      </c>
      <c r="N3846">
        <v>1</v>
      </c>
      <c r="O3846">
        <v>1</v>
      </c>
      <c r="P3846">
        <v>1</v>
      </c>
      <c r="Q3846">
        <v>1</v>
      </c>
      <c r="R3846">
        <v>1</v>
      </c>
      <c r="S3846">
        <v>1</v>
      </c>
      <c r="T3846">
        <v>1</v>
      </c>
      <c r="W3846">
        <v>1</v>
      </c>
      <c r="X3846">
        <v>1</v>
      </c>
      <c r="Y3846">
        <v>1</v>
      </c>
      <c r="Z3846">
        <v>1</v>
      </c>
      <c r="AA3846">
        <v>1</v>
      </c>
      <c r="AB3846">
        <v>1</v>
      </c>
    </row>
    <row r="3847" spans="1:28" x14ac:dyDescent="0.25">
      <c r="A3847" t="str">
        <f>"3843"</f>
        <v>3843</v>
      </c>
      <c r="B3847" t="str">
        <f t="shared" si="220"/>
        <v>1</v>
      </c>
      <c r="C3847" t="str">
        <f t="shared" si="222"/>
        <v>168</v>
      </c>
      <c r="D3847" t="str">
        <f>"25"</f>
        <v>25</v>
      </c>
      <c r="E3847" t="str">
        <f>"1-168-25"</f>
        <v>1-168-25</v>
      </c>
      <c r="F3847" t="s">
        <v>83</v>
      </c>
      <c r="G3847" t="s">
        <v>84</v>
      </c>
      <c r="H3847" t="s">
        <v>92</v>
      </c>
      <c r="I3847">
        <v>1</v>
      </c>
      <c r="J3847">
        <v>1</v>
      </c>
      <c r="N3847">
        <v>1</v>
      </c>
      <c r="O3847">
        <v>1</v>
      </c>
      <c r="P3847">
        <v>1</v>
      </c>
      <c r="Q3847">
        <v>1</v>
      </c>
      <c r="R3847">
        <v>1</v>
      </c>
      <c r="S3847">
        <v>1</v>
      </c>
      <c r="T3847">
        <v>1</v>
      </c>
      <c r="W3847">
        <v>1</v>
      </c>
      <c r="X3847">
        <v>1</v>
      </c>
      <c r="Y3847">
        <v>1</v>
      </c>
      <c r="Z3847">
        <v>1</v>
      </c>
      <c r="AA3847">
        <v>1</v>
      </c>
      <c r="AB3847">
        <v>1</v>
      </c>
    </row>
    <row r="3848" spans="1:28" x14ac:dyDescent="0.25">
      <c r="A3848" t="str">
        <f>"3844"</f>
        <v>3844</v>
      </c>
      <c r="B3848" t="str">
        <f t="shared" si="220"/>
        <v>1</v>
      </c>
      <c r="C3848" t="str">
        <f t="shared" si="222"/>
        <v>168</v>
      </c>
      <c r="D3848" t="str">
        <f>"24"</f>
        <v>24</v>
      </c>
      <c r="E3848" t="str">
        <f>"1-168-24"</f>
        <v>1-168-24</v>
      </c>
      <c r="F3848" t="s">
        <v>83</v>
      </c>
      <c r="G3848" t="s">
        <v>84</v>
      </c>
      <c r="H3848" t="s">
        <v>92</v>
      </c>
      <c r="I3848">
        <v>1</v>
      </c>
      <c r="J3848">
        <v>1</v>
      </c>
      <c r="N3848">
        <v>1</v>
      </c>
      <c r="O3848">
        <v>1</v>
      </c>
      <c r="P3848">
        <v>1</v>
      </c>
      <c r="Q3848">
        <v>1</v>
      </c>
      <c r="R3848">
        <v>1</v>
      </c>
      <c r="S3848">
        <v>1</v>
      </c>
      <c r="T3848">
        <v>1</v>
      </c>
      <c r="W3848">
        <v>1</v>
      </c>
      <c r="X3848">
        <v>1</v>
      </c>
      <c r="Y3848">
        <v>1</v>
      </c>
      <c r="Z3848">
        <v>1</v>
      </c>
      <c r="AA3848">
        <v>1</v>
      </c>
      <c r="AB3848">
        <v>1</v>
      </c>
    </row>
    <row r="3849" spans="1:28" x14ac:dyDescent="0.25">
      <c r="A3849" t="str">
        <f>"3845"</f>
        <v>3845</v>
      </c>
      <c r="B3849" t="str">
        <f t="shared" si="220"/>
        <v>1</v>
      </c>
      <c r="C3849" t="str">
        <f t="shared" si="222"/>
        <v>168</v>
      </c>
      <c r="D3849" t="str">
        <f>"16"</f>
        <v>16</v>
      </c>
      <c r="E3849" t="str">
        <f>"1-168-16"</f>
        <v>1-168-16</v>
      </c>
      <c r="F3849" t="s">
        <v>83</v>
      </c>
      <c r="G3849" t="s">
        <v>90</v>
      </c>
      <c r="H3849" t="s">
        <v>94</v>
      </c>
      <c r="I3849">
        <v>1</v>
      </c>
      <c r="K3849">
        <v>1</v>
      </c>
      <c r="L3849">
        <v>0</v>
      </c>
      <c r="M3849">
        <v>0</v>
      </c>
      <c r="N3849">
        <v>1</v>
      </c>
      <c r="O3849">
        <v>1</v>
      </c>
      <c r="P3849">
        <v>1</v>
      </c>
      <c r="Q3849">
        <v>1</v>
      </c>
      <c r="R3849">
        <v>1</v>
      </c>
      <c r="S3849">
        <v>1</v>
      </c>
      <c r="U3849">
        <v>0</v>
      </c>
      <c r="V3849">
        <v>1</v>
      </c>
      <c r="W3849">
        <v>1</v>
      </c>
      <c r="X3849">
        <v>1</v>
      </c>
      <c r="Y3849">
        <v>1</v>
      </c>
      <c r="Z3849">
        <v>1</v>
      </c>
      <c r="AA3849">
        <v>1</v>
      </c>
      <c r="AB3849">
        <v>1</v>
      </c>
    </row>
    <row r="3850" spans="1:28" x14ac:dyDescent="0.25">
      <c r="A3850" t="str">
        <f>"3846"</f>
        <v>3846</v>
      </c>
      <c r="B3850" t="str">
        <f t="shared" si="220"/>
        <v>1</v>
      </c>
      <c r="C3850" t="str">
        <f t="shared" si="222"/>
        <v>168</v>
      </c>
      <c r="D3850" t="str">
        <f>"9"</f>
        <v>9</v>
      </c>
      <c r="E3850" t="str">
        <f>"1-168-9"</f>
        <v>1-168-9</v>
      </c>
      <c r="F3850" t="s">
        <v>83</v>
      </c>
      <c r="G3850" t="s">
        <v>84</v>
      </c>
      <c r="H3850" t="s">
        <v>92</v>
      </c>
      <c r="I3850">
        <v>1</v>
      </c>
      <c r="J3850">
        <v>1</v>
      </c>
      <c r="N3850">
        <v>1</v>
      </c>
      <c r="O3850">
        <v>1</v>
      </c>
      <c r="P3850">
        <v>1</v>
      </c>
      <c r="Q3850">
        <v>1</v>
      </c>
      <c r="R3850">
        <v>1</v>
      </c>
      <c r="S3850">
        <v>1</v>
      </c>
      <c r="T3850">
        <v>1</v>
      </c>
      <c r="W3850">
        <v>1</v>
      </c>
      <c r="X3850">
        <v>1</v>
      </c>
      <c r="Y3850">
        <v>1</v>
      </c>
      <c r="Z3850">
        <v>1</v>
      </c>
      <c r="AA3850">
        <v>1</v>
      </c>
      <c r="AB3850">
        <v>1</v>
      </c>
    </row>
    <row r="3851" spans="1:28" x14ac:dyDescent="0.25">
      <c r="A3851" t="str">
        <f>"3847"</f>
        <v>3847</v>
      </c>
      <c r="B3851" t="str">
        <f t="shared" si="220"/>
        <v>1</v>
      </c>
      <c r="C3851" t="str">
        <f t="shared" si="222"/>
        <v>168</v>
      </c>
      <c r="D3851" t="str">
        <f>"4"</f>
        <v>4</v>
      </c>
      <c r="E3851" t="str">
        <f>"1-168-4"</f>
        <v>1-168-4</v>
      </c>
      <c r="F3851" t="s">
        <v>83</v>
      </c>
      <c r="G3851" t="s">
        <v>84</v>
      </c>
      <c r="H3851" t="s">
        <v>92</v>
      </c>
      <c r="I3851">
        <v>1</v>
      </c>
      <c r="J3851">
        <v>1</v>
      </c>
      <c r="N3851">
        <v>1</v>
      </c>
      <c r="O3851">
        <v>1</v>
      </c>
      <c r="P3851">
        <v>1</v>
      </c>
      <c r="Q3851">
        <v>1</v>
      </c>
      <c r="R3851">
        <v>1</v>
      </c>
      <c r="S3851">
        <v>1</v>
      </c>
      <c r="T3851">
        <v>1</v>
      </c>
      <c r="W3851">
        <v>1</v>
      </c>
      <c r="X3851">
        <v>1</v>
      </c>
      <c r="Y3851">
        <v>1</v>
      </c>
      <c r="Z3851">
        <v>1</v>
      </c>
      <c r="AA3851">
        <v>1</v>
      </c>
      <c r="AB3851">
        <v>1</v>
      </c>
    </row>
    <row r="3852" spans="1:28" x14ac:dyDescent="0.25">
      <c r="A3852" t="str">
        <f>"3848"</f>
        <v>3848</v>
      </c>
      <c r="B3852" t="str">
        <f t="shared" si="220"/>
        <v>1</v>
      </c>
      <c r="C3852" t="str">
        <f t="shared" si="222"/>
        <v>168</v>
      </c>
      <c r="D3852" t="str">
        <f>"17"</f>
        <v>17</v>
      </c>
      <c r="E3852" t="str">
        <f>"1-168-17"</f>
        <v>1-168-17</v>
      </c>
      <c r="F3852" t="s">
        <v>83</v>
      </c>
      <c r="G3852" t="s">
        <v>84</v>
      </c>
      <c r="H3852" t="s">
        <v>92</v>
      </c>
      <c r="I3852">
        <v>1</v>
      </c>
      <c r="J3852">
        <v>1</v>
      </c>
      <c r="N3852">
        <v>1</v>
      </c>
      <c r="O3852">
        <v>1</v>
      </c>
      <c r="P3852">
        <v>1</v>
      </c>
      <c r="Q3852">
        <v>1</v>
      </c>
      <c r="R3852">
        <v>1</v>
      </c>
      <c r="S3852">
        <v>1</v>
      </c>
      <c r="T3852">
        <v>1</v>
      </c>
      <c r="W3852">
        <v>1</v>
      </c>
      <c r="X3852">
        <v>1</v>
      </c>
      <c r="Y3852">
        <v>1</v>
      </c>
      <c r="Z3852">
        <v>1</v>
      </c>
      <c r="AA3852">
        <v>1</v>
      </c>
      <c r="AB3852">
        <v>1</v>
      </c>
    </row>
    <row r="3853" spans="1:28" x14ac:dyDescent="0.25">
      <c r="A3853" t="str">
        <f>"3849"</f>
        <v>3849</v>
      </c>
      <c r="B3853" t="str">
        <f t="shared" si="220"/>
        <v>1</v>
      </c>
      <c r="C3853" t="str">
        <f t="shared" si="222"/>
        <v>168</v>
      </c>
      <c r="D3853" t="str">
        <f>"10"</f>
        <v>10</v>
      </c>
      <c r="E3853" t="str">
        <f>"1-168-10"</f>
        <v>1-168-10</v>
      </c>
      <c r="F3853" t="s">
        <v>83</v>
      </c>
      <c r="G3853" t="s">
        <v>84</v>
      </c>
      <c r="H3853" t="s">
        <v>92</v>
      </c>
      <c r="I3853">
        <v>1</v>
      </c>
      <c r="J3853">
        <v>1</v>
      </c>
      <c r="N3853">
        <v>1</v>
      </c>
      <c r="O3853">
        <v>1</v>
      </c>
      <c r="P3853">
        <v>1</v>
      </c>
      <c r="Q3853">
        <v>1</v>
      </c>
      <c r="R3853">
        <v>1</v>
      </c>
      <c r="S3853">
        <v>1</v>
      </c>
      <c r="T3853">
        <v>1</v>
      </c>
      <c r="W3853">
        <v>1</v>
      </c>
      <c r="X3853">
        <v>1</v>
      </c>
      <c r="Y3853">
        <v>1</v>
      </c>
      <c r="Z3853">
        <v>1</v>
      </c>
      <c r="AA3853">
        <v>1</v>
      </c>
      <c r="AB3853">
        <v>1</v>
      </c>
    </row>
    <row r="3854" spans="1:28" x14ac:dyDescent="0.25">
      <c r="A3854" t="str">
        <f>"3850"</f>
        <v>3850</v>
      </c>
      <c r="B3854" t="str">
        <f t="shared" si="220"/>
        <v>1</v>
      </c>
      <c r="C3854" t="str">
        <f t="shared" si="222"/>
        <v>168</v>
      </c>
      <c r="D3854" t="str">
        <f>"1"</f>
        <v>1</v>
      </c>
      <c r="E3854" t="str">
        <f>"1-168-1"</f>
        <v>1-168-1</v>
      </c>
      <c r="F3854" t="s">
        <v>83</v>
      </c>
      <c r="G3854" t="s">
        <v>84</v>
      </c>
      <c r="H3854" t="s">
        <v>92</v>
      </c>
      <c r="I3854">
        <v>1</v>
      </c>
      <c r="J3854">
        <v>1</v>
      </c>
      <c r="N3854">
        <v>1</v>
      </c>
      <c r="O3854">
        <v>1</v>
      </c>
      <c r="P3854">
        <v>1</v>
      </c>
      <c r="Q3854">
        <v>1</v>
      </c>
      <c r="R3854">
        <v>1</v>
      </c>
      <c r="S3854">
        <v>1</v>
      </c>
      <c r="T3854">
        <v>1</v>
      </c>
      <c r="W3854">
        <v>1</v>
      </c>
      <c r="X3854">
        <v>1</v>
      </c>
      <c r="Y3854">
        <v>1</v>
      </c>
      <c r="Z3854">
        <v>1</v>
      </c>
      <c r="AA3854">
        <v>1</v>
      </c>
      <c r="AB3854">
        <v>1</v>
      </c>
    </row>
    <row r="3855" spans="1:28" x14ac:dyDescent="0.25">
      <c r="A3855" t="str">
        <f>"3851"</f>
        <v>3851</v>
      </c>
      <c r="B3855" t="str">
        <f t="shared" si="220"/>
        <v>1</v>
      </c>
      <c r="C3855" t="str">
        <f t="shared" si="222"/>
        <v>168</v>
      </c>
      <c r="D3855" t="str">
        <f>"19"</f>
        <v>19</v>
      </c>
      <c r="E3855" t="str">
        <f>"1-168-19"</f>
        <v>1-168-19</v>
      </c>
      <c r="F3855" t="s">
        <v>83</v>
      </c>
      <c r="G3855" t="s">
        <v>84</v>
      </c>
      <c r="H3855" t="s">
        <v>92</v>
      </c>
      <c r="I3855">
        <v>1</v>
      </c>
      <c r="J3855">
        <v>1</v>
      </c>
      <c r="N3855">
        <v>1</v>
      </c>
      <c r="O3855">
        <v>1</v>
      </c>
      <c r="P3855">
        <v>1</v>
      </c>
      <c r="Q3855">
        <v>1</v>
      </c>
      <c r="R3855">
        <v>1</v>
      </c>
      <c r="S3855">
        <v>1</v>
      </c>
      <c r="T3855">
        <v>1</v>
      </c>
      <c r="W3855">
        <v>1</v>
      </c>
      <c r="X3855">
        <v>1</v>
      </c>
      <c r="Y3855">
        <v>1</v>
      </c>
      <c r="Z3855">
        <v>1</v>
      </c>
      <c r="AA3855">
        <v>1</v>
      </c>
      <c r="AB3855">
        <v>1</v>
      </c>
    </row>
    <row r="3856" spans="1:28" x14ac:dyDescent="0.25">
      <c r="A3856" t="str">
        <f>"3852"</f>
        <v>3852</v>
      </c>
      <c r="B3856" t="str">
        <f t="shared" si="220"/>
        <v>1</v>
      </c>
      <c r="C3856" t="str">
        <f t="shared" si="222"/>
        <v>168</v>
      </c>
      <c r="D3856" t="str">
        <f>"11"</f>
        <v>11</v>
      </c>
      <c r="E3856" t="str">
        <f>"1-168-11"</f>
        <v>1-168-11</v>
      </c>
      <c r="F3856" t="s">
        <v>83</v>
      </c>
      <c r="G3856" t="s">
        <v>84</v>
      </c>
      <c r="H3856" t="s">
        <v>92</v>
      </c>
      <c r="I3856">
        <v>1</v>
      </c>
      <c r="J3856">
        <v>0</v>
      </c>
      <c r="N3856">
        <v>1</v>
      </c>
      <c r="O3856">
        <v>0</v>
      </c>
      <c r="P3856">
        <v>0</v>
      </c>
      <c r="Q3856">
        <v>0</v>
      </c>
      <c r="R3856">
        <v>0</v>
      </c>
      <c r="S3856">
        <v>0</v>
      </c>
      <c r="T3856">
        <v>0</v>
      </c>
      <c r="W3856">
        <v>0</v>
      </c>
      <c r="X3856">
        <v>0</v>
      </c>
      <c r="Y3856">
        <v>0</v>
      </c>
      <c r="Z3856">
        <v>0</v>
      </c>
      <c r="AA3856">
        <v>0</v>
      </c>
      <c r="AB3856">
        <v>0</v>
      </c>
    </row>
    <row r="3857" spans="1:49" x14ac:dyDescent="0.25">
      <c r="A3857" t="str">
        <f>"3853"</f>
        <v>3853</v>
      </c>
      <c r="B3857" t="str">
        <f t="shared" si="220"/>
        <v>1</v>
      </c>
      <c r="C3857" t="str">
        <f t="shared" si="222"/>
        <v>168</v>
      </c>
      <c r="D3857" t="str">
        <f>"2"</f>
        <v>2</v>
      </c>
      <c r="E3857" t="str">
        <f>"1-168-2"</f>
        <v>1-168-2</v>
      </c>
      <c r="F3857" t="s">
        <v>83</v>
      </c>
      <c r="G3857" t="s">
        <v>84</v>
      </c>
      <c r="H3857" t="s">
        <v>92</v>
      </c>
      <c r="I3857">
        <v>1</v>
      </c>
      <c r="J3857">
        <v>1</v>
      </c>
      <c r="N3857">
        <v>1</v>
      </c>
      <c r="O3857">
        <v>1</v>
      </c>
      <c r="P3857">
        <v>1</v>
      </c>
      <c r="Q3857">
        <v>1</v>
      </c>
      <c r="R3857">
        <v>1</v>
      </c>
      <c r="S3857">
        <v>1</v>
      </c>
      <c r="T3857">
        <v>1</v>
      </c>
      <c r="W3857">
        <v>1</v>
      </c>
      <c r="X3857">
        <v>1</v>
      </c>
      <c r="Y3857">
        <v>1</v>
      </c>
      <c r="Z3857">
        <v>1</v>
      </c>
      <c r="AA3857">
        <v>1</v>
      </c>
      <c r="AB3857">
        <v>1</v>
      </c>
    </row>
    <row r="3858" spans="1:49" x14ac:dyDescent="0.25">
      <c r="A3858" t="str">
        <f>"3854"</f>
        <v>3854</v>
      </c>
      <c r="B3858" t="str">
        <f t="shared" si="220"/>
        <v>1</v>
      </c>
      <c r="C3858" t="str">
        <f t="shared" si="222"/>
        <v>168</v>
      </c>
      <c r="D3858" t="str">
        <f>"18"</f>
        <v>18</v>
      </c>
      <c r="E3858" t="str">
        <f>"1-168-18"</f>
        <v>1-168-18</v>
      </c>
      <c r="F3858" t="s">
        <v>83</v>
      </c>
      <c r="G3858" t="s">
        <v>84</v>
      </c>
      <c r="H3858" t="s">
        <v>92</v>
      </c>
      <c r="I3858">
        <v>1</v>
      </c>
      <c r="J3858">
        <v>1</v>
      </c>
      <c r="N3858">
        <v>1</v>
      </c>
      <c r="O3858">
        <v>1</v>
      </c>
      <c r="P3858">
        <v>1</v>
      </c>
      <c r="Q3858">
        <v>1</v>
      </c>
      <c r="R3858">
        <v>1</v>
      </c>
      <c r="S3858">
        <v>1</v>
      </c>
      <c r="T3858">
        <v>1</v>
      </c>
      <c r="W3858">
        <v>1</v>
      </c>
      <c r="X3858">
        <v>1</v>
      </c>
      <c r="Y3858">
        <v>1</v>
      </c>
      <c r="Z3858">
        <v>1</v>
      </c>
      <c r="AA3858">
        <v>1</v>
      </c>
      <c r="AB3858">
        <v>1</v>
      </c>
    </row>
    <row r="3859" spans="1:49" x14ac:dyDescent="0.25">
      <c r="A3859" t="str">
        <f>"3855"</f>
        <v>3855</v>
      </c>
      <c r="B3859" t="str">
        <f t="shared" si="220"/>
        <v>1</v>
      </c>
      <c r="C3859" t="str">
        <f t="shared" si="222"/>
        <v>168</v>
      </c>
      <c r="D3859" t="str">
        <f>"12"</f>
        <v>12</v>
      </c>
      <c r="E3859" t="str">
        <f>"1-168-12"</f>
        <v>1-168-12</v>
      </c>
      <c r="F3859" t="s">
        <v>83</v>
      </c>
      <c r="G3859" t="s">
        <v>84</v>
      </c>
      <c r="H3859" t="s">
        <v>92</v>
      </c>
      <c r="I3859">
        <v>1</v>
      </c>
      <c r="J3859">
        <v>1</v>
      </c>
      <c r="N3859">
        <v>1</v>
      </c>
      <c r="O3859">
        <v>1</v>
      </c>
      <c r="P3859">
        <v>1</v>
      </c>
      <c r="Q3859">
        <v>1</v>
      </c>
      <c r="R3859">
        <v>1</v>
      </c>
      <c r="S3859">
        <v>1</v>
      </c>
      <c r="T3859">
        <v>1</v>
      </c>
      <c r="W3859">
        <v>1</v>
      </c>
      <c r="X3859">
        <v>1</v>
      </c>
      <c r="Y3859">
        <v>1</v>
      </c>
      <c r="Z3859">
        <v>1</v>
      </c>
      <c r="AA3859">
        <v>1</v>
      </c>
      <c r="AB3859">
        <v>1</v>
      </c>
    </row>
    <row r="3860" spans="1:49" x14ac:dyDescent="0.25">
      <c r="A3860" t="str">
        <f>"3856"</f>
        <v>3856</v>
      </c>
      <c r="B3860" t="str">
        <f t="shared" si="220"/>
        <v>1</v>
      </c>
      <c r="C3860" t="str">
        <f t="shared" si="222"/>
        <v>168</v>
      </c>
      <c r="D3860" t="str">
        <f>"7"</f>
        <v>7</v>
      </c>
      <c r="E3860" t="str">
        <f>"1-168-7"</f>
        <v>1-168-7</v>
      </c>
      <c r="F3860" t="s">
        <v>83</v>
      </c>
      <c r="G3860" t="s">
        <v>84</v>
      </c>
      <c r="H3860" t="s">
        <v>92</v>
      </c>
      <c r="I3860">
        <v>1</v>
      </c>
      <c r="J3860">
        <v>1</v>
      </c>
      <c r="N3860">
        <v>1</v>
      </c>
      <c r="O3860">
        <v>1</v>
      </c>
      <c r="P3860">
        <v>1</v>
      </c>
      <c r="Q3860">
        <v>1</v>
      </c>
      <c r="R3860">
        <v>1</v>
      </c>
      <c r="S3860">
        <v>1</v>
      </c>
      <c r="T3860">
        <v>1</v>
      </c>
      <c r="W3860">
        <v>1</v>
      </c>
      <c r="X3860">
        <v>1</v>
      </c>
      <c r="Y3860">
        <v>1</v>
      </c>
      <c r="Z3860">
        <v>1</v>
      </c>
      <c r="AA3860">
        <v>1</v>
      </c>
      <c r="AB3860">
        <v>1</v>
      </c>
    </row>
    <row r="3861" spans="1:49" x14ac:dyDescent="0.25">
      <c r="A3861" t="str">
        <f>"3857"</f>
        <v>3857</v>
      </c>
      <c r="B3861" t="str">
        <f t="shared" si="220"/>
        <v>1</v>
      </c>
      <c r="C3861" t="str">
        <f t="shared" si="222"/>
        <v>168</v>
      </c>
      <c r="D3861" t="str">
        <f>"20"</f>
        <v>20</v>
      </c>
      <c r="E3861" t="str">
        <f>"1-168-20"</f>
        <v>1-168-20</v>
      </c>
      <c r="F3861" t="s">
        <v>83</v>
      </c>
      <c r="G3861" t="s">
        <v>84</v>
      </c>
      <c r="H3861" t="s">
        <v>92</v>
      </c>
      <c r="I3861">
        <v>1</v>
      </c>
      <c r="J3861">
        <v>1</v>
      </c>
      <c r="N3861">
        <v>1</v>
      </c>
      <c r="O3861">
        <v>1</v>
      </c>
      <c r="P3861">
        <v>1</v>
      </c>
      <c r="Q3861">
        <v>1</v>
      </c>
      <c r="R3861">
        <v>1</v>
      </c>
      <c r="S3861">
        <v>1</v>
      </c>
      <c r="T3861">
        <v>1</v>
      </c>
      <c r="W3861">
        <v>1</v>
      </c>
      <c r="X3861">
        <v>1</v>
      </c>
      <c r="Y3861">
        <v>1</v>
      </c>
      <c r="Z3861">
        <v>1</v>
      </c>
      <c r="AA3861">
        <v>1</v>
      </c>
      <c r="AB3861">
        <v>1</v>
      </c>
    </row>
    <row r="3862" spans="1:49" x14ac:dyDescent="0.25">
      <c r="A3862" t="str">
        <f>"3858"</f>
        <v>3858</v>
      </c>
      <c r="B3862" t="str">
        <f t="shared" si="220"/>
        <v>1</v>
      </c>
      <c r="C3862" t="str">
        <f t="shared" si="222"/>
        <v>168</v>
      </c>
      <c r="D3862" t="str">
        <f>"13"</f>
        <v>13</v>
      </c>
      <c r="E3862" t="str">
        <f>"1-168-13"</f>
        <v>1-168-13</v>
      </c>
      <c r="F3862" t="s">
        <v>83</v>
      </c>
      <c r="G3862" t="s">
        <v>84</v>
      </c>
      <c r="H3862" t="s">
        <v>92</v>
      </c>
      <c r="I3862">
        <v>1</v>
      </c>
      <c r="J3862">
        <v>1</v>
      </c>
      <c r="N3862">
        <v>1</v>
      </c>
      <c r="O3862">
        <v>1</v>
      </c>
      <c r="P3862">
        <v>1</v>
      </c>
      <c r="Q3862">
        <v>1</v>
      </c>
      <c r="R3862">
        <v>1</v>
      </c>
      <c r="S3862">
        <v>1</v>
      </c>
      <c r="T3862">
        <v>1</v>
      </c>
      <c r="W3862">
        <v>1</v>
      </c>
      <c r="X3862">
        <v>1</v>
      </c>
      <c r="Y3862">
        <v>1</v>
      </c>
      <c r="Z3862">
        <v>1</v>
      </c>
      <c r="AA3862">
        <v>1</v>
      </c>
      <c r="AB3862">
        <v>1</v>
      </c>
    </row>
    <row r="3863" spans="1:49" x14ac:dyDescent="0.25">
      <c r="A3863" t="str">
        <f>"3859"</f>
        <v>3859</v>
      </c>
      <c r="B3863" t="str">
        <f t="shared" si="220"/>
        <v>1</v>
      </c>
      <c r="C3863" t="str">
        <f t="shared" si="222"/>
        <v>168</v>
      </c>
      <c r="D3863" t="str">
        <f>"3"</f>
        <v>3</v>
      </c>
      <c r="E3863" t="str">
        <f>"1-168-3"</f>
        <v>1-168-3</v>
      </c>
      <c r="F3863" t="s">
        <v>83</v>
      </c>
      <c r="G3863" t="s">
        <v>84</v>
      </c>
      <c r="H3863" t="s">
        <v>92</v>
      </c>
      <c r="I3863">
        <v>1</v>
      </c>
      <c r="J3863">
        <v>1</v>
      </c>
      <c r="N3863">
        <v>1</v>
      </c>
      <c r="O3863">
        <v>1</v>
      </c>
      <c r="P3863">
        <v>1</v>
      </c>
      <c r="Q3863">
        <v>1</v>
      </c>
      <c r="R3863">
        <v>1</v>
      </c>
      <c r="S3863">
        <v>1</v>
      </c>
      <c r="T3863">
        <v>1</v>
      </c>
      <c r="W3863">
        <v>1</v>
      </c>
      <c r="X3863">
        <v>1</v>
      </c>
      <c r="Y3863">
        <v>1</v>
      </c>
      <c r="Z3863">
        <v>1</v>
      </c>
      <c r="AA3863">
        <v>1</v>
      </c>
      <c r="AB3863">
        <v>1</v>
      </c>
    </row>
    <row r="3864" spans="1:49" x14ac:dyDescent="0.25">
      <c r="A3864" t="str">
        <f>"3860"</f>
        <v>3860</v>
      </c>
      <c r="B3864" t="str">
        <f t="shared" si="220"/>
        <v>1</v>
      </c>
      <c r="C3864" t="str">
        <f t="shared" si="222"/>
        <v>168</v>
      </c>
      <c r="D3864" t="str">
        <f>"21"</f>
        <v>21</v>
      </c>
      <c r="E3864" t="str">
        <f>"1-168-21"</f>
        <v>1-168-21</v>
      </c>
      <c r="F3864" t="s">
        <v>83</v>
      </c>
      <c r="G3864" t="s">
        <v>84</v>
      </c>
      <c r="H3864" t="s">
        <v>92</v>
      </c>
      <c r="I3864">
        <v>1</v>
      </c>
      <c r="J3864">
        <v>1</v>
      </c>
      <c r="N3864">
        <v>1</v>
      </c>
      <c r="O3864">
        <v>1</v>
      </c>
      <c r="P3864">
        <v>1</v>
      </c>
      <c r="Q3864">
        <v>1</v>
      </c>
      <c r="R3864">
        <v>1</v>
      </c>
      <c r="S3864">
        <v>1</v>
      </c>
      <c r="T3864">
        <v>1</v>
      </c>
      <c r="W3864">
        <v>1</v>
      </c>
      <c r="X3864">
        <v>1</v>
      </c>
      <c r="Y3864">
        <v>1</v>
      </c>
      <c r="Z3864">
        <v>1</v>
      </c>
      <c r="AA3864">
        <v>1</v>
      </c>
      <c r="AB3864">
        <v>1</v>
      </c>
    </row>
    <row r="3865" spans="1:49" x14ac:dyDescent="0.25">
      <c r="A3865" t="str">
        <f>"3861"</f>
        <v>3861</v>
      </c>
      <c r="B3865" t="str">
        <f t="shared" si="220"/>
        <v>1</v>
      </c>
      <c r="C3865" t="str">
        <f t="shared" si="222"/>
        <v>168</v>
      </c>
      <c r="D3865" t="str">
        <f>"14"</f>
        <v>14</v>
      </c>
      <c r="E3865" t="str">
        <f>"1-168-14"</f>
        <v>1-168-14</v>
      </c>
      <c r="F3865" t="s">
        <v>83</v>
      </c>
      <c r="G3865" t="s">
        <v>84</v>
      </c>
      <c r="H3865" t="s">
        <v>92</v>
      </c>
      <c r="I3865">
        <v>1</v>
      </c>
      <c r="J3865">
        <v>1</v>
      </c>
      <c r="N3865">
        <v>1</v>
      </c>
      <c r="O3865">
        <v>1</v>
      </c>
      <c r="P3865">
        <v>1</v>
      </c>
      <c r="Q3865">
        <v>1</v>
      </c>
      <c r="R3865">
        <v>1</v>
      </c>
      <c r="S3865">
        <v>1</v>
      </c>
      <c r="T3865">
        <v>1</v>
      </c>
      <c r="W3865">
        <v>1</v>
      </c>
      <c r="X3865">
        <v>1</v>
      </c>
      <c r="Y3865">
        <v>1</v>
      </c>
      <c r="Z3865">
        <v>1</v>
      </c>
      <c r="AA3865">
        <v>1</v>
      </c>
      <c r="AB3865">
        <v>1</v>
      </c>
    </row>
    <row r="3866" spans="1:49" x14ac:dyDescent="0.25">
      <c r="A3866" t="str">
        <f>"3862"</f>
        <v>3862</v>
      </c>
      <c r="B3866" t="str">
        <f t="shared" si="220"/>
        <v>1</v>
      </c>
      <c r="C3866" t="str">
        <f t="shared" si="222"/>
        <v>168</v>
      </c>
      <c r="D3866" t="str">
        <f>"6"</f>
        <v>6</v>
      </c>
      <c r="E3866" t="str">
        <f>"1-168-6"</f>
        <v>1-168-6</v>
      </c>
      <c r="F3866" t="s">
        <v>83</v>
      </c>
      <c r="G3866" t="s">
        <v>84</v>
      </c>
      <c r="H3866" t="s">
        <v>92</v>
      </c>
      <c r="I3866">
        <v>1</v>
      </c>
      <c r="J3866">
        <v>1</v>
      </c>
      <c r="N3866">
        <v>1</v>
      </c>
      <c r="O3866">
        <v>1</v>
      </c>
      <c r="P3866">
        <v>1</v>
      </c>
      <c r="Q3866">
        <v>1</v>
      </c>
      <c r="R3866">
        <v>1</v>
      </c>
      <c r="S3866">
        <v>1</v>
      </c>
      <c r="T3866">
        <v>1</v>
      </c>
      <c r="W3866">
        <v>1</v>
      </c>
      <c r="X3866">
        <v>1</v>
      </c>
      <c r="Y3866">
        <v>1</v>
      </c>
      <c r="Z3866">
        <v>1</v>
      </c>
      <c r="AA3866">
        <v>1</v>
      </c>
      <c r="AB3866">
        <v>1</v>
      </c>
    </row>
    <row r="3867" spans="1:49" x14ac:dyDescent="0.25">
      <c r="A3867" t="str">
        <f>"3863"</f>
        <v>3863</v>
      </c>
      <c r="B3867" t="str">
        <f t="shared" si="220"/>
        <v>1</v>
      </c>
      <c r="C3867" t="str">
        <f t="shared" ref="C3867:C3891" si="223">"169"</f>
        <v>169</v>
      </c>
      <c r="D3867" t="str">
        <f>"15"</f>
        <v>15</v>
      </c>
      <c r="E3867" t="str">
        <f>"1-169-15"</f>
        <v>1-169-15</v>
      </c>
      <c r="F3867" t="s">
        <v>83</v>
      </c>
      <c r="G3867" t="s">
        <v>84</v>
      </c>
      <c r="H3867" t="s">
        <v>85</v>
      </c>
      <c r="AC3867">
        <v>0</v>
      </c>
      <c r="AD3867">
        <v>1</v>
      </c>
      <c r="AE3867">
        <v>0</v>
      </c>
      <c r="AF3867">
        <v>0</v>
      </c>
      <c r="AG3867">
        <v>1</v>
      </c>
      <c r="AJ3867">
        <v>0</v>
      </c>
      <c r="AK3867">
        <v>1</v>
      </c>
      <c r="AL3867">
        <v>0</v>
      </c>
      <c r="AM3867">
        <v>0</v>
      </c>
      <c r="AN3867">
        <v>1</v>
      </c>
      <c r="AO3867">
        <v>1</v>
      </c>
      <c r="AP3867">
        <v>1</v>
      </c>
      <c r="AQ3867">
        <v>1</v>
      </c>
      <c r="AR3867">
        <v>1</v>
      </c>
      <c r="AS3867">
        <v>0</v>
      </c>
      <c r="AT3867">
        <v>1</v>
      </c>
      <c r="AV3867">
        <v>1</v>
      </c>
      <c r="AW3867">
        <v>1</v>
      </c>
    </row>
    <row r="3868" spans="1:49" x14ac:dyDescent="0.25">
      <c r="A3868" t="str">
        <f>"3864"</f>
        <v>3864</v>
      </c>
      <c r="B3868" t="str">
        <f t="shared" si="220"/>
        <v>1</v>
      </c>
      <c r="C3868" t="str">
        <f t="shared" si="223"/>
        <v>169</v>
      </c>
      <c r="D3868" t="str">
        <f>"14"</f>
        <v>14</v>
      </c>
      <c r="E3868" t="str">
        <f>"1-169-14"</f>
        <v>1-169-14</v>
      </c>
      <c r="F3868" t="s">
        <v>83</v>
      </c>
      <c r="G3868" t="s">
        <v>84</v>
      </c>
      <c r="H3868" t="s">
        <v>92</v>
      </c>
      <c r="I3868">
        <v>1</v>
      </c>
      <c r="J3868">
        <v>1</v>
      </c>
      <c r="N3868">
        <v>1</v>
      </c>
      <c r="O3868">
        <v>1</v>
      </c>
      <c r="P3868">
        <v>1</v>
      </c>
      <c r="Q3868">
        <v>1</v>
      </c>
      <c r="R3868">
        <v>1</v>
      </c>
      <c r="S3868">
        <v>1</v>
      </c>
      <c r="T3868">
        <v>1</v>
      </c>
      <c r="W3868">
        <v>1</v>
      </c>
      <c r="X3868">
        <v>1</v>
      </c>
      <c r="Y3868">
        <v>1</v>
      </c>
      <c r="Z3868">
        <v>1</v>
      </c>
      <c r="AA3868">
        <v>1</v>
      </c>
      <c r="AB3868">
        <v>1</v>
      </c>
    </row>
    <row r="3869" spans="1:49" x14ac:dyDescent="0.25">
      <c r="A3869" t="str">
        <f>"3865"</f>
        <v>3865</v>
      </c>
      <c r="B3869" t="str">
        <f t="shared" si="220"/>
        <v>1</v>
      </c>
      <c r="C3869" t="str">
        <f t="shared" si="223"/>
        <v>169</v>
      </c>
      <c r="D3869" t="str">
        <f>"11"</f>
        <v>11</v>
      </c>
      <c r="E3869" t="str">
        <f>"1-169-11"</f>
        <v>1-169-11</v>
      </c>
      <c r="F3869" t="s">
        <v>83</v>
      </c>
      <c r="G3869" t="s">
        <v>84</v>
      </c>
      <c r="H3869" t="s">
        <v>92</v>
      </c>
      <c r="I3869">
        <v>1</v>
      </c>
      <c r="J3869">
        <v>1</v>
      </c>
      <c r="N3869">
        <v>1</v>
      </c>
      <c r="O3869">
        <v>1</v>
      </c>
      <c r="P3869">
        <v>1</v>
      </c>
      <c r="Q3869">
        <v>1</v>
      </c>
      <c r="R3869">
        <v>1</v>
      </c>
      <c r="S3869">
        <v>1</v>
      </c>
      <c r="T3869">
        <v>1</v>
      </c>
      <c r="W3869">
        <v>1</v>
      </c>
      <c r="X3869">
        <v>1</v>
      </c>
      <c r="Y3869">
        <v>1</v>
      </c>
      <c r="Z3869">
        <v>1</v>
      </c>
      <c r="AA3869">
        <v>1</v>
      </c>
      <c r="AB3869">
        <v>1</v>
      </c>
    </row>
    <row r="3870" spans="1:49" x14ac:dyDescent="0.25">
      <c r="A3870" t="str">
        <f>"3866"</f>
        <v>3866</v>
      </c>
      <c r="B3870" t="str">
        <f t="shared" ref="B3870:B3933" si="224">"1"</f>
        <v>1</v>
      </c>
      <c r="C3870" t="str">
        <f t="shared" si="223"/>
        <v>169</v>
      </c>
      <c r="D3870" t="str">
        <f>"8"</f>
        <v>8</v>
      </c>
      <c r="E3870" t="str">
        <f>"1-169-8"</f>
        <v>1-169-8</v>
      </c>
      <c r="F3870" t="s">
        <v>83</v>
      </c>
      <c r="G3870" t="s">
        <v>84</v>
      </c>
      <c r="H3870" t="s">
        <v>92</v>
      </c>
      <c r="I3870">
        <v>1</v>
      </c>
      <c r="J3870">
        <v>1</v>
      </c>
      <c r="N3870">
        <v>1</v>
      </c>
      <c r="O3870">
        <v>1</v>
      </c>
      <c r="P3870">
        <v>1</v>
      </c>
      <c r="Q3870">
        <v>1</v>
      </c>
      <c r="R3870">
        <v>1</v>
      </c>
      <c r="S3870">
        <v>1</v>
      </c>
      <c r="T3870">
        <v>1</v>
      </c>
      <c r="W3870">
        <v>1</v>
      </c>
      <c r="X3870">
        <v>1</v>
      </c>
      <c r="Y3870">
        <v>1</v>
      </c>
      <c r="Z3870">
        <v>1</v>
      </c>
      <c r="AA3870">
        <v>1</v>
      </c>
      <c r="AB3870">
        <v>1</v>
      </c>
    </row>
    <row r="3871" spans="1:49" x14ac:dyDescent="0.25">
      <c r="A3871" t="str">
        <f>"3867"</f>
        <v>3867</v>
      </c>
      <c r="B3871" t="str">
        <f t="shared" si="224"/>
        <v>1</v>
      </c>
      <c r="C3871" t="str">
        <f t="shared" si="223"/>
        <v>169</v>
      </c>
      <c r="D3871" t="str">
        <f>"1"</f>
        <v>1</v>
      </c>
      <c r="E3871" t="str">
        <f>"1-169-1"</f>
        <v>1-169-1</v>
      </c>
      <c r="F3871" t="s">
        <v>83</v>
      </c>
      <c r="G3871" t="s">
        <v>84</v>
      </c>
      <c r="H3871" t="s">
        <v>85</v>
      </c>
      <c r="AC3871">
        <v>0</v>
      </c>
      <c r="AD3871">
        <v>1</v>
      </c>
      <c r="AE3871">
        <v>0</v>
      </c>
      <c r="AF3871">
        <v>0</v>
      </c>
      <c r="AG3871">
        <v>0</v>
      </c>
      <c r="AJ3871">
        <v>0</v>
      </c>
      <c r="AK3871">
        <v>1</v>
      </c>
      <c r="AL3871">
        <v>0</v>
      </c>
      <c r="AM3871">
        <v>0</v>
      </c>
      <c r="AN3871">
        <v>1</v>
      </c>
      <c r="AO3871">
        <v>0</v>
      </c>
      <c r="AP3871">
        <v>0</v>
      </c>
      <c r="AQ3871">
        <v>0</v>
      </c>
      <c r="AR3871">
        <v>0</v>
      </c>
      <c r="AS3871">
        <v>0</v>
      </c>
      <c r="AT3871">
        <v>1</v>
      </c>
      <c r="AV3871">
        <v>0</v>
      </c>
      <c r="AW3871">
        <v>0</v>
      </c>
    </row>
    <row r="3872" spans="1:49" x14ac:dyDescent="0.25">
      <c r="A3872" t="str">
        <f>"3868"</f>
        <v>3868</v>
      </c>
      <c r="B3872" t="str">
        <f t="shared" si="224"/>
        <v>1</v>
      </c>
      <c r="C3872" t="str">
        <f t="shared" si="223"/>
        <v>169</v>
      </c>
      <c r="D3872" t="str">
        <f>"23"</f>
        <v>23</v>
      </c>
      <c r="E3872" t="str">
        <f>"1-169-23"</f>
        <v>1-169-23</v>
      </c>
      <c r="F3872" t="s">
        <v>83</v>
      </c>
      <c r="G3872" t="s">
        <v>84</v>
      </c>
      <c r="H3872" t="s">
        <v>92</v>
      </c>
      <c r="I3872">
        <v>1</v>
      </c>
      <c r="J3872">
        <v>1</v>
      </c>
      <c r="N3872">
        <v>1</v>
      </c>
      <c r="O3872">
        <v>1</v>
      </c>
      <c r="P3872">
        <v>1</v>
      </c>
      <c r="Q3872">
        <v>1</v>
      </c>
      <c r="R3872">
        <v>1</v>
      </c>
      <c r="S3872">
        <v>1</v>
      </c>
      <c r="T3872">
        <v>1</v>
      </c>
      <c r="W3872">
        <v>1</v>
      </c>
      <c r="X3872">
        <v>1</v>
      </c>
      <c r="Y3872">
        <v>1</v>
      </c>
      <c r="Z3872">
        <v>1</v>
      </c>
      <c r="AA3872">
        <v>1</v>
      </c>
      <c r="AB3872">
        <v>1</v>
      </c>
    </row>
    <row r="3873" spans="1:49" x14ac:dyDescent="0.25">
      <c r="A3873" t="str">
        <f>"3869"</f>
        <v>3869</v>
      </c>
      <c r="B3873" t="str">
        <f t="shared" si="224"/>
        <v>1</v>
      </c>
      <c r="C3873" t="str">
        <f t="shared" si="223"/>
        <v>169</v>
      </c>
      <c r="D3873" t="str">
        <f>"22"</f>
        <v>22</v>
      </c>
      <c r="E3873" t="str">
        <f>"1-169-22"</f>
        <v>1-169-22</v>
      </c>
      <c r="F3873" t="s">
        <v>83</v>
      </c>
      <c r="G3873" t="s">
        <v>84</v>
      </c>
      <c r="H3873" t="s">
        <v>85</v>
      </c>
      <c r="AC3873">
        <v>0</v>
      </c>
      <c r="AD3873">
        <v>1</v>
      </c>
      <c r="AE3873">
        <v>0</v>
      </c>
      <c r="AF3873">
        <v>0</v>
      </c>
      <c r="AG3873">
        <v>1</v>
      </c>
      <c r="AJ3873">
        <v>0</v>
      </c>
      <c r="AK3873">
        <v>1</v>
      </c>
      <c r="AL3873">
        <v>0</v>
      </c>
      <c r="AM3873">
        <v>0</v>
      </c>
      <c r="AN3873">
        <v>1</v>
      </c>
      <c r="AO3873">
        <v>1</v>
      </c>
      <c r="AP3873">
        <v>1</v>
      </c>
      <c r="AQ3873">
        <v>1</v>
      </c>
      <c r="AR3873">
        <v>1</v>
      </c>
      <c r="AS3873">
        <v>0</v>
      </c>
      <c r="AT3873">
        <v>1</v>
      </c>
      <c r="AV3873">
        <v>1</v>
      </c>
      <c r="AW3873">
        <v>1</v>
      </c>
    </row>
    <row r="3874" spans="1:49" x14ac:dyDescent="0.25">
      <c r="A3874" t="str">
        <f>"3870"</f>
        <v>3870</v>
      </c>
      <c r="B3874" t="str">
        <f t="shared" si="224"/>
        <v>1</v>
      </c>
      <c r="C3874" t="str">
        <f t="shared" si="223"/>
        <v>169</v>
      </c>
      <c r="D3874" t="str">
        <f>"17"</f>
        <v>17</v>
      </c>
      <c r="E3874" t="str">
        <f>"1-169-17"</f>
        <v>1-169-17</v>
      </c>
      <c r="F3874" t="s">
        <v>83</v>
      </c>
      <c r="G3874" t="s">
        <v>84</v>
      </c>
      <c r="H3874" t="s">
        <v>92</v>
      </c>
      <c r="I3874">
        <v>1</v>
      </c>
      <c r="J3874">
        <v>1</v>
      </c>
      <c r="N3874">
        <v>1</v>
      </c>
      <c r="O3874">
        <v>1</v>
      </c>
      <c r="P3874">
        <v>1</v>
      </c>
      <c r="Q3874">
        <v>1</v>
      </c>
      <c r="R3874">
        <v>1</v>
      </c>
      <c r="S3874">
        <v>1</v>
      </c>
      <c r="T3874">
        <v>1</v>
      </c>
      <c r="W3874">
        <v>1</v>
      </c>
      <c r="X3874">
        <v>1</v>
      </c>
      <c r="Y3874">
        <v>1</v>
      </c>
      <c r="Z3874">
        <v>1</v>
      </c>
      <c r="AA3874">
        <v>1</v>
      </c>
      <c r="AB3874">
        <v>1</v>
      </c>
    </row>
    <row r="3875" spans="1:49" x14ac:dyDescent="0.25">
      <c r="A3875" t="str">
        <f>"3871"</f>
        <v>3871</v>
      </c>
      <c r="B3875" t="str">
        <f t="shared" si="224"/>
        <v>1</v>
      </c>
      <c r="C3875" t="str">
        <f t="shared" si="223"/>
        <v>169</v>
      </c>
      <c r="D3875" t="str">
        <f>"9"</f>
        <v>9</v>
      </c>
      <c r="E3875" t="str">
        <f>"1-169-9"</f>
        <v>1-169-9</v>
      </c>
      <c r="F3875" t="s">
        <v>83</v>
      </c>
      <c r="G3875" t="s">
        <v>84</v>
      </c>
      <c r="H3875" t="s">
        <v>85</v>
      </c>
      <c r="AC3875">
        <v>0</v>
      </c>
      <c r="AD3875">
        <v>1</v>
      </c>
      <c r="AE3875">
        <v>0</v>
      </c>
      <c r="AF3875">
        <v>0</v>
      </c>
      <c r="AG3875">
        <v>1</v>
      </c>
      <c r="AJ3875">
        <v>0</v>
      </c>
      <c r="AK3875">
        <v>1</v>
      </c>
      <c r="AL3875">
        <v>0</v>
      </c>
      <c r="AM3875">
        <v>0</v>
      </c>
      <c r="AN3875">
        <v>1</v>
      </c>
      <c r="AO3875">
        <v>1</v>
      </c>
      <c r="AP3875">
        <v>1</v>
      </c>
      <c r="AQ3875">
        <v>1</v>
      </c>
      <c r="AR3875">
        <v>1</v>
      </c>
      <c r="AS3875">
        <v>0</v>
      </c>
      <c r="AT3875">
        <v>1</v>
      </c>
      <c r="AV3875">
        <v>1</v>
      </c>
      <c r="AW3875">
        <v>1</v>
      </c>
    </row>
    <row r="3876" spans="1:49" x14ac:dyDescent="0.25">
      <c r="A3876" t="str">
        <f>"3872"</f>
        <v>3872</v>
      </c>
      <c r="B3876" t="str">
        <f t="shared" si="224"/>
        <v>1</v>
      </c>
      <c r="C3876" t="str">
        <f t="shared" si="223"/>
        <v>169</v>
      </c>
      <c r="D3876" t="str">
        <f>"6"</f>
        <v>6</v>
      </c>
      <c r="E3876" t="str">
        <f>"1-169-6"</f>
        <v>1-169-6</v>
      </c>
      <c r="F3876" t="s">
        <v>83</v>
      </c>
      <c r="G3876" t="s">
        <v>84</v>
      </c>
      <c r="H3876" t="s">
        <v>85</v>
      </c>
      <c r="AC3876">
        <v>0</v>
      </c>
      <c r="AD3876">
        <v>1</v>
      </c>
      <c r="AE3876">
        <v>0</v>
      </c>
      <c r="AF3876">
        <v>0</v>
      </c>
      <c r="AG3876">
        <v>0</v>
      </c>
      <c r="AJ3876">
        <v>0</v>
      </c>
      <c r="AK3876">
        <v>1</v>
      </c>
      <c r="AL3876">
        <v>0</v>
      </c>
      <c r="AM3876">
        <v>0</v>
      </c>
      <c r="AN3876">
        <v>1</v>
      </c>
      <c r="AO3876">
        <v>0</v>
      </c>
      <c r="AP3876">
        <v>0</v>
      </c>
      <c r="AQ3876">
        <v>0</v>
      </c>
      <c r="AR3876">
        <v>0</v>
      </c>
      <c r="AS3876">
        <v>0</v>
      </c>
      <c r="AT3876">
        <v>1</v>
      </c>
      <c r="AV3876">
        <v>0</v>
      </c>
      <c r="AW3876">
        <v>0</v>
      </c>
    </row>
    <row r="3877" spans="1:49" x14ac:dyDescent="0.25">
      <c r="A3877" t="str">
        <f>"3873"</f>
        <v>3873</v>
      </c>
      <c r="B3877" t="str">
        <f t="shared" si="224"/>
        <v>1</v>
      </c>
      <c r="C3877" t="str">
        <f t="shared" si="223"/>
        <v>169</v>
      </c>
      <c r="D3877" t="str">
        <f>"25"</f>
        <v>25</v>
      </c>
      <c r="E3877" t="str">
        <f>"1-169-25"</f>
        <v>1-169-25</v>
      </c>
      <c r="F3877" t="s">
        <v>83</v>
      </c>
      <c r="G3877" t="s">
        <v>84</v>
      </c>
      <c r="H3877" t="s">
        <v>85</v>
      </c>
      <c r="AC3877">
        <v>0</v>
      </c>
      <c r="AD3877">
        <v>1</v>
      </c>
      <c r="AE3877">
        <v>0</v>
      </c>
      <c r="AF3877">
        <v>0</v>
      </c>
      <c r="AG3877">
        <v>1</v>
      </c>
      <c r="AJ3877">
        <v>1</v>
      </c>
      <c r="AK3877">
        <v>0</v>
      </c>
      <c r="AL3877">
        <v>0</v>
      </c>
      <c r="AM3877">
        <v>0</v>
      </c>
      <c r="AN3877">
        <v>1</v>
      </c>
      <c r="AO3877">
        <v>1</v>
      </c>
      <c r="AP3877">
        <v>1</v>
      </c>
      <c r="AQ3877">
        <v>1</v>
      </c>
      <c r="AR3877">
        <v>1</v>
      </c>
      <c r="AS3877">
        <v>1</v>
      </c>
      <c r="AT3877">
        <v>0</v>
      </c>
      <c r="AV3877">
        <v>1</v>
      </c>
      <c r="AW3877">
        <v>1</v>
      </c>
    </row>
    <row r="3878" spans="1:49" x14ac:dyDescent="0.25">
      <c r="A3878" t="str">
        <f>"3874"</f>
        <v>3874</v>
      </c>
      <c r="B3878" t="str">
        <f t="shared" si="224"/>
        <v>1</v>
      </c>
      <c r="C3878" t="str">
        <f t="shared" si="223"/>
        <v>169</v>
      </c>
      <c r="D3878" t="str">
        <f>"24"</f>
        <v>24</v>
      </c>
      <c r="E3878" t="str">
        <f>"1-169-24"</f>
        <v>1-169-24</v>
      </c>
      <c r="F3878" t="s">
        <v>83</v>
      </c>
      <c r="G3878" t="s">
        <v>84</v>
      </c>
      <c r="H3878" t="s">
        <v>85</v>
      </c>
      <c r="AC3878">
        <v>1</v>
      </c>
      <c r="AD3878">
        <v>0</v>
      </c>
      <c r="AE3878">
        <v>0</v>
      </c>
      <c r="AF3878">
        <v>0</v>
      </c>
      <c r="AG3878">
        <v>0</v>
      </c>
      <c r="AJ3878">
        <v>0</v>
      </c>
      <c r="AK3878">
        <v>0</v>
      </c>
      <c r="AL3878">
        <v>0</v>
      </c>
      <c r="AM3878">
        <v>0</v>
      </c>
      <c r="AN3878">
        <v>1</v>
      </c>
      <c r="AO3878">
        <v>0</v>
      </c>
      <c r="AP3878">
        <v>0</v>
      </c>
      <c r="AQ3878">
        <v>0</v>
      </c>
      <c r="AR3878">
        <v>0</v>
      </c>
      <c r="AS3878">
        <v>0</v>
      </c>
      <c r="AT3878">
        <v>0</v>
      </c>
      <c r="AV3878">
        <v>0</v>
      </c>
      <c r="AW3878">
        <v>0</v>
      </c>
    </row>
    <row r="3879" spans="1:49" x14ac:dyDescent="0.25">
      <c r="A3879" t="str">
        <f>"3875"</f>
        <v>3875</v>
      </c>
      <c r="B3879" t="str">
        <f t="shared" si="224"/>
        <v>1</v>
      </c>
      <c r="C3879" t="str">
        <f t="shared" si="223"/>
        <v>169</v>
      </c>
      <c r="D3879" t="str">
        <f>"16"</f>
        <v>16</v>
      </c>
      <c r="E3879" t="str">
        <f>"1-169-16"</f>
        <v>1-169-16</v>
      </c>
      <c r="F3879" t="s">
        <v>83</v>
      </c>
      <c r="G3879" t="s">
        <v>84</v>
      </c>
      <c r="H3879" t="s">
        <v>85</v>
      </c>
      <c r="AC3879">
        <v>0</v>
      </c>
      <c r="AD3879">
        <v>1</v>
      </c>
      <c r="AE3879">
        <v>0</v>
      </c>
      <c r="AF3879">
        <v>0</v>
      </c>
      <c r="AG3879">
        <v>0</v>
      </c>
      <c r="AJ3879">
        <v>0</v>
      </c>
      <c r="AK3879">
        <v>1</v>
      </c>
      <c r="AL3879">
        <v>0</v>
      </c>
      <c r="AM3879">
        <v>1</v>
      </c>
      <c r="AN3879">
        <v>0</v>
      </c>
      <c r="AO3879">
        <v>0</v>
      </c>
      <c r="AP3879">
        <v>0</v>
      </c>
      <c r="AQ3879">
        <v>0</v>
      </c>
      <c r="AR3879">
        <v>0</v>
      </c>
      <c r="AS3879">
        <v>0</v>
      </c>
      <c r="AT3879">
        <v>1</v>
      </c>
      <c r="AV3879">
        <v>0</v>
      </c>
      <c r="AW3879">
        <v>0</v>
      </c>
    </row>
    <row r="3880" spans="1:49" x14ac:dyDescent="0.25">
      <c r="A3880" t="str">
        <f>"3876"</f>
        <v>3876</v>
      </c>
      <c r="B3880" t="str">
        <f t="shared" si="224"/>
        <v>1</v>
      </c>
      <c r="C3880" t="str">
        <f t="shared" si="223"/>
        <v>169</v>
      </c>
      <c r="D3880" t="str">
        <f>"2"</f>
        <v>2</v>
      </c>
      <c r="E3880" t="str">
        <f>"1-169-2"</f>
        <v>1-169-2</v>
      </c>
      <c r="F3880" t="s">
        <v>83</v>
      </c>
      <c r="G3880" t="s">
        <v>84</v>
      </c>
      <c r="H3880" t="s">
        <v>85</v>
      </c>
      <c r="AC3880">
        <v>1</v>
      </c>
      <c r="AD3880">
        <v>0</v>
      </c>
      <c r="AE3880">
        <v>0</v>
      </c>
      <c r="AF3880">
        <v>0</v>
      </c>
      <c r="AG3880">
        <v>1</v>
      </c>
      <c r="AJ3880">
        <v>1</v>
      </c>
      <c r="AK3880">
        <v>0</v>
      </c>
      <c r="AL3880">
        <v>0</v>
      </c>
      <c r="AM3880">
        <v>1</v>
      </c>
      <c r="AN3880">
        <v>0</v>
      </c>
      <c r="AO3880">
        <v>1</v>
      </c>
      <c r="AP3880">
        <v>1</v>
      </c>
      <c r="AQ3880">
        <v>1</v>
      </c>
      <c r="AR3880">
        <v>1</v>
      </c>
      <c r="AS3880">
        <v>1</v>
      </c>
      <c r="AT3880">
        <v>0</v>
      </c>
      <c r="AV3880">
        <v>1</v>
      </c>
      <c r="AW3880">
        <v>1</v>
      </c>
    </row>
    <row r="3881" spans="1:49" x14ac:dyDescent="0.25">
      <c r="A3881" t="str">
        <f>"3877"</f>
        <v>3877</v>
      </c>
      <c r="B3881" t="str">
        <f t="shared" si="224"/>
        <v>1</v>
      </c>
      <c r="C3881" t="str">
        <f t="shared" si="223"/>
        <v>169</v>
      </c>
      <c r="D3881" t="str">
        <f>"21"</f>
        <v>21</v>
      </c>
      <c r="E3881" t="str">
        <f>"1-169-21"</f>
        <v>1-169-21</v>
      </c>
      <c r="F3881" t="s">
        <v>83</v>
      </c>
      <c r="G3881" t="s">
        <v>84</v>
      </c>
      <c r="H3881" t="s">
        <v>92</v>
      </c>
      <c r="I3881">
        <v>1</v>
      </c>
      <c r="J3881">
        <v>1</v>
      </c>
      <c r="N3881">
        <v>1</v>
      </c>
      <c r="O3881">
        <v>1</v>
      </c>
      <c r="P3881">
        <v>1</v>
      </c>
      <c r="Q3881">
        <v>1</v>
      </c>
      <c r="R3881">
        <v>1</v>
      </c>
      <c r="S3881">
        <v>1</v>
      </c>
      <c r="T3881">
        <v>1</v>
      </c>
      <c r="W3881">
        <v>1</v>
      </c>
      <c r="X3881">
        <v>1</v>
      </c>
      <c r="Y3881">
        <v>1</v>
      </c>
      <c r="Z3881">
        <v>1</v>
      </c>
      <c r="AA3881">
        <v>1</v>
      </c>
      <c r="AB3881">
        <v>1</v>
      </c>
    </row>
    <row r="3882" spans="1:49" x14ac:dyDescent="0.25">
      <c r="A3882" t="str">
        <f>"3878"</f>
        <v>3878</v>
      </c>
      <c r="B3882" t="str">
        <f t="shared" si="224"/>
        <v>1</v>
      </c>
      <c r="C3882" t="str">
        <f t="shared" si="223"/>
        <v>169</v>
      </c>
      <c r="D3882" t="str">
        <f>"12"</f>
        <v>12</v>
      </c>
      <c r="E3882" t="str">
        <f>"1-169-12"</f>
        <v>1-169-12</v>
      </c>
      <c r="F3882" t="s">
        <v>83</v>
      </c>
      <c r="G3882" t="s">
        <v>84</v>
      </c>
      <c r="H3882" t="s">
        <v>92</v>
      </c>
      <c r="I3882">
        <v>1</v>
      </c>
      <c r="J3882">
        <v>1</v>
      </c>
      <c r="N3882">
        <v>1</v>
      </c>
      <c r="O3882">
        <v>1</v>
      </c>
      <c r="P3882">
        <v>1</v>
      </c>
      <c r="Q3882">
        <v>1</v>
      </c>
      <c r="R3882">
        <v>1</v>
      </c>
      <c r="S3882">
        <v>1</v>
      </c>
      <c r="T3882">
        <v>1</v>
      </c>
      <c r="W3882">
        <v>1</v>
      </c>
      <c r="X3882">
        <v>1</v>
      </c>
      <c r="Y3882">
        <v>1</v>
      </c>
      <c r="Z3882">
        <v>1</v>
      </c>
      <c r="AA3882">
        <v>1</v>
      </c>
      <c r="AB3882">
        <v>1</v>
      </c>
    </row>
    <row r="3883" spans="1:49" x14ac:dyDescent="0.25">
      <c r="A3883" t="str">
        <f>"3879"</f>
        <v>3879</v>
      </c>
      <c r="B3883" t="str">
        <f t="shared" si="224"/>
        <v>1</v>
      </c>
      <c r="C3883" t="str">
        <f t="shared" si="223"/>
        <v>169</v>
      </c>
      <c r="D3883" t="str">
        <f>"3"</f>
        <v>3</v>
      </c>
      <c r="E3883" t="str">
        <f>"1-169-3"</f>
        <v>1-169-3</v>
      </c>
      <c r="F3883" t="s">
        <v>83</v>
      </c>
      <c r="G3883" t="s">
        <v>84</v>
      </c>
      <c r="H3883" t="s">
        <v>92</v>
      </c>
      <c r="I3883">
        <v>1</v>
      </c>
      <c r="J3883">
        <v>0</v>
      </c>
      <c r="N3883">
        <v>1</v>
      </c>
      <c r="O3883">
        <v>1</v>
      </c>
      <c r="P3883">
        <v>0</v>
      </c>
      <c r="Q3883">
        <v>0</v>
      </c>
      <c r="R3883">
        <v>0</v>
      </c>
      <c r="S3883">
        <v>0</v>
      </c>
      <c r="T3883">
        <v>0</v>
      </c>
      <c r="W3883">
        <v>0</v>
      </c>
      <c r="X3883">
        <v>0</v>
      </c>
      <c r="Y3883">
        <v>0</v>
      </c>
      <c r="Z3883">
        <v>0</v>
      </c>
      <c r="AA3883">
        <v>0</v>
      </c>
      <c r="AB3883">
        <v>0</v>
      </c>
    </row>
    <row r="3884" spans="1:49" x14ac:dyDescent="0.25">
      <c r="A3884" t="str">
        <f>"3880"</f>
        <v>3880</v>
      </c>
      <c r="B3884" t="str">
        <f t="shared" si="224"/>
        <v>1</v>
      </c>
      <c r="C3884" t="str">
        <f t="shared" si="223"/>
        <v>169</v>
      </c>
      <c r="D3884" t="str">
        <f>"20"</f>
        <v>20</v>
      </c>
      <c r="E3884" t="str">
        <f>"1-169-20"</f>
        <v>1-169-20</v>
      </c>
      <c r="F3884" t="s">
        <v>83</v>
      </c>
      <c r="G3884" t="s">
        <v>84</v>
      </c>
      <c r="H3884" t="s">
        <v>92</v>
      </c>
      <c r="I3884">
        <v>1</v>
      </c>
      <c r="J3884">
        <v>1</v>
      </c>
      <c r="N3884">
        <v>1</v>
      </c>
      <c r="O3884">
        <v>1</v>
      </c>
      <c r="P3884">
        <v>1</v>
      </c>
      <c r="Q3884">
        <v>1</v>
      </c>
      <c r="R3884">
        <v>1</v>
      </c>
      <c r="S3884">
        <v>1</v>
      </c>
      <c r="T3884">
        <v>1</v>
      </c>
      <c r="W3884">
        <v>1</v>
      </c>
      <c r="X3884">
        <v>1</v>
      </c>
      <c r="Y3884">
        <v>1</v>
      </c>
      <c r="Z3884">
        <v>1</v>
      </c>
      <c r="AA3884">
        <v>1</v>
      </c>
      <c r="AB3884">
        <v>1</v>
      </c>
    </row>
    <row r="3885" spans="1:49" x14ac:dyDescent="0.25">
      <c r="A3885" t="str">
        <f>"3881"</f>
        <v>3881</v>
      </c>
      <c r="B3885" t="str">
        <f t="shared" si="224"/>
        <v>1</v>
      </c>
      <c r="C3885" t="str">
        <f t="shared" si="223"/>
        <v>169</v>
      </c>
      <c r="D3885" t="str">
        <f>"13"</f>
        <v>13</v>
      </c>
      <c r="E3885" t="str">
        <f>"1-169-13"</f>
        <v>1-169-13</v>
      </c>
      <c r="F3885" t="s">
        <v>83</v>
      </c>
      <c r="G3885" t="s">
        <v>84</v>
      </c>
      <c r="H3885" t="s">
        <v>92</v>
      </c>
      <c r="I3885">
        <v>1</v>
      </c>
      <c r="J3885">
        <v>1</v>
      </c>
      <c r="N3885">
        <v>1</v>
      </c>
      <c r="O3885">
        <v>1</v>
      </c>
      <c r="P3885">
        <v>1</v>
      </c>
      <c r="Q3885">
        <v>1</v>
      </c>
      <c r="R3885">
        <v>1</v>
      </c>
      <c r="S3885">
        <v>1</v>
      </c>
      <c r="T3885">
        <v>1</v>
      </c>
      <c r="W3885">
        <v>1</v>
      </c>
      <c r="X3885">
        <v>1</v>
      </c>
      <c r="Y3885">
        <v>1</v>
      </c>
      <c r="Z3885">
        <v>1</v>
      </c>
      <c r="AA3885">
        <v>1</v>
      </c>
      <c r="AB3885">
        <v>1</v>
      </c>
    </row>
    <row r="3886" spans="1:49" x14ac:dyDescent="0.25">
      <c r="A3886" t="str">
        <f>"3882"</f>
        <v>3882</v>
      </c>
      <c r="B3886" t="str">
        <f t="shared" si="224"/>
        <v>1</v>
      </c>
      <c r="C3886" t="str">
        <f t="shared" si="223"/>
        <v>169</v>
      </c>
      <c r="D3886" t="str">
        <f>"5"</f>
        <v>5</v>
      </c>
      <c r="E3886" t="str">
        <f>"1-169-5"</f>
        <v>1-169-5</v>
      </c>
      <c r="F3886" t="s">
        <v>83</v>
      </c>
      <c r="G3886" t="s">
        <v>84</v>
      </c>
      <c r="H3886" t="s">
        <v>85</v>
      </c>
      <c r="AC3886">
        <v>1</v>
      </c>
      <c r="AD3886">
        <v>0</v>
      </c>
      <c r="AE3886">
        <v>0</v>
      </c>
      <c r="AF3886">
        <v>0</v>
      </c>
      <c r="AG3886">
        <v>1</v>
      </c>
      <c r="AJ3886">
        <v>0</v>
      </c>
      <c r="AK3886">
        <v>1</v>
      </c>
      <c r="AL3886">
        <v>1</v>
      </c>
      <c r="AM3886">
        <v>0</v>
      </c>
      <c r="AN3886">
        <v>0</v>
      </c>
      <c r="AO3886">
        <v>1</v>
      </c>
      <c r="AP3886">
        <v>1</v>
      </c>
      <c r="AQ3886">
        <v>1</v>
      </c>
      <c r="AR3886">
        <v>1</v>
      </c>
      <c r="AS3886">
        <v>1</v>
      </c>
      <c r="AT3886">
        <v>0</v>
      </c>
      <c r="AV3886">
        <v>1</v>
      </c>
      <c r="AW3886">
        <v>1</v>
      </c>
    </row>
    <row r="3887" spans="1:49" x14ac:dyDescent="0.25">
      <c r="A3887" t="str">
        <f>"3883"</f>
        <v>3883</v>
      </c>
      <c r="B3887" t="str">
        <f t="shared" si="224"/>
        <v>1</v>
      </c>
      <c r="C3887" t="str">
        <f t="shared" si="223"/>
        <v>169</v>
      </c>
      <c r="D3887" t="str">
        <f>"18"</f>
        <v>18</v>
      </c>
      <c r="E3887" t="str">
        <f>"1-169-18"</f>
        <v>1-169-18</v>
      </c>
      <c r="F3887" t="s">
        <v>83</v>
      </c>
      <c r="G3887" t="s">
        <v>84</v>
      </c>
      <c r="H3887" t="s">
        <v>92</v>
      </c>
      <c r="I3887">
        <v>1</v>
      </c>
      <c r="J3887">
        <v>1</v>
      </c>
      <c r="N3887">
        <v>1</v>
      </c>
      <c r="O3887">
        <v>1</v>
      </c>
      <c r="P3887">
        <v>1</v>
      </c>
      <c r="Q3887">
        <v>1</v>
      </c>
      <c r="R3887">
        <v>1</v>
      </c>
      <c r="S3887">
        <v>1</v>
      </c>
      <c r="T3887">
        <v>1</v>
      </c>
      <c r="W3887">
        <v>1</v>
      </c>
      <c r="X3887">
        <v>1</v>
      </c>
      <c r="Y3887">
        <v>1</v>
      </c>
      <c r="Z3887">
        <v>1</v>
      </c>
      <c r="AA3887">
        <v>1</v>
      </c>
      <c r="AB3887">
        <v>1</v>
      </c>
    </row>
    <row r="3888" spans="1:49" x14ac:dyDescent="0.25">
      <c r="A3888" t="str">
        <f>"3884"</f>
        <v>3884</v>
      </c>
      <c r="B3888" t="str">
        <f t="shared" si="224"/>
        <v>1</v>
      </c>
      <c r="C3888" t="str">
        <f t="shared" si="223"/>
        <v>169</v>
      </c>
      <c r="D3888" t="str">
        <f>"7"</f>
        <v>7</v>
      </c>
      <c r="E3888" t="str">
        <f>"1-169-7"</f>
        <v>1-169-7</v>
      </c>
      <c r="F3888" t="s">
        <v>83</v>
      </c>
      <c r="G3888" t="s">
        <v>84</v>
      </c>
      <c r="H3888" t="s">
        <v>92</v>
      </c>
      <c r="I3888">
        <v>1</v>
      </c>
      <c r="J3888">
        <v>1</v>
      </c>
      <c r="N3888">
        <v>0</v>
      </c>
      <c r="O3888">
        <v>1</v>
      </c>
      <c r="P3888">
        <v>1</v>
      </c>
      <c r="Q3888">
        <v>1</v>
      </c>
      <c r="R3888">
        <v>0</v>
      </c>
      <c r="S3888">
        <v>1</v>
      </c>
      <c r="T3888">
        <v>1</v>
      </c>
      <c r="W3888">
        <v>1</v>
      </c>
      <c r="X3888">
        <v>1</v>
      </c>
      <c r="Y3888">
        <v>1</v>
      </c>
      <c r="Z3888">
        <v>1</v>
      </c>
      <c r="AA3888">
        <v>1</v>
      </c>
      <c r="AB3888">
        <v>1</v>
      </c>
    </row>
    <row r="3889" spans="1:49" x14ac:dyDescent="0.25">
      <c r="A3889" t="str">
        <f>"3885"</f>
        <v>3885</v>
      </c>
      <c r="B3889" t="str">
        <f t="shared" si="224"/>
        <v>1</v>
      </c>
      <c r="C3889" t="str">
        <f t="shared" si="223"/>
        <v>169</v>
      </c>
      <c r="D3889" t="str">
        <f>"19"</f>
        <v>19</v>
      </c>
      <c r="E3889" t="str">
        <f>"1-169-19"</f>
        <v>1-169-19</v>
      </c>
      <c r="F3889" t="s">
        <v>83</v>
      </c>
      <c r="G3889" t="s">
        <v>84</v>
      </c>
      <c r="H3889" t="s">
        <v>85</v>
      </c>
      <c r="AC3889">
        <v>1</v>
      </c>
      <c r="AD3889">
        <v>0</v>
      </c>
      <c r="AE3889">
        <v>0</v>
      </c>
      <c r="AF3889">
        <v>0</v>
      </c>
      <c r="AG3889">
        <v>1</v>
      </c>
      <c r="AJ3889">
        <v>0</v>
      </c>
      <c r="AK3889">
        <v>1</v>
      </c>
      <c r="AL3889">
        <v>0</v>
      </c>
      <c r="AM3889">
        <v>1</v>
      </c>
      <c r="AN3889">
        <v>0</v>
      </c>
      <c r="AO3889">
        <v>1</v>
      </c>
      <c r="AP3889">
        <v>1</v>
      </c>
      <c r="AQ3889">
        <v>1</v>
      </c>
      <c r="AR3889">
        <v>1</v>
      </c>
      <c r="AS3889">
        <v>1</v>
      </c>
      <c r="AT3889">
        <v>0</v>
      </c>
      <c r="AV3889">
        <v>1</v>
      </c>
      <c r="AW3889">
        <v>1</v>
      </c>
    </row>
    <row r="3890" spans="1:49" x14ac:dyDescent="0.25">
      <c r="A3890" t="str">
        <f>"3886"</f>
        <v>3886</v>
      </c>
      <c r="B3890" t="str">
        <f t="shared" si="224"/>
        <v>1</v>
      </c>
      <c r="C3890" t="str">
        <f t="shared" si="223"/>
        <v>169</v>
      </c>
      <c r="D3890" t="str">
        <f>"4"</f>
        <v>4</v>
      </c>
      <c r="E3890" t="str">
        <f>"1-169-4"</f>
        <v>1-169-4</v>
      </c>
      <c r="F3890" t="s">
        <v>83</v>
      </c>
      <c r="G3890" t="s">
        <v>84</v>
      </c>
      <c r="H3890" t="s">
        <v>85</v>
      </c>
      <c r="AC3890">
        <v>0</v>
      </c>
      <c r="AD3890">
        <v>1</v>
      </c>
      <c r="AE3890">
        <v>0</v>
      </c>
      <c r="AF3890">
        <v>0</v>
      </c>
      <c r="AG3890">
        <v>1</v>
      </c>
      <c r="AJ3890">
        <v>0</v>
      </c>
      <c r="AK3890">
        <v>1</v>
      </c>
      <c r="AL3890">
        <v>0</v>
      </c>
      <c r="AM3890">
        <v>0</v>
      </c>
      <c r="AN3890">
        <v>1</v>
      </c>
      <c r="AO3890">
        <v>1</v>
      </c>
      <c r="AP3890">
        <v>1</v>
      </c>
      <c r="AQ3890">
        <v>1</v>
      </c>
      <c r="AR3890">
        <v>1</v>
      </c>
      <c r="AS3890">
        <v>0</v>
      </c>
      <c r="AT3890">
        <v>1</v>
      </c>
      <c r="AV3890">
        <v>1</v>
      </c>
      <c r="AW3890">
        <v>1</v>
      </c>
    </row>
    <row r="3891" spans="1:49" x14ac:dyDescent="0.25">
      <c r="A3891" t="str">
        <f>"3887"</f>
        <v>3887</v>
      </c>
      <c r="B3891" t="str">
        <f t="shared" si="224"/>
        <v>1</v>
      </c>
      <c r="C3891" t="str">
        <f t="shared" si="223"/>
        <v>169</v>
      </c>
      <c r="D3891" t="str">
        <f>"10"</f>
        <v>10</v>
      </c>
      <c r="E3891" t="str">
        <f>"1-169-10"</f>
        <v>1-169-10</v>
      </c>
      <c r="F3891" t="s">
        <v>83</v>
      </c>
      <c r="G3891" t="s">
        <v>84</v>
      </c>
      <c r="H3891" t="s">
        <v>85</v>
      </c>
      <c r="AC3891">
        <v>0</v>
      </c>
      <c r="AD3891">
        <v>1</v>
      </c>
      <c r="AE3891">
        <v>0</v>
      </c>
      <c r="AF3891">
        <v>0</v>
      </c>
      <c r="AG3891">
        <v>1</v>
      </c>
      <c r="AJ3891">
        <v>0</v>
      </c>
      <c r="AK3891">
        <v>1</v>
      </c>
      <c r="AL3891">
        <v>0</v>
      </c>
      <c r="AM3891">
        <v>0</v>
      </c>
      <c r="AN3891">
        <v>1</v>
      </c>
      <c r="AO3891">
        <v>1</v>
      </c>
      <c r="AP3891">
        <v>1</v>
      </c>
      <c r="AQ3891">
        <v>1</v>
      </c>
      <c r="AR3891">
        <v>1</v>
      </c>
      <c r="AS3891">
        <v>0</v>
      </c>
      <c r="AT3891">
        <v>0</v>
      </c>
      <c r="AV3891">
        <v>1</v>
      </c>
      <c r="AW3891">
        <v>1</v>
      </c>
    </row>
    <row r="3892" spans="1:49" x14ac:dyDescent="0.25">
      <c r="A3892" t="str">
        <f>"3888"</f>
        <v>3888</v>
      </c>
      <c r="B3892" t="str">
        <f t="shared" si="224"/>
        <v>1</v>
      </c>
      <c r="C3892" t="str">
        <f t="shared" ref="C3892:C3916" si="225">"170"</f>
        <v>170</v>
      </c>
      <c r="D3892" t="str">
        <f>"17"</f>
        <v>17</v>
      </c>
      <c r="E3892" t="str">
        <f>"1-170-17"</f>
        <v>1-170-17</v>
      </c>
      <c r="F3892" t="s">
        <v>83</v>
      </c>
      <c r="G3892" t="s">
        <v>84</v>
      </c>
      <c r="H3892" t="s">
        <v>92</v>
      </c>
      <c r="I3892">
        <v>1</v>
      </c>
      <c r="J3892">
        <v>1</v>
      </c>
      <c r="N3892">
        <v>1</v>
      </c>
      <c r="O3892">
        <v>1</v>
      </c>
      <c r="P3892">
        <v>1</v>
      </c>
      <c r="Q3892">
        <v>1</v>
      </c>
      <c r="R3892">
        <v>1</v>
      </c>
      <c r="S3892">
        <v>1</v>
      </c>
      <c r="T3892">
        <v>1</v>
      </c>
      <c r="W3892">
        <v>1</v>
      </c>
      <c r="X3892">
        <v>1</v>
      </c>
      <c r="Y3892">
        <v>1</v>
      </c>
      <c r="Z3892">
        <v>1</v>
      </c>
      <c r="AA3892">
        <v>1</v>
      </c>
      <c r="AB3892">
        <v>1</v>
      </c>
    </row>
    <row r="3893" spans="1:49" x14ac:dyDescent="0.25">
      <c r="A3893" t="str">
        <f>"3889"</f>
        <v>3889</v>
      </c>
      <c r="B3893" t="str">
        <f t="shared" si="224"/>
        <v>1</v>
      </c>
      <c r="C3893" t="str">
        <f t="shared" si="225"/>
        <v>170</v>
      </c>
      <c r="D3893" t="str">
        <f>"16"</f>
        <v>16</v>
      </c>
      <c r="E3893" t="str">
        <f>"1-170-16"</f>
        <v>1-170-16</v>
      </c>
      <c r="F3893" t="s">
        <v>83</v>
      </c>
      <c r="G3893" t="s">
        <v>84</v>
      </c>
      <c r="H3893" t="s">
        <v>92</v>
      </c>
      <c r="I3893">
        <v>1</v>
      </c>
      <c r="J3893">
        <v>1</v>
      </c>
      <c r="N3893">
        <v>1</v>
      </c>
      <c r="O3893">
        <v>1</v>
      </c>
      <c r="P3893">
        <v>1</v>
      </c>
      <c r="Q3893">
        <v>1</v>
      </c>
      <c r="R3893">
        <v>1</v>
      </c>
      <c r="S3893">
        <v>1</v>
      </c>
      <c r="T3893">
        <v>1</v>
      </c>
      <c r="W3893">
        <v>1</v>
      </c>
      <c r="X3893">
        <v>1</v>
      </c>
      <c r="Y3893">
        <v>1</v>
      </c>
      <c r="Z3893">
        <v>1</v>
      </c>
      <c r="AA3893">
        <v>1</v>
      </c>
      <c r="AB3893">
        <v>1</v>
      </c>
    </row>
    <row r="3894" spans="1:49" x14ac:dyDescent="0.25">
      <c r="A3894" t="str">
        <f>"3890"</f>
        <v>3890</v>
      </c>
      <c r="B3894" t="str">
        <f t="shared" si="224"/>
        <v>1</v>
      </c>
      <c r="C3894" t="str">
        <f t="shared" si="225"/>
        <v>170</v>
      </c>
      <c r="D3894" t="str">
        <f>"13"</f>
        <v>13</v>
      </c>
      <c r="E3894" t="str">
        <f>"1-170-13"</f>
        <v>1-170-13</v>
      </c>
      <c r="F3894" t="s">
        <v>83</v>
      </c>
      <c r="G3894" t="s">
        <v>84</v>
      </c>
      <c r="H3894" t="s">
        <v>92</v>
      </c>
      <c r="I3894">
        <v>1</v>
      </c>
      <c r="J3894">
        <v>1</v>
      </c>
      <c r="N3894">
        <v>1</v>
      </c>
      <c r="O3894">
        <v>1</v>
      </c>
      <c r="P3894">
        <v>1</v>
      </c>
      <c r="Q3894">
        <v>1</v>
      </c>
      <c r="R3894">
        <v>1</v>
      </c>
      <c r="S3894">
        <v>1</v>
      </c>
      <c r="T3894">
        <v>1</v>
      </c>
      <c r="W3894">
        <v>1</v>
      </c>
      <c r="X3894">
        <v>1</v>
      </c>
      <c r="Y3894">
        <v>1</v>
      </c>
      <c r="Z3894">
        <v>1</v>
      </c>
      <c r="AA3894">
        <v>1</v>
      </c>
      <c r="AB3894">
        <v>1</v>
      </c>
    </row>
    <row r="3895" spans="1:49" x14ac:dyDescent="0.25">
      <c r="A3895" t="str">
        <f>"3891"</f>
        <v>3891</v>
      </c>
      <c r="B3895" t="str">
        <f t="shared" si="224"/>
        <v>1</v>
      </c>
      <c r="C3895" t="str">
        <f t="shared" si="225"/>
        <v>170</v>
      </c>
      <c r="D3895" t="str">
        <f>"8"</f>
        <v>8</v>
      </c>
      <c r="E3895" t="str">
        <f>"1-170-8"</f>
        <v>1-170-8</v>
      </c>
      <c r="F3895" t="s">
        <v>83</v>
      </c>
      <c r="G3895" t="s">
        <v>84</v>
      </c>
      <c r="H3895" t="s">
        <v>92</v>
      </c>
      <c r="I3895">
        <v>1</v>
      </c>
      <c r="J3895">
        <v>1</v>
      </c>
      <c r="N3895">
        <v>1</v>
      </c>
      <c r="O3895">
        <v>1</v>
      </c>
      <c r="P3895">
        <v>1</v>
      </c>
      <c r="Q3895">
        <v>1</v>
      </c>
      <c r="R3895">
        <v>1</v>
      </c>
      <c r="S3895">
        <v>1</v>
      </c>
      <c r="T3895">
        <v>1</v>
      </c>
      <c r="W3895">
        <v>1</v>
      </c>
      <c r="X3895">
        <v>1</v>
      </c>
      <c r="Y3895">
        <v>1</v>
      </c>
      <c r="Z3895">
        <v>1</v>
      </c>
      <c r="AA3895">
        <v>1</v>
      </c>
      <c r="AB3895">
        <v>1</v>
      </c>
    </row>
    <row r="3896" spans="1:49" x14ac:dyDescent="0.25">
      <c r="A3896" t="str">
        <f>"3892"</f>
        <v>3892</v>
      </c>
      <c r="B3896" t="str">
        <f t="shared" si="224"/>
        <v>1</v>
      </c>
      <c r="C3896" t="str">
        <f t="shared" si="225"/>
        <v>170</v>
      </c>
      <c r="D3896" t="str">
        <f>"2"</f>
        <v>2</v>
      </c>
      <c r="E3896" t="str">
        <f>"1-170-2"</f>
        <v>1-170-2</v>
      </c>
      <c r="F3896" t="s">
        <v>83</v>
      </c>
      <c r="G3896" t="s">
        <v>84</v>
      </c>
      <c r="H3896" t="s">
        <v>92</v>
      </c>
      <c r="I3896">
        <v>1</v>
      </c>
      <c r="J3896">
        <v>1</v>
      </c>
      <c r="N3896">
        <v>1</v>
      </c>
      <c r="O3896">
        <v>1</v>
      </c>
      <c r="P3896">
        <v>1</v>
      </c>
      <c r="Q3896">
        <v>1</v>
      </c>
      <c r="R3896">
        <v>1</v>
      </c>
      <c r="S3896">
        <v>1</v>
      </c>
      <c r="T3896">
        <v>1</v>
      </c>
      <c r="W3896">
        <v>1</v>
      </c>
      <c r="X3896">
        <v>1</v>
      </c>
      <c r="Y3896">
        <v>1</v>
      </c>
      <c r="Z3896">
        <v>1</v>
      </c>
      <c r="AA3896">
        <v>1</v>
      </c>
      <c r="AB3896">
        <v>1</v>
      </c>
    </row>
    <row r="3897" spans="1:49" x14ac:dyDescent="0.25">
      <c r="A3897" t="str">
        <f>"3893"</f>
        <v>3893</v>
      </c>
      <c r="B3897" t="str">
        <f t="shared" si="224"/>
        <v>1</v>
      </c>
      <c r="C3897" t="str">
        <f t="shared" si="225"/>
        <v>170</v>
      </c>
      <c r="D3897" t="str">
        <f>"22"</f>
        <v>22</v>
      </c>
      <c r="E3897" t="str">
        <f>"1-170-22"</f>
        <v>1-170-22</v>
      </c>
      <c r="F3897" t="s">
        <v>83</v>
      </c>
      <c r="G3897" t="s">
        <v>84</v>
      </c>
      <c r="H3897" t="s">
        <v>85</v>
      </c>
      <c r="AC3897">
        <v>0</v>
      </c>
      <c r="AD3897">
        <v>1</v>
      </c>
      <c r="AE3897">
        <v>0</v>
      </c>
      <c r="AF3897">
        <v>0</v>
      </c>
      <c r="AG3897">
        <v>0</v>
      </c>
      <c r="AJ3897">
        <v>0</v>
      </c>
      <c r="AK3897">
        <v>1</v>
      </c>
      <c r="AL3897">
        <v>0</v>
      </c>
      <c r="AM3897">
        <v>1</v>
      </c>
      <c r="AN3897">
        <v>0</v>
      </c>
      <c r="AO3897">
        <v>0</v>
      </c>
      <c r="AP3897">
        <v>0</v>
      </c>
      <c r="AQ3897">
        <v>0</v>
      </c>
      <c r="AR3897">
        <v>0</v>
      </c>
      <c r="AS3897">
        <v>1</v>
      </c>
      <c r="AT3897">
        <v>0</v>
      </c>
      <c r="AV3897">
        <v>0</v>
      </c>
      <c r="AW3897">
        <v>1</v>
      </c>
    </row>
    <row r="3898" spans="1:49" x14ac:dyDescent="0.25">
      <c r="A3898" t="str">
        <f>"3894"</f>
        <v>3894</v>
      </c>
      <c r="B3898" t="str">
        <f t="shared" si="224"/>
        <v>1</v>
      </c>
      <c r="C3898" t="str">
        <f t="shared" si="225"/>
        <v>170</v>
      </c>
      <c r="D3898" t="str">
        <f>"14"</f>
        <v>14</v>
      </c>
      <c r="E3898" t="str">
        <f>"1-170-14"</f>
        <v>1-170-14</v>
      </c>
      <c r="F3898" t="s">
        <v>83</v>
      </c>
      <c r="G3898" t="s">
        <v>84</v>
      </c>
      <c r="H3898" t="s">
        <v>92</v>
      </c>
      <c r="I3898">
        <v>1</v>
      </c>
      <c r="J3898">
        <v>1</v>
      </c>
      <c r="N3898">
        <v>1</v>
      </c>
      <c r="O3898">
        <v>1</v>
      </c>
      <c r="P3898">
        <v>1</v>
      </c>
      <c r="Q3898">
        <v>1</v>
      </c>
      <c r="R3898">
        <v>1</v>
      </c>
      <c r="S3898">
        <v>1</v>
      </c>
      <c r="T3898">
        <v>1</v>
      </c>
      <c r="W3898">
        <v>1</v>
      </c>
      <c r="X3898">
        <v>1</v>
      </c>
      <c r="Y3898">
        <v>1</v>
      </c>
      <c r="Z3898">
        <v>1</v>
      </c>
      <c r="AA3898">
        <v>1</v>
      </c>
      <c r="AB3898">
        <v>1</v>
      </c>
    </row>
    <row r="3899" spans="1:49" x14ac:dyDescent="0.25">
      <c r="A3899" t="str">
        <f>"3895"</f>
        <v>3895</v>
      </c>
      <c r="B3899" t="str">
        <f t="shared" si="224"/>
        <v>1</v>
      </c>
      <c r="C3899" t="str">
        <f t="shared" si="225"/>
        <v>170</v>
      </c>
      <c r="D3899" t="str">
        <f>"9"</f>
        <v>9</v>
      </c>
      <c r="E3899" t="str">
        <f>"1-170-9"</f>
        <v>1-170-9</v>
      </c>
      <c r="F3899" t="s">
        <v>83</v>
      </c>
      <c r="G3899" t="s">
        <v>84</v>
      </c>
      <c r="H3899" t="s">
        <v>85</v>
      </c>
      <c r="AC3899">
        <v>0</v>
      </c>
      <c r="AD3899">
        <v>1</v>
      </c>
      <c r="AE3899">
        <v>0</v>
      </c>
      <c r="AF3899">
        <v>0</v>
      </c>
      <c r="AG3899">
        <v>1</v>
      </c>
      <c r="AJ3899">
        <v>0</v>
      </c>
      <c r="AK3899">
        <v>1</v>
      </c>
      <c r="AL3899">
        <v>1</v>
      </c>
      <c r="AM3899">
        <v>0</v>
      </c>
      <c r="AN3899">
        <v>0</v>
      </c>
      <c r="AO3899">
        <v>1</v>
      </c>
      <c r="AP3899">
        <v>1</v>
      </c>
      <c r="AQ3899">
        <v>1</v>
      </c>
      <c r="AR3899">
        <v>1</v>
      </c>
      <c r="AS3899">
        <v>0</v>
      </c>
      <c r="AT3899">
        <v>1</v>
      </c>
      <c r="AV3899">
        <v>1</v>
      </c>
      <c r="AW3899">
        <v>1</v>
      </c>
    </row>
    <row r="3900" spans="1:49" x14ac:dyDescent="0.25">
      <c r="A3900" t="str">
        <f>"3896"</f>
        <v>3896</v>
      </c>
      <c r="B3900" t="str">
        <f t="shared" si="224"/>
        <v>1</v>
      </c>
      <c r="C3900" t="str">
        <f t="shared" si="225"/>
        <v>170</v>
      </c>
      <c r="D3900" t="str">
        <f>"3"</f>
        <v>3</v>
      </c>
      <c r="E3900" t="str">
        <f>"1-170-3"</f>
        <v>1-170-3</v>
      </c>
      <c r="F3900" t="s">
        <v>83</v>
      </c>
      <c r="G3900" t="s">
        <v>86</v>
      </c>
      <c r="H3900" t="s">
        <v>87</v>
      </c>
      <c r="AC3900">
        <v>0</v>
      </c>
      <c r="AD3900">
        <v>1</v>
      </c>
      <c r="AE3900">
        <v>0</v>
      </c>
      <c r="AF3900">
        <v>0</v>
      </c>
      <c r="AH3900">
        <v>1</v>
      </c>
      <c r="AI3900">
        <v>0</v>
      </c>
      <c r="AJ3900">
        <v>0</v>
      </c>
      <c r="AK3900">
        <v>1</v>
      </c>
      <c r="AL3900">
        <v>0</v>
      </c>
      <c r="AM3900">
        <v>0</v>
      </c>
      <c r="AN3900">
        <v>1</v>
      </c>
      <c r="AO3900">
        <v>1</v>
      </c>
      <c r="AP3900">
        <v>1</v>
      </c>
      <c r="AQ3900">
        <v>1</v>
      </c>
      <c r="AU3900">
        <v>1</v>
      </c>
      <c r="AV3900">
        <v>1</v>
      </c>
      <c r="AW3900">
        <v>1</v>
      </c>
    </row>
    <row r="3901" spans="1:49" x14ac:dyDescent="0.25">
      <c r="A3901" t="str">
        <f>"3897"</f>
        <v>3897</v>
      </c>
      <c r="B3901" t="str">
        <f t="shared" si="224"/>
        <v>1</v>
      </c>
      <c r="C3901" t="str">
        <f t="shared" si="225"/>
        <v>170</v>
      </c>
      <c r="D3901" t="str">
        <f>"25"</f>
        <v>25</v>
      </c>
      <c r="E3901" t="str">
        <f>"1-170-25"</f>
        <v>1-170-25</v>
      </c>
      <c r="F3901" t="s">
        <v>83</v>
      </c>
      <c r="G3901" t="s">
        <v>84</v>
      </c>
      <c r="H3901" t="s">
        <v>92</v>
      </c>
      <c r="I3901">
        <v>1</v>
      </c>
      <c r="J3901">
        <v>1</v>
      </c>
      <c r="N3901">
        <v>1</v>
      </c>
      <c r="O3901">
        <v>1</v>
      </c>
      <c r="P3901">
        <v>1</v>
      </c>
      <c r="Q3901">
        <v>1</v>
      </c>
      <c r="R3901">
        <v>0</v>
      </c>
      <c r="S3901">
        <v>0</v>
      </c>
      <c r="T3901">
        <v>0</v>
      </c>
      <c r="W3901">
        <v>0</v>
      </c>
      <c r="X3901">
        <v>1</v>
      </c>
      <c r="Y3901">
        <v>1</v>
      </c>
      <c r="Z3901">
        <v>1</v>
      </c>
      <c r="AA3901">
        <v>1</v>
      </c>
      <c r="AB3901">
        <v>1</v>
      </c>
    </row>
    <row r="3902" spans="1:49" x14ac:dyDescent="0.25">
      <c r="A3902" t="str">
        <f>"3898"</f>
        <v>3898</v>
      </c>
      <c r="B3902" t="str">
        <f t="shared" si="224"/>
        <v>1</v>
      </c>
      <c r="C3902" t="str">
        <f t="shared" si="225"/>
        <v>170</v>
      </c>
      <c r="D3902" t="str">
        <f>"24"</f>
        <v>24</v>
      </c>
      <c r="E3902" t="str">
        <f>"1-170-24"</f>
        <v>1-170-24</v>
      </c>
      <c r="F3902" t="s">
        <v>83</v>
      </c>
      <c r="G3902" t="s">
        <v>84</v>
      </c>
      <c r="H3902" t="s">
        <v>92</v>
      </c>
      <c r="I3902">
        <v>1</v>
      </c>
      <c r="J3902">
        <v>1</v>
      </c>
      <c r="N3902">
        <v>1</v>
      </c>
      <c r="O3902">
        <v>1</v>
      </c>
      <c r="P3902">
        <v>0</v>
      </c>
      <c r="Q3902">
        <v>0</v>
      </c>
      <c r="R3902">
        <v>0</v>
      </c>
      <c r="S3902">
        <v>0</v>
      </c>
      <c r="T3902">
        <v>0</v>
      </c>
      <c r="W3902">
        <v>1</v>
      </c>
      <c r="X3902">
        <v>0</v>
      </c>
      <c r="Y3902">
        <v>0</v>
      </c>
      <c r="Z3902">
        <v>0</v>
      </c>
      <c r="AA3902">
        <v>0</v>
      </c>
      <c r="AB3902">
        <v>0</v>
      </c>
    </row>
    <row r="3903" spans="1:49" x14ac:dyDescent="0.25">
      <c r="A3903" t="str">
        <f>"3899"</f>
        <v>3899</v>
      </c>
      <c r="B3903" t="str">
        <f t="shared" si="224"/>
        <v>1</v>
      </c>
      <c r="C3903" t="str">
        <f t="shared" si="225"/>
        <v>170</v>
      </c>
      <c r="D3903" t="str">
        <f>"15"</f>
        <v>15</v>
      </c>
      <c r="E3903" t="str">
        <f>"1-170-15"</f>
        <v>1-170-15</v>
      </c>
      <c r="F3903" t="s">
        <v>83</v>
      </c>
      <c r="G3903" t="s">
        <v>84</v>
      </c>
      <c r="H3903" t="s">
        <v>92</v>
      </c>
      <c r="I3903">
        <v>1</v>
      </c>
      <c r="J3903">
        <v>1</v>
      </c>
      <c r="N3903">
        <v>1</v>
      </c>
      <c r="O3903">
        <v>1</v>
      </c>
      <c r="P3903">
        <v>1</v>
      </c>
      <c r="Q3903">
        <v>1</v>
      </c>
      <c r="R3903">
        <v>1</v>
      </c>
      <c r="S3903">
        <v>1</v>
      </c>
      <c r="T3903">
        <v>1</v>
      </c>
      <c r="W3903">
        <v>1</v>
      </c>
      <c r="X3903">
        <v>1</v>
      </c>
      <c r="Y3903">
        <v>1</v>
      </c>
      <c r="Z3903">
        <v>1</v>
      </c>
      <c r="AA3903">
        <v>1</v>
      </c>
      <c r="AB3903">
        <v>1</v>
      </c>
    </row>
    <row r="3904" spans="1:49" x14ac:dyDescent="0.25">
      <c r="A3904" t="str">
        <f>"3900"</f>
        <v>3900</v>
      </c>
      <c r="B3904" t="str">
        <f t="shared" si="224"/>
        <v>1</v>
      </c>
      <c r="C3904" t="str">
        <f t="shared" si="225"/>
        <v>170</v>
      </c>
      <c r="D3904" t="str">
        <f>"10"</f>
        <v>10</v>
      </c>
      <c r="E3904" t="str">
        <f>"1-170-10"</f>
        <v>1-170-10</v>
      </c>
      <c r="F3904" t="s">
        <v>83</v>
      </c>
      <c r="G3904" t="s">
        <v>84</v>
      </c>
      <c r="H3904" t="s">
        <v>85</v>
      </c>
      <c r="AC3904">
        <v>0</v>
      </c>
      <c r="AD3904">
        <v>0</v>
      </c>
      <c r="AE3904">
        <v>0</v>
      </c>
      <c r="AF3904">
        <v>0</v>
      </c>
      <c r="AG3904">
        <v>0</v>
      </c>
      <c r="AJ3904">
        <v>1</v>
      </c>
      <c r="AK3904">
        <v>0</v>
      </c>
      <c r="AL3904">
        <v>0</v>
      </c>
      <c r="AM3904">
        <v>0</v>
      </c>
      <c r="AN3904">
        <v>0</v>
      </c>
      <c r="AO3904">
        <v>0</v>
      </c>
      <c r="AP3904">
        <v>0</v>
      </c>
      <c r="AQ3904">
        <v>0</v>
      </c>
      <c r="AR3904">
        <v>0</v>
      </c>
      <c r="AS3904">
        <v>0</v>
      </c>
      <c r="AT3904">
        <v>0</v>
      </c>
      <c r="AV3904">
        <v>0</v>
      </c>
      <c r="AW3904">
        <v>0</v>
      </c>
    </row>
    <row r="3905" spans="1:49" x14ac:dyDescent="0.25">
      <c r="A3905" t="str">
        <f>"3901"</f>
        <v>3901</v>
      </c>
      <c r="B3905" t="str">
        <f t="shared" si="224"/>
        <v>1</v>
      </c>
      <c r="C3905" t="str">
        <f t="shared" si="225"/>
        <v>170</v>
      </c>
      <c r="D3905" t="str">
        <f>"5"</f>
        <v>5</v>
      </c>
      <c r="E3905" t="str">
        <f>"1-170-5"</f>
        <v>1-170-5</v>
      </c>
      <c r="F3905" t="s">
        <v>83</v>
      </c>
      <c r="G3905" t="s">
        <v>84</v>
      </c>
      <c r="H3905" t="s">
        <v>92</v>
      </c>
      <c r="I3905">
        <v>0</v>
      </c>
      <c r="J3905">
        <v>0</v>
      </c>
      <c r="N3905">
        <v>1</v>
      </c>
      <c r="O3905">
        <v>0</v>
      </c>
      <c r="P3905">
        <v>0</v>
      </c>
      <c r="Q3905">
        <v>0</v>
      </c>
      <c r="R3905">
        <v>0</v>
      </c>
      <c r="S3905">
        <v>0</v>
      </c>
      <c r="T3905">
        <v>0</v>
      </c>
      <c r="W3905">
        <v>0</v>
      </c>
      <c r="X3905">
        <v>0</v>
      </c>
      <c r="Y3905">
        <v>0</v>
      </c>
      <c r="Z3905">
        <v>0</v>
      </c>
      <c r="AA3905">
        <v>0</v>
      </c>
      <c r="AB3905">
        <v>0</v>
      </c>
    </row>
    <row r="3906" spans="1:49" s="2" customFormat="1" x14ac:dyDescent="0.25">
      <c r="A3906" s="3" t="str">
        <f>"3902"</f>
        <v>3902</v>
      </c>
      <c r="B3906" s="3" t="str">
        <f t="shared" si="224"/>
        <v>1</v>
      </c>
      <c r="C3906" s="3" t="str">
        <f t="shared" si="225"/>
        <v>170</v>
      </c>
      <c r="D3906" s="3" t="str">
        <f>"20"</f>
        <v>20</v>
      </c>
      <c r="E3906" s="3" t="str">
        <f>"1-170-20"</f>
        <v>1-170-20</v>
      </c>
      <c r="F3906" s="3" t="s">
        <v>83</v>
      </c>
      <c r="G3906" s="4" t="s">
        <v>96</v>
      </c>
      <c r="I3906" s="4"/>
    </row>
    <row r="3907" spans="1:49" x14ac:dyDescent="0.25">
      <c r="A3907" t="str">
        <f>"3903"</f>
        <v>3903</v>
      </c>
      <c r="B3907" t="str">
        <f t="shared" si="224"/>
        <v>1</v>
      </c>
      <c r="C3907" t="str">
        <f t="shared" si="225"/>
        <v>170</v>
      </c>
      <c r="D3907" t="str">
        <f>"11"</f>
        <v>11</v>
      </c>
      <c r="E3907" t="str">
        <f>"1-170-11"</f>
        <v>1-170-11</v>
      </c>
      <c r="F3907" t="s">
        <v>83</v>
      </c>
      <c r="G3907" t="s">
        <v>84</v>
      </c>
      <c r="H3907" t="s">
        <v>85</v>
      </c>
      <c r="AC3907">
        <v>0</v>
      </c>
      <c r="AD3907">
        <v>1</v>
      </c>
      <c r="AE3907">
        <v>0</v>
      </c>
      <c r="AF3907">
        <v>0</v>
      </c>
      <c r="AG3907">
        <v>1</v>
      </c>
      <c r="AJ3907">
        <v>0</v>
      </c>
      <c r="AK3907">
        <v>1</v>
      </c>
      <c r="AL3907">
        <v>0</v>
      </c>
      <c r="AM3907">
        <v>0</v>
      </c>
      <c r="AN3907">
        <v>1</v>
      </c>
      <c r="AO3907">
        <v>1</v>
      </c>
      <c r="AP3907">
        <v>1</v>
      </c>
      <c r="AQ3907">
        <v>1</v>
      </c>
      <c r="AR3907">
        <v>1</v>
      </c>
      <c r="AS3907">
        <v>0</v>
      </c>
      <c r="AT3907">
        <v>1</v>
      </c>
      <c r="AV3907">
        <v>1</v>
      </c>
      <c r="AW3907">
        <v>1</v>
      </c>
    </row>
    <row r="3908" spans="1:49" x14ac:dyDescent="0.25">
      <c r="A3908" t="str">
        <f>"3904"</f>
        <v>3904</v>
      </c>
      <c r="B3908" t="str">
        <f t="shared" si="224"/>
        <v>1</v>
      </c>
      <c r="C3908" t="str">
        <f t="shared" si="225"/>
        <v>170</v>
      </c>
      <c r="D3908" t="str">
        <f>"1"</f>
        <v>1</v>
      </c>
      <c r="E3908" t="str">
        <f>"1-170-1"</f>
        <v>1-170-1</v>
      </c>
      <c r="F3908" t="s">
        <v>83</v>
      </c>
      <c r="G3908" t="s">
        <v>84</v>
      </c>
      <c r="H3908" t="s">
        <v>92</v>
      </c>
      <c r="I3908">
        <v>1</v>
      </c>
      <c r="J3908">
        <v>1</v>
      </c>
      <c r="N3908">
        <v>1</v>
      </c>
      <c r="O3908">
        <v>1</v>
      </c>
      <c r="P3908">
        <v>1</v>
      </c>
      <c r="Q3908">
        <v>1</v>
      </c>
      <c r="R3908">
        <v>1</v>
      </c>
      <c r="S3908">
        <v>1</v>
      </c>
      <c r="T3908">
        <v>1</v>
      </c>
      <c r="W3908">
        <v>1</v>
      </c>
      <c r="X3908">
        <v>1</v>
      </c>
      <c r="Y3908">
        <v>1</v>
      </c>
      <c r="Z3908">
        <v>1</v>
      </c>
      <c r="AA3908">
        <v>1</v>
      </c>
      <c r="AB3908">
        <v>1</v>
      </c>
    </row>
    <row r="3909" spans="1:49" x14ac:dyDescent="0.25">
      <c r="A3909" t="str">
        <f>"3905"</f>
        <v>3905</v>
      </c>
      <c r="B3909" t="str">
        <f t="shared" si="224"/>
        <v>1</v>
      </c>
      <c r="C3909" t="str">
        <f t="shared" si="225"/>
        <v>170</v>
      </c>
      <c r="D3909" t="str">
        <f>"21"</f>
        <v>21</v>
      </c>
      <c r="E3909" t="str">
        <f>"1-170-21"</f>
        <v>1-170-21</v>
      </c>
      <c r="F3909" t="s">
        <v>83</v>
      </c>
      <c r="G3909" t="s">
        <v>84</v>
      </c>
      <c r="H3909" t="s">
        <v>85</v>
      </c>
      <c r="AC3909">
        <v>0</v>
      </c>
      <c r="AD3909">
        <v>1</v>
      </c>
      <c r="AE3909">
        <v>0</v>
      </c>
      <c r="AF3909">
        <v>0</v>
      </c>
      <c r="AG3909">
        <v>1</v>
      </c>
      <c r="AJ3909">
        <v>0</v>
      </c>
      <c r="AK3909">
        <v>1</v>
      </c>
      <c r="AL3909">
        <v>0</v>
      </c>
      <c r="AM3909">
        <v>1</v>
      </c>
      <c r="AN3909">
        <v>0</v>
      </c>
      <c r="AO3909">
        <v>1</v>
      </c>
      <c r="AP3909">
        <v>1</v>
      </c>
      <c r="AQ3909">
        <v>1</v>
      </c>
      <c r="AR3909">
        <v>1</v>
      </c>
      <c r="AS3909">
        <v>0</v>
      </c>
      <c r="AT3909">
        <v>1</v>
      </c>
      <c r="AV3909">
        <v>1</v>
      </c>
      <c r="AW3909">
        <v>1</v>
      </c>
    </row>
    <row r="3910" spans="1:49" x14ac:dyDescent="0.25">
      <c r="A3910" t="str">
        <f>"3906"</f>
        <v>3906</v>
      </c>
      <c r="B3910" t="str">
        <f t="shared" si="224"/>
        <v>1</v>
      </c>
      <c r="C3910" t="str">
        <f t="shared" si="225"/>
        <v>170</v>
      </c>
      <c r="D3910" t="str">
        <f>"12"</f>
        <v>12</v>
      </c>
      <c r="E3910" t="str">
        <f>"1-170-12"</f>
        <v>1-170-12</v>
      </c>
      <c r="F3910" t="s">
        <v>83</v>
      </c>
      <c r="G3910" t="s">
        <v>84</v>
      </c>
      <c r="H3910" t="s">
        <v>85</v>
      </c>
      <c r="AC3910">
        <v>0</v>
      </c>
      <c r="AD3910">
        <v>1</v>
      </c>
      <c r="AE3910">
        <v>0</v>
      </c>
      <c r="AF3910">
        <v>0</v>
      </c>
      <c r="AG3910">
        <v>1</v>
      </c>
      <c r="AJ3910">
        <v>0</v>
      </c>
      <c r="AK3910">
        <v>1</v>
      </c>
      <c r="AL3910">
        <v>1</v>
      </c>
      <c r="AM3910">
        <v>0</v>
      </c>
      <c r="AN3910">
        <v>0</v>
      </c>
      <c r="AO3910">
        <v>1</v>
      </c>
      <c r="AP3910">
        <v>1</v>
      </c>
      <c r="AQ3910">
        <v>1</v>
      </c>
      <c r="AR3910">
        <v>1</v>
      </c>
      <c r="AS3910">
        <v>0</v>
      </c>
      <c r="AT3910">
        <v>1</v>
      </c>
      <c r="AV3910">
        <v>1</v>
      </c>
      <c r="AW3910">
        <v>1</v>
      </c>
    </row>
    <row r="3911" spans="1:49" x14ac:dyDescent="0.25">
      <c r="A3911" t="str">
        <f>"3907"</f>
        <v>3907</v>
      </c>
      <c r="B3911" t="str">
        <f t="shared" si="224"/>
        <v>1</v>
      </c>
      <c r="C3911" t="str">
        <f t="shared" si="225"/>
        <v>170</v>
      </c>
      <c r="D3911" t="str">
        <f>"6"</f>
        <v>6</v>
      </c>
      <c r="E3911" t="str">
        <f>"1-170-6"</f>
        <v>1-170-6</v>
      </c>
      <c r="F3911" t="s">
        <v>83</v>
      </c>
      <c r="G3911" t="s">
        <v>84</v>
      </c>
      <c r="H3911" t="s">
        <v>92</v>
      </c>
      <c r="I3911">
        <v>1</v>
      </c>
      <c r="J3911">
        <v>1</v>
      </c>
      <c r="N3911">
        <v>1</v>
      </c>
      <c r="O3911">
        <v>1</v>
      </c>
      <c r="P3911">
        <v>1</v>
      </c>
      <c r="Q3911">
        <v>1</v>
      </c>
      <c r="R3911">
        <v>1</v>
      </c>
      <c r="S3911">
        <v>1</v>
      </c>
      <c r="T3911">
        <v>1</v>
      </c>
      <c r="W3911">
        <v>1</v>
      </c>
      <c r="X3911">
        <v>1</v>
      </c>
      <c r="Y3911">
        <v>1</v>
      </c>
      <c r="Z3911">
        <v>1</v>
      </c>
      <c r="AA3911">
        <v>1</v>
      </c>
      <c r="AB3911">
        <v>1</v>
      </c>
    </row>
    <row r="3912" spans="1:49" x14ac:dyDescent="0.25">
      <c r="A3912" t="str">
        <f>"3908"</f>
        <v>3908</v>
      </c>
      <c r="B3912" t="str">
        <f t="shared" si="224"/>
        <v>1</v>
      </c>
      <c r="C3912" t="str">
        <f t="shared" si="225"/>
        <v>170</v>
      </c>
      <c r="D3912" t="str">
        <f>"18"</f>
        <v>18</v>
      </c>
      <c r="E3912" t="str">
        <f>"1-170-18"</f>
        <v>1-170-18</v>
      </c>
      <c r="F3912" t="s">
        <v>83</v>
      </c>
      <c r="G3912" t="s">
        <v>84</v>
      </c>
      <c r="H3912" t="s">
        <v>92</v>
      </c>
      <c r="I3912">
        <v>1</v>
      </c>
      <c r="J3912">
        <v>1</v>
      </c>
      <c r="N3912">
        <v>1</v>
      </c>
      <c r="O3912">
        <v>1</v>
      </c>
      <c r="P3912">
        <v>1</v>
      </c>
      <c r="Q3912">
        <v>1</v>
      </c>
      <c r="R3912">
        <v>1</v>
      </c>
      <c r="S3912">
        <v>1</v>
      </c>
      <c r="T3912">
        <v>1</v>
      </c>
      <c r="W3912">
        <v>1</v>
      </c>
      <c r="X3912">
        <v>1</v>
      </c>
      <c r="Y3912">
        <v>1</v>
      </c>
      <c r="Z3912">
        <v>1</v>
      </c>
      <c r="AA3912">
        <v>1</v>
      </c>
      <c r="AB3912">
        <v>1</v>
      </c>
    </row>
    <row r="3913" spans="1:49" x14ac:dyDescent="0.25">
      <c r="A3913" t="str">
        <f>"3909"</f>
        <v>3909</v>
      </c>
      <c r="B3913" t="str">
        <f t="shared" si="224"/>
        <v>1</v>
      </c>
      <c r="C3913" t="str">
        <f t="shared" si="225"/>
        <v>170</v>
      </c>
      <c r="D3913" t="str">
        <f>"7"</f>
        <v>7</v>
      </c>
      <c r="E3913" t="str">
        <f>"1-170-7"</f>
        <v>1-170-7</v>
      </c>
      <c r="F3913" t="s">
        <v>83</v>
      </c>
      <c r="G3913" t="s">
        <v>84</v>
      </c>
      <c r="H3913" t="s">
        <v>92</v>
      </c>
      <c r="I3913">
        <v>1</v>
      </c>
      <c r="J3913">
        <v>1</v>
      </c>
      <c r="N3913">
        <v>1</v>
      </c>
      <c r="O3913">
        <v>1</v>
      </c>
      <c r="P3913">
        <v>1</v>
      </c>
      <c r="Q3913">
        <v>1</v>
      </c>
      <c r="R3913">
        <v>1</v>
      </c>
      <c r="S3913">
        <v>1</v>
      </c>
      <c r="T3913">
        <v>1</v>
      </c>
      <c r="W3913">
        <v>1</v>
      </c>
      <c r="X3913">
        <v>1</v>
      </c>
      <c r="Y3913">
        <v>1</v>
      </c>
      <c r="Z3913">
        <v>1</v>
      </c>
      <c r="AA3913">
        <v>1</v>
      </c>
      <c r="AB3913">
        <v>1</v>
      </c>
    </row>
    <row r="3914" spans="1:49" x14ac:dyDescent="0.25">
      <c r="A3914" t="str">
        <f>"3910"</f>
        <v>3910</v>
      </c>
      <c r="B3914" t="str">
        <f t="shared" si="224"/>
        <v>1</v>
      </c>
      <c r="C3914" t="str">
        <f t="shared" si="225"/>
        <v>170</v>
      </c>
      <c r="D3914" t="str">
        <f>"19"</f>
        <v>19</v>
      </c>
      <c r="E3914" t="str">
        <f>"1-170-19"</f>
        <v>1-170-19</v>
      </c>
      <c r="F3914" t="s">
        <v>83</v>
      </c>
      <c r="G3914" t="s">
        <v>84</v>
      </c>
      <c r="H3914" t="s">
        <v>92</v>
      </c>
      <c r="I3914">
        <v>1</v>
      </c>
      <c r="J3914">
        <v>1</v>
      </c>
      <c r="N3914">
        <v>1</v>
      </c>
      <c r="O3914">
        <v>1</v>
      </c>
      <c r="P3914">
        <v>1</v>
      </c>
      <c r="Q3914">
        <v>1</v>
      </c>
      <c r="R3914">
        <v>1</v>
      </c>
      <c r="S3914">
        <v>1</v>
      </c>
      <c r="T3914">
        <v>1</v>
      </c>
      <c r="W3914">
        <v>1</v>
      </c>
      <c r="X3914">
        <v>1</v>
      </c>
      <c r="Y3914">
        <v>1</v>
      </c>
      <c r="Z3914">
        <v>1</v>
      </c>
      <c r="AA3914">
        <v>1</v>
      </c>
      <c r="AB3914">
        <v>1</v>
      </c>
    </row>
    <row r="3915" spans="1:49" x14ac:dyDescent="0.25">
      <c r="A3915" t="str">
        <f>"3911"</f>
        <v>3911</v>
      </c>
      <c r="B3915" t="str">
        <f t="shared" si="224"/>
        <v>1</v>
      </c>
      <c r="C3915" t="str">
        <f t="shared" si="225"/>
        <v>170</v>
      </c>
      <c r="D3915" t="str">
        <f>"4"</f>
        <v>4</v>
      </c>
      <c r="E3915" t="str">
        <f>"1-170-4"</f>
        <v>1-170-4</v>
      </c>
      <c r="F3915" t="s">
        <v>83</v>
      </c>
      <c r="G3915" t="s">
        <v>84</v>
      </c>
      <c r="H3915" t="s">
        <v>85</v>
      </c>
      <c r="AC3915">
        <v>0</v>
      </c>
      <c r="AD3915">
        <v>1</v>
      </c>
      <c r="AE3915">
        <v>0</v>
      </c>
      <c r="AF3915">
        <v>0</v>
      </c>
      <c r="AG3915">
        <v>1</v>
      </c>
      <c r="AJ3915">
        <v>0</v>
      </c>
      <c r="AK3915">
        <v>0</v>
      </c>
      <c r="AL3915">
        <v>0</v>
      </c>
      <c r="AM3915">
        <v>0</v>
      </c>
      <c r="AN3915">
        <v>0</v>
      </c>
      <c r="AO3915">
        <v>1</v>
      </c>
      <c r="AP3915">
        <v>1</v>
      </c>
      <c r="AQ3915">
        <v>1</v>
      </c>
      <c r="AR3915">
        <v>1</v>
      </c>
      <c r="AS3915">
        <v>0</v>
      </c>
      <c r="AT3915">
        <v>0</v>
      </c>
      <c r="AV3915">
        <v>1</v>
      </c>
      <c r="AW3915">
        <v>1</v>
      </c>
    </row>
    <row r="3916" spans="1:49" x14ac:dyDescent="0.25">
      <c r="A3916" t="str">
        <f>"3912"</f>
        <v>3912</v>
      </c>
      <c r="B3916" t="str">
        <f t="shared" si="224"/>
        <v>1</v>
      </c>
      <c r="C3916" t="str">
        <f t="shared" si="225"/>
        <v>170</v>
      </c>
      <c r="D3916" t="str">
        <f>"23"</f>
        <v>23</v>
      </c>
      <c r="E3916" t="str">
        <f>"1-170-23"</f>
        <v>1-170-23</v>
      </c>
      <c r="F3916" t="s">
        <v>83</v>
      </c>
      <c r="G3916" t="s">
        <v>84</v>
      </c>
      <c r="H3916" t="s">
        <v>92</v>
      </c>
      <c r="I3916">
        <v>1</v>
      </c>
      <c r="J3916">
        <v>1</v>
      </c>
      <c r="N3916">
        <v>1</v>
      </c>
      <c r="O3916">
        <v>1</v>
      </c>
      <c r="P3916">
        <v>1</v>
      </c>
      <c r="Q3916">
        <v>1</v>
      </c>
      <c r="R3916">
        <v>1</v>
      </c>
      <c r="S3916">
        <v>1</v>
      </c>
      <c r="T3916">
        <v>1</v>
      </c>
      <c r="W3916">
        <v>1</v>
      </c>
      <c r="X3916">
        <v>1</v>
      </c>
      <c r="Y3916">
        <v>1</v>
      </c>
      <c r="Z3916">
        <v>1</v>
      </c>
      <c r="AA3916">
        <v>1</v>
      </c>
      <c r="AB3916">
        <v>1</v>
      </c>
    </row>
    <row r="3917" spans="1:49" x14ac:dyDescent="0.25">
      <c r="A3917" t="str">
        <f>"3913"</f>
        <v>3913</v>
      </c>
      <c r="B3917" t="str">
        <f t="shared" si="224"/>
        <v>1</v>
      </c>
      <c r="C3917" t="str">
        <f t="shared" ref="C3917:C3941" si="226">"171"</f>
        <v>171</v>
      </c>
      <c r="D3917" t="str">
        <f>"15"</f>
        <v>15</v>
      </c>
      <c r="E3917" t="str">
        <f>"1-171-15"</f>
        <v>1-171-15</v>
      </c>
      <c r="F3917" t="s">
        <v>83</v>
      </c>
      <c r="G3917" t="s">
        <v>84</v>
      </c>
      <c r="H3917" t="s">
        <v>92</v>
      </c>
      <c r="I3917">
        <v>1</v>
      </c>
      <c r="J3917">
        <v>0</v>
      </c>
      <c r="N3917">
        <v>1</v>
      </c>
      <c r="O3917">
        <v>1</v>
      </c>
      <c r="P3917">
        <v>0</v>
      </c>
      <c r="Q3917">
        <v>0</v>
      </c>
      <c r="R3917">
        <v>0</v>
      </c>
      <c r="S3917">
        <v>0</v>
      </c>
      <c r="T3917">
        <v>1</v>
      </c>
      <c r="W3917">
        <v>1</v>
      </c>
      <c r="X3917">
        <v>1</v>
      </c>
      <c r="Y3917">
        <v>1</v>
      </c>
      <c r="Z3917">
        <v>1</v>
      </c>
      <c r="AA3917">
        <v>1</v>
      </c>
      <c r="AB3917">
        <v>1</v>
      </c>
    </row>
    <row r="3918" spans="1:49" x14ac:dyDescent="0.25">
      <c r="A3918" t="str">
        <f>"3914"</f>
        <v>3914</v>
      </c>
      <c r="B3918" t="str">
        <f t="shared" si="224"/>
        <v>1</v>
      </c>
      <c r="C3918" t="str">
        <f t="shared" si="226"/>
        <v>171</v>
      </c>
      <c r="D3918" t="str">
        <f>"14"</f>
        <v>14</v>
      </c>
      <c r="E3918" t="str">
        <f>"1-171-14"</f>
        <v>1-171-14</v>
      </c>
      <c r="F3918" t="s">
        <v>83</v>
      </c>
      <c r="G3918" t="s">
        <v>84</v>
      </c>
      <c r="H3918" t="s">
        <v>92</v>
      </c>
      <c r="I3918">
        <v>0</v>
      </c>
      <c r="J3918">
        <v>0</v>
      </c>
      <c r="N3918">
        <v>0</v>
      </c>
      <c r="O3918">
        <v>1</v>
      </c>
      <c r="P3918">
        <v>0</v>
      </c>
      <c r="Q3918">
        <v>0</v>
      </c>
      <c r="R3918">
        <v>1</v>
      </c>
      <c r="S3918">
        <v>0</v>
      </c>
      <c r="T3918">
        <v>1</v>
      </c>
      <c r="W3918">
        <v>1</v>
      </c>
      <c r="X3918">
        <v>1</v>
      </c>
      <c r="Y3918">
        <v>1</v>
      </c>
      <c r="Z3918">
        <v>0</v>
      </c>
      <c r="AA3918">
        <v>1</v>
      </c>
      <c r="AB3918">
        <v>1</v>
      </c>
    </row>
    <row r="3919" spans="1:49" x14ac:dyDescent="0.25">
      <c r="A3919" t="str">
        <f>"3915"</f>
        <v>3915</v>
      </c>
      <c r="B3919" t="str">
        <f t="shared" si="224"/>
        <v>1</v>
      </c>
      <c r="C3919" t="str">
        <f t="shared" si="226"/>
        <v>171</v>
      </c>
      <c r="D3919" t="str">
        <f>"11"</f>
        <v>11</v>
      </c>
      <c r="E3919" t="str">
        <f>"1-171-11"</f>
        <v>1-171-11</v>
      </c>
      <c r="F3919" t="s">
        <v>83</v>
      </c>
      <c r="G3919" t="s">
        <v>84</v>
      </c>
      <c r="H3919" t="s">
        <v>92</v>
      </c>
      <c r="I3919">
        <v>1</v>
      </c>
      <c r="J3919">
        <v>0</v>
      </c>
      <c r="N3919">
        <v>1</v>
      </c>
      <c r="O3919">
        <v>0</v>
      </c>
      <c r="P3919">
        <v>0</v>
      </c>
      <c r="Q3919">
        <v>1</v>
      </c>
      <c r="R3919">
        <v>0</v>
      </c>
      <c r="S3919">
        <v>0</v>
      </c>
      <c r="T3919">
        <v>0</v>
      </c>
      <c r="W3919">
        <v>0</v>
      </c>
      <c r="X3919">
        <v>1</v>
      </c>
      <c r="Y3919">
        <v>1</v>
      </c>
      <c r="Z3919">
        <v>0</v>
      </c>
      <c r="AA3919">
        <v>0</v>
      </c>
      <c r="AB3919">
        <v>1</v>
      </c>
    </row>
    <row r="3920" spans="1:49" x14ac:dyDescent="0.25">
      <c r="A3920" t="str">
        <f>"3916"</f>
        <v>3916</v>
      </c>
      <c r="B3920" t="str">
        <f t="shared" si="224"/>
        <v>1</v>
      </c>
      <c r="C3920" t="str">
        <f t="shared" si="226"/>
        <v>171</v>
      </c>
      <c r="D3920" t="str">
        <f>"8"</f>
        <v>8</v>
      </c>
      <c r="E3920" t="str">
        <f>"1-171-8"</f>
        <v>1-171-8</v>
      </c>
      <c r="F3920" t="s">
        <v>83</v>
      </c>
      <c r="G3920" t="s">
        <v>84</v>
      </c>
      <c r="H3920" t="s">
        <v>92</v>
      </c>
      <c r="I3920">
        <v>1</v>
      </c>
      <c r="J3920">
        <v>1</v>
      </c>
      <c r="N3920">
        <v>1</v>
      </c>
      <c r="O3920">
        <v>1</v>
      </c>
      <c r="P3920">
        <v>1</v>
      </c>
      <c r="Q3920">
        <v>1</v>
      </c>
      <c r="R3920">
        <v>1</v>
      </c>
      <c r="S3920">
        <v>1</v>
      </c>
      <c r="T3920">
        <v>1</v>
      </c>
      <c r="W3920">
        <v>1</v>
      </c>
      <c r="X3920">
        <v>1</v>
      </c>
      <c r="Y3920">
        <v>1</v>
      </c>
      <c r="Z3920">
        <v>1</v>
      </c>
      <c r="AA3920">
        <v>1</v>
      </c>
      <c r="AB3920">
        <v>1</v>
      </c>
    </row>
    <row r="3921" spans="1:28" x14ac:dyDescent="0.25">
      <c r="A3921" t="str">
        <f>"3917"</f>
        <v>3917</v>
      </c>
      <c r="B3921" t="str">
        <f t="shared" si="224"/>
        <v>1</v>
      </c>
      <c r="C3921" t="str">
        <f t="shared" si="226"/>
        <v>171</v>
      </c>
      <c r="D3921" t="str">
        <f>"1"</f>
        <v>1</v>
      </c>
      <c r="E3921" t="str">
        <f>"1-171-1"</f>
        <v>1-171-1</v>
      </c>
      <c r="F3921" t="s">
        <v>83</v>
      </c>
      <c r="G3921" t="s">
        <v>86</v>
      </c>
      <c r="H3921" t="s">
        <v>93</v>
      </c>
      <c r="I3921">
        <v>1</v>
      </c>
      <c r="K3921">
        <v>0</v>
      </c>
      <c r="L3921">
        <v>0</v>
      </c>
      <c r="M3921">
        <v>1</v>
      </c>
      <c r="N3921">
        <v>1</v>
      </c>
      <c r="O3921">
        <v>1</v>
      </c>
      <c r="P3921">
        <v>1</v>
      </c>
      <c r="Q3921">
        <v>0</v>
      </c>
      <c r="R3921">
        <v>0</v>
      </c>
      <c r="U3921">
        <v>0</v>
      </c>
      <c r="V3921">
        <v>0</v>
      </c>
      <c r="W3921">
        <v>0</v>
      </c>
      <c r="X3921">
        <v>0</v>
      </c>
      <c r="Y3921">
        <v>0</v>
      </c>
      <c r="Z3921">
        <v>0</v>
      </c>
      <c r="AA3921">
        <v>0</v>
      </c>
      <c r="AB3921">
        <v>0</v>
      </c>
    </row>
    <row r="3922" spans="1:28" x14ac:dyDescent="0.25">
      <c r="A3922" t="str">
        <f>"3918"</f>
        <v>3918</v>
      </c>
      <c r="B3922" t="str">
        <f t="shared" si="224"/>
        <v>1</v>
      </c>
      <c r="C3922" t="str">
        <f t="shared" si="226"/>
        <v>171</v>
      </c>
      <c r="D3922" t="str">
        <f>"23"</f>
        <v>23</v>
      </c>
      <c r="E3922" t="str">
        <f>"1-171-23"</f>
        <v>1-171-23</v>
      </c>
      <c r="F3922" t="s">
        <v>83</v>
      </c>
      <c r="G3922" t="s">
        <v>84</v>
      </c>
      <c r="H3922" t="s">
        <v>92</v>
      </c>
      <c r="I3922">
        <v>1</v>
      </c>
      <c r="J3922">
        <v>1</v>
      </c>
      <c r="N3922">
        <v>1</v>
      </c>
      <c r="O3922">
        <v>1</v>
      </c>
      <c r="P3922">
        <v>1</v>
      </c>
      <c r="Q3922">
        <v>1</v>
      </c>
      <c r="R3922">
        <v>1</v>
      </c>
      <c r="S3922">
        <v>1</v>
      </c>
      <c r="T3922">
        <v>1</v>
      </c>
      <c r="W3922">
        <v>1</v>
      </c>
      <c r="X3922">
        <v>1</v>
      </c>
      <c r="Y3922">
        <v>1</v>
      </c>
      <c r="Z3922">
        <v>1</v>
      </c>
      <c r="AA3922">
        <v>1</v>
      </c>
      <c r="AB3922">
        <v>1</v>
      </c>
    </row>
    <row r="3923" spans="1:28" x14ac:dyDescent="0.25">
      <c r="A3923" t="str">
        <f>"3919"</f>
        <v>3919</v>
      </c>
      <c r="B3923" t="str">
        <f t="shared" si="224"/>
        <v>1</v>
      </c>
      <c r="C3923" t="str">
        <f t="shared" si="226"/>
        <v>171</v>
      </c>
      <c r="D3923" t="str">
        <f>"22"</f>
        <v>22</v>
      </c>
      <c r="E3923" t="str">
        <f>"1-171-22"</f>
        <v>1-171-22</v>
      </c>
      <c r="F3923" t="s">
        <v>83</v>
      </c>
      <c r="G3923" t="s">
        <v>84</v>
      </c>
      <c r="H3923" t="s">
        <v>92</v>
      </c>
      <c r="I3923">
        <v>1</v>
      </c>
      <c r="J3923">
        <v>1</v>
      </c>
      <c r="N3923">
        <v>1</v>
      </c>
      <c r="O3923">
        <v>1</v>
      </c>
      <c r="P3923">
        <v>1</v>
      </c>
      <c r="Q3923">
        <v>1</v>
      </c>
      <c r="R3923">
        <v>1</v>
      </c>
      <c r="S3923">
        <v>1</v>
      </c>
      <c r="T3923">
        <v>1</v>
      </c>
      <c r="W3923">
        <v>1</v>
      </c>
      <c r="X3923">
        <v>1</v>
      </c>
      <c r="Y3923">
        <v>1</v>
      </c>
      <c r="Z3923">
        <v>1</v>
      </c>
      <c r="AA3923">
        <v>1</v>
      </c>
      <c r="AB3923">
        <v>1</v>
      </c>
    </row>
    <row r="3924" spans="1:28" x14ac:dyDescent="0.25">
      <c r="A3924" t="str">
        <f>"3920"</f>
        <v>3920</v>
      </c>
      <c r="B3924" t="str">
        <f t="shared" si="224"/>
        <v>1</v>
      </c>
      <c r="C3924" t="str">
        <f t="shared" si="226"/>
        <v>171</v>
      </c>
      <c r="D3924" t="str">
        <f>"17"</f>
        <v>17</v>
      </c>
      <c r="E3924" t="str">
        <f>"1-171-17"</f>
        <v>1-171-17</v>
      </c>
      <c r="F3924" t="s">
        <v>83</v>
      </c>
      <c r="G3924" t="s">
        <v>84</v>
      </c>
      <c r="H3924" t="s">
        <v>92</v>
      </c>
      <c r="I3924">
        <v>1</v>
      </c>
      <c r="J3924">
        <v>1</v>
      </c>
      <c r="N3924">
        <v>1</v>
      </c>
      <c r="O3924">
        <v>1</v>
      </c>
      <c r="P3924">
        <v>1</v>
      </c>
      <c r="Q3924">
        <v>1</v>
      </c>
      <c r="R3924">
        <v>1</v>
      </c>
      <c r="S3924">
        <v>1</v>
      </c>
      <c r="T3924">
        <v>1</v>
      </c>
      <c r="W3924">
        <v>1</v>
      </c>
      <c r="X3924">
        <v>1</v>
      </c>
      <c r="Y3924">
        <v>1</v>
      </c>
      <c r="Z3924">
        <v>1</v>
      </c>
      <c r="AA3924">
        <v>1</v>
      </c>
      <c r="AB3924">
        <v>1</v>
      </c>
    </row>
    <row r="3925" spans="1:28" x14ac:dyDescent="0.25">
      <c r="A3925" t="str">
        <f>"3921"</f>
        <v>3921</v>
      </c>
      <c r="B3925" t="str">
        <f t="shared" si="224"/>
        <v>1</v>
      </c>
      <c r="C3925" t="str">
        <f t="shared" si="226"/>
        <v>171</v>
      </c>
      <c r="D3925" t="str">
        <f>"9"</f>
        <v>9</v>
      </c>
      <c r="E3925" t="str">
        <f>"1-171-9"</f>
        <v>1-171-9</v>
      </c>
      <c r="F3925" t="s">
        <v>83</v>
      </c>
      <c r="G3925" t="s">
        <v>84</v>
      </c>
      <c r="H3925" t="s">
        <v>92</v>
      </c>
      <c r="I3925">
        <v>1</v>
      </c>
      <c r="J3925">
        <v>1</v>
      </c>
      <c r="N3925">
        <v>1</v>
      </c>
      <c r="O3925">
        <v>1</v>
      </c>
      <c r="P3925">
        <v>1</v>
      </c>
      <c r="Q3925">
        <v>1</v>
      </c>
      <c r="R3925">
        <v>1</v>
      </c>
      <c r="S3925">
        <v>1</v>
      </c>
      <c r="T3925">
        <v>1</v>
      </c>
      <c r="W3925">
        <v>1</v>
      </c>
      <c r="X3925">
        <v>1</v>
      </c>
      <c r="Y3925">
        <v>1</v>
      </c>
      <c r="Z3925">
        <v>1</v>
      </c>
      <c r="AA3925">
        <v>1</v>
      </c>
      <c r="AB3925">
        <v>1</v>
      </c>
    </row>
    <row r="3926" spans="1:28" x14ac:dyDescent="0.25">
      <c r="A3926" t="str">
        <f>"3922"</f>
        <v>3922</v>
      </c>
      <c r="B3926" t="str">
        <f t="shared" si="224"/>
        <v>1</v>
      </c>
      <c r="C3926" t="str">
        <f t="shared" si="226"/>
        <v>171</v>
      </c>
      <c r="D3926" t="str">
        <f>"6"</f>
        <v>6</v>
      </c>
      <c r="E3926" t="str">
        <f>"1-171-6"</f>
        <v>1-171-6</v>
      </c>
      <c r="F3926" t="s">
        <v>83</v>
      </c>
      <c r="G3926" t="s">
        <v>84</v>
      </c>
      <c r="H3926" t="s">
        <v>92</v>
      </c>
      <c r="I3926">
        <v>1</v>
      </c>
      <c r="J3926">
        <v>1</v>
      </c>
      <c r="N3926">
        <v>1</v>
      </c>
      <c r="O3926">
        <v>1</v>
      </c>
      <c r="P3926">
        <v>1</v>
      </c>
      <c r="Q3926">
        <v>1</v>
      </c>
      <c r="R3926">
        <v>1</v>
      </c>
      <c r="S3926">
        <v>1</v>
      </c>
      <c r="T3926">
        <v>1</v>
      </c>
      <c r="W3926">
        <v>1</v>
      </c>
      <c r="X3926">
        <v>1</v>
      </c>
      <c r="Y3926">
        <v>1</v>
      </c>
      <c r="Z3926">
        <v>1</v>
      </c>
      <c r="AA3926">
        <v>1</v>
      </c>
      <c r="AB3926">
        <v>1</v>
      </c>
    </row>
    <row r="3927" spans="1:28" x14ac:dyDescent="0.25">
      <c r="A3927" t="str">
        <f>"3923"</f>
        <v>3923</v>
      </c>
      <c r="B3927" t="str">
        <f t="shared" si="224"/>
        <v>1</v>
      </c>
      <c r="C3927" t="str">
        <f t="shared" si="226"/>
        <v>171</v>
      </c>
      <c r="D3927" t="str">
        <f>"25"</f>
        <v>25</v>
      </c>
      <c r="E3927" t="str">
        <f>"1-171-25"</f>
        <v>1-171-25</v>
      </c>
      <c r="F3927" t="s">
        <v>83</v>
      </c>
      <c r="G3927" t="s">
        <v>84</v>
      </c>
      <c r="H3927" t="s">
        <v>92</v>
      </c>
      <c r="I3927">
        <v>1</v>
      </c>
      <c r="J3927">
        <v>1</v>
      </c>
      <c r="N3927">
        <v>1</v>
      </c>
      <c r="O3927">
        <v>1</v>
      </c>
      <c r="P3927">
        <v>1</v>
      </c>
      <c r="Q3927">
        <v>1</v>
      </c>
      <c r="R3927">
        <v>1</v>
      </c>
      <c r="S3927">
        <v>1</v>
      </c>
      <c r="T3927">
        <v>1</v>
      </c>
      <c r="W3927">
        <v>1</v>
      </c>
      <c r="X3927">
        <v>1</v>
      </c>
      <c r="Y3927">
        <v>1</v>
      </c>
      <c r="Z3927">
        <v>1</v>
      </c>
      <c r="AA3927">
        <v>1</v>
      </c>
      <c r="AB3927">
        <v>1</v>
      </c>
    </row>
    <row r="3928" spans="1:28" x14ac:dyDescent="0.25">
      <c r="A3928" t="str">
        <f>"3924"</f>
        <v>3924</v>
      </c>
      <c r="B3928" t="str">
        <f t="shared" si="224"/>
        <v>1</v>
      </c>
      <c r="C3928" t="str">
        <f t="shared" si="226"/>
        <v>171</v>
      </c>
      <c r="D3928" t="str">
        <f>"24"</f>
        <v>24</v>
      </c>
      <c r="E3928" t="str">
        <f>"1-171-24"</f>
        <v>1-171-24</v>
      </c>
      <c r="F3928" t="s">
        <v>83</v>
      </c>
      <c r="G3928" t="s">
        <v>84</v>
      </c>
      <c r="H3928" t="s">
        <v>92</v>
      </c>
      <c r="I3928">
        <v>1</v>
      </c>
      <c r="J3928">
        <v>1</v>
      </c>
      <c r="N3928">
        <v>1</v>
      </c>
      <c r="O3928">
        <v>1</v>
      </c>
      <c r="P3928">
        <v>1</v>
      </c>
      <c r="Q3928">
        <v>1</v>
      </c>
      <c r="R3928">
        <v>1</v>
      </c>
      <c r="S3928">
        <v>1</v>
      </c>
      <c r="T3928">
        <v>1</v>
      </c>
      <c r="W3928">
        <v>1</v>
      </c>
      <c r="X3928">
        <v>1</v>
      </c>
      <c r="Y3928">
        <v>1</v>
      </c>
      <c r="Z3928">
        <v>1</v>
      </c>
      <c r="AA3928">
        <v>1</v>
      </c>
      <c r="AB3928">
        <v>1</v>
      </c>
    </row>
    <row r="3929" spans="1:28" x14ac:dyDescent="0.25">
      <c r="A3929" t="str">
        <f>"3925"</f>
        <v>3925</v>
      </c>
      <c r="B3929" t="str">
        <f t="shared" si="224"/>
        <v>1</v>
      </c>
      <c r="C3929" t="str">
        <f t="shared" si="226"/>
        <v>171</v>
      </c>
      <c r="D3929" t="str">
        <f>"16"</f>
        <v>16</v>
      </c>
      <c r="E3929" t="str">
        <f>"1-171-16"</f>
        <v>1-171-16</v>
      </c>
      <c r="F3929" t="s">
        <v>83</v>
      </c>
      <c r="G3929" t="s">
        <v>84</v>
      </c>
      <c r="H3929" t="s">
        <v>92</v>
      </c>
      <c r="I3929">
        <v>1</v>
      </c>
      <c r="J3929">
        <v>1</v>
      </c>
      <c r="N3929">
        <v>1</v>
      </c>
      <c r="O3929">
        <v>1</v>
      </c>
      <c r="P3929">
        <v>1</v>
      </c>
      <c r="Q3929">
        <v>1</v>
      </c>
      <c r="R3929">
        <v>1</v>
      </c>
      <c r="S3929">
        <v>1</v>
      </c>
      <c r="T3929">
        <v>1</v>
      </c>
      <c r="W3929">
        <v>1</v>
      </c>
      <c r="X3929">
        <v>1</v>
      </c>
      <c r="Y3929">
        <v>1</v>
      </c>
      <c r="Z3929">
        <v>1</v>
      </c>
      <c r="AA3929">
        <v>1</v>
      </c>
      <c r="AB3929">
        <v>1</v>
      </c>
    </row>
    <row r="3930" spans="1:28" x14ac:dyDescent="0.25">
      <c r="A3930" t="str">
        <f>"3926"</f>
        <v>3926</v>
      </c>
      <c r="B3930" t="str">
        <f t="shared" si="224"/>
        <v>1</v>
      </c>
      <c r="C3930" t="str">
        <f t="shared" si="226"/>
        <v>171</v>
      </c>
      <c r="D3930" t="str">
        <f>"10"</f>
        <v>10</v>
      </c>
      <c r="E3930" t="str">
        <f>"1-171-10"</f>
        <v>1-171-10</v>
      </c>
      <c r="F3930" t="s">
        <v>83</v>
      </c>
      <c r="G3930" t="s">
        <v>84</v>
      </c>
      <c r="H3930" t="s">
        <v>92</v>
      </c>
      <c r="I3930">
        <v>1</v>
      </c>
      <c r="J3930">
        <v>1</v>
      </c>
      <c r="N3930">
        <v>1</v>
      </c>
      <c r="O3930">
        <v>1</v>
      </c>
      <c r="P3930">
        <v>1</v>
      </c>
      <c r="Q3930">
        <v>1</v>
      </c>
      <c r="R3930">
        <v>1</v>
      </c>
      <c r="S3930">
        <v>1</v>
      </c>
      <c r="T3930">
        <v>1</v>
      </c>
      <c r="W3930">
        <v>1</v>
      </c>
      <c r="X3930">
        <v>1</v>
      </c>
      <c r="Y3930">
        <v>1</v>
      </c>
      <c r="Z3930">
        <v>1</v>
      </c>
      <c r="AA3930">
        <v>1</v>
      </c>
      <c r="AB3930">
        <v>1</v>
      </c>
    </row>
    <row r="3931" spans="1:28" x14ac:dyDescent="0.25">
      <c r="A3931" t="str">
        <f>"3927"</f>
        <v>3927</v>
      </c>
      <c r="B3931" t="str">
        <f t="shared" si="224"/>
        <v>1</v>
      </c>
      <c r="C3931" t="str">
        <f t="shared" si="226"/>
        <v>171</v>
      </c>
      <c r="D3931" t="str">
        <f>"2"</f>
        <v>2</v>
      </c>
      <c r="E3931" t="str">
        <f>"1-171-2"</f>
        <v>1-171-2</v>
      </c>
      <c r="F3931" t="s">
        <v>83</v>
      </c>
      <c r="G3931" t="s">
        <v>86</v>
      </c>
      <c r="H3931" t="s">
        <v>93</v>
      </c>
      <c r="I3931">
        <v>1</v>
      </c>
      <c r="K3931">
        <v>0</v>
      </c>
      <c r="L3931">
        <v>0</v>
      </c>
      <c r="M3931">
        <v>1</v>
      </c>
      <c r="N3931">
        <v>1</v>
      </c>
      <c r="O3931">
        <v>1</v>
      </c>
      <c r="P3931">
        <v>1</v>
      </c>
      <c r="Q3931">
        <v>1</v>
      </c>
      <c r="R3931">
        <v>1</v>
      </c>
      <c r="U3931">
        <v>1</v>
      </c>
      <c r="V3931">
        <v>0</v>
      </c>
      <c r="W3931">
        <v>1</v>
      </c>
      <c r="X3931">
        <v>1</v>
      </c>
      <c r="Y3931">
        <v>1</v>
      </c>
      <c r="Z3931">
        <v>1</v>
      </c>
      <c r="AA3931">
        <v>1</v>
      </c>
      <c r="AB3931">
        <v>1</v>
      </c>
    </row>
    <row r="3932" spans="1:28" x14ac:dyDescent="0.25">
      <c r="A3932" t="str">
        <f>"3928"</f>
        <v>3928</v>
      </c>
      <c r="B3932" t="str">
        <f t="shared" si="224"/>
        <v>1</v>
      </c>
      <c r="C3932" t="str">
        <f t="shared" si="226"/>
        <v>171</v>
      </c>
      <c r="D3932" t="str">
        <f>"20"</f>
        <v>20</v>
      </c>
      <c r="E3932" t="str">
        <f>"1-171-20"</f>
        <v>1-171-20</v>
      </c>
      <c r="F3932" t="s">
        <v>83</v>
      </c>
      <c r="G3932" t="s">
        <v>84</v>
      </c>
      <c r="H3932" t="s">
        <v>92</v>
      </c>
      <c r="I3932">
        <v>1</v>
      </c>
      <c r="J3932">
        <v>1</v>
      </c>
      <c r="N3932">
        <v>1</v>
      </c>
      <c r="O3932">
        <v>1</v>
      </c>
      <c r="P3932">
        <v>1</v>
      </c>
      <c r="Q3932">
        <v>1</v>
      </c>
      <c r="R3932">
        <v>1</v>
      </c>
      <c r="S3932">
        <v>1</v>
      </c>
      <c r="T3932">
        <v>1</v>
      </c>
      <c r="W3932">
        <v>1</v>
      </c>
      <c r="X3932">
        <v>1</v>
      </c>
      <c r="Y3932">
        <v>1</v>
      </c>
      <c r="Z3932">
        <v>1</v>
      </c>
      <c r="AA3932">
        <v>1</v>
      </c>
      <c r="AB3932">
        <v>1</v>
      </c>
    </row>
    <row r="3933" spans="1:28" x14ac:dyDescent="0.25">
      <c r="A3933" t="str">
        <f>"3929"</f>
        <v>3929</v>
      </c>
      <c r="B3933" t="str">
        <f t="shared" si="224"/>
        <v>1</v>
      </c>
      <c r="C3933" t="str">
        <f t="shared" si="226"/>
        <v>171</v>
      </c>
      <c r="D3933" t="str">
        <f>"12"</f>
        <v>12</v>
      </c>
      <c r="E3933" t="str">
        <f>"1-171-12"</f>
        <v>1-171-12</v>
      </c>
      <c r="F3933" t="s">
        <v>83</v>
      </c>
      <c r="G3933" t="s">
        <v>84</v>
      </c>
      <c r="H3933" t="s">
        <v>92</v>
      </c>
      <c r="I3933">
        <v>1</v>
      </c>
      <c r="J3933">
        <v>1</v>
      </c>
      <c r="N3933">
        <v>1</v>
      </c>
      <c r="O3933">
        <v>1</v>
      </c>
      <c r="P3933">
        <v>1</v>
      </c>
      <c r="Q3933">
        <v>1</v>
      </c>
      <c r="R3933">
        <v>1</v>
      </c>
      <c r="S3933">
        <v>1</v>
      </c>
      <c r="T3933">
        <v>1</v>
      </c>
      <c r="W3933">
        <v>1</v>
      </c>
      <c r="X3933">
        <v>1</v>
      </c>
      <c r="Y3933">
        <v>1</v>
      </c>
      <c r="Z3933">
        <v>1</v>
      </c>
      <c r="AA3933">
        <v>1</v>
      </c>
      <c r="AB3933">
        <v>1</v>
      </c>
    </row>
    <row r="3934" spans="1:28" x14ac:dyDescent="0.25">
      <c r="A3934" t="str">
        <f>"3930"</f>
        <v>3930</v>
      </c>
      <c r="B3934" t="str">
        <f t="shared" ref="B3934:B3997" si="227">"1"</f>
        <v>1</v>
      </c>
      <c r="C3934" t="str">
        <f t="shared" si="226"/>
        <v>171</v>
      </c>
      <c r="D3934" t="str">
        <f>"3"</f>
        <v>3</v>
      </c>
      <c r="E3934" t="str">
        <f>"1-171-3"</f>
        <v>1-171-3</v>
      </c>
      <c r="F3934" t="s">
        <v>83</v>
      </c>
      <c r="G3934" t="s">
        <v>84</v>
      </c>
      <c r="H3934" t="s">
        <v>92</v>
      </c>
      <c r="I3934">
        <v>1</v>
      </c>
      <c r="J3934">
        <v>1</v>
      </c>
      <c r="N3934">
        <v>1</v>
      </c>
      <c r="O3934">
        <v>1</v>
      </c>
      <c r="P3934">
        <v>1</v>
      </c>
      <c r="Q3934">
        <v>1</v>
      </c>
      <c r="R3934">
        <v>0</v>
      </c>
      <c r="S3934">
        <v>1</v>
      </c>
      <c r="T3934">
        <v>1</v>
      </c>
      <c r="W3934">
        <v>0</v>
      </c>
      <c r="X3934">
        <v>1</v>
      </c>
      <c r="Y3934">
        <v>1</v>
      </c>
      <c r="Z3934">
        <v>1</v>
      </c>
      <c r="AA3934">
        <v>0</v>
      </c>
      <c r="AB3934">
        <v>0</v>
      </c>
    </row>
    <row r="3935" spans="1:28" x14ac:dyDescent="0.25">
      <c r="A3935" t="str">
        <f>"3931"</f>
        <v>3931</v>
      </c>
      <c r="B3935" t="str">
        <f t="shared" si="227"/>
        <v>1</v>
      </c>
      <c r="C3935" t="str">
        <f t="shared" si="226"/>
        <v>171</v>
      </c>
      <c r="D3935" t="str">
        <f>"21"</f>
        <v>21</v>
      </c>
      <c r="E3935" t="str">
        <f>"1-171-21"</f>
        <v>1-171-21</v>
      </c>
      <c r="F3935" t="s">
        <v>83</v>
      </c>
      <c r="G3935" t="s">
        <v>84</v>
      </c>
      <c r="H3935" t="s">
        <v>92</v>
      </c>
      <c r="I3935">
        <v>1</v>
      </c>
      <c r="J3935">
        <v>1</v>
      </c>
      <c r="N3935">
        <v>1</v>
      </c>
      <c r="O3935">
        <v>1</v>
      </c>
      <c r="P3935">
        <v>1</v>
      </c>
      <c r="Q3935">
        <v>1</v>
      </c>
      <c r="R3935">
        <v>1</v>
      </c>
      <c r="S3935">
        <v>1</v>
      </c>
      <c r="T3935">
        <v>1</v>
      </c>
      <c r="W3935">
        <v>1</v>
      </c>
      <c r="X3935">
        <v>1</v>
      </c>
      <c r="Y3935">
        <v>1</v>
      </c>
      <c r="Z3935">
        <v>1</v>
      </c>
      <c r="AA3935">
        <v>1</v>
      </c>
      <c r="AB3935">
        <v>1</v>
      </c>
    </row>
    <row r="3936" spans="1:28" x14ac:dyDescent="0.25">
      <c r="A3936" t="str">
        <f>"3932"</f>
        <v>3932</v>
      </c>
      <c r="B3936" t="str">
        <f t="shared" si="227"/>
        <v>1</v>
      </c>
      <c r="C3936" t="str">
        <f t="shared" si="226"/>
        <v>171</v>
      </c>
      <c r="D3936" t="str">
        <f>"13"</f>
        <v>13</v>
      </c>
      <c r="E3936" t="str">
        <f>"1-171-13"</f>
        <v>1-171-13</v>
      </c>
      <c r="F3936" t="s">
        <v>83</v>
      </c>
      <c r="G3936" t="s">
        <v>84</v>
      </c>
      <c r="H3936" t="s">
        <v>92</v>
      </c>
      <c r="I3936">
        <v>1</v>
      </c>
      <c r="J3936">
        <v>1</v>
      </c>
      <c r="N3936">
        <v>1</v>
      </c>
      <c r="O3936">
        <v>1</v>
      </c>
      <c r="P3936">
        <v>1</v>
      </c>
      <c r="Q3936">
        <v>1</v>
      </c>
      <c r="R3936">
        <v>1</v>
      </c>
      <c r="S3936">
        <v>1</v>
      </c>
      <c r="T3936">
        <v>1</v>
      </c>
      <c r="W3936">
        <v>1</v>
      </c>
      <c r="X3936">
        <v>1</v>
      </c>
      <c r="Y3936">
        <v>1</v>
      </c>
      <c r="Z3936">
        <v>1</v>
      </c>
      <c r="AA3936">
        <v>1</v>
      </c>
      <c r="AB3936">
        <v>1</v>
      </c>
    </row>
    <row r="3937" spans="1:28" x14ac:dyDescent="0.25">
      <c r="A3937" t="str">
        <f>"3933"</f>
        <v>3933</v>
      </c>
      <c r="B3937" t="str">
        <f t="shared" si="227"/>
        <v>1</v>
      </c>
      <c r="C3937" t="str">
        <f t="shared" si="226"/>
        <v>171</v>
      </c>
      <c r="D3937" t="str">
        <f>"7"</f>
        <v>7</v>
      </c>
      <c r="E3937" t="str">
        <f>"1-171-7"</f>
        <v>1-171-7</v>
      </c>
      <c r="F3937" t="s">
        <v>83</v>
      </c>
      <c r="G3937" t="s">
        <v>84</v>
      </c>
      <c r="H3937" t="s">
        <v>92</v>
      </c>
      <c r="I3937">
        <v>1</v>
      </c>
      <c r="J3937">
        <v>1</v>
      </c>
      <c r="N3937">
        <v>1</v>
      </c>
      <c r="O3937">
        <v>1</v>
      </c>
      <c r="P3937">
        <v>1</v>
      </c>
      <c r="Q3937">
        <v>1</v>
      </c>
      <c r="R3937">
        <v>1</v>
      </c>
      <c r="S3937">
        <v>1</v>
      </c>
      <c r="T3937">
        <v>1</v>
      </c>
      <c r="W3937">
        <v>1</v>
      </c>
      <c r="X3937">
        <v>1</v>
      </c>
      <c r="Y3937">
        <v>1</v>
      </c>
      <c r="Z3937">
        <v>1</v>
      </c>
      <c r="AA3937">
        <v>1</v>
      </c>
      <c r="AB3937">
        <v>1</v>
      </c>
    </row>
    <row r="3938" spans="1:28" x14ac:dyDescent="0.25">
      <c r="A3938" t="str">
        <f>"3934"</f>
        <v>3934</v>
      </c>
      <c r="B3938" t="str">
        <f t="shared" si="227"/>
        <v>1</v>
      </c>
      <c r="C3938" t="str">
        <f t="shared" si="226"/>
        <v>171</v>
      </c>
      <c r="D3938" t="str">
        <f>"18"</f>
        <v>18</v>
      </c>
      <c r="E3938" t="str">
        <f>"1-171-18"</f>
        <v>1-171-18</v>
      </c>
      <c r="F3938" t="s">
        <v>83</v>
      </c>
      <c r="G3938" t="s">
        <v>84</v>
      </c>
      <c r="H3938" t="s">
        <v>92</v>
      </c>
      <c r="I3938">
        <v>1</v>
      </c>
      <c r="J3938">
        <v>1</v>
      </c>
      <c r="N3938">
        <v>1</v>
      </c>
      <c r="O3938">
        <v>1</v>
      </c>
      <c r="P3938">
        <v>1</v>
      </c>
      <c r="Q3938">
        <v>1</v>
      </c>
      <c r="R3938">
        <v>1</v>
      </c>
      <c r="S3938">
        <v>1</v>
      </c>
      <c r="T3938">
        <v>1</v>
      </c>
      <c r="W3938">
        <v>1</v>
      </c>
      <c r="X3938">
        <v>1</v>
      </c>
      <c r="Y3938">
        <v>1</v>
      </c>
      <c r="Z3938">
        <v>1</v>
      </c>
      <c r="AA3938">
        <v>1</v>
      </c>
      <c r="AB3938">
        <v>1</v>
      </c>
    </row>
    <row r="3939" spans="1:28" x14ac:dyDescent="0.25">
      <c r="A3939" t="str">
        <f>"3935"</f>
        <v>3935</v>
      </c>
      <c r="B3939" t="str">
        <f t="shared" si="227"/>
        <v>1</v>
      </c>
      <c r="C3939" t="str">
        <f t="shared" si="226"/>
        <v>171</v>
      </c>
      <c r="D3939" t="str">
        <f>"4"</f>
        <v>4</v>
      </c>
      <c r="E3939" t="str">
        <f>"1-171-4"</f>
        <v>1-171-4</v>
      </c>
      <c r="F3939" t="s">
        <v>83</v>
      </c>
      <c r="G3939" t="s">
        <v>84</v>
      </c>
      <c r="H3939" t="s">
        <v>92</v>
      </c>
      <c r="I3939">
        <v>1</v>
      </c>
      <c r="J3939">
        <v>1</v>
      </c>
      <c r="N3939">
        <v>1</v>
      </c>
      <c r="O3939">
        <v>1</v>
      </c>
      <c r="P3939">
        <v>1</v>
      </c>
      <c r="Q3939">
        <v>1</v>
      </c>
      <c r="R3939">
        <v>1</v>
      </c>
      <c r="S3939">
        <v>1</v>
      </c>
      <c r="T3939">
        <v>1</v>
      </c>
      <c r="W3939">
        <v>1</v>
      </c>
      <c r="X3939">
        <v>1</v>
      </c>
      <c r="Y3939">
        <v>1</v>
      </c>
      <c r="Z3939">
        <v>1</v>
      </c>
      <c r="AA3939">
        <v>1</v>
      </c>
      <c r="AB3939">
        <v>1</v>
      </c>
    </row>
    <row r="3940" spans="1:28" x14ac:dyDescent="0.25">
      <c r="A3940" t="str">
        <f>"3936"</f>
        <v>3936</v>
      </c>
      <c r="B3940" t="str">
        <f t="shared" si="227"/>
        <v>1</v>
      </c>
      <c r="C3940" t="str">
        <f t="shared" si="226"/>
        <v>171</v>
      </c>
      <c r="D3940" t="str">
        <f>"19"</f>
        <v>19</v>
      </c>
      <c r="E3940" t="str">
        <f>"1-171-19"</f>
        <v>1-171-19</v>
      </c>
      <c r="F3940" t="s">
        <v>83</v>
      </c>
      <c r="G3940" t="s">
        <v>84</v>
      </c>
      <c r="H3940" t="s">
        <v>92</v>
      </c>
      <c r="I3940">
        <v>1</v>
      </c>
      <c r="J3940">
        <v>1</v>
      </c>
      <c r="N3940">
        <v>1</v>
      </c>
      <c r="O3940">
        <v>1</v>
      </c>
      <c r="P3940">
        <v>1</v>
      </c>
      <c r="Q3940">
        <v>1</v>
      </c>
      <c r="R3940">
        <v>1</v>
      </c>
      <c r="S3940">
        <v>1</v>
      </c>
      <c r="T3940">
        <v>1</v>
      </c>
      <c r="W3940">
        <v>1</v>
      </c>
      <c r="X3940">
        <v>1</v>
      </c>
      <c r="Y3940">
        <v>1</v>
      </c>
      <c r="Z3940">
        <v>1</v>
      </c>
      <c r="AA3940">
        <v>1</v>
      </c>
      <c r="AB3940">
        <v>1</v>
      </c>
    </row>
    <row r="3941" spans="1:28" x14ac:dyDescent="0.25">
      <c r="A3941" t="str">
        <f>"3937"</f>
        <v>3937</v>
      </c>
      <c r="B3941" t="str">
        <f t="shared" si="227"/>
        <v>1</v>
      </c>
      <c r="C3941" t="str">
        <f t="shared" si="226"/>
        <v>171</v>
      </c>
      <c r="D3941" t="str">
        <f>"5"</f>
        <v>5</v>
      </c>
      <c r="E3941" t="str">
        <f>"1-171-5"</f>
        <v>1-171-5</v>
      </c>
      <c r="F3941" t="s">
        <v>83</v>
      </c>
      <c r="G3941" t="s">
        <v>84</v>
      </c>
      <c r="H3941" t="s">
        <v>92</v>
      </c>
      <c r="I3941">
        <v>1</v>
      </c>
      <c r="J3941">
        <v>1</v>
      </c>
      <c r="N3941">
        <v>1</v>
      </c>
      <c r="O3941">
        <v>1</v>
      </c>
      <c r="P3941">
        <v>1</v>
      </c>
      <c r="Q3941">
        <v>1</v>
      </c>
      <c r="R3941">
        <v>1</v>
      </c>
      <c r="S3941">
        <v>1</v>
      </c>
      <c r="T3941">
        <v>1</v>
      </c>
      <c r="W3941">
        <v>1</v>
      </c>
      <c r="X3941">
        <v>1</v>
      </c>
      <c r="Y3941">
        <v>1</v>
      </c>
      <c r="Z3941">
        <v>1</v>
      </c>
      <c r="AA3941">
        <v>1</v>
      </c>
      <c r="AB3941">
        <v>1</v>
      </c>
    </row>
    <row r="3942" spans="1:28" x14ac:dyDescent="0.25">
      <c r="A3942" t="str">
        <f>"3938"</f>
        <v>3938</v>
      </c>
      <c r="B3942" t="str">
        <f t="shared" si="227"/>
        <v>1</v>
      </c>
      <c r="C3942" t="str">
        <f t="shared" ref="C3942:C3966" si="228">"172"</f>
        <v>172</v>
      </c>
      <c r="D3942" t="str">
        <f>"23"</f>
        <v>23</v>
      </c>
      <c r="E3942" t="str">
        <f>"1-172-23"</f>
        <v>1-172-23</v>
      </c>
      <c r="F3942" t="s">
        <v>83</v>
      </c>
      <c r="G3942" t="s">
        <v>84</v>
      </c>
      <c r="H3942" t="s">
        <v>92</v>
      </c>
      <c r="I3942">
        <v>1</v>
      </c>
      <c r="J3942">
        <v>1</v>
      </c>
      <c r="N3942">
        <v>1</v>
      </c>
      <c r="O3942">
        <v>1</v>
      </c>
      <c r="P3942">
        <v>1</v>
      </c>
      <c r="Q3942">
        <v>1</v>
      </c>
      <c r="R3942">
        <v>1</v>
      </c>
      <c r="S3942">
        <v>1</v>
      </c>
      <c r="T3942">
        <v>1</v>
      </c>
      <c r="W3942">
        <v>1</v>
      </c>
      <c r="X3942">
        <v>1</v>
      </c>
      <c r="Y3942">
        <v>1</v>
      </c>
      <c r="Z3942">
        <v>1</v>
      </c>
      <c r="AA3942">
        <v>1</v>
      </c>
      <c r="AB3942">
        <v>1</v>
      </c>
    </row>
    <row r="3943" spans="1:28" x14ac:dyDescent="0.25">
      <c r="A3943" t="str">
        <f>"3939"</f>
        <v>3939</v>
      </c>
      <c r="B3943" t="str">
        <f t="shared" si="227"/>
        <v>1</v>
      </c>
      <c r="C3943" t="str">
        <f t="shared" si="228"/>
        <v>172</v>
      </c>
      <c r="D3943" t="str">
        <f>"22"</f>
        <v>22</v>
      </c>
      <c r="E3943" t="str">
        <f>"1-172-22"</f>
        <v>1-172-22</v>
      </c>
      <c r="F3943" t="s">
        <v>83</v>
      </c>
      <c r="G3943" t="s">
        <v>86</v>
      </c>
      <c r="H3943" t="s">
        <v>93</v>
      </c>
      <c r="I3943">
        <v>1</v>
      </c>
      <c r="K3943">
        <v>1</v>
      </c>
      <c r="L3943">
        <v>0</v>
      </c>
      <c r="M3943">
        <v>0</v>
      </c>
      <c r="N3943">
        <v>1</v>
      </c>
      <c r="O3943">
        <v>1</v>
      </c>
      <c r="P3943">
        <v>1</v>
      </c>
      <c r="Q3943">
        <v>1</v>
      </c>
      <c r="R3943">
        <v>1</v>
      </c>
      <c r="U3943">
        <v>0</v>
      </c>
      <c r="V3943">
        <v>1</v>
      </c>
      <c r="W3943">
        <v>1</v>
      </c>
      <c r="X3943">
        <v>1</v>
      </c>
      <c r="Y3943">
        <v>1</v>
      </c>
      <c r="Z3943">
        <v>1</v>
      </c>
      <c r="AA3943">
        <v>1</v>
      </c>
      <c r="AB3943">
        <v>0</v>
      </c>
    </row>
    <row r="3944" spans="1:28" x14ac:dyDescent="0.25">
      <c r="A3944" t="str">
        <f>"3940"</f>
        <v>3940</v>
      </c>
      <c r="B3944" t="str">
        <f t="shared" si="227"/>
        <v>1</v>
      </c>
      <c r="C3944" t="str">
        <f t="shared" si="228"/>
        <v>172</v>
      </c>
      <c r="D3944" t="str">
        <f>"17"</f>
        <v>17</v>
      </c>
      <c r="E3944" t="str">
        <f>"1-172-17"</f>
        <v>1-172-17</v>
      </c>
      <c r="F3944" t="s">
        <v>83</v>
      </c>
      <c r="G3944" t="s">
        <v>84</v>
      </c>
      <c r="H3944" t="s">
        <v>92</v>
      </c>
      <c r="I3944">
        <v>1</v>
      </c>
      <c r="J3944">
        <v>1</v>
      </c>
      <c r="N3944">
        <v>1</v>
      </c>
      <c r="O3944">
        <v>1</v>
      </c>
      <c r="P3944">
        <v>1</v>
      </c>
      <c r="Q3944">
        <v>1</v>
      </c>
      <c r="R3944">
        <v>1</v>
      </c>
      <c r="S3944">
        <v>1</v>
      </c>
      <c r="T3944">
        <v>1</v>
      </c>
      <c r="W3944">
        <v>1</v>
      </c>
      <c r="X3944">
        <v>1</v>
      </c>
      <c r="Y3944">
        <v>1</v>
      </c>
      <c r="Z3944">
        <v>1</v>
      </c>
      <c r="AA3944">
        <v>1</v>
      </c>
      <c r="AB3944">
        <v>1</v>
      </c>
    </row>
    <row r="3945" spans="1:28" x14ac:dyDescent="0.25">
      <c r="A3945" t="str">
        <f>"3941"</f>
        <v>3941</v>
      </c>
      <c r="B3945" t="str">
        <f t="shared" si="227"/>
        <v>1</v>
      </c>
      <c r="C3945" t="str">
        <f t="shared" si="228"/>
        <v>172</v>
      </c>
      <c r="D3945" t="str">
        <f>"8"</f>
        <v>8</v>
      </c>
      <c r="E3945" t="str">
        <f>"1-172-8"</f>
        <v>1-172-8</v>
      </c>
      <c r="F3945" t="s">
        <v>83</v>
      </c>
      <c r="G3945" t="s">
        <v>84</v>
      </c>
      <c r="H3945" t="s">
        <v>92</v>
      </c>
      <c r="I3945">
        <v>1</v>
      </c>
      <c r="J3945">
        <v>1</v>
      </c>
      <c r="N3945">
        <v>1</v>
      </c>
      <c r="O3945">
        <v>1</v>
      </c>
      <c r="P3945">
        <v>1</v>
      </c>
      <c r="Q3945">
        <v>1</v>
      </c>
      <c r="R3945">
        <v>1</v>
      </c>
      <c r="S3945">
        <v>1</v>
      </c>
      <c r="T3945">
        <v>1</v>
      </c>
      <c r="W3945">
        <v>1</v>
      </c>
      <c r="X3945">
        <v>1</v>
      </c>
      <c r="Y3945">
        <v>1</v>
      </c>
      <c r="Z3945">
        <v>1</v>
      </c>
      <c r="AA3945">
        <v>1</v>
      </c>
      <c r="AB3945">
        <v>1</v>
      </c>
    </row>
    <row r="3946" spans="1:28" x14ac:dyDescent="0.25">
      <c r="A3946" t="str">
        <f>"3942"</f>
        <v>3942</v>
      </c>
      <c r="B3946" t="str">
        <f t="shared" si="227"/>
        <v>1</v>
      </c>
      <c r="C3946" t="str">
        <f t="shared" si="228"/>
        <v>172</v>
      </c>
      <c r="D3946" t="str">
        <f>"5"</f>
        <v>5</v>
      </c>
      <c r="E3946" t="str">
        <f>"1-172-5"</f>
        <v>1-172-5</v>
      </c>
      <c r="F3946" t="s">
        <v>83</v>
      </c>
      <c r="G3946" t="s">
        <v>84</v>
      </c>
      <c r="H3946" t="s">
        <v>92</v>
      </c>
      <c r="I3946">
        <v>1</v>
      </c>
      <c r="J3946">
        <v>1</v>
      </c>
      <c r="N3946">
        <v>1</v>
      </c>
      <c r="O3946">
        <v>1</v>
      </c>
      <c r="P3946">
        <v>1</v>
      </c>
      <c r="Q3946">
        <v>1</v>
      </c>
      <c r="R3946">
        <v>1</v>
      </c>
      <c r="S3946">
        <v>1</v>
      </c>
      <c r="T3946">
        <v>1</v>
      </c>
      <c r="W3946">
        <v>1</v>
      </c>
      <c r="X3946">
        <v>1</v>
      </c>
      <c r="Y3946">
        <v>1</v>
      </c>
      <c r="Z3946">
        <v>1</v>
      </c>
      <c r="AA3946">
        <v>1</v>
      </c>
      <c r="AB3946">
        <v>1</v>
      </c>
    </row>
    <row r="3947" spans="1:28" x14ac:dyDescent="0.25">
      <c r="A3947" t="str">
        <f>"3943"</f>
        <v>3943</v>
      </c>
      <c r="B3947" t="str">
        <f t="shared" si="227"/>
        <v>1</v>
      </c>
      <c r="C3947" t="str">
        <f t="shared" si="228"/>
        <v>172</v>
      </c>
      <c r="D3947" t="str">
        <f>"25"</f>
        <v>25</v>
      </c>
      <c r="E3947" t="str">
        <f>"1-172-25"</f>
        <v>1-172-25</v>
      </c>
      <c r="F3947" t="s">
        <v>83</v>
      </c>
      <c r="G3947" t="s">
        <v>86</v>
      </c>
      <c r="H3947" t="s">
        <v>93</v>
      </c>
      <c r="I3947">
        <v>1</v>
      </c>
      <c r="K3947">
        <v>0</v>
      </c>
      <c r="L3947">
        <v>1</v>
      </c>
      <c r="M3947">
        <v>0</v>
      </c>
      <c r="N3947">
        <v>1</v>
      </c>
      <c r="O3947">
        <v>1</v>
      </c>
      <c r="P3947">
        <v>1</v>
      </c>
      <c r="Q3947">
        <v>1</v>
      </c>
      <c r="R3947">
        <v>1</v>
      </c>
      <c r="U3947">
        <v>0</v>
      </c>
      <c r="V3947">
        <v>1</v>
      </c>
      <c r="W3947">
        <v>1</v>
      </c>
      <c r="X3947">
        <v>1</v>
      </c>
      <c r="Y3947">
        <v>1</v>
      </c>
      <c r="Z3947">
        <v>1</v>
      </c>
      <c r="AA3947">
        <v>1</v>
      </c>
      <c r="AB3947">
        <v>1</v>
      </c>
    </row>
    <row r="3948" spans="1:28" x14ac:dyDescent="0.25">
      <c r="A3948" t="str">
        <f>"3944"</f>
        <v>3944</v>
      </c>
      <c r="B3948" t="str">
        <f t="shared" si="227"/>
        <v>1</v>
      </c>
      <c r="C3948" t="str">
        <f t="shared" si="228"/>
        <v>172</v>
      </c>
      <c r="D3948" t="str">
        <f>"24"</f>
        <v>24</v>
      </c>
      <c r="E3948" t="str">
        <f>"1-172-24"</f>
        <v>1-172-24</v>
      </c>
      <c r="F3948" t="s">
        <v>83</v>
      </c>
      <c r="G3948" t="s">
        <v>86</v>
      </c>
      <c r="H3948" t="s">
        <v>93</v>
      </c>
      <c r="I3948">
        <v>0</v>
      </c>
      <c r="K3948">
        <v>1</v>
      </c>
      <c r="L3948">
        <v>0</v>
      </c>
      <c r="M3948">
        <v>0</v>
      </c>
      <c r="N3948">
        <v>1</v>
      </c>
      <c r="O3948">
        <v>1</v>
      </c>
      <c r="P3948">
        <v>1</v>
      </c>
      <c r="Q3948">
        <v>1</v>
      </c>
      <c r="R3948">
        <v>1</v>
      </c>
      <c r="U3948">
        <v>1</v>
      </c>
      <c r="V3948">
        <v>0</v>
      </c>
      <c r="W3948">
        <v>1</v>
      </c>
      <c r="X3948">
        <v>1</v>
      </c>
      <c r="Y3948">
        <v>1</v>
      </c>
      <c r="Z3948">
        <v>1</v>
      </c>
      <c r="AA3948">
        <v>1</v>
      </c>
      <c r="AB3948">
        <v>1</v>
      </c>
    </row>
    <row r="3949" spans="1:28" x14ac:dyDescent="0.25">
      <c r="A3949" t="str">
        <f>"3945"</f>
        <v>3945</v>
      </c>
      <c r="B3949" t="str">
        <f t="shared" si="227"/>
        <v>1</v>
      </c>
      <c r="C3949" t="str">
        <f t="shared" si="228"/>
        <v>172</v>
      </c>
      <c r="D3949" t="str">
        <f>"16"</f>
        <v>16</v>
      </c>
      <c r="E3949" t="str">
        <f>"1-172-16"</f>
        <v>1-172-16</v>
      </c>
      <c r="F3949" t="s">
        <v>83</v>
      </c>
      <c r="G3949" t="s">
        <v>84</v>
      </c>
      <c r="H3949" t="s">
        <v>92</v>
      </c>
      <c r="I3949">
        <v>1</v>
      </c>
      <c r="J3949">
        <v>1</v>
      </c>
      <c r="N3949">
        <v>1</v>
      </c>
      <c r="O3949">
        <v>1</v>
      </c>
      <c r="P3949">
        <v>1</v>
      </c>
      <c r="Q3949">
        <v>1</v>
      </c>
      <c r="R3949">
        <v>1</v>
      </c>
      <c r="S3949">
        <v>1</v>
      </c>
      <c r="T3949">
        <v>1</v>
      </c>
      <c r="W3949">
        <v>1</v>
      </c>
      <c r="X3949">
        <v>1</v>
      </c>
      <c r="Y3949">
        <v>1</v>
      </c>
      <c r="Z3949">
        <v>1</v>
      </c>
      <c r="AA3949">
        <v>1</v>
      </c>
      <c r="AB3949">
        <v>1</v>
      </c>
    </row>
    <row r="3950" spans="1:28" x14ac:dyDescent="0.25">
      <c r="A3950" t="str">
        <f>"3946"</f>
        <v>3946</v>
      </c>
      <c r="B3950" t="str">
        <f t="shared" si="227"/>
        <v>1</v>
      </c>
      <c r="C3950" t="str">
        <f t="shared" si="228"/>
        <v>172</v>
      </c>
      <c r="D3950" t="str">
        <f>"9"</f>
        <v>9</v>
      </c>
      <c r="E3950" t="str">
        <f>"1-172-9"</f>
        <v>1-172-9</v>
      </c>
      <c r="F3950" t="s">
        <v>83</v>
      </c>
      <c r="G3950" t="s">
        <v>84</v>
      </c>
      <c r="H3950" t="s">
        <v>92</v>
      </c>
      <c r="I3950">
        <v>1</v>
      </c>
      <c r="J3950">
        <v>1</v>
      </c>
      <c r="N3950">
        <v>1</v>
      </c>
      <c r="O3950">
        <v>1</v>
      </c>
      <c r="P3950">
        <v>1</v>
      </c>
      <c r="Q3950">
        <v>1</v>
      </c>
      <c r="R3950">
        <v>0</v>
      </c>
      <c r="S3950">
        <v>0</v>
      </c>
      <c r="T3950">
        <v>0</v>
      </c>
      <c r="W3950">
        <v>0</v>
      </c>
      <c r="X3950">
        <v>1</v>
      </c>
      <c r="Y3950">
        <v>1</v>
      </c>
      <c r="Z3950">
        <v>1</v>
      </c>
      <c r="AA3950">
        <v>1</v>
      </c>
      <c r="AB3950">
        <v>1</v>
      </c>
    </row>
    <row r="3951" spans="1:28" x14ac:dyDescent="0.25">
      <c r="A3951" t="str">
        <f>"3947"</f>
        <v>3947</v>
      </c>
      <c r="B3951" t="str">
        <f t="shared" si="227"/>
        <v>1</v>
      </c>
      <c r="C3951" t="str">
        <f t="shared" si="228"/>
        <v>172</v>
      </c>
      <c r="D3951" t="str">
        <f>"4"</f>
        <v>4</v>
      </c>
      <c r="E3951" t="str">
        <f>"1-172-4"</f>
        <v>1-172-4</v>
      </c>
      <c r="F3951" t="s">
        <v>83</v>
      </c>
      <c r="G3951" t="s">
        <v>84</v>
      </c>
      <c r="H3951" t="s">
        <v>92</v>
      </c>
      <c r="I3951">
        <v>1</v>
      </c>
      <c r="J3951">
        <v>0</v>
      </c>
      <c r="N3951">
        <v>1</v>
      </c>
      <c r="O3951">
        <v>0</v>
      </c>
      <c r="P3951">
        <v>0</v>
      </c>
      <c r="Q3951">
        <v>0</v>
      </c>
      <c r="R3951">
        <v>0</v>
      </c>
      <c r="S3951">
        <v>0</v>
      </c>
      <c r="T3951">
        <v>0</v>
      </c>
      <c r="W3951">
        <v>0</v>
      </c>
      <c r="X3951">
        <v>0</v>
      </c>
      <c r="Y3951">
        <v>0</v>
      </c>
      <c r="Z3951">
        <v>0</v>
      </c>
      <c r="AA3951">
        <v>1</v>
      </c>
      <c r="AB3951">
        <v>0</v>
      </c>
    </row>
    <row r="3952" spans="1:28" x14ac:dyDescent="0.25">
      <c r="A3952" t="str">
        <f>"3948"</f>
        <v>3948</v>
      </c>
      <c r="B3952" t="str">
        <f t="shared" si="227"/>
        <v>1</v>
      </c>
      <c r="C3952" t="str">
        <f t="shared" si="228"/>
        <v>172</v>
      </c>
      <c r="D3952" t="str">
        <f>"21"</f>
        <v>21</v>
      </c>
      <c r="E3952" t="str">
        <f>"1-172-21"</f>
        <v>1-172-21</v>
      </c>
      <c r="F3952" t="s">
        <v>83</v>
      </c>
      <c r="G3952" t="s">
        <v>86</v>
      </c>
      <c r="H3952" t="s">
        <v>93</v>
      </c>
      <c r="I3952">
        <v>0</v>
      </c>
      <c r="K3952">
        <v>0</v>
      </c>
      <c r="L3952">
        <v>0</v>
      </c>
      <c r="M3952">
        <v>0</v>
      </c>
      <c r="N3952">
        <v>0</v>
      </c>
      <c r="O3952">
        <v>0</v>
      </c>
      <c r="P3952">
        <v>0</v>
      </c>
      <c r="Q3952">
        <v>0</v>
      </c>
      <c r="R3952">
        <v>0</v>
      </c>
      <c r="U3952">
        <v>0</v>
      </c>
      <c r="V3952">
        <v>1</v>
      </c>
      <c r="W3952">
        <v>1</v>
      </c>
      <c r="X3952">
        <v>1</v>
      </c>
      <c r="Y3952">
        <v>1</v>
      </c>
      <c r="Z3952">
        <v>0</v>
      </c>
      <c r="AA3952">
        <v>0</v>
      </c>
      <c r="AB3952">
        <v>0</v>
      </c>
    </row>
    <row r="3953" spans="1:49" x14ac:dyDescent="0.25">
      <c r="A3953" t="str">
        <f>"3949"</f>
        <v>3949</v>
      </c>
      <c r="B3953" t="str">
        <f t="shared" si="227"/>
        <v>1</v>
      </c>
      <c r="C3953" t="str">
        <f t="shared" si="228"/>
        <v>172</v>
      </c>
      <c r="D3953" t="str">
        <f>"20"</f>
        <v>20</v>
      </c>
      <c r="E3953" t="str">
        <f>"1-172-20"</f>
        <v>1-172-20</v>
      </c>
      <c r="F3953" t="s">
        <v>83</v>
      </c>
      <c r="G3953" t="s">
        <v>84</v>
      </c>
      <c r="H3953" t="s">
        <v>92</v>
      </c>
      <c r="I3953">
        <v>1</v>
      </c>
      <c r="J3953">
        <v>1</v>
      </c>
      <c r="N3953">
        <v>1</v>
      </c>
      <c r="O3953">
        <v>1</v>
      </c>
      <c r="P3953">
        <v>1</v>
      </c>
      <c r="Q3953">
        <v>1</v>
      </c>
      <c r="R3953">
        <v>1</v>
      </c>
      <c r="S3953">
        <v>1</v>
      </c>
      <c r="T3953">
        <v>1</v>
      </c>
      <c r="W3953">
        <v>1</v>
      </c>
      <c r="X3953">
        <v>1</v>
      </c>
      <c r="Y3953">
        <v>1</v>
      </c>
      <c r="Z3953">
        <v>1</v>
      </c>
      <c r="AA3953">
        <v>1</v>
      </c>
      <c r="AB3953">
        <v>1</v>
      </c>
    </row>
    <row r="3954" spans="1:49" x14ac:dyDescent="0.25">
      <c r="A3954" t="str">
        <f>"3950"</f>
        <v>3950</v>
      </c>
      <c r="B3954" t="str">
        <f t="shared" si="227"/>
        <v>1</v>
      </c>
      <c r="C3954" t="str">
        <f t="shared" si="228"/>
        <v>172</v>
      </c>
      <c r="D3954" t="str">
        <f>"13"</f>
        <v>13</v>
      </c>
      <c r="E3954" t="str">
        <f>"1-172-13"</f>
        <v>1-172-13</v>
      </c>
      <c r="F3954" t="s">
        <v>83</v>
      </c>
      <c r="G3954" t="s">
        <v>86</v>
      </c>
      <c r="H3954" t="s">
        <v>93</v>
      </c>
      <c r="I3954">
        <v>1</v>
      </c>
      <c r="K3954">
        <v>1</v>
      </c>
      <c r="L3954">
        <v>0</v>
      </c>
      <c r="M3954">
        <v>0</v>
      </c>
      <c r="N3954">
        <v>1</v>
      </c>
      <c r="O3954">
        <v>1</v>
      </c>
      <c r="P3954">
        <v>1</v>
      </c>
      <c r="Q3954">
        <v>1</v>
      </c>
      <c r="R3954">
        <v>1</v>
      </c>
      <c r="U3954">
        <v>0</v>
      </c>
      <c r="V3954">
        <v>1</v>
      </c>
      <c r="W3954">
        <v>1</v>
      </c>
      <c r="X3954">
        <v>1</v>
      </c>
      <c r="Y3954">
        <v>1</v>
      </c>
      <c r="Z3954">
        <v>1</v>
      </c>
      <c r="AA3954">
        <v>1</v>
      </c>
      <c r="AB3954">
        <v>1</v>
      </c>
    </row>
    <row r="3955" spans="1:49" x14ac:dyDescent="0.25">
      <c r="A3955" t="str">
        <f>"3951"</f>
        <v>3951</v>
      </c>
      <c r="B3955" t="str">
        <f t="shared" si="227"/>
        <v>1</v>
      </c>
      <c r="C3955" t="str">
        <f t="shared" si="228"/>
        <v>172</v>
      </c>
      <c r="D3955" t="str">
        <f>"10"</f>
        <v>10</v>
      </c>
      <c r="E3955" t="str">
        <f>"1-172-10"</f>
        <v>1-172-10</v>
      </c>
      <c r="F3955" t="s">
        <v>83</v>
      </c>
      <c r="G3955" t="s">
        <v>84</v>
      </c>
      <c r="H3955" t="s">
        <v>92</v>
      </c>
      <c r="I3955">
        <v>1</v>
      </c>
      <c r="J3955">
        <v>1</v>
      </c>
      <c r="N3955">
        <v>1</v>
      </c>
      <c r="O3955">
        <v>1</v>
      </c>
      <c r="P3955">
        <v>1</v>
      </c>
      <c r="Q3955">
        <v>1</v>
      </c>
      <c r="R3955">
        <v>1</v>
      </c>
      <c r="S3955">
        <v>1</v>
      </c>
      <c r="T3955">
        <v>1</v>
      </c>
      <c r="W3955">
        <v>1</v>
      </c>
      <c r="X3955">
        <v>1</v>
      </c>
      <c r="Y3955">
        <v>1</v>
      </c>
      <c r="Z3955">
        <v>1</v>
      </c>
      <c r="AA3955">
        <v>1</v>
      </c>
      <c r="AB3955">
        <v>1</v>
      </c>
    </row>
    <row r="3956" spans="1:49" x14ac:dyDescent="0.25">
      <c r="A3956" t="str">
        <f>"3952"</f>
        <v>3952</v>
      </c>
      <c r="B3956" t="str">
        <f t="shared" si="227"/>
        <v>1</v>
      </c>
      <c r="C3956" t="str">
        <f t="shared" si="228"/>
        <v>172</v>
      </c>
      <c r="D3956" t="str">
        <f>"3"</f>
        <v>3</v>
      </c>
      <c r="E3956" t="str">
        <f>"1-172-3"</f>
        <v>1-172-3</v>
      </c>
      <c r="F3956" t="s">
        <v>83</v>
      </c>
      <c r="G3956" t="s">
        <v>84</v>
      </c>
      <c r="H3956" t="s">
        <v>92</v>
      </c>
      <c r="I3956">
        <v>1</v>
      </c>
      <c r="J3956">
        <v>1</v>
      </c>
      <c r="N3956">
        <v>1</v>
      </c>
      <c r="O3956">
        <v>1</v>
      </c>
      <c r="P3956">
        <v>1</v>
      </c>
      <c r="Q3956">
        <v>1</v>
      </c>
      <c r="R3956">
        <v>1</v>
      </c>
      <c r="S3956">
        <v>1</v>
      </c>
      <c r="T3956">
        <v>1</v>
      </c>
      <c r="W3956">
        <v>1</v>
      </c>
      <c r="X3956">
        <v>1</v>
      </c>
      <c r="Y3956">
        <v>1</v>
      </c>
      <c r="Z3956">
        <v>1</v>
      </c>
      <c r="AA3956">
        <v>1</v>
      </c>
      <c r="AB3956">
        <v>1</v>
      </c>
    </row>
    <row r="3957" spans="1:49" x14ac:dyDescent="0.25">
      <c r="A3957" t="str">
        <f>"3953"</f>
        <v>3953</v>
      </c>
      <c r="B3957" t="str">
        <f t="shared" si="227"/>
        <v>1</v>
      </c>
      <c r="C3957" t="str">
        <f t="shared" si="228"/>
        <v>172</v>
      </c>
      <c r="D3957" t="str">
        <f>"18"</f>
        <v>18</v>
      </c>
      <c r="E3957" t="str">
        <f>"1-172-18"</f>
        <v>1-172-18</v>
      </c>
      <c r="F3957" t="s">
        <v>83</v>
      </c>
      <c r="G3957" t="s">
        <v>86</v>
      </c>
      <c r="H3957" t="s">
        <v>93</v>
      </c>
      <c r="I3957">
        <v>1</v>
      </c>
      <c r="K3957">
        <v>1</v>
      </c>
      <c r="L3957">
        <v>0</v>
      </c>
      <c r="M3957">
        <v>0</v>
      </c>
      <c r="N3957">
        <v>1</v>
      </c>
      <c r="O3957">
        <v>1</v>
      </c>
      <c r="P3957">
        <v>1</v>
      </c>
      <c r="Q3957">
        <v>1</v>
      </c>
      <c r="R3957">
        <v>1</v>
      </c>
      <c r="U3957">
        <v>0</v>
      </c>
      <c r="V3957">
        <v>1</v>
      </c>
      <c r="W3957">
        <v>1</v>
      </c>
      <c r="X3957">
        <v>1</v>
      </c>
      <c r="Y3957">
        <v>1</v>
      </c>
      <c r="Z3957">
        <v>1</v>
      </c>
      <c r="AA3957">
        <v>1</v>
      </c>
      <c r="AB3957">
        <v>1</v>
      </c>
    </row>
    <row r="3958" spans="1:49" x14ac:dyDescent="0.25">
      <c r="A3958" t="str">
        <f>"3954"</f>
        <v>3954</v>
      </c>
      <c r="B3958" t="str">
        <f t="shared" si="227"/>
        <v>1</v>
      </c>
      <c r="C3958" t="str">
        <f t="shared" si="228"/>
        <v>172</v>
      </c>
      <c r="D3958" t="str">
        <f>"11"</f>
        <v>11</v>
      </c>
      <c r="E3958" t="str">
        <f>"1-172-11"</f>
        <v>1-172-11</v>
      </c>
      <c r="F3958" t="s">
        <v>83</v>
      </c>
      <c r="G3958" t="s">
        <v>84</v>
      </c>
      <c r="H3958" t="s">
        <v>92</v>
      </c>
      <c r="I3958">
        <v>1</v>
      </c>
      <c r="J3958">
        <v>1</v>
      </c>
      <c r="N3958">
        <v>1</v>
      </c>
      <c r="O3958">
        <v>1</v>
      </c>
      <c r="P3958">
        <v>1</v>
      </c>
      <c r="Q3958">
        <v>1</v>
      </c>
      <c r="R3958">
        <v>1</v>
      </c>
      <c r="S3958">
        <v>1</v>
      </c>
      <c r="T3958">
        <v>1</v>
      </c>
      <c r="W3958">
        <v>1</v>
      </c>
      <c r="X3958">
        <v>1</v>
      </c>
      <c r="Y3958">
        <v>1</v>
      </c>
      <c r="Z3958">
        <v>1</v>
      </c>
      <c r="AA3958">
        <v>1</v>
      </c>
      <c r="AB3958">
        <v>1</v>
      </c>
    </row>
    <row r="3959" spans="1:49" x14ac:dyDescent="0.25">
      <c r="A3959" t="str">
        <f>"3955"</f>
        <v>3955</v>
      </c>
      <c r="B3959" t="str">
        <f t="shared" si="227"/>
        <v>1</v>
      </c>
      <c r="C3959" t="str">
        <f t="shared" si="228"/>
        <v>172</v>
      </c>
      <c r="D3959" t="str">
        <f>"6"</f>
        <v>6</v>
      </c>
      <c r="E3959" t="str">
        <f>"1-172-6"</f>
        <v>1-172-6</v>
      </c>
      <c r="F3959" t="s">
        <v>83</v>
      </c>
      <c r="G3959" t="s">
        <v>84</v>
      </c>
      <c r="H3959" t="s">
        <v>92</v>
      </c>
      <c r="I3959">
        <v>1</v>
      </c>
      <c r="J3959">
        <v>1</v>
      </c>
      <c r="N3959">
        <v>1</v>
      </c>
      <c r="O3959">
        <v>1</v>
      </c>
      <c r="P3959">
        <v>1</v>
      </c>
      <c r="Q3959">
        <v>1</v>
      </c>
      <c r="R3959">
        <v>1</v>
      </c>
      <c r="S3959">
        <v>1</v>
      </c>
      <c r="T3959">
        <v>1</v>
      </c>
      <c r="W3959">
        <v>1</v>
      </c>
      <c r="X3959">
        <v>1</v>
      </c>
      <c r="Y3959">
        <v>1</v>
      </c>
      <c r="Z3959">
        <v>1</v>
      </c>
      <c r="AA3959">
        <v>1</v>
      </c>
      <c r="AB3959">
        <v>1</v>
      </c>
    </row>
    <row r="3960" spans="1:49" x14ac:dyDescent="0.25">
      <c r="A3960" t="str">
        <f>"3956"</f>
        <v>3956</v>
      </c>
      <c r="B3960" t="str">
        <f t="shared" si="227"/>
        <v>1</v>
      </c>
      <c r="C3960" t="str">
        <f t="shared" si="228"/>
        <v>172</v>
      </c>
      <c r="D3960" t="str">
        <f>"19"</f>
        <v>19</v>
      </c>
      <c r="E3960" t="str">
        <f>"1-172-19"</f>
        <v>1-172-19</v>
      </c>
      <c r="F3960" t="s">
        <v>83</v>
      </c>
      <c r="G3960" t="s">
        <v>84</v>
      </c>
      <c r="H3960" t="s">
        <v>92</v>
      </c>
      <c r="I3960">
        <v>1</v>
      </c>
      <c r="J3960">
        <v>1</v>
      </c>
      <c r="N3960">
        <v>1</v>
      </c>
      <c r="O3960">
        <v>1</v>
      </c>
      <c r="P3960">
        <v>1</v>
      </c>
      <c r="Q3960">
        <v>1</v>
      </c>
      <c r="R3960">
        <v>1</v>
      </c>
      <c r="S3960">
        <v>1</v>
      </c>
      <c r="T3960">
        <v>1</v>
      </c>
      <c r="W3960">
        <v>1</v>
      </c>
      <c r="X3960">
        <v>1</v>
      </c>
      <c r="Y3960">
        <v>1</v>
      </c>
      <c r="Z3960">
        <v>1</v>
      </c>
      <c r="AA3960">
        <v>1</v>
      </c>
      <c r="AB3960">
        <v>1</v>
      </c>
    </row>
    <row r="3961" spans="1:49" x14ac:dyDescent="0.25">
      <c r="A3961" t="str">
        <f>"3957"</f>
        <v>3957</v>
      </c>
      <c r="B3961" t="str">
        <f t="shared" si="227"/>
        <v>1</v>
      </c>
      <c r="C3961" t="str">
        <f t="shared" si="228"/>
        <v>172</v>
      </c>
      <c r="D3961" t="str">
        <f>"12"</f>
        <v>12</v>
      </c>
      <c r="E3961" t="str">
        <f>"1-172-12"</f>
        <v>1-172-12</v>
      </c>
      <c r="F3961" t="s">
        <v>83</v>
      </c>
      <c r="G3961" t="s">
        <v>84</v>
      </c>
      <c r="H3961" t="s">
        <v>92</v>
      </c>
      <c r="I3961">
        <v>0</v>
      </c>
      <c r="J3961">
        <v>1</v>
      </c>
      <c r="N3961">
        <v>1</v>
      </c>
      <c r="O3961">
        <v>0</v>
      </c>
      <c r="P3961">
        <v>1</v>
      </c>
      <c r="Q3961">
        <v>1</v>
      </c>
      <c r="R3961">
        <v>1</v>
      </c>
      <c r="S3961">
        <v>0</v>
      </c>
      <c r="T3961">
        <v>1</v>
      </c>
      <c r="W3961">
        <v>1</v>
      </c>
      <c r="X3961">
        <v>1</v>
      </c>
      <c r="Y3961">
        <v>1</v>
      </c>
      <c r="Z3961">
        <v>1</v>
      </c>
      <c r="AA3961">
        <v>1</v>
      </c>
      <c r="AB3961">
        <v>1</v>
      </c>
    </row>
    <row r="3962" spans="1:49" x14ac:dyDescent="0.25">
      <c r="A3962" t="str">
        <f>"3958"</f>
        <v>3958</v>
      </c>
      <c r="B3962" t="str">
        <f t="shared" si="227"/>
        <v>1</v>
      </c>
      <c r="C3962" t="str">
        <f t="shared" si="228"/>
        <v>172</v>
      </c>
      <c r="D3962" t="str">
        <f>"1"</f>
        <v>1</v>
      </c>
      <c r="E3962" t="str">
        <f>"1-172-1"</f>
        <v>1-172-1</v>
      </c>
      <c r="F3962" t="s">
        <v>83</v>
      </c>
      <c r="G3962" t="s">
        <v>84</v>
      </c>
      <c r="H3962" t="s">
        <v>92</v>
      </c>
      <c r="I3962">
        <v>1</v>
      </c>
      <c r="J3962">
        <v>1</v>
      </c>
      <c r="N3962">
        <v>1</v>
      </c>
      <c r="O3962">
        <v>1</v>
      </c>
      <c r="P3962">
        <v>0</v>
      </c>
      <c r="Q3962">
        <v>1</v>
      </c>
      <c r="R3962">
        <v>1</v>
      </c>
      <c r="S3962">
        <v>1</v>
      </c>
      <c r="T3962">
        <v>1</v>
      </c>
      <c r="W3962">
        <v>1</v>
      </c>
      <c r="X3962">
        <v>1</v>
      </c>
      <c r="Y3962">
        <v>1</v>
      </c>
      <c r="Z3962">
        <v>1</v>
      </c>
      <c r="AA3962">
        <v>1</v>
      </c>
      <c r="AB3962">
        <v>1</v>
      </c>
    </row>
    <row r="3963" spans="1:49" x14ac:dyDescent="0.25">
      <c r="A3963" t="str">
        <f>"3959"</f>
        <v>3959</v>
      </c>
      <c r="B3963" t="str">
        <f t="shared" si="227"/>
        <v>1</v>
      </c>
      <c r="C3963" t="str">
        <f t="shared" si="228"/>
        <v>172</v>
      </c>
      <c r="D3963" t="str">
        <f>"14"</f>
        <v>14</v>
      </c>
      <c r="E3963" t="str">
        <f>"1-172-14"</f>
        <v>1-172-14</v>
      </c>
      <c r="F3963" t="s">
        <v>83</v>
      </c>
      <c r="G3963" t="s">
        <v>84</v>
      </c>
      <c r="H3963" t="s">
        <v>92</v>
      </c>
      <c r="I3963">
        <v>1</v>
      </c>
      <c r="J3963">
        <v>0</v>
      </c>
      <c r="N3963">
        <v>1</v>
      </c>
      <c r="O3963">
        <v>1</v>
      </c>
      <c r="P3963">
        <v>0</v>
      </c>
      <c r="Q3963">
        <v>1</v>
      </c>
      <c r="R3963">
        <v>0</v>
      </c>
      <c r="S3963">
        <v>1</v>
      </c>
      <c r="T3963">
        <v>0</v>
      </c>
      <c r="W3963">
        <v>1</v>
      </c>
      <c r="X3963">
        <v>1</v>
      </c>
      <c r="Y3963">
        <v>1</v>
      </c>
      <c r="Z3963">
        <v>0</v>
      </c>
      <c r="AA3963">
        <v>0</v>
      </c>
      <c r="AB3963">
        <v>0</v>
      </c>
    </row>
    <row r="3964" spans="1:49" x14ac:dyDescent="0.25">
      <c r="A3964" t="str">
        <f>"3960"</f>
        <v>3960</v>
      </c>
      <c r="B3964" t="str">
        <f t="shared" si="227"/>
        <v>1</v>
      </c>
      <c r="C3964" t="str">
        <f t="shared" si="228"/>
        <v>172</v>
      </c>
      <c r="D3964" t="str">
        <f>"7"</f>
        <v>7</v>
      </c>
      <c r="E3964" t="str">
        <f>"1-172-7"</f>
        <v>1-172-7</v>
      </c>
      <c r="F3964" t="s">
        <v>83</v>
      </c>
      <c r="G3964" t="s">
        <v>84</v>
      </c>
      <c r="H3964" t="s">
        <v>92</v>
      </c>
      <c r="I3964">
        <v>1</v>
      </c>
      <c r="J3964">
        <v>1</v>
      </c>
      <c r="N3964">
        <v>1</v>
      </c>
      <c r="O3964">
        <v>1</v>
      </c>
      <c r="P3964">
        <v>1</v>
      </c>
      <c r="Q3964">
        <v>1</v>
      </c>
      <c r="R3964">
        <v>1</v>
      </c>
      <c r="S3964">
        <v>1</v>
      </c>
      <c r="T3964">
        <v>1</v>
      </c>
      <c r="W3964">
        <v>1</v>
      </c>
      <c r="X3964">
        <v>1</v>
      </c>
      <c r="Y3964">
        <v>1</v>
      </c>
      <c r="Z3964">
        <v>1</v>
      </c>
      <c r="AA3964">
        <v>1</v>
      </c>
      <c r="AB3964">
        <v>1</v>
      </c>
    </row>
    <row r="3965" spans="1:49" x14ac:dyDescent="0.25">
      <c r="A3965" t="str">
        <f>"3961"</f>
        <v>3961</v>
      </c>
      <c r="B3965" t="str">
        <f t="shared" si="227"/>
        <v>1</v>
      </c>
      <c r="C3965" t="str">
        <f t="shared" si="228"/>
        <v>172</v>
      </c>
      <c r="D3965" t="str">
        <f>"15"</f>
        <v>15</v>
      </c>
      <c r="E3965" t="str">
        <f>"1-172-15"</f>
        <v>1-172-15</v>
      </c>
      <c r="F3965" t="s">
        <v>83</v>
      </c>
      <c r="G3965" t="s">
        <v>84</v>
      </c>
      <c r="H3965" t="s">
        <v>92</v>
      </c>
      <c r="I3965">
        <v>1</v>
      </c>
      <c r="J3965">
        <v>1</v>
      </c>
      <c r="N3965">
        <v>1</v>
      </c>
      <c r="O3965">
        <v>1</v>
      </c>
      <c r="P3965">
        <v>1</v>
      </c>
      <c r="Q3965">
        <v>1</v>
      </c>
      <c r="R3965">
        <v>1</v>
      </c>
      <c r="S3965">
        <v>1</v>
      </c>
      <c r="T3965">
        <v>1</v>
      </c>
      <c r="W3965">
        <v>1</v>
      </c>
      <c r="X3965">
        <v>1</v>
      </c>
      <c r="Y3965">
        <v>1</v>
      </c>
      <c r="Z3965">
        <v>1</v>
      </c>
      <c r="AA3965">
        <v>1</v>
      </c>
      <c r="AB3965">
        <v>1</v>
      </c>
    </row>
    <row r="3966" spans="1:49" x14ac:dyDescent="0.25">
      <c r="A3966" t="str">
        <f>"3962"</f>
        <v>3962</v>
      </c>
      <c r="B3966" t="str">
        <f t="shared" si="227"/>
        <v>1</v>
      </c>
      <c r="C3966" t="str">
        <f t="shared" si="228"/>
        <v>172</v>
      </c>
      <c r="D3966" t="str">
        <f>"2"</f>
        <v>2</v>
      </c>
      <c r="E3966" t="str">
        <f>"1-172-2"</f>
        <v>1-172-2</v>
      </c>
      <c r="F3966" t="s">
        <v>83</v>
      </c>
      <c r="G3966" t="s">
        <v>86</v>
      </c>
      <c r="H3966" t="s">
        <v>93</v>
      </c>
      <c r="I3966">
        <v>1</v>
      </c>
      <c r="K3966">
        <v>1</v>
      </c>
      <c r="L3966">
        <v>0</v>
      </c>
      <c r="M3966">
        <v>0</v>
      </c>
      <c r="N3966">
        <v>1</v>
      </c>
      <c r="O3966">
        <v>1</v>
      </c>
      <c r="P3966">
        <v>1</v>
      </c>
      <c r="Q3966">
        <v>1</v>
      </c>
      <c r="R3966">
        <v>1</v>
      </c>
      <c r="U3966">
        <v>0</v>
      </c>
      <c r="V3966">
        <v>1</v>
      </c>
      <c r="W3966">
        <v>1</v>
      </c>
      <c r="X3966">
        <v>1</v>
      </c>
      <c r="Y3966">
        <v>1</v>
      </c>
      <c r="Z3966">
        <v>1</v>
      </c>
      <c r="AA3966">
        <v>1</v>
      </c>
      <c r="AB3966">
        <v>1</v>
      </c>
    </row>
    <row r="3967" spans="1:49" x14ac:dyDescent="0.25">
      <c r="A3967" t="str">
        <f>"3963"</f>
        <v>3963</v>
      </c>
      <c r="B3967" t="str">
        <f t="shared" si="227"/>
        <v>1</v>
      </c>
      <c r="C3967" t="str">
        <f>"173"</f>
        <v>173</v>
      </c>
      <c r="D3967" t="str">
        <f>"2"</f>
        <v>2</v>
      </c>
      <c r="E3967" t="str">
        <f>"1-173-2"</f>
        <v>1-173-2</v>
      </c>
      <c r="F3967" t="s">
        <v>83</v>
      </c>
      <c r="G3967" t="s">
        <v>86</v>
      </c>
      <c r="H3967" t="s">
        <v>87</v>
      </c>
      <c r="AC3967">
        <v>0</v>
      </c>
      <c r="AD3967">
        <v>1</v>
      </c>
      <c r="AE3967">
        <v>0</v>
      </c>
      <c r="AF3967">
        <v>0</v>
      </c>
      <c r="AH3967">
        <v>0</v>
      </c>
      <c r="AI3967">
        <v>1</v>
      </c>
      <c r="AJ3967">
        <v>0</v>
      </c>
      <c r="AK3967">
        <v>1</v>
      </c>
      <c r="AL3967">
        <v>0</v>
      </c>
      <c r="AM3967">
        <v>0</v>
      </c>
      <c r="AN3967">
        <v>0</v>
      </c>
      <c r="AO3967">
        <v>0</v>
      </c>
      <c r="AP3967">
        <v>0</v>
      </c>
      <c r="AQ3967">
        <v>0</v>
      </c>
      <c r="AU3967">
        <v>0</v>
      </c>
      <c r="AV3967">
        <v>0</v>
      </c>
      <c r="AW3967">
        <v>0</v>
      </c>
    </row>
    <row r="3968" spans="1:49" x14ac:dyDescent="0.25">
      <c r="A3968" t="str">
        <f>"3964"</f>
        <v>3964</v>
      </c>
      <c r="B3968" t="str">
        <f t="shared" si="227"/>
        <v>1</v>
      </c>
      <c r="C3968" t="str">
        <f>"173"</f>
        <v>173</v>
      </c>
      <c r="D3968" t="str">
        <f>"1"</f>
        <v>1</v>
      </c>
      <c r="E3968" t="str">
        <f>"1-173-1"</f>
        <v>1-173-1</v>
      </c>
      <c r="F3968" t="s">
        <v>83</v>
      </c>
      <c r="G3968" t="s">
        <v>84</v>
      </c>
      <c r="H3968" t="s">
        <v>92</v>
      </c>
      <c r="I3968">
        <v>1</v>
      </c>
      <c r="J3968">
        <v>1</v>
      </c>
      <c r="N3968">
        <v>1</v>
      </c>
      <c r="O3968">
        <v>1</v>
      </c>
      <c r="P3968">
        <v>1</v>
      </c>
      <c r="Q3968">
        <v>1</v>
      </c>
      <c r="R3968">
        <v>1</v>
      </c>
      <c r="S3968">
        <v>1</v>
      </c>
      <c r="T3968">
        <v>1</v>
      </c>
      <c r="W3968">
        <v>1</v>
      </c>
      <c r="X3968">
        <v>1</v>
      </c>
      <c r="Y3968">
        <v>1</v>
      </c>
      <c r="Z3968">
        <v>1</v>
      </c>
      <c r="AA3968">
        <v>1</v>
      </c>
      <c r="AB3968">
        <v>1</v>
      </c>
    </row>
    <row r="3969" spans="1:49" x14ac:dyDescent="0.25">
      <c r="A3969" t="str">
        <f>"3965"</f>
        <v>3965</v>
      </c>
      <c r="B3969" t="str">
        <f t="shared" si="227"/>
        <v>1</v>
      </c>
      <c r="C3969" t="str">
        <f>"173"</f>
        <v>173</v>
      </c>
      <c r="D3969" t="str">
        <f>"3"</f>
        <v>3</v>
      </c>
      <c r="E3969" t="str">
        <f>"1-173-3"</f>
        <v>1-173-3</v>
      </c>
      <c r="F3969" t="s">
        <v>83</v>
      </c>
      <c r="G3969" t="s">
        <v>90</v>
      </c>
      <c r="H3969" t="s">
        <v>91</v>
      </c>
      <c r="AC3969">
        <v>0</v>
      </c>
      <c r="AD3969">
        <v>1</v>
      </c>
      <c r="AE3969">
        <v>0</v>
      </c>
      <c r="AF3969">
        <v>0</v>
      </c>
      <c r="AH3969">
        <v>1</v>
      </c>
      <c r="AI3969">
        <v>0</v>
      </c>
      <c r="AJ3969">
        <v>0</v>
      </c>
      <c r="AK3969">
        <v>1</v>
      </c>
      <c r="AL3969">
        <v>1</v>
      </c>
      <c r="AM3969">
        <v>0</v>
      </c>
      <c r="AN3969">
        <v>0</v>
      </c>
      <c r="AO3969">
        <v>1</v>
      </c>
      <c r="AP3969">
        <v>1</v>
      </c>
      <c r="AQ3969">
        <v>1</v>
      </c>
      <c r="AR3969">
        <v>1</v>
      </c>
      <c r="AU3969">
        <v>1</v>
      </c>
      <c r="AV3969">
        <v>1</v>
      </c>
      <c r="AW3969">
        <v>1</v>
      </c>
    </row>
    <row r="3970" spans="1:49" x14ac:dyDescent="0.25">
      <c r="A3970" t="str">
        <f>"3966"</f>
        <v>3966</v>
      </c>
      <c r="B3970" t="str">
        <f t="shared" si="227"/>
        <v>1</v>
      </c>
      <c r="C3970" t="str">
        <f t="shared" ref="C3970:C3994" si="229">"174"</f>
        <v>174</v>
      </c>
      <c r="D3970" t="str">
        <f>"23"</f>
        <v>23</v>
      </c>
      <c r="E3970" t="str">
        <f>"1-174-23"</f>
        <v>1-174-23</v>
      </c>
      <c r="F3970" t="s">
        <v>83</v>
      </c>
      <c r="G3970" t="s">
        <v>86</v>
      </c>
      <c r="H3970" t="s">
        <v>87</v>
      </c>
      <c r="AC3970">
        <v>0</v>
      </c>
      <c r="AD3970">
        <v>0</v>
      </c>
      <c r="AE3970">
        <v>0</v>
      </c>
      <c r="AF3970">
        <v>0</v>
      </c>
      <c r="AH3970">
        <v>0</v>
      </c>
      <c r="AI3970">
        <v>1</v>
      </c>
      <c r="AJ3970">
        <v>0</v>
      </c>
      <c r="AK3970">
        <v>0</v>
      </c>
      <c r="AL3970">
        <v>0</v>
      </c>
      <c r="AM3970">
        <v>0</v>
      </c>
      <c r="AN3970">
        <v>0</v>
      </c>
      <c r="AO3970">
        <v>0</v>
      </c>
      <c r="AP3970">
        <v>0</v>
      </c>
      <c r="AQ3970">
        <v>0</v>
      </c>
      <c r="AU3970">
        <v>0</v>
      </c>
      <c r="AV3970">
        <v>0</v>
      </c>
      <c r="AW3970">
        <v>0</v>
      </c>
    </row>
    <row r="3971" spans="1:49" x14ac:dyDescent="0.25">
      <c r="A3971" t="str">
        <f>"3967"</f>
        <v>3967</v>
      </c>
      <c r="B3971" t="str">
        <f t="shared" si="227"/>
        <v>1</v>
      </c>
      <c r="C3971" t="str">
        <f t="shared" si="229"/>
        <v>174</v>
      </c>
      <c r="D3971" t="str">
        <f>"22"</f>
        <v>22</v>
      </c>
      <c r="E3971" t="str">
        <f>"1-174-22"</f>
        <v>1-174-22</v>
      </c>
      <c r="F3971" t="s">
        <v>83</v>
      </c>
      <c r="G3971" t="s">
        <v>86</v>
      </c>
      <c r="H3971" t="s">
        <v>87</v>
      </c>
      <c r="AC3971">
        <v>0</v>
      </c>
      <c r="AD3971">
        <v>0</v>
      </c>
      <c r="AE3971">
        <v>0</v>
      </c>
      <c r="AF3971">
        <v>0</v>
      </c>
      <c r="AH3971">
        <v>0</v>
      </c>
      <c r="AI3971">
        <v>1</v>
      </c>
      <c r="AJ3971">
        <v>0</v>
      </c>
      <c r="AK3971">
        <v>0</v>
      </c>
      <c r="AL3971">
        <v>0</v>
      </c>
      <c r="AM3971">
        <v>0</v>
      </c>
      <c r="AN3971">
        <v>0</v>
      </c>
      <c r="AO3971">
        <v>0</v>
      </c>
      <c r="AP3971">
        <v>0</v>
      </c>
      <c r="AQ3971">
        <v>0</v>
      </c>
      <c r="AU3971">
        <v>0</v>
      </c>
      <c r="AV3971">
        <v>0</v>
      </c>
      <c r="AW3971">
        <v>0</v>
      </c>
    </row>
    <row r="3972" spans="1:49" x14ac:dyDescent="0.25">
      <c r="A3972" t="str">
        <f>"3968"</f>
        <v>3968</v>
      </c>
      <c r="B3972" t="str">
        <f t="shared" si="227"/>
        <v>1</v>
      </c>
      <c r="C3972" t="str">
        <f t="shared" si="229"/>
        <v>174</v>
      </c>
      <c r="D3972" t="str">
        <f>"15"</f>
        <v>15</v>
      </c>
      <c r="E3972" t="str">
        <f>"1-174-15"</f>
        <v>1-174-15</v>
      </c>
      <c r="F3972" t="s">
        <v>83</v>
      </c>
      <c r="G3972" t="s">
        <v>86</v>
      </c>
      <c r="H3972" t="s">
        <v>87</v>
      </c>
      <c r="AC3972">
        <v>0</v>
      </c>
      <c r="AD3972">
        <v>1</v>
      </c>
      <c r="AE3972">
        <v>0</v>
      </c>
      <c r="AF3972">
        <v>0</v>
      </c>
      <c r="AH3972">
        <v>0</v>
      </c>
      <c r="AI3972">
        <v>1</v>
      </c>
      <c r="AJ3972">
        <v>0</v>
      </c>
      <c r="AK3972">
        <v>0</v>
      </c>
      <c r="AL3972">
        <v>0</v>
      </c>
      <c r="AM3972">
        <v>0</v>
      </c>
      <c r="AN3972">
        <v>1</v>
      </c>
      <c r="AO3972">
        <v>0</v>
      </c>
      <c r="AP3972">
        <v>0</v>
      </c>
      <c r="AQ3972">
        <v>0</v>
      </c>
      <c r="AU3972">
        <v>0</v>
      </c>
      <c r="AV3972">
        <v>0</v>
      </c>
      <c r="AW3972">
        <v>0</v>
      </c>
    </row>
    <row r="3973" spans="1:49" x14ac:dyDescent="0.25">
      <c r="A3973" t="str">
        <f>"3969"</f>
        <v>3969</v>
      </c>
      <c r="B3973" t="str">
        <f t="shared" si="227"/>
        <v>1</v>
      </c>
      <c r="C3973" t="str">
        <f t="shared" si="229"/>
        <v>174</v>
      </c>
      <c r="D3973" t="str">
        <f>"8"</f>
        <v>8</v>
      </c>
      <c r="E3973" t="str">
        <f>"1-174-8"</f>
        <v>1-174-8</v>
      </c>
      <c r="F3973" t="s">
        <v>83</v>
      </c>
      <c r="G3973" t="s">
        <v>86</v>
      </c>
      <c r="H3973" t="s">
        <v>87</v>
      </c>
      <c r="AC3973">
        <v>0</v>
      </c>
      <c r="AD3973">
        <v>1</v>
      </c>
      <c r="AE3973">
        <v>0</v>
      </c>
      <c r="AF3973">
        <v>0</v>
      </c>
      <c r="AH3973">
        <v>0</v>
      </c>
      <c r="AI3973">
        <v>1</v>
      </c>
      <c r="AJ3973">
        <v>0</v>
      </c>
      <c r="AK3973">
        <v>1</v>
      </c>
      <c r="AL3973">
        <v>0</v>
      </c>
      <c r="AM3973">
        <v>0</v>
      </c>
      <c r="AN3973">
        <v>1</v>
      </c>
      <c r="AO3973">
        <v>0</v>
      </c>
      <c r="AP3973">
        <v>0</v>
      </c>
      <c r="AQ3973">
        <v>0</v>
      </c>
      <c r="AU3973">
        <v>0</v>
      </c>
      <c r="AV3973">
        <v>0</v>
      </c>
      <c r="AW3973">
        <v>0</v>
      </c>
    </row>
    <row r="3974" spans="1:49" x14ac:dyDescent="0.25">
      <c r="A3974" t="str">
        <f>"3970"</f>
        <v>3970</v>
      </c>
      <c r="B3974" t="str">
        <f t="shared" si="227"/>
        <v>1</v>
      </c>
      <c r="C3974" t="str">
        <f t="shared" si="229"/>
        <v>174</v>
      </c>
      <c r="D3974" t="str">
        <f>"2"</f>
        <v>2</v>
      </c>
      <c r="E3974" t="str">
        <f>"1-174-2"</f>
        <v>1-174-2</v>
      </c>
      <c r="F3974" t="s">
        <v>83</v>
      </c>
      <c r="G3974" t="s">
        <v>86</v>
      </c>
      <c r="H3974" t="s">
        <v>87</v>
      </c>
      <c r="AC3974">
        <v>0</v>
      </c>
      <c r="AD3974">
        <v>1</v>
      </c>
      <c r="AE3974">
        <v>0</v>
      </c>
      <c r="AF3974">
        <v>0</v>
      </c>
      <c r="AH3974">
        <v>0</v>
      </c>
      <c r="AI3974">
        <v>1</v>
      </c>
      <c r="AJ3974">
        <v>0</v>
      </c>
      <c r="AK3974">
        <v>0</v>
      </c>
      <c r="AL3974">
        <v>0</v>
      </c>
      <c r="AM3974">
        <v>0</v>
      </c>
      <c r="AN3974">
        <v>0</v>
      </c>
      <c r="AO3974">
        <v>0</v>
      </c>
      <c r="AP3974">
        <v>0</v>
      </c>
      <c r="AQ3974">
        <v>0</v>
      </c>
      <c r="AU3974">
        <v>0</v>
      </c>
      <c r="AV3974">
        <v>0</v>
      </c>
      <c r="AW3974">
        <v>0</v>
      </c>
    </row>
    <row r="3975" spans="1:49" x14ac:dyDescent="0.25">
      <c r="A3975" t="str">
        <f>"3971"</f>
        <v>3971</v>
      </c>
      <c r="B3975" t="str">
        <f t="shared" si="227"/>
        <v>1</v>
      </c>
      <c r="C3975" t="str">
        <f t="shared" si="229"/>
        <v>174</v>
      </c>
      <c r="D3975" t="str">
        <f>"25"</f>
        <v>25</v>
      </c>
      <c r="E3975" t="str">
        <f>"1-174-25"</f>
        <v>1-174-25</v>
      </c>
      <c r="F3975" t="s">
        <v>83</v>
      </c>
      <c r="G3975" t="s">
        <v>86</v>
      </c>
      <c r="H3975" t="s">
        <v>87</v>
      </c>
      <c r="AC3975">
        <v>0</v>
      </c>
      <c r="AD3975">
        <v>0</v>
      </c>
      <c r="AE3975">
        <v>0</v>
      </c>
      <c r="AF3975">
        <v>0</v>
      </c>
      <c r="AH3975">
        <v>0</v>
      </c>
      <c r="AI3975">
        <v>1</v>
      </c>
      <c r="AJ3975">
        <v>0</v>
      </c>
      <c r="AK3975">
        <v>0</v>
      </c>
      <c r="AL3975">
        <v>0</v>
      </c>
      <c r="AM3975">
        <v>0</v>
      </c>
      <c r="AN3975">
        <v>0</v>
      </c>
      <c r="AO3975">
        <v>0</v>
      </c>
      <c r="AP3975">
        <v>0</v>
      </c>
      <c r="AQ3975">
        <v>0</v>
      </c>
      <c r="AU3975">
        <v>0</v>
      </c>
      <c r="AV3975">
        <v>0</v>
      </c>
      <c r="AW3975">
        <v>0</v>
      </c>
    </row>
    <row r="3976" spans="1:49" x14ac:dyDescent="0.25">
      <c r="A3976" t="str">
        <f>"3972"</f>
        <v>3972</v>
      </c>
      <c r="B3976" t="str">
        <f t="shared" si="227"/>
        <v>1</v>
      </c>
      <c r="C3976" t="str">
        <f t="shared" si="229"/>
        <v>174</v>
      </c>
      <c r="D3976" t="str">
        <f>"24"</f>
        <v>24</v>
      </c>
      <c r="E3976" t="str">
        <f>"1-174-24"</f>
        <v>1-174-24</v>
      </c>
      <c r="F3976" t="s">
        <v>83</v>
      </c>
      <c r="G3976" t="s">
        <v>86</v>
      </c>
      <c r="H3976" t="s">
        <v>87</v>
      </c>
      <c r="AC3976">
        <v>1</v>
      </c>
      <c r="AD3976">
        <v>0</v>
      </c>
      <c r="AE3976">
        <v>0</v>
      </c>
      <c r="AF3976">
        <v>0</v>
      </c>
      <c r="AH3976">
        <v>0</v>
      </c>
      <c r="AI3976">
        <v>1</v>
      </c>
      <c r="AJ3976">
        <v>1</v>
      </c>
      <c r="AK3976">
        <v>0</v>
      </c>
      <c r="AL3976">
        <v>0</v>
      </c>
      <c r="AM3976">
        <v>0</v>
      </c>
      <c r="AN3976">
        <v>1</v>
      </c>
      <c r="AO3976">
        <v>1</v>
      </c>
      <c r="AP3976">
        <v>1</v>
      </c>
      <c r="AQ3976">
        <v>1</v>
      </c>
      <c r="AU3976">
        <v>1</v>
      </c>
      <c r="AV3976">
        <v>1</v>
      </c>
      <c r="AW3976">
        <v>1</v>
      </c>
    </row>
    <row r="3977" spans="1:49" x14ac:dyDescent="0.25">
      <c r="A3977" t="str">
        <f>"3973"</f>
        <v>3973</v>
      </c>
      <c r="B3977" t="str">
        <f t="shared" si="227"/>
        <v>1</v>
      </c>
      <c r="C3977" t="str">
        <f t="shared" si="229"/>
        <v>174</v>
      </c>
      <c r="D3977" t="str">
        <f>"16"</f>
        <v>16</v>
      </c>
      <c r="E3977" t="str">
        <f>"1-174-16"</f>
        <v>1-174-16</v>
      </c>
      <c r="F3977" t="s">
        <v>83</v>
      </c>
      <c r="G3977" t="s">
        <v>86</v>
      </c>
      <c r="H3977" t="s">
        <v>87</v>
      </c>
      <c r="AC3977">
        <v>0</v>
      </c>
      <c r="AD3977">
        <v>1</v>
      </c>
      <c r="AE3977">
        <v>0</v>
      </c>
      <c r="AF3977">
        <v>0</v>
      </c>
      <c r="AH3977">
        <v>0</v>
      </c>
      <c r="AI3977">
        <v>1</v>
      </c>
      <c r="AJ3977">
        <v>0</v>
      </c>
      <c r="AK3977">
        <v>0</v>
      </c>
      <c r="AL3977">
        <v>0</v>
      </c>
      <c r="AM3977">
        <v>0</v>
      </c>
      <c r="AN3977">
        <v>1</v>
      </c>
      <c r="AO3977">
        <v>0</v>
      </c>
      <c r="AP3977">
        <v>0</v>
      </c>
      <c r="AQ3977">
        <v>0</v>
      </c>
      <c r="AU3977">
        <v>0</v>
      </c>
      <c r="AV3977">
        <v>0</v>
      </c>
      <c r="AW3977">
        <v>0</v>
      </c>
    </row>
    <row r="3978" spans="1:49" x14ac:dyDescent="0.25">
      <c r="A3978" t="str">
        <f>"3974"</f>
        <v>3974</v>
      </c>
      <c r="B3978" t="str">
        <f t="shared" si="227"/>
        <v>1</v>
      </c>
      <c r="C3978" t="str">
        <f t="shared" si="229"/>
        <v>174</v>
      </c>
      <c r="D3978" t="str">
        <f>"9"</f>
        <v>9</v>
      </c>
      <c r="E3978" t="str">
        <f>"1-174-9"</f>
        <v>1-174-9</v>
      </c>
      <c r="F3978" t="s">
        <v>83</v>
      </c>
      <c r="G3978" t="s">
        <v>86</v>
      </c>
      <c r="H3978" t="s">
        <v>87</v>
      </c>
      <c r="AC3978">
        <v>0</v>
      </c>
      <c r="AD3978">
        <v>1</v>
      </c>
      <c r="AE3978">
        <v>0</v>
      </c>
      <c r="AF3978">
        <v>0</v>
      </c>
      <c r="AH3978">
        <v>0</v>
      </c>
      <c r="AI3978">
        <v>1</v>
      </c>
      <c r="AJ3978">
        <v>0</v>
      </c>
      <c r="AK3978">
        <v>1</v>
      </c>
      <c r="AL3978">
        <v>0</v>
      </c>
      <c r="AM3978">
        <v>0</v>
      </c>
      <c r="AN3978">
        <v>1</v>
      </c>
      <c r="AO3978">
        <v>1</v>
      </c>
      <c r="AP3978">
        <v>1</v>
      </c>
      <c r="AQ3978">
        <v>1</v>
      </c>
      <c r="AU3978">
        <v>1</v>
      </c>
      <c r="AV3978">
        <v>1</v>
      </c>
      <c r="AW3978">
        <v>1</v>
      </c>
    </row>
    <row r="3979" spans="1:49" x14ac:dyDescent="0.25">
      <c r="A3979" t="str">
        <f>"3975"</f>
        <v>3975</v>
      </c>
      <c r="B3979" t="str">
        <f t="shared" si="227"/>
        <v>1</v>
      </c>
      <c r="C3979" t="str">
        <f t="shared" si="229"/>
        <v>174</v>
      </c>
      <c r="D3979" t="str">
        <f>"7"</f>
        <v>7</v>
      </c>
      <c r="E3979" t="str">
        <f>"1-174-7"</f>
        <v>1-174-7</v>
      </c>
      <c r="F3979" t="s">
        <v>83</v>
      </c>
      <c r="G3979" t="s">
        <v>86</v>
      </c>
      <c r="H3979" t="s">
        <v>87</v>
      </c>
      <c r="AC3979">
        <v>0</v>
      </c>
      <c r="AD3979">
        <v>1</v>
      </c>
      <c r="AE3979">
        <v>0</v>
      </c>
      <c r="AF3979">
        <v>0</v>
      </c>
      <c r="AH3979">
        <v>0</v>
      </c>
      <c r="AI3979">
        <v>1</v>
      </c>
      <c r="AJ3979">
        <v>0</v>
      </c>
      <c r="AK3979">
        <v>1</v>
      </c>
      <c r="AL3979">
        <v>0</v>
      </c>
      <c r="AM3979">
        <v>0</v>
      </c>
      <c r="AN3979">
        <v>1</v>
      </c>
      <c r="AO3979">
        <v>0</v>
      </c>
      <c r="AP3979">
        <v>0</v>
      </c>
      <c r="AQ3979">
        <v>0</v>
      </c>
      <c r="AU3979">
        <v>0</v>
      </c>
      <c r="AV3979">
        <v>0</v>
      </c>
      <c r="AW3979">
        <v>0</v>
      </c>
    </row>
    <row r="3980" spans="1:49" x14ac:dyDescent="0.25">
      <c r="A3980" t="str">
        <f>"3976"</f>
        <v>3976</v>
      </c>
      <c r="B3980" t="str">
        <f t="shared" si="227"/>
        <v>1</v>
      </c>
      <c r="C3980" t="str">
        <f t="shared" si="229"/>
        <v>174</v>
      </c>
      <c r="D3980" t="str">
        <f>"17"</f>
        <v>17</v>
      </c>
      <c r="E3980" t="str">
        <f>"1-174-17"</f>
        <v>1-174-17</v>
      </c>
      <c r="F3980" t="s">
        <v>83</v>
      </c>
      <c r="G3980" t="s">
        <v>86</v>
      </c>
      <c r="H3980" t="s">
        <v>87</v>
      </c>
      <c r="AC3980">
        <v>0</v>
      </c>
      <c r="AD3980">
        <v>1</v>
      </c>
      <c r="AE3980">
        <v>0</v>
      </c>
      <c r="AF3980">
        <v>0</v>
      </c>
      <c r="AH3980">
        <v>0</v>
      </c>
      <c r="AI3980">
        <v>1</v>
      </c>
      <c r="AJ3980">
        <v>0</v>
      </c>
      <c r="AK3980">
        <v>0</v>
      </c>
      <c r="AL3980">
        <v>0</v>
      </c>
      <c r="AM3980">
        <v>0</v>
      </c>
      <c r="AN3980">
        <v>1</v>
      </c>
      <c r="AO3980">
        <v>0</v>
      </c>
      <c r="AP3980">
        <v>0</v>
      </c>
      <c r="AQ3980">
        <v>0</v>
      </c>
      <c r="AU3980">
        <v>0</v>
      </c>
      <c r="AV3980">
        <v>0</v>
      </c>
      <c r="AW3980">
        <v>0</v>
      </c>
    </row>
    <row r="3981" spans="1:49" x14ac:dyDescent="0.25">
      <c r="A3981" t="str">
        <f>"3977"</f>
        <v>3977</v>
      </c>
      <c r="B3981" t="str">
        <f t="shared" si="227"/>
        <v>1</v>
      </c>
      <c r="C3981" t="str">
        <f t="shared" si="229"/>
        <v>174</v>
      </c>
      <c r="D3981" t="str">
        <f>"10"</f>
        <v>10</v>
      </c>
      <c r="E3981" t="str">
        <f>"1-174-10"</f>
        <v>1-174-10</v>
      </c>
      <c r="F3981" t="s">
        <v>83</v>
      </c>
      <c r="G3981" t="s">
        <v>86</v>
      </c>
      <c r="H3981" t="s">
        <v>87</v>
      </c>
      <c r="AC3981">
        <v>1</v>
      </c>
      <c r="AD3981">
        <v>0</v>
      </c>
      <c r="AE3981">
        <v>0</v>
      </c>
      <c r="AF3981">
        <v>0</v>
      </c>
      <c r="AH3981">
        <v>1</v>
      </c>
      <c r="AI3981">
        <v>0</v>
      </c>
      <c r="AJ3981">
        <v>1</v>
      </c>
      <c r="AK3981">
        <v>0</v>
      </c>
      <c r="AL3981">
        <v>1</v>
      </c>
      <c r="AM3981">
        <v>0</v>
      </c>
      <c r="AN3981">
        <v>0</v>
      </c>
      <c r="AO3981">
        <v>1</v>
      </c>
      <c r="AP3981">
        <v>1</v>
      </c>
      <c r="AQ3981">
        <v>1</v>
      </c>
      <c r="AU3981">
        <v>1</v>
      </c>
      <c r="AV3981">
        <v>1</v>
      </c>
      <c r="AW3981">
        <v>1</v>
      </c>
    </row>
    <row r="3982" spans="1:49" x14ac:dyDescent="0.25">
      <c r="A3982" t="str">
        <f>"3978"</f>
        <v>3978</v>
      </c>
      <c r="B3982" t="str">
        <f t="shared" si="227"/>
        <v>1</v>
      </c>
      <c r="C3982" t="str">
        <f t="shared" si="229"/>
        <v>174</v>
      </c>
      <c r="D3982" t="str">
        <f>"1"</f>
        <v>1</v>
      </c>
      <c r="E3982" t="str">
        <f>"1-174-1"</f>
        <v>1-174-1</v>
      </c>
      <c r="F3982" t="s">
        <v>83</v>
      </c>
      <c r="G3982" t="s">
        <v>86</v>
      </c>
      <c r="H3982" t="s">
        <v>93</v>
      </c>
      <c r="I3982">
        <v>1</v>
      </c>
      <c r="K3982">
        <v>0</v>
      </c>
      <c r="L3982">
        <v>1</v>
      </c>
      <c r="M3982">
        <v>0</v>
      </c>
      <c r="N3982">
        <v>1</v>
      </c>
      <c r="O3982">
        <v>1</v>
      </c>
      <c r="P3982">
        <v>1</v>
      </c>
      <c r="Q3982">
        <v>1</v>
      </c>
      <c r="R3982">
        <v>1</v>
      </c>
      <c r="U3982">
        <v>0</v>
      </c>
      <c r="V3982">
        <v>1</v>
      </c>
      <c r="W3982">
        <v>1</v>
      </c>
      <c r="X3982">
        <v>1</v>
      </c>
      <c r="Y3982">
        <v>1</v>
      </c>
      <c r="Z3982">
        <v>1</v>
      </c>
      <c r="AA3982">
        <v>1</v>
      </c>
      <c r="AB3982">
        <v>1</v>
      </c>
    </row>
    <row r="3983" spans="1:49" x14ac:dyDescent="0.25">
      <c r="A3983" t="str">
        <f>"3979"</f>
        <v>3979</v>
      </c>
      <c r="B3983" t="str">
        <f t="shared" si="227"/>
        <v>1</v>
      </c>
      <c r="C3983" t="str">
        <f t="shared" si="229"/>
        <v>174</v>
      </c>
      <c r="D3983" t="str">
        <f>"18"</f>
        <v>18</v>
      </c>
      <c r="E3983" t="str">
        <f>"1-174-18"</f>
        <v>1-174-18</v>
      </c>
      <c r="F3983" t="s">
        <v>83</v>
      </c>
      <c r="G3983" t="s">
        <v>86</v>
      </c>
      <c r="H3983" t="s">
        <v>93</v>
      </c>
      <c r="I3983">
        <v>1</v>
      </c>
      <c r="K3983">
        <v>0</v>
      </c>
      <c r="L3983">
        <v>0</v>
      </c>
      <c r="M3983">
        <v>1</v>
      </c>
      <c r="N3983">
        <v>1</v>
      </c>
      <c r="O3983">
        <v>1</v>
      </c>
      <c r="P3983">
        <v>1</v>
      </c>
      <c r="Q3983">
        <v>1</v>
      </c>
      <c r="R3983">
        <v>1</v>
      </c>
      <c r="U3983">
        <v>1</v>
      </c>
      <c r="V3983">
        <v>0</v>
      </c>
      <c r="W3983">
        <v>1</v>
      </c>
      <c r="X3983">
        <v>1</v>
      </c>
      <c r="Y3983">
        <v>1</v>
      </c>
      <c r="Z3983">
        <v>1</v>
      </c>
      <c r="AA3983">
        <v>1</v>
      </c>
      <c r="AB3983">
        <v>1</v>
      </c>
    </row>
    <row r="3984" spans="1:49" x14ac:dyDescent="0.25">
      <c r="A3984" t="str">
        <f>"3980"</f>
        <v>3980</v>
      </c>
      <c r="B3984" t="str">
        <f t="shared" si="227"/>
        <v>1</v>
      </c>
      <c r="C3984" t="str">
        <f t="shared" si="229"/>
        <v>174</v>
      </c>
      <c r="D3984" t="str">
        <f>"11"</f>
        <v>11</v>
      </c>
      <c r="E3984" t="str">
        <f>"1-174-11"</f>
        <v>1-174-11</v>
      </c>
      <c r="F3984" t="s">
        <v>83</v>
      </c>
      <c r="G3984" t="s">
        <v>86</v>
      </c>
      <c r="H3984" t="s">
        <v>93</v>
      </c>
      <c r="I3984">
        <v>1</v>
      </c>
      <c r="K3984">
        <v>0</v>
      </c>
      <c r="L3984">
        <v>0</v>
      </c>
      <c r="M3984">
        <v>0</v>
      </c>
      <c r="N3984">
        <v>1</v>
      </c>
      <c r="O3984">
        <v>1</v>
      </c>
      <c r="P3984">
        <v>1</v>
      </c>
      <c r="Q3984">
        <v>1</v>
      </c>
      <c r="R3984">
        <v>1</v>
      </c>
      <c r="U3984">
        <v>0</v>
      </c>
      <c r="V3984">
        <v>0</v>
      </c>
      <c r="W3984">
        <v>1</v>
      </c>
      <c r="X3984">
        <v>1</v>
      </c>
      <c r="Y3984">
        <v>1</v>
      </c>
      <c r="Z3984">
        <v>1</v>
      </c>
      <c r="AA3984">
        <v>1</v>
      </c>
      <c r="AB3984">
        <v>1</v>
      </c>
    </row>
    <row r="3985" spans="1:49" x14ac:dyDescent="0.25">
      <c r="A3985" t="str">
        <f>"3981"</f>
        <v>3981</v>
      </c>
      <c r="B3985" t="str">
        <f t="shared" si="227"/>
        <v>1</v>
      </c>
      <c r="C3985" t="str">
        <f t="shared" si="229"/>
        <v>174</v>
      </c>
      <c r="D3985" t="str">
        <f>"5"</f>
        <v>5</v>
      </c>
      <c r="E3985" t="str">
        <f>"1-174-5"</f>
        <v>1-174-5</v>
      </c>
      <c r="F3985" t="s">
        <v>83</v>
      </c>
      <c r="G3985" t="s">
        <v>86</v>
      </c>
      <c r="H3985" t="s">
        <v>87</v>
      </c>
      <c r="AC3985">
        <v>0</v>
      </c>
      <c r="AD3985">
        <v>0</v>
      </c>
      <c r="AE3985">
        <v>0</v>
      </c>
      <c r="AF3985">
        <v>0</v>
      </c>
      <c r="AH3985">
        <v>0</v>
      </c>
      <c r="AI3985">
        <v>1</v>
      </c>
      <c r="AJ3985">
        <v>0</v>
      </c>
      <c r="AK3985">
        <v>0</v>
      </c>
      <c r="AL3985">
        <v>0</v>
      </c>
      <c r="AM3985">
        <v>0</v>
      </c>
      <c r="AN3985">
        <v>1</v>
      </c>
      <c r="AO3985">
        <v>0</v>
      </c>
      <c r="AP3985">
        <v>0</v>
      </c>
      <c r="AQ3985">
        <v>0</v>
      </c>
      <c r="AU3985">
        <v>1</v>
      </c>
      <c r="AV3985">
        <v>0</v>
      </c>
      <c r="AW3985">
        <v>0</v>
      </c>
    </row>
    <row r="3986" spans="1:49" x14ac:dyDescent="0.25">
      <c r="A3986" t="str">
        <f>"3982"</f>
        <v>3982</v>
      </c>
      <c r="B3986" t="str">
        <f t="shared" si="227"/>
        <v>1</v>
      </c>
      <c r="C3986" t="str">
        <f t="shared" si="229"/>
        <v>174</v>
      </c>
      <c r="D3986" t="str">
        <f>"21"</f>
        <v>21</v>
      </c>
      <c r="E3986" t="str">
        <f>"1-174-21"</f>
        <v>1-174-21</v>
      </c>
      <c r="F3986" t="s">
        <v>83</v>
      </c>
      <c r="G3986" t="s">
        <v>84</v>
      </c>
      <c r="H3986" t="s">
        <v>92</v>
      </c>
      <c r="I3986">
        <v>1</v>
      </c>
      <c r="J3986">
        <v>1</v>
      </c>
      <c r="N3986">
        <v>1</v>
      </c>
      <c r="O3986">
        <v>1</v>
      </c>
      <c r="P3986">
        <v>1</v>
      </c>
      <c r="Q3986">
        <v>1</v>
      </c>
      <c r="R3986">
        <v>1</v>
      </c>
      <c r="S3986">
        <v>1</v>
      </c>
      <c r="T3986">
        <v>1</v>
      </c>
      <c r="W3986">
        <v>1</v>
      </c>
      <c r="X3986">
        <v>1</v>
      </c>
      <c r="Y3986">
        <v>1</v>
      </c>
      <c r="Z3986">
        <v>1</v>
      </c>
      <c r="AA3986">
        <v>1</v>
      </c>
      <c r="AB3986">
        <v>1</v>
      </c>
    </row>
    <row r="3987" spans="1:49" x14ac:dyDescent="0.25">
      <c r="A3987" t="str">
        <f>"3983"</f>
        <v>3983</v>
      </c>
      <c r="B3987" t="str">
        <f t="shared" si="227"/>
        <v>1</v>
      </c>
      <c r="C3987" t="str">
        <f t="shared" si="229"/>
        <v>174</v>
      </c>
      <c r="D3987" t="str">
        <f>"12"</f>
        <v>12</v>
      </c>
      <c r="E3987" t="str">
        <f>"1-174-12"</f>
        <v>1-174-12</v>
      </c>
      <c r="F3987" t="s">
        <v>83</v>
      </c>
      <c r="G3987" t="s">
        <v>86</v>
      </c>
      <c r="H3987" t="s">
        <v>93</v>
      </c>
      <c r="I3987">
        <v>1</v>
      </c>
      <c r="K3987">
        <v>0</v>
      </c>
      <c r="L3987">
        <v>0</v>
      </c>
      <c r="M3987">
        <v>1</v>
      </c>
      <c r="N3987">
        <v>1</v>
      </c>
      <c r="O3987">
        <v>1</v>
      </c>
      <c r="P3987">
        <v>1</v>
      </c>
      <c r="Q3987">
        <v>1</v>
      </c>
      <c r="R3987">
        <v>0</v>
      </c>
      <c r="U3987">
        <v>1</v>
      </c>
      <c r="V3987">
        <v>0</v>
      </c>
      <c r="W3987">
        <v>1</v>
      </c>
      <c r="X3987">
        <v>1</v>
      </c>
      <c r="Y3987">
        <v>1</v>
      </c>
      <c r="Z3987">
        <v>1</v>
      </c>
      <c r="AA3987">
        <v>1</v>
      </c>
      <c r="AB3987">
        <v>1</v>
      </c>
    </row>
    <row r="3988" spans="1:49" x14ac:dyDescent="0.25">
      <c r="A3988" t="str">
        <f>"3984"</f>
        <v>3984</v>
      </c>
      <c r="B3988" t="str">
        <f t="shared" si="227"/>
        <v>1</v>
      </c>
      <c r="C3988" t="str">
        <f t="shared" si="229"/>
        <v>174</v>
      </c>
      <c r="D3988" t="str">
        <f>"3"</f>
        <v>3</v>
      </c>
      <c r="E3988" t="str">
        <f>"1-174-3"</f>
        <v>1-174-3</v>
      </c>
      <c r="F3988" t="s">
        <v>83</v>
      </c>
      <c r="G3988" t="s">
        <v>86</v>
      </c>
      <c r="H3988" t="s">
        <v>87</v>
      </c>
      <c r="AC3988">
        <v>0</v>
      </c>
      <c r="AD3988">
        <v>1</v>
      </c>
      <c r="AE3988">
        <v>0</v>
      </c>
      <c r="AF3988">
        <v>0</v>
      </c>
      <c r="AH3988">
        <v>0</v>
      </c>
      <c r="AI3988">
        <v>1</v>
      </c>
      <c r="AJ3988">
        <v>0</v>
      </c>
      <c r="AK3988">
        <v>0</v>
      </c>
      <c r="AL3988">
        <v>0</v>
      </c>
      <c r="AM3988">
        <v>0</v>
      </c>
      <c r="AN3988">
        <v>0</v>
      </c>
      <c r="AO3988">
        <v>0</v>
      </c>
      <c r="AP3988">
        <v>0</v>
      </c>
      <c r="AQ3988">
        <v>0</v>
      </c>
      <c r="AU3988">
        <v>0</v>
      </c>
      <c r="AV3988">
        <v>0</v>
      </c>
      <c r="AW3988">
        <v>0</v>
      </c>
    </row>
    <row r="3989" spans="1:49" x14ac:dyDescent="0.25">
      <c r="A3989" t="str">
        <f>"3985"</f>
        <v>3985</v>
      </c>
      <c r="B3989" t="str">
        <f t="shared" si="227"/>
        <v>1</v>
      </c>
      <c r="C3989" t="str">
        <f t="shared" si="229"/>
        <v>174</v>
      </c>
      <c r="D3989" t="str">
        <f>"20"</f>
        <v>20</v>
      </c>
      <c r="E3989" t="str">
        <f>"1-174-20"</f>
        <v>1-174-20</v>
      </c>
      <c r="F3989" t="s">
        <v>83</v>
      </c>
      <c r="G3989" t="s">
        <v>84</v>
      </c>
      <c r="H3989" t="s">
        <v>85</v>
      </c>
      <c r="AC3989">
        <v>0</v>
      </c>
      <c r="AD3989">
        <v>1</v>
      </c>
      <c r="AE3989">
        <v>0</v>
      </c>
      <c r="AF3989">
        <v>0</v>
      </c>
      <c r="AG3989">
        <v>0</v>
      </c>
      <c r="AJ3989">
        <v>0</v>
      </c>
      <c r="AK3989">
        <v>1</v>
      </c>
      <c r="AL3989">
        <v>0</v>
      </c>
      <c r="AM3989">
        <v>0</v>
      </c>
      <c r="AN3989">
        <v>1</v>
      </c>
      <c r="AO3989">
        <v>1</v>
      </c>
      <c r="AP3989">
        <v>1</v>
      </c>
      <c r="AQ3989">
        <v>0</v>
      </c>
      <c r="AR3989">
        <v>0</v>
      </c>
      <c r="AS3989">
        <v>0</v>
      </c>
      <c r="AT3989">
        <v>1</v>
      </c>
      <c r="AV3989">
        <v>0</v>
      </c>
      <c r="AW3989">
        <v>1</v>
      </c>
    </row>
    <row r="3990" spans="1:49" x14ac:dyDescent="0.25">
      <c r="A3990" t="str">
        <f>"3986"</f>
        <v>3986</v>
      </c>
      <c r="B3990" t="str">
        <f t="shared" si="227"/>
        <v>1</v>
      </c>
      <c r="C3990" t="str">
        <f t="shared" si="229"/>
        <v>174</v>
      </c>
      <c r="D3990" t="str">
        <f>"13"</f>
        <v>13</v>
      </c>
      <c r="E3990" t="str">
        <f>"1-174-13"</f>
        <v>1-174-13</v>
      </c>
      <c r="F3990" t="s">
        <v>83</v>
      </c>
      <c r="G3990" t="s">
        <v>86</v>
      </c>
      <c r="H3990" t="s">
        <v>87</v>
      </c>
      <c r="AC3990">
        <v>0</v>
      </c>
      <c r="AD3990">
        <v>1</v>
      </c>
      <c r="AE3990">
        <v>0</v>
      </c>
      <c r="AF3990">
        <v>0</v>
      </c>
      <c r="AH3990">
        <v>0</v>
      </c>
      <c r="AI3990">
        <v>1</v>
      </c>
      <c r="AJ3990">
        <v>1</v>
      </c>
      <c r="AK3990">
        <v>0</v>
      </c>
      <c r="AL3990">
        <v>0</v>
      </c>
      <c r="AM3990">
        <v>0</v>
      </c>
      <c r="AN3990">
        <v>1</v>
      </c>
      <c r="AO3990">
        <v>1</v>
      </c>
      <c r="AP3990">
        <v>1</v>
      </c>
      <c r="AQ3990">
        <v>1</v>
      </c>
      <c r="AU3990">
        <v>1</v>
      </c>
      <c r="AV3990">
        <v>1</v>
      </c>
      <c r="AW3990">
        <v>0</v>
      </c>
    </row>
    <row r="3991" spans="1:49" x14ac:dyDescent="0.25">
      <c r="A3991" t="str">
        <f>"3987"</f>
        <v>3987</v>
      </c>
      <c r="B3991" t="str">
        <f t="shared" si="227"/>
        <v>1</v>
      </c>
      <c r="C3991" t="str">
        <f t="shared" si="229"/>
        <v>174</v>
      </c>
      <c r="D3991" t="str">
        <f>"4"</f>
        <v>4</v>
      </c>
      <c r="E3991" t="str">
        <f>"1-174-4"</f>
        <v>1-174-4</v>
      </c>
      <c r="F3991" t="s">
        <v>83</v>
      </c>
      <c r="G3991" t="s">
        <v>86</v>
      </c>
      <c r="H3991" t="s">
        <v>87</v>
      </c>
      <c r="AC3991">
        <v>1</v>
      </c>
      <c r="AD3991">
        <v>0</v>
      </c>
      <c r="AE3991">
        <v>0</v>
      </c>
      <c r="AF3991">
        <v>0</v>
      </c>
      <c r="AH3991">
        <v>0</v>
      </c>
      <c r="AI3991">
        <v>1</v>
      </c>
      <c r="AJ3991">
        <v>1</v>
      </c>
      <c r="AK3991">
        <v>0</v>
      </c>
      <c r="AL3991">
        <v>0</v>
      </c>
      <c r="AM3991">
        <v>0</v>
      </c>
      <c r="AN3991">
        <v>1</v>
      </c>
      <c r="AO3991">
        <v>1</v>
      </c>
      <c r="AP3991">
        <v>1</v>
      </c>
      <c r="AQ3991">
        <v>1</v>
      </c>
      <c r="AU3991">
        <v>1</v>
      </c>
      <c r="AV3991">
        <v>1</v>
      </c>
      <c r="AW3991">
        <v>1</v>
      </c>
    </row>
    <row r="3992" spans="1:49" x14ac:dyDescent="0.25">
      <c r="A3992" t="str">
        <f>"3988"</f>
        <v>3988</v>
      </c>
      <c r="B3992" t="str">
        <f t="shared" si="227"/>
        <v>1</v>
      </c>
      <c r="C3992" t="str">
        <f t="shared" si="229"/>
        <v>174</v>
      </c>
      <c r="D3992" t="str">
        <f>"19"</f>
        <v>19</v>
      </c>
      <c r="E3992" t="str">
        <f>"1-174-19"</f>
        <v>1-174-19</v>
      </c>
      <c r="F3992" t="s">
        <v>83</v>
      </c>
      <c r="G3992" t="s">
        <v>86</v>
      </c>
      <c r="H3992" t="s">
        <v>87</v>
      </c>
      <c r="AC3992">
        <v>0</v>
      </c>
      <c r="AD3992">
        <v>0</v>
      </c>
      <c r="AE3992">
        <v>0</v>
      </c>
      <c r="AF3992">
        <v>0</v>
      </c>
      <c r="AH3992">
        <v>0</v>
      </c>
      <c r="AI3992">
        <v>1</v>
      </c>
      <c r="AJ3992">
        <v>0</v>
      </c>
      <c r="AK3992">
        <v>1</v>
      </c>
      <c r="AL3992">
        <v>1</v>
      </c>
      <c r="AM3992">
        <v>0</v>
      </c>
      <c r="AN3992">
        <v>0</v>
      </c>
      <c r="AO3992">
        <v>1</v>
      </c>
      <c r="AP3992">
        <v>1</v>
      </c>
      <c r="AQ3992">
        <v>1</v>
      </c>
      <c r="AU3992">
        <v>1</v>
      </c>
      <c r="AV3992">
        <v>1</v>
      </c>
      <c r="AW3992">
        <v>1</v>
      </c>
    </row>
    <row r="3993" spans="1:49" x14ac:dyDescent="0.25">
      <c r="A3993" t="str">
        <f>"3989"</f>
        <v>3989</v>
      </c>
      <c r="B3993" t="str">
        <f t="shared" si="227"/>
        <v>1</v>
      </c>
      <c r="C3993" t="str">
        <f t="shared" si="229"/>
        <v>174</v>
      </c>
      <c r="D3993" t="str">
        <f>"14"</f>
        <v>14</v>
      </c>
      <c r="E3993" t="str">
        <f>"1-174-14"</f>
        <v>1-174-14</v>
      </c>
      <c r="F3993" t="s">
        <v>83</v>
      </c>
      <c r="G3993" t="s">
        <v>86</v>
      </c>
      <c r="H3993" t="s">
        <v>87</v>
      </c>
      <c r="AC3993">
        <v>0</v>
      </c>
      <c r="AD3993">
        <v>1</v>
      </c>
      <c r="AE3993">
        <v>0</v>
      </c>
      <c r="AF3993">
        <v>0</v>
      </c>
      <c r="AH3993">
        <v>0</v>
      </c>
      <c r="AI3993">
        <v>1</v>
      </c>
      <c r="AJ3993">
        <v>0</v>
      </c>
      <c r="AK3993">
        <v>1</v>
      </c>
      <c r="AL3993">
        <v>0</v>
      </c>
      <c r="AM3993">
        <v>1</v>
      </c>
      <c r="AN3993">
        <v>0</v>
      </c>
      <c r="AO3993">
        <v>1</v>
      </c>
      <c r="AP3993">
        <v>1</v>
      </c>
      <c r="AQ3993">
        <v>1</v>
      </c>
      <c r="AU3993">
        <v>1</v>
      </c>
      <c r="AV3993">
        <v>1</v>
      </c>
      <c r="AW3993">
        <v>1</v>
      </c>
    </row>
    <row r="3994" spans="1:49" x14ac:dyDescent="0.25">
      <c r="A3994" t="str">
        <f>"3990"</f>
        <v>3990</v>
      </c>
      <c r="B3994" t="str">
        <f t="shared" si="227"/>
        <v>1</v>
      </c>
      <c r="C3994" t="str">
        <f t="shared" si="229"/>
        <v>174</v>
      </c>
      <c r="D3994" t="str">
        <f>"6"</f>
        <v>6</v>
      </c>
      <c r="E3994" t="str">
        <f>"1-174-6"</f>
        <v>1-174-6</v>
      </c>
      <c r="F3994" t="s">
        <v>83</v>
      </c>
      <c r="G3994" t="s">
        <v>86</v>
      </c>
      <c r="H3994" t="s">
        <v>87</v>
      </c>
      <c r="AC3994">
        <v>1</v>
      </c>
      <c r="AD3994">
        <v>0</v>
      </c>
      <c r="AE3994">
        <v>0</v>
      </c>
      <c r="AF3994">
        <v>0</v>
      </c>
      <c r="AH3994">
        <v>1</v>
      </c>
      <c r="AI3994">
        <v>0</v>
      </c>
      <c r="AJ3994">
        <v>1</v>
      </c>
      <c r="AK3994">
        <v>0</v>
      </c>
      <c r="AL3994">
        <v>1</v>
      </c>
      <c r="AM3994">
        <v>0</v>
      </c>
      <c r="AN3994">
        <v>0</v>
      </c>
      <c r="AO3994">
        <v>1</v>
      </c>
      <c r="AP3994">
        <v>1</v>
      </c>
      <c r="AQ3994">
        <v>1</v>
      </c>
      <c r="AU3994">
        <v>1</v>
      </c>
      <c r="AV3994">
        <v>1</v>
      </c>
      <c r="AW3994">
        <v>1</v>
      </c>
    </row>
    <row r="3995" spans="1:49" x14ac:dyDescent="0.25">
      <c r="A3995" t="str">
        <f>"3991"</f>
        <v>3991</v>
      </c>
      <c r="B3995" t="str">
        <f t="shared" si="227"/>
        <v>1</v>
      </c>
      <c r="C3995" t="str">
        <f t="shared" ref="C3995:C4019" si="230">"175"</f>
        <v>175</v>
      </c>
      <c r="D3995" t="str">
        <f>"25"</f>
        <v>25</v>
      </c>
      <c r="E3995" t="str">
        <f>"1-175-25"</f>
        <v>1-175-25</v>
      </c>
      <c r="F3995" t="s">
        <v>83</v>
      </c>
      <c r="G3995" t="s">
        <v>84</v>
      </c>
      <c r="H3995" t="s">
        <v>92</v>
      </c>
      <c r="I3995">
        <v>1</v>
      </c>
      <c r="J3995">
        <v>1</v>
      </c>
      <c r="N3995">
        <v>1</v>
      </c>
      <c r="O3995">
        <v>1</v>
      </c>
      <c r="P3995">
        <v>1</v>
      </c>
      <c r="Q3995">
        <v>1</v>
      </c>
      <c r="R3995">
        <v>1</v>
      </c>
      <c r="S3995">
        <v>1</v>
      </c>
      <c r="T3995">
        <v>1</v>
      </c>
      <c r="W3995">
        <v>1</v>
      </c>
      <c r="X3995">
        <v>1</v>
      </c>
      <c r="Y3995">
        <v>1</v>
      </c>
      <c r="Z3995">
        <v>1</v>
      </c>
      <c r="AA3995">
        <v>1</v>
      </c>
      <c r="AB3995">
        <v>1</v>
      </c>
    </row>
    <row r="3996" spans="1:49" x14ac:dyDescent="0.25">
      <c r="A3996" t="str">
        <f>"3992"</f>
        <v>3992</v>
      </c>
      <c r="B3996" t="str">
        <f t="shared" si="227"/>
        <v>1</v>
      </c>
      <c r="C3996" t="str">
        <f t="shared" si="230"/>
        <v>175</v>
      </c>
      <c r="D3996" t="str">
        <f>"24"</f>
        <v>24</v>
      </c>
      <c r="E3996" t="str">
        <f>"1-175-24"</f>
        <v>1-175-24</v>
      </c>
      <c r="F3996" t="s">
        <v>83</v>
      </c>
      <c r="G3996" t="s">
        <v>84</v>
      </c>
      <c r="H3996" t="s">
        <v>92</v>
      </c>
      <c r="I3996">
        <v>1</v>
      </c>
      <c r="J3996">
        <v>0</v>
      </c>
      <c r="N3996">
        <v>1</v>
      </c>
      <c r="O3996">
        <v>1</v>
      </c>
      <c r="P3996">
        <v>1</v>
      </c>
      <c r="Q3996">
        <v>1</v>
      </c>
      <c r="R3996">
        <v>1</v>
      </c>
      <c r="S3996">
        <v>1</v>
      </c>
      <c r="T3996">
        <v>1</v>
      </c>
      <c r="W3996">
        <v>1</v>
      </c>
      <c r="X3996">
        <v>1</v>
      </c>
      <c r="Y3996">
        <v>1</v>
      </c>
      <c r="Z3996">
        <v>1</v>
      </c>
      <c r="AA3996">
        <v>1</v>
      </c>
      <c r="AB3996">
        <v>1</v>
      </c>
    </row>
    <row r="3997" spans="1:49" x14ac:dyDescent="0.25">
      <c r="A3997" t="str">
        <f>"3993"</f>
        <v>3993</v>
      </c>
      <c r="B3997" t="str">
        <f t="shared" si="227"/>
        <v>1</v>
      </c>
      <c r="C3997" t="str">
        <f t="shared" si="230"/>
        <v>175</v>
      </c>
      <c r="D3997" t="str">
        <f>"15"</f>
        <v>15</v>
      </c>
      <c r="E3997" t="str">
        <f>"1-175-15"</f>
        <v>1-175-15</v>
      </c>
      <c r="F3997" t="s">
        <v>83</v>
      </c>
      <c r="G3997" t="s">
        <v>84</v>
      </c>
      <c r="H3997" t="s">
        <v>85</v>
      </c>
      <c r="AC3997">
        <v>0</v>
      </c>
      <c r="AD3997">
        <v>1</v>
      </c>
      <c r="AE3997">
        <v>0</v>
      </c>
      <c r="AF3997">
        <v>0</v>
      </c>
      <c r="AG3997">
        <v>1</v>
      </c>
      <c r="AJ3997">
        <v>0</v>
      </c>
      <c r="AK3997">
        <v>1</v>
      </c>
      <c r="AL3997">
        <v>0</v>
      </c>
      <c r="AM3997">
        <v>0</v>
      </c>
      <c r="AN3997">
        <v>0</v>
      </c>
      <c r="AO3997">
        <v>1</v>
      </c>
      <c r="AP3997">
        <v>1</v>
      </c>
      <c r="AQ3997">
        <v>1</v>
      </c>
      <c r="AR3997">
        <v>1</v>
      </c>
      <c r="AS3997">
        <v>1</v>
      </c>
      <c r="AT3997">
        <v>0</v>
      </c>
      <c r="AV3997">
        <v>1</v>
      </c>
      <c r="AW3997">
        <v>1</v>
      </c>
    </row>
    <row r="3998" spans="1:49" x14ac:dyDescent="0.25">
      <c r="A3998" t="str">
        <f>"3994"</f>
        <v>3994</v>
      </c>
      <c r="B3998" t="str">
        <f t="shared" ref="B3998:B4061" si="231">"1"</f>
        <v>1</v>
      </c>
      <c r="C3998" t="str">
        <f t="shared" si="230"/>
        <v>175</v>
      </c>
      <c r="D3998" t="str">
        <f>"8"</f>
        <v>8</v>
      </c>
      <c r="E3998" t="str">
        <f>"1-175-8"</f>
        <v>1-175-8</v>
      </c>
      <c r="F3998" t="s">
        <v>83</v>
      </c>
      <c r="G3998" t="s">
        <v>84</v>
      </c>
      <c r="H3998" t="s">
        <v>92</v>
      </c>
      <c r="I3998">
        <v>1</v>
      </c>
      <c r="J3998">
        <v>1</v>
      </c>
      <c r="N3998">
        <v>1</v>
      </c>
      <c r="O3998">
        <v>1</v>
      </c>
      <c r="P3998">
        <v>1</v>
      </c>
      <c r="Q3998">
        <v>1</v>
      </c>
      <c r="R3998">
        <v>1</v>
      </c>
      <c r="S3998">
        <v>1</v>
      </c>
      <c r="T3998">
        <v>1</v>
      </c>
      <c r="W3998">
        <v>0</v>
      </c>
      <c r="X3998">
        <v>1</v>
      </c>
      <c r="Y3998">
        <v>1</v>
      </c>
      <c r="Z3998">
        <v>1</v>
      </c>
      <c r="AA3998">
        <v>1</v>
      </c>
      <c r="AB3998">
        <v>1</v>
      </c>
    </row>
    <row r="3999" spans="1:49" x14ac:dyDescent="0.25">
      <c r="A3999" t="str">
        <f>"3995"</f>
        <v>3995</v>
      </c>
      <c r="B3999" t="str">
        <f t="shared" si="231"/>
        <v>1</v>
      </c>
      <c r="C3999" t="str">
        <f t="shared" si="230"/>
        <v>175</v>
      </c>
      <c r="D3999" t="str">
        <f>"6"</f>
        <v>6</v>
      </c>
      <c r="E3999" t="str">
        <f>"1-175-6"</f>
        <v>1-175-6</v>
      </c>
      <c r="F3999" t="s">
        <v>83</v>
      </c>
      <c r="G3999" t="s">
        <v>84</v>
      </c>
      <c r="H3999" t="s">
        <v>92</v>
      </c>
      <c r="I3999">
        <v>1</v>
      </c>
      <c r="J3999">
        <v>1</v>
      </c>
      <c r="N3999">
        <v>1</v>
      </c>
      <c r="O3999">
        <v>1</v>
      </c>
      <c r="P3999">
        <v>1</v>
      </c>
      <c r="Q3999">
        <v>1</v>
      </c>
      <c r="R3999">
        <v>1</v>
      </c>
      <c r="S3999">
        <v>1</v>
      </c>
      <c r="T3999">
        <v>1</v>
      </c>
      <c r="W3999">
        <v>1</v>
      </c>
      <c r="X3999">
        <v>1</v>
      </c>
      <c r="Y3999">
        <v>1</v>
      </c>
      <c r="Z3999">
        <v>1</v>
      </c>
      <c r="AA3999">
        <v>1</v>
      </c>
      <c r="AB3999">
        <v>1</v>
      </c>
    </row>
    <row r="4000" spans="1:49" x14ac:dyDescent="0.25">
      <c r="A4000" t="str">
        <f>"3996"</f>
        <v>3996</v>
      </c>
      <c r="B4000" t="str">
        <f t="shared" si="231"/>
        <v>1</v>
      </c>
      <c r="C4000" t="str">
        <f t="shared" si="230"/>
        <v>175</v>
      </c>
      <c r="D4000" t="str">
        <f>"23"</f>
        <v>23</v>
      </c>
      <c r="E4000" t="str">
        <f>"1-175-23"</f>
        <v>1-175-23</v>
      </c>
      <c r="F4000" t="s">
        <v>83</v>
      </c>
      <c r="G4000" t="s">
        <v>84</v>
      </c>
      <c r="H4000" t="s">
        <v>85</v>
      </c>
      <c r="AC4000">
        <v>0</v>
      </c>
      <c r="AD4000">
        <v>1</v>
      </c>
      <c r="AE4000">
        <v>0</v>
      </c>
      <c r="AF4000">
        <v>0</v>
      </c>
      <c r="AG4000">
        <v>1</v>
      </c>
      <c r="AJ4000">
        <v>0</v>
      </c>
      <c r="AK4000">
        <v>1</v>
      </c>
      <c r="AL4000">
        <v>0</v>
      </c>
      <c r="AM4000">
        <v>1</v>
      </c>
      <c r="AN4000">
        <v>0</v>
      </c>
      <c r="AO4000">
        <v>1</v>
      </c>
      <c r="AP4000">
        <v>1</v>
      </c>
      <c r="AQ4000">
        <v>1</v>
      </c>
      <c r="AR4000">
        <v>1</v>
      </c>
      <c r="AS4000">
        <v>0</v>
      </c>
      <c r="AT4000">
        <v>1</v>
      </c>
      <c r="AV4000">
        <v>1</v>
      </c>
      <c r="AW4000">
        <v>1</v>
      </c>
    </row>
    <row r="4001" spans="1:49" x14ac:dyDescent="0.25">
      <c r="A4001" t="str">
        <f>"3997"</f>
        <v>3997</v>
      </c>
      <c r="B4001" t="str">
        <f t="shared" si="231"/>
        <v>1</v>
      </c>
      <c r="C4001" t="str">
        <f t="shared" si="230"/>
        <v>175</v>
      </c>
      <c r="D4001" t="str">
        <f>"22"</f>
        <v>22</v>
      </c>
      <c r="E4001" t="str">
        <f>"1-175-22"</f>
        <v>1-175-22</v>
      </c>
      <c r="F4001" t="s">
        <v>83</v>
      </c>
      <c r="G4001" t="s">
        <v>84</v>
      </c>
      <c r="H4001" t="s">
        <v>85</v>
      </c>
      <c r="AC4001">
        <v>1</v>
      </c>
      <c r="AD4001">
        <v>0</v>
      </c>
      <c r="AE4001">
        <v>0</v>
      </c>
      <c r="AF4001">
        <v>0</v>
      </c>
      <c r="AG4001">
        <v>1</v>
      </c>
      <c r="AJ4001">
        <v>0</v>
      </c>
      <c r="AK4001">
        <v>1</v>
      </c>
      <c r="AL4001">
        <v>0</v>
      </c>
      <c r="AM4001">
        <v>1</v>
      </c>
      <c r="AN4001">
        <v>0</v>
      </c>
      <c r="AO4001">
        <v>1</v>
      </c>
      <c r="AP4001">
        <v>1</v>
      </c>
      <c r="AQ4001">
        <v>1</v>
      </c>
      <c r="AR4001">
        <v>1</v>
      </c>
      <c r="AS4001">
        <v>1</v>
      </c>
      <c r="AT4001">
        <v>0</v>
      </c>
      <c r="AV4001">
        <v>1</v>
      </c>
      <c r="AW4001">
        <v>1</v>
      </c>
    </row>
    <row r="4002" spans="1:49" x14ac:dyDescent="0.25">
      <c r="A4002" t="str">
        <f>"3998"</f>
        <v>3998</v>
      </c>
      <c r="B4002" t="str">
        <f t="shared" si="231"/>
        <v>1</v>
      </c>
      <c r="C4002" t="str">
        <f t="shared" si="230"/>
        <v>175</v>
      </c>
      <c r="D4002" t="str">
        <f>"16"</f>
        <v>16</v>
      </c>
      <c r="E4002" t="str">
        <f>"1-175-16"</f>
        <v>1-175-16</v>
      </c>
      <c r="F4002" t="s">
        <v>83</v>
      </c>
      <c r="G4002" t="s">
        <v>84</v>
      </c>
      <c r="H4002" t="s">
        <v>85</v>
      </c>
      <c r="AC4002">
        <v>0</v>
      </c>
      <c r="AD4002">
        <v>1</v>
      </c>
      <c r="AE4002">
        <v>0</v>
      </c>
      <c r="AF4002">
        <v>0</v>
      </c>
      <c r="AG4002">
        <v>1</v>
      </c>
      <c r="AJ4002">
        <v>1</v>
      </c>
      <c r="AK4002">
        <v>0</v>
      </c>
      <c r="AL4002">
        <v>1</v>
      </c>
      <c r="AM4002">
        <v>0</v>
      </c>
      <c r="AN4002">
        <v>0</v>
      </c>
      <c r="AO4002">
        <v>1</v>
      </c>
      <c r="AP4002">
        <v>1</v>
      </c>
      <c r="AQ4002">
        <v>1</v>
      </c>
      <c r="AR4002">
        <v>1</v>
      </c>
      <c r="AS4002">
        <v>0</v>
      </c>
      <c r="AT4002">
        <v>0</v>
      </c>
      <c r="AV4002">
        <v>1</v>
      </c>
      <c r="AW4002">
        <v>1</v>
      </c>
    </row>
    <row r="4003" spans="1:49" x14ac:dyDescent="0.25">
      <c r="A4003" t="str">
        <f>"3999"</f>
        <v>3999</v>
      </c>
      <c r="B4003" t="str">
        <f t="shared" si="231"/>
        <v>1</v>
      </c>
      <c r="C4003" t="str">
        <f t="shared" si="230"/>
        <v>175</v>
      </c>
      <c r="D4003" t="str">
        <f>"9"</f>
        <v>9</v>
      </c>
      <c r="E4003" t="str">
        <f>"1-175-9"</f>
        <v>1-175-9</v>
      </c>
      <c r="F4003" t="s">
        <v>83</v>
      </c>
      <c r="G4003" t="s">
        <v>84</v>
      </c>
      <c r="H4003" t="s">
        <v>85</v>
      </c>
      <c r="AC4003">
        <v>1</v>
      </c>
      <c r="AD4003">
        <v>0</v>
      </c>
      <c r="AE4003">
        <v>0</v>
      </c>
      <c r="AF4003">
        <v>0</v>
      </c>
      <c r="AG4003">
        <v>1</v>
      </c>
      <c r="AJ4003">
        <v>0</v>
      </c>
      <c r="AK4003">
        <v>1</v>
      </c>
      <c r="AL4003">
        <v>1</v>
      </c>
      <c r="AM4003">
        <v>0</v>
      </c>
      <c r="AN4003">
        <v>0</v>
      </c>
      <c r="AO4003">
        <v>1</v>
      </c>
      <c r="AP4003">
        <v>1</v>
      </c>
      <c r="AQ4003">
        <v>1</v>
      </c>
      <c r="AR4003">
        <v>1</v>
      </c>
      <c r="AS4003">
        <v>1</v>
      </c>
      <c r="AT4003">
        <v>0</v>
      </c>
      <c r="AV4003">
        <v>1</v>
      </c>
      <c r="AW4003">
        <v>1</v>
      </c>
    </row>
    <row r="4004" spans="1:49" x14ac:dyDescent="0.25">
      <c r="A4004" t="str">
        <f>"4000"</f>
        <v>4000</v>
      </c>
      <c r="B4004" t="str">
        <f t="shared" si="231"/>
        <v>1</v>
      </c>
      <c r="C4004" t="str">
        <f t="shared" si="230"/>
        <v>175</v>
      </c>
      <c r="D4004" t="str">
        <f>"3"</f>
        <v>3</v>
      </c>
      <c r="E4004" t="str">
        <f>"1-175-3"</f>
        <v>1-175-3</v>
      </c>
      <c r="F4004" t="s">
        <v>83</v>
      </c>
      <c r="G4004" t="s">
        <v>84</v>
      </c>
      <c r="H4004" t="s">
        <v>85</v>
      </c>
      <c r="AC4004">
        <v>1</v>
      </c>
      <c r="AD4004">
        <v>0</v>
      </c>
      <c r="AE4004">
        <v>0</v>
      </c>
      <c r="AF4004">
        <v>0</v>
      </c>
      <c r="AG4004">
        <v>1</v>
      </c>
      <c r="AJ4004">
        <v>1</v>
      </c>
      <c r="AK4004">
        <v>0</v>
      </c>
      <c r="AL4004">
        <v>1</v>
      </c>
      <c r="AM4004">
        <v>0</v>
      </c>
      <c r="AN4004">
        <v>0</v>
      </c>
      <c r="AO4004">
        <v>1</v>
      </c>
      <c r="AP4004">
        <v>1</v>
      </c>
      <c r="AQ4004">
        <v>1</v>
      </c>
      <c r="AR4004">
        <v>1</v>
      </c>
      <c r="AS4004">
        <v>1</v>
      </c>
      <c r="AT4004">
        <v>0</v>
      </c>
      <c r="AV4004">
        <v>1</v>
      </c>
      <c r="AW4004">
        <v>1</v>
      </c>
    </row>
    <row r="4005" spans="1:49" x14ac:dyDescent="0.25">
      <c r="A4005" t="str">
        <f>"4001"</f>
        <v>4001</v>
      </c>
      <c r="B4005" t="str">
        <f t="shared" si="231"/>
        <v>1</v>
      </c>
      <c r="C4005" t="str">
        <f t="shared" si="230"/>
        <v>175</v>
      </c>
      <c r="D4005" t="str">
        <f>"17"</f>
        <v>17</v>
      </c>
      <c r="E4005" t="str">
        <f>"1-175-17"</f>
        <v>1-175-17</v>
      </c>
      <c r="F4005" t="s">
        <v>83</v>
      </c>
      <c r="G4005" t="s">
        <v>84</v>
      </c>
      <c r="H4005" t="s">
        <v>92</v>
      </c>
      <c r="I4005">
        <v>1</v>
      </c>
      <c r="J4005">
        <v>1</v>
      </c>
      <c r="N4005">
        <v>1</v>
      </c>
      <c r="O4005">
        <v>1</v>
      </c>
      <c r="P4005">
        <v>1</v>
      </c>
      <c r="Q4005">
        <v>1</v>
      </c>
      <c r="R4005">
        <v>1</v>
      </c>
      <c r="S4005">
        <v>1</v>
      </c>
      <c r="T4005">
        <v>1</v>
      </c>
      <c r="W4005">
        <v>1</v>
      </c>
      <c r="X4005">
        <v>1</v>
      </c>
      <c r="Y4005">
        <v>1</v>
      </c>
      <c r="Z4005">
        <v>1</v>
      </c>
      <c r="AA4005">
        <v>1</v>
      </c>
      <c r="AB4005">
        <v>1</v>
      </c>
    </row>
    <row r="4006" spans="1:49" x14ac:dyDescent="0.25">
      <c r="A4006" t="str">
        <f>"4002"</f>
        <v>4002</v>
      </c>
      <c r="B4006" t="str">
        <f t="shared" si="231"/>
        <v>1</v>
      </c>
      <c r="C4006" t="str">
        <f t="shared" si="230"/>
        <v>175</v>
      </c>
      <c r="D4006" t="str">
        <f>"10"</f>
        <v>10</v>
      </c>
      <c r="E4006" t="str">
        <f>"1-175-10"</f>
        <v>1-175-10</v>
      </c>
      <c r="F4006" t="s">
        <v>83</v>
      </c>
      <c r="G4006" t="s">
        <v>84</v>
      </c>
      <c r="H4006" t="s">
        <v>92</v>
      </c>
      <c r="I4006">
        <v>1</v>
      </c>
      <c r="J4006">
        <v>1</v>
      </c>
      <c r="N4006">
        <v>1</v>
      </c>
      <c r="O4006">
        <v>1</v>
      </c>
      <c r="P4006">
        <v>1</v>
      </c>
      <c r="Q4006">
        <v>1</v>
      </c>
      <c r="R4006">
        <v>1</v>
      </c>
      <c r="S4006">
        <v>1</v>
      </c>
      <c r="T4006">
        <v>1</v>
      </c>
      <c r="W4006">
        <v>1</v>
      </c>
      <c r="X4006">
        <v>1</v>
      </c>
      <c r="Y4006">
        <v>1</v>
      </c>
      <c r="Z4006">
        <v>1</v>
      </c>
      <c r="AA4006">
        <v>1</v>
      </c>
      <c r="AB4006">
        <v>1</v>
      </c>
    </row>
    <row r="4007" spans="1:49" x14ac:dyDescent="0.25">
      <c r="A4007" t="str">
        <f>"4003"</f>
        <v>4003</v>
      </c>
      <c r="B4007" t="str">
        <f t="shared" si="231"/>
        <v>1</v>
      </c>
      <c r="C4007" t="str">
        <f t="shared" si="230"/>
        <v>175</v>
      </c>
      <c r="D4007" t="str">
        <f>"7"</f>
        <v>7</v>
      </c>
      <c r="E4007" t="str">
        <f>"1-175-7"</f>
        <v>1-175-7</v>
      </c>
      <c r="F4007" t="s">
        <v>83</v>
      </c>
      <c r="G4007" t="s">
        <v>84</v>
      </c>
      <c r="H4007" t="s">
        <v>92</v>
      </c>
      <c r="I4007">
        <v>1</v>
      </c>
      <c r="J4007">
        <v>1</v>
      </c>
      <c r="N4007">
        <v>1</v>
      </c>
      <c r="O4007">
        <v>1</v>
      </c>
      <c r="P4007">
        <v>1</v>
      </c>
      <c r="Q4007">
        <v>1</v>
      </c>
      <c r="R4007">
        <v>1</v>
      </c>
      <c r="S4007">
        <v>1</v>
      </c>
      <c r="T4007">
        <v>1</v>
      </c>
      <c r="W4007">
        <v>1</v>
      </c>
      <c r="X4007">
        <v>1</v>
      </c>
      <c r="Y4007">
        <v>1</v>
      </c>
      <c r="Z4007">
        <v>1</v>
      </c>
      <c r="AA4007">
        <v>1</v>
      </c>
      <c r="AB4007">
        <v>1</v>
      </c>
    </row>
    <row r="4008" spans="1:49" x14ac:dyDescent="0.25">
      <c r="A4008" t="str">
        <f>"4004"</f>
        <v>4004</v>
      </c>
      <c r="B4008" t="str">
        <f t="shared" si="231"/>
        <v>1</v>
      </c>
      <c r="C4008" t="str">
        <f t="shared" si="230"/>
        <v>175</v>
      </c>
      <c r="D4008" t="str">
        <f>"18"</f>
        <v>18</v>
      </c>
      <c r="E4008" t="str">
        <f>"1-175-18"</f>
        <v>1-175-18</v>
      </c>
      <c r="F4008" t="s">
        <v>83</v>
      </c>
      <c r="G4008" t="s">
        <v>84</v>
      </c>
      <c r="H4008" t="s">
        <v>92</v>
      </c>
      <c r="I4008">
        <v>1</v>
      </c>
      <c r="J4008">
        <v>1</v>
      </c>
      <c r="N4008">
        <v>1</v>
      </c>
      <c r="O4008">
        <v>1</v>
      </c>
      <c r="P4008">
        <v>1</v>
      </c>
      <c r="Q4008">
        <v>1</v>
      </c>
      <c r="R4008">
        <v>1</v>
      </c>
      <c r="S4008">
        <v>1</v>
      </c>
      <c r="T4008">
        <v>1</v>
      </c>
      <c r="W4008">
        <v>1</v>
      </c>
      <c r="X4008">
        <v>1</v>
      </c>
      <c r="Y4008">
        <v>1</v>
      </c>
      <c r="Z4008">
        <v>1</v>
      </c>
      <c r="AA4008">
        <v>1</v>
      </c>
      <c r="AB4008">
        <v>1</v>
      </c>
    </row>
    <row r="4009" spans="1:49" x14ac:dyDescent="0.25">
      <c r="A4009" t="str">
        <f>"4005"</f>
        <v>4005</v>
      </c>
      <c r="B4009" t="str">
        <f t="shared" si="231"/>
        <v>1</v>
      </c>
      <c r="C4009" t="str">
        <f t="shared" si="230"/>
        <v>175</v>
      </c>
      <c r="D4009" t="str">
        <f>"11"</f>
        <v>11</v>
      </c>
      <c r="E4009" t="str">
        <f>"1-175-11"</f>
        <v>1-175-11</v>
      </c>
      <c r="F4009" t="s">
        <v>83</v>
      </c>
      <c r="G4009" t="s">
        <v>84</v>
      </c>
      <c r="H4009" t="s">
        <v>92</v>
      </c>
      <c r="I4009">
        <v>1</v>
      </c>
      <c r="J4009">
        <v>1</v>
      </c>
      <c r="N4009">
        <v>1</v>
      </c>
      <c r="O4009">
        <v>1</v>
      </c>
      <c r="P4009">
        <v>1</v>
      </c>
      <c r="Q4009">
        <v>1</v>
      </c>
      <c r="R4009">
        <v>1</v>
      </c>
      <c r="S4009">
        <v>1</v>
      </c>
      <c r="T4009">
        <v>1</v>
      </c>
      <c r="W4009">
        <v>1</v>
      </c>
      <c r="X4009">
        <v>1</v>
      </c>
      <c r="Y4009">
        <v>1</v>
      </c>
      <c r="Z4009">
        <v>1</v>
      </c>
      <c r="AA4009">
        <v>1</v>
      </c>
      <c r="AB4009">
        <v>1</v>
      </c>
    </row>
    <row r="4010" spans="1:49" x14ac:dyDescent="0.25">
      <c r="A4010" t="str">
        <f>"4006"</f>
        <v>4006</v>
      </c>
      <c r="B4010" t="str">
        <f t="shared" si="231"/>
        <v>1</v>
      </c>
      <c r="C4010" t="str">
        <f t="shared" si="230"/>
        <v>175</v>
      </c>
      <c r="D4010" t="str">
        <f>"1"</f>
        <v>1</v>
      </c>
      <c r="E4010" t="str">
        <f>"1-175-1"</f>
        <v>1-175-1</v>
      </c>
      <c r="F4010" t="s">
        <v>83</v>
      </c>
      <c r="G4010" t="s">
        <v>84</v>
      </c>
      <c r="H4010" t="s">
        <v>85</v>
      </c>
      <c r="AC4010">
        <v>0</v>
      </c>
      <c r="AD4010">
        <v>1</v>
      </c>
      <c r="AE4010">
        <v>0</v>
      </c>
      <c r="AF4010">
        <v>0</v>
      </c>
      <c r="AG4010">
        <v>0</v>
      </c>
      <c r="AJ4010">
        <v>0</v>
      </c>
      <c r="AK4010">
        <v>1</v>
      </c>
      <c r="AL4010">
        <v>0</v>
      </c>
      <c r="AM4010">
        <v>0</v>
      </c>
      <c r="AN4010">
        <v>0</v>
      </c>
      <c r="AO4010">
        <v>1</v>
      </c>
      <c r="AP4010">
        <v>1</v>
      </c>
      <c r="AQ4010">
        <v>0</v>
      </c>
      <c r="AR4010">
        <v>1</v>
      </c>
      <c r="AS4010">
        <v>0</v>
      </c>
      <c r="AT4010">
        <v>0</v>
      </c>
      <c r="AV4010">
        <v>0</v>
      </c>
      <c r="AW4010">
        <v>1</v>
      </c>
    </row>
    <row r="4011" spans="1:49" x14ac:dyDescent="0.25">
      <c r="A4011" t="str">
        <f>"4007"</f>
        <v>4007</v>
      </c>
      <c r="B4011" t="str">
        <f t="shared" si="231"/>
        <v>1</v>
      </c>
      <c r="C4011" t="str">
        <f t="shared" si="230"/>
        <v>175</v>
      </c>
      <c r="D4011" t="str">
        <f>"19"</f>
        <v>19</v>
      </c>
      <c r="E4011" t="str">
        <f>"1-175-19"</f>
        <v>1-175-19</v>
      </c>
      <c r="F4011" t="s">
        <v>83</v>
      </c>
      <c r="G4011" t="s">
        <v>84</v>
      </c>
      <c r="H4011" t="s">
        <v>92</v>
      </c>
      <c r="I4011">
        <v>1</v>
      </c>
      <c r="J4011">
        <v>1</v>
      </c>
      <c r="N4011">
        <v>1</v>
      </c>
      <c r="O4011">
        <v>1</v>
      </c>
      <c r="P4011">
        <v>1</v>
      </c>
      <c r="Q4011">
        <v>1</v>
      </c>
      <c r="R4011">
        <v>1</v>
      </c>
      <c r="S4011">
        <v>1</v>
      </c>
      <c r="T4011">
        <v>1</v>
      </c>
      <c r="W4011">
        <v>1</v>
      </c>
      <c r="X4011">
        <v>1</v>
      </c>
      <c r="Y4011">
        <v>1</v>
      </c>
      <c r="Z4011">
        <v>1</v>
      </c>
      <c r="AA4011">
        <v>1</v>
      </c>
      <c r="AB4011">
        <v>1</v>
      </c>
    </row>
    <row r="4012" spans="1:49" x14ac:dyDescent="0.25">
      <c r="A4012" t="str">
        <f>"4008"</f>
        <v>4008</v>
      </c>
      <c r="B4012" t="str">
        <f t="shared" si="231"/>
        <v>1</v>
      </c>
      <c r="C4012" t="str">
        <f t="shared" si="230"/>
        <v>175</v>
      </c>
      <c r="D4012" t="str">
        <f>"12"</f>
        <v>12</v>
      </c>
      <c r="E4012" t="str">
        <f>"1-175-12"</f>
        <v>1-175-12</v>
      </c>
      <c r="F4012" t="s">
        <v>83</v>
      </c>
      <c r="G4012" t="s">
        <v>84</v>
      </c>
      <c r="H4012" t="s">
        <v>92</v>
      </c>
      <c r="I4012">
        <v>1</v>
      </c>
      <c r="J4012">
        <v>1</v>
      </c>
      <c r="N4012">
        <v>1</v>
      </c>
      <c r="O4012">
        <v>1</v>
      </c>
      <c r="P4012">
        <v>1</v>
      </c>
      <c r="Q4012">
        <v>1</v>
      </c>
      <c r="R4012">
        <v>1</v>
      </c>
      <c r="S4012">
        <v>1</v>
      </c>
      <c r="T4012">
        <v>1</v>
      </c>
      <c r="W4012">
        <v>0</v>
      </c>
      <c r="X4012">
        <v>0</v>
      </c>
      <c r="Y4012">
        <v>0</v>
      </c>
      <c r="Z4012">
        <v>0</v>
      </c>
      <c r="AA4012">
        <v>0</v>
      </c>
      <c r="AB4012">
        <v>0</v>
      </c>
    </row>
    <row r="4013" spans="1:49" x14ac:dyDescent="0.25">
      <c r="A4013" t="str">
        <f>"4009"</f>
        <v>4009</v>
      </c>
      <c r="B4013" t="str">
        <f t="shared" si="231"/>
        <v>1</v>
      </c>
      <c r="C4013" t="str">
        <f t="shared" si="230"/>
        <v>175</v>
      </c>
      <c r="D4013" t="str">
        <f>"2"</f>
        <v>2</v>
      </c>
      <c r="E4013" t="str">
        <f>"1-175-2"</f>
        <v>1-175-2</v>
      </c>
      <c r="F4013" t="s">
        <v>83</v>
      </c>
      <c r="G4013" t="s">
        <v>84</v>
      </c>
      <c r="H4013" t="s">
        <v>85</v>
      </c>
      <c r="AC4013">
        <v>1</v>
      </c>
      <c r="AD4013">
        <v>0</v>
      </c>
      <c r="AE4013">
        <v>0</v>
      </c>
      <c r="AF4013">
        <v>0</v>
      </c>
      <c r="AG4013">
        <v>1</v>
      </c>
      <c r="AJ4013">
        <v>0</v>
      </c>
      <c r="AK4013">
        <v>1</v>
      </c>
      <c r="AL4013">
        <v>0</v>
      </c>
      <c r="AM4013">
        <v>1</v>
      </c>
      <c r="AN4013">
        <v>0</v>
      </c>
      <c r="AO4013">
        <v>1</v>
      </c>
      <c r="AP4013">
        <v>1</v>
      </c>
      <c r="AQ4013">
        <v>1</v>
      </c>
      <c r="AR4013">
        <v>1</v>
      </c>
      <c r="AS4013">
        <v>0</v>
      </c>
      <c r="AT4013">
        <v>1</v>
      </c>
      <c r="AV4013">
        <v>1</v>
      </c>
      <c r="AW4013">
        <v>1</v>
      </c>
    </row>
    <row r="4014" spans="1:49" x14ac:dyDescent="0.25">
      <c r="A4014" t="str">
        <f>"4010"</f>
        <v>4010</v>
      </c>
      <c r="B4014" t="str">
        <f t="shared" si="231"/>
        <v>1</v>
      </c>
      <c r="C4014" t="str">
        <f t="shared" si="230"/>
        <v>175</v>
      </c>
      <c r="D4014" t="str">
        <f>"20"</f>
        <v>20</v>
      </c>
      <c r="E4014" t="str">
        <f>"1-175-20"</f>
        <v>1-175-20</v>
      </c>
      <c r="F4014" t="s">
        <v>83</v>
      </c>
      <c r="G4014" t="s">
        <v>84</v>
      </c>
      <c r="H4014" t="s">
        <v>85</v>
      </c>
      <c r="AC4014">
        <v>0</v>
      </c>
      <c r="AD4014">
        <v>1</v>
      </c>
      <c r="AE4014">
        <v>0</v>
      </c>
      <c r="AF4014">
        <v>0</v>
      </c>
      <c r="AG4014">
        <v>1</v>
      </c>
      <c r="AJ4014">
        <v>0</v>
      </c>
      <c r="AK4014">
        <v>1</v>
      </c>
      <c r="AL4014">
        <v>0</v>
      </c>
      <c r="AM4014">
        <v>0</v>
      </c>
      <c r="AN4014">
        <v>1</v>
      </c>
      <c r="AO4014">
        <v>1</v>
      </c>
      <c r="AP4014">
        <v>1</v>
      </c>
      <c r="AQ4014">
        <v>1</v>
      </c>
      <c r="AR4014">
        <v>1</v>
      </c>
      <c r="AS4014">
        <v>1</v>
      </c>
      <c r="AT4014">
        <v>0</v>
      </c>
      <c r="AV4014">
        <v>1</v>
      </c>
      <c r="AW4014">
        <v>1</v>
      </c>
    </row>
    <row r="4015" spans="1:49" x14ac:dyDescent="0.25">
      <c r="A4015" t="str">
        <f>"4011"</f>
        <v>4011</v>
      </c>
      <c r="B4015" t="str">
        <f t="shared" si="231"/>
        <v>1</v>
      </c>
      <c r="C4015" t="str">
        <f t="shared" si="230"/>
        <v>175</v>
      </c>
      <c r="D4015" t="str">
        <f>"13"</f>
        <v>13</v>
      </c>
      <c r="E4015" t="str">
        <f>"1-175-13"</f>
        <v>1-175-13</v>
      </c>
      <c r="F4015" t="s">
        <v>83</v>
      </c>
      <c r="G4015" t="s">
        <v>84</v>
      </c>
      <c r="H4015" t="s">
        <v>92</v>
      </c>
      <c r="I4015">
        <v>1</v>
      </c>
      <c r="J4015">
        <v>1</v>
      </c>
      <c r="N4015">
        <v>1</v>
      </c>
      <c r="O4015">
        <v>1</v>
      </c>
      <c r="P4015">
        <v>1</v>
      </c>
      <c r="Q4015">
        <v>1</v>
      </c>
      <c r="R4015">
        <v>1</v>
      </c>
      <c r="S4015">
        <v>1</v>
      </c>
      <c r="T4015">
        <v>1</v>
      </c>
      <c r="W4015">
        <v>1</v>
      </c>
      <c r="X4015">
        <v>1</v>
      </c>
      <c r="Y4015">
        <v>1</v>
      </c>
      <c r="Z4015">
        <v>1</v>
      </c>
      <c r="AA4015">
        <v>1</v>
      </c>
      <c r="AB4015">
        <v>1</v>
      </c>
    </row>
    <row r="4016" spans="1:49" x14ac:dyDescent="0.25">
      <c r="A4016" t="str">
        <f>"4012"</f>
        <v>4012</v>
      </c>
      <c r="B4016" t="str">
        <f t="shared" si="231"/>
        <v>1</v>
      </c>
      <c r="C4016" t="str">
        <f t="shared" si="230"/>
        <v>175</v>
      </c>
      <c r="D4016" t="str">
        <f>"5"</f>
        <v>5</v>
      </c>
      <c r="E4016" t="str">
        <f>"1-175-5"</f>
        <v>1-175-5</v>
      </c>
      <c r="F4016" t="s">
        <v>83</v>
      </c>
      <c r="G4016" t="s">
        <v>84</v>
      </c>
      <c r="H4016" t="s">
        <v>85</v>
      </c>
      <c r="AC4016">
        <v>0</v>
      </c>
      <c r="AD4016">
        <v>1</v>
      </c>
      <c r="AE4016">
        <v>0</v>
      </c>
      <c r="AF4016">
        <v>0</v>
      </c>
      <c r="AG4016">
        <v>1</v>
      </c>
      <c r="AJ4016">
        <v>1</v>
      </c>
      <c r="AK4016">
        <v>0</v>
      </c>
      <c r="AL4016">
        <v>1</v>
      </c>
      <c r="AM4016">
        <v>0</v>
      </c>
      <c r="AN4016">
        <v>0</v>
      </c>
      <c r="AO4016">
        <v>1</v>
      </c>
      <c r="AP4016">
        <v>1</v>
      </c>
      <c r="AQ4016">
        <v>1</v>
      </c>
      <c r="AR4016">
        <v>1</v>
      </c>
      <c r="AS4016">
        <v>0</v>
      </c>
      <c r="AT4016">
        <v>1</v>
      </c>
      <c r="AV4016">
        <v>1</v>
      </c>
      <c r="AW4016">
        <v>1</v>
      </c>
    </row>
    <row r="4017" spans="1:49" x14ac:dyDescent="0.25">
      <c r="A4017" t="str">
        <f>"4013"</f>
        <v>4013</v>
      </c>
      <c r="B4017" t="str">
        <f t="shared" si="231"/>
        <v>1</v>
      </c>
      <c r="C4017" t="str">
        <f t="shared" si="230"/>
        <v>175</v>
      </c>
      <c r="D4017" t="str">
        <f>"21"</f>
        <v>21</v>
      </c>
      <c r="E4017" t="str">
        <f>"1-175-21"</f>
        <v>1-175-21</v>
      </c>
      <c r="F4017" t="s">
        <v>83</v>
      </c>
      <c r="G4017" t="s">
        <v>84</v>
      </c>
      <c r="H4017" t="s">
        <v>92</v>
      </c>
      <c r="I4017">
        <v>1</v>
      </c>
      <c r="J4017">
        <v>1</v>
      </c>
      <c r="N4017">
        <v>1</v>
      </c>
      <c r="O4017">
        <v>1</v>
      </c>
      <c r="P4017">
        <v>1</v>
      </c>
      <c r="Q4017">
        <v>1</v>
      </c>
      <c r="R4017">
        <v>1</v>
      </c>
      <c r="S4017">
        <v>1</v>
      </c>
      <c r="T4017">
        <v>1</v>
      </c>
      <c r="W4017">
        <v>1</v>
      </c>
      <c r="X4017">
        <v>1</v>
      </c>
      <c r="Y4017">
        <v>1</v>
      </c>
      <c r="Z4017">
        <v>1</v>
      </c>
      <c r="AA4017">
        <v>1</v>
      </c>
      <c r="AB4017">
        <v>1</v>
      </c>
    </row>
    <row r="4018" spans="1:49" x14ac:dyDescent="0.25">
      <c r="A4018" t="str">
        <f>"4014"</f>
        <v>4014</v>
      </c>
      <c r="B4018" t="str">
        <f t="shared" si="231"/>
        <v>1</v>
      </c>
      <c r="C4018" t="str">
        <f t="shared" si="230"/>
        <v>175</v>
      </c>
      <c r="D4018" t="str">
        <f>"14"</f>
        <v>14</v>
      </c>
      <c r="E4018" t="str">
        <f>"1-175-14"</f>
        <v>1-175-14</v>
      </c>
      <c r="F4018" t="s">
        <v>83</v>
      </c>
      <c r="G4018" t="s">
        <v>84</v>
      </c>
      <c r="H4018" t="s">
        <v>85</v>
      </c>
      <c r="AC4018">
        <v>0</v>
      </c>
      <c r="AD4018">
        <v>1</v>
      </c>
      <c r="AE4018">
        <v>0</v>
      </c>
      <c r="AF4018">
        <v>0</v>
      </c>
      <c r="AG4018">
        <v>1</v>
      </c>
      <c r="AJ4018">
        <v>1</v>
      </c>
      <c r="AK4018">
        <v>0</v>
      </c>
      <c r="AL4018">
        <v>1</v>
      </c>
      <c r="AM4018">
        <v>0</v>
      </c>
      <c r="AN4018">
        <v>0</v>
      </c>
      <c r="AO4018">
        <v>1</v>
      </c>
      <c r="AP4018">
        <v>1</v>
      </c>
      <c r="AQ4018">
        <v>1</v>
      </c>
      <c r="AR4018">
        <v>1</v>
      </c>
      <c r="AS4018">
        <v>0</v>
      </c>
      <c r="AT4018">
        <v>1</v>
      </c>
      <c r="AV4018">
        <v>1</v>
      </c>
      <c r="AW4018">
        <v>1</v>
      </c>
    </row>
    <row r="4019" spans="1:49" x14ac:dyDescent="0.25">
      <c r="A4019" t="str">
        <f>"4015"</f>
        <v>4015</v>
      </c>
      <c r="B4019" t="str">
        <f t="shared" si="231"/>
        <v>1</v>
      </c>
      <c r="C4019" t="str">
        <f t="shared" si="230"/>
        <v>175</v>
      </c>
      <c r="D4019" t="str">
        <f>"4"</f>
        <v>4</v>
      </c>
      <c r="E4019" t="str">
        <f>"1-175-4"</f>
        <v>1-175-4</v>
      </c>
      <c r="F4019" t="s">
        <v>83</v>
      </c>
      <c r="G4019" t="s">
        <v>84</v>
      </c>
      <c r="H4019" t="s">
        <v>85</v>
      </c>
      <c r="AC4019">
        <v>0</v>
      </c>
      <c r="AD4019">
        <v>1</v>
      </c>
      <c r="AE4019">
        <v>0</v>
      </c>
      <c r="AF4019">
        <v>0</v>
      </c>
      <c r="AG4019">
        <v>1</v>
      </c>
      <c r="AJ4019">
        <v>1</v>
      </c>
      <c r="AK4019">
        <v>0</v>
      </c>
      <c r="AL4019">
        <v>1</v>
      </c>
      <c r="AM4019">
        <v>0</v>
      </c>
      <c r="AN4019">
        <v>0</v>
      </c>
      <c r="AO4019">
        <v>1</v>
      </c>
      <c r="AP4019">
        <v>1</v>
      </c>
      <c r="AQ4019">
        <v>1</v>
      </c>
      <c r="AR4019">
        <v>1</v>
      </c>
      <c r="AS4019">
        <v>0</v>
      </c>
      <c r="AT4019">
        <v>1</v>
      </c>
      <c r="AV4019">
        <v>1</v>
      </c>
      <c r="AW4019">
        <v>1</v>
      </c>
    </row>
    <row r="4020" spans="1:49" x14ac:dyDescent="0.25">
      <c r="A4020" t="str">
        <f>"4016"</f>
        <v>4016</v>
      </c>
      <c r="B4020" t="str">
        <f t="shared" si="231"/>
        <v>1</v>
      </c>
      <c r="C4020" t="str">
        <f t="shared" ref="C4020:C4042" si="232">"176"</f>
        <v>176</v>
      </c>
      <c r="D4020" t="str">
        <f>"23"</f>
        <v>23</v>
      </c>
      <c r="E4020" t="str">
        <f>"1-176-23"</f>
        <v>1-176-23</v>
      </c>
      <c r="F4020" t="s">
        <v>83</v>
      </c>
      <c r="G4020" t="s">
        <v>84</v>
      </c>
      <c r="H4020" t="s">
        <v>85</v>
      </c>
      <c r="AC4020">
        <v>0</v>
      </c>
      <c r="AD4020">
        <v>1</v>
      </c>
      <c r="AE4020">
        <v>0</v>
      </c>
      <c r="AF4020">
        <v>0</v>
      </c>
      <c r="AG4020">
        <v>0</v>
      </c>
      <c r="AJ4020">
        <v>0</v>
      </c>
      <c r="AK4020">
        <v>1</v>
      </c>
      <c r="AL4020">
        <v>0</v>
      </c>
      <c r="AM4020">
        <v>0</v>
      </c>
      <c r="AN4020">
        <v>1</v>
      </c>
      <c r="AO4020">
        <v>0</v>
      </c>
      <c r="AP4020">
        <v>0</v>
      </c>
      <c r="AQ4020">
        <v>0</v>
      </c>
      <c r="AR4020">
        <v>0</v>
      </c>
      <c r="AS4020">
        <v>0</v>
      </c>
      <c r="AT4020">
        <v>1</v>
      </c>
      <c r="AV4020">
        <v>0</v>
      </c>
      <c r="AW4020">
        <v>0</v>
      </c>
    </row>
    <row r="4021" spans="1:49" x14ac:dyDescent="0.25">
      <c r="A4021" t="str">
        <f>"4017"</f>
        <v>4017</v>
      </c>
      <c r="B4021" t="str">
        <f t="shared" si="231"/>
        <v>1</v>
      </c>
      <c r="C4021" t="str">
        <f t="shared" si="232"/>
        <v>176</v>
      </c>
      <c r="D4021" t="str">
        <f>"22"</f>
        <v>22</v>
      </c>
      <c r="E4021" t="str">
        <f>"1-176-22"</f>
        <v>1-176-22</v>
      </c>
      <c r="F4021" t="s">
        <v>83</v>
      </c>
      <c r="G4021" t="s">
        <v>84</v>
      </c>
      <c r="H4021" t="s">
        <v>92</v>
      </c>
      <c r="I4021">
        <v>1</v>
      </c>
      <c r="J4021">
        <v>1</v>
      </c>
      <c r="N4021">
        <v>1</v>
      </c>
      <c r="O4021">
        <v>1</v>
      </c>
      <c r="P4021">
        <v>1</v>
      </c>
      <c r="Q4021">
        <v>1</v>
      </c>
      <c r="R4021">
        <v>1</v>
      </c>
      <c r="S4021">
        <v>1</v>
      </c>
      <c r="T4021">
        <v>1</v>
      </c>
      <c r="W4021">
        <v>1</v>
      </c>
      <c r="X4021">
        <v>1</v>
      </c>
      <c r="Y4021">
        <v>1</v>
      </c>
      <c r="Z4021">
        <v>1</v>
      </c>
      <c r="AA4021">
        <v>1</v>
      </c>
      <c r="AB4021">
        <v>1</v>
      </c>
    </row>
    <row r="4022" spans="1:49" x14ac:dyDescent="0.25">
      <c r="A4022" t="str">
        <f>"4018"</f>
        <v>4018</v>
      </c>
      <c r="B4022" t="str">
        <f t="shared" si="231"/>
        <v>1</v>
      </c>
      <c r="C4022" t="str">
        <f t="shared" si="232"/>
        <v>176</v>
      </c>
      <c r="D4022" t="str">
        <f>"15"</f>
        <v>15</v>
      </c>
      <c r="E4022" t="str">
        <f>"1-176-15"</f>
        <v>1-176-15</v>
      </c>
      <c r="F4022" t="s">
        <v>83</v>
      </c>
      <c r="G4022" t="s">
        <v>84</v>
      </c>
      <c r="H4022" t="s">
        <v>85</v>
      </c>
      <c r="AC4022">
        <v>1</v>
      </c>
      <c r="AD4022">
        <v>0</v>
      </c>
      <c r="AE4022">
        <v>0</v>
      </c>
      <c r="AF4022">
        <v>0</v>
      </c>
      <c r="AG4022">
        <v>1</v>
      </c>
      <c r="AJ4022">
        <v>1</v>
      </c>
      <c r="AK4022">
        <v>0</v>
      </c>
      <c r="AL4022">
        <v>0</v>
      </c>
      <c r="AM4022">
        <v>1</v>
      </c>
      <c r="AN4022">
        <v>0</v>
      </c>
      <c r="AO4022">
        <v>1</v>
      </c>
      <c r="AP4022">
        <v>1</v>
      </c>
      <c r="AQ4022">
        <v>1</v>
      </c>
      <c r="AR4022">
        <v>1</v>
      </c>
      <c r="AS4022">
        <v>0</v>
      </c>
      <c r="AT4022">
        <v>1</v>
      </c>
      <c r="AV4022">
        <v>1</v>
      </c>
      <c r="AW4022">
        <v>1</v>
      </c>
    </row>
    <row r="4023" spans="1:49" x14ac:dyDescent="0.25">
      <c r="A4023" t="str">
        <f>"4019"</f>
        <v>4019</v>
      </c>
      <c r="B4023" t="str">
        <f t="shared" si="231"/>
        <v>1</v>
      </c>
      <c r="C4023" t="str">
        <f t="shared" si="232"/>
        <v>176</v>
      </c>
      <c r="D4023" t="str">
        <f>"8"</f>
        <v>8</v>
      </c>
      <c r="E4023" t="str">
        <f>"1-176-8"</f>
        <v>1-176-8</v>
      </c>
      <c r="F4023" t="s">
        <v>83</v>
      </c>
      <c r="G4023" t="s">
        <v>84</v>
      </c>
      <c r="H4023" t="s">
        <v>92</v>
      </c>
      <c r="I4023">
        <v>1</v>
      </c>
      <c r="J4023">
        <v>1</v>
      </c>
      <c r="N4023">
        <v>1</v>
      </c>
      <c r="O4023">
        <v>1</v>
      </c>
      <c r="P4023">
        <v>1</v>
      </c>
      <c r="Q4023">
        <v>1</v>
      </c>
      <c r="R4023">
        <v>1</v>
      </c>
      <c r="S4023">
        <v>1</v>
      </c>
      <c r="T4023">
        <v>1</v>
      </c>
      <c r="W4023">
        <v>1</v>
      </c>
      <c r="X4023">
        <v>1</v>
      </c>
      <c r="Y4023">
        <v>1</v>
      </c>
      <c r="Z4023">
        <v>1</v>
      </c>
      <c r="AA4023">
        <v>1</v>
      </c>
      <c r="AB4023">
        <v>1</v>
      </c>
    </row>
    <row r="4024" spans="1:49" x14ac:dyDescent="0.25">
      <c r="A4024" t="str">
        <f>"4020"</f>
        <v>4020</v>
      </c>
      <c r="B4024" t="str">
        <f t="shared" si="231"/>
        <v>1</v>
      </c>
      <c r="C4024" t="str">
        <f t="shared" si="232"/>
        <v>176</v>
      </c>
      <c r="D4024" t="str">
        <f>"5"</f>
        <v>5</v>
      </c>
      <c r="E4024" t="str">
        <f>"1-176-5"</f>
        <v>1-176-5</v>
      </c>
      <c r="F4024" t="s">
        <v>83</v>
      </c>
      <c r="G4024" t="s">
        <v>86</v>
      </c>
      <c r="H4024" t="s">
        <v>87</v>
      </c>
      <c r="AC4024">
        <v>0</v>
      </c>
      <c r="AD4024">
        <v>0</v>
      </c>
      <c r="AE4024">
        <v>0</v>
      </c>
      <c r="AF4024">
        <v>0</v>
      </c>
      <c r="AH4024">
        <v>0</v>
      </c>
      <c r="AI4024">
        <v>1</v>
      </c>
      <c r="AJ4024">
        <v>0</v>
      </c>
      <c r="AK4024">
        <v>0</v>
      </c>
      <c r="AL4024">
        <v>0</v>
      </c>
      <c r="AM4024">
        <v>0</v>
      </c>
      <c r="AN4024">
        <v>0</v>
      </c>
      <c r="AO4024">
        <v>0</v>
      </c>
      <c r="AP4024">
        <v>0</v>
      </c>
      <c r="AQ4024">
        <v>0</v>
      </c>
      <c r="AU4024">
        <v>0</v>
      </c>
      <c r="AV4024">
        <v>0</v>
      </c>
      <c r="AW4024">
        <v>0</v>
      </c>
    </row>
    <row r="4025" spans="1:49" x14ac:dyDescent="0.25">
      <c r="A4025" t="str">
        <f>"4021"</f>
        <v>4021</v>
      </c>
      <c r="B4025" t="str">
        <f t="shared" si="231"/>
        <v>1</v>
      </c>
      <c r="C4025" t="str">
        <f t="shared" si="232"/>
        <v>176</v>
      </c>
      <c r="D4025" t="str">
        <f>"16"</f>
        <v>16</v>
      </c>
      <c r="E4025" t="str">
        <f>"1-176-16"</f>
        <v>1-176-16</v>
      </c>
      <c r="F4025" t="s">
        <v>83</v>
      </c>
      <c r="G4025" t="s">
        <v>86</v>
      </c>
      <c r="H4025" t="s">
        <v>93</v>
      </c>
      <c r="I4025">
        <v>1</v>
      </c>
      <c r="K4025">
        <v>0</v>
      </c>
      <c r="L4025">
        <v>0</v>
      </c>
      <c r="M4025">
        <v>1</v>
      </c>
      <c r="N4025">
        <v>1</v>
      </c>
      <c r="O4025">
        <v>0</v>
      </c>
      <c r="P4025">
        <v>0</v>
      </c>
      <c r="Q4025">
        <v>0</v>
      </c>
      <c r="R4025">
        <v>0</v>
      </c>
      <c r="U4025">
        <v>0</v>
      </c>
      <c r="V4025">
        <v>1</v>
      </c>
      <c r="W4025">
        <v>0</v>
      </c>
      <c r="X4025">
        <v>0</v>
      </c>
      <c r="Y4025">
        <v>0</v>
      </c>
      <c r="Z4025">
        <v>0</v>
      </c>
      <c r="AA4025">
        <v>0</v>
      </c>
      <c r="AB4025">
        <v>0</v>
      </c>
    </row>
    <row r="4026" spans="1:49" x14ac:dyDescent="0.25">
      <c r="A4026" t="str">
        <f>"4022"</f>
        <v>4022</v>
      </c>
      <c r="B4026" t="str">
        <f t="shared" si="231"/>
        <v>1</v>
      </c>
      <c r="C4026" t="str">
        <f t="shared" si="232"/>
        <v>176</v>
      </c>
      <c r="D4026" t="str">
        <f>"9"</f>
        <v>9</v>
      </c>
      <c r="E4026" t="str">
        <f>"1-176-9"</f>
        <v>1-176-9</v>
      </c>
      <c r="F4026" t="s">
        <v>83</v>
      </c>
      <c r="G4026" t="s">
        <v>84</v>
      </c>
      <c r="H4026" t="s">
        <v>92</v>
      </c>
      <c r="I4026">
        <v>1</v>
      </c>
      <c r="J4026">
        <v>1</v>
      </c>
      <c r="N4026">
        <v>1</v>
      </c>
      <c r="O4026">
        <v>1</v>
      </c>
      <c r="P4026">
        <v>1</v>
      </c>
      <c r="Q4026">
        <v>1</v>
      </c>
      <c r="R4026">
        <v>1</v>
      </c>
      <c r="S4026">
        <v>1</v>
      </c>
      <c r="T4026">
        <v>1</v>
      </c>
      <c r="W4026">
        <v>1</v>
      </c>
      <c r="X4026">
        <v>1</v>
      </c>
      <c r="Y4026">
        <v>1</v>
      </c>
      <c r="Z4026">
        <v>1</v>
      </c>
      <c r="AA4026">
        <v>1</v>
      </c>
      <c r="AB4026">
        <v>1</v>
      </c>
    </row>
    <row r="4027" spans="1:49" x14ac:dyDescent="0.25">
      <c r="A4027" t="str">
        <f>"4023"</f>
        <v>4023</v>
      </c>
      <c r="B4027" t="str">
        <f t="shared" si="231"/>
        <v>1</v>
      </c>
      <c r="C4027" t="str">
        <f t="shared" si="232"/>
        <v>176</v>
      </c>
      <c r="D4027" t="str">
        <f>"4"</f>
        <v>4</v>
      </c>
      <c r="E4027" t="str">
        <f>"1-176-4"</f>
        <v>1-176-4</v>
      </c>
      <c r="F4027" t="s">
        <v>83</v>
      </c>
      <c r="G4027" t="s">
        <v>84</v>
      </c>
      <c r="H4027" t="s">
        <v>85</v>
      </c>
      <c r="AC4027">
        <v>0</v>
      </c>
      <c r="AD4027">
        <v>1</v>
      </c>
      <c r="AE4027">
        <v>0</v>
      </c>
      <c r="AF4027">
        <v>0</v>
      </c>
      <c r="AG4027">
        <v>1</v>
      </c>
      <c r="AJ4027">
        <v>1</v>
      </c>
      <c r="AK4027">
        <v>0</v>
      </c>
      <c r="AL4027">
        <v>1</v>
      </c>
      <c r="AM4027">
        <v>0</v>
      </c>
      <c r="AN4027">
        <v>0</v>
      </c>
      <c r="AO4027">
        <v>1</v>
      </c>
      <c r="AP4027">
        <v>1</v>
      </c>
      <c r="AQ4027">
        <v>1</v>
      </c>
      <c r="AR4027">
        <v>1</v>
      </c>
      <c r="AS4027">
        <v>1</v>
      </c>
      <c r="AT4027">
        <v>0</v>
      </c>
      <c r="AV4027">
        <v>1</v>
      </c>
      <c r="AW4027">
        <v>1</v>
      </c>
    </row>
    <row r="4028" spans="1:49" x14ac:dyDescent="0.25">
      <c r="A4028" t="str">
        <f>"4024"</f>
        <v>4024</v>
      </c>
      <c r="B4028" t="str">
        <f t="shared" si="231"/>
        <v>1</v>
      </c>
      <c r="C4028" t="str">
        <f t="shared" si="232"/>
        <v>176</v>
      </c>
      <c r="D4028" t="str">
        <f>"18"</f>
        <v>18</v>
      </c>
      <c r="E4028" t="str">
        <f>"1-176-18"</f>
        <v>1-176-18</v>
      </c>
      <c r="F4028" t="s">
        <v>83</v>
      </c>
      <c r="G4028" t="s">
        <v>86</v>
      </c>
      <c r="H4028" t="s">
        <v>93</v>
      </c>
      <c r="I4028">
        <v>1</v>
      </c>
      <c r="K4028">
        <v>0</v>
      </c>
      <c r="L4028">
        <v>0</v>
      </c>
      <c r="M4028">
        <v>1</v>
      </c>
      <c r="N4028">
        <v>1</v>
      </c>
      <c r="O4028">
        <v>1</v>
      </c>
      <c r="P4028">
        <v>1</v>
      </c>
      <c r="Q4028">
        <v>1</v>
      </c>
      <c r="R4028">
        <v>1</v>
      </c>
      <c r="U4028">
        <v>0</v>
      </c>
      <c r="V4028">
        <v>1</v>
      </c>
      <c r="W4028">
        <v>1</v>
      </c>
      <c r="X4028">
        <v>1</v>
      </c>
      <c r="Y4028">
        <v>1</v>
      </c>
      <c r="Z4028">
        <v>1</v>
      </c>
      <c r="AA4028">
        <v>1</v>
      </c>
      <c r="AB4028">
        <v>1</v>
      </c>
    </row>
    <row r="4029" spans="1:49" x14ac:dyDescent="0.25">
      <c r="A4029" t="str">
        <f>"4025"</f>
        <v>4025</v>
      </c>
      <c r="B4029" t="str">
        <f t="shared" si="231"/>
        <v>1</v>
      </c>
      <c r="C4029" t="str">
        <f t="shared" si="232"/>
        <v>176</v>
      </c>
      <c r="D4029" t="str">
        <f>"10"</f>
        <v>10</v>
      </c>
      <c r="E4029" t="str">
        <f>"1-176-10"</f>
        <v>1-176-10</v>
      </c>
      <c r="F4029" t="s">
        <v>83</v>
      </c>
      <c r="G4029" t="s">
        <v>84</v>
      </c>
      <c r="H4029" t="s">
        <v>85</v>
      </c>
      <c r="AC4029">
        <v>0</v>
      </c>
      <c r="AD4029">
        <v>1</v>
      </c>
      <c r="AE4029">
        <v>0</v>
      </c>
      <c r="AF4029">
        <v>0</v>
      </c>
      <c r="AG4029">
        <v>1</v>
      </c>
      <c r="AJ4029">
        <v>1</v>
      </c>
      <c r="AK4029">
        <v>0</v>
      </c>
      <c r="AL4029">
        <v>0</v>
      </c>
      <c r="AM4029">
        <v>1</v>
      </c>
      <c r="AN4029">
        <v>0</v>
      </c>
      <c r="AO4029">
        <v>1</v>
      </c>
      <c r="AP4029">
        <v>1</v>
      </c>
      <c r="AQ4029">
        <v>1</v>
      </c>
      <c r="AR4029">
        <v>1</v>
      </c>
      <c r="AS4029">
        <v>1</v>
      </c>
      <c r="AT4029">
        <v>0</v>
      </c>
      <c r="AV4029">
        <v>1</v>
      </c>
      <c r="AW4029">
        <v>1</v>
      </c>
    </row>
    <row r="4030" spans="1:49" x14ac:dyDescent="0.25">
      <c r="A4030" t="str">
        <f>"4026"</f>
        <v>4026</v>
      </c>
      <c r="B4030" t="str">
        <f t="shared" si="231"/>
        <v>1</v>
      </c>
      <c r="C4030" t="str">
        <f t="shared" si="232"/>
        <v>176</v>
      </c>
      <c r="D4030" t="str">
        <f>"1"</f>
        <v>1</v>
      </c>
      <c r="E4030" t="str">
        <f>"1-176-1"</f>
        <v>1-176-1</v>
      </c>
      <c r="F4030" t="s">
        <v>83</v>
      </c>
      <c r="G4030" t="s">
        <v>84</v>
      </c>
      <c r="H4030" t="s">
        <v>92</v>
      </c>
      <c r="I4030">
        <v>1</v>
      </c>
      <c r="J4030">
        <v>1</v>
      </c>
      <c r="N4030">
        <v>1</v>
      </c>
      <c r="O4030">
        <v>1</v>
      </c>
      <c r="P4030">
        <v>0</v>
      </c>
      <c r="Q4030">
        <v>1</v>
      </c>
      <c r="R4030">
        <v>0</v>
      </c>
      <c r="S4030">
        <v>0</v>
      </c>
      <c r="T4030">
        <v>0</v>
      </c>
      <c r="W4030">
        <v>0</v>
      </c>
      <c r="X4030">
        <v>0</v>
      </c>
      <c r="Y4030">
        <v>0</v>
      </c>
      <c r="Z4030">
        <v>0</v>
      </c>
      <c r="AA4030">
        <v>0</v>
      </c>
      <c r="AB4030">
        <v>0</v>
      </c>
    </row>
    <row r="4031" spans="1:49" x14ac:dyDescent="0.25">
      <c r="A4031" t="str">
        <f>"4027"</f>
        <v>4027</v>
      </c>
      <c r="B4031" t="str">
        <f t="shared" si="231"/>
        <v>1</v>
      </c>
      <c r="C4031" t="str">
        <f t="shared" si="232"/>
        <v>176</v>
      </c>
      <c r="D4031" t="str">
        <f>"17"</f>
        <v>17</v>
      </c>
      <c r="E4031" t="str">
        <f>"1-176-17"</f>
        <v>1-176-17</v>
      </c>
      <c r="F4031" t="s">
        <v>83</v>
      </c>
      <c r="G4031" t="s">
        <v>84</v>
      </c>
      <c r="H4031" t="s">
        <v>85</v>
      </c>
      <c r="AC4031">
        <v>0</v>
      </c>
      <c r="AD4031">
        <v>0</v>
      </c>
      <c r="AE4031">
        <v>0</v>
      </c>
      <c r="AF4031">
        <v>0</v>
      </c>
      <c r="AG4031">
        <v>0</v>
      </c>
      <c r="AJ4031">
        <v>0</v>
      </c>
      <c r="AK4031">
        <v>1</v>
      </c>
      <c r="AL4031">
        <v>0</v>
      </c>
      <c r="AM4031">
        <v>0</v>
      </c>
      <c r="AN4031">
        <v>0</v>
      </c>
      <c r="AO4031">
        <v>0</v>
      </c>
      <c r="AP4031">
        <v>0</v>
      </c>
      <c r="AQ4031">
        <v>0</v>
      </c>
      <c r="AR4031">
        <v>0</v>
      </c>
      <c r="AS4031">
        <v>1</v>
      </c>
      <c r="AT4031">
        <v>0</v>
      </c>
      <c r="AV4031">
        <v>0</v>
      </c>
      <c r="AW4031">
        <v>0</v>
      </c>
    </row>
    <row r="4032" spans="1:49" x14ac:dyDescent="0.25">
      <c r="A4032" t="str">
        <f>"4028"</f>
        <v>4028</v>
      </c>
      <c r="B4032" t="str">
        <f t="shared" si="231"/>
        <v>1</v>
      </c>
      <c r="C4032" t="str">
        <f t="shared" si="232"/>
        <v>176</v>
      </c>
      <c r="D4032" t="str">
        <f>"11"</f>
        <v>11</v>
      </c>
      <c r="E4032" t="str">
        <f>"1-176-11"</f>
        <v>1-176-11</v>
      </c>
      <c r="F4032" t="s">
        <v>83</v>
      </c>
      <c r="G4032" t="s">
        <v>84</v>
      </c>
      <c r="H4032" t="s">
        <v>85</v>
      </c>
      <c r="AC4032">
        <v>0</v>
      </c>
      <c r="AD4032">
        <v>1</v>
      </c>
      <c r="AE4032">
        <v>0</v>
      </c>
      <c r="AF4032">
        <v>0</v>
      </c>
      <c r="AG4032">
        <v>0</v>
      </c>
      <c r="AJ4032">
        <v>0</v>
      </c>
      <c r="AK4032">
        <v>1</v>
      </c>
      <c r="AL4032">
        <v>1</v>
      </c>
      <c r="AM4032">
        <v>0</v>
      </c>
      <c r="AN4032">
        <v>0</v>
      </c>
      <c r="AO4032">
        <v>0</v>
      </c>
      <c r="AP4032">
        <v>0</v>
      </c>
      <c r="AQ4032">
        <v>0</v>
      </c>
      <c r="AR4032">
        <v>0</v>
      </c>
      <c r="AS4032">
        <v>1</v>
      </c>
      <c r="AT4032">
        <v>0</v>
      </c>
      <c r="AV4032">
        <v>0</v>
      </c>
      <c r="AW4032">
        <v>0</v>
      </c>
    </row>
    <row r="4033" spans="1:49" x14ac:dyDescent="0.25">
      <c r="A4033" t="str">
        <f>"4029"</f>
        <v>4029</v>
      </c>
      <c r="B4033" t="str">
        <f t="shared" si="231"/>
        <v>1</v>
      </c>
      <c r="C4033" t="str">
        <f t="shared" si="232"/>
        <v>176</v>
      </c>
      <c r="D4033" t="str">
        <f>"6"</f>
        <v>6</v>
      </c>
      <c r="E4033" t="str">
        <f>"1-176-6"</f>
        <v>1-176-6</v>
      </c>
      <c r="F4033" t="s">
        <v>83</v>
      </c>
      <c r="G4033" t="s">
        <v>86</v>
      </c>
      <c r="H4033" t="s">
        <v>93</v>
      </c>
      <c r="I4033">
        <v>1</v>
      </c>
      <c r="K4033">
        <v>0</v>
      </c>
      <c r="L4033">
        <v>0</v>
      </c>
      <c r="M4033">
        <v>1</v>
      </c>
      <c r="N4033">
        <v>1</v>
      </c>
      <c r="O4033">
        <v>1</v>
      </c>
      <c r="P4033">
        <v>1</v>
      </c>
      <c r="Q4033">
        <v>1</v>
      </c>
      <c r="R4033">
        <v>1</v>
      </c>
      <c r="U4033">
        <v>0</v>
      </c>
      <c r="V4033">
        <v>1</v>
      </c>
      <c r="W4033">
        <v>1</v>
      </c>
      <c r="X4033">
        <v>1</v>
      </c>
      <c r="Y4033">
        <v>1</v>
      </c>
      <c r="Z4033">
        <v>1</v>
      </c>
      <c r="AA4033">
        <v>1</v>
      </c>
      <c r="AB4033">
        <v>1</v>
      </c>
    </row>
    <row r="4034" spans="1:49" x14ac:dyDescent="0.25">
      <c r="A4034" t="str">
        <f>"4030"</f>
        <v>4030</v>
      </c>
      <c r="B4034" t="str">
        <f t="shared" si="231"/>
        <v>1</v>
      </c>
      <c r="C4034" t="str">
        <f t="shared" si="232"/>
        <v>176</v>
      </c>
      <c r="D4034" t="str">
        <f>"19"</f>
        <v>19</v>
      </c>
      <c r="E4034" t="str">
        <f>"1-176-19"</f>
        <v>1-176-19</v>
      </c>
      <c r="F4034" t="s">
        <v>83</v>
      </c>
      <c r="G4034" t="s">
        <v>84</v>
      </c>
      <c r="H4034" t="s">
        <v>92</v>
      </c>
      <c r="I4034">
        <v>1</v>
      </c>
      <c r="J4034">
        <v>1</v>
      </c>
      <c r="N4034">
        <v>1</v>
      </c>
      <c r="O4034">
        <v>1</v>
      </c>
      <c r="P4034">
        <v>1</v>
      </c>
      <c r="Q4034">
        <v>1</v>
      </c>
      <c r="R4034">
        <v>1</v>
      </c>
      <c r="S4034">
        <v>1</v>
      </c>
      <c r="T4034">
        <v>1</v>
      </c>
      <c r="W4034">
        <v>1</v>
      </c>
      <c r="X4034">
        <v>1</v>
      </c>
      <c r="Y4034">
        <v>1</v>
      </c>
      <c r="Z4034">
        <v>1</v>
      </c>
      <c r="AA4034">
        <v>1</v>
      </c>
      <c r="AB4034">
        <v>1</v>
      </c>
    </row>
    <row r="4035" spans="1:49" x14ac:dyDescent="0.25">
      <c r="A4035" t="str">
        <f>"4031"</f>
        <v>4031</v>
      </c>
      <c r="B4035" t="str">
        <f t="shared" si="231"/>
        <v>1</v>
      </c>
      <c r="C4035" t="str">
        <f t="shared" si="232"/>
        <v>176</v>
      </c>
      <c r="D4035" t="str">
        <f>"12"</f>
        <v>12</v>
      </c>
      <c r="E4035" t="str">
        <f>"1-176-12"</f>
        <v>1-176-12</v>
      </c>
      <c r="F4035" t="s">
        <v>83</v>
      </c>
      <c r="G4035" t="s">
        <v>84</v>
      </c>
      <c r="H4035" t="s">
        <v>85</v>
      </c>
      <c r="AC4035">
        <v>0</v>
      </c>
      <c r="AD4035">
        <v>1</v>
      </c>
      <c r="AE4035">
        <v>0</v>
      </c>
      <c r="AF4035">
        <v>0</v>
      </c>
      <c r="AG4035">
        <v>1</v>
      </c>
      <c r="AJ4035">
        <v>1</v>
      </c>
      <c r="AK4035">
        <v>0</v>
      </c>
      <c r="AL4035">
        <v>0</v>
      </c>
      <c r="AM4035">
        <v>0</v>
      </c>
      <c r="AN4035">
        <v>1</v>
      </c>
      <c r="AO4035">
        <v>0</v>
      </c>
      <c r="AP4035">
        <v>0</v>
      </c>
      <c r="AQ4035">
        <v>0</v>
      </c>
      <c r="AR4035">
        <v>0</v>
      </c>
      <c r="AS4035">
        <v>0</v>
      </c>
      <c r="AT4035">
        <v>1</v>
      </c>
      <c r="AV4035">
        <v>0</v>
      </c>
      <c r="AW4035">
        <v>0</v>
      </c>
    </row>
    <row r="4036" spans="1:49" x14ac:dyDescent="0.25">
      <c r="A4036" t="str">
        <f>"4032"</f>
        <v>4032</v>
      </c>
      <c r="B4036" t="str">
        <f t="shared" si="231"/>
        <v>1</v>
      </c>
      <c r="C4036" t="str">
        <f t="shared" si="232"/>
        <v>176</v>
      </c>
      <c r="D4036" t="str">
        <f>"2"</f>
        <v>2</v>
      </c>
      <c r="E4036" t="str">
        <f>"1-176-2"</f>
        <v>1-176-2</v>
      </c>
      <c r="F4036" t="s">
        <v>83</v>
      </c>
      <c r="G4036" t="s">
        <v>84</v>
      </c>
      <c r="H4036" t="s">
        <v>92</v>
      </c>
      <c r="I4036">
        <v>1</v>
      </c>
      <c r="J4036">
        <v>1</v>
      </c>
      <c r="N4036">
        <v>1</v>
      </c>
      <c r="O4036">
        <v>1</v>
      </c>
      <c r="P4036">
        <v>1</v>
      </c>
      <c r="Q4036">
        <v>1</v>
      </c>
      <c r="R4036">
        <v>1</v>
      </c>
      <c r="S4036">
        <v>1</v>
      </c>
      <c r="T4036">
        <v>1</v>
      </c>
      <c r="W4036">
        <v>1</v>
      </c>
      <c r="X4036">
        <v>1</v>
      </c>
      <c r="Y4036">
        <v>1</v>
      </c>
      <c r="Z4036">
        <v>1</v>
      </c>
      <c r="AA4036">
        <v>1</v>
      </c>
      <c r="AB4036">
        <v>1</v>
      </c>
    </row>
    <row r="4037" spans="1:49" x14ac:dyDescent="0.25">
      <c r="A4037" t="str">
        <f>"4033"</f>
        <v>4033</v>
      </c>
      <c r="B4037" t="str">
        <f t="shared" si="231"/>
        <v>1</v>
      </c>
      <c r="C4037" t="str">
        <f t="shared" si="232"/>
        <v>176</v>
      </c>
      <c r="D4037" t="str">
        <f>"20"</f>
        <v>20</v>
      </c>
      <c r="E4037" t="str">
        <f>"1-176-20"</f>
        <v>1-176-20</v>
      </c>
      <c r="F4037" t="s">
        <v>83</v>
      </c>
      <c r="G4037" t="s">
        <v>84</v>
      </c>
      <c r="H4037" t="s">
        <v>85</v>
      </c>
      <c r="AC4037">
        <v>1</v>
      </c>
      <c r="AD4037">
        <v>0</v>
      </c>
      <c r="AE4037">
        <v>0</v>
      </c>
      <c r="AF4037">
        <v>0</v>
      </c>
      <c r="AG4037">
        <v>0</v>
      </c>
      <c r="AJ4037">
        <v>1</v>
      </c>
      <c r="AK4037">
        <v>0</v>
      </c>
      <c r="AL4037">
        <v>1</v>
      </c>
      <c r="AM4037">
        <v>0</v>
      </c>
      <c r="AN4037">
        <v>0</v>
      </c>
      <c r="AO4037">
        <v>0</v>
      </c>
      <c r="AP4037">
        <v>0</v>
      </c>
      <c r="AQ4037">
        <v>0</v>
      </c>
      <c r="AR4037">
        <v>0</v>
      </c>
      <c r="AS4037">
        <v>0</v>
      </c>
      <c r="AT4037">
        <v>0</v>
      </c>
      <c r="AV4037">
        <v>0</v>
      </c>
      <c r="AW4037">
        <v>0</v>
      </c>
    </row>
    <row r="4038" spans="1:49" x14ac:dyDescent="0.25">
      <c r="A4038" t="str">
        <f>"4034"</f>
        <v>4034</v>
      </c>
      <c r="B4038" t="str">
        <f t="shared" si="231"/>
        <v>1</v>
      </c>
      <c r="C4038" t="str">
        <f t="shared" si="232"/>
        <v>176</v>
      </c>
      <c r="D4038" t="str">
        <f>"13"</f>
        <v>13</v>
      </c>
      <c r="E4038" t="str">
        <f>"1-176-13"</f>
        <v>1-176-13</v>
      </c>
      <c r="F4038" t="s">
        <v>83</v>
      </c>
      <c r="G4038" t="s">
        <v>84</v>
      </c>
      <c r="H4038" t="s">
        <v>92</v>
      </c>
      <c r="I4038">
        <v>1</v>
      </c>
      <c r="J4038">
        <v>0</v>
      </c>
      <c r="N4038">
        <v>1</v>
      </c>
      <c r="O4038">
        <v>1</v>
      </c>
      <c r="P4038">
        <v>0</v>
      </c>
      <c r="Q4038">
        <v>1</v>
      </c>
      <c r="R4038">
        <v>0</v>
      </c>
      <c r="S4038">
        <v>0</v>
      </c>
      <c r="T4038">
        <v>0</v>
      </c>
      <c r="W4038">
        <v>1</v>
      </c>
      <c r="X4038">
        <v>1</v>
      </c>
      <c r="Y4038">
        <v>1</v>
      </c>
      <c r="Z4038">
        <v>1</v>
      </c>
      <c r="AA4038">
        <v>0</v>
      </c>
      <c r="AB4038">
        <v>1</v>
      </c>
    </row>
    <row r="4039" spans="1:49" x14ac:dyDescent="0.25">
      <c r="A4039" t="str">
        <f>"4035"</f>
        <v>4035</v>
      </c>
      <c r="B4039" t="str">
        <f t="shared" si="231"/>
        <v>1</v>
      </c>
      <c r="C4039" t="str">
        <f t="shared" si="232"/>
        <v>176</v>
      </c>
      <c r="D4039" t="str">
        <f>"3"</f>
        <v>3</v>
      </c>
      <c r="E4039" t="str">
        <f>"1-176-3"</f>
        <v>1-176-3</v>
      </c>
      <c r="F4039" t="s">
        <v>83</v>
      </c>
      <c r="G4039" t="s">
        <v>84</v>
      </c>
      <c r="H4039" t="s">
        <v>92</v>
      </c>
      <c r="I4039">
        <v>0</v>
      </c>
      <c r="J4039">
        <v>1</v>
      </c>
      <c r="N4039">
        <v>1</v>
      </c>
      <c r="O4039">
        <v>0</v>
      </c>
      <c r="P4039">
        <v>0</v>
      </c>
      <c r="Q4039">
        <v>0</v>
      </c>
      <c r="R4039">
        <v>0</v>
      </c>
      <c r="S4039">
        <v>0</v>
      </c>
      <c r="T4039">
        <v>1</v>
      </c>
      <c r="W4039">
        <v>0</v>
      </c>
      <c r="X4039">
        <v>1</v>
      </c>
      <c r="Y4039">
        <v>0</v>
      </c>
      <c r="Z4039">
        <v>0</v>
      </c>
      <c r="AA4039">
        <v>0</v>
      </c>
      <c r="AB4039">
        <v>1</v>
      </c>
    </row>
    <row r="4040" spans="1:49" x14ac:dyDescent="0.25">
      <c r="A4040" t="str">
        <f>"4036"</f>
        <v>4036</v>
      </c>
      <c r="B4040" t="str">
        <f t="shared" si="231"/>
        <v>1</v>
      </c>
      <c r="C4040" t="str">
        <f t="shared" si="232"/>
        <v>176</v>
      </c>
      <c r="D4040" t="str">
        <f>"14"</f>
        <v>14</v>
      </c>
      <c r="E4040" t="str">
        <f>"1-176-14"</f>
        <v>1-176-14</v>
      </c>
      <c r="F4040" t="s">
        <v>83</v>
      </c>
      <c r="G4040" t="s">
        <v>84</v>
      </c>
      <c r="H4040" t="s">
        <v>85</v>
      </c>
      <c r="AC4040">
        <v>0</v>
      </c>
      <c r="AD4040">
        <v>1</v>
      </c>
      <c r="AE4040">
        <v>0</v>
      </c>
      <c r="AF4040">
        <v>0</v>
      </c>
      <c r="AG4040">
        <v>0</v>
      </c>
      <c r="AJ4040">
        <v>0</v>
      </c>
      <c r="AK4040">
        <v>1</v>
      </c>
      <c r="AL4040">
        <v>0</v>
      </c>
      <c r="AM4040">
        <v>0</v>
      </c>
      <c r="AN4040">
        <v>1</v>
      </c>
      <c r="AO4040">
        <v>1</v>
      </c>
      <c r="AP4040">
        <v>1</v>
      </c>
      <c r="AQ4040">
        <v>1</v>
      </c>
      <c r="AR4040">
        <v>1</v>
      </c>
      <c r="AS4040">
        <v>0</v>
      </c>
      <c r="AT4040">
        <v>0</v>
      </c>
      <c r="AV4040">
        <v>0</v>
      </c>
      <c r="AW4040">
        <v>0</v>
      </c>
    </row>
    <row r="4041" spans="1:49" x14ac:dyDescent="0.25">
      <c r="A4041" t="str">
        <f>"4037"</f>
        <v>4037</v>
      </c>
      <c r="B4041" t="str">
        <f t="shared" si="231"/>
        <v>1</v>
      </c>
      <c r="C4041" t="str">
        <f t="shared" si="232"/>
        <v>176</v>
      </c>
      <c r="D4041" t="str">
        <f>"7"</f>
        <v>7</v>
      </c>
      <c r="E4041" t="str">
        <f>"1-176-7"</f>
        <v>1-176-7</v>
      </c>
      <c r="F4041" t="s">
        <v>83</v>
      </c>
      <c r="G4041" t="s">
        <v>84</v>
      </c>
      <c r="H4041" t="s">
        <v>92</v>
      </c>
      <c r="I4041">
        <v>1</v>
      </c>
      <c r="J4041">
        <v>1</v>
      </c>
      <c r="N4041">
        <v>1</v>
      </c>
      <c r="O4041">
        <v>1</v>
      </c>
      <c r="P4041">
        <v>1</v>
      </c>
      <c r="Q4041">
        <v>1</v>
      </c>
      <c r="R4041">
        <v>1</v>
      </c>
      <c r="S4041">
        <v>1</v>
      </c>
      <c r="T4041">
        <v>1</v>
      </c>
      <c r="W4041">
        <v>1</v>
      </c>
      <c r="X4041">
        <v>1</v>
      </c>
      <c r="Y4041">
        <v>1</v>
      </c>
      <c r="Z4041">
        <v>1</v>
      </c>
      <c r="AA4041">
        <v>1</v>
      </c>
      <c r="AB4041">
        <v>1</v>
      </c>
    </row>
    <row r="4042" spans="1:49" x14ac:dyDescent="0.25">
      <c r="A4042" t="str">
        <f>"4038"</f>
        <v>4038</v>
      </c>
      <c r="B4042" t="str">
        <f t="shared" si="231"/>
        <v>1</v>
      </c>
      <c r="C4042" t="str">
        <f t="shared" si="232"/>
        <v>176</v>
      </c>
      <c r="D4042" t="str">
        <f>"21"</f>
        <v>21</v>
      </c>
      <c r="E4042" t="str">
        <f>"1-176-21"</f>
        <v>1-176-21</v>
      </c>
      <c r="F4042" t="s">
        <v>83</v>
      </c>
      <c r="G4042" t="s">
        <v>86</v>
      </c>
      <c r="H4042" t="s">
        <v>87</v>
      </c>
      <c r="AC4042">
        <v>0</v>
      </c>
      <c r="AD4042">
        <v>0</v>
      </c>
      <c r="AE4042">
        <v>0</v>
      </c>
      <c r="AF4042">
        <v>0</v>
      </c>
      <c r="AH4042">
        <v>0</v>
      </c>
      <c r="AI4042">
        <v>1</v>
      </c>
      <c r="AJ4042">
        <v>0</v>
      </c>
      <c r="AK4042">
        <v>1</v>
      </c>
      <c r="AL4042">
        <v>1</v>
      </c>
      <c r="AM4042">
        <v>0</v>
      </c>
      <c r="AN4042">
        <v>0</v>
      </c>
      <c r="AO4042">
        <v>1</v>
      </c>
      <c r="AP4042">
        <v>1</v>
      </c>
      <c r="AQ4042">
        <v>1</v>
      </c>
      <c r="AU4042">
        <v>1</v>
      </c>
      <c r="AV4042">
        <v>1</v>
      </c>
      <c r="AW4042">
        <v>1</v>
      </c>
    </row>
    <row r="4043" spans="1:49" x14ac:dyDescent="0.25">
      <c r="A4043" t="str">
        <f>"4039"</f>
        <v>4039</v>
      </c>
      <c r="B4043" t="str">
        <f t="shared" si="231"/>
        <v>1</v>
      </c>
      <c r="C4043" t="str">
        <f t="shared" ref="C4043:C4067" si="233">"177"</f>
        <v>177</v>
      </c>
      <c r="D4043" t="str">
        <f>"23"</f>
        <v>23</v>
      </c>
      <c r="E4043" t="str">
        <f>"1-177-23"</f>
        <v>1-177-23</v>
      </c>
      <c r="F4043" t="s">
        <v>83</v>
      </c>
      <c r="G4043" t="s">
        <v>86</v>
      </c>
      <c r="H4043" t="s">
        <v>93</v>
      </c>
      <c r="I4043">
        <v>1</v>
      </c>
      <c r="K4043">
        <v>0</v>
      </c>
      <c r="L4043">
        <v>0</v>
      </c>
      <c r="M4043">
        <v>1</v>
      </c>
      <c r="N4043">
        <v>1</v>
      </c>
      <c r="O4043">
        <v>1</v>
      </c>
      <c r="P4043">
        <v>1</v>
      </c>
      <c r="Q4043">
        <v>1</v>
      </c>
      <c r="R4043">
        <v>1</v>
      </c>
      <c r="U4043">
        <v>1</v>
      </c>
      <c r="V4043">
        <v>0</v>
      </c>
      <c r="W4043">
        <v>1</v>
      </c>
      <c r="X4043">
        <v>1</v>
      </c>
      <c r="Y4043">
        <v>1</v>
      </c>
      <c r="Z4043">
        <v>1</v>
      </c>
      <c r="AA4043">
        <v>1</v>
      </c>
      <c r="AB4043">
        <v>1</v>
      </c>
    </row>
    <row r="4044" spans="1:49" x14ac:dyDescent="0.25">
      <c r="A4044" t="str">
        <f>"4040"</f>
        <v>4040</v>
      </c>
      <c r="B4044" t="str">
        <f t="shared" si="231"/>
        <v>1</v>
      </c>
      <c r="C4044" t="str">
        <f t="shared" si="233"/>
        <v>177</v>
      </c>
      <c r="D4044" t="str">
        <f>"22"</f>
        <v>22</v>
      </c>
      <c r="E4044" t="str">
        <f>"1-177-22"</f>
        <v>1-177-22</v>
      </c>
      <c r="F4044" t="s">
        <v>83</v>
      </c>
      <c r="G4044" t="s">
        <v>86</v>
      </c>
      <c r="H4044" t="s">
        <v>93</v>
      </c>
      <c r="I4044">
        <v>1</v>
      </c>
      <c r="K4044">
        <v>1</v>
      </c>
      <c r="L4044">
        <v>0</v>
      </c>
      <c r="M4044">
        <v>0</v>
      </c>
      <c r="N4044">
        <v>1</v>
      </c>
      <c r="O4044">
        <v>1</v>
      </c>
      <c r="P4044">
        <v>1</v>
      </c>
      <c r="Q4044">
        <v>1</v>
      </c>
      <c r="R4044">
        <v>1</v>
      </c>
      <c r="U4044">
        <v>1</v>
      </c>
      <c r="V4044">
        <v>0</v>
      </c>
      <c r="W4044">
        <v>1</v>
      </c>
      <c r="X4044">
        <v>1</v>
      </c>
      <c r="Y4044">
        <v>1</v>
      </c>
      <c r="Z4044">
        <v>1</v>
      </c>
      <c r="AA4044">
        <v>1</v>
      </c>
      <c r="AB4044">
        <v>1</v>
      </c>
    </row>
    <row r="4045" spans="1:49" x14ac:dyDescent="0.25">
      <c r="A4045" t="str">
        <f>"4041"</f>
        <v>4041</v>
      </c>
      <c r="B4045" t="str">
        <f t="shared" si="231"/>
        <v>1</v>
      </c>
      <c r="C4045" t="str">
        <f t="shared" si="233"/>
        <v>177</v>
      </c>
      <c r="D4045" t="str">
        <f>"15"</f>
        <v>15</v>
      </c>
      <c r="E4045" t="str">
        <f>"1-177-15"</f>
        <v>1-177-15</v>
      </c>
      <c r="F4045" t="s">
        <v>83</v>
      </c>
      <c r="G4045" t="s">
        <v>86</v>
      </c>
      <c r="H4045" t="s">
        <v>93</v>
      </c>
      <c r="I4045">
        <v>1</v>
      </c>
      <c r="K4045">
        <v>0</v>
      </c>
      <c r="L4045">
        <v>0</v>
      </c>
      <c r="M4045">
        <v>1</v>
      </c>
      <c r="N4045">
        <v>1</v>
      </c>
      <c r="O4045">
        <v>1</v>
      </c>
      <c r="P4045">
        <v>1</v>
      </c>
      <c r="Q4045">
        <v>1</v>
      </c>
      <c r="R4045">
        <v>1</v>
      </c>
      <c r="U4045">
        <v>0</v>
      </c>
      <c r="V4045">
        <v>1</v>
      </c>
      <c r="W4045">
        <v>1</v>
      </c>
      <c r="X4045">
        <v>1</v>
      </c>
      <c r="Y4045">
        <v>1</v>
      </c>
      <c r="Z4045">
        <v>1</v>
      </c>
      <c r="AA4045">
        <v>1</v>
      </c>
      <c r="AB4045">
        <v>1</v>
      </c>
    </row>
    <row r="4046" spans="1:49" x14ac:dyDescent="0.25">
      <c r="A4046" t="str">
        <f>"4042"</f>
        <v>4042</v>
      </c>
      <c r="B4046" t="str">
        <f t="shared" si="231"/>
        <v>1</v>
      </c>
      <c r="C4046" t="str">
        <f t="shared" si="233"/>
        <v>177</v>
      </c>
      <c r="D4046" t="str">
        <f>"8"</f>
        <v>8</v>
      </c>
      <c r="E4046" t="str">
        <f>"1-177-8"</f>
        <v>1-177-8</v>
      </c>
      <c r="F4046" t="s">
        <v>83</v>
      </c>
      <c r="G4046" t="s">
        <v>86</v>
      </c>
      <c r="H4046" t="s">
        <v>93</v>
      </c>
      <c r="I4046">
        <v>1</v>
      </c>
      <c r="K4046">
        <v>0</v>
      </c>
      <c r="L4046">
        <v>0</v>
      </c>
      <c r="M4046">
        <v>1</v>
      </c>
      <c r="N4046">
        <v>1</v>
      </c>
      <c r="O4046">
        <v>1</v>
      </c>
      <c r="P4046">
        <v>1</v>
      </c>
      <c r="Q4046">
        <v>1</v>
      </c>
      <c r="R4046">
        <v>1</v>
      </c>
      <c r="U4046">
        <v>0</v>
      </c>
      <c r="V4046">
        <v>1</v>
      </c>
      <c r="W4046">
        <v>1</v>
      </c>
      <c r="X4046">
        <v>1</v>
      </c>
      <c r="Y4046">
        <v>1</v>
      </c>
      <c r="Z4046">
        <v>1</v>
      </c>
      <c r="AA4046">
        <v>1</v>
      </c>
      <c r="AB4046">
        <v>1</v>
      </c>
    </row>
    <row r="4047" spans="1:49" x14ac:dyDescent="0.25">
      <c r="A4047" t="str">
        <f>"4043"</f>
        <v>4043</v>
      </c>
      <c r="B4047" t="str">
        <f t="shared" si="231"/>
        <v>1</v>
      </c>
      <c r="C4047" t="str">
        <f t="shared" si="233"/>
        <v>177</v>
      </c>
      <c r="D4047" t="str">
        <f>"4"</f>
        <v>4</v>
      </c>
      <c r="E4047" t="str">
        <f>"1-177-4"</f>
        <v>1-177-4</v>
      </c>
      <c r="F4047" t="s">
        <v>83</v>
      </c>
      <c r="G4047" t="s">
        <v>86</v>
      </c>
      <c r="H4047" t="s">
        <v>93</v>
      </c>
      <c r="I4047">
        <v>1</v>
      </c>
      <c r="K4047">
        <v>0</v>
      </c>
      <c r="L4047">
        <v>0</v>
      </c>
      <c r="M4047">
        <v>1</v>
      </c>
      <c r="N4047">
        <v>1</v>
      </c>
      <c r="O4047">
        <v>1</v>
      </c>
      <c r="P4047">
        <v>1</v>
      </c>
      <c r="Q4047">
        <v>1</v>
      </c>
      <c r="R4047">
        <v>1</v>
      </c>
      <c r="U4047">
        <v>1</v>
      </c>
      <c r="V4047">
        <v>0</v>
      </c>
      <c r="W4047">
        <v>0</v>
      </c>
      <c r="X4047">
        <v>0</v>
      </c>
      <c r="Y4047">
        <v>0</v>
      </c>
      <c r="Z4047">
        <v>0</v>
      </c>
      <c r="AA4047">
        <v>0</v>
      </c>
      <c r="AB4047">
        <v>0</v>
      </c>
    </row>
    <row r="4048" spans="1:49" x14ac:dyDescent="0.25">
      <c r="A4048" t="str">
        <f>"4044"</f>
        <v>4044</v>
      </c>
      <c r="B4048" t="str">
        <f t="shared" si="231"/>
        <v>1</v>
      </c>
      <c r="C4048" t="str">
        <f t="shared" si="233"/>
        <v>177</v>
      </c>
      <c r="D4048" t="str">
        <f>"25"</f>
        <v>25</v>
      </c>
      <c r="E4048" t="str">
        <f>"1-177-25"</f>
        <v>1-177-25</v>
      </c>
      <c r="F4048" t="s">
        <v>83</v>
      </c>
      <c r="G4048" t="s">
        <v>86</v>
      </c>
      <c r="H4048" t="s">
        <v>93</v>
      </c>
      <c r="I4048">
        <v>1</v>
      </c>
      <c r="K4048">
        <v>0</v>
      </c>
      <c r="L4048">
        <v>0</v>
      </c>
      <c r="M4048">
        <v>1</v>
      </c>
      <c r="N4048">
        <v>1</v>
      </c>
      <c r="O4048">
        <v>1</v>
      </c>
      <c r="P4048">
        <v>1</v>
      </c>
      <c r="Q4048">
        <v>1</v>
      </c>
      <c r="R4048">
        <v>1</v>
      </c>
      <c r="U4048">
        <v>0</v>
      </c>
      <c r="V4048">
        <v>1</v>
      </c>
      <c r="W4048">
        <v>1</v>
      </c>
      <c r="X4048">
        <v>1</v>
      </c>
      <c r="Y4048">
        <v>1</v>
      </c>
      <c r="Z4048">
        <v>1</v>
      </c>
      <c r="AA4048">
        <v>1</v>
      </c>
      <c r="AB4048">
        <v>1</v>
      </c>
    </row>
    <row r="4049" spans="1:28" x14ac:dyDescent="0.25">
      <c r="A4049" t="str">
        <f>"4045"</f>
        <v>4045</v>
      </c>
      <c r="B4049" t="str">
        <f t="shared" si="231"/>
        <v>1</v>
      </c>
      <c r="C4049" t="str">
        <f t="shared" si="233"/>
        <v>177</v>
      </c>
      <c r="D4049" t="str">
        <f>"24"</f>
        <v>24</v>
      </c>
      <c r="E4049" t="str">
        <f>"1-177-24"</f>
        <v>1-177-24</v>
      </c>
      <c r="F4049" t="s">
        <v>83</v>
      </c>
      <c r="G4049" t="s">
        <v>86</v>
      </c>
      <c r="H4049" t="s">
        <v>93</v>
      </c>
      <c r="I4049">
        <v>1</v>
      </c>
      <c r="K4049">
        <v>0</v>
      </c>
      <c r="L4049">
        <v>0</v>
      </c>
      <c r="M4049">
        <v>1</v>
      </c>
      <c r="N4049">
        <v>1</v>
      </c>
      <c r="O4049">
        <v>1</v>
      </c>
      <c r="P4049">
        <v>1</v>
      </c>
      <c r="Q4049">
        <v>1</v>
      </c>
      <c r="R4049">
        <v>1</v>
      </c>
      <c r="U4049">
        <v>0</v>
      </c>
      <c r="V4049">
        <v>1</v>
      </c>
      <c r="W4049">
        <v>1</v>
      </c>
      <c r="X4049">
        <v>1</v>
      </c>
      <c r="Y4049">
        <v>1</v>
      </c>
      <c r="Z4049">
        <v>1</v>
      </c>
      <c r="AA4049">
        <v>1</v>
      </c>
      <c r="AB4049">
        <v>1</v>
      </c>
    </row>
    <row r="4050" spans="1:28" x14ac:dyDescent="0.25">
      <c r="A4050" t="str">
        <f>"4046"</f>
        <v>4046</v>
      </c>
      <c r="B4050" t="str">
        <f t="shared" si="231"/>
        <v>1</v>
      </c>
      <c r="C4050" t="str">
        <f t="shared" si="233"/>
        <v>177</v>
      </c>
      <c r="D4050" t="str">
        <f>"16"</f>
        <v>16</v>
      </c>
      <c r="E4050" t="str">
        <f>"1-177-16"</f>
        <v>1-177-16</v>
      </c>
      <c r="F4050" t="s">
        <v>83</v>
      </c>
      <c r="G4050" t="s">
        <v>86</v>
      </c>
      <c r="H4050" t="s">
        <v>93</v>
      </c>
      <c r="I4050">
        <v>1</v>
      </c>
      <c r="K4050">
        <v>1</v>
      </c>
      <c r="L4050">
        <v>0</v>
      </c>
      <c r="M4050">
        <v>0</v>
      </c>
      <c r="N4050">
        <v>1</v>
      </c>
      <c r="O4050">
        <v>1</v>
      </c>
      <c r="P4050">
        <v>1</v>
      </c>
      <c r="Q4050">
        <v>1</v>
      </c>
      <c r="R4050">
        <v>1</v>
      </c>
      <c r="U4050">
        <v>0</v>
      </c>
      <c r="V4050">
        <v>1</v>
      </c>
      <c r="W4050">
        <v>1</v>
      </c>
      <c r="X4050">
        <v>1</v>
      </c>
      <c r="Y4050">
        <v>1</v>
      </c>
      <c r="Z4050">
        <v>1</v>
      </c>
      <c r="AA4050">
        <v>1</v>
      </c>
      <c r="AB4050">
        <v>1</v>
      </c>
    </row>
    <row r="4051" spans="1:28" x14ac:dyDescent="0.25">
      <c r="A4051" t="str">
        <f>"4047"</f>
        <v>4047</v>
      </c>
      <c r="B4051" t="str">
        <f t="shared" si="231"/>
        <v>1</v>
      </c>
      <c r="C4051" t="str">
        <f t="shared" si="233"/>
        <v>177</v>
      </c>
      <c r="D4051" t="str">
        <f>"9"</f>
        <v>9</v>
      </c>
      <c r="E4051" t="str">
        <f>"1-177-9"</f>
        <v>1-177-9</v>
      </c>
      <c r="F4051" t="s">
        <v>83</v>
      </c>
      <c r="G4051" t="s">
        <v>86</v>
      </c>
      <c r="H4051" t="s">
        <v>93</v>
      </c>
      <c r="I4051">
        <v>1</v>
      </c>
      <c r="K4051">
        <v>0</v>
      </c>
      <c r="L4051">
        <v>0</v>
      </c>
      <c r="M4051">
        <v>1</v>
      </c>
      <c r="N4051">
        <v>1</v>
      </c>
      <c r="O4051">
        <v>1</v>
      </c>
      <c r="P4051">
        <v>1</v>
      </c>
      <c r="Q4051">
        <v>1</v>
      </c>
      <c r="R4051">
        <v>1</v>
      </c>
      <c r="U4051">
        <v>0</v>
      </c>
      <c r="V4051">
        <v>1</v>
      </c>
      <c r="W4051">
        <v>1</v>
      </c>
      <c r="X4051">
        <v>1</v>
      </c>
      <c r="Y4051">
        <v>1</v>
      </c>
      <c r="Z4051">
        <v>1</v>
      </c>
      <c r="AA4051">
        <v>1</v>
      </c>
      <c r="AB4051">
        <v>1</v>
      </c>
    </row>
    <row r="4052" spans="1:28" x14ac:dyDescent="0.25">
      <c r="A4052" t="str">
        <f>"4048"</f>
        <v>4048</v>
      </c>
      <c r="B4052" t="str">
        <f t="shared" si="231"/>
        <v>1</v>
      </c>
      <c r="C4052" t="str">
        <f t="shared" si="233"/>
        <v>177</v>
      </c>
      <c r="D4052" t="str">
        <f>"3"</f>
        <v>3</v>
      </c>
      <c r="E4052" t="str">
        <f>"1-177-3"</f>
        <v>1-177-3</v>
      </c>
      <c r="F4052" t="s">
        <v>83</v>
      </c>
      <c r="G4052" t="s">
        <v>86</v>
      </c>
      <c r="H4052" t="s">
        <v>93</v>
      </c>
      <c r="I4052">
        <v>1</v>
      </c>
      <c r="K4052">
        <v>1</v>
      </c>
      <c r="L4052">
        <v>0</v>
      </c>
      <c r="M4052">
        <v>0</v>
      </c>
      <c r="N4052">
        <v>1</v>
      </c>
      <c r="O4052">
        <v>1</v>
      </c>
      <c r="P4052">
        <v>1</v>
      </c>
      <c r="Q4052">
        <v>1</v>
      </c>
      <c r="R4052">
        <v>1</v>
      </c>
      <c r="U4052">
        <v>1</v>
      </c>
      <c r="V4052">
        <v>0</v>
      </c>
      <c r="W4052">
        <v>1</v>
      </c>
      <c r="X4052">
        <v>1</v>
      </c>
      <c r="Y4052">
        <v>1</v>
      </c>
      <c r="Z4052">
        <v>1</v>
      </c>
      <c r="AA4052">
        <v>1</v>
      </c>
      <c r="AB4052">
        <v>1</v>
      </c>
    </row>
    <row r="4053" spans="1:28" x14ac:dyDescent="0.25">
      <c r="A4053" t="str">
        <f>"4049"</f>
        <v>4049</v>
      </c>
      <c r="B4053" t="str">
        <f t="shared" si="231"/>
        <v>1</v>
      </c>
      <c r="C4053" t="str">
        <f t="shared" si="233"/>
        <v>177</v>
      </c>
      <c r="D4053" t="str">
        <f>"17"</f>
        <v>17</v>
      </c>
      <c r="E4053" t="str">
        <f>"1-177-17"</f>
        <v>1-177-17</v>
      </c>
      <c r="F4053" t="s">
        <v>83</v>
      </c>
      <c r="G4053" t="s">
        <v>86</v>
      </c>
      <c r="H4053" t="s">
        <v>93</v>
      </c>
      <c r="I4053">
        <v>1</v>
      </c>
      <c r="K4053">
        <v>0</v>
      </c>
      <c r="L4053">
        <v>0</v>
      </c>
      <c r="M4053">
        <v>1</v>
      </c>
      <c r="N4053">
        <v>1</v>
      </c>
      <c r="O4053">
        <v>1</v>
      </c>
      <c r="P4053">
        <v>1</v>
      </c>
      <c r="Q4053">
        <v>1</v>
      </c>
      <c r="R4053">
        <v>1</v>
      </c>
      <c r="U4053">
        <v>0</v>
      </c>
      <c r="V4053">
        <v>1</v>
      </c>
      <c r="W4053">
        <v>1</v>
      </c>
      <c r="X4053">
        <v>1</v>
      </c>
      <c r="Y4053">
        <v>1</v>
      </c>
      <c r="Z4053">
        <v>1</v>
      </c>
      <c r="AA4053">
        <v>1</v>
      </c>
      <c r="AB4053">
        <v>1</v>
      </c>
    </row>
    <row r="4054" spans="1:28" x14ac:dyDescent="0.25">
      <c r="A4054" t="str">
        <f>"4050"</f>
        <v>4050</v>
      </c>
      <c r="B4054" t="str">
        <f t="shared" si="231"/>
        <v>1</v>
      </c>
      <c r="C4054" t="str">
        <f t="shared" si="233"/>
        <v>177</v>
      </c>
      <c r="D4054" t="str">
        <f>"10"</f>
        <v>10</v>
      </c>
      <c r="E4054" t="str">
        <f>"1-177-10"</f>
        <v>1-177-10</v>
      </c>
      <c r="F4054" t="s">
        <v>83</v>
      </c>
      <c r="G4054" t="s">
        <v>86</v>
      </c>
      <c r="H4054" t="s">
        <v>93</v>
      </c>
      <c r="I4054">
        <v>1</v>
      </c>
      <c r="K4054">
        <v>0</v>
      </c>
      <c r="L4054">
        <v>0</v>
      </c>
      <c r="M4054">
        <v>1</v>
      </c>
      <c r="N4054">
        <v>1</v>
      </c>
      <c r="O4054">
        <v>1</v>
      </c>
      <c r="P4054">
        <v>1</v>
      </c>
      <c r="Q4054">
        <v>1</v>
      </c>
      <c r="R4054">
        <v>1</v>
      </c>
      <c r="U4054">
        <v>0</v>
      </c>
      <c r="V4054">
        <v>1</v>
      </c>
      <c r="W4054">
        <v>1</v>
      </c>
      <c r="X4054">
        <v>1</v>
      </c>
      <c r="Y4054">
        <v>1</v>
      </c>
      <c r="Z4054">
        <v>1</v>
      </c>
      <c r="AA4054">
        <v>1</v>
      </c>
      <c r="AB4054">
        <v>1</v>
      </c>
    </row>
    <row r="4055" spans="1:28" x14ac:dyDescent="0.25">
      <c r="A4055" t="str">
        <f>"4051"</f>
        <v>4051</v>
      </c>
      <c r="B4055" t="str">
        <f t="shared" si="231"/>
        <v>1</v>
      </c>
      <c r="C4055" t="str">
        <f t="shared" si="233"/>
        <v>177</v>
      </c>
      <c r="D4055" t="str">
        <f>"1"</f>
        <v>1</v>
      </c>
      <c r="E4055" t="str">
        <f>"1-177-1"</f>
        <v>1-177-1</v>
      </c>
      <c r="F4055" t="s">
        <v>83</v>
      </c>
      <c r="G4055" t="s">
        <v>86</v>
      </c>
      <c r="H4055" t="s">
        <v>93</v>
      </c>
      <c r="I4055">
        <v>1</v>
      </c>
      <c r="K4055">
        <v>0</v>
      </c>
      <c r="L4055">
        <v>0</v>
      </c>
      <c r="M4055">
        <v>1</v>
      </c>
      <c r="N4055">
        <v>1</v>
      </c>
      <c r="O4055">
        <v>1</v>
      </c>
      <c r="P4055">
        <v>1</v>
      </c>
      <c r="Q4055">
        <v>1</v>
      </c>
      <c r="R4055">
        <v>1</v>
      </c>
      <c r="U4055">
        <v>0</v>
      </c>
      <c r="V4055">
        <v>1</v>
      </c>
      <c r="W4055">
        <v>1</v>
      </c>
      <c r="X4055">
        <v>1</v>
      </c>
      <c r="Y4055">
        <v>1</v>
      </c>
      <c r="Z4055">
        <v>1</v>
      </c>
      <c r="AA4055">
        <v>1</v>
      </c>
      <c r="AB4055">
        <v>1</v>
      </c>
    </row>
    <row r="4056" spans="1:28" x14ac:dyDescent="0.25">
      <c r="A4056" t="str">
        <f>"4052"</f>
        <v>4052</v>
      </c>
      <c r="B4056" t="str">
        <f t="shared" si="231"/>
        <v>1</v>
      </c>
      <c r="C4056" t="str">
        <f t="shared" si="233"/>
        <v>177</v>
      </c>
      <c r="D4056" t="str">
        <f>"18"</f>
        <v>18</v>
      </c>
      <c r="E4056" t="str">
        <f>"1-177-18"</f>
        <v>1-177-18</v>
      </c>
      <c r="F4056" t="s">
        <v>83</v>
      </c>
      <c r="G4056" t="s">
        <v>86</v>
      </c>
      <c r="H4056" t="s">
        <v>93</v>
      </c>
      <c r="I4056">
        <v>1</v>
      </c>
      <c r="K4056">
        <v>0</v>
      </c>
      <c r="L4056">
        <v>0</v>
      </c>
      <c r="M4056">
        <v>1</v>
      </c>
      <c r="N4056">
        <v>1</v>
      </c>
      <c r="O4056">
        <v>1</v>
      </c>
      <c r="P4056">
        <v>1</v>
      </c>
      <c r="Q4056">
        <v>1</v>
      </c>
      <c r="R4056">
        <v>1</v>
      </c>
      <c r="U4056">
        <v>0</v>
      </c>
      <c r="V4056">
        <v>1</v>
      </c>
      <c r="W4056">
        <v>1</v>
      </c>
      <c r="X4056">
        <v>1</v>
      </c>
      <c r="Y4056">
        <v>1</v>
      </c>
      <c r="Z4056">
        <v>1</v>
      </c>
      <c r="AA4056">
        <v>1</v>
      </c>
      <c r="AB4056">
        <v>1</v>
      </c>
    </row>
    <row r="4057" spans="1:28" x14ac:dyDescent="0.25">
      <c r="A4057" t="str">
        <f>"4053"</f>
        <v>4053</v>
      </c>
      <c r="B4057" t="str">
        <f t="shared" si="231"/>
        <v>1</v>
      </c>
      <c r="C4057" t="str">
        <f t="shared" si="233"/>
        <v>177</v>
      </c>
      <c r="D4057" t="str">
        <f>"11"</f>
        <v>11</v>
      </c>
      <c r="E4057" t="str">
        <f>"1-177-11"</f>
        <v>1-177-11</v>
      </c>
      <c r="F4057" t="s">
        <v>83</v>
      </c>
      <c r="G4057" t="s">
        <v>86</v>
      </c>
      <c r="H4057" t="s">
        <v>93</v>
      </c>
      <c r="I4057">
        <v>1</v>
      </c>
      <c r="K4057">
        <v>1</v>
      </c>
      <c r="L4057">
        <v>0</v>
      </c>
      <c r="M4057">
        <v>0</v>
      </c>
      <c r="N4057">
        <v>1</v>
      </c>
      <c r="O4057">
        <v>1</v>
      </c>
      <c r="P4057">
        <v>1</v>
      </c>
      <c r="Q4057">
        <v>1</v>
      </c>
      <c r="R4057">
        <v>1</v>
      </c>
      <c r="U4057">
        <v>0</v>
      </c>
      <c r="V4057">
        <v>1</v>
      </c>
      <c r="W4057">
        <v>1</v>
      </c>
      <c r="X4057">
        <v>1</v>
      </c>
      <c r="Y4057">
        <v>1</v>
      </c>
      <c r="Z4057">
        <v>1</v>
      </c>
      <c r="AA4057">
        <v>1</v>
      </c>
      <c r="AB4057">
        <v>1</v>
      </c>
    </row>
    <row r="4058" spans="1:28" x14ac:dyDescent="0.25">
      <c r="A4058" t="str">
        <f>"4054"</f>
        <v>4054</v>
      </c>
      <c r="B4058" t="str">
        <f t="shared" si="231"/>
        <v>1</v>
      </c>
      <c r="C4058" t="str">
        <f t="shared" si="233"/>
        <v>177</v>
      </c>
      <c r="D4058" t="str">
        <f>"6"</f>
        <v>6</v>
      </c>
      <c r="E4058" t="str">
        <f>"1-177-6"</f>
        <v>1-177-6</v>
      </c>
      <c r="F4058" t="s">
        <v>83</v>
      </c>
      <c r="G4058" t="s">
        <v>86</v>
      </c>
      <c r="H4058" t="s">
        <v>93</v>
      </c>
      <c r="I4058">
        <v>1</v>
      </c>
      <c r="K4058">
        <v>0</v>
      </c>
      <c r="L4058">
        <v>1</v>
      </c>
      <c r="M4058">
        <v>0</v>
      </c>
      <c r="N4058">
        <v>1</v>
      </c>
      <c r="O4058">
        <v>1</v>
      </c>
      <c r="P4058">
        <v>1</v>
      </c>
      <c r="Q4058">
        <v>1</v>
      </c>
      <c r="R4058">
        <v>1</v>
      </c>
      <c r="U4058">
        <v>0</v>
      </c>
      <c r="V4058">
        <v>1</v>
      </c>
      <c r="W4058">
        <v>1</v>
      </c>
      <c r="X4058">
        <v>1</v>
      </c>
      <c r="Y4058">
        <v>1</v>
      </c>
      <c r="Z4058">
        <v>1</v>
      </c>
      <c r="AA4058">
        <v>1</v>
      </c>
      <c r="AB4058">
        <v>1</v>
      </c>
    </row>
    <row r="4059" spans="1:28" x14ac:dyDescent="0.25">
      <c r="A4059" t="str">
        <f>"4055"</f>
        <v>4055</v>
      </c>
      <c r="B4059" t="str">
        <f t="shared" si="231"/>
        <v>1</v>
      </c>
      <c r="C4059" t="str">
        <f t="shared" si="233"/>
        <v>177</v>
      </c>
      <c r="D4059" t="str">
        <f>"19"</f>
        <v>19</v>
      </c>
      <c r="E4059" t="str">
        <f>"1-177-19"</f>
        <v>1-177-19</v>
      </c>
      <c r="F4059" t="s">
        <v>83</v>
      </c>
      <c r="G4059" t="s">
        <v>86</v>
      </c>
      <c r="H4059" t="s">
        <v>93</v>
      </c>
      <c r="I4059">
        <v>1</v>
      </c>
      <c r="K4059">
        <v>0</v>
      </c>
      <c r="L4059">
        <v>0</v>
      </c>
      <c r="M4059">
        <v>1</v>
      </c>
      <c r="N4059">
        <v>1</v>
      </c>
      <c r="O4059">
        <v>1</v>
      </c>
      <c r="P4059">
        <v>1</v>
      </c>
      <c r="Q4059">
        <v>1</v>
      </c>
      <c r="R4059">
        <v>1</v>
      </c>
      <c r="U4059">
        <v>1</v>
      </c>
      <c r="V4059">
        <v>0</v>
      </c>
      <c r="W4059">
        <v>1</v>
      </c>
      <c r="X4059">
        <v>1</v>
      </c>
      <c r="Y4059">
        <v>1</v>
      </c>
      <c r="Z4059">
        <v>1</v>
      </c>
      <c r="AA4059">
        <v>1</v>
      </c>
      <c r="AB4059">
        <v>1</v>
      </c>
    </row>
    <row r="4060" spans="1:28" x14ac:dyDescent="0.25">
      <c r="A4060" t="str">
        <f>"4056"</f>
        <v>4056</v>
      </c>
      <c r="B4060" t="str">
        <f t="shared" si="231"/>
        <v>1</v>
      </c>
      <c r="C4060" t="str">
        <f t="shared" si="233"/>
        <v>177</v>
      </c>
      <c r="D4060" t="str">
        <f>"12"</f>
        <v>12</v>
      </c>
      <c r="E4060" t="str">
        <f>"1-177-12"</f>
        <v>1-177-12</v>
      </c>
      <c r="F4060" t="s">
        <v>83</v>
      </c>
      <c r="G4060" t="s">
        <v>86</v>
      </c>
      <c r="H4060" t="s">
        <v>93</v>
      </c>
      <c r="I4060">
        <v>1</v>
      </c>
      <c r="K4060">
        <v>1</v>
      </c>
      <c r="L4060">
        <v>0</v>
      </c>
      <c r="M4060">
        <v>0</v>
      </c>
      <c r="N4060">
        <v>1</v>
      </c>
      <c r="O4060">
        <v>1</v>
      </c>
      <c r="P4060">
        <v>1</v>
      </c>
      <c r="Q4060">
        <v>1</v>
      </c>
      <c r="R4060">
        <v>0</v>
      </c>
      <c r="U4060">
        <v>0</v>
      </c>
      <c r="V4060">
        <v>0</v>
      </c>
      <c r="W4060">
        <v>1</v>
      </c>
      <c r="X4060">
        <v>1</v>
      </c>
      <c r="Y4060">
        <v>1</v>
      </c>
      <c r="Z4060">
        <v>1</v>
      </c>
      <c r="AA4060">
        <v>1</v>
      </c>
      <c r="AB4060">
        <v>1</v>
      </c>
    </row>
    <row r="4061" spans="1:28" x14ac:dyDescent="0.25">
      <c r="A4061" t="str">
        <f>"4057"</f>
        <v>4057</v>
      </c>
      <c r="B4061" t="str">
        <f t="shared" si="231"/>
        <v>1</v>
      </c>
      <c r="C4061" t="str">
        <f t="shared" si="233"/>
        <v>177</v>
      </c>
      <c r="D4061" t="str">
        <f>"21"</f>
        <v>21</v>
      </c>
      <c r="E4061" t="str">
        <f>"1-177-21"</f>
        <v>1-177-21</v>
      </c>
      <c r="F4061" t="s">
        <v>83</v>
      </c>
      <c r="G4061" t="s">
        <v>86</v>
      </c>
      <c r="H4061" t="s">
        <v>93</v>
      </c>
      <c r="I4061">
        <v>1</v>
      </c>
      <c r="K4061">
        <v>0</v>
      </c>
      <c r="L4061">
        <v>0</v>
      </c>
      <c r="M4061">
        <v>1</v>
      </c>
      <c r="N4061">
        <v>1</v>
      </c>
      <c r="O4061">
        <v>1</v>
      </c>
      <c r="P4061">
        <v>1</v>
      </c>
      <c r="Q4061">
        <v>1</v>
      </c>
      <c r="R4061">
        <v>1</v>
      </c>
      <c r="U4061">
        <v>1</v>
      </c>
      <c r="V4061">
        <v>0</v>
      </c>
      <c r="W4061">
        <v>1</v>
      </c>
      <c r="X4061">
        <v>1</v>
      </c>
      <c r="Y4061">
        <v>1</v>
      </c>
      <c r="Z4061">
        <v>1</v>
      </c>
      <c r="AA4061">
        <v>1</v>
      </c>
      <c r="AB4061">
        <v>1</v>
      </c>
    </row>
    <row r="4062" spans="1:28" x14ac:dyDescent="0.25">
      <c r="A4062" t="str">
        <f>"4058"</f>
        <v>4058</v>
      </c>
      <c r="B4062" t="str">
        <f t="shared" ref="B4062:B4125" si="234">"1"</f>
        <v>1</v>
      </c>
      <c r="C4062" t="str">
        <f t="shared" si="233"/>
        <v>177</v>
      </c>
      <c r="D4062" t="str">
        <f>"13"</f>
        <v>13</v>
      </c>
      <c r="E4062" t="str">
        <f>"1-177-13"</f>
        <v>1-177-13</v>
      </c>
      <c r="F4062" t="s">
        <v>83</v>
      </c>
      <c r="G4062" t="s">
        <v>86</v>
      </c>
      <c r="H4062" t="s">
        <v>93</v>
      </c>
      <c r="I4062">
        <v>1</v>
      </c>
      <c r="K4062">
        <v>1</v>
      </c>
      <c r="L4062">
        <v>0</v>
      </c>
      <c r="M4062">
        <v>0</v>
      </c>
      <c r="N4062">
        <v>1</v>
      </c>
      <c r="O4062">
        <v>1</v>
      </c>
      <c r="P4062">
        <v>1</v>
      </c>
      <c r="Q4062">
        <v>1</v>
      </c>
      <c r="R4062">
        <v>1</v>
      </c>
      <c r="U4062">
        <v>0</v>
      </c>
      <c r="V4062">
        <v>1</v>
      </c>
      <c r="W4062">
        <v>1</v>
      </c>
      <c r="X4062">
        <v>1</v>
      </c>
      <c r="Y4062">
        <v>1</v>
      </c>
      <c r="Z4062">
        <v>1</v>
      </c>
      <c r="AA4062">
        <v>1</v>
      </c>
      <c r="AB4062">
        <v>1</v>
      </c>
    </row>
    <row r="4063" spans="1:28" x14ac:dyDescent="0.25">
      <c r="A4063" t="str">
        <f>"4059"</f>
        <v>4059</v>
      </c>
      <c r="B4063" t="str">
        <f t="shared" si="234"/>
        <v>1</v>
      </c>
      <c r="C4063" t="str">
        <f t="shared" si="233"/>
        <v>177</v>
      </c>
      <c r="D4063" t="str">
        <f>"2"</f>
        <v>2</v>
      </c>
      <c r="E4063" t="str">
        <f>"1-177-2"</f>
        <v>1-177-2</v>
      </c>
      <c r="F4063" t="s">
        <v>83</v>
      </c>
      <c r="G4063" t="s">
        <v>86</v>
      </c>
      <c r="H4063" t="s">
        <v>93</v>
      </c>
      <c r="I4063">
        <v>1</v>
      </c>
      <c r="K4063">
        <v>0</v>
      </c>
      <c r="L4063">
        <v>0</v>
      </c>
      <c r="M4063">
        <v>1</v>
      </c>
      <c r="N4063">
        <v>1</v>
      </c>
      <c r="O4063">
        <v>1</v>
      </c>
      <c r="P4063">
        <v>1</v>
      </c>
      <c r="Q4063">
        <v>1</v>
      </c>
      <c r="R4063">
        <v>1</v>
      </c>
      <c r="U4063">
        <v>0</v>
      </c>
      <c r="V4063">
        <v>1</v>
      </c>
      <c r="W4063">
        <v>1</v>
      </c>
      <c r="X4063">
        <v>1</v>
      </c>
      <c r="Y4063">
        <v>1</v>
      </c>
      <c r="Z4063">
        <v>1</v>
      </c>
      <c r="AA4063">
        <v>1</v>
      </c>
      <c r="AB4063">
        <v>1</v>
      </c>
    </row>
    <row r="4064" spans="1:28" x14ac:dyDescent="0.25">
      <c r="A4064" t="str">
        <f>"4060"</f>
        <v>4060</v>
      </c>
      <c r="B4064" t="str">
        <f t="shared" si="234"/>
        <v>1</v>
      </c>
      <c r="C4064" t="str">
        <f t="shared" si="233"/>
        <v>177</v>
      </c>
      <c r="D4064" t="str">
        <f>"20"</f>
        <v>20</v>
      </c>
      <c r="E4064" t="str">
        <f>"1-177-20"</f>
        <v>1-177-20</v>
      </c>
      <c r="F4064" t="s">
        <v>83</v>
      </c>
      <c r="G4064" t="s">
        <v>86</v>
      </c>
      <c r="H4064" t="s">
        <v>93</v>
      </c>
      <c r="I4064">
        <v>0</v>
      </c>
      <c r="K4064">
        <v>0</v>
      </c>
      <c r="L4064">
        <v>0</v>
      </c>
      <c r="M4064">
        <v>1</v>
      </c>
      <c r="N4064">
        <v>0</v>
      </c>
      <c r="O4064">
        <v>0</v>
      </c>
      <c r="P4064">
        <v>0</v>
      </c>
      <c r="Q4064">
        <v>0</v>
      </c>
      <c r="R4064">
        <v>0</v>
      </c>
      <c r="U4064">
        <v>1</v>
      </c>
      <c r="V4064">
        <v>0</v>
      </c>
      <c r="W4064">
        <v>0</v>
      </c>
      <c r="X4064">
        <v>0</v>
      </c>
      <c r="Y4064">
        <v>0</v>
      </c>
      <c r="Z4064">
        <v>0</v>
      </c>
      <c r="AA4064">
        <v>0</v>
      </c>
      <c r="AB4064">
        <v>0</v>
      </c>
    </row>
    <row r="4065" spans="1:49" x14ac:dyDescent="0.25">
      <c r="A4065" t="str">
        <f>"4061"</f>
        <v>4061</v>
      </c>
      <c r="B4065" t="str">
        <f t="shared" si="234"/>
        <v>1</v>
      </c>
      <c r="C4065" t="str">
        <f t="shared" si="233"/>
        <v>177</v>
      </c>
      <c r="D4065" t="str">
        <f>"14"</f>
        <v>14</v>
      </c>
      <c r="E4065" t="str">
        <f>"1-177-14"</f>
        <v>1-177-14</v>
      </c>
      <c r="F4065" t="s">
        <v>83</v>
      </c>
      <c r="G4065" t="s">
        <v>86</v>
      </c>
      <c r="H4065" t="s">
        <v>93</v>
      </c>
      <c r="I4065">
        <v>1</v>
      </c>
      <c r="K4065">
        <v>0</v>
      </c>
      <c r="L4065">
        <v>0</v>
      </c>
      <c r="M4065">
        <v>1</v>
      </c>
      <c r="N4065">
        <v>1</v>
      </c>
      <c r="O4065">
        <v>1</v>
      </c>
      <c r="P4065">
        <v>1</v>
      </c>
      <c r="Q4065">
        <v>1</v>
      </c>
      <c r="R4065">
        <v>1</v>
      </c>
      <c r="U4065">
        <v>0</v>
      </c>
      <c r="V4065">
        <v>1</v>
      </c>
      <c r="W4065">
        <v>1</v>
      </c>
      <c r="X4065">
        <v>1</v>
      </c>
      <c r="Y4065">
        <v>1</v>
      </c>
      <c r="Z4065">
        <v>1</v>
      </c>
      <c r="AA4065">
        <v>1</v>
      </c>
      <c r="AB4065">
        <v>1</v>
      </c>
    </row>
    <row r="4066" spans="1:49" x14ac:dyDescent="0.25">
      <c r="A4066" t="str">
        <f>"4062"</f>
        <v>4062</v>
      </c>
      <c r="B4066" t="str">
        <f t="shared" si="234"/>
        <v>1</v>
      </c>
      <c r="C4066" t="str">
        <f t="shared" si="233"/>
        <v>177</v>
      </c>
      <c r="D4066" t="str">
        <f>"5"</f>
        <v>5</v>
      </c>
      <c r="E4066" t="str">
        <f>"1-177-5"</f>
        <v>1-177-5</v>
      </c>
      <c r="F4066" t="s">
        <v>83</v>
      </c>
      <c r="G4066" t="s">
        <v>86</v>
      </c>
      <c r="H4066" t="s">
        <v>93</v>
      </c>
      <c r="I4066">
        <v>1</v>
      </c>
      <c r="K4066">
        <v>0</v>
      </c>
      <c r="L4066">
        <v>0</v>
      </c>
      <c r="M4066">
        <v>1</v>
      </c>
      <c r="N4066">
        <v>1</v>
      </c>
      <c r="O4066">
        <v>1</v>
      </c>
      <c r="P4066">
        <v>1</v>
      </c>
      <c r="Q4066">
        <v>1</v>
      </c>
      <c r="R4066">
        <v>0</v>
      </c>
      <c r="U4066">
        <v>1</v>
      </c>
      <c r="V4066">
        <v>0</v>
      </c>
      <c r="W4066">
        <v>0</v>
      </c>
      <c r="X4066">
        <v>0</v>
      </c>
      <c r="Y4066">
        <v>0</v>
      </c>
      <c r="Z4066">
        <v>0</v>
      </c>
      <c r="AA4066">
        <v>0</v>
      </c>
      <c r="AB4066">
        <v>0</v>
      </c>
    </row>
    <row r="4067" spans="1:49" x14ac:dyDescent="0.25">
      <c r="A4067" t="str">
        <f>"4063"</f>
        <v>4063</v>
      </c>
      <c r="B4067" t="str">
        <f t="shared" si="234"/>
        <v>1</v>
      </c>
      <c r="C4067" t="str">
        <f t="shared" si="233"/>
        <v>177</v>
      </c>
      <c r="D4067" t="str">
        <f>"7"</f>
        <v>7</v>
      </c>
      <c r="E4067" t="str">
        <f>"1-177-7"</f>
        <v>1-177-7</v>
      </c>
      <c r="F4067" t="s">
        <v>83</v>
      </c>
      <c r="G4067" t="s">
        <v>86</v>
      </c>
      <c r="H4067" t="s">
        <v>93</v>
      </c>
      <c r="I4067">
        <v>0</v>
      </c>
      <c r="K4067">
        <v>0</v>
      </c>
      <c r="L4067">
        <v>0</v>
      </c>
      <c r="M4067">
        <v>0</v>
      </c>
      <c r="N4067">
        <v>1</v>
      </c>
      <c r="O4067">
        <v>1</v>
      </c>
      <c r="P4067">
        <v>1</v>
      </c>
      <c r="Q4067">
        <v>1</v>
      </c>
      <c r="R4067">
        <v>0</v>
      </c>
      <c r="U4067">
        <v>1</v>
      </c>
      <c r="V4067">
        <v>0</v>
      </c>
      <c r="W4067">
        <v>0</v>
      </c>
      <c r="X4067">
        <v>0</v>
      </c>
      <c r="Y4067">
        <v>0</v>
      </c>
      <c r="Z4067">
        <v>0</v>
      </c>
      <c r="AA4067">
        <v>0</v>
      </c>
      <c r="AB4067">
        <v>0</v>
      </c>
    </row>
    <row r="4068" spans="1:49" x14ac:dyDescent="0.25">
      <c r="A4068" t="str">
        <f>"4064"</f>
        <v>4064</v>
      </c>
      <c r="B4068" t="str">
        <f t="shared" si="234"/>
        <v>1</v>
      </c>
      <c r="C4068" t="str">
        <f t="shared" ref="C4068:C4075" si="235">"178"</f>
        <v>178</v>
      </c>
      <c r="D4068" t="str">
        <f>"8"</f>
        <v>8</v>
      </c>
      <c r="E4068" t="str">
        <f>"1-178-8"</f>
        <v>1-178-8</v>
      </c>
      <c r="F4068" t="s">
        <v>83</v>
      </c>
      <c r="G4068" t="s">
        <v>88</v>
      </c>
      <c r="H4068" t="s">
        <v>89</v>
      </c>
      <c r="AC4068">
        <v>0</v>
      </c>
      <c r="AD4068">
        <v>1</v>
      </c>
      <c r="AE4068">
        <v>0</v>
      </c>
      <c r="AF4068">
        <v>0</v>
      </c>
      <c r="AH4068">
        <v>1</v>
      </c>
      <c r="AI4068">
        <v>0</v>
      </c>
      <c r="AJ4068">
        <v>1</v>
      </c>
      <c r="AK4068">
        <v>0</v>
      </c>
      <c r="AL4068">
        <v>1</v>
      </c>
      <c r="AM4068">
        <v>0</v>
      </c>
      <c r="AN4068">
        <v>0</v>
      </c>
      <c r="AO4068">
        <v>0</v>
      </c>
      <c r="AP4068">
        <v>1</v>
      </c>
      <c r="AQ4068">
        <v>1</v>
      </c>
      <c r="AR4068">
        <v>1</v>
      </c>
      <c r="AS4068">
        <v>1</v>
      </c>
      <c r="AT4068">
        <v>0</v>
      </c>
      <c r="AV4068">
        <v>0</v>
      </c>
      <c r="AW4068">
        <v>1</v>
      </c>
    </row>
    <row r="4069" spans="1:49" x14ac:dyDescent="0.25">
      <c r="A4069" t="str">
        <f>"4065"</f>
        <v>4065</v>
      </c>
      <c r="B4069" t="str">
        <f t="shared" si="234"/>
        <v>1</v>
      </c>
      <c r="C4069" t="str">
        <f t="shared" si="235"/>
        <v>178</v>
      </c>
      <c r="D4069" t="str">
        <f>"1"</f>
        <v>1</v>
      </c>
      <c r="E4069" t="str">
        <f>"1-178-1"</f>
        <v>1-178-1</v>
      </c>
      <c r="F4069" t="s">
        <v>83</v>
      </c>
      <c r="G4069" t="s">
        <v>84</v>
      </c>
      <c r="H4069" t="s">
        <v>92</v>
      </c>
      <c r="I4069">
        <v>1</v>
      </c>
      <c r="J4069">
        <v>1</v>
      </c>
      <c r="N4069">
        <v>1</v>
      </c>
      <c r="O4069">
        <v>1</v>
      </c>
      <c r="P4069">
        <v>1</v>
      </c>
      <c r="Q4069">
        <v>1</v>
      </c>
      <c r="R4069">
        <v>1</v>
      </c>
      <c r="S4069">
        <v>1</v>
      </c>
      <c r="T4069">
        <v>1</v>
      </c>
      <c r="W4069">
        <v>1</v>
      </c>
      <c r="X4069">
        <v>1</v>
      </c>
      <c r="Y4069">
        <v>1</v>
      </c>
      <c r="Z4069">
        <v>1</v>
      </c>
      <c r="AA4069">
        <v>1</v>
      </c>
      <c r="AB4069">
        <v>1</v>
      </c>
    </row>
    <row r="4070" spans="1:49" x14ac:dyDescent="0.25">
      <c r="A4070" t="str">
        <f>"4066"</f>
        <v>4066</v>
      </c>
      <c r="B4070" t="str">
        <f t="shared" si="234"/>
        <v>1</v>
      </c>
      <c r="C4070" t="str">
        <f t="shared" si="235"/>
        <v>178</v>
      </c>
      <c r="D4070" t="str">
        <f>"3"</f>
        <v>3</v>
      </c>
      <c r="E4070" t="str">
        <f>"1-178-3"</f>
        <v>1-178-3</v>
      </c>
      <c r="F4070" t="s">
        <v>83</v>
      </c>
      <c r="G4070" t="s">
        <v>84</v>
      </c>
      <c r="H4070" t="s">
        <v>92</v>
      </c>
      <c r="I4070">
        <v>1</v>
      </c>
      <c r="J4070">
        <v>1</v>
      </c>
      <c r="N4070">
        <v>1</v>
      </c>
      <c r="O4070">
        <v>1</v>
      </c>
      <c r="P4070">
        <v>1</v>
      </c>
      <c r="Q4070">
        <v>1</v>
      </c>
      <c r="R4070">
        <v>1</v>
      </c>
      <c r="S4070">
        <v>1</v>
      </c>
      <c r="T4070">
        <v>1</v>
      </c>
      <c r="W4070">
        <v>0</v>
      </c>
      <c r="X4070">
        <v>1</v>
      </c>
      <c r="Y4070">
        <v>1</v>
      </c>
      <c r="Z4070">
        <v>1</v>
      </c>
      <c r="AA4070">
        <v>1</v>
      </c>
      <c r="AB4070">
        <v>1</v>
      </c>
    </row>
    <row r="4071" spans="1:49" x14ac:dyDescent="0.25">
      <c r="A4071" t="str">
        <f>"4067"</f>
        <v>4067</v>
      </c>
      <c r="B4071" t="str">
        <f t="shared" si="234"/>
        <v>1</v>
      </c>
      <c r="C4071" t="str">
        <f t="shared" si="235"/>
        <v>178</v>
      </c>
      <c r="D4071" t="str">
        <f>"4"</f>
        <v>4</v>
      </c>
      <c r="E4071" t="str">
        <f>"1-178-4"</f>
        <v>1-178-4</v>
      </c>
      <c r="F4071" t="s">
        <v>83</v>
      </c>
      <c r="G4071" t="s">
        <v>86</v>
      </c>
      <c r="H4071" t="s">
        <v>93</v>
      </c>
      <c r="I4071">
        <v>1</v>
      </c>
      <c r="K4071">
        <v>0</v>
      </c>
      <c r="L4071">
        <v>0</v>
      </c>
      <c r="M4071">
        <v>1</v>
      </c>
      <c r="N4071">
        <v>1</v>
      </c>
      <c r="O4071">
        <v>1</v>
      </c>
      <c r="P4071">
        <v>1</v>
      </c>
      <c r="Q4071">
        <v>1</v>
      </c>
      <c r="R4071">
        <v>1</v>
      </c>
      <c r="U4071">
        <v>1</v>
      </c>
      <c r="V4071">
        <v>0</v>
      </c>
      <c r="W4071">
        <v>1</v>
      </c>
      <c r="X4071">
        <v>1</v>
      </c>
      <c r="Y4071">
        <v>1</v>
      </c>
      <c r="Z4071">
        <v>1</v>
      </c>
      <c r="AA4071">
        <v>1</v>
      </c>
      <c r="AB4071">
        <v>1</v>
      </c>
    </row>
    <row r="4072" spans="1:49" x14ac:dyDescent="0.25">
      <c r="A4072" t="str">
        <f>"4068"</f>
        <v>4068</v>
      </c>
      <c r="B4072" t="str">
        <f t="shared" si="234"/>
        <v>1</v>
      </c>
      <c r="C4072" t="str">
        <f t="shared" si="235"/>
        <v>178</v>
      </c>
      <c r="D4072" t="str">
        <f>"2"</f>
        <v>2</v>
      </c>
      <c r="E4072" t="str">
        <f>"1-178-2"</f>
        <v>1-178-2</v>
      </c>
      <c r="F4072" t="s">
        <v>83</v>
      </c>
      <c r="G4072" t="s">
        <v>84</v>
      </c>
      <c r="H4072" t="s">
        <v>92</v>
      </c>
      <c r="I4072">
        <v>1</v>
      </c>
      <c r="J4072">
        <v>1</v>
      </c>
      <c r="N4072">
        <v>1</v>
      </c>
      <c r="O4072">
        <v>1</v>
      </c>
      <c r="P4072">
        <v>1</v>
      </c>
      <c r="Q4072">
        <v>1</v>
      </c>
      <c r="R4072">
        <v>1</v>
      </c>
      <c r="S4072">
        <v>1</v>
      </c>
      <c r="T4072">
        <v>1</v>
      </c>
      <c r="W4072">
        <v>1</v>
      </c>
      <c r="X4072">
        <v>1</v>
      </c>
      <c r="Y4072">
        <v>1</v>
      </c>
      <c r="Z4072">
        <v>1</v>
      </c>
      <c r="AA4072">
        <v>1</v>
      </c>
      <c r="AB4072">
        <v>1</v>
      </c>
    </row>
    <row r="4073" spans="1:49" x14ac:dyDescent="0.25">
      <c r="A4073" t="str">
        <f>"4069"</f>
        <v>4069</v>
      </c>
      <c r="B4073" t="str">
        <f t="shared" si="234"/>
        <v>1</v>
      </c>
      <c r="C4073" t="str">
        <f t="shared" si="235"/>
        <v>178</v>
      </c>
      <c r="D4073" t="str">
        <f>"7"</f>
        <v>7</v>
      </c>
      <c r="E4073" t="str">
        <f>"1-178-7"</f>
        <v>1-178-7</v>
      </c>
      <c r="F4073" t="s">
        <v>83</v>
      </c>
      <c r="G4073" t="s">
        <v>86</v>
      </c>
      <c r="H4073" t="s">
        <v>93</v>
      </c>
      <c r="I4073">
        <v>0</v>
      </c>
      <c r="K4073">
        <v>0</v>
      </c>
      <c r="L4073">
        <v>0</v>
      </c>
      <c r="M4073">
        <v>1</v>
      </c>
      <c r="N4073">
        <v>1</v>
      </c>
      <c r="O4073">
        <v>1</v>
      </c>
      <c r="P4073">
        <v>0</v>
      </c>
      <c r="Q4073">
        <v>0</v>
      </c>
      <c r="R4073">
        <v>0</v>
      </c>
      <c r="U4073">
        <v>0</v>
      </c>
      <c r="V4073">
        <v>1</v>
      </c>
      <c r="W4073">
        <v>0</v>
      </c>
      <c r="X4073">
        <v>0</v>
      </c>
      <c r="Y4073">
        <v>0</v>
      </c>
      <c r="Z4073">
        <v>0</v>
      </c>
      <c r="AA4073">
        <v>0</v>
      </c>
      <c r="AB4073">
        <v>0</v>
      </c>
    </row>
    <row r="4074" spans="1:49" x14ac:dyDescent="0.25">
      <c r="A4074" t="str">
        <f>"4070"</f>
        <v>4070</v>
      </c>
      <c r="B4074" t="str">
        <f t="shared" si="234"/>
        <v>1</v>
      </c>
      <c r="C4074" t="str">
        <f t="shared" si="235"/>
        <v>178</v>
      </c>
      <c r="D4074" t="str">
        <f>"6"</f>
        <v>6</v>
      </c>
      <c r="E4074" t="str">
        <f>"1-178-6"</f>
        <v>1-178-6</v>
      </c>
      <c r="F4074" t="s">
        <v>83</v>
      </c>
      <c r="G4074" t="s">
        <v>84</v>
      </c>
      <c r="H4074" t="s">
        <v>92</v>
      </c>
      <c r="I4074">
        <v>1</v>
      </c>
      <c r="J4074">
        <v>1</v>
      </c>
      <c r="N4074">
        <v>1</v>
      </c>
      <c r="O4074">
        <v>1</v>
      </c>
      <c r="P4074">
        <v>1</v>
      </c>
      <c r="Q4074">
        <v>1</v>
      </c>
      <c r="R4074">
        <v>1</v>
      </c>
      <c r="S4074">
        <v>1</v>
      </c>
      <c r="T4074">
        <v>1</v>
      </c>
      <c r="W4074">
        <v>1</v>
      </c>
      <c r="X4074">
        <v>1</v>
      </c>
      <c r="Y4074">
        <v>1</v>
      </c>
      <c r="Z4074">
        <v>1</v>
      </c>
      <c r="AA4074">
        <v>1</v>
      </c>
      <c r="AB4074">
        <v>1</v>
      </c>
    </row>
    <row r="4075" spans="1:49" x14ac:dyDescent="0.25">
      <c r="A4075" t="str">
        <f>"4071"</f>
        <v>4071</v>
      </c>
      <c r="B4075" t="str">
        <f t="shared" si="234"/>
        <v>1</v>
      </c>
      <c r="C4075" t="str">
        <f t="shared" si="235"/>
        <v>178</v>
      </c>
      <c r="D4075" t="str">
        <f>"5"</f>
        <v>5</v>
      </c>
      <c r="E4075" t="str">
        <f>"1-178-5"</f>
        <v>1-178-5</v>
      </c>
      <c r="F4075" t="s">
        <v>83</v>
      </c>
      <c r="G4075" t="s">
        <v>86</v>
      </c>
      <c r="H4075" t="s">
        <v>93</v>
      </c>
      <c r="I4075">
        <v>0</v>
      </c>
      <c r="K4075">
        <v>0</v>
      </c>
      <c r="L4075">
        <v>0</v>
      </c>
      <c r="M4075">
        <v>1</v>
      </c>
      <c r="N4075">
        <v>1</v>
      </c>
      <c r="O4075">
        <v>1</v>
      </c>
      <c r="P4075">
        <v>1</v>
      </c>
      <c r="Q4075">
        <v>1</v>
      </c>
      <c r="R4075">
        <v>1</v>
      </c>
      <c r="U4075">
        <v>0</v>
      </c>
      <c r="V4075">
        <v>1</v>
      </c>
      <c r="W4075">
        <v>1</v>
      </c>
      <c r="X4075">
        <v>1</v>
      </c>
      <c r="Y4075">
        <v>1</v>
      </c>
      <c r="Z4075">
        <v>1</v>
      </c>
      <c r="AA4075">
        <v>1</v>
      </c>
      <c r="AB4075">
        <v>1</v>
      </c>
    </row>
    <row r="4076" spans="1:49" x14ac:dyDescent="0.25">
      <c r="A4076" t="str">
        <f>"4072"</f>
        <v>4072</v>
      </c>
      <c r="B4076" t="str">
        <f t="shared" si="234"/>
        <v>1</v>
      </c>
      <c r="C4076" t="str">
        <f t="shared" ref="C4076:C4100" si="236">"179"</f>
        <v>179</v>
      </c>
      <c r="D4076" t="str">
        <f>"23"</f>
        <v>23</v>
      </c>
      <c r="E4076" t="str">
        <f>"1-179-23"</f>
        <v>1-179-23</v>
      </c>
      <c r="F4076" t="s">
        <v>83</v>
      </c>
      <c r="G4076" t="s">
        <v>84</v>
      </c>
      <c r="H4076" t="s">
        <v>85</v>
      </c>
      <c r="AC4076">
        <v>0</v>
      </c>
      <c r="AD4076">
        <v>1</v>
      </c>
      <c r="AE4076">
        <v>0</v>
      </c>
      <c r="AF4076">
        <v>0</v>
      </c>
      <c r="AG4076">
        <v>1</v>
      </c>
      <c r="AJ4076">
        <v>1</v>
      </c>
      <c r="AK4076">
        <v>0</v>
      </c>
      <c r="AL4076">
        <v>1</v>
      </c>
      <c r="AM4076">
        <v>0</v>
      </c>
      <c r="AN4076">
        <v>0</v>
      </c>
      <c r="AO4076">
        <v>1</v>
      </c>
      <c r="AP4076">
        <v>1</v>
      </c>
      <c r="AQ4076">
        <v>1</v>
      </c>
      <c r="AR4076">
        <v>1</v>
      </c>
      <c r="AS4076">
        <v>1</v>
      </c>
      <c r="AT4076">
        <v>0</v>
      </c>
      <c r="AV4076">
        <v>1</v>
      </c>
      <c r="AW4076">
        <v>1</v>
      </c>
    </row>
    <row r="4077" spans="1:49" x14ac:dyDescent="0.25">
      <c r="A4077" t="str">
        <f>"4073"</f>
        <v>4073</v>
      </c>
      <c r="B4077" t="str">
        <f t="shared" si="234"/>
        <v>1</v>
      </c>
      <c r="C4077" t="str">
        <f t="shared" si="236"/>
        <v>179</v>
      </c>
      <c r="D4077" t="str">
        <f>"22"</f>
        <v>22</v>
      </c>
      <c r="E4077" t="str">
        <f>"1-179-22"</f>
        <v>1-179-22</v>
      </c>
      <c r="F4077" t="s">
        <v>83</v>
      </c>
      <c r="G4077" t="s">
        <v>84</v>
      </c>
      <c r="H4077" t="s">
        <v>85</v>
      </c>
      <c r="AC4077">
        <v>0</v>
      </c>
      <c r="AD4077">
        <v>1</v>
      </c>
      <c r="AE4077">
        <v>0</v>
      </c>
      <c r="AF4077">
        <v>0</v>
      </c>
      <c r="AG4077">
        <v>1</v>
      </c>
      <c r="AJ4077">
        <v>1</v>
      </c>
      <c r="AK4077">
        <v>0</v>
      </c>
      <c r="AL4077">
        <v>1</v>
      </c>
      <c r="AM4077">
        <v>0</v>
      </c>
      <c r="AN4077">
        <v>0</v>
      </c>
      <c r="AO4077">
        <v>1</v>
      </c>
      <c r="AP4077">
        <v>1</v>
      </c>
      <c r="AQ4077">
        <v>1</v>
      </c>
      <c r="AR4077">
        <v>1</v>
      </c>
      <c r="AS4077">
        <v>1</v>
      </c>
      <c r="AT4077">
        <v>0</v>
      </c>
      <c r="AV4077">
        <v>1</v>
      </c>
      <c r="AW4077">
        <v>1</v>
      </c>
    </row>
    <row r="4078" spans="1:49" x14ac:dyDescent="0.25">
      <c r="A4078" t="str">
        <f>"4074"</f>
        <v>4074</v>
      </c>
      <c r="B4078" t="str">
        <f t="shared" si="234"/>
        <v>1</v>
      </c>
      <c r="C4078" t="str">
        <f t="shared" si="236"/>
        <v>179</v>
      </c>
      <c r="D4078" t="str">
        <f>"15"</f>
        <v>15</v>
      </c>
      <c r="E4078" t="str">
        <f>"1-179-15"</f>
        <v>1-179-15</v>
      </c>
      <c r="F4078" t="s">
        <v>83</v>
      </c>
      <c r="G4078" t="s">
        <v>84</v>
      </c>
      <c r="H4078" t="s">
        <v>92</v>
      </c>
      <c r="I4078">
        <v>1</v>
      </c>
      <c r="J4078">
        <v>1</v>
      </c>
      <c r="N4078">
        <v>1</v>
      </c>
      <c r="O4078">
        <v>1</v>
      </c>
      <c r="P4078">
        <v>1</v>
      </c>
      <c r="Q4078">
        <v>1</v>
      </c>
      <c r="R4078">
        <v>1</v>
      </c>
      <c r="S4078">
        <v>1</v>
      </c>
      <c r="T4078">
        <v>1</v>
      </c>
      <c r="W4078">
        <v>1</v>
      </c>
      <c r="X4078">
        <v>1</v>
      </c>
      <c r="Y4078">
        <v>1</v>
      </c>
      <c r="Z4078">
        <v>1</v>
      </c>
      <c r="AA4078">
        <v>1</v>
      </c>
      <c r="AB4078">
        <v>1</v>
      </c>
    </row>
    <row r="4079" spans="1:49" x14ac:dyDescent="0.25">
      <c r="A4079" t="str">
        <f>"4075"</f>
        <v>4075</v>
      </c>
      <c r="B4079" t="str">
        <f t="shared" si="234"/>
        <v>1</v>
      </c>
      <c r="C4079" t="str">
        <f t="shared" si="236"/>
        <v>179</v>
      </c>
      <c r="D4079" t="str">
        <f>"8"</f>
        <v>8</v>
      </c>
      <c r="E4079" t="str">
        <f>"1-179-8"</f>
        <v>1-179-8</v>
      </c>
      <c r="F4079" t="s">
        <v>83</v>
      </c>
      <c r="G4079" t="s">
        <v>84</v>
      </c>
      <c r="H4079" t="s">
        <v>92</v>
      </c>
      <c r="I4079">
        <v>1</v>
      </c>
      <c r="J4079">
        <v>1</v>
      </c>
      <c r="N4079">
        <v>1</v>
      </c>
      <c r="O4079">
        <v>1</v>
      </c>
      <c r="P4079">
        <v>1</v>
      </c>
      <c r="Q4079">
        <v>1</v>
      </c>
      <c r="R4079">
        <v>1</v>
      </c>
      <c r="S4079">
        <v>1</v>
      </c>
      <c r="T4079">
        <v>1</v>
      </c>
      <c r="W4079">
        <v>1</v>
      </c>
      <c r="X4079">
        <v>1</v>
      </c>
      <c r="Y4079">
        <v>1</v>
      </c>
      <c r="Z4079">
        <v>1</v>
      </c>
      <c r="AA4079">
        <v>1</v>
      </c>
      <c r="AB4079">
        <v>1</v>
      </c>
    </row>
    <row r="4080" spans="1:49" x14ac:dyDescent="0.25">
      <c r="A4080" t="str">
        <f>"4076"</f>
        <v>4076</v>
      </c>
      <c r="B4080" t="str">
        <f t="shared" si="234"/>
        <v>1</v>
      </c>
      <c r="C4080" t="str">
        <f t="shared" si="236"/>
        <v>179</v>
      </c>
      <c r="D4080" t="str">
        <f>"6"</f>
        <v>6</v>
      </c>
      <c r="E4080" t="str">
        <f>"1-179-6"</f>
        <v>1-179-6</v>
      </c>
      <c r="F4080" t="s">
        <v>83</v>
      </c>
      <c r="G4080" t="s">
        <v>84</v>
      </c>
      <c r="H4080" t="s">
        <v>85</v>
      </c>
      <c r="AC4080">
        <v>0</v>
      </c>
      <c r="AD4080">
        <v>1</v>
      </c>
      <c r="AE4080">
        <v>0</v>
      </c>
      <c r="AF4080">
        <v>0</v>
      </c>
      <c r="AG4080">
        <v>0</v>
      </c>
      <c r="AJ4080">
        <v>0</v>
      </c>
      <c r="AK4080">
        <v>0</v>
      </c>
      <c r="AL4080">
        <v>0</v>
      </c>
      <c r="AM4080">
        <v>0</v>
      </c>
      <c r="AN4080">
        <v>1</v>
      </c>
      <c r="AO4080">
        <v>0</v>
      </c>
      <c r="AP4080">
        <v>0</v>
      </c>
      <c r="AQ4080">
        <v>0</v>
      </c>
      <c r="AR4080">
        <v>0</v>
      </c>
      <c r="AS4080">
        <v>0</v>
      </c>
      <c r="AT4080">
        <v>0</v>
      </c>
      <c r="AV4080">
        <v>0</v>
      </c>
      <c r="AW4080">
        <v>0</v>
      </c>
    </row>
    <row r="4081" spans="1:49" x14ac:dyDescent="0.25">
      <c r="A4081" t="str">
        <f>"4077"</f>
        <v>4077</v>
      </c>
      <c r="B4081" t="str">
        <f t="shared" si="234"/>
        <v>1</v>
      </c>
      <c r="C4081" t="str">
        <f t="shared" si="236"/>
        <v>179</v>
      </c>
      <c r="D4081" t="str">
        <f>"25"</f>
        <v>25</v>
      </c>
      <c r="E4081" t="str">
        <f>"1-179-25"</f>
        <v>1-179-25</v>
      </c>
      <c r="F4081" t="s">
        <v>83</v>
      </c>
      <c r="G4081" t="s">
        <v>84</v>
      </c>
      <c r="H4081" t="s">
        <v>85</v>
      </c>
      <c r="AC4081">
        <v>0</v>
      </c>
      <c r="AD4081">
        <v>1</v>
      </c>
      <c r="AE4081">
        <v>0</v>
      </c>
      <c r="AF4081">
        <v>0</v>
      </c>
      <c r="AG4081">
        <v>1</v>
      </c>
      <c r="AJ4081">
        <v>0</v>
      </c>
      <c r="AK4081">
        <v>1</v>
      </c>
      <c r="AL4081">
        <v>0</v>
      </c>
      <c r="AM4081">
        <v>0</v>
      </c>
      <c r="AN4081">
        <v>1</v>
      </c>
      <c r="AO4081">
        <v>1</v>
      </c>
      <c r="AP4081">
        <v>1</v>
      </c>
      <c r="AQ4081">
        <v>1</v>
      </c>
      <c r="AR4081">
        <v>1</v>
      </c>
      <c r="AS4081">
        <v>1</v>
      </c>
      <c r="AT4081">
        <v>0</v>
      </c>
      <c r="AV4081">
        <v>1</v>
      </c>
      <c r="AW4081">
        <v>1</v>
      </c>
    </row>
    <row r="4082" spans="1:49" x14ac:dyDescent="0.25">
      <c r="A4082" t="str">
        <f>"4078"</f>
        <v>4078</v>
      </c>
      <c r="B4082" t="str">
        <f t="shared" si="234"/>
        <v>1</v>
      </c>
      <c r="C4082" t="str">
        <f t="shared" si="236"/>
        <v>179</v>
      </c>
      <c r="D4082" t="str">
        <f>"24"</f>
        <v>24</v>
      </c>
      <c r="E4082" t="str">
        <f>"1-179-24"</f>
        <v>1-179-24</v>
      </c>
      <c r="F4082" t="s">
        <v>83</v>
      </c>
      <c r="G4082" t="s">
        <v>84</v>
      </c>
      <c r="H4082" t="s">
        <v>85</v>
      </c>
      <c r="AC4082">
        <v>0</v>
      </c>
      <c r="AD4082">
        <v>1</v>
      </c>
      <c r="AE4082">
        <v>0</v>
      </c>
      <c r="AF4082">
        <v>0</v>
      </c>
      <c r="AG4082">
        <v>1</v>
      </c>
      <c r="AJ4082">
        <v>0</v>
      </c>
      <c r="AK4082">
        <v>0</v>
      </c>
      <c r="AL4082">
        <v>0</v>
      </c>
      <c r="AM4082">
        <v>0</v>
      </c>
      <c r="AN4082">
        <v>1</v>
      </c>
      <c r="AO4082">
        <v>1</v>
      </c>
      <c r="AP4082">
        <v>1</v>
      </c>
      <c r="AQ4082">
        <v>0</v>
      </c>
      <c r="AR4082">
        <v>1</v>
      </c>
      <c r="AS4082">
        <v>1</v>
      </c>
      <c r="AT4082">
        <v>0</v>
      </c>
      <c r="AV4082">
        <v>1</v>
      </c>
      <c r="AW4082">
        <v>1</v>
      </c>
    </row>
    <row r="4083" spans="1:49" x14ac:dyDescent="0.25">
      <c r="A4083" t="str">
        <f>"4079"</f>
        <v>4079</v>
      </c>
      <c r="B4083" t="str">
        <f t="shared" si="234"/>
        <v>1</v>
      </c>
      <c r="C4083" t="str">
        <f t="shared" si="236"/>
        <v>179</v>
      </c>
      <c r="D4083" t="str">
        <f>"16"</f>
        <v>16</v>
      </c>
      <c r="E4083" t="str">
        <f>"1-179-16"</f>
        <v>1-179-16</v>
      </c>
      <c r="F4083" t="s">
        <v>83</v>
      </c>
      <c r="G4083" t="s">
        <v>84</v>
      </c>
      <c r="H4083" t="s">
        <v>85</v>
      </c>
      <c r="AC4083">
        <v>1</v>
      </c>
      <c r="AD4083">
        <v>0</v>
      </c>
      <c r="AE4083">
        <v>0</v>
      </c>
      <c r="AF4083">
        <v>0</v>
      </c>
      <c r="AG4083">
        <v>1</v>
      </c>
      <c r="AJ4083">
        <v>0</v>
      </c>
      <c r="AK4083">
        <v>1</v>
      </c>
      <c r="AL4083">
        <v>1</v>
      </c>
      <c r="AM4083">
        <v>0</v>
      </c>
      <c r="AN4083">
        <v>0</v>
      </c>
      <c r="AO4083">
        <v>1</v>
      </c>
      <c r="AP4083">
        <v>1</v>
      </c>
      <c r="AQ4083">
        <v>1</v>
      </c>
      <c r="AR4083">
        <v>1</v>
      </c>
      <c r="AS4083">
        <v>1</v>
      </c>
      <c r="AT4083">
        <v>0</v>
      </c>
      <c r="AV4083">
        <v>1</v>
      </c>
      <c r="AW4083">
        <v>1</v>
      </c>
    </row>
    <row r="4084" spans="1:49" x14ac:dyDescent="0.25">
      <c r="A4084" t="str">
        <f>"4080"</f>
        <v>4080</v>
      </c>
      <c r="B4084" t="str">
        <f t="shared" si="234"/>
        <v>1</v>
      </c>
      <c r="C4084" t="str">
        <f t="shared" si="236"/>
        <v>179</v>
      </c>
      <c r="D4084" t="str">
        <f>"9"</f>
        <v>9</v>
      </c>
      <c r="E4084" t="str">
        <f>"1-179-9"</f>
        <v>1-179-9</v>
      </c>
      <c r="F4084" t="s">
        <v>83</v>
      </c>
      <c r="G4084" t="s">
        <v>84</v>
      </c>
      <c r="H4084" t="s">
        <v>92</v>
      </c>
      <c r="I4084">
        <v>1</v>
      </c>
      <c r="J4084">
        <v>1</v>
      </c>
      <c r="N4084">
        <v>1</v>
      </c>
      <c r="O4084">
        <v>1</v>
      </c>
      <c r="P4084">
        <v>1</v>
      </c>
      <c r="Q4084">
        <v>1</v>
      </c>
      <c r="R4084">
        <v>1</v>
      </c>
      <c r="S4084">
        <v>1</v>
      </c>
      <c r="T4084">
        <v>1</v>
      </c>
      <c r="W4084">
        <v>1</v>
      </c>
      <c r="X4084">
        <v>1</v>
      </c>
      <c r="Y4084">
        <v>1</v>
      </c>
      <c r="Z4084">
        <v>1</v>
      </c>
      <c r="AA4084">
        <v>1</v>
      </c>
      <c r="AB4084">
        <v>1</v>
      </c>
    </row>
    <row r="4085" spans="1:49" x14ac:dyDescent="0.25">
      <c r="A4085" t="str">
        <f>"4081"</f>
        <v>4081</v>
      </c>
      <c r="B4085" t="str">
        <f t="shared" si="234"/>
        <v>1</v>
      </c>
      <c r="C4085" t="str">
        <f t="shared" si="236"/>
        <v>179</v>
      </c>
      <c r="D4085" t="str">
        <f>"4"</f>
        <v>4</v>
      </c>
      <c r="E4085" t="str">
        <f>"1-179-4"</f>
        <v>1-179-4</v>
      </c>
      <c r="F4085" t="s">
        <v>83</v>
      </c>
      <c r="G4085" t="s">
        <v>84</v>
      </c>
      <c r="H4085" t="s">
        <v>85</v>
      </c>
      <c r="AC4085">
        <v>0</v>
      </c>
      <c r="AD4085">
        <v>1</v>
      </c>
      <c r="AE4085">
        <v>0</v>
      </c>
      <c r="AF4085">
        <v>0</v>
      </c>
      <c r="AG4085">
        <v>0</v>
      </c>
      <c r="AJ4085">
        <v>0</v>
      </c>
      <c r="AK4085">
        <v>0</v>
      </c>
      <c r="AL4085">
        <v>0</v>
      </c>
      <c r="AM4085">
        <v>0</v>
      </c>
      <c r="AN4085">
        <v>1</v>
      </c>
      <c r="AO4085">
        <v>0</v>
      </c>
      <c r="AP4085">
        <v>0</v>
      </c>
      <c r="AQ4085">
        <v>0</v>
      </c>
      <c r="AR4085">
        <v>0</v>
      </c>
      <c r="AS4085">
        <v>0</v>
      </c>
      <c r="AT4085">
        <v>0</v>
      </c>
      <c r="AV4085">
        <v>0</v>
      </c>
      <c r="AW4085">
        <v>0</v>
      </c>
    </row>
    <row r="4086" spans="1:49" x14ac:dyDescent="0.25">
      <c r="A4086" t="str">
        <f>"4082"</f>
        <v>4082</v>
      </c>
      <c r="B4086" t="str">
        <f t="shared" si="234"/>
        <v>1</v>
      </c>
      <c r="C4086" t="str">
        <f t="shared" si="236"/>
        <v>179</v>
      </c>
      <c r="D4086" t="str">
        <f>"17"</f>
        <v>17</v>
      </c>
      <c r="E4086" t="str">
        <f>"1-179-17"</f>
        <v>1-179-17</v>
      </c>
      <c r="F4086" t="s">
        <v>83</v>
      </c>
      <c r="G4086" t="s">
        <v>84</v>
      </c>
      <c r="H4086" t="s">
        <v>85</v>
      </c>
      <c r="AC4086">
        <v>1</v>
      </c>
      <c r="AD4086">
        <v>0</v>
      </c>
      <c r="AE4086">
        <v>0</v>
      </c>
      <c r="AF4086">
        <v>0</v>
      </c>
      <c r="AG4086">
        <v>1</v>
      </c>
      <c r="AJ4086">
        <v>1</v>
      </c>
      <c r="AK4086">
        <v>0</v>
      </c>
      <c r="AL4086">
        <v>0</v>
      </c>
      <c r="AM4086">
        <v>1</v>
      </c>
      <c r="AN4086">
        <v>0</v>
      </c>
      <c r="AO4086">
        <v>1</v>
      </c>
      <c r="AP4086">
        <v>1</v>
      </c>
      <c r="AQ4086">
        <v>1</v>
      </c>
      <c r="AR4086">
        <v>1</v>
      </c>
      <c r="AS4086">
        <v>0</v>
      </c>
      <c r="AT4086">
        <v>1</v>
      </c>
      <c r="AV4086">
        <v>1</v>
      </c>
      <c r="AW4086">
        <v>1</v>
      </c>
    </row>
    <row r="4087" spans="1:49" x14ac:dyDescent="0.25">
      <c r="A4087" t="str">
        <f>"4083"</f>
        <v>4083</v>
      </c>
      <c r="B4087" t="str">
        <f t="shared" si="234"/>
        <v>1</v>
      </c>
      <c r="C4087" t="str">
        <f t="shared" si="236"/>
        <v>179</v>
      </c>
      <c r="D4087" t="str">
        <f>"10"</f>
        <v>10</v>
      </c>
      <c r="E4087" t="str">
        <f>"1-179-10"</f>
        <v>1-179-10</v>
      </c>
      <c r="F4087" t="s">
        <v>83</v>
      </c>
      <c r="G4087" t="s">
        <v>84</v>
      </c>
      <c r="H4087" t="s">
        <v>85</v>
      </c>
      <c r="AC4087">
        <v>0</v>
      </c>
      <c r="AD4087">
        <v>1</v>
      </c>
      <c r="AE4087">
        <v>0</v>
      </c>
      <c r="AF4087">
        <v>0</v>
      </c>
      <c r="AG4087">
        <v>0</v>
      </c>
      <c r="AJ4087">
        <v>0</v>
      </c>
      <c r="AK4087">
        <v>1</v>
      </c>
      <c r="AL4087">
        <v>0</v>
      </c>
      <c r="AM4087">
        <v>0</v>
      </c>
      <c r="AN4087">
        <v>1</v>
      </c>
      <c r="AO4087">
        <v>0</v>
      </c>
      <c r="AP4087">
        <v>0</v>
      </c>
      <c r="AQ4087">
        <v>0</v>
      </c>
      <c r="AR4087">
        <v>0</v>
      </c>
      <c r="AS4087">
        <v>0</v>
      </c>
      <c r="AT4087">
        <v>0</v>
      </c>
      <c r="AV4087">
        <v>0</v>
      </c>
      <c r="AW4087">
        <v>0</v>
      </c>
    </row>
    <row r="4088" spans="1:49" x14ac:dyDescent="0.25">
      <c r="A4088" t="str">
        <f>"4084"</f>
        <v>4084</v>
      </c>
      <c r="B4088" t="str">
        <f t="shared" si="234"/>
        <v>1</v>
      </c>
      <c r="C4088" t="str">
        <f t="shared" si="236"/>
        <v>179</v>
      </c>
      <c r="D4088" t="str">
        <f>"1"</f>
        <v>1</v>
      </c>
      <c r="E4088" t="str">
        <f>"1-179-1"</f>
        <v>1-179-1</v>
      </c>
      <c r="F4088" t="s">
        <v>83</v>
      </c>
      <c r="G4088" t="s">
        <v>84</v>
      </c>
      <c r="H4088" t="s">
        <v>92</v>
      </c>
      <c r="I4088">
        <v>1</v>
      </c>
      <c r="J4088">
        <v>1</v>
      </c>
      <c r="N4088">
        <v>1</v>
      </c>
      <c r="O4088">
        <v>1</v>
      </c>
      <c r="P4088">
        <v>1</v>
      </c>
      <c r="Q4088">
        <v>1</v>
      </c>
      <c r="R4088">
        <v>1</v>
      </c>
      <c r="S4088">
        <v>1</v>
      </c>
      <c r="T4088">
        <v>1</v>
      </c>
      <c r="W4088">
        <v>1</v>
      </c>
      <c r="X4088">
        <v>1</v>
      </c>
      <c r="Y4088">
        <v>1</v>
      </c>
      <c r="Z4088">
        <v>1</v>
      </c>
      <c r="AA4088">
        <v>1</v>
      </c>
      <c r="AB4088">
        <v>1</v>
      </c>
    </row>
    <row r="4089" spans="1:49" x14ac:dyDescent="0.25">
      <c r="A4089" t="str">
        <f>"4085"</f>
        <v>4085</v>
      </c>
      <c r="B4089" t="str">
        <f t="shared" si="234"/>
        <v>1</v>
      </c>
      <c r="C4089" t="str">
        <f t="shared" si="236"/>
        <v>179</v>
      </c>
      <c r="D4089" t="str">
        <f>"18"</f>
        <v>18</v>
      </c>
      <c r="E4089" t="str">
        <f>"1-179-18"</f>
        <v>1-179-18</v>
      </c>
      <c r="F4089" t="s">
        <v>83</v>
      </c>
      <c r="G4089" t="s">
        <v>84</v>
      </c>
      <c r="H4089" t="s">
        <v>92</v>
      </c>
      <c r="I4089">
        <v>1</v>
      </c>
      <c r="J4089">
        <v>1</v>
      </c>
      <c r="N4089">
        <v>1</v>
      </c>
      <c r="O4089">
        <v>1</v>
      </c>
      <c r="P4089">
        <v>1</v>
      </c>
      <c r="Q4089">
        <v>1</v>
      </c>
      <c r="R4089">
        <v>1</v>
      </c>
      <c r="S4089">
        <v>1</v>
      </c>
      <c r="T4089">
        <v>1</v>
      </c>
      <c r="W4089">
        <v>1</v>
      </c>
      <c r="X4089">
        <v>1</v>
      </c>
      <c r="Y4089">
        <v>1</v>
      </c>
      <c r="Z4089">
        <v>1</v>
      </c>
      <c r="AA4089">
        <v>1</v>
      </c>
      <c r="AB4089">
        <v>1</v>
      </c>
    </row>
    <row r="4090" spans="1:49" x14ac:dyDescent="0.25">
      <c r="A4090" t="str">
        <f>"4086"</f>
        <v>4086</v>
      </c>
      <c r="B4090" t="str">
        <f t="shared" si="234"/>
        <v>1</v>
      </c>
      <c r="C4090" t="str">
        <f t="shared" si="236"/>
        <v>179</v>
      </c>
      <c r="D4090" t="str">
        <f>"11"</f>
        <v>11</v>
      </c>
      <c r="E4090" t="str">
        <f>"1-179-11"</f>
        <v>1-179-11</v>
      </c>
      <c r="F4090" t="s">
        <v>83</v>
      </c>
      <c r="G4090" t="s">
        <v>84</v>
      </c>
      <c r="H4090" t="s">
        <v>85</v>
      </c>
      <c r="AC4090">
        <v>0</v>
      </c>
      <c r="AD4090">
        <v>1</v>
      </c>
      <c r="AE4090">
        <v>0</v>
      </c>
      <c r="AF4090">
        <v>0</v>
      </c>
      <c r="AG4090">
        <v>0</v>
      </c>
      <c r="AJ4090">
        <v>0</v>
      </c>
      <c r="AK4090">
        <v>1</v>
      </c>
      <c r="AL4090">
        <v>0</v>
      </c>
      <c r="AM4090">
        <v>1</v>
      </c>
      <c r="AN4090">
        <v>0</v>
      </c>
      <c r="AO4090">
        <v>0</v>
      </c>
      <c r="AP4090">
        <v>0</v>
      </c>
      <c r="AQ4090">
        <v>0</v>
      </c>
      <c r="AR4090">
        <v>0</v>
      </c>
      <c r="AS4090">
        <v>0</v>
      </c>
      <c r="AT4090">
        <v>0</v>
      </c>
      <c r="AV4090">
        <v>0</v>
      </c>
      <c r="AW4090">
        <v>0</v>
      </c>
    </row>
    <row r="4091" spans="1:49" x14ac:dyDescent="0.25">
      <c r="A4091" t="str">
        <f>"4087"</f>
        <v>4087</v>
      </c>
      <c r="B4091" t="str">
        <f t="shared" si="234"/>
        <v>1</v>
      </c>
      <c r="C4091" t="str">
        <f t="shared" si="236"/>
        <v>179</v>
      </c>
      <c r="D4091" t="str">
        <f>"7"</f>
        <v>7</v>
      </c>
      <c r="E4091" t="str">
        <f>"1-179-7"</f>
        <v>1-179-7</v>
      </c>
      <c r="F4091" t="s">
        <v>83</v>
      </c>
      <c r="G4091" t="s">
        <v>84</v>
      </c>
      <c r="H4091" t="s">
        <v>92</v>
      </c>
      <c r="I4091">
        <v>1</v>
      </c>
      <c r="J4091">
        <v>1</v>
      </c>
      <c r="N4091">
        <v>1</v>
      </c>
      <c r="O4091">
        <v>1</v>
      </c>
      <c r="P4091">
        <v>1</v>
      </c>
      <c r="Q4091">
        <v>1</v>
      </c>
      <c r="R4091">
        <v>1</v>
      </c>
      <c r="S4091">
        <v>1</v>
      </c>
      <c r="T4091">
        <v>1</v>
      </c>
      <c r="W4091">
        <v>1</v>
      </c>
      <c r="X4091">
        <v>1</v>
      </c>
      <c r="Y4091">
        <v>1</v>
      </c>
      <c r="Z4091">
        <v>1</v>
      </c>
      <c r="AA4091">
        <v>1</v>
      </c>
      <c r="AB4091">
        <v>1</v>
      </c>
    </row>
    <row r="4092" spans="1:49" x14ac:dyDescent="0.25">
      <c r="A4092" t="str">
        <f>"4088"</f>
        <v>4088</v>
      </c>
      <c r="B4092" t="str">
        <f t="shared" si="234"/>
        <v>1</v>
      </c>
      <c r="C4092" t="str">
        <f t="shared" si="236"/>
        <v>179</v>
      </c>
      <c r="D4092" t="str">
        <f>"21"</f>
        <v>21</v>
      </c>
      <c r="E4092" t="str">
        <f>"1-179-21"</f>
        <v>1-179-21</v>
      </c>
      <c r="F4092" t="s">
        <v>83</v>
      </c>
      <c r="G4092" t="s">
        <v>84</v>
      </c>
      <c r="H4092" t="s">
        <v>85</v>
      </c>
      <c r="AC4092">
        <v>0</v>
      </c>
      <c r="AD4092">
        <v>1</v>
      </c>
      <c r="AE4092">
        <v>0</v>
      </c>
      <c r="AF4092">
        <v>0</v>
      </c>
      <c r="AG4092">
        <v>1</v>
      </c>
      <c r="AJ4092">
        <v>0</v>
      </c>
      <c r="AK4092">
        <v>1</v>
      </c>
      <c r="AL4092">
        <v>0</v>
      </c>
      <c r="AM4092">
        <v>0</v>
      </c>
      <c r="AN4092">
        <v>1</v>
      </c>
      <c r="AO4092">
        <v>1</v>
      </c>
      <c r="AP4092">
        <v>1</v>
      </c>
      <c r="AQ4092">
        <v>1</v>
      </c>
      <c r="AR4092">
        <v>1</v>
      </c>
      <c r="AS4092">
        <v>0</v>
      </c>
      <c r="AT4092">
        <v>1</v>
      </c>
      <c r="AV4092">
        <v>1</v>
      </c>
      <c r="AW4092">
        <v>1</v>
      </c>
    </row>
    <row r="4093" spans="1:49" x14ac:dyDescent="0.25">
      <c r="A4093" t="str">
        <f>"4089"</f>
        <v>4089</v>
      </c>
      <c r="B4093" t="str">
        <f t="shared" si="234"/>
        <v>1</v>
      </c>
      <c r="C4093" t="str">
        <f t="shared" si="236"/>
        <v>179</v>
      </c>
      <c r="D4093" t="str">
        <f>"12"</f>
        <v>12</v>
      </c>
      <c r="E4093" t="str">
        <f>"1-179-12"</f>
        <v>1-179-12</v>
      </c>
      <c r="F4093" t="s">
        <v>83</v>
      </c>
      <c r="G4093" t="s">
        <v>84</v>
      </c>
      <c r="H4093" t="s">
        <v>85</v>
      </c>
      <c r="AC4093">
        <v>0</v>
      </c>
      <c r="AD4093">
        <v>1</v>
      </c>
      <c r="AE4093">
        <v>0</v>
      </c>
      <c r="AF4093">
        <v>0</v>
      </c>
      <c r="AG4093">
        <v>0</v>
      </c>
      <c r="AJ4093">
        <v>0</v>
      </c>
      <c r="AK4093">
        <v>1</v>
      </c>
      <c r="AL4093">
        <v>0</v>
      </c>
      <c r="AM4093">
        <v>1</v>
      </c>
      <c r="AN4093">
        <v>0</v>
      </c>
      <c r="AO4093">
        <v>1</v>
      </c>
      <c r="AP4093">
        <v>1</v>
      </c>
      <c r="AQ4093">
        <v>1</v>
      </c>
      <c r="AR4093">
        <v>1</v>
      </c>
      <c r="AS4093">
        <v>0</v>
      </c>
      <c r="AT4093">
        <v>0</v>
      </c>
      <c r="AV4093">
        <v>0</v>
      </c>
      <c r="AW4093">
        <v>0</v>
      </c>
    </row>
    <row r="4094" spans="1:49" x14ac:dyDescent="0.25">
      <c r="A4094" t="str">
        <f>"4090"</f>
        <v>4090</v>
      </c>
      <c r="B4094" t="str">
        <f t="shared" si="234"/>
        <v>1</v>
      </c>
      <c r="C4094" t="str">
        <f t="shared" si="236"/>
        <v>179</v>
      </c>
      <c r="D4094" t="str">
        <f>"5"</f>
        <v>5</v>
      </c>
      <c r="E4094" t="str">
        <f>"1-179-5"</f>
        <v>1-179-5</v>
      </c>
      <c r="F4094" t="s">
        <v>83</v>
      </c>
      <c r="G4094" t="s">
        <v>84</v>
      </c>
      <c r="H4094" t="s">
        <v>85</v>
      </c>
      <c r="AC4094">
        <v>0</v>
      </c>
      <c r="AD4094">
        <v>1</v>
      </c>
      <c r="AE4094">
        <v>0</v>
      </c>
      <c r="AF4094">
        <v>0</v>
      </c>
      <c r="AG4094">
        <v>0</v>
      </c>
      <c r="AJ4094">
        <v>0</v>
      </c>
      <c r="AK4094">
        <v>0</v>
      </c>
      <c r="AL4094">
        <v>0</v>
      </c>
      <c r="AM4094">
        <v>0</v>
      </c>
      <c r="AN4094">
        <v>1</v>
      </c>
      <c r="AO4094">
        <v>0</v>
      </c>
      <c r="AP4094">
        <v>0</v>
      </c>
      <c r="AQ4094">
        <v>0</v>
      </c>
      <c r="AR4094">
        <v>0</v>
      </c>
      <c r="AS4094">
        <v>0</v>
      </c>
      <c r="AT4094">
        <v>0</v>
      </c>
      <c r="AV4094">
        <v>0</v>
      </c>
      <c r="AW4094">
        <v>0</v>
      </c>
    </row>
    <row r="4095" spans="1:49" x14ac:dyDescent="0.25">
      <c r="A4095" t="str">
        <f>"4091"</f>
        <v>4091</v>
      </c>
      <c r="B4095" t="str">
        <f t="shared" si="234"/>
        <v>1</v>
      </c>
      <c r="C4095" t="str">
        <f t="shared" si="236"/>
        <v>179</v>
      </c>
      <c r="D4095" t="str">
        <f>"20"</f>
        <v>20</v>
      </c>
      <c r="E4095" t="str">
        <f>"1-179-20"</f>
        <v>1-179-20</v>
      </c>
      <c r="F4095" t="s">
        <v>83</v>
      </c>
      <c r="G4095" t="s">
        <v>84</v>
      </c>
      <c r="H4095" t="s">
        <v>85</v>
      </c>
      <c r="AC4095">
        <v>1</v>
      </c>
      <c r="AD4095">
        <v>0</v>
      </c>
      <c r="AE4095">
        <v>0</v>
      </c>
      <c r="AF4095">
        <v>0</v>
      </c>
      <c r="AG4095">
        <v>1</v>
      </c>
      <c r="AJ4095">
        <v>0</v>
      </c>
      <c r="AK4095">
        <v>1</v>
      </c>
      <c r="AL4095">
        <v>1</v>
      </c>
      <c r="AM4095">
        <v>0</v>
      </c>
      <c r="AN4095">
        <v>0</v>
      </c>
      <c r="AO4095">
        <v>1</v>
      </c>
      <c r="AP4095">
        <v>1</v>
      </c>
      <c r="AQ4095">
        <v>1</v>
      </c>
      <c r="AR4095">
        <v>1</v>
      </c>
      <c r="AS4095">
        <v>1</v>
      </c>
      <c r="AT4095">
        <v>0</v>
      </c>
      <c r="AV4095">
        <v>1</v>
      </c>
      <c r="AW4095">
        <v>1</v>
      </c>
    </row>
    <row r="4096" spans="1:49" x14ac:dyDescent="0.25">
      <c r="A4096" t="str">
        <f>"4092"</f>
        <v>4092</v>
      </c>
      <c r="B4096" t="str">
        <f t="shared" si="234"/>
        <v>1</v>
      </c>
      <c r="C4096" t="str">
        <f t="shared" si="236"/>
        <v>179</v>
      </c>
      <c r="D4096" t="str">
        <f>"13"</f>
        <v>13</v>
      </c>
      <c r="E4096" t="str">
        <f>"1-179-13"</f>
        <v>1-179-13</v>
      </c>
      <c r="F4096" t="s">
        <v>83</v>
      </c>
      <c r="G4096" t="s">
        <v>84</v>
      </c>
      <c r="H4096" t="s">
        <v>85</v>
      </c>
      <c r="AC4096">
        <v>1</v>
      </c>
      <c r="AD4096">
        <v>0</v>
      </c>
      <c r="AE4096">
        <v>0</v>
      </c>
      <c r="AF4096">
        <v>0</v>
      </c>
      <c r="AG4096">
        <v>0</v>
      </c>
      <c r="AJ4096">
        <v>1</v>
      </c>
      <c r="AK4096">
        <v>0</v>
      </c>
      <c r="AL4096">
        <v>1</v>
      </c>
      <c r="AM4096">
        <v>0</v>
      </c>
      <c r="AN4096">
        <v>0</v>
      </c>
      <c r="AO4096">
        <v>1</v>
      </c>
      <c r="AP4096">
        <v>1</v>
      </c>
      <c r="AQ4096">
        <v>1</v>
      </c>
      <c r="AR4096">
        <v>1</v>
      </c>
      <c r="AS4096">
        <v>0</v>
      </c>
      <c r="AT4096">
        <v>1</v>
      </c>
      <c r="AV4096">
        <v>1</v>
      </c>
      <c r="AW4096">
        <v>1</v>
      </c>
    </row>
    <row r="4097" spans="1:49" x14ac:dyDescent="0.25">
      <c r="A4097" t="str">
        <f>"4093"</f>
        <v>4093</v>
      </c>
      <c r="B4097" t="str">
        <f t="shared" si="234"/>
        <v>1</v>
      </c>
      <c r="C4097" t="str">
        <f t="shared" si="236"/>
        <v>179</v>
      </c>
      <c r="D4097" t="str">
        <f>"3"</f>
        <v>3</v>
      </c>
      <c r="E4097" t="str">
        <f>"1-179-3"</f>
        <v>1-179-3</v>
      </c>
      <c r="F4097" t="s">
        <v>83</v>
      </c>
      <c r="G4097" t="s">
        <v>84</v>
      </c>
      <c r="H4097" t="s">
        <v>85</v>
      </c>
      <c r="AC4097">
        <v>0</v>
      </c>
      <c r="AD4097">
        <v>1</v>
      </c>
      <c r="AE4097">
        <v>0</v>
      </c>
      <c r="AF4097">
        <v>0</v>
      </c>
      <c r="AG4097">
        <v>0</v>
      </c>
      <c r="AJ4097">
        <v>1</v>
      </c>
      <c r="AK4097">
        <v>0</v>
      </c>
      <c r="AL4097">
        <v>0</v>
      </c>
      <c r="AM4097">
        <v>0</v>
      </c>
      <c r="AN4097">
        <v>1</v>
      </c>
      <c r="AO4097">
        <v>0</v>
      </c>
      <c r="AP4097">
        <v>0</v>
      </c>
      <c r="AQ4097">
        <v>0</v>
      </c>
      <c r="AR4097">
        <v>0</v>
      </c>
      <c r="AS4097">
        <v>0</v>
      </c>
      <c r="AT4097">
        <v>1</v>
      </c>
      <c r="AV4097">
        <v>0</v>
      </c>
      <c r="AW4097">
        <v>0</v>
      </c>
    </row>
    <row r="4098" spans="1:49" x14ac:dyDescent="0.25">
      <c r="A4098" t="str">
        <f>"4094"</f>
        <v>4094</v>
      </c>
      <c r="B4098" t="str">
        <f t="shared" si="234"/>
        <v>1</v>
      </c>
      <c r="C4098" t="str">
        <f t="shared" si="236"/>
        <v>179</v>
      </c>
      <c r="D4098" t="str">
        <f>"19"</f>
        <v>19</v>
      </c>
      <c r="E4098" t="str">
        <f>"1-179-19"</f>
        <v>1-179-19</v>
      </c>
      <c r="F4098" t="s">
        <v>83</v>
      </c>
      <c r="G4098" t="s">
        <v>84</v>
      </c>
      <c r="H4098" t="s">
        <v>92</v>
      </c>
      <c r="I4098">
        <v>1</v>
      </c>
      <c r="J4098">
        <v>1</v>
      </c>
      <c r="N4098">
        <v>1</v>
      </c>
      <c r="O4098">
        <v>1</v>
      </c>
      <c r="P4098">
        <v>1</v>
      </c>
      <c r="Q4098">
        <v>1</v>
      </c>
      <c r="R4098">
        <v>1</v>
      </c>
      <c r="S4098">
        <v>1</v>
      </c>
      <c r="T4098">
        <v>1</v>
      </c>
      <c r="W4098">
        <v>1</v>
      </c>
      <c r="X4098">
        <v>1</v>
      </c>
      <c r="Y4098">
        <v>1</v>
      </c>
      <c r="Z4098">
        <v>1</v>
      </c>
      <c r="AA4098">
        <v>1</v>
      </c>
      <c r="AB4098">
        <v>1</v>
      </c>
    </row>
    <row r="4099" spans="1:49" x14ac:dyDescent="0.25">
      <c r="A4099" t="str">
        <f>"4095"</f>
        <v>4095</v>
      </c>
      <c r="B4099" t="str">
        <f t="shared" si="234"/>
        <v>1</v>
      </c>
      <c r="C4099" t="str">
        <f t="shared" si="236"/>
        <v>179</v>
      </c>
      <c r="D4099" t="str">
        <f>"14"</f>
        <v>14</v>
      </c>
      <c r="E4099" t="str">
        <f>"1-179-14"</f>
        <v>1-179-14</v>
      </c>
      <c r="F4099" t="s">
        <v>83</v>
      </c>
      <c r="G4099" t="s">
        <v>84</v>
      </c>
      <c r="H4099" t="s">
        <v>85</v>
      </c>
      <c r="AC4099">
        <v>0</v>
      </c>
      <c r="AD4099">
        <v>1</v>
      </c>
      <c r="AE4099">
        <v>0</v>
      </c>
      <c r="AF4099">
        <v>0</v>
      </c>
      <c r="AG4099">
        <v>0</v>
      </c>
      <c r="AJ4099">
        <v>0</v>
      </c>
      <c r="AK4099">
        <v>1</v>
      </c>
      <c r="AL4099">
        <v>1</v>
      </c>
      <c r="AM4099">
        <v>0</v>
      </c>
      <c r="AN4099">
        <v>0</v>
      </c>
      <c r="AO4099">
        <v>0</v>
      </c>
      <c r="AP4099">
        <v>0</v>
      </c>
      <c r="AQ4099">
        <v>0</v>
      </c>
      <c r="AR4099">
        <v>0</v>
      </c>
      <c r="AS4099">
        <v>1</v>
      </c>
      <c r="AT4099">
        <v>0</v>
      </c>
      <c r="AV4099">
        <v>0</v>
      </c>
      <c r="AW4099">
        <v>0</v>
      </c>
    </row>
    <row r="4100" spans="1:49" x14ac:dyDescent="0.25">
      <c r="A4100" t="str">
        <f>"4096"</f>
        <v>4096</v>
      </c>
      <c r="B4100" t="str">
        <f t="shared" si="234"/>
        <v>1</v>
      </c>
      <c r="C4100" t="str">
        <f t="shared" si="236"/>
        <v>179</v>
      </c>
      <c r="D4100" t="str">
        <f>"2"</f>
        <v>2</v>
      </c>
      <c r="E4100" t="str">
        <f>"1-179-2"</f>
        <v>1-179-2</v>
      </c>
      <c r="F4100" t="s">
        <v>83</v>
      </c>
      <c r="G4100" t="s">
        <v>84</v>
      </c>
      <c r="H4100" t="s">
        <v>85</v>
      </c>
      <c r="AC4100">
        <v>0</v>
      </c>
      <c r="AD4100">
        <v>1</v>
      </c>
      <c r="AE4100">
        <v>0</v>
      </c>
      <c r="AF4100">
        <v>0</v>
      </c>
      <c r="AG4100">
        <v>1</v>
      </c>
      <c r="AJ4100">
        <v>0</v>
      </c>
      <c r="AK4100">
        <v>1</v>
      </c>
      <c r="AL4100">
        <v>0</v>
      </c>
      <c r="AM4100">
        <v>0</v>
      </c>
      <c r="AN4100">
        <v>1</v>
      </c>
      <c r="AO4100">
        <v>1</v>
      </c>
      <c r="AP4100">
        <v>1</v>
      </c>
      <c r="AQ4100">
        <v>1</v>
      </c>
      <c r="AR4100">
        <v>1</v>
      </c>
      <c r="AS4100">
        <v>0</v>
      </c>
      <c r="AT4100">
        <v>1</v>
      </c>
      <c r="AV4100">
        <v>1</v>
      </c>
      <c r="AW4100">
        <v>1</v>
      </c>
    </row>
    <row r="4101" spans="1:49" x14ac:dyDescent="0.25">
      <c r="A4101" t="str">
        <f>"4097"</f>
        <v>4097</v>
      </c>
      <c r="B4101" t="str">
        <f t="shared" si="234"/>
        <v>1</v>
      </c>
      <c r="C4101" t="str">
        <f t="shared" ref="C4101:C4123" si="237">"180"</f>
        <v>180</v>
      </c>
      <c r="D4101" t="str">
        <f>"23"</f>
        <v>23</v>
      </c>
      <c r="E4101" t="str">
        <f>"1-180-23"</f>
        <v>1-180-23</v>
      </c>
      <c r="F4101" t="s">
        <v>83</v>
      </c>
      <c r="G4101" t="s">
        <v>84</v>
      </c>
      <c r="H4101" t="s">
        <v>92</v>
      </c>
      <c r="I4101">
        <v>1</v>
      </c>
      <c r="J4101">
        <v>1</v>
      </c>
      <c r="N4101">
        <v>1</v>
      </c>
      <c r="O4101">
        <v>1</v>
      </c>
      <c r="P4101">
        <v>1</v>
      </c>
      <c r="Q4101">
        <v>1</v>
      </c>
      <c r="R4101">
        <v>1</v>
      </c>
      <c r="S4101">
        <v>1</v>
      </c>
      <c r="T4101">
        <v>1</v>
      </c>
      <c r="W4101">
        <v>1</v>
      </c>
      <c r="X4101">
        <v>1</v>
      </c>
      <c r="Y4101">
        <v>1</v>
      </c>
      <c r="Z4101">
        <v>1</v>
      </c>
      <c r="AA4101">
        <v>1</v>
      </c>
      <c r="AB4101">
        <v>1</v>
      </c>
    </row>
    <row r="4102" spans="1:49" x14ac:dyDescent="0.25">
      <c r="A4102" t="str">
        <f>"4098"</f>
        <v>4098</v>
      </c>
      <c r="B4102" t="str">
        <f t="shared" si="234"/>
        <v>1</v>
      </c>
      <c r="C4102" t="str">
        <f t="shared" si="237"/>
        <v>180</v>
      </c>
      <c r="D4102" t="str">
        <f>"22"</f>
        <v>22</v>
      </c>
      <c r="E4102" t="str">
        <f>"1-180-22"</f>
        <v>1-180-22</v>
      </c>
      <c r="F4102" t="s">
        <v>83</v>
      </c>
      <c r="G4102" t="s">
        <v>84</v>
      </c>
      <c r="H4102" t="s">
        <v>92</v>
      </c>
      <c r="I4102">
        <v>1</v>
      </c>
      <c r="J4102">
        <v>1</v>
      </c>
      <c r="N4102">
        <v>1</v>
      </c>
      <c r="O4102">
        <v>1</v>
      </c>
      <c r="P4102">
        <v>1</v>
      </c>
      <c r="Q4102">
        <v>1</v>
      </c>
      <c r="R4102">
        <v>1</v>
      </c>
      <c r="S4102">
        <v>1</v>
      </c>
      <c r="T4102">
        <v>1</v>
      </c>
      <c r="W4102">
        <v>1</v>
      </c>
      <c r="X4102">
        <v>1</v>
      </c>
      <c r="Y4102">
        <v>1</v>
      </c>
      <c r="Z4102">
        <v>1</v>
      </c>
      <c r="AA4102">
        <v>1</v>
      </c>
      <c r="AB4102">
        <v>1</v>
      </c>
    </row>
    <row r="4103" spans="1:49" x14ac:dyDescent="0.25">
      <c r="A4103" t="str">
        <f>"4099"</f>
        <v>4099</v>
      </c>
      <c r="B4103" t="str">
        <f t="shared" si="234"/>
        <v>1</v>
      </c>
      <c r="C4103" t="str">
        <f t="shared" si="237"/>
        <v>180</v>
      </c>
      <c r="D4103" t="str">
        <f>"16"</f>
        <v>16</v>
      </c>
      <c r="E4103" t="str">
        <f>"1-180-16"</f>
        <v>1-180-16</v>
      </c>
      <c r="F4103" t="s">
        <v>83</v>
      </c>
      <c r="G4103" t="s">
        <v>84</v>
      </c>
      <c r="H4103" t="s">
        <v>92</v>
      </c>
      <c r="I4103">
        <v>1</v>
      </c>
      <c r="J4103">
        <v>1</v>
      </c>
      <c r="N4103">
        <v>1</v>
      </c>
      <c r="O4103">
        <v>1</v>
      </c>
      <c r="P4103">
        <v>1</v>
      </c>
      <c r="Q4103">
        <v>1</v>
      </c>
      <c r="R4103">
        <v>1</v>
      </c>
      <c r="S4103">
        <v>1</v>
      </c>
      <c r="T4103">
        <v>1</v>
      </c>
      <c r="W4103">
        <v>1</v>
      </c>
      <c r="X4103">
        <v>1</v>
      </c>
      <c r="Y4103">
        <v>1</v>
      </c>
      <c r="Z4103">
        <v>1</v>
      </c>
      <c r="AA4103">
        <v>1</v>
      </c>
      <c r="AB4103">
        <v>1</v>
      </c>
    </row>
    <row r="4104" spans="1:49" x14ac:dyDescent="0.25">
      <c r="A4104" t="str">
        <f>"4100"</f>
        <v>4100</v>
      </c>
      <c r="B4104" t="str">
        <f t="shared" si="234"/>
        <v>1</v>
      </c>
      <c r="C4104" t="str">
        <f t="shared" si="237"/>
        <v>180</v>
      </c>
      <c r="D4104" t="str">
        <f>"8"</f>
        <v>8</v>
      </c>
      <c r="E4104" t="str">
        <f>"1-180-8"</f>
        <v>1-180-8</v>
      </c>
      <c r="F4104" t="s">
        <v>83</v>
      </c>
      <c r="G4104" t="s">
        <v>84</v>
      </c>
      <c r="H4104" t="s">
        <v>92</v>
      </c>
      <c r="I4104">
        <v>1</v>
      </c>
      <c r="J4104">
        <v>1</v>
      </c>
      <c r="N4104">
        <v>1</v>
      </c>
      <c r="O4104">
        <v>0</v>
      </c>
      <c r="P4104">
        <v>0</v>
      </c>
      <c r="Q4104">
        <v>0</v>
      </c>
      <c r="R4104">
        <v>0</v>
      </c>
      <c r="S4104">
        <v>0</v>
      </c>
      <c r="T4104">
        <v>0</v>
      </c>
      <c r="W4104">
        <v>1</v>
      </c>
      <c r="X4104">
        <v>1</v>
      </c>
      <c r="Y4104">
        <v>1</v>
      </c>
      <c r="Z4104">
        <v>1</v>
      </c>
      <c r="AA4104">
        <v>1</v>
      </c>
      <c r="AB4104">
        <v>1</v>
      </c>
    </row>
    <row r="4105" spans="1:49" x14ac:dyDescent="0.25">
      <c r="A4105" t="str">
        <f>"4101"</f>
        <v>4101</v>
      </c>
      <c r="B4105" t="str">
        <f t="shared" si="234"/>
        <v>1</v>
      </c>
      <c r="C4105" t="str">
        <f t="shared" si="237"/>
        <v>180</v>
      </c>
      <c r="D4105" t="str">
        <f>"7"</f>
        <v>7</v>
      </c>
      <c r="E4105" t="str">
        <f>"1-180-7"</f>
        <v>1-180-7</v>
      </c>
      <c r="F4105" t="s">
        <v>83</v>
      </c>
      <c r="G4105" t="s">
        <v>88</v>
      </c>
      <c r="H4105" t="s">
        <v>89</v>
      </c>
      <c r="AC4105">
        <v>0</v>
      </c>
      <c r="AD4105">
        <v>0</v>
      </c>
      <c r="AE4105">
        <v>0</v>
      </c>
      <c r="AF4105">
        <v>0</v>
      </c>
      <c r="AH4105">
        <v>0</v>
      </c>
      <c r="AI4105">
        <v>1</v>
      </c>
      <c r="AJ4105">
        <v>0</v>
      </c>
      <c r="AK4105">
        <v>0</v>
      </c>
      <c r="AL4105">
        <v>0</v>
      </c>
      <c r="AM4105">
        <v>0</v>
      </c>
      <c r="AN4105">
        <v>0</v>
      </c>
      <c r="AO4105">
        <v>0</v>
      </c>
      <c r="AP4105">
        <v>0</v>
      </c>
      <c r="AQ4105">
        <v>0</v>
      </c>
      <c r="AR4105">
        <v>0</v>
      </c>
      <c r="AS4105">
        <v>0</v>
      </c>
      <c r="AT4105">
        <v>0</v>
      </c>
      <c r="AV4105">
        <v>0</v>
      </c>
      <c r="AW4105">
        <v>1</v>
      </c>
    </row>
    <row r="4106" spans="1:49" x14ac:dyDescent="0.25">
      <c r="A4106" t="str">
        <f>"4102"</f>
        <v>4102</v>
      </c>
      <c r="B4106" t="str">
        <f t="shared" si="234"/>
        <v>1</v>
      </c>
      <c r="C4106" t="str">
        <f t="shared" si="237"/>
        <v>180</v>
      </c>
      <c r="D4106" t="str">
        <f>"15"</f>
        <v>15</v>
      </c>
      <c r="E4106" t="str">
        <f>"1-180-15"</f>
        <v>1-180-15</v>
      </c>
      <c r="F4106" t="s">
        <v>83</v>
      </c>
      <c r="G4106" t="s">
        <v>84</v>
      </c>
      <c r="H4106" t="s">
        <v>92</v>
      </c>
      <c r="I4106">
        <v>1</v>
      </c>
      <c r="J4106">
        <v>1</v>
      </c>
      <c r="N4106">
        <v>1</v>
      </c>
      <c r="O4106">
        <v>1</v>
      </c>
      <c r="P4106">
        <v>1</v>
      </c>
      <c r="Q4106">
        <v>1</v>
      </c>
      <c r="R4106">
        <v>1</v>
      </c>
      <c r="S4106">
        <v>1</v>
      </c>
      <c r="T4106">
        <v>1</v>
      </c>
      <c r="W4106">
        <v>1</v>
      </c>
      <c r="X4106">
        <v>1</v>
      </c>
      <c r="Y4106">
        <v>1</v>
      </c>
      <c r="Z4106">
        <v>1</v>
      </c>
      <c r="AA4106">
        <v>1</v>
      </c>
      <c r="AB4106">
        <v>1</v>
      </c>
    </row>
    <row r="4107" spans="1:49" x14ac:dyDescent="0.25">
      <c r="A4107" t="str">
        <f>"4103"</f>
        <v>4103</v>
      </c>
      <c r="B4107" t="str">
        <f t="shared" si="234"/>
        <v>1</v>
      </c>
      <c r="C4107" t="str">
        <f t="shared" si="237"/>
        <v>180</v>
      </c>
      <c r="D4107" t="str">
        <f>"9"</f>
        <v>9</v>
      </c>
      <c r="E4107" t="str">
        <f>"1-180-9"</f>
        <v>1-180-9</v>
      </c>
      <c r="F4107" t="s">
        <v>83</v>
      </c>
      <c r="G4107" t="s">
        <v>84</v>
      </c>
      <c r="H4107" t="s">
        <v>92</v>
      </c>
      <c r="I4107">
        <v>1</v>
      </c>
      <c r="J4107">
        <v>1</v>
      </c>
      <c r="N4107">
        <v>1</v>
      </c>
      <c r="O4107">
        <v>1</v>
      </c>
      <c r="P4107">
        <v>1</v>
      </c>
      <c r="Q4107">
        <v>1</v>
      </c>
      <c r="R4107">
        <v>1</v>
      </c>
      <c r="S4107">
        <v>1</v>
      </c>
      <c r="T4107">
        <v>1</v>
      </c>
      <c r="W4107">
        <v>1</v>
      </c>
      <c r="X4107">
        <v>1</v>
      </c>
      <c r="Y4107">
        <v>1</v>
      </c>
      <c r="Z4107">
        <v>1</v>
      </c>
      <c r="AA4107">
        <v>1</v>
      </c>
      <c r="AB4107">
        <v>1</v>
      </c>
    </row>
    <row r="4108" spans="1:49" x14ac:dyDescent="0.25">
      <c r="A4108" t="str">
        <f>"4104"</f>
        <v>4104</v>
      </c>
      <c r="B4108" t="str">
        <f t="shared" si="234"/>
        <v>1</v>
      </c>
      <c r="C4108" t="str">
        <f t="shared" si="237"/>
        <v>180</v>
      </c>
      <c r="D4108" t="str">
        <f>"2"</f>
        <v>2</v>
      </c>
      <c r="E4108" t="str">
        <f>"1-180-2"</f>
        <v>1-180-2</v>
      </c>
      <c r="F4108" t="s">
        <v>83</v>
      </c>
      <c r="G4108" t="s">
        <v>88</v>
      </c>
      <c r="H4108" t="s">
        <v>95</v>
      </c>
      <c r="I4108">
        <v>1</v>
      </c>
      <c r="K4108">
        <v>1</v>
      </c>
      <c r="L4108">
        <v>0</v>
      </c>
      <c r="M4108">
        <v>0</v>
      </c>
      <c r="N4108">
        <v>1</v>
      </c>
      <c r="O4108">
        <v>1</v>
      </c>
      <c r="P4108">
        <v>1</v>
      </c>
      <c r="Q4108">
        <v>1</v>
      </c>
      <c r="R4108">
        <v>1</v>
      </c>
      <c r="S4108">
        <v>1</v>
      </c>
      <c r="T4108">
        <v>1</v>
      </c>
      <c r="W4108">
        <v>1</v>
      </c>
      <c r="X4108">
        <v>1</v>
      </c>
      <c r="Y4108">
        <v>1</v>
      </c>
      <c r="Z4108">
        <v>1</v>
      </c>
      <c r="AA4108">
        <v>1</v>
      </c>
      <c r="AB4108">
        <v>1</v>
      </c>
    </row>
    <row r="4109" spans="1:49" x14ac:dyDescent="0.25">
      <c r="A4109" t="str">
        <f>"4105"</f>
        <v>4105</v>
      </c>
      <c r="B4109" t="str">
        <f t="shared" si="234"/>
        <v>1</v>
      </c>
      <c r="C4109" t="str">
        <f t="shared" si="237"/>
        <v>180</v>
      </c>
      <c r="D4109" t="str">
        <f>"18"</f>
        <v>18</v>
      </c>
      <c r="E4109" t="str">
        <f>"1-180-18"</f>
        <v>1-180-18</v>
      </c>
      <c r="F4109" t="s">
        <v>83</v>
      </c>
      <c r="G4109" t="s">
        <v>88</v>
      </c>
      <c r="H4109" t="s">
        <v>89</v>
      </c>
      <c r="AC4109">
        <v>0</v>
      </c>
      <c r="AD4109">
        <v>1</v>
      </c>
      <c r="AE4109">
        <v>0</v>
      </c>
      <c r="AF4109">
        <v>0</v>
      </c>
      <c r="AH4109">
        <v>0</v>
      </c>
      <c r="AI4109">
        <v>1</v>
      </c>
      <c r="AJ4109">
        <v>0</v>
      </c>
      <c r="AK4109">
        <v>0</v>
      </c>
      <c r="AL4109">
        <v>0</v>
      </c>
      <c r="AM4109">
        <v>0</v>
      </c>
      <c r="AN4109">
        <v>1</v>
      </c>
      <c r="AO4109">
        <v>0</v>
      </c>
      <c r="AP4109">
        <v>0</v>
      </c>
      <c r="AQ4109">
        <v>0</v>
      </c>
      <c r="AR4109">
        <v>0</v>
      </c>
      <c r="AS4109">
        <v>1</v>
      </c>
      <c r="AT4109">
        <v>0</v>
      </c>
      <c r="AV4109">
        <v>0</v>
      </c>
      <c r="AW4109">
        <v>1</v>
      </c>
    </row>
    <row r="4110" spans="1:49" x14ac:dyDescent="0.25">
      <c r="A4110" t="str">
        <f>"4106"</f>
        <v>4106</v>
      </c>
      <c r="B4110" t="str">
        <f t="shared" si="234"/>
        <v>1</v>
      </c>
      <c r="C4110" t="str">
        <f t="shared" si="237"/>
        <v>180</v>
      </c>
      <c r="D4110" t="str">
        <f>"10"</f>
        <v>10</v>
      </c>
      <c r="E4110" t="str">
        <f>"1-180-10"</f>
        <v>1-180-10</v>
      </c>
      <c r="F4110" t="s">
        <v>83</v>
      </c>
      <c r="G4110" t="s">
        <v>84</v>
      </c>
      <c r="H4110" t="s">
        <v>85</v>
      </c>
      <c r="AC4110">
        <v>0</v>
      </c>
      <c r="AD4110">
        <v>1</v>
      </c>
      <c r="AE4110">
        <v>0</v>
      </c>
      <c r="AF4110">
        <v>0</v>
      </c>
      <c r="AG4110">
        <v>0</v>
      </c>
      <c r="AJ4110">
        <v>0</v>
      </c>
      <c r="AK4110">
        <v>1</v>
      </c>
      <c r="AL4110">
        <v>0</v>
      </c>
      <c r="AM4110">
        <v>0</v>
      </c>
      <c r="AN4110">
        <v>1</v>
      </c>
      <c r="AO4110">
        <v>0</v>
      </c>
      <c r="AP4110">
        <v>0</v>
      </c>
      <c r="AQ4110">
        <v>0</v>
      </c>
      <c r="AR4110">
        <v>0</v>
      </c>
      <c r="AS4110">
        <v>0</v>
      </c>
      <c r="AT4110">
        <v>1</v>
      </c>
      <c r="AV4110">
        <v>0</v>
      </c>
      <c r="AW4110">
        <v>0</v>
      </c>
    </row>
    <row r="4111" spans="1:49" x14ac:dyDescent="0.25">
      <c r="A4111" t="str">
        <f>"4107"</f>
        <v>4107</v>
      </c>
      <c r="B4111" t="str">
        <f t="shared" si="234"/>
        <v>1</v>
      </c>
      <c r="C4111" t="str">
        <f t="shared" si="237"/>
        <v>180</v>
      </c>
      <c r="D4111" t="str">
        <f>"1"</f>
        <v>1</v>
      </c>
      <c r="E4111" t="str">
        <f>"1-180-1"</f>
        <v>1-180-1</v>
      </c>
      <c r="F4111" t="s">
        <v>83</v>
      </c>
      <c r="G4111" t="s">
        <v>88</v>
      </c>
      <c r="H4111" t="s">
        <v>95</v>
      </c>
      <c r="I4111">
        <v>1</v>
      </c>
      <c r="K4111">
        <v>1</v>
      </c>
      <c r="L4111">
        <v>0</v>
      </c>
      <c r="M4111">
        <v>0</v>
      </c>
      <c r="N4111">
        <v>1</v>
      </c>
      <c r="O4111">
        <v>1</v>
      </c>
      <c r="P4111">
        <v>1</v>
      </c>
      <c r="Q4111">
        <v>1</v>
      </c>
      <c r="R4111">
        <v>1</v>
      </c>
      <c r="S4111">
        <v>1</v>
      </c>
      <c r="T4111">
        <v>1</v>
      </c>
      <c r="W4111">
        <v>1</v>
      </c>
      <c r="X4111">
        <v>1</v>
      </c>
      <c r="Y4111">
        <v>1</v>
      </c>
      <c r="Z4111">
        <v>1</v>
      </c>
      <c r="AA4111">
        <v>1</v>
      </c>
      <c r="AB4111">
        <v>1</v>
      </c>
    </row>
    <row r="4112" spans="1:49" x14ac:dyDescent="0.25">
      <c r="A4112" t="str">
        <f>"4108"</f>
        <v>4108</v>
      </c>
      <c r="B4112" t="str">
        <f t="shared" si="234"/>
        <v>1</v>
      </c>
      <c r="C4112" t="str">
        <f t="shared" si="237"/>
        <v>180</v>
      </c>
      <c r="D4112" t="str">
        <f>"17"</f>
        <v>17</v>
      </c>
      <c r="E4112" t="str">
        <f>"1-180-17"</f>
        <v>1-180-17</v>
      </c>
      <c r="F4112" t="s">
        <v>83</v>
      </c>
      <c r="G4112" t="s">
        <v>84</v>
      </c>
      <c r="H4112" t="s">
        <v>92</v>
      </c>
      <c r="I4112">
        <v>1</v>
      </c>
      <c r="J4112">
        <v>1</v>
      </c>
      <c r="N4112">
        <v>1</v>
      </c>
      <c r="O4112">
        <v>1</v>
      </c>
      <c r="P4112">
        <v>1</v>
      </c>
      <c r="Q4112">
        <v>1</v>
      </c>
      <c r="R4112">
        <v>1</v>
      </c>
      <c r="S4112">
        <v>1</v>
      </c>
      <c r="T4112">
        <v>1</v>
      </c>
      <c r="W4112">
        <v>1</v>
      </c>
      <c r="X4112">
        <v>1</v>
      </c>
      <c r="Y4112">
        <v>1</v>
      </c>
      <c r="Z4112">
        <v>1</v>
      </c>
      <c r="AA4112">
        <v>1</v>
      </c>
      <c r="AB4112">
        <v>1</v>
      </c>
    </row>
    <row r="4113" spans="1:49" x14ac:dyDescent="0.25">
      <c r="A4113" t="str">
        <f>"4109"</f>
        <v>4109</v>
      </c>
      <c r="B4113" t="str">
        <f t="shared" si="234"/>
        <v>1</v>
      </c>
      <c r="C4113" t="str">
        <f t="shared" si="237"/>
        <v>180</v>
      </c>
      <c r="D4113" t="str">
        <f>"11"</f>
        <v>11</v>
      </c>
      <c r="E4113" t="str">
        <f>"1-180-11"</f>
        <v>1-180-11</v>
      </c>
      <c r="F4113" t="s">
        <v>83</v>
      </c>
      <c r="G4113" t="s">
        <v>84</v>
      </c>
      <c r="H4113" t="s">
        <v>92</v>
      </c>
      <c r="I4113">
        <v>1</v>
      </c>
      <c r="J4113">
        <v>1</v>
      </c>
      <c r="N4113">
        <v>1</v>
      </c>
      <c r="O4113">
        <v>1</v>
      </c>
      <c r="P4113">
        <v>1</v>
      </c>
      <c r="Q4113">
        <v>1</v>
      </c>
      <c r="R4113">
        <v>1</v>
      </c>
      <c r="S4113">
        <v>1</v>
      </c>
      <c r="T4113">
        <v>1</v>
      </c>
      <c r="W4113">
        <v>1</v>
      </c>
      <c r="X4113">
        <v>1</v>
      </c>
      <c r="Y4113">
        <v>1</v>
      </c>
      <c r="Z4113">
        <v>1</v>
      </c>
      <c r="AA4113">
        <v>1</v>
      </c>
      <c r="AB4113">
        <v>1</v>
      </c>
    </row>
    <row r="4114" spans="1:49" x14ac:dyDescent="0.25">
      <c r="A4114" t="str">
        <f>"4110"</f>
        <v>4110</v>
      </c>
      <c r="B4114" t="str">
        <f t="shared" si="234"/>
        <v>1</v>
      </c>
      <c r="C4114" t="str">
        <f t="shared" si="237"/>
        <v>180</v>
      </c>
      <c r="D4114" t="str">
        <f>"6"</f>
        <v>6</v>
      </c>
      <c r="E4114" t="str">
        <f>"1-180-6"</f>
        <v>1-180-6</v>
      </c>
      <c r="F4114" t="s">
        <v>83</v>
      </c>
      <c r="G4114" t="s">
        <v>84</v>
      </c>
      <c r="H4114" t="s">
        <v>85</v>
      </c>
      <c r="AC4114">
        <v>0</v>
      </c>
      <c r="AD4114">
        <v>0</v>
      </c>
      <c r="AE4114">
        <v>0</v>
      </c>
      <c r="AF4114">
        <v>0</v>
      </c>
      <c r="AG4114">
        <v>0</v>
      </c>
      <c r="AJ4114">
        <v>0</v>
      </c>
      <c r="AK4114">
        <v>0</v>
      </c>
      <c r="AL4114">
        <v>0</v>
      </c>
      <c r="AM4114">
        <v>0</v>
      </c>
      <c r="AN4114">
        <v>0</v>
      </c>
      <c r="AO4114">
        <v>0</v>
      </c>
      <c r="AP4114">
        <v>0</v>
      </c>
      <c r="AQ4114">
        <v>0</v>
      </c>
      <c r="AR4114">
        <v>0</v>
      </c>
      <c r="AS4114">
        <v>0</v>
      </c>
      <c r="AT4114">
        <v>1</v>
      </c>
      <c r="AV4114">
        <v>0</v>
      </c>
      <c r="AW4114">
        <v>0</v>
      </c>
    </row>
    <row r="4115" spans="1:49" x14ac:dyDescent="0.25">
      <c r="A4115" t="str">
        <f>"4111"</f>
        <v>4111</v>
      </c>
      <c r="B4115" t="str">
        <f t="shared" si="234"/>
        <v>1</v>
      </c>
      <c r="C4115" t="str">
        <f t="shared" si="237"/>
        <v>180</v>
      </c>
      <c r="D4115" t="str">
        <f>"20"</f>
        <v>20</v>
      </c>
      <c r="E4115" t="str">
        <f>"1-180-20"</f>
        <v>1-180-20</v>
      </c>
      <c r="F4115" t="s">
        <v>83</v>
      </c>
      <c r="G4115" t="s">
        <v>84</v>
      </c>
      <c r="H4115" t="s">
        <v>92</v>
      </c>
      <c r="I4115">
        <v>1</v>
      </c>
      <c r="J4115">
        <v>1</v>
      </c>
      <c r="N4115">
        <v>1</v>
      </c>
      <c r="O4115">
        <v>1</v>
      </c>
      <c r="P4115">
        <v>1</v>
      </c>
      <c r="Q4115">
        <v>1</v>
      </c>
      <c r="R4115">
        <v>1</v>
      </c>
      <c r="S4115">
        <v>1</v>
      </c>
      <c r="T4115">
        <v>1</v>
      </c>
      <c r="W4115">
        <v>1</v>
      </c>
      <c r="X4115">
        <v>1</v>
      </c>
      <c r="Y4115">
        <v>1</v>
      </c>
      <c r="Z4115">
        <v>1</v>
      </c>
      <c r="AA4115">
        <v>1</v>
      </c>
      <c r="AB4115">
        <v>1</v>
      </c>
    </row>
    <row r="4116" spans="1:49" x14ac:dyDescent="0.25">
      <c r="A4116" t="str">
        <f>"4112"</f>
        <v>4112</v>
      </c>
      <c r="B4116" t="str">
        <f t="shared" si="234"/>
        <v>1</v>
      </c>
      <c r="C4116" t="str">
        <f t="shared" si="237"/>
        <v>180</v>
      </c>
      <c r="D4116" t="str">
        <f>"12"</f>
        <v>12</v>
      </c>
      <c r="E4116" t="str">
        <f>"1-180-12"</f>
        <v>1-180-12</v>
      </c>
      <c r="F4116" t="s">
        <v>83</v>
      </c>
      <c r="G4116" t="s">
        <v>84</v>
      </c>
      <c r="H4116" t="s">
        <v>92</v>
      </c>
      <c r="I4116">
        <v>1</v>
      </c>
      <c r="J4116">
        <v>1</v>
      </c>
      <c r="N4116">
        <v>1</v>
      </c>
      <c r="O4116">
        <v>1</v>
      </c>
      <c r="P4116">
        <v>1</v>
      </c>
      <c r="Q4116">
        <v>1</v>
      </c>
      <c r="R4116">
        <v>1</v>
      </c>
      <c r="S4116">
        <v>1</v>
      </c>
      <c r="T4116">
        <v>1</v>
      </c>
      <c r="W4116">
        <v>1</v>
      </c>
      <c r="X4116">
        <v>1</v>
      </c>
      <c r="Y4116">
        <v>1</v>
      </c>
      <c r="Z4116">
        <v>1</v>
      </c>
      <c r="AA4116">
        <v>1</v>
      </c>
      <c r="AB4116">
        <v>1</v>
      </c>
    </row>
    <row r="4117" spans="1:49" x14ac:dyDescent="0.25">
      <c r="A4117" t="str">
        <f>"4113"</f>
        <v>4113</v>
      </c>
      <c r="B4117" t="str">
        <f t="shared" si="234"/>
        <v>1</v>
      </c>
      <c r="C4117" t="str">
        <f t="shared" si="237"/>
        <v>180</v>
      </c>
      <c r="D4117" t="str">
        <f>"4"</f>
        <v>4</v>
      </c>
      <c r="E4117" t="str">
        <f>"1-180-4"</f>
        <v>1-180-4</v>
      </c>
      <c r="F4117" t="s">
        <v>83</v>
      </c>
      <c r="G4117" t="s">
        <v>84</v>
      </c>
      <c r="H4117" t="s">
        <v>92</v>
      </c>
      <c r="I4117">
        <v>1</v>
      </c>
      <c r="J4117">
        <v>1</v>
      </c>
      <c r="N4117">
        <v>1</v>
      </c>
      <c r="O4117">
        <v>1</v>
      </c>
      <c r="P4117">
        <v>1</v>
      </c>
      <c r="Q4117">
        <v>1</v>
      </c>
      <c r="R4117">
        <v>1</v>
      </c>
      <c r="S4117">
        <v>1</v>
      </c>
      <c r="T4117">
        <v>1</v>
      </c>
      <c r="W4117">
        <v>1</v>
      </c>
      <c r="X4117">
        <v>1</v>
      </c>
      <c r="Y4117">
        <v>1</v>
      </c>
      <c r="Z4117">
        <v>1</v>
      </c>
      <c r="AA4117">
        <v>1</v>
      </c>
      <c r="AB4117">
        <v>1</v>
      </c>
    </row>
    <row r="4118" spans="1:49" x14ac:dyDescent="0.25">
      <c r="A4118" t="str">
        <f>"4114"</f>
        <v>4114</v>
      </c>
      <c r="B4118" t="str">
        <f t="shared" si="234"/>
        <v>1</v>
      </c>
      <c r="C4118" t="str">
        <f t="shared" si="237"/>
        <v>180</v>
      </c>
      <c r="D4118" t="str">
        <f>"21"</f>
        <v>21</v>
      </c>
      <c r="E4118" t="str">
        <f>"1-180-21"</f>
        <v>1-180-21</v>
      </c>
      <c r="F4118" t="s">
        <v>83</v>
      </c>
      <c r="G4118" t="s">
        <v>84</v>
      </c>
      <c r="H4118" t="s">
        <v>85</v>
      </c>
      <c r="AC4118">
        <v>1</v>
      </c>
      <c r="AD4118">
        <v>0</v>
      </c>
      <c r="AE4118">
        <v>0</v>
      </c>
      <c r="AF4118">
        <v>0</v>
      </c>
      <c r="AG4118">
        <v>1</v>
      </c>
      <c r="AJ4118">
        <v>0</v>
      </c>
      <c r="AK4118">
        <v>1</v>
      </c>
      <c r="AL4118">
        <v>1</v>
      </c>
      <c r="AM4118">
        <v>0</v>
      </c>
      <c r="AN4118">
        <v>0</v>
      </c>
      <c r="AO4118">
        <v>1</v>
      </c>
      <c r="AP4118">
        <v>1</v>
      </c>
      <c r="AQ4118">
        <v>1</v>
      </c>
      <c r="AR4118">
        <v>1</v>
      </c>
      <c r="AS4118">
        <v>0</v>
      </c>
      <c r="AT4118">
        <v>1</v>
      </c>
      <c r="AV4118">
        <v>1</v>
      </c>
      <c r="AW4118">
        <v>1</v>
      </c>
    </row>
    <row r="4119" spans="1:49" x14ac:dyDescent="0.25">
      <c r="A4119" t="str">
        <f>"4115"</f>
        <v>4115</v>
      </c>
      <c r="B4119" t="str">
        <f t="shared" si="234"/>
        <v>1</v>
      </c>
      <c r="C4119" t="str">
        <f t="shared" si="237"/>
        <v>180</v>
      </c>
      <c r="D4119" t="str">
        <f>"13"</f>
        <v>13</v>
      </c>
      <c r="E4119" t="str">
        <f>"1-180-13"</f>
        <v>1-180-13</v>
      </c>
      <c r="F4119" t="s">
        <v>83</v>
      </c>
      <c r="G4119" t="s">
        <v>84</v>
      </c>
      <c r="H4119" t="s">
        <v>92</v>
      </c>
      <c r="I4119">
        <v>1</v>
      </c>
      <c r="J4119">
        <v>1</v>
      </c>
      <c r="N4119">
        <v>1</v>
      </c>
      <c r="O4119">
        <v>1</v>
      </c>
      <c r="P4119">
        <v>1</v>
      </c>
      <c r="Q4119">
        <v>1</v>
      </c>
      <c r="R4119">
        <v>1</v>
      </c>
      <c r="S4119">
        <v>1</v>
      </c>
      <c r="T4119">
        <v>1</v>
      </c>
      <c r="W4119">
        <v>1</v>
      </c>
      <c r="X4119">
        <v>1</v>
      </c>
      <c r="Y4119">
        <v>1</v>
      </c>
      <c r="Z4119">
        <v>1</v>
      </c>
      <c r="AA4119">
        <v>1</v>
      </c>
      <c r="AB4119">
        <v>1</v>
      </c>
    </row>
    <row r="4120" spans="1:49" x14ac:dyDescent="0.25">
      <c r="A4120" t="str">
        <f>"4116"</f>
        <v>4116</v>
      </c>
      <c r="B4120" t="str">
        <f t="shared" si="234"/>
        <v>1</v>
      </c>
      <c r="C4120" t="str">
        <f t="shared" si="237"/>
        <v>180</v>
      </c>
      <c r="D4120" t="str">
        <f>"3"</f>
        <v>3</v>
      </c>
      <c r="E4120" t="str">
        <f>"1-180-3"</f>
        <v>1-180-3</v>
      </c>
      <c r="F4120" t="s">
        <v>83</v>
      </c>
      <c r="G4120" t="s">
        <v>84</v>
      </c>
      <c r="H4120" t="s">
        <v>92</v>
      </c>
      <c r="I4120">
        <v>1</v>
      </c>
      <c r="J4120">
        <v>1</v>
      </c>
      <c r="N4120">
        <v>1</v>
      </c>
      <c r="O4120">
        <v>1</v>
      </c>
      <c r="P4120">
        <v>1</v>
      </c>
      <c r="Q4120">
        <v>1</v>
      </c>
      <c r="R4120">
        <v>1</v>
      </c>
      <c r="S4120">
        <v>1</v>
      </c>
      <c r="T4120">
        <v>1</v>
      </c>
      <c r="W4120">
        <v>1</v>
      </c>
      <c r="X4120">
        <v>1</v>
      </c>
      <c r="Y4120">
        <v>1</v>
      </c>
      <c r="Z4120">
        <v>1</v>
      </c>
      <c r="AA4120">
        <v>1</v>
      </c>
      <c r="AB4120">
        <v>1</v>
      </c>
    </row>
    <row r="4121" spans="1:49" x14ac:dyDescent="0.25">
      <c r="A4121" t="str">
        <f>"4117"</f>
        <v>4117</v>
      </c>
      <c r="B4121" t="str">
        <f t="shared" si="234"/>
        <v>1</v>
      </c>
      <c r="C4121" t="str">
        <f t="shared" si="237"/>
        <v>180</v>
      </c>
      <c r="D4121" t="str">
        <f>"19"</f>
        <v>19</v>
      </c>
      <c r="E4121" t="str">
        <f>"1-180-19"</f>
        <v>1-180-19</v>
      </c>
      <c r="F4121" t="s">
        <v>83</v>
      </c>
      <c r="G4121" t="s">
        <v>84</v>
      </c>
      <c r="H4121" t="s">
        <v>85</v>
      </c>
      <c r="AC4121">
        <v>1</v>
      </c>
      <c r="AD4121">
        <v>0</v>
      </c>
      <c r="AE4121">
        <v>0</v>
      </c>
      <c r="AF4121">
        <v>0</v>
      </c>
      <c r="AG4121">
        <v>1</v>
      </c>
      <c r="AJ4121">
        <v>1</v>
      </c>
      <c r="AK4121">
        <v>0</v>
      </c>
      <c r="AL4121">
        <v>0</v>
      </c>
      <c r="AM4121">
        <v>0</v>
      </c>
      <c r="AN4121">
        <v>1</v>
      </c>
      <c r="AO4121">
        <v>1</v>
      </c>
      <c r="AP4121">
        <v>1</v>
      </c>
      <c r="AQ4121">
        <v>1</v>
      </c>
      <c r="AR4121">
        <v>1</v>
      </c>
      <c r="AS4121">
        <v>0</v>
      </c>
      <c r="AT4121">
        <v>1</v>
      </c>
      <c r="AV4121">
        <v>1</v>
      </c>
      <c r="AW4121">
        <v>1</v>
      </c>
    </row>
    <row r="4122" spans="1:49" x14ac:dyDescent="0.25">
      <c r="A4122" t="str">
        <f>"4118"</f>
        <v>4118</v>
      </c>
      <c r="B4122" t="str">
        <f t="shared" si="234"/>
        <v>1</v>
      </c>
      <c r="C4122" t="str">
        <f t="shared" si="237"/>
        <v>180</v>
      </c>
      <c r="D4122" t="str">
        <f>"14"</f>
        <v>14</v>
      </c>
      <c r="E4122" t="str">
        <f>"1-180-14"</f>
        <v>1-180-14</v>
      </c>
      <c r="F4122" t="s">
        <v>83</v>
      </c>
      <c r="G4122" t="s">
        <v>84</v>
      </c>
      <c r="H4122" t="s">
        <v>92</v>
      </c>
      <c r="I4122">
        <v>1</v>
      </c>
      <c r="J4122">
        <v>1</v>
      </c>
      <c r="N4122">
        <v>1</v>
      </c>
      <c r="O4122">
        <v>1</v>
      </c>
      <c r="P4122">
        <v>1</v>
      </c>
      <c r="Q4122">
        <v>1</v>
      </c>
      <c r="R4122">
        <v>1</v>
      </c>
      <c r="S4122">
        <v>1</v>
      </c>
      <c r="T4122">
        <v>1</v>
      </c>
      <c r="W4122">
        <v>1</v>
      </c>
      <c r="X4122">
        <v>1</v>
      </c>
      <c r="Y4122">
        <v>1</v>
      </c>
      <c r="Z4122">
        <v>1</v>
      </c>
      <c r="AA4122">
        <v>1</v>
      </c>
      <c r="AB4122">
        <v>1</v>
      </c>
    </row>
    <row r="4123" spans="1:49" x14ac:dyDescent="0.25">
      <c r="A4123" t="str">
        <f>"4119"</f>
        <v>4119</v>
      </c>
      <c r="B4123" t="str">
        <f t="shared" si="234"/>
        <v>1</v>
      </c>
      <c r="C4123" t="str">
        <f t="shared" si="237"/>
        <v>180</v>
      </c>
      <c r="D4123" t="str">
        <f>"5"</f>
        <v>5</v>
      </c>
      <c r="E4123" t="str">
        <f>"1-180-5"</f>
        <v>1-180-5</v>
      </c>
      <c r="F4123" t="s">
        <v>83</v>
      </c>
      <c r="G4123" t="s">
        <v>84</v>
      </c>
      <c r="H4123" t="s">
        <v>92</v>
      </c>
      <c r="I4123">
        <v>1</v>
      </c>
      <c r="J4123">
        <v>1</v>
      </c>
      <c r="N4123">
        <v>1</v>
      </c>
      <c r="O4123">
        <v>1</v>
      </c>
      <c r="P4123">
        <v>1</v>
      </c>
      <c r="Q4123">
        <v>1</v>
      </c>
      <c r="R4123">
        <v>1</v>
      </c>
      <c r="S4123">
        <v>1</v>
      </c>
      <c r="T4123">
        <v>1</v>
      </c>
      <c r="W4123">
        <v>1</v>
      </c>
      <c r="X4123">
        <v>1</v>
      </c>
      <c r="Y4123">
        <v>1</v>
      </c>
      <c r="Z4123">
        <v>1</v>
      </c>
      <c r="AA4123">
        <v>1</v>
      </c>
      <c r="AB4123">
        <v>1</v>
      </c>
    </row>
    <row r="4124" spans="1:49" x14ac:dyDescent="0.25">
      <c r="A4124" t="str">
        <f>"4120"</f>
        <v>4120</v>
      </c>
      <c r="B4124" t="str">
        <f t="shared" si="234"/>
        <v>1</v>
      </c>
      <c r="C4124" t="str">
        <f t="shared" ref="C4124:C4148" si="238">"181"</f>
        <v>181</v>
      </c>
      <c r="D4124" t="str">
        <f>"17"</f>
        <v>17</v>
      </c>
      <c r="E4124" t="str">
        <f>"1-181-17"</f>
        <v>1-181-17</v>
      </c>
      <c r="F4124" t="s">
        <v>83</v>
      </c>
      <c r="G4124" t="s">
        <v>84</v>
      </c>
      <c r="H4124" t="s">
        <v>85</v>
      </c>
      <c r="AC4124">
        <v>0</v>
      </c>
      <c r="AD4124">
        <v>1</v>
      </c>
      <c r="AE4124">
        <v>0</v>
      </c>
      <c r="AF4124">
        <v>0</v>
      </c>
      <c r="AG4124">
        <v>1</v>
      </c>
      <c r="AJ4124">
        <v>1</v>
      </c>
      <c r="AK4124">
        <v>0</v>
      </c>
      <c r="AL4124">
        <v>1</v>
      </c>
      <c r="AM4124">
        <v>0</v>
      </c>
      <c r="AN4124">
        <v>0</v>
      </c>
      <c r="AO4124">
        <v>1</v>
      </c>
      <c r="AP4124">
        <v>1</v>
      </c>
      <c r="AQ4124">
        <v>1</v>
      </c>
      <c r="AR4124">
        <v>1</v>
      </c>
      <c r="AS4124">
        <v>0</v>
      </c>
      <c r="AT4124">
        <v>1</v>
      </c>
      <c r="AV4124">
        <v>1</v>
      </c>
      <c r="AW4124">
        <v>1</v>
      </c>
    </row>
    <row r="4125" spans="1:49" x14ac:dyDescent="0.25">
      <c r="A4125" t="str">
        <f>"4121"</f>
        <v>4121</v>
      </c>
      <c r="B4125" t="str">
        <f t="shared" si="234"/>
        <v>1</v>
      </c>
      <c r="C4125" t="str">
        <f t="shared" si="238"/>
        <v>181</v>
      </c>
      <c r="D4125" t="str">
        <f>"16"</f>
        <v>16</v>
      </c>
      <c r="E4125" t="str">
        <f>"1-181-16"</f>
        <v>1-181-16</v>
      </c>
      <c r="F4125" t="s">
        <v>83</v>
      </c>
      <c r="G4125" t="s">
        <v>84</v>
      </c>
      <c r="H4125" t="s">
        <v>85</v>
      </c>
      <c r="AC4125">
        <v>0</v>
      </c>
      <c r="AD4125">
        <v>1</v>
      </c>
      <c r="AE4125">
        <v>0</v>
      </c>
      <c r="AF4125">
        <v>0</v>
      </c>
      <c r="AG4125">
        <v>1</v>
      </c>
      <c r="AJ4125">
        <v>0</v>
      </c>
      <c r="AK4125">
        <v>1</v>
      </c>
      <c r="AL4125">
        <v>0</v>
      </c>
      <c r="AM4125">
        <v>1</v>
      </c>
      <c r="AN4125">
        <v>0</v>
      </c>
      <c r="AO4125">
        <v>0</v>
      </c>
      <c r="AP4125">
        <v>0</v>
      </c>
      <c r="AQ4125">
        <v>0</v>
      </c>
      <c r="AR4125">
        <v>0</v>
      </c>
      <c r="AS4125">
        <v>0</v>
      </c>
      <c r="AT4125">
        <v>1</v>
      </c>
      <c r="AV4125">
        <v>0</v>
      </c>
      <c r="AW4125">
        <v>1</v>
      </c>
    </row>
    <row r="4126" spans="1:49" x14ac:dyDescent="0.25">
      <c r="A4126" t="str">
        <f>"4122"</f>
        <v>4122</v>
      </c>
      <c r="B4126" t="str">
        <f t="shared" ref="B4126:B4189" si="239">"1"</f>
        <v>1</v>
      </c>
      <c r="C4126" t="str">
        <f t="shared" si="238"/>
        <v>181</v>
      </c>
      <c r="D4126" t="str">
        <f>"13"</f>
        <v>13</v>
      </c>
      <c r="E4126" t="str">
        <f>"1-181-13"</f>
        <v>1-181-13</v>
      </c>
      <c r="F4126" t="s">
        <v>83</v>
      </c>
      <c r="G4126" t="s">
        <v>84</v>
      </c>
      <c r="H4126" t="s">
        <v>85</v>
      </c>
      <c r="AC4126">
        <v>0</v>
      </c>
      <c r="AD4126">
        <v>1</v>
      </c>
      <c r="AE4126">
        <v>0</v>
      </c>
      <c r="AF4126">
        <v>0</v>
      </c>
      <c r="AG4126">
        <v>1</v>
      </c>
      <c r="AJ4126">
        <v>1</v>
      </c>
      <c r="AK4126">
        <v>0</v>
      </c>
      <c r="AL4126">
        <v>0</v>
      </c>
      <c r="AM4126">
        <v>0</v>
      </c>
      <c r="AN4126">
        <v>1</v>
      </c>
      <c r="AO4126">
        <v>1</v>
      </c>
      <c r="AP4126">
        <v>1</v>
      </c>
      <c r="AQ4126">
        <v>1</v>
      </c>
      <c r="AR4126">
        <v>1</v>
      </c>
      <c r="AS4126">
        <v>0</v>
      </c>
      <c r="AT4126">
        <v>1</v>
      </c>
      <c r="AV4126">
        <v>1</v>
      </c>
      <c r="AW4126">
        <v>1</v>
      </c>
    </row>
    <row r="4127" spans="1:49" x14ac:dyDescent="0.25">
      <c r="A4127" t="str">
        <f>"4123"</f>
        <v>4123</v>
      </c>
      <c r="B4127" t="str">
        <f t="shared" si="239"/>
        <v>1</v>
      </c>
      <c r="C4127" t="str">
        <f t="shared" si="238"/>
        <v>181</v>
      </c>
      <c r="D4127" t="str">
        <f>"8"</f>
        <v>8</v>
      </c>
      <c r="E4127" t="str">
        <f>"1-181-8"</f>
        <v>1-181-8</v>
      </c>
      <c r="F4127" t="s">
        <v>83</v>
      </c>
      <c r="G4127" t="s">
        <v>84</v>
      </c>
      <c r="H4127" t="s">
        <v>85</v>
      </c>
      <c r="AC4127">
        <v>0</v>
      </c>
      <c r="AD4127">
        <v>1</v>
      </c>
      <c r="AE4127">
        <v>0</v>
      </c>
      <c r="AF4127">
        <v>0</v>
      </c>
      <c r="AG4127">
        <v>0</v>
      </c>
      <c r="AJ4127">
        <v>0</v>
      </c>
      <c r="AK4127">
        <v>1</v>
      </c>
      <c r="AL4127">
        <v>0</v>
      </c>
      <c r="AM4127">
        <v>0</v>
      </c>
      <c r="AN4127">
        <v>1</v>
      </c>
      <c r="AO4127">
        <v>0</v>
      </c>
      <c r="AP4127">
        <v>0</v>
      </c>
      <c r="AQ4127">
        <v>0</v>
      </c>
      <c r="AR4127">
        <v>0</v>
      </c>
      <c r="AS4127">
        <v>1</v>
      </c>
      <c r="AT4127">
        <v>0</v>
      </c>
      <c r="AV4127">
        <v>0</v>
      </c>
      <c r="AW4127">
        <v>1</v>
      </c>
    </row>
    <row r="4128" spans="1:49" x14ac:dyDescent="0.25">
      <c r="A4128" t="str">
        <f>"4124"</f>
        <v>4124</v>
      </c>
      <c r="B4128" t="str">
        <f t="shared" si="239"/>
        <v>1</v>
      </c>
      <c r="C4128" t="str">
        <f t="shared" si="238"/>
        <v>181</v>
      </c>
      <c r="D4128" t="str">
        <f>"3"</f>
        <v>3</v>
      </c>
      <c r="E4128" t="str">
        <f>"1-181-3"</f>
        <v>1-181-3</v>
      </c>
      <c r="F4128" t="s">
        <v>83</v>
      </c>
      <c r="G4128" t="s">
        <v>84</v>
      </c>
      <c r="H4128" t="s">
        <v>85</v>
      </c>
      <c r="AC4128">
        <v>1</v>
      </c>
      <c r="AD4128">
        <v>0</v>
      </c>
      <c r="AE4128">
        <v>0</v>
      </c>
      <c r="AF4128">
        <v>0</v>
      </c>
      <c r="AG4128">
        <v>1</v>
      </c>
      <c r="AJ4128">
        <v>0</v>
      </c>
      <c r="AK4128">
        <v>1</v>
      </c>
      <c r="AL4128">
        <v>1</v>
      </c>
      <c r="AM4128">
        <v>0</v>
      </c>
      <c r="AN4128">
        <v>0</v>
      </c>
      <c r="AO4128">
        <v>1</v>
      </c>
      <c r="AP4128">
        <v>1</v>
      </c>
      <c r="AQ4128">
        <v>1</v>
      </c>
      <c r="AR4128">
        <v>1</v>
      </c>
      <c r="AS4128">
        <v>1</v>
      </c>
      <c r="AT4128">
        <v>0</v>
      </c>
      <c r="AV4128">
        <v>1</v>
      </c>
      <c r="AW4128">
        <v>1</v>
      </c>
    </row>
    <row r="4129" spans="1:49" x14ac:dyDescent="0.25">
      <c r="A4129" t="str">
        <f>"4125"</f>
        <v>4125</v>
      </c>
      <c r="B4129" t="str">
        <f t="shared" si="239"/>
        <v>1</v>
      </c>
      <c r="C4129" t="str">
        <f t="shared" si="238"/>
        <v>181</v>
      </c>
      <c r="D4129" t="str">
        <f>"23"</f>
        <v>23</v>
      </c>
      <c r="E4129" t="str">
        <f>"1-181-23"</f>
        <v>1-181-23</v>
      </c>
      <c r="F4129" t="s">
        <v>83</v>
      </c>
      <c r="G4129" t="s">
        <v>84</v>
      </c>
      <c r="H4129" t="s">
        <v>85</v>
      </c>
      <c r="AC4129">
        <v>0</v>
      </c>
      <c r="AD4129">
        <v>1</v>
      </c>
      <c r="AE4129">
        <v>0</v>
      </c>
      <c r="AF4129">
        <v>0</v>
      </c>
      <c r="AG4129">
        <v>1</v>
      </c>
      <c r="AJ4129">
        <v>0</v>
      </c>
      <c r="AK4129">
        <v>0</v>
      </c>
      <c r="AL4129">
        <v>0</v>
      </c>
      <c r="AM4129">
        <v>1</v>
      </c>
      <c r="AN4129">
        <v>0</v>
      </c>
      <c r="AO4129">
        <v>1</v>
      </c>
      <c r="AP4129">
        <v>1</v>
      </c>
      <c r="AQ4129">
        <v>1</v>
      </c>
      <c r="AR4129">
        <v>1</v>
      </c>
      <c r="AS4129">
        <v>1</v>
      </c>
      <c r="AT4129">
        <v>0</v>
      </c>
      <c r="AV4129">
        <v>1</v>
      </c>
      <c r="AW4129">
        <v>1</v>
      </c>
    </row>
    <row r="4130" spans="1:49" x14ac:dyDescent="0.25">
      <c r="A4130" t="str">
        <f>"4126"</f>
        <v>4126</v>
      </c>
      <c r="B4130" t="str">
        <f t="shared" si="239"/>
        <v>1</v>
      </c>
      <c r="C4130" t="str">
        <f t="shared" si="238"/>
        <v>181</v>
      </c>
      <c r="D4130" t="str">
        <f>"22"</f>
        <v>22</v>
      </c>
      <c r="E4130" t="str">
        <f>"1-181-22"</f>
        <v>1-181-22</v>
      </c>
      <c r="F4130" t="s">
        <v>83</v>
      </c>
      <c r="G4130" t="s">
        <v>84</v>
      </c>
      <c r="H4130" t="s">
        <v>85</v>
      </c>
      <c r="AC4130">
        <v>0</v>
      </c>
      <c r="AD4130">
        <v>1</v>
      </c>
      <c r="AE4130">
        <v>0</v>
      </c>
      <c r="AF4130">
        <v>0</v>
      </c>
      <c r="AG4130">
        <v>1</v>
      </c>
      <c r="AJ4130">
        <v>1</v>
      </c>
      <c r="AK4130">
        <v>0</v>
      </c>
      <c r="AL4130">
        <v>0</v>
      </c>
      <c r="AM4130">
        <v>0</v>
      </c>
      <c r="AN4130">
        <v>1</v>
      </c>
      <c r="AO4130">
        <v>1</v>
      </c>
      <c r="AP4130">
        <v>1</v>
      </c>
      <c r="AQ4130">
        <v>1</v>
      </c>
      <c r="AR4130">
        <v>1</v>
      </c>
      <c r="AS4130">
        <v>1</v>
      </c>
      <c r="AT4130">
        <v>0</v>
      </c>
      <c r="AV4130">
        <v>1</v>
      </c>
      <c r="AW4130">
        <v>1</v>
      </c>
    </row>
    <row r="4131" spans="1:49" x14ac:dyDescent="0.25">
      <c r="A4131" t="str">
        <f>"4127"</f>
        <v>4127</v>
      </c>
      <c r="B4131" t="str">
        <f t="shared" si="239"/>
        <v>1</v>
      </c>
      <c r="C4131" t="str">
        <f t="shared" si="238"/>
        <v>181</v>
      </c>
      <c r="D4131" t="str">
        <f>"15"</f>
        <v>15</v>
      </c>
      <c r="E4131" t="str">
        <f>"1-181-15"</f>
        <v>1-181-15</v>
      </c>
      <c r="F4131" t="s">
        <v>83</v>
      </c>
      <c r="G4131" t="s">
        <v>84</v>
      </c>
      <c r="H4131" t="s">
        <v>85</v>
      </c>
      <c r="AC4131">
        <v>0</v>
      </c>
      <c r="AD4131">
        <v>1</v>
      </c>
      <c r="AE4131">
        <v>0</v>
      </c>
      <c r="AF4131">
        <v>0</v>
      </c>
      <c r="AG4131">
        <v>1</v>
      </c>
      <c r="AJ4131">
        <v>1</v>
      </c>
      <c r="AK4131">
        <v>0</v>
      </c>
      <c r="AL4131">
        <v>0</v>
      </c>
      <c r="AM4131">
        <v>1</v>
      </c>
      <c r="AN4131">
        <v>0</v>
      </c>
      <c r="AO4131">
        <v>1</v>
      </c>
      <c r="AP4131">
        <v>1</v>
      </c>
      <c r="AQ4131">
        <v>1</v>
      </c>
      <c r="AR4131">
        <v>1</v>
      </c>
      <c r="AS4131">
        <v>0</v>
      </c>
      <c r="AT4131">
        <v>1</v>
      </c>
      <c r="AV4131">
        <v>1</v>
      </c>
      <c r="AW4131">
        <v>1</v>
      </c>
    </row>
    <row r="4132" spans="1:49" x14ac:dyDescent="0.25">
      <c r="A4132" t="str">
        <f>"4128"</f>
        <v>4128</v>
      </c>
      <c r="B4132" t="str">
        <f t="shared" si="239"/>
        <v>1</v>
      </c>
      <c r="C4132" t="str">
        <f t="shared" si="238"/>
        <v>181</v>
      </c>
      <c r="D4132" t="str">
        <f>"9"</f>
        <v>9</v>
      </c>
      <c r="E4132" t="str">
        <f>"1-181-9"</f>
        <v>1-181-9</v>
      </c>
      <c r="F4132" t="s">
        <v>83</v>
      </c>
      <c r="G4132" t="s">
        <v>84</v>
      </c>
      <c r="H4132" t="s">
        <v>85</v>
      </c>
      <c r="AC4132">
        <v>1</v>
      </c>
      <c r="AD4132">
        <v>0</v>
      </c>
      <c r="AE4132">
        <v>0</v>
      </c>
      <c r="AF4132">
        <v>0</v>
      </c>
      <c r="AG4132">
        <v>1</v>
      </c>
      <c r="AJ4132">
        <v>0</v>
      </c>
      <c r="AK4132">
        <v>1</v>
      </c>
      <c r="AL4132">
        <v>1</v>
      </c>
      <c r="AM4132">
        <v>0</v>
      </c>
      <c r="AN4132">
        <v>0</v>
      </c>
      <c r="AO4132">
        <v>1</v>
      </c>
      <c r="AP4132">
        <v>1</v>
      </c>
      <c r="AQ4132">
        <v>1</v>
      </c>
      <c r="AR4132">
        <v>1</v>
      </c>
      <c r="AS4132">
        <v>1</v>
      </c>
      <c r="AT4132">
        <v>0</v>
      </c>
      <c r="AV4132">
        <v>1</v>
      </c>
      <c r="AW4132">
        <v>1</v>
      </c>
    </row>
    <row r="4133" spans="1:49" x14ac:dyDescent="0.25">
      <c r="A4133" t="str">
        <f>"4129"</f>
        <v>4129</v>
      </c>
      <c r="B4133" t="str">
        <f t="shared" si="239"/>
        <v>1</v>
      </c>
      <c r="C4133" t="str">
        <f t="shared" si="238"/>
        <v>181</v>
      </c>
      <c r="D4133" t="str">
        <f>"4"</f>
        <v>4</v>
      </c>
      <c r="E4133" t="str">
        <f>"1-181-4"</f>
        <v>1-181-4</v>
      </c>
      <c r="F4133" t="s">
        <v>83</v>
      </c>
      <c r="G4133" t="s">
        <v>84</v>
      </c>
      <c r="H4133" t="s">
        <v>85</v>
      </c>
      <c r="AC4133">
        <v>0</v>
      </c>
      <c r="AD4133">
        <v>1</v>
      </c>
      <c r="AE4133">
        <v>0</v>
      </c>
      <c r="AF4133">
        <v>0</v>
      </c>
      <c r="AG4133">
        <v>0</v>
      </c>
      <c r="AJ4133">
        <v>0</v>
      </c>
      <c r="AK4133">
        <v>0</v>
      </c>
      <c r="AL4133">
        <v>0</v>
      </c>
      <c r="AM4133">
        <v>1</v>
      </c>
      <c r="AN4133">
        <v>0</v>
      </c>
      <c r="AO4133">
        <v>0</v>
      </c>
      <c r="AP4133">
        <v>0</v>
      </c>
      <c r="AQ4133">
        <v>0</v>
      </c>
      <c r="AR4133">
        <v>0</v>
      </c>
      <c r="AS4133">
        <v>0</v>
      </c>
      <c r="AT4133">
        <v>0</v>
      </c>
      <c r="AV4133">
        <v>0</v>
      </c>
      <c r="AW4133">
        <v>1</v>
      </c>
    </row>
    <row r="4134" spans="1:49" x14ac:dyDescent="0.25">
      <c r="A4134" t="str">
        <f>"4130"</f>
        <v>4130</v>
      </c>
      <c r="B4134" t="str">
        <f t="shared" si="239"/>
        <v>1</v>
      </c>
      <c r="C4134" t="str">
        <f t="shared" si="238"/>
        <v>181</v>
      </c>
      <c r="D4134" t="str">
        <f>"25"</f>
        <v>25</v>
      </c>
      <c r="E4134" t="str">
        <f>"1-181-25"</f>
        <v>1-181-25</v>
      </c>
      <c r="F4134" t="s">
        <v>83</v>
      </c>
      <c r="G4134" t="s">
        <v>84</v>
      </c>
      <c r="H4134" t="s">
        <v>85</v>
      </c>
      <c r="AC4134">
        <v>0</v>
      </c>
      <c r="AD4134">
        <v>1</v>
      </c>
      <c r="AE4134">
        <v>0</v>
      </c>
      <c r="AF4134">
        <v>0</v>
      </c>
      <c r="AG4134">
        <v>0</v>
      </c>
      <c r="AJ4134">
        <v>0</v>
      </c>
      <c r="AK4134">
        <v>1</v>
      </c>
      <c r="AL4134">
        <v>0</v>
      </c>
      <c r="AM4134">
        <v>0</v>
      </c>
      <c r="AN4134">
        <v>1</v>
      </c>
      <c r="AO4134">
        <v>0</v>
      </c>
      <c r="AP4134">
        <v>0</v>
      </c>
      <c r="AQ4134">
        <v>0</v>
      </c>
      <c r="AR4134">
        <v>0</v>
      </c>
      <c r="AS4134">
        <v>0</v>
      </c>
      <c r="AT4134">
        <v>1</v>
      </c>
      <c r="AV4134">
        <v>0</v>
      </c>
      <c r="AW4134">
        <v>0</v>
      </c>
    </row>
    <row r="4135" spans="1:49" x14ac:dyDescent="0.25">
      <c r="A4135" t="str">
        <f>"4131"</f>
        <v>4131</v>
      </c>
      <c r="B4135" t="str">
        <f t="shared" si="239"/>
        <v>1</v>
      </c>
      <c r="C4135" t="str">
        <f t="shared" si="238"/>
        <v>181</v>
      </c>
      <c r="D4135" t="str">
        <f>"24"</f>
        <v>24</v>
      </c>
      <c r="E4135" t="str">
        <f>"1-181-24"</f>
        <v>1-181-24</v>
      </c>
      <c r="F4135" t="s">
        <v>83</v>
      </c>
      <c r="G4135" t="s">
        <v>84</v>
      </c>
      <c r="H4135" t="s">
        <v>85</v>
      </c>
      <c r="AC4135">
        <v>1</v>
      </c>
      <c r="AD4135">
        <v>0</v>
      </c>
      <c r="AE4135">
        <v>0</v>
      </c>
      <c r="AF4135">
        <v>0</v>
      </c>
      <c r="AG4135">
        <v>1</v>
      </c>
      <c r="AJ4135">
        <v>1</v>
      </c>
      <c r="AK4135">
        <v>0</v>
      </c>
      <c r="AL4135">
        <v>0</v>
      </c>
      <c r="AM4135">
        <v>1</v>
      </c>
      <c r="AN4135">
        <v>0</v>
      </c>
      <c r="AO4135">
        <v>1</v>
      </c>
      <c r="AP4135">
        <v>1</v>
      </c>
      <c r="AQ4135">
        <v>1</v>
      </c>
      <c r="AR4135">
        <v>1</v>
      </c>
      <c r="AS4135">
        <v>0</v>
      </c>
      <c r="AT4135">
        <v>1</v>
      </c>
      <c r="AV4135">
        <v>1</v>
      </c>
      <c r="AW4135">
        <v>1</v>
      </c>
    </row>
    <row r="4136" spans="1:49" x14ac:dyDescent="0.25">
      <c r="A4136" t="str">
        <f>"4132"</f>
        <v>4132</v>
      </c>
      <c r="B4136" t="str">
        <f t="shared" si="239"/>
        <v>1</v>
      </c>
      <c r="C4136" t="str">
        <f t="shared" si="238"/>
        <v>181</v>
      </c>
      <c r="D4136" t="str">
        <f>"14"</f>
        <v>14</v>
      </c>
      <c r="E4136" t="str">
        <f>"1-181-14"</f>
        <v>1-181-14</v>
      </c>
      <c r="F4136" t="s">
        <v>83</v>
      </c>
      <c r="G4136" t="s">
        <v>84</v>
      </c>
      <c r="H4136" t="s">
        <v>85</v>
      </c>
      <c r="AC4136">
        <v>1</v>
      </c>
      <c r="AD4136">
        <v>0</v>
      </c>
      <c r="AE4136">
        <v>0</v>
      </c>
      <c r="AF4136">
        <v>0</v>
      </c>
      <c r="AG4136">
        <v>1</v>
      </c>
      <c r="AJ4136">
        <v>0</v>
      </c>
      <c r="AK4136">
        <v>1</v>
      </c>
      <c r="AL4136">
        <v>0</v>
      </c>
      <c r="AM4136">
        <v>0</v>
      </c>
      <c r="AN4136">
        <v>1</v>
      </c>
      <c r="AO4136">
        <v>1</v>
      </c>
      <c r="AP4136">
        <v>1</v>
      </c>
      <c r="AQ4136">
        <v>1</v>
      </c>
      <c r="AR4136">
        <v>1</v>
      </c>
      <c r="AS4136">
        <v>0</v>
      </c>
      <c r="AT4136">
        <v>1</v>
      </c>
      <c r="AV4136">
        <v>1</v>
      </c>
      <c r="AW4136">
        <v>1</v>
      </c>
    </row>
    <row r="4137" spans="1:49" x14ac:dyDescent="0.25">
      <c r="A4137" t="str">
        <f>"4133"</f>
        <v>4133</v>
      </c>
      <c r="B4137" t="str">
        <f t="shared" si="239"/>
        <v>1</v>
      </c>
      <c r="C4137" t="str">
        <f t="shared" si="238"/>
        <v>181</v>
      </c>
      <c r="D4137" t="str">
        <f>"10"</f>
        <v>10</v>
      </c>
      <c r="E4137" t="str">
        <f>"1-181-10"</f>
        <v>1-181-10</v>
      </c>
      <c r="F4137" t="s">
        <v>83</v>
      </c>
      <c r="G4137" t="s">
        <v>84</v>
      </c>
      <c r="H4137" t="s">
        <v>85</v>
      </c>
      <c r="AC4137">
        <v>0</v>
      </c>
      <c r="AD4137">
        <v>1</v>
      </c>
      <c r="AE4137">
        <v>0</v>
      </c>
      <c r="AF4137">
        <v>0</v>
      </c>
      <c r="AG4137">
        <v>1</v>
      </c>
      <c r="AJ4137">
        <v>1</v>
      </c>
      <c r="AK4137">
        <v>0</v>
      </c>
      <c r="AL4137">
        <v>0</v>
      </c>
      <c r="AM4137">
        <v>1</v>
      </c>
      <c r="AN4137">
        <v>0</v>
      </c>
      <c r="AO4137">
        <v>1</v>
      </c>
      <c r="AP4137">
        <v>1</v>
      </c>
      <c r="AQ4137">
        <v>1</v>
      </c>
      <c r="AR4137">
        <v>1</v>
      </c>
      <c r="AS4137">
        <v>0</v>
      </c>
      <c r="AT4137">
        <v>1</v>
      </c>
      <c r="AV4137">
        <v>1</v>
      </c>
      <c r="AW4137">
        <v>1</v>
      </c>
    </row>
    <row r="4138" spans="1:49" x14ac:dyDescent="0.25">
      <c r="A4138" t="str">
        <f>"4134"</f>
        <v>4134</v>
      </c>
      <c r="B4138" t="str">
        <f t="shared" si="239"/>
        <v>1</v>
      </c>
      <c r="C4138" t="str">
        <f t="shared" si="238"/>
        <v>181</v>
      </c>
      <c r="D4138" t="str">
        <f>"6"</f>
        <v>6</v>
      </c>
      <c r="E4138" t="str">
        <f>"1-181-6"</f>
        <v>1-181-6</v>
      </c>
      <c r="F4138" t="s">
        <v>83</v>
      </c>
      <c r="G4138" t="s">
        <v>84</v>
      </c>
      <c r="H4138" t="s">
        <v>85</v>
      </c>
      <c r="AC4138">
        <v>0</v>
      </c>
      <c r="AD4138">
        <v>1</v>
      </c>
      <c r="AE4138">
        <v>0</v>
      </c>
      <c r="AF4138">
        <v>0</v>
      </c>
      <c r="AG4138">
        <v>1</v>
      </c>
      <c r="AJ4138">
        <v>1</v>
      </c>
      <c r="AK4138">
        <v>0</v>
      </c>
      <c r="AL4138">
        <v>0</v>
      </c>
      <c r="AM4138">
        <v>1</v>
      </c>
      <c r="AN4138">
        <v>0</v>
      </c>
      <c r="AO4138">
        <v>1</v>
      </c>
      <c r="AP4138">
        <v>1</v>
      </c>
      <c r="AQ4138">
        <v>1</v>
      </c>
      <c r="AR4138">
        <v>1</v>
      </c>
      <c r="AS4138">
        <v>0</v>
      </c>
      <c r="AT4138">
        <v>1</v>
      </c>
      <c r="AV4138">
        <v>1</v>
      </c>
      <c r="AW4138">
        <v>1</v>
      </c>
    </row>
    <row r="4139" spans="1:49" x14ac:dyDescent="0.25">
      <c r="A4139" t="str">
        <f>"4135"</f>
        <v>4135</v>
      </c>
      <c r="B4139" t="str">
        <f t="shared" si="239"/>
        <v>1</v>
      </c>
      <c r="C4139" t="str">
        <f t="shared" si="238"/>
        <v>181</v>
      </c>
      <c r="D4139" t="str">
        <f>"18"</f>
        <v>18</v>
      </c>
      <c r="E4139" t="str">
        <f>"1-181-18"</f>
        <v>1-181-18</v>
      </c>
      <c r="F4139" t="s">
        <v>83</v>
      </c>
      <c r="G4139" t="s">
        <v>84</v>
      </c>
      <c r="H4139" t="s">
        <v>85</v>
      </c>
      <c r="AC4139">
        <v>1</v>
      </c>
      <c r="AD4139">
        <v>0</v>
      </c>
      <c r="AE4139">
        <v>0</v>
      </c>
      <c r="AF4139">
        <v>0</v>
      </c>
      <c r="AG4139">
        <v>1</v>
      </c>
      <c r="AJ4139">
        <v>0</v>
      </c>
      <c r="AK4139">
        <v>1</v>
      </c>
      <c r="AL4139">
        <v>1</v>
      </c>
      <c r="AM4139">
        <v>0</v>
      </c>
      <c r="AN4139">
        <v>0</v>
      </c>
      <c r="AO4139">
        <v>1</v>
      </c>
      <c r="AP4139">
        <v>1</v>
      </c>
      <c r="AQ4139">
        <v>1</v>
      </c>
      <c r="AR4139">
        <v>1</v>
      </c>
      <c r="AS4139">
        <v>1</v>
      </c>
      <c r="AT4139">
        <v>0</v>
      </c>
      <c r="AV4139">
        <v>1</v>
      </c>
      <c r="AW4139">
        <v>1</v>
      </c>
    </row>
    <row r="4140" spans="1:49" x14ac:dyDescent="0.25">
      <c r="A4140" t="str">
        <f>"4136"</f>
        <v>4136</v>
      </c>
      <c r="B4140" t="str">
        <f t="shared" si="239"/>
        <v>1</v>
      </c>
      <c r="C4140" t="str">
        <f t="shared" si="238"/>
        <v>181</v>
      </c>
      <c r="D4140" t="str">
        <f>"11"</f>
        <v>11</v>
      </c>
      <c r="E4140" t="str">
        <f>"1-181-11"</f>
        <v>1-181-11</v>
      </c>
      <c r="F4140" t="s">
        <v>83</v>
      </c>
      <c r="G4140" t="s">
        <v>84</v>
      </c>
      <c r="H4140" t="s">
        <v>85</v>
      </c>
      <c r="AC4140">
        <v>1</v>
      </c>
      <c r="AD4140">
        <v>0</v>
      </c>
      <c r="AE4140">
        <v>0</v>
      </c>
      <c r="AF4140">
        <v>0</v>
      </c>
      <c r="AG4140">
        <v>1</v>
      </c>
      <c r="AJ4140">
        <v>1</v>
      </c>
      <c r="AK4140">
        <v>0</v>
      </c>
      <c r="AL4140">
        <v>0</v>
      </c>
      <c r="AM4140">
        <v>0</v>
      </c>
      <c r="AN4140">
        <v>1</v>
      </c>
      <c r="AO4140">
        <v>1</v>
      </c>
      <c r="AP4140">
        <v>1</v>
      </c>
      <c r="AQ4140">
        <v>1</v>
      </c>
      <c r="AR4140">
        <v>1</v>
      </c>
      <c r="AS4140">
        <v>1</v>
      </c>
      <c r="AT4140">
        <v>0</v>
      </c>
      <c r="AV4140">
        <v>1</v>
      </c>
      <c r="AW4140">
        <v>1</v>
      </c>
    </row>
    <row r="4141" spans="1:49" x14ac:dyDescent="0.25">
      <c r="A4141" t="str">
        <f>"4137"</f>
        <v>4137</v>
      </c>
      <c r="B4141" t="str">
        <f t="shared" si="239"/>
        <v>1</v>
      </c>
      <c r="C4141" t="str">
        <f t="shared" si="238"/>
        <v>181</v>
      </c>
      <c r="D4141" t="str">
        <f>"1"</f>
        <v>1</v>
      </c>
      <c r="E4141" t="str">
        <f>"1-181-1"</f>
        <v>1-181-1</v>
      </c>
      <c r="F4141" t="s">
        <v>83</v>
      </c>
      <c r="G4141" t="s">
        <v>84</v>
      </c>
      <c r="H4141" t="s">
        <v>85</v>
      </c>
      <c r="AC4141">
        <v>1</v>
      </c>
      <c r="AD4141">
        <v>0</v>
      </c>
      <c r="AE4141">
        <v>0</v>
      </c>
      <c r="AF4141">
        <v>0</v>
      </c>
      <c r="AG4141">
        <v>1</v>
      </c>
      <c r="AJ4141">
        <v>1</v>
      </c>
      <c r="AK4141">
        <v>0</v>
      </c>
      <c r="AL4141">
        <v>0</v>
      </c>
      <c r="AM4141">
        <v>0</v>
      </c>
      <c r="AN4141">
        <v>1</v>
      </c>
      <c r="AO4141">
        <v>1</v>
      </c>
      <c r="AP4141">
        <v>1</v>
      </c>
      <c r="AQ4141">
        <v>1</v>
      </c>
      <c r="AR4141">
        <v>1</v>
      </c>
      <c r="AS4141">
        <v>1</v>
      </c>
      <c r="AT4141">
        <v>0</v>
      </c>
      <c r="AV4141">
        <v>1</v>
      </c>
      <c r="AW4141">
        <v>1</v>
      </c>
    </row>
    <row r="4142" spans="1:49" x14ac:dyDescent="0.25">
      <c r="A4142" t="str">
        <f>"4138"</f>
        <v>4138</v>
      </c>
      <c r="B4142" t="str">
        <f t="shared" si="239"/>
        <v>1</v>
      </c>
      <c r="C4142" t="str">
        <f t="shared" si="238"/>
        <v>181</v>
      </c>
      <c r="D4142" t="str">
        <f>"21"</f>
        <v>21</v>
      </c>
      <c r="E4142" t="str">
        <f>"1-181-21"</f>
        <v>1-181-21</v>
      </c>
      <c r="F4142" t="s">
        <v>83</v>
      </c>
      <c r="G4142" t="s">
        <v>84</v>
      </c>
      <c r="H4142" t="s">
        <v>85</v>
      </c>
      <c r="AC4142">
        <v>0</v>
      </c>
      <c r="AD4142">
        <v>1</v>
      </c>
      <c r="AE4142">
        <v>0</v>
      </c>
      <c r="AF4142">
        <v>0</v>
      </c>
      <c r="AG4142">
        <v>1</v>
      </c>
      <c r="AJ4142">
        <v>1</v>
      </c>
      <c r="AK4142">
        <v>0</v>
      </c>
      <c r="AL4142">
        <v>0</v>
      </c>
      <c r="AM4142">
        <v>1</v>
      </c>
      <c r="AN4142">
        <v>0</v>
      </c>
      <c r="AO4142">
        <v>1</v>
      </c>
      <c r="AP4142">
        <v>1</v>
      </c>
      <c r="AQ4142">
        <v>1</v>
      </c>
      <c r="AR4142">
        <v>1</v>
      </c>
      <c r="AS4142">
        <v>0</v>
      </c>
      <c r="AT4142">
        <v>1</v>
      </c>
      <c r="AV4142">
        <v>1</v>
      </c>
      <c r="AW4142">
        <v>1</v>
      </c>
    </row>
    <row r="4143" spans="1:49" x14ac:dyDescent="0.25">
      <c r="A4143" t="str">
        <f>"4139"</f>
        <v>4139</v>
      </c>
      <c r="B4143" t="str">
        <f t="shared" si="239"/>
        <v>1</v>
      </c>
      <c r="C4143" t="str">
        <f t="shared" si="238"/>
        <v>181</v>
      </c>
      <c r="D4143" t="str">
        <f>"12"</f>
        <v>12</v>
      </c>
      <c r="E4143" t="str">
        <f>"1-181-12"</f>
        <v>1-181-12</v>
      </c>
      <c r="F4143" t="s">
        <v>83</v>
      </c>
      <c r="G4143" t="s">
        <v>84</v>
      </c>
      <c r="H4143" t="s">
        <v>85</v>
      </c>
      <c r="AC4143">
        <v>0</v>
      </c>
      <c r="AD4143">
        <v>1</v>
      </c>
      <c r="AE4143">
        <v>0</v>
      </c>
      <c r="AF4143">
        <v>0</v>
      </c>
      <c r="AG4143">
        <v>1</v>
      </c>
      <c r="AJ4143">
        <v>0</v>
      </c>
      <c r="AK4143">
        <v>1</v>
      </c>
      <c r="AL4143">
        <v>0</v>
      </c>
      <c r="AM4143">
        <v>0</v>
      </c>
      <c r="AN4143">
        <v>1</v>
      </c>
      <c r="AO4143">
        <v>1</v>
      </c>
      <c r="AP4143">
        <v>1</v>
      </c>
      <c r="AQ4143">
        <v>1</v>
      </c>
      <c r="AR4143">
        <v>1</v>
      </c>
      <c r="AS4143">
        <v>1</v>
      </c>
      <c r="AT4143">
        <v>0</v>
      </c>
      <c r="AV4143">
        <v>1</v>
      </c>
      <c r="AW4143">
        <v>1</v>
      </c>
    </row>
    <row r="4144" spans="1:49" x14ac:dyDescent="0.25">
      <c r="A4144" t="str">
        <f>"4140"</f>
        <v>4140</v>
      </c>
      <c r="B4144" t="str">
        <f t="shared" si="239"/>
        <v>1</v>
      </c>
      <c r="C4144" t="str">
        <f t="shared" si="238"/>
        <v>181</v>
      </c>
      <c r="D4144" t="str">
        <f>"5"</f>
        <v>5</v>
      </c>
      <c r="E4144" t="str">
        <f>"1-181-5"</f>
        <v>1-181-5</v>
      </c>
      <c r="F4144" t="s">
        <v>83</v>
      </c>
      <c r="G4144" t="s">
        <v>84</v>
      </c>
      <c r="H4144" t="s">
        <v>85</v>
      </c>
      <c r="AC4144">
        <v>1</v>
      </c>
      <c r="AD4144">
        <v>0</v>
      </c>
      <c r="AE4144">
        <v>0</v>
      </c>
      <c r="AF4144">
        <v>0</v>
      </c>
      <c r="AG4144">
        <v>1</v>
      </c>
      <c r="AJ4144">
        <v>1</v>
      </c>
      <c r="AK4144">
        <v>0</v>
      </c>
      <c r="AL4144">
        <v>1</v>
      </c>
      <c r="AM4144">
        <v>0</v>
      </c>
      <c r="AN4144">
        <v>0</v>
      </c>
      <c r="AO4144">
        <v>1</v>
      </c>
      <c r="AP4144">
        <v>1</v>
      </c>
      <c r="AQ4144">
        <v>1</v>
      </c>
      <c r="AR4144">
        <v>1</v>
      </c>
      <c r="AS4144">
        <v>0</v>
      </c>
      <c r="AT4144">
        <v>1</v>
      </c>
      <c r="AV4144">
        <v>1</v>
      </c>
      <c r="AW4144">
        <v>1</v>
      </c>
    </row>
    <row r="4145" spans="1:49" x14ac:dyDescent="0.25">
      <c r="A4145" t="str">
        <f>"4141"</f>
        <v>4141</v>
      </c>
      <c r="B4145" t="str">
        <f t="shared" si="239"/>
        <v>1</v>
      </c>
      <c r="C4145" t="str">
        <f t="shared" si="238"/>
        <v>181</v>
      </c>
      <c r="D4145" t="str">
        <f>"19"</f>
        <v>19</v>
      </c>
      <c r="E4145" t="str">
        <f>"1-181-19"</f>
        <v>1-181-19</v>
      </c>
      <c r="F4145" t="s">
        <v>83</v>
      </c>
      <c r="G4145" t="s">
        <v>84</v>
      </c>
      <c r="H4145" t="s">
        <v>85</v>
      </c>
      <c r="AC4145">
        <v>0</v>
      </c>
      <c r="AD4145">
        <v>1</v>
      </c>
      <c r="AE4145">
        <v>0</v>
      </c>
      <c r="AF4145">
        <v>0</v>
      </c>
      <c r="AG4145">
        <v>1</v>
      </c>
      <c r="AJ4145">
        <v>1</v>
      </c>
      <c r="AK4145">
        <v>0</v>
      </c>
      <c r="AL4145">
        <v>0</v>
      </c>
      <c r="AM4145">
        <v>1</v>
      </c>
      <c r="AN4145">
        <v>0</v>
      </c>
      <c r="AO4145">
        <v>1</v>
      </c>
      <c r="AP4145">
        <v>1</v>
      </c>
      <c r="AQ4145">
        <v>1</v>
      </c>
      <c r="AR4145">
        <v>1</v>
      </c>
      <c r="AS4145">
        <v>0</v>
      </c>
      <c r="AT4145">
        <v>1</v>
      </c>
      <c r="AV4145">
        <v>1</v>
      </c>
      <c r="AW4145">
        <v>1</v>
      </c>
    </row>
    <row r="4146" spans="1:49" x14ac:dyDescent="0.25">
      <c r="A4146" t="str">
        <f>"4142"</f>
        <v>4142</v>
      </c>
      <c r="B4146" t="str">
        <f t="shared" si="239"/>
        <v>1</v>
      </c>
      <c r="C4146" t="str">
        <f t="shared" si="238"/>
        <v>181</v>
      </c>
      <c r="D4146" t="str">
        <f>"7"</f>
        <v>7</v>
      </c>
      <c r="E4146" t="str">
        <f>"1-181-7"</f>
        <v>1-181-7</v>
      </c>
      <c r="F4146" t="s">
        <v>83</v>
      </c>
      <c r="G4146" t="s">
        <v>84</v>
      </c>
      <c r="H4146" t="s">
        <v>85</v>
      </c>
      <c r="AC4146">
        <v>1</v>
      </c>
      <c r="AD4146">
        <v>0</v>
      </c>
      <c r="AE4146">
        <v>0</v>
      </c>
      <c r="AF4146">
        <v>0</v>
      </c>
      <c r="AG4146">
        <v>1</v>
      </c>
      <c r="AJ4146">
        <v>0</v>
      </c>
      <c r="AK4146">
        <v>1</v>
      </c>
      <c r="AL4146">
        <v>1</v>
      </c>
      <c r="AM4146">
        <v>0</v>
      </c>
      <c r="AN4146">
        <v>0</v>
      </c>
      <c r="AO4146">
        <v>1</v>
      </c>
      <c r="AP4146">
        <v>0</v>
      </c>
      <c r="AQ4146">
        <v>1</v>
      </c>
      <c r="AR4146">
        <v>1</v>
      </c>
      <c r="AS4146">
        <v>0</v>
      </c>
      <c r="AT4146">
        <v>1</v>
      </c>
      <c r="AV4146">
        <v>1</v>
      </c>
      <c r="AW4146">
        <v>1</v>
      </c>
    </row>
    <row r="4147" spans="1:49" x14ac:dyDescent="0.25">
      <c r="A4147" t="str">
        <f>"4143"</f>
        <v>4143</v>
      </c>
      <c r="B4147" t="str">
        <f t="shared" si="239"/>
        <v>1</v>
      </c>
      <c r="C4147" t="str">
        <f t="shared" si="238"/>
        <v>181</v>
      </c>
      <c r="D4147" t="str">
        <f>"20"</f>
        <v>20</v>
      </c>
      <c r="E4147" t="str">
        <f>"1-181-20"</f>
        <v>1-181-20</v>
      </c>
      <c r="F4147" t="s">
        <v>83</v>
      </c>
      <c r="G4147" t="s">
        <v>84</v>
      </c>
      <c r="H4147" t="s">
        <v>85</v>
      </c>
      <c r="AC4147">
        <v>1</v>
      </c>
      <c r="AD4147">
        <v>0</v>
      </c>
      <c r="AE4147">
        <v>0</v>
      </c>
      <c r="AF4147">
        <v>0</v>
      </c>
      <c r="AG4147">
        <v>1</v>
      </c>
      <c r="AJ4147">
        <v>1</v>
      </c>
      <c r="AK4147">
        <v>0</v>
      </c>
      <c r="AL4147">
        <v>0</v>
      </c>
      <c r="AM4147">
        <v>1</v>
      </c>
      <c r="AN4147">
        <v>0</v>
      </c>
      <c r="AO4147">
        <v>1</v>
      </c>
      <c r="AP4147">
        <v>1</v>
      </c>
      <c r="AQ4147">
        <v>1</v>
      </c>
      <c r="AR4147">
        <v>1</v>
      </c>
      <c r="AS4147">
        <v>0</v>
      </c>
      <c r="AT4147">
        <v>1</v>
      </c>
      <c r="AV4147">
        <v>1</v>
      </c>
      <c r="AW4147">
        <v>1</v>
      </c>
    </row>
    <row r="4148" spans="1:49" x14ac:dyDescent="0.25">
      <c r="A4148" t="str">
        <f>"4144"</f>
        <v>4144</v>
      </c>
      <c r="B4148" t="str">
        <f t="shared" si="239"/>
        <v>1</v>
      </c>
      <c r="C4148" t="str">
        <f t="shared" si="238"/>
        <v>181</v>
      </c>
      <c r="D4148" t="str">
        <f>"2"</f>
        <v>2</v>
      </c>
      <c r="E4148" t="str">
        <f>"1-181-2"</f>
        <v>1-181-2</v>
      </c>
      <c r="F4148" t="s">
        <v>83</v>
      </c>
      <c r="G4148" t="s">
        <v>84</v>
      </c>
      <c r="H4148" t="s">
        <v>85</v>
      </c>
      <c r="AC4148">
        <v>0</v>
      </c>
      <c r="AD4148">
        <v>1</v>
      </c>
      <c r="AE4148">
        <v>0</v>
      </c>
      <c r="AF4148">
        <v>0</v>
      </c>
      <c r="AG4148">
        <v>1</v>
      </c>
      <c r="AJ4148">
        <v>0</v>
      </c>
      <c r="AK4148">
        <v>1</v>
      </c>
      <c r="AL4148">
        <v>0</v>
      </c>
      <c r="AM4148">
        <v>0</v>
      </c>
      <c r="AN4148">
        <v>1</v>
      </c>
      <c r="AO4148">
        <v>1</v>
      </c>
      <c r="AP4148">
        <v>1</v>
      </c>
      <c r="AQ4148">
        <v>1</v>
      </c>
      <c r="AR4148">
        <v>1</v>
      </c>
      <c r="AS4148">
        <v>1</v>
      </c>
      <c r="AT4148">
        <v>0</v>
      </c>
      <c r="AV4148">
        <v>1</v>
      </c>
      <c r="AW4148">
        <v>1</v>
      </c>
    </row>
    <row r="4149" spans="1:49" x14ac:dyDescent="0.25">
      <c r="A4149" t="str">
        <f>"4145"</f>
        <v>4145</v>
      </c>
      <c r="B4149" t="str">
        <f t="shared" si="239"/>
        <v>1</v>
      </c>
      <c r="C4149" t="str">
        <f t="shared" ref="C4149:C4173" si="240">"182"</f>
        <v>182</v>
      </c>
      <c r="D4149" t="str">
        <f>"23"</f>
        <v>23</v>
      </c>
      <c r="E4149" t="str">
        <f>"1-182-23"</f>
        <v>1-182-23</v>
      </c>
      <c r="F4149" t="s">
        <v>83</v>
      </c>
      <c r="G4149" t="s">
        <v>90</v>
      </c>
      <c r="H4149" t="s">
        <v>91</v>
      </c>
      <c r="AC4149">
        <v>0</v>
      </c>
      <c r="AD4149">
        <v>1</v>
      </c>
      <c r="AE4149">
        <v>0</v>
      </c>
      <c r="AF4149">
        <v>0</v>
      </c>
      <c r="AH4149">
        <v>1</v>
      </c>
      <c r="AI4149">
        <v>0</v>
      </c>
      <c r="AJ4149">
        <v>1</v>
      </c>
      <c r="AK4149">
        <v>0</v>
      </c>
      <c r="AL4149">
        <v>0</v>
      </c>
      <c r="AM4149">
        <v>1</v>
      </c>
      <c r="AN4149">
        <v>0</v>
      </c>
      <c r="AO4149">
        <v>1</v>
      </c>
      <c r="AP4149">
        <v>1</v>
      </c>
      <c r="AQ4149">
        <v>1</v>
      </c>
      <c r="AR4149">
        <v>1</v>
      </c>
      <c r="AU4149">
        <v>0</v>
      </c>
      <c r="AV4149">
        <v>1</v>
      </c>
      <c r="AW4149">
        <v>1</v>
      </c>
    </row>
    <row r="4150" spans="1:49" x14ac:dyDescent="0.25">
      <c r="A4150" t="str">
        <f>"4146"</f>
        <v>4146</v>
      </c>
      <c r="B4150" t="str">
        <f t="shared" si="239"/>
        <v>1</v>
      </c>
      <c r="C4150" t="str">
        <f t="shared" si="240"/>
        <v>182</v>
      </c>
      <c r="D4150" t="str">
        <f>"22"</f>
        <v>22</v>
      </c>
      <c r="E4150" t="str">
        <f>"1-182-22"</f>
        <v>1-182-22</v>
      </c>
      <c r="F4150" t="s">
        <v>83</v>
      </c>
      <c r="G4150" t="s">
        <v>84</v>
      </c>
      <c r="H4150" t="s">
        <v>85</v>
      </c>
      <c r="AC4150">
        <v>0</v>
      </c>
      <c r="AD4150">
        <v>0</v>
      </c>
      <c r="AE4150">
        <v>0</v>
      </c>
      <c r="AF4150">
        <v>0</v>
      </c>
      <c r="AG4150">
        <v>1</v>
      </c>
      <c r="AJ4150">
        <v>0</v>
      </c>
      <c r="AK4150">
        <v>0</v>
      </c>
      <c r="AL4150">
        <v>0</v>
      </c>
      <c r="AM4150">
        <v>0</v>
      </c>
      <c r="AN4150">
        <v>0</v>
      </c>
      <c r="AO4150">
        <v>1</v>
      </c>
      <c r="AP4150">
        <v>1</v>
      </c>
      <c r="AQ4150">
        <v>1</v>
      </c>
      <c r="AR4150">
        <v>1</v>
      </c>
      <c r="AS4150">
        <v>0</v>
      </c>
      <c r="AT4150">
        <v>1</v>
      </c>
      <c r="AV4150">
        <v>1</v>
      </c>
      <c r="AW4150">
        <v>1</v>
      </c>
    </row>
    <row r="4151" spans="1:49" x14ac:dyDescent="0.25">
      <c r="A4151" t="str">
        <f>"4147"</f>
        <v>4147</v>
      </c>
      <c r="B4151" t="str">
        <f t="shared" si="239"/>
        <v>1</v>
      </c>
      <c r="C4151" t="str">
        <f t="shared" si="240"/>
        <v>182</v>
      </c>
      <c r="D4151" t="str">
        <f>"15"</f>
        <v>15</v>
      </c>
      <c r="E4151" t="str">
        <f>"1-182-15"</f>
        <v>1-182-15</v>
      </c>
      <c r="F4151" t="s">
        <v>83</v>
      </c>
      <c r="G4151" t="s">
        <v>84</v>
      </c>
      <c r="H4151" t="s">
        <v>85</v>
      </c>
      <c r="AC4151">
        <v>0</v>
      </c>
      <c r="AD4151">
        <v>1</v>
      </c>
      <c r="AE4151">
        <v>0</v>
      </c>
      <c r="AF4151">
        <v>0</v>
      </c>
      <c r="AG4151">
        <v>1</v>
      </c>
      <c r="AJ4151">
        <v>0</v>
      </c>
      <c r="AK4151">
        <v>1</v>
      </c>
      <c r="AL4151">
        <v>0</v>
      </c>
      <c r="AM4151">
        <v>0</v>
      </c>
      <c r="AN4151">
        <v>1</v>
      </c>
      <c r="AO4151">
        <v>1</v>
      </c>
      <c r="AP4151">
        <v>1</v>
      </c>
      <c r="AQ4151">
        <v>1</v>
      </c>
      <c r="AR4151">
        <v>1</v>
      </c>
      <c r="AS4151">
        <v>0</v>
      </c>
      <c r="AT4151">
        <v>1</v>
      </c>
      <c r="AV4151">
        <v>1</v>
      </c>
      <c r="AW4151">
        <v>1</v>
      </c>
    </row>
    <row r="4152" spans="1:49" x14ac:dyDescent="0.25">
      <c r="A4152" t="str">
        <f>"4148"</f>
        <v>4148</v>
      </c>
      <c r="B4152" t="str">
        <f t="shared" si="239"/>
        <v>1</v>
      </c>
      <c r="C4152" t="str">
        <f t="shared" si="240"/>
        <v>182</v>
      </c>
      <c r="D4152" t="str">
        <f>"8"</f>
        <v>8</v>
      </c>
      <c r="E4152" t="str">
        <f>"1-182-8"</f>
        <v>1-182-8</v>
      </c>
      <c r="F4152" t="s">
        <v>83</v>
      </c>
      <c r="G4152" t="s">
        <v>84</v>
      </c>
      <c r="H4152" t="s">
        <v>85</v>
      </c>
      <c r="AC4152">
        <v>1</v>
      </c>
      <c r="AD4152">
        <v>0</v>
      </c>
      <c r="AE4152">
        <v>0</v>
      </c>
      <c r="AF4152">
        <v>0</v>
      </c>
      <c r="AG4152">
        <v>0</v>
      </c>
      <c r="AJ4152">
        <v>1</v>
      </c>
      <c r="AK4152">
        <v>0</v>
      </c>
      <c r="AL4152">
        <v>0</v>
      </c>
      <c r="AM4152">
        <v>0</v>
      </c>
      <c r="AN4152">
        <v>0</v>
      </c>
      <c r="AO4152">
        <v>0</v>
      </c>
      <c r="AP4152">
        <v>0</v>
      </c>
      <c r="AQ4152">
        <v>0</v>
      </c>
      <c r="AR4152">
        <v>0</v>
      </c>
      <c r="AS4152">
        <v>0</v>
      </c>
      <c r="AT4152">
        <v>1</v>
      </c>
      <c r="AV4152">
        <v>0</v>
      </c>
      <c r="AW4152">
        <v>0</v>
      </c>
    </row>
    <row r="4153" spans="1:49" x14ac:dyDescent="0.25">
      <c r="A4153" t="str">
        <f>"4149"</f>
        <v>4149</v>
      </c>
      <c r="B4153" t="str">
        <f t="shared" si="239"/>
        <v>1</v>
      </c>
      <c r="C4153" t="str">
        <f t="shared" si="240"/>
        <v>182</v>
      </c>
      <c r="D4153" t="str">
        <f>"3"</f>
        <v>3</v>
      </c>
      <c r="E4153" t="str">
        <f>"1-182-3"</f>
        <v>1-182-3</v>
      </c>
      <c r="F4153" t="s">
        <v>83</v>
      </c>
      <c r="G4153" t="s">
        <v>84</v>
      </c>
      <c r="H4153" t="s">
        <v>85</v>
      </c>
      <c r="AC4153">
        <v>0</v>
      </c>
      <c r="AD4153">
        <v>1</v>
      </c>
      <c r="AE4153">
        <v>0</v>
      </c>
      <c r="AF4153">
        <v>0</v>
      </c>
      <c r="AG4153">
        <v>1</v>
      </c>
      <c r="AJ4153">
        <v>1</v>
      </c>
      <c r="AK4153">
        <v>0</v>
      </c>
      <c r="AL4153">
        <v>1</v>
      </c>
      <c r="AM4153">
        <v>0</v>
      </c>
      <c r="AN4153">
        <v>0</v>
      </c>
      <c r="AO4153">
        <v>1</v>
      </c>
      <c r="AP4153">
        <v>1</v>
      </c>
      <c r="AQ4153">
        <v>1</v>
      </c>
      <c r="AR4153">
        <v>1</v>
      </c>
      <c r="AS4153">
        <v>1</v>
      </c>
      <c r="AT4153">
        <v>0</v>
      </c>
      <c r="AV4153">
        <v>1</v>
      </c>
      <c r="AW4153">
        <v>1</v>
      </c>
    </row>
    <row r="4154" spans="1:49" x14ac:dyDescent="0.25">
      <c r="A4154" t="str">
        <f>"4150"</f>
        <v>4150</v>
      </c>
      <c r="B4154" t="str">
        <f t="shared" si="239"/>
        <v>1</v>
      </c>
      <c r="C4154" t="str">
        <f t="shared" si="240"/>
        <v>182</v>
      </c>
      <c r="D4154" t="str">
        <f>"24"</f>
        <v>24</v>
      </c>
      <c r="E4154" t="str">
        <f>"1-182-24"</f>
        <v>1-182-24</v>
      </c>
      <c r="F4154" t="s">
        <v>83</v>
      </c>
      <c r="G4154" t="s">
        <v>84</v>
      </c>
      <c r="H4154" t="s">
        <v>85</v>
      </c>
      <c r="AC4154">
        <v>1</v>
      </c>
      <c r="AD4154">
        <v>0</v>
      </c>
      <c r="AE4154">
        <v>0</v>
      </c>
      <c r="AF4154">
        <v>0</v>
      </c>
      <c r="AG4154">
        <v>1</v>
      </c>
      <c r="AJ4154">
        <v>1</v>
      </c>
      <c r="AK4154">
        <v>0</v>
      </c>
      <c r="AL4154">
        <v>0</v>
      </c>
      <c r="AM4154">
        <v>1</v>
      </c>
      <c r="AN4154">
        <v>0</v>
      </c>
      <c r="AO4154">
        <v>1</v>
      </c>
      <c r="AP4154">
        <v>1</v>
      </c>
      <c r="AQ4154">
        <v>1</v>
      </c>
      <c r="AR4154">
        <v>1</v>
      </c>
      <c r="AS4154">
        <v>1</v>
      </c>
      <c r="AT4154">
        <v>0</v>
      </c>
      <c r="AV4154">
        <v>1</v>
      </c>
      <c r="AW4154">
        <v>1</v>
      </c>
    </row>
    <row r="4155" spans="1:49" x14ac:dyDescent="0.25">
      <c r="A4155" t="str">
        <f>"4151"</f>
        <v>4151</v>
      </c>
      <c r="B4155" t="str">
        <f t="shared" si="239"/>
        <v>1</v>
      </c>
      <c r="C4155" t="str">
        <f t="shared" si="240"/>
        <v>182</v>
      </c>
      <c r="D4155" t="str">
        <f>"16"</f>
        <v>16</v>
      </c>
      <c r="E4155" t="str">
        <f>"1-182-16"</f>
        <v>1-182-16</v>
      </c>
      <c r="F4155" t="s">
        <v>83</v>
      </c>
      <c r="G4155" t="s">
        <v>84</v>
      </c>
      <c r="H4155" t="s">
        <v>85</v>
      </c>
      <c r="AC4155">
        <v>1</v>
      </c>
      <c r="AD4155">
        <v>0</v>
      </c>
      <c r="AE4155">
        <v>0</v>
      </c>
      <c r="AF4155">
        <v>0</v>
      </c>
      <c r="AG4155">
        <v>0</v>
      </c>
      <c r="AJ4155">
        <v>1</v>
      </c>
      <c r="AK4155">
        <v>0</v>
      </c>
      <c r="AL4155">
        <v>0</v>
      </c>
      <c r="AM4155">
        <v>0</v>
      </c>
      <c r="AN4155">
        <v>1</v>
      </c>
      <c r="AO4155">
        <v>0</v>
      </c>
      <c r="AP4155">
        <v>0</v>
      </c>
      <c r="AQ4155">
        <v>0</v>
      </c>
      <c r="AR4155">
        <v>0</v>
      </c>
      <c r="AS4155">
        <v>0</v>
      </c>
      <c r="AT4155">
        <v>1</v>
      </c>
      <c r="AV4155">
        <v>0</v>
      </c>
      <c r="AW4155">
        <v>0</v>
      </c>
    </row>
    <row r="4156" spans="1:49" x14ac:dyDescent="0.25">
      <c r="A4156" t="str">
        <f>"4152"</f>
        <v>4152</v>
      </c>
      <c r="B4156" t="str">
        <f t="shared" si="239"/>
        <v>1</v>
      </c>
      <c r="C4156" t="str">
        <f t="shared" si="240"/>
        <v>182</v>
      </c>
      <c r="D4156" t="str">
        <f>"9"</f>
        <v>9</v>
      </c>
      <c r="E4156" t="str">
        <f>"1-182-9"</f>
        <v>1-182-9</v>
      </c>
      <c r="F4156" t="s">
        <v>83</v>
      </c>
      <c r="G4156" t="s">
        <v>84</v>
      </c>
      <c r="H4156" t="s">
        <v>85</v>
      </c>
      <c r="AC4156">
        <v>0</v>
      </c>
      <c r="AD4156">
        <v>1</v>
      </c>
      <c r="AE4156">
        <v>0</v>
      </c>
      <c r="AF4156">
        <v>0</v>
      </c>
      <c r="AG4156">
        <v>1</v>
      </c>
      <c r="AJ4156">
        <v>0</v>
      </c>
      <c r="AK4156">
        <v>1</v>
      </c>
      <c r="AL4156">
        <v>0</v>
      </c>
      <c r="AM4156">
        <v>1</v>
      </c>
      <c r="AN4156">
        <v>0</v>
      </c>
      <c r="AO4156">
        <v>1</v>
      </c>
      <c r="AP4156">
        <v>1</v>
      </c>
      <c r="AQ4156">
        <v>1</v>
      </c>
      <c r="AR4156">
        <v>1</v>
      </c>
      <c r="AS4156">
        <v>0</v>
      </c>
      <c r="AT4156">
        <v>1</v>
      </c>
      <c r="AV4156">
        <v>1</v>
      </c>
      <c r="AW4156">
        <v>1</v>
      </c>
    </row>
    <row r="4157" spans="1:49" x14ac:dyDescent="0.25">
      <c r="A4157" t="str">
        <f>"4153"</f>
        <v>4153</v>
      </c>
      <c r="B4157" t="str">
        <f t="shared" si="239"/>
        <v>1</v>
      </c>
      <c r="C4157" t="str">
        <f t="shared" si="240"/>
        <v>182</v>
      </c>
      <c r="D4157" t="str">
        <f>"6"</f>
        <v>6</v>
      </c>
      <c r="E4157" t="str">
        <f>"1-182-6"</f>
        <v>1-182-6</v>
      </c>
      <c r="F4157" t="s">
        <v>83</v>
      </c>
      <c r="G4157" t="s">
        <v>84</v>
      </c>
      <c r="H4157" t="s">
        <v>85</v>
      </c>
      <c r="AC4157">
        <v>0</v>
      </c>
      <c r="AD4157">
        <v>1</v>
      </c>
      <c r="AE4157">
        <v>0</v>
      </c>
      <c r="AF4157">
        <v>0</v>
      </c>
      <c r="AG4157">
        <v>0</v>
      </c>
      <c r="AJ4157">
        <v>1</v>
      </c>
      <c r="AK4157">
        <v>0</v>
      </c>
      <c r="AL4157">
        <v>1</v>
      </c>
      <c r="AM4157">
        <v>0</v>
      </c>
      <c r="AN4157">
        <v>0</v>
      </c>
      <c r="AO4157">
        <v>1</v>
      </c>
      <c r="AP4157">
        <v>1</v>
      </c>
      <c r="AQ4157">
        <v>1</v>
      </c>
      <c r="AR4157">
        <v>1</v>
      </c>
      <c r="AS4157">
        <v>1</v>
      </c>
      <c r="AT4157">
        <v>0</v>
      </c>
      <c r="AV4157">
        <v>1</v>
      </c>
      <c r="AW4157">
        <v>1</v>
      </c>
    </row>
    <row r="4158" spans="1:49" x14ac:dyDescent="0.25">
      <c r="A4158" t="str">
        <f>"4154"</f>
        <v>4154</v>
      </c>
      <c r="B4158" t="str">
        <f t="shared" si="239"/>
        <v>1</v>
      </c>
      <c r="C4158" t="str">
        <f t="shared" si="240"/>
        <v>182</v>
      </c>
      <c r="D4158" t="str">
        <f>"17"</f>
        <v>17</v>
      </c>
      <c r="E4158" t="str">
        <f>"1-182-17"</f>
        <v>1-182-17</v>
      </c>
      <c r="F4158" t="s">
        <v>83</v>
      </c>
      <c r="G4158" t="s">
        <v>84</v>
      </c>
      <c r="H4158" t="s">
        <v>85</v>
      </c>
      <c r="AC4158">
        <v>1</v>
      </c>
      <c r="AD4158">
        <v>0</v>
      </c>
      <c r="AE4158">
        <v>0</v>
      </c>
      <c r="AF4158">
        <v>0</v>
      </c>
      <c r="AG4158">
        <v>1</v>
      </c>
      <c r="AJ4158">
        <v>1</v>
      </c>
      <c r="AK4158">
        <v>0</v>
      </c>
      <c r="AL4158">
        <v>0</v>
      </c>
      <c r="AM4158">
        <v>1</v>
      </c>
      <c r="AN4158">
        <v>0</v>
      </c>
      <c r="AO4158">
        <v>1</v>
      </c>
      <c r="AP4158">
        <v>1</v>
      </c>
      <c r="AQ4158">
        <v>1</v>
      </c>
      <c r="AR4158">
        <v>1</v>
      </c>
      <c r="AS4158">
        <v>0</v>
      </c>
      <c r="AT4158">
        <v>1</v>
      </c>
      <c r="AV4158">
        <v>1</v>
      </c>
      <c r="AW4158">
        <v>1</v>
      </c>
    </row>
    <row r="4159" spans="1:49" x14ac:dyDescent="0.25">
      <c r="A4159" t="str">
        <f>"4155"</f>
        <v>4155</v>
      </c>
      <c r="B4159" t="str">
        <f t="shared" si="239"/>
        <v>1</v>
      </c>
      <c r="C4159" t="str">
        <f t="shared" si="240"/>
        <v>182</v>
      </c>
      <c r="D4159" t="str">
        <f>"10"</f>
        <v>10</v>
      </c>
      <c r="E4159" t="str">
        <f>"1-182-10"</f>
        <v>1-182-10</v>
      </c>
      <c r="F4159" t="s">
        <v>83</v>
      </c>
      <c r="G4159" t="s">
        <v>84</v>
      </c>
      <c r="H4159" t="s">
        <v>85</v>
      </c>
      <c r="AC4159">
        <v>0</v>
      </c>
      <c r="AD4159">
        <v>1</v>
      </c>
      <c r="AE4159">
        <v>0</v>
      </c>
      <c r="AF4159">
        <v>0</v>
      </c>
      <c r="AG4159">
        <v>1</v>
      </c>
      <c r="AJ4159">
        <v>0</v>
      </c>
      <c r="AK4159">
        <v>1</v>
      </c>
      <c r="AL4159">
        <v>0</v>
      </c>
      <c r="AM4159">
        <v>1</v>
      </c>
      <c r="AN4159">
        <v>0</v>
      </c>
      <c r="AO4159">
        <v>1</v>
      </c>
      <c r="AP4159">
        <v>1</v>
      </c>
      <c r="AQ4159">
        <v>1</v>
      </c>
      <c r="AR4159">
        <v>1</v>
      </c>
      <c r="AS4159">
        <v>0</v>
      </c>
      <c r="AT4159">
        <v>1</v>
      </c>
      <c r="AV4159">
        <v>1</v>
      </c>
      <c r="AW4159">
        <v>1</v>
      </c>
    </row>
    <row r="4160" spans="1:49" x14ac:dyDescent="0.25">
      <c r="A4160" t="str">
        <f>"4156"</f>
        <v>4156</v>
      </c>
      <c r="B4160" t="str">
        <f t="shared" si="239"/>
        <v>1</v>
      </c>
      <c r="C4160" t="str">
        <f t="shared" si="240"/>
        <v>182</v>
      </c>
      <c r="D4160" t="str">
        <f>"4"</f>
        <v>4</v>
      </c>
      <c r="E4160" t="str">
        <f>"1-182-4"</f>
        <v>1-182-4</v>
      </c>
      <c r="F4160" t="s">
        <v>83</v>
      </c>
      <c r="G4160" t="s">
        <v>84</v>
      </c>
      <c r="H4160" t="s">
        <v>85</v>
      </c>
      <c r="AC4160">
        <v>1</v>
      </c>
      <c r="AD4160">
        <v>0</v>
      </c>
      <c r="AE4160">
        <v>0</v>
      </c>
      <c r="AF4160">
        <v>0</v>
      </c>
      <c r="AG4160">
        <v>1</v>
      </c>
      <c r="AJ4160">
        <v>0</v>
      </c>
      <c r="AK4160">
        <v>1</v>
      </c>
      <c r="AL4160">
        <v>0</v>
      </c>
      <c r="AM4160">
        <v>1</v>
      </c>
      <c r="AN4160">
        <v>0</v>
      </c>
      <c r="AO4160">
        <v>1</v>
      </c>
      <c r="AP4160">
        <v>1</v>
      </c>
      <c r="AQ4160">
        <v>1</v>
      </c>
      <c r="AR4160">
        <v>1</v>
      </c>
      <c r="AS4160">
        <v>0</v>
      </c>
      <c r="AT4160">
        <v>1</v>
      </c>
      <c r="AV4160">
        <v>1</v>
      </c>
      <c r="AW4160">
        <v>1</v>
      </c>
    </row>
    <row r="4161" spans="1:49" x14ac:dyDescent="0.25">
      <c r="A4161" t="str">
        <f>"4157"</f>
        <v>4157</v>
      </c>
      <c r="B4161" t="str">
        <f t="shared" si="239"/>
        <v>1</v>
      </c>
      <c r="C4161" t="str">
        <f t="shared" si="240"/>
        <v>182</v>
      </c>
      <c r="D4161" t="str">
        <f>"18"</f>
        <v>18</v>
      </c>
      <c r="E4161" t="str">
        <f>"1-182-18"</f>
        <v>1-182-18</v>
      </c>
      <c r="F4161" t="s">
        <v>83</v>
      </c>
      <c r="G4161" t="s">
        <v>84</v>
      </c>
      <c r="H4161" t="s">
        <v>85</v>
      </c>
      <c r="AC4161">
        <v>0</v>
      </c>
      <c r="AD4161">
        <v>1</v>
      </c>
      <c r="AE4161">
        <v>0</v>
      </c>
      <c r="AF4161">
        <v>0</v>
      </c>
      <c r="AG4161">
        <v>1</v>
      </c>
      <c r="AJ4161">
        <v>0</v>
      </c>
      <c r="AK4161">
        <v>1</v>
      </c>
      <c r="AL4161">
        <v>1</v>
      </c>
      <c r="AM4161">
        <v>0</v>
      </c>
      <c r="AN4161">
        <v>0</v>
      </c>
      <c r="AO4161">
        <v>1</v>
      </c>
      <c r="AP4161">
        <v>1</v>
      </c>
      <c r="AQ4161">
        <v>1</v>
      </c>
      <c r="AR4161">
        <v>1</v>
      </c>
      <c r="AS4161">
        <v>1</v>
      </c>
      <c r="AT4161">
        <v>0</v>
      </c>
      <c r="AV4161">
        <v>1</v>
      </c>
      <c r="AW4161">
        <v>1</v>
      </c>
    </row>
    <row r="4162" spans="1:49" x14ac:dyDescent="0.25">
      <c r="A4162" t="str">
        <f>"4158"</f>
        <v>4158</v>
      </c>
      <c r="B4162" t="str">
        <f t="shared" si="239"/>
        <v>1</v>
      </c>
      <c r="C4162" t="str">
        <f t="shared" si="240"/>
        <v>182</v>
      </c>
      <c r="D4162" t="str">
        <f>"11"</f>
        <v>11</v>
      </c>
      <c r="E4162" t="str">
        <f>"1-182-11"</f>
        <v>1-182-11</v>
      </c>
      <c r="F4162" t="s">
        <v>83</v>
      </c>
      <c r="G4162" t="s">
        <v>84</v>
      </c>
      <c r="H4162" t="s">
        <v>85</v>
      </c>
      <c r="AC4162">
        <v>0</v>
      </c>
      <c r="AD4162">
        <v>1</v>
      </c>
      <c r="AE4162">
        <v>0</v>
      </c>
      <c r="AF4162">
        <v>0</v>
      </c>
      <c r="AG4162">
        <v>1</v>
      </c>
      <c r="AJ4162">
        <v>0</v>
      </c>
      <c r="AK4162">
        <v>1</v>
      </c>
      <c r="AL4162">
        <v>0</v>
      </c>
      <c r="AM4162">
        <v>1</v>
      </c>
      <c r="AN4162">
        <v>0</v>
      </c>
      <c r="AO4162">
        <v>1</v>
      </c>
      <c r="AP4162">
        <v>1</v>
      </c>
      <c r="AQ4162">
        <v>1</v>
      </c>
      <c r="AR4162">
        <v>1</v>
      </c>
      <c r="AS4162">
        <v>0</v>
      </c>
      <c r="AT4162">
        <v>1</v>
      </c>
      <c r="AV4162">
        <v>1</v>
      </c>
      <c r="AW4162">
        <v>1</v>
      </c>
    </row>
    <row r="4163" spans="1:49" x14ac:dyDescent="0.25">
      <c r="A4163" t="str">
        <f>"4159"</f>
        <v>4159</v>
      </c>
      <c r="B4163" t="str">
        <f t="shared" si="239"/>
        <v>1</v>
      </c>
      <c r="C4163" t="str">
        <f t="shared" si="240"/>
        <v>182</v>
      </c>
      <c r="D4163" t="str">
        <f>"1"</f>
        <v>1</v>
      </c>
      <c r="E4163" t="str">
        <f>"1-182-1"</f>
        <v>1-182-1</v>
      </c>
      <c r="F4163" t="s">
        <v>83</v>
      </c>
      <c r="G4163" t="s">
        <v>84</v>
      </c>
      <c r="H4163" t="s">
        <v>85</v>
      </c>
      <c r="AC4163">
        <v>0</v>
      </c>
      <c r="AD4163">
        <v>1</v>
      </c>
      <c r="AE4163">
        <v>0</v>
      </c>
      <c r="AF4163">
        <v>0</v>
      </c>
      <c r="AG4163">
        <v>0</v>
      </c>
      <c r="AJ4163">
        <v>0</v>
      </c>
      <c r="AK4163">
        <v>1</v>
      </c>
      <c r="AL4163">
        <v>0</v>
      </c>
      <c r="AM4163">
        <v>0</v>
      </c>
      <c r="AN4163">
        <v>1</v>
      </c>
      <c r="AO4163">
        <v>1</v>
      </c>
      <c r="AP4163">
        <v>1</v>
      </c>
      <c r="AQ4163">
        <v>1</v>
      </c>
      <c r="AR4163">
        <v>1</v>
      </c>
      <c r="AS4163">
        <v>0</v>
      </c>
      <c r="AT4163">
        <v>1</v>
      </c>
      <c r="AV4163">
        <v>1</v>
      </c>
      <c r="AW4163">
        <v>1</v>
      </c>
    </row>
    <row r="4164" spans="1:49" x14ac:dyDescent="0.25">
      <c r="A4164" t="str">
        <f>"4160"</f>
        <v>4160</v>
      </c>
      <c r="B4164" t="str">
        <f t="shared" si="239"/>
        <v>1</v>
      </c>
      <c r="C4164" t="str">
        <f t="shared" si="240"/>
        <v>182</v>
      </c>
      <c r="D4164" t="str">
        <f>"20"</f>
        <v>20</v>
      </c>
      <c r="E4164" t="str">
        <f>"1-182-20"</f>
        <v>1-182-20</v>
      </c>
      <c r="F4164" t="s">
        <v>83</v>
      </c>
      <c r="G4164" t="s">
        <v>84</v>
      </c>
      <c r="H4164" t="s">
        <v>85</v>
      </c>
      <c r="AC4164">
        <v>0</v>
      </c>
      <c r="AD4164">
        <v>1</v>
      </c>
      <c r="AE4164">
        <v>0</v>
      </c>
      <c r="AF4164">
        <v>0</v>
      </c>
      <c r="AG4164">
        <v>1</v>
      </c>
      <c r="AJ4164">
        <v>0</v>
      </c>
      <c r="AK4164">
        <v>1</v>
      </c>
      <c r="AL4164">
        <v>1</v>
      </c>
      <c r="AM4164">
        <v>0</v>
      </c>
      <c r="AN4164">
        <v>0</v>
      </c>
      <c r="AO4164">
        <v>1</v>
      </c>
      <c r="AP4164">
        <v>1</v>
      </c>
      <c r="AQ4164">
        <v>1</v>
      </c>
      <c r="AR4164">
        <v>1</v>
      </c>
      <c r="AS4164">
        <v>0</v>
      </c>
      <c r="AT4164">
        <v>1</v>
      </c>
      <c r="AV4164">
        <v>1</v>
      </c>
      <c r="AW4164">
        <v>1</v>
      </c>
    </row>
    <row r="4165" spans="1:49" x14ac:dyDescent="0.25">
      <c r="A4165" t="str">
        <f>"4161"</f>
        <v>4161</v>
      </c>
      <c r="B4165" t="str">
        <f t="shared" si="239"/>
        <v>1</v>
      </c>
      <c r="C4165" t="str">
        <f t="shared" si="240"/>
        <v>182</v>
      </c>
      <c r="D4165" t="str">
        <f>"12"</f>
        <v>12</v>
      </c>
      <c r="E4165" t="str">
        <f>"1-182-12"</f>
        <v>1-182-12</v>
      </c>
      <c r="F4165" t="s">
        <v>83</v>
      </c>
      <c r="G4165" t="s">
        <v>84</v>
      </c>
      <c r="H4165" t="s">
        <v>85</v>
      </c>
      <c r="AC4165">
        <v>1</v>
      </c>
      <c r="AD4165">
        <v>0</v>
      </c>
      <c r="AE4165">
        <v>0</v>
      </c>
      <c r="AF4165">
        <v>0</v>
      </c>
      <c r="AG4165">
        <v>1</v>
      </c>
      <c r="AJ4165">
        <v>0</v>
      </c>
      <c r="AK4165">
        <v>1</v>
      </c>
      <c r="AL4165">
        <v>0</v>
      </c>
      <c r="AM4165">
        <v>0</v>
      </c>
      <c r="AN4165">
        <v>1</v>
      </c>
      <c r="AO4165">
        <v>1</v>
      </c>
      <c r="AP4165">
        <v>1</v>
      </c>
      <c r="AQ4165">
        <v>1</v>
      </c>
      <c r="AR4165">
        <v>1</v>
      </c>
      <c r="AS4165">
        <v>0</v>
      </c>
      <c r="AT4165">
        <v>1</v>
      </c>
      <c r="AV4165">
        <v>1</v>
      </c>
      <c r="AW4165">
        <v>1</v>
      </c>
    </row>
    <row r="4166" spans="1:49" x14ac:dyDescent="0.25">
      <c r="A4166" t="str">
        <f>"4162"</f>
        <v>4162</v>
      </c>
      <c r="B4166" t="str">
        <f t="shared" si="239"/>
        <v>1</v>
      </c>
      <c r="C4166" t="str">
        <f t="shared" si="240"/>
        <v>182</v>
      </c>
      <c r="D4166" t="str">
        <f>"19"</f>
        <v>19</v>
      </c>
      <c r="E4166" t="str">
        <f>"1-182-19"</f>
        <v>1-182-19</v>
      </c>
      <c r="F4166" t="s">
        <v>83</v>
      </c>
      <c r="G4166" t="s">
        <v>84</v>
      </c>
      <c r="H4166" t="s">
        <v>85</v>
      </c>
      <c r="AC4166">
        <v>0</v>
      </c>
      <c r="AD4166">
        <v>1</v>
      </c>
      <c r="AE4166">
        <v>0</v>
      </c>
      <c r="AF4166">
        <v>0</v>
      </c>
      <c r="AG4166">
        <v>1</v>
      </c>
      <c r="AJ4166">
        <v>1</v>
      </c>
      <c r="AK4166">
        <v>0</v>
      </c>
      <c r="AL4166">
        <v>0</v>
      </c>
      <c r="AM4166">
        <v>1</v>
      </c>
      <c r="AN4166">
        <v>0</v>
      </c>
      <c r="AO4166">
        <v>1</v>
      </c>
      <c r="AP4166">
        <v>1</v>
      </c>
      <c r="AQ4166">
        <v>1</v>
      </c>
      <c r="AR4166">
        <v>1</v>
      </c>
      <c r="AS4166">
        <v>1</v>
      </c>
      <c r="AT4166">
        <v>0</v>
      </c>
      <c r="AV4166">
        <v>1</v>
      </c>
      <c r="AW4166">
        <v>1</v>
      </c>
    </row>
    <row r="4167" spans="1:49" x14ac:dyDescent="0.25">
      <c r="A4167" t="str">
        <f>"4163"</f>
        <v>4163</v>
      </c>
      <c r="B4167" t="str">
        <f t="shared" si="239"/>
        <v>1</v>
      </c>
      <c r="C4167" t="str">
        <f t="shared" si="240"/>
        <v>182</v>
      </c>
      <c r="D4167" t="str">
        <f>"13"</f>
        <v>13</v>
      </c>
      <c r="E4167" t="str">
        <f>"1-182-13"</f>
        <v>1-182-13</v>
      </c>
      <c r="F4167" t="s">
        <v>83</v>
      </c>
      <c r="G4167" t="s">
        <v>84</v>
      </c>
      <c r="H4167" t="s">
        <v>85</v>
      </c>
      <c r="AC4167">
        <v>0</v>
      </c>
      <c r="AD4167">
        <v>0</v>
      </c>
      <c r="AE4167">
        <v>0</v>
      </c>
      <c r="AF4167">
        <v>0</v>
      </c>
      <c r="AG4167">
        <v>0</v>
      </c>
      <c r="AJ4167">
        <v>0</v>
      </c>
      <c r="AK4167">
        <v>1</v>
      </c>
      <c r="AL4167">
        <v>0</v>
      </c>
      <c r="AM4167">
        <v>0</v>
      </c>
      <c r="AN4167">
        <v>1</v>
      </c>
      <c r="AO4167">
        <v>1</v>
      </c>
      <c r="AP4167">
        <v>1</v>
      </c>
      <c r="AQ4167">
        <v>1</v>
      </c>
      <c r="AR4167">
        <v>1</v>
      </c>
      <c r="AS4167">
        <v>0</v>
      </c>
      <c r="AT4167">
        <v>1</v>
      </c>
      <c r="AV4167">
        <v>1</v>
      </c>
      <c r="AW4167">
        <v>1</v>
      </c>
    </row>
    <row r="4168" spans="1:49" x14ac:dyDescent="0.25">
      <c r="A4168" t="str">
        <f>"4164"</f>
        <v>4164</v>
      </c>
      <c r="B4168" t="str">
        <f t="shared" si="239"/>
        <v>1</v>
      </c>
      <c r="C4168" t="str">
        <f t="shared" si="240"/>
        <v>182</v>
      </c>
      <c r="D4168" t="str">
        <f>"7"</f>
        <v>7</v>
      </c>
      <c r="E4168" t="str">
        <f>"1-182-7"</f>
        <v>1-182-7</v>
      </c>
      <c r="F4168" t="s">
        <v>83</v>
      </c>
      <c r="G4168" t="s">
        <v>84</v>
      </c>
      <c r="H4168" t="s">
        <v>85</v>
      </c>
      <c r="AC4168">
        <v>1</v>
      </c>
      <c r="AD4168">
        <v>0</v>
      </c>
      <c r="AE4168">
        <v>0</v>
      </c>
      <c r="AF4168">
        <v>0</v>
      </c>
      <c r="AG4168">
        <v>1</v>
      </c>
      <c r="AJ4168">
        <v>0</v>
      </c>
      <c r="AK4168">
        <v>1</v>
      </c>
      <c r="AL4168">
        <v>0</v>
      </c>
      <c r="AM4168">
        <v>0</v>
      </c>
      <c r="AN4168">
        <v>1</v>
      </c>
      <c r="AO4168">
        <v>1</v>
      </c>
      <c r="AP4168">
        <v>1</v>
      </c>
      <c r="AQ4168">
        <v>1</v>
      </c>
      <c r="AR4168">
        <v>1</v>
      </c>
      <c r="AS4168">
        <v>0</v>
      </c>
      <c r="AT4168">
        <v>0</v>
      </c>
      <c r="AV4168">
        <v>1</v>
      </c>
      <c r="AW4168">
        <v>1</v>
      </c>
    </row>
    <row r="4169" spans="1:49" x14ac:dyDescent="0.25">
      <c r="A4169" t="str">
        <f>"4165"</f>
        <v>4165</v>
      </c>
      <c r="B4169" t="str">
        <f t="shared" si="239"/>
        <v>1</v>
      </c>
      <c r="C4169" t="str">
        <f t="shared" si="240"/>
        <v>182</v>
      </c>
      <c r="D4169" t="str">
        <f>"21"</f>
        <v>21</v>
      </c>
      <c r="E4169" t="str">
        <f>"1-182-21"</f>
        <v>1-182-21</v>
      </c>
      <c r="F4169" t="s">
        <v>83</v>
      </c>
      <c r="G4169" t="s">
        <v>84</v>
      </c>
      <c r="H4169" t="s">
        <v>85</v>
      </c>
      <c r="AC4169">
        <v>0</v>
      </c>
      <c r="AD4169">
        <v>1</v>
      </c>
      <c r="AE4169">
        <v>0</v>
      </c>
      <c r="AF4169">
        <v>0</v>
      </c>
      <c r="AG4169">
        <v>1</v>
      </c>
      <c r="AJ4169">
        <v>1</v>
      </c>
      <c r="AK4169">
        <v>0</v>
      </c>
      <c r="AL4169">
        <v>0</v>
      </c>
      <c r="AM4169">
        <v>0</v>
      </c>
      <c r="AN4169">
        <v>1</v>
      </c>
      <c r="AO4169">
        <v>1</v>
      </c>
      <c r="AP4169">
        <v>1</v>
      </c>
      <c r="AQ4169">
        <v>1</v>
      </c>
      <c r="AR4169">
        <v>1</v>
      </c>
      <c r="AS4169">
        <v>0</v>
      </c>
      <c r="AT4169">
        <v>1</v>
      </c>
      <c r="AV4169">
        <v>1</v>
      </c>
      <c r="AW4169">
        <v>1</v>
      </c>
    </row>
    <row r="4170" spans="1:49" x14ac:dyDescent="0.25">
      <c r="A4170" t="str">
        <f>"4166"</f>
        <v>4166</v>
      </c>
      <c r="B4170" t="str">
        <f t="shared" si="239"/>
        <v>1</v>
      </c>
      <c r="C4170" t="str">
        <f t="shared" si="240"/>
        <v>182</v>
      </c>
      <c r="D4170" t="str">
        <f>"14"</f>
        <v>14</v>
      </c>
      <c r="E4170" t="str">
        <f>"1-182-14"</f>
        <v>1-182-14</v>
      </c>
      <c r="F4170" t="s">
        <v>83</v>
      </c>
      <c r="G4170" t="s">
        <v>84</v>
      </c>
      <c r="H4170" t="s">
        <v>85</v>
      </c>
      <c r="AC4170">
        <v>0</v>
      </c>
      <c r="AD4170">
        <v>1</v>
      </c>
      <c r="AE4170">
        <v>0</v>
      </c>
      <c r="AF4170">
        <v>0</v>
      </c>
      <c r="AG4170">
        <v>1</v>
      </c>
      <c r="AJ4170">
        <v>0</v>
      </c>
      <c r="AK4170">
        <v>1</v>
      </c>
      <c r="AL4170">
        <v>1</v>
      </c>
      <c r="AM4170">
        <v>0</v>
      </c>
      <c r="AN4170">
        <v>0</v>
      </c>
      <c r="AO4170">
        <v>1</v>
      </c>
      <c r="AP4170">
        <v>1</v>
      </c>
      <c r="AQ4170">
        <v>1</v>
      </c>
      <c r="AR4170">
        <v>1</v>
      </c>
      <c r="AS4170">
        <v>1</v>
      </c>
      <c r="AT4170">
        <v>0</v>
      </c>
      <c r="AV4170">
        <v>1</v>
      </c>
      <c r="AW4170">
        <v>1</v>
      </c>
    </row>
    <row r="4171" spans="1:49" x14ac:dyDescent="0.25">
      <c r="A4171" t="str">
        <f>"4167"</f>
        <v>4167</v>
      </c>
      <c r="B4171" t="str">
        <f t="shared" si="239"/>
        <v>1</v>
      </c>
      <c r="C4171" t="str">
        <f t="shared" si="240"/>
        <v>182</v>
      </c>
      <c r="D4171" t="str">
        <f>"5"</f>
        <v>5</v>
      </c>
      <c r="E4171" t="str">
        <f>"1-182-5"</f>
        <v>1-182-5</v>
      </c>
      <c r="F4171" t="s">
        <v>83</v>
      </c>
      <c r="G4171" t="s">
        <v>84</v>
      </c>
      <c r="H4171" t="s">
        <v>85</v>
      </c>
      <c r="AC4171">
        <v>0</v>
      </c>
      <c r="AD4171">
        <v>1</v>
      </c>
      <c r="AE4171">
        <v>0</v>
      </c>
      <c r="AF4171">
        <v>0</v>
      </c>
      <c r="AG4171">
        <v>1</v>
      </c>
      <c r="AJ4171">
        <v>0</v>
      </c>
      <c r="AK4171">
        <v>1</v>
      </c>
      <c r="AL4171">
        <v>0</v>
      </c>
      <c r="AM4171">
        <v>0</v>
      </c>
      <c r="AN4171">
        <v>1</v>
      </c>
      <c r="AO4171">
        <v>1</v>
      </c>
      <c r="AP4171">
        <v>1</v>
      </c>
      <c r="AQ4171">
        <v>1</v>
      </c>
      <c r="AR4171">
        <v>1</v>
      </c>
      <c r="AS4171">
        <v>0</v>
      </c>
      <c r="AT4171">
        <v>1</v>
      </c>
      <c r="AV4171">
        <v>1</v>
      </c>
      <c r="AW4171">
        <v>1</v>
      </c>
    </row>
    <row r="4172" spans="1:49" x14ac:dyDescent="0.25">
      <c r="A4172" t="str">
        <f>"4168"</f>
        <v>4168</v>
      </c>
      <c r="B4172" t="str">
        <f t="shared" si="239"/>
        <v>1</v>
      </c>
      <c r="C4172" t="str">
        <f t="shared" si="240"/>
        <v>182</v>
      </c>
      <c r="D4172" t="str">
        <f>"2"</f>
        <v>2</v>
      </c>
      <c r="E4172" t="str">
        <f>"1-182-2"</f>
        <v>1-182-2</v>
      </c>
      <c r="F4172" t="s">
        <v>83</v>
      </c>
      <c r="G4172" t="s">
        <v>84</v>
      </c>
      <c r="H4172" t="s">
        <v>85</v>
      </c>
      <c r="AC4172">
        <v>0</v>
      </c>
      <c r="AD4172">
        <v>1</v>
      </c>
      <c r="AE4172">
        <v>0</v>
      </c>
      <c r="AF4172">
        <v>0</v>
      </c>
      <c r="AG4172">
        <v>1</v>
      </c>
      <c r="AJ4172">
        <v>1</v>
      </c>
      <c r="AK4172">
        <v>0</v>
      </c>
      <c r="AL4172">
        <v>0</v>
      </c>
      <c r="AM4172">
        <v>1</v>
      </c>
      <c r="AN4172">
        <v>0</v>
      </c>
      <c r="AO4172">
        <v>1</v>
      </c>
      <c r="AP4172">
        <v>1</v>
      </c>
      <c r="AQ4172">
        <v>1</v>
      </c>
      <c r="AR4172">
        <v>1</v>
      </c>
      <c r="AS4172">
        <v>0</v>
      </c>
      <c r="AT4172">
        <v>1</v>
      </c>
      <c r="AV4172">
        <v>1</v>
      </c>
      <c r="AW4172">
        <v>1</v>
      </c>
    </row>
    <row r="4173" spans="1:49" x14ac:dyDescent="0.25">
      <c r="A4173" t="str">
        <f>"4169"</f>
        <v>4169</v>
      </c>
      <c r="B4173" t="str">
        <f t="shared" si="239"/>
        <v>1</v>
      </c>
      <c r="C4173" t="str">
        <f t="shared" si="240"/>
        <v>182</v>
      </c>
      <c r="D4173" t="str">
        <f>"25"</f>
        <v>25</v>
      </c>
      <c r="E4173" t="str">
        <f>"1-182-25"</f>
        <v>1-182-25</v>
      </c>
      <c r="F4173" t="s">
        <v>83</v>
      </c>
      <c r="G4173" t="s">
        <v>84</v>
      </c>
      <c r="H4173" t="s">
        <v>85</v>
      </c>
      <c r="AC4173">
        <v>0</v>
      </c>
      <c r="AD4173">
        <v>1</v>
      </c>
      <c r="AE4173">
        <v>0</v>
      </c>
      <c r="AF4173">
        <v>0</v>
      </c>
      <c r="AG4173">
        <v>1</v>
      </c>
      <c r="AJ4173">
        <v>1</v>
      </c>
      <c r="AK4173">
        <v>0</v>
      </c>
      <c r="AL4173">
        <v>0</v>
      </c>
      <c r="AM4173">
        <v>1</v>
      </c>
      <c r="AN4173">
        <v>0</v>
      </c>
      <c r="AO4173">
        <v>0</v>
      </c>
      <c r="AP4173">
        <v>0</v>
      </c>
      <c r="AQ4173">
        <v>1</v>
      </c>
      <c r="AR4173">
        <v>1</v>
      </c>
      <c r="AS4173">
        <v>1</v>
      </c>
      <c r="AT4173">
        <v>0</v>
      </c>
      <c r="AV4173">
        <v>0</v>
      </c>
      <c r="AW4173">
        <v>1</v>
      </c>
    </row>
    <row r="4174" spans="1:49" x14ac:dyDescent="0.25">
      <c r="A4174" t="str">
        <f>"4170"</f>
        <v>4170</v>
      </c>
      <c r="B4174" t="str">
        <f t="shared" si="239"/>
        <v>1</v>
      </c>
      <c r="C4174" t="str">
        <f t="shared" ref="C4174:C4193" si="241">"183"</f>
        <v>183</v>
      </c>
      <c r="D4174" t="str">
        <f>"15"</f>
        <v>15</v>
      </c>
      <c r="E4174" t="str">
        <f>"1-183-15"</f>
        <v>1-183-15</v>
      </c>
      <c r="F4174" t="s">
        <v>83</v>
      </c>
      <c r="G4174" t="s">
        <v>86</v>
      </c>
      <c r="H4174" t="s">
        <v>87</v>
      </c>
      <c r="AC4174">
        <v>1</v>
      </c>
      <c r="AD4174">
        <v>0</v>
      </c>
      <c r="AE4174">
        <v>0</v>
      </c>
      <c r="AF4174">
        <v>0</v>
      </c>
      <c r="AH4174">
        <v>1</v>
      </c>
      <c r="AI4174">
        <v>0</v>
      </c>
      <c r="AJ4174">
        <v>0</v>
      </c>
      <c r="AK4174">
        <v>1</v>
      </c>
      <c r="AL4174">
        <v>0</v>
      </c>
      <c r="AM4174">
        <v>1</v>
      </c>
      <c r="AN4174">
        <v>0</v>
      </c>
      <c r="AO4174">
        <v>1</v>
      </c>
      <c r="AP4174">
        <v>1</v>
      </c>
      <c r="AQ4174">
        <v>1</v>
      </c>
      <c r="AU4174">
        <v>1</v>
      </c>
      <c r="AV4174">
        <v>1</v>
      </c>
      <c r="AW4174">
        <v>1</v>
      </c>
    </row>
    <row r="4175" spans="1:49" x14ac:dyDescent="0.25">
      <c r="A4175" t="str">
        <f>"4171"</f>
        <v>4171</v>
      </c>
      <c r="B4175" t="str">
        <f t="shared" si="239"/>
        <v>1</v>
      </c>
      <c r="C4175" t="str">
        <f t="shared" si="241"/>
        <v>183</v>
      </c>
      <c r="D4175" t="str">
        <f>"8"</f>
        <v>8</v>
      </c>
      <c r="E4175" t="str">
        <f>"1-183-8"</f>
        <v>1-183-8</v>
      </c>
      <c r="F4175" t="s">
        <v>83</v>
      </c>
      <c r="G4175" t="s">
        <v>86</v>
      </c>
      <c r="H4175" t="s">
        <v>87</v>
      </c>
      <c r="AC4175">
        <v>1</v>
      </c>
      <c r="AD4175">
        <v>0</v>
      </c>
      <c r="AE4175">
        <v>0</v>
      </c>
      <c r="AF4175">
        <v>0</v>
      </c>
      <c r="AH4175">
        <v>1</v>
      </c>
      <c r="AI4175">
        <v>0</v>
      </c>
      <c r="AJ4175">
        <v>0</v>
      </c>
      <c r="AK4175">
        <v>1</v>
      </c>
      <c r="AL4175">
        <v>0</v>
      </c>
      <c r="AM4175">
        <v>1</v>
      </c>
      <c r="AN4175">
        <v>0</v>
      </c>
      <c r="AO4175">
        <v>1</v>
      </c>
      <c r="AP4175">
        <v>1</v>
      </c>
      <c r="AQ4175">
        <v>1</v>
      </c>
      <c r="AU4175">
        <v>1</v>
      </c>
      <c r="AV4175">
        <v>1</v>
      </c>
      <c r="AW4175">
        <v>1</v>
      </c>
    </row>
    <row r="4176" spans="1:49" x14ac:dyDescent="0.25">
      <c r="A4176" t="str">
        <f>"4172"</f>
        <v>4172</v>
      </c>
      <c r="B4176" t="str">
        <f t="shared" si="239"/>
        <v>1</v>
      </c>
      <c r="C4176" t="str">
        <f t="shared" si="241"/>
        <v>183</v>
      </c>
      <c r="D4176" t="str">
        <f>"3"</f>
        <v>3</v>
      </c>
      <c r="E4176" t="str">
        <f>"1-183-3"</f>
        <v>1-183-3</v>
      </c>
      <c r="F4176" t="s">
        <v>83</v>
      </c>
      <c r="G4176" t="s">
        <v>86</v>
      </c>
      <c r="H4176" t="s">
        <v>87</v>
      </c>
      <c r="AC4176">
        <v>0</v>
      </c>
      <c r="AD4176">
        <v>1</v>
      </c>
      <c r="AE4176">
        <v>0</v>
      </c>
      <c r="AF4176">
        <v>0</v>
      </c>
      <c r="AH4176">
        <v>0</v>
      </c>
      <c r="AI4176">
        <v>1</v>
      </c>
      <c r="AJ4176">
        <v>0</v>
      </c>
      <c r="AK4176">
        <v>0</v>
      </c>
      <c r="AL4176">
        <v>0</v>
      </c>
      <c r="AM4176">
        <v>0</v>
      </c>
      <c r="AN4176">
        <v>1</v>
      </c>
      <c r="AO4176">
        <v>0</v>
      </c>
      <c r="AP4176">
        <v>0</v>
      </c>
      <c r="AQ4176">
        <v>0</v>
      </c>
      <c r="AU4176">
        <v>0</v>
      </c>
      <c r="AV4176">
        <v>0</v>
      </c>
      <c r="AW4176">
        <v>0</v>
      </c>
    </row>
    <row r="4177" spans="1:49" x14ac:dyDescent="0.25">
      <c r="A4177" t="str">
        <f>"4173"</f>
        <v>4173</v>
      </c>
      <c r="B4177" t="str">
        <f t="shared" si="239"/>
        <v>1</v>
      </c>
      <c r="C4177" t="str">
        <f t="shared" si="241"/>
        <v>183</v>
      </c>
      <c r="D4177" t="str">
        <f>"16"</f>
        <v>16</v>
      </c>
      <c r="E4177" t="str">
        <f>"1-183-16"</f>
        <v>1-183-16</v>
      </c>
      <c r="F4177" t="s">
        <v>83</v>
      </c>
      <c r="G4177" t="s">
        <v>86</v>
      </c>
      <c r="H4177" t="s">
        <v>87</v>
      </c>
      <c r="AC4177">
        <v>1</v>
      </c>
      <c r="AD4177">
        <v>0</v>
      </c>
      <c r="AE4177">
        <v>0</v>
      </c>
      <c r="AF4177">
        <v>0</v>
      </c>
      <c r="AH4177">
        <v>1</v>
      </c>
      <c r="AI4177">
        <v>0</v>
      </c>
      <c r="AJ4177">
        <v>1</v>
      </c>
      <c r="AK4177">
        <v>0</v>
      </c>
      <c r="AL4177">
        <v>0</v>
      </c>
      <c r="AM4177">
        <v>0</v>
      </c>
      <c r="AN4177">
        <v>1</v>
      </c>
      <c r="AO4177">
        <v>1</v>
      </c>
      <c r="AP4177">
        <v>1</v>
      </c>
      <c r="AQ4177">
        <v>1</v>
      </c>
      <c r="AU4177">
        <v>1</v>
      </c>
      <c r="AV4177">
        <v>1</v>
      </c>
      <c r="AW4177">
        <v>1</v>
      </c>
    </row>
    <row r="4178" spans="1:49" x14ac:dyDescent="0.25">
      <c r="A4178" t="str">
        <f>"4174"</f>
        <v>4174</v>
      </c>
      <c r="B4178" t="str">
        <f t="shared" si="239"/>
        <v>1</v>
      </c>
      <c r="C4178" t="str">
        <f t="shared" si="241"/>
        <v>183</v>
      </c>
      <c r="D4178" t="str">
        <f>"9"</f>
        <v>9</v>
      </c>
      <c r="E4178" t="str">
        <f>"1-183-9"</f>
        <v>1-183-9</v>
      </c>
      <c r="F4178" t="s">
        <v>83</v>
      </c>
      <c r="G4178" t="s">
        <v>86</v>
      </c>
      <c r="H4178" t="s">
        <v>87</v>
      </c>
      <c r="AC4178">
        <v>1</v>
      </c>
      <c r="AD4178">
        <v>0</v>
      </c>
      <c r="AE4178">
        <v>0</v>
      </c>
      <c r="AF4178">
        <v>0</v>
      </c>
      <c r="AH4178">
        <v>1</v>
      </c>
      <c r="AI4178">
        <v>0</v>
      </c>
      <c r="AJ4178">
        <v>0</v>
      </c>
      <c r="AK4178">
        <v>1</v>
      </c>
      <c r="AL4178">
        <v>0</v>
      </c>
      <c r="AM4178">
        <v>1</v>
      </c>
      <c r="AN4178">
        <v>0</v>
      </c>
      <c r="AO4178">
        <v>1</v>
      </c>
      <c r="AP4178">
        <v>1</v>
      </c>
      <c r="AQ4178">
        <v>1</v>
      </c>
      <c r="AU4178">
        <v>1</v>
      </c>
      <c r="AV4178">
        <v>1</v>
      </c>
      <c r="AW4178">
        <v>1</v>
      </c>
    </row>
    <row r="4179" spans="1:49" x14ac:dyDescent="0.25">
      <c r="A4179" t="str">
        <f>"4175"</f>
        <v>4175</v>
      </c>
      <c r="B4179" t="str">
        <f t="shared" si="239"/>
        <v>1</v>
      </c>
      <c r="C4179" t="str">
        <f t="shared" si="241"/>
        <v>183</v>
      </c>
      <c r="D4179" t="str">
        <f>"4"</f>
        <v>4</v>
      </c>
      <c r="E4179" t="str">
        <f>"1-183-4"</f>
        <v>1-183-4</v>
      </c>
      <c r="F4179" t="s">
        <v>83</v>
      </c>
      <c r="G4179" t="s">
        <v>84</v>
      </c>
      <c r="H4179" t="s">
        <v>85</v>
      </c>
      <c r="AC4179">
        <v>0</v>
      </c>
      <c r="AD4179">
        <v>1</v>
      </c>
      <c r="AE4179">
        <v>0</v>
      </c>
      <c r="AF4179">
        <v>0</v>
      </c>
      <c r="AG4179">
        <v>1</v>
      </c>
      <c r="AJ4179">
        <v>1</v>
      </c>
      <c r="AK4179">
        <v>0</v>
      </c>
      <c r="AL4179">
        <v>0</v>
      </c>
      <c r="AM4179">
        <v>0</v>
      </c>
      <c r="AN4179">
        <v>1</v>
      </c>
      <c r="AO4179">
        <v>1</v>
      </c>
      <c r="AP4179">
        <v>1</v>
      </c>
      <c r="AQ4179">
        <v>1</v>
      </c>
      <c r="AR4179">
        <v>1</v>
      </c>
      <c r="AS4179">
        <v>0</v>
      </c>
      <c r="AT4179">
        <v>1</v>
      </c>
      <c r="AV4179">
        <v>1</v>
      </c>
      <c r="AW4179">
        <v>1</v>
      </c>
    </row>
    <row r="4180" spans="1:49" x14ac:dyDescent="0.25">
      <c r="A4180" t="str">
        <f>"4176"</f>
        <v>4176</v>
      </c>
      <c r="B4180" t="str">
        <f t="shared" si="239"/>
        <v>1</v>
      </c>
      <c r="C4180" t="str">
        <f t="shared" si="241"/>
        <v>183</v>
      </c>
      <c r="D4180" t="str">
        <f>"18"</f>
        <v>18</v>
      </c>
      <c r="E4180" t="str">
        <f>"1-183-18"</f>
        <v>1-183-18</v>
      </c>
      <c r="F4180" t="s">
        <v>83</v>
      </c>
      <c r="G4180" t="s">
        <v>86</v>
      </c>
      <c r="H4180" t="s">
        <v>87</v>
      </c>
      <c r="AC4180">
        <v>1</v>
      </c>
      <c r="AD4180">
        <v>0</v>
      </c>
      <c r="AE4180">
        <v>0</v>
      </c>
      <c r="AF4180">
        <v>0</v>
      </c>
      <c r="AH4180">
        <v>1</v>
      </c>
      <c r="AI4180">
        <v>0</v>
      </c>
      <c r="AJ4180">
        <v>1</v>
      </c>
      <c r="AK4180">
        <v>0</v>
      </c>
      <c r="AL4180">
        <v>1</v>
      </c>
      <c r="AM4180">
        <v>0</v>
      </c>
      <c r="AN4180">
        <v>0</v>
      </c>
      <c r="AO4180">
        <v>1</v>
      </c>
      <c r="AP4180">
        <v>1</v>
      </c>
      <c r="AQ4180">
        <v>1</v>
      </c>
      <c r="AU4180">
        <v>1</v>
      </c>
      <c r="AV4180">
        <v>1</v>
      </c>
      <c r="AW4180">
        <v>1</v>
      </c>
    </row>
    <row r="4181" spans="1:49" x14ac:dyDescent="0.25">
      <c r="A4181" t="str">
        <f>"4177"</f>
        <v>4177</v>
      </c>
      <c r="B4181" t="str">
        <f t="shared" si="239"/>
        <v>1</v>
      </c>
      <c r="C4181" t="str">
        <f t="shared" si="241"/>
        <v>183</v>
      </c>
      <c r="D4181" t="str">
        <f>"10"</f>
        <v>10</v>
      </c>
      <c r="E4181" t="str">
        <f>"1-183-10"</f>
        <v>1-183-10</v>
      </c>
      <c r="F4181" t="s">
        <v>83</v>
      </c>
      <c r="G4181" t="s">
        <v>84</v>
      </c>
      <c r="H4181" t="s">
        <v>85</v>
      </c>
      <c r="AC4181">
        <v>1</v>
      </c>
      <c r="AD4181">
        <v>0</v>
      </c>
      <c r="AE4181">
        <v>0</v>
      </c>
      <c r="AF4181">
        <v>0</v>
      </c>
      <c r="AG4181">
        <v>1</v>
      </c>
      <c r="AJ4181">
        <v>1</v>
      </c>
      <c r="AK4181">
        <v>0</v>
      </c>
      <c r="AL4181">
        <v>0</v>
      </c>
      <c r="AM4181">
        <v>1</v>
      </c>
      <c r="AN4181">
        <v>0</v>
      </c>
      <c r="AO4181">
        <v>1</v>
      </c>
      <c r="AP4181">
        <v>1</v>
      </c>
      <c r="AQ4181">
        <v>1</v>
      </c>
      <c r="AR4181">
        <v>1</v>
      </c>
      <c r="AS4181">
        <v>0</v>
      </c>
      <c r="AT4181">
        <v>1</v>
      </c>
      <c r="AV4181">
        <v>1</v>
      </c>
      <c r="AW4181">
        <v>1</v>
      </c>
    </row>
    <row r="4182" spans="1:49" x14ac:dyDescent="0.25">
      <c r="A4182" t="str">
        <f>"4178"</f>
        <v>4178</v>
      </c>
      <c r="B4182" t="str">
        <f t="shared" si="239"/>
        <v>1</v>
      </c>
      <c r="C4182" t="str">
        <f t="shared" si="241"/>
        <v>183</v>
      </c>
      <c r="D4182" t="str">
        <f>"1"</f>
        <v>1</v>
      </c>
      <c r="E4182" t="str">
        <f>"1-183-1"</f>
        <v>1-183-1</v>
      </c>
      <c r="F4182" t="s">
        <v>83</v>
      </c>
      <c r="G4182" t="s">
        <v>86</v>
      </c>
      <c r="H4182" t="s">
        <v>87</v>
      </c>
      <c r="AC4182">
        <v>0</v>
      </c>
      <c r="AD4182">
        <v>1</v>
      </c>
      <c r="AE4182">
        <v>0</v>
      </c>
      <c r="AF4182">
        <v>0</v>
      </c>
      <c r="AH4182">
        <v>0</v>
      </c>
      <c r="AI4182">
        <v>1</v>
      </c>
      <c r="AJ4182">
        <v>0</v>
      </c>
      <c r="AK4182">
        <v>1</v>
      </c>
      <c r="AL4182">
        <v>0</v>
      </c>
      <c r="AM4182">
        <v>0</v>
      </c>
      <c r="AN4182">
        <v>1</v>
      </c>
      <c r="AO4182">
        <v>1</v>
      </c>
      <c r="AP4182">
        <v>1</v>
      </c>
      <c r="AQ4182">
        <v>1</v>
      </c>
      <c r="AU4182">
        <v>1</v>
      </c>
      <c r="AV4182">
        <v>1</v>
      </c>
      <c r="AW4182">
        <v>1</v>
      </c>
    </row>
    <row r="4183" spans="1:49" x14ac:dyDescent="0.25">
      <c r="A4183" t="str">
        <f>"4179"</f>
        <v>4179</v>
      </c>
      <c r="B4183" t="str">
        <f t="shared" si="239"/>
        <v>1</v>
      </c>
      <c r="C4183" t="str">
        <f t="shared" si="241"/>
        <v>183</v>
      </c>
      <c r="D4183" t="str">
        <f>"17"</f>
        <v>17</v>
      </c>
      <c r="E4183" t="str">
        <f>"1-183-17"</f>
        <v>1-183-17</v>
      </c>
      <c r="F4183" t="s">
        <v>83</v>
      </c>
      <c r="G4183" t="s">
        <v>86</v>
      </c>
      <c r="H4183" t="s">
        <v>87</v>
      </c>
      <c r="AC4183">
        <v>1</v>
      </c>
      <c r="AD4183">
        <v>0</v>
      </c>
      <c r="AE4183">
        <v>0</v>
      </c>
      <c r="AF4183">
        <v>0</v>
      </c>
      <c r="AH4183">
        <v>1</v>
      </c>
      <c r="AI4183">
        <v>0</v>
      </c>
      <c r="AJ4183">
        <v>1</v>
      </c>
      <c r="AK4183">
        <v>0</v>
      </c>
      <c r="AL4183">
        <v>1</v>
      </c>
      <c r="AM4183">
        <v>0</v>
      </c>
      <c r="AN4183">
        <v>0</v>
      </c>
      <c r="AO4183">
        <v>1</v>
      </c>
      <c r="AP4183">
        <v>1</v>
      </c>
      <c r="AQ4183">
        <v>1</v>
      </c>
      <c r="AU4183">
        <v>1</v>
      </c>
      <c r="AV4183">
        <v>1</v>
      </c>
      <c r="AW4183">
        <v>1</v>
      </c>
    </row>
    <row r="4184" spans="1:49" x14ac:dyDescent="0.25">
      <c r="A4184" t="str">
        <f>"4180"</f>
        <v>4180</v>
      </c>
      <c r="B4184" t="str">
        <f t="shared" si="239"/>
        <v>1</v>
      </c>
      <c r="C4184" t="str">
        <f t="shared" si="241"/>
        <v>183</v>
      </c>
      <c r="D4184" t="str">
        <f>"11"</f>
        <v>11</v>
      </c>
      <c r="E4184" t="str">
        <f>"1-183-11"</f>
        <v>1-183-11</v>
      </c>
      <c r="F4184" t="s">
        <v>83</v>
      </c>
      <c r="G4184" t="s">
        <v>86</v>
      </c>
      <c r="H4184" t="s">
        <v>87</v>
      </c>
      <c r="AC4184">
        <v>1</v>
      </c>
      <c r="AD4184">
        <v>0</v>
      </c>
      <c r="AE4184">
        <v>0</v>
      </c>
      <c r="AF4184">
        <v>0</v>
      </c>
      <c r="AH4184">
        <v>1</v>
      </c>
      <c r="AI4184">
        <v>0</v>
      </c>
      <c r="AJ4184">
        <v>0</v>
      </c>
      <c r="AK4184">
        <v>1</v>
      </c>
      <c r="AL4184">
        <v>0</v>
      </c>
      <c r="AM4184">
        <v>0</v>
      </c>
      <c r="AN4184">
        <v>1</v>
      </c>
      <c r="AO4184">
        <v>1</v>
      </c>
      <c r="AP4184">
        <v>1</v>
      </c>
      <c r="AQ4184">
        <v>1</v>
      </c>
      <c r="AU4184">
        <v>1</v>
      </c>
      <c r="AV4184">
        <v>1</v>
      </c>
      <c r="AW4184">
        <v>1</v>
      </c>
    </row>
    <row r="4185" spans="1:49" x14ac:dyDescent="0.25">
      <c r="A4185" t="str">
        <f>"4181"</f>
        <v>4181</v>
      </c>
      <c r="B4185" t="str">
        <f t="shared" si="239"/>
        <v>1</v>
      </c>
      <c r="C4185" t="str">
        <f t="shared" si="241"/>
        <v>183</v>
      </c>
      <c r="D4185" t="str">
        <f>"5"</f>
        <v>5</v>
      </c>
      <c r="E4185" t="str">
        <f>"1-183-5"</f>
        <v>1-183-5</v>
      </c>
      <c r="F4185" t="s">
        <v>83</v>
      </c>
      <c r="G4185" t="s">
        <v>84</v>
      </c>
      <c r="H4185" t="s">
        <v>85</v>
      </c>
      <c r="AC4185">
        <v>0</v>
      </c>
      <c r="AD4185">
        <v>1</v>
      </c>
      <c r="AE4185">
        <v>0</v>
      </c>
      <c r="AF4185">
        <v>0</v>
      </c>
      <c r="AG4185">
        <v>1</v>
      </c>
      <c r="AJ4185">
        <v>0</v>
      </c>
      <c r="AK4185">
        <v>1</v>
      </c>
      <c r="AL4185">
        <v>0</v>
      </c>
      <c r="AM4185">
        <v>0</v>
      </c>
      <c r="AN4185">
        <v>1</v>
      </c>
      <c r="AO4185">
        <v>1</v>
      </c>
      <c r="AP4185">
        <v>1</v>
      </c>
      <c r="AQ4185">
        <v>1</v>
      </c>
      <c r="AR4185">
        <v>1</v>
      </c>
      <c r="AS4185">
        <v>0</v>
      </c>
      <c r="AT4185">
        <v>1</v>
      </c>
      <c r="AV4185">
        <v>1</v>
      </c>
      <c r="AW4185">
        <v>1</v>
      </c>
    </row>
    <row r="4186" spans="1:49" x14ac:dyDescent="0.25">
      <c r="A4186" t="str">
        <f>"4182"</f>
        <v>4182</v>
      </c>
      <c r="B4186" t="str">
        <f t="shared" si="239"/>
        <v>1</v>
      </c>
      <c r="C4186" t="str">
        <f t="shared" si="241"/>
        <v>183</v>
      </c>
      <c r="D4186" t="str">
        <f>"12"</f>
        <v>12</v>
      </c>
      <c r="E4186" t="str">
        <f>"1-183-12"</f>
        <v>1-183-12</v>
      </c>
      <c r="F4186" t="s">
        <v>83</v>
      </c>
      <c r="G4186" t="s">
        <v>86</v>
      </c>
      <c r="H4186" t="s">
        <v>87</v>
      </c>
      <c r="AC4186">
        <v>1</v>
      </c>
      <c r="AD4186">
        <v>0</v>
      </c>
      <c r="AE4186">
        <v>0</v>
      </c>
      <c r="AF4186">
        <v>0</v>
      </c>
      <c r="AH4186">
        <v>1</v>
      </c>
      <c r="AI4186">
        <v>0</v>
      </c>
      <c r="AJ4186">
        <v>0</v>
      </c>
      <c r="AK4186">
        <v>1</v>
      </c>
      <c r="AL4186">
        <v>0</v>
      </c>
      <c r="AM4186">
        <v>0</v>
      </c>
      <c r="AN4186">
        <v>1</v>
      </c>
      <c r="AO4186">
        <v>1</v>
      </c>
      <c r="AP4186">
        <v>1</v>
      </c>
      <c r="AQ4186">
        <v>1</v>
      </c>
      <c r="AU4186">
        <v>1</v>
      </c>
      <c r="AV4186">
        <v>1</v>
      </c>
      <c r="AW4186">
        <v>1</v>
      </c>
    </row>
    <row r="4187" spans="1:49" x14ac:dyDescent="0.25">
      <c r="A4187" t="str">
        <f>"4183"</f>
        <v>4183</v>
      </c>
      <c r="B4187" t="str">
        <f t="shared" si="239"/>
        <v>1</v>
      </c>
      <c r="C4187" t="str">
        <f t="shared" si="241"/>
        <v>183</v>
      </c>
      <c r="D4187" t="str">
        <f>"2"</f>
        <v>2</v>
      </c>
      <c r="E4187" t="str">
        <f>"1-183-2"</f>
        <v>1-183-2</v>
      </c>
      <c r="F4187" t="s">
        <v>83</v>
      </c>
      <c r="G4187" t="s">
        <v>86</v>
      </c>
      <c r="H4187" t="s">
        <v>87</v>
      </c>
      <c r="AC4187">
        <v>1</v>
      </c>
      <c r="AD4187">
        <v>0</v>
      </c>
      <c r="AE4187">
        <v>0</v>
      </c>
      <c r="AF4187">
        <v>0</v>
      </c>
      <c r="AH4187">
        <v>1</v>
      </c>
      <c r="AI4187">
        <v>0</v>
      </c>
      <c r="AJ4187">
        <v>1</v>
      </c>
      <c r="AK4187">
        <v>0</v>
      </c>
      <c r="AL4187">
        <v>1</v>
      </c>
      <c r="AM4187">
        <v>0</v>
      </c>
      <c r="AN4187">
        <v>0</v>
      </c>
      <c r="AO4187">
        <v>1</v>
      </c>
      <c r="AP4187">
        <v>1</v>
      </c>
      <c r="AQ4187">
        <v>1</v>
      </c>
      <c r="AU4187">
        <v>1</v>
      </c>
      <c r="AV4187">
        <v>0</v>
      </c>
      <c r="AW4187">
        <v>1</v>
      </c>
    </row>
    <row r="4188" spans="1:49" x14ac:dyDescent="0.25">
      <c r="A4188" t="str">
        <f>"4184"</f>
        <v>4184</v>
      </c>
      <c r="B4188" t="str">
        <f t="shared" si="239"/>
        <v>1</v>
      </c>
      <c r="C4188" t="str">
        <f t="shared" si="241"/>
        <v>183</v>
      </c>
      <c r="D4188" t="str">
        <f>"13"</f>
        <v>13</v>
      </c>
      <c r="E4188" t="str">
        <f>"1-183-13"</f>
        <v>1-183-13</v>
      </c>
      <c r="F4188" t="s">
        <v>83</v>
      </c>
      <c r="G4188" t="s">
        <v>86</v>
      </c>
      <c r="H4188" t="s">
        <v>87</v>
      </c>
      <c r="AC4188">
        <v>1</v>
      </c>
      <c r="AD4188">
        <v>0</v>
      </c>
      <c r="AE4188">
        <v>0</v>
      </c>
      <c r="AF4188">
        <v>0</v>
      </c>
      <c r="AH4188">
        <v>1</v>
      </c>
      <c r="AI4188">
        <v>0</v>
      </c>
      <c r="AJ4188">
        <v>1</v>
      </c>
      <c r="AK4188">
        <v>0</v>
      </c>
      <c r="AL4188">
        <v>1</v>
      </c>
      <c r="AM4188">
        <v>0</v>
      </c>
      <c r="AN4188">
        <v>0</v>
      </c>
      <c r="AO4188">
        <v>1</v>
      </c>
      <c r="AP4188">
        <v>1</v>
      </c>
      <c r="AQ4188">
        <v>1</v>
      </c>
      <c r="AU4188">
        <v>1</v>
      </c>
      <c r="AV4188">
        <v>1</v>
      </c>
      <c r="AW4188">
        <v>1</v>
      </c>
    </row>
    <row r="4189" spans="1:49" x14ac:dyDescent="0.25">
      <c r="A4189" t="str">
        <f>"4185"</f>
        <v>4185</v>
      </c>
      <c r="B4189" t="str">
        <f t="shared" si="239"/>
        <v>1</v>
      </c>
      <c r="C4189" t="str">
        <f t="shared" si="241"/>
        <v>183</v>
      </c>
      <c r="D4189" t="str">
        <f>"7"</f>
        <v>7</v>
      </c>
      <c r="E4189" t="str">
        <f>"1-183-7"</f>
        <v>1-183-7</v>
      </c>
      <c r="F4189" t="s">
        <v>83</v>
      </c>
      <c r="G4189" t="s">
        <v>84</v>
      </c>
      <c r="H4189" t="s">
        <v>85</v>
      </c>
      <c r="AC4189">
        <v>1</v>
      </c>
      <c r="AD4189">
        <v>0</v>
      </c>
      <c r="AE4189">
        <v>0</v>
      </c>
      <c r="AF4189">
        <v>0</v>
      </c>
      <c r="AG4189">
        <v>0</v>
      </c>
      <c r="AJ4189">
        <v>0</v>
      </c>
      <c r="AK4189">
        <v>0</v>
      </c>
      <c r="AL4189">
        <v>0</v>
      </c>
      <c r="AM4189">
        <v>0</v>
      </c>
      <c r="AN4189">
        <v>1</v>
      </c>
      <c r="AO4189">
        <v>0</v>
      </c>
      <c r="AP4189">
        <v>0</v>
      </c>
      <c r="AQ4189">
        <v>0</v>
      </c>
      <c r="AR4189">
        <v>0</v>
      </c>
      <c r="AS4189">
        <v>1</v>
      </c>
      <c r="AT4189">
        <v>0</v>
      </c>
      <c r="AV4189">
        <v>0</v>
      </c>
      <c r="AW4189">
        <v>0</v>
      </c>
    </row>
    <row r="4190" spans="1:49" x14ac:dyDescent="0.25">
      <c r="A4190" t="str">
        <f>"4186"</f>
        <v>4186</v>
      </c>
      <c r="B4190" t="str">
        <f t="shared" ref="B4190:B4253" si="242">"1"</f>
        <v>1</v>
      </c>
      <c r="C4190" t="str">
        <f t="shared" si="241"/>
        <v>183</v>
      </c>
      <c r="D4190" t="str">
        <f>"19"</f>
        <v>19</v>
      </c>
      <c r="E4190" t="str">
        <f>"1-183-19"</f>
        <v>1-183-19</v>
      </c>
      <c r="F4190" t="s">
        <v>83</v>
      </c>
      <c r="G4190" t="s">
        <v>86</v>
      </c>
      <c r="H4190" t="s">
        <v>87</v>
      </c>
      <c r="AC4190">
        <v>0</v>
      </c>
      <c r="AD4190">
        <v>1</v>
      </c>
      <c r="AE4190">
        <v>0</v>
      </c>
      <c r="AF4190">
        <v>0</v>
      </c>
      <c r="AH4190">
        <v>0</v>
      </c>
      <c r="AI4190">
        <v>1</v>
      </c>
      <c r="AJ4190">
        <v>1</v>
      </c>
      <c r="AK4190">
        <v>0</v>
      </c>
      <c r="AL4190">
        <v>0</v>
      </c>
      <c r="AM4190">
        <v>1</v>
      </c>
      <c r="AN4190">
        <v>0</v>
      </c>
      <c r="AO4190">
        <v>1</v>
      </c>
      <c r="AP4190">
        <v>1</v>
      </c>
      <c r="AQ4190">
        <v>1</v>
      </c>
      <c r="AU4190">
        <v>1</v>
      </c>
      <c r="AV4190">
        <v>1</v>
      </c>
      <c r="AW4190">
        <v>1</v>
      </c>
    </row>
    <row r="4191" spans="1:49" x14ac:dyDescent="0.25">
      <c r="A4191" t="str">
        <f>"4187"</f>
        <v>4187</v>
      </c>
      <c r="B4191" t="str">
        <f t="shared" si="242"/>
        <v>1</v>
      </c>
      <c r="C4191" t="str">
        <f t="shared" si="241"/>
        <v>183</v>
      </c>
      <c r="D4191" t="str">
        <f>"14"</f>
        <v>14</v>
      </c>
      <c r="E4191" t="str">
        <f>"1-183-14"</f>
        <v>1-183-14</v>
      </c>
      <c r="F4191" t="s">
        <v>83</v>
      </c>
      <c r="G4191" t="s">
        <v>86</v>
      </c>
      <c r="H4191" t="s">
        <v>87</v>
      </c>
      <c r="AC4191">
        <v>1</v>
      </c>
      <c r="AD4191">
        <v>0</v>
      </c>
      <c r="AE4191">
        <v>0</v>
      </c>
      <c r="AF4191">
        <v>0</v>
      </c>
      <c r="AH4191">
        <v>0</v>
      </c>
      <c r="AI4191">
        <v>1</v>
      </c>
      <c r="AJ4191">
        <v>1</v>
      </c>
      <c r="AK4191">
        <v>0</v>
      </c>
      <c r="AL4191">
        <v>1</v>
      </c>
      <c r="AM4191">
        <v>0</v>
      </c>
      <c r="AN4191">
        <v>0</v>
      </c>
      <c r="AO4191">
        <v>1</v>
      </c>
      <c r="AP4191">
        <v>1</v>
      </c>
      <c r="AQ4191">
        <v>1</v>
      </c>
      <c r="AU4191">
        <v>1</v>
      </c>
      <c r="AV4191">
        <v>1</v>
      </c>
      <c r="AW4191">
        <v>1</v>
      </c>
    </row>
    <row r="4192" spans="1:49" x14ac:dyDescent="0.25">
      <c r="A4192" t="str">
        <f>"4188"</f>
        <v>4188</v>
      </c>
      <c r="B4192" t="str">
        <f t="shared" si="242"/>
        <v>1</v>
      </c>
      <c r="C4192" t="str">
        <f t="shared" si="241"/>
        <v>183</v>
      </c>
      <c r="D4192" t="str">
        <f>"6"</f>
        <v>6</v>
      </c>
      <c r="E4192" t="str">
        <f>"1-183-6"</f>
        <v>1-183-6</v>
      </c>
      <c r="F4192" t="s">
        <v>83</v>
      </c>
      <c r="G4192" t="s">
        <v>84</v>
      </c>
      <c r="H4192" t="s">
        <v>85</v>
      </c>
      <c r="AC4192">
        <v>0</v>
      </c>
      <c r="AD4192">
        <v>1</v>
      </c>
      <c r="AE4192">
        <v>0</v>
      </c>
      <c r="AF4192">
        <v>0</v>
      </c>
      <c r="AG4192">
        <v>1</v>
      </c>
      <c r="AJ4192">
        <v>0</v>
      </c>
      <c r="AK4192">
        <v>1</v>
      </c>
      <c r="AL4192">
        <v>0</v>
      </c>
      <c r="AM4192">
        <v>0</v>
      </c>
      <c r="AN4192">
        <v>1</v>
      </c>
      <c r="AO4192">
        <v>1</v>
      </c>
      <c r="AP4192">
        <v>1</v>
      </c>
      <c r="AQ4192">
        <v>1</v>
      </c>
      <c r="AR4192">
        <v>1</v>
      </c>
      <c r="AS4192">
        <v>1</v>
      </c>
      <c r="AT4192">
        <v>0</v>
      </c>
      <c r="AV4192">
        <v>1</v>
      </c>
      <c r="AW4192">
        <v>1</v>
      </c>
    </row>
    <row r="4193" spans="1:49" x14ac:dyDescent="0.25">
      <c r="A4193" t="str">
        <f>"4189"</f>
        <v>4189</v>
      </c>
      <c r="B4193" t="str">
        <f t="shared" si="242"/>
        <v>1</v>
      </c>
      <c r="C4193" t="str">
        <f t="shared" si="241"/>
        <v>183</v>
      </c>
      <c r="D4193" t="str">
        <f>"20"</f>
        <v>20</v>
      </c>
      <c r="E4193" t="str">
        <f>"1-183-20"</f>
        <v>1-183-20</v>
      </c>
      <c r="F4193" t="s">
        <v>83</v>
      </c>
      <c r="G4193" t="s">
        <v>86</v>
      </c>
      <c r="H4193" t="s">
        <v>87</v>
      </c>
      <c r="AC4193">
        <v>1</v>
      </c>
      <c r="AD4193">
        <v>0</v>
      </c>
      <c r="AE4193">
        <v>0</v>
      </c>
      <c r="AF4193">
        <v>0</v>
      </c>
      <c r="AH4193">
        <v>1</v>
      </c>
      <c r="AI4193">
        <v>0</v>
      </c>
      <c r="AJ4193">
        <v>1</v>
      </c>
      <c r="AK4193">
        <v>0</v>
      </c>
      <c r="AL4193">
        <v>1</v>
      </c>
      <c r="AM4193">
        <v>0</v>
      </c>
      <c r="AN4193">
        <v>0</v>
      </c>
      <c r="AO4193">
        <v>1</v>
      </c>
      <c r="AP4193">
        <v>1</v>
      </c>
      <c r="AQ4193">
        <v>1</v>
      </c>
      <c r="AU4193">
        <v>1</v>
      </c>
      <c r="AV4193">
        <v>1</v>
      </c>
      <c r="AW4193">
        <v>1</v>
      </c>
    </row>
    <row r="4194" spans="1:49" x14ac:dyDescent="0.25">
      <c r="A4194" t="str">
        <f>"4190"</f>
        <v>4190</v>
      </c>
      <c r="B4194" t="str">
        <f t="shared" si="242"/>
        <v>1</v>
      </c>
      <c r="C4194" t="str">
        <f t="shared" ref="C4194:C4218" si="243">"184"</f>
        <v>184</v>
      </c>
      <c r="D4194" t="str">
        <f>"19"</f>
        <v>19</v>
      </c>
      <c r="E4194" t="str">
        <f>"1-184-19"</f>
        <v>1-184-19</v>
      </c>
      <c r="F4194" t="s">
        <v>83</v>
      </c>
      <c r="G4194" t="s">
        <v>84</v>
      </c>
      <c r="H4194" t="s">
        <v>85</v>
      </c>
      <c r="AC4194">
        <v>1</v>
      </c>
      <c r="AD4194">
        <v>0</v>
      </c>
      <c r="AE4194">
        <v>0</v>
      </c>
      <c r="AF4194">
        <v>0</v>
      </c>
      <c r="AG4194">
        <v>1</v>
      </c>
      <c r="AJ4194">
        <v>1</v>
      </c>
      <c r="AK4194">
        <v>0</v>
      </c>
      <c r="AL4194">
        <v>0</v>
      </c>
      <c r="AM4194">
        <v>1</v>
      </c>
      <c r="AN4194">
        <v>0</v>
      </c>
      <c r="AO4194">
        <v>1</v>
      </c>
      <c r="AP4194">
        <v>1</v>
      </c>
      <c r="AQ4194">
        <v>1</v>
      </c>
      <c r="AR4194">
        <v>1</v>
      </c>
      <c r="AS4194">
        <v>0</v>
      </c>
      <c r="AT4194">
        <v>1</v>
      </c>
      <c r="AV4194">
        <v>1</v>
      </c>
      <c r="AW4194">
        <v>1</v>
      </c>
    </row>
    <row r="4195" spans="1:49" x14ac:dyDescent="0.25">
      <c r="A4195" t="str">
        <f>"4191"</f>
        <v>4191</v>
      </c>
      <c r="B4195" t="str">
        <f t="shared" si="242"/>
        <v>1</v>
      </c>
      <c r="C4195" t="str">
        <f t="shared" si="243"/>
        <v>184</v>
      </c>
      <c r="D4195" t="str">
        <f>"15"</f>
        <v>15</v>
      </c>
      <c r="E4195" t="str">
        <f>"1-184-15"</f>
        <v>1-184-15</v>
      </c>
      <c r="F4195" t="s">
        <v>83</v>
      </c>
      <c r="G4195" t="s">
        <v>84</v>
      </c>
      <c r="H4195" t="s">
        <v>85</v>
      </c>
      <c r="AC4195">
        <v>1</v>
      </c>
      <c r="AD4195">
        <v>0</v>
      </c>
      <c r="AE4195">
        <v>0</v>
      </c>
      <c r="AF4195">
        <v>0</v>
      </c>
      <c r="AG4195">
        <v>1</v>
      </c>
      <c r="AJ4195">
        <v>1</v>
      </c>
      <c r="AK4195">
        <v>0</v>
      </c>
      <c r="AL4195">
        <v>0</v>
      </c>
      <c r="AM4195">
        <v>0</v>
      </c>
      <c r="AN4195">
        <v>1</v>
      </c>
      <c r="AO4195">
        <v>1</v>
      </c>
      <c r="AP4195">
        <v>1</v>
      </c>
      <c r="AQ4195">
        <v>1</v>
      </c>
      <c r="AR4195">
        <v>1</v>
      </c>
      <c r="AS4195">
        <v>0</v>
      </c>
      <c r="AT4195">
        <v>1</v>
      </c>
      <c r="AV4195">
        <v>1</v>
      </c>
      <c r="AW4195">
        <v>1</v>
      </c>
    </row>
    <row r="4196" spans="1:49" x14ac:dyDescent="0.25">
      <c r="A4196" t="str">
        <f>"4192"</f>
        <v>4192</v>
      </c>
      <c r="B4196" t="str">
        <f t="shared" si="242"/>
        <v>1</v>
      </c>
      <c r="C4196" t="str">
        <f t="shared" si="243"/>
        <v>184</v>
      </c>
      <c r="D4196" t="str">
        <f>"14"</f>
        <v>14</v>
      </c>
      <c r="E4196" t="str">
        <f>"1-184-14"</f>
        <v>1-184-14</v>
      </c>
      <c r="F4196" t="s">
        <v>83</v>
      </c>
      <c r="G4196" t="s">
        <v>84</v>
      </c>
      <c r="H4196" t="s">
        <v>85</v>
      </c>
      <c r="AC4196">
        <v>1</v>
      </c>
      <c r="AD4196">
        <v>0</v>
      </c>
      <c r="AE4196">
        <v>0</v>
      </c>
      <c r="AF4196">
        <v>0</v>
      </c>
      <c r="AG4196">
        <v>1</v>
      </c>
      <c r="AJ4196">
        <v>1</v>
      </c>
      <c r="AK4196">
        <v>0</v>
      </c>
      <c r="AL4196">
        <v>0</v>
      </c>
      <c r="AM4196">
        <v>0</v>
      </c>
      <c r="AN4196">
        <v>1</v>
      </c>
      <c r="AO4196">
        <v>1</v>
      </c>
      <c r="AP4196">
        <v>1</v>
      </c>
      <c r="AQ4196">
        <v>1</v>
      </c>
      <c r="AR4196">
        <v>1</v>
      </c>
      <c r="AS4196">
        <v>0</v>
      </c>
      <c r="AT4196">
        <v>1</v>
      </c>
      <c r="AV4196">
        <v>1</v>
      </c>
      <c r="AW4196">
        <v>1</v>
      </c>
    </row>
    <row r="4197" spans="1:49" x14ac:dyDescent="0.25">
      <c r="A4197" t="str">
        <f>"4193"</f>
        <v>4193</v>
      </c>
      <c r="B4197" t="str">
        <f t="shared" si="242"/>
        <v>1</v>
      </c>
      <c r="C4197" t="str">
        <f t="shared" si="243"/>
        <v>184</v>
      </c>
      <c r="D4197" t="str">
        <f>"9"</f>
        <v>9</v>
      </c>
      <c r="E4197" t="str">
        <f>"1-184-9"</f>
        <v>1-184-9</v>
      </c>
      <c r="F4197" t="s">
        <v>83</v>
      </c>
      <c r="G4197" t="s">
        <v>84</v>
      </c>
      <c r="H4197" t="s">
        <v>85</v>
      </c>
      <c r="AC4197">
        <v>1</v>
      </c>
      <c r="AD4197">
        <v>0</v>
      </c>
      <c r="AE4197">
        <v>0</v>
      </c>
      <c r="AF4197">
        <v>0</v>
      </c>
      <c r="AG4197">
        <v>1</v>
      </c>
      <c r="AJ4197">
        <v>1</v>
      </c>
      <c r="AK4197">
        <v>0</v>
      </c>
      <c r="AL4197">
        <v>1</v>
      </c>
      <c r="AM4197">
        <v>0</v>
      </c>
      <c r="AN4197">
        <v>0</v>
      </c>
      <c r="AO4197">
        <v>1</v>
      </c>
      <c r="AP4197">
        <v>1</v>
      </c>
      <c r="AQ4197">
        <v>1</v>
      </c>
      <c r="AR4197">
        <v>1</v>
      </c>
      <c r="AS4197">
        <v>1</v>
      </c>
      <c r="AT4197">
        <v>0</v>
      </c>
      <c r="AV4197">
        <v>1</v>
      </c>
      <c r="AW4197">
        <v>1</v>
      </c>
    </row>
    <row r="4198" spans="1:49" x14ac:dyDescent="0.25">
      <c r="A4198" t="str">
        <f>"4194"</f>
        <v>4194</v>
      </c>
      <c r="B4198" t="str">
        <f t="shared" si="242"/>
        <v>1</v>
      </c>
      <c r="C4198" t="str">
        <f t="shared" si="243"/>
        <v>184</v>
      </c>
      <c r="D4198" t="str">
        <f>"8"</f>
        <v>8</v>
      </c>
      <c r="E4198" t="str">
        <f>"1-184-8"</f>
        <v>1-184-8</v>
      </c>
      <c r="F4198" t="s">
        <v>83</v>
      </c>
      <c r="G4198" t="s">
        <v>84</v>
      </c>
      <c r="H4198" t="s">
        <v>85</v>
      </c>
      <c r="AC4198">
        <v>1</v>
      </c>
      <c r="AD4198">
        <v>0</v>
      </c>
      <c r="AE4198">
        <v>0</v>
      </c>
      <c r="AF4198">
        <v>0</v>
      </c>
      <c r="AG4198">
        <v>1</v>
      </c>
      <c r="AJ4198">
        <v>0</v>
      </c>
      <c r="AK4198">
        <v>1</v>
      </c>
      <c r="AL4198">
        <v>1</v>
      </c>
      <c r="AM4198">
        <v>0</v>
      </c>
      <c r="AN4198">
        <v>0</v>
      </c>
      <c r="AO4198">
        <v>1</v>
      </c>
      <c r="AP4198">
        <v>1</v>
      </c>
      <c r="AQ4198">
        <v>1</v>
      </c>
      <c r="AR4198">
        <v>1</v>
      </c>
      <c r="AS4198">
        <v>0</v>
      </c>
      <c r="AT4198">
        <v>1</v>
      </c>
      <c r="AV4198">
        <v>0</v>
      </c>
      <c r="AW4198">
        <v>1</v>
      </c>
    </row>
    <row r="4199" spans="1:49" x14ac:dyDescent="0.25">
      <c r="A4199" t="str">
        <f>"4195"</f>
        <v>4195</v>
      </c>
      <c r="B4199" t="str">
        <f t="shared" si="242"/>
        <v>1</v>
      </c>
      <c r="C4199" t="str">
        <f t="shared" si="243"/>
        <v>184</v>
      </c>
      <c r="D4199" t="str">
        <f>"2"</f>
        <v>2</v>
      </c>
      <c r="E4199" t="str">
        <f>"1-184-2"</f>
        <v>1-184-2</v>
      </c>
      <c r="F4199" t="s">
        <v>83</v>
      </c>
      <c r="G4199" t="s">
        <v>84</v>
      </c>
      <c r="H4199" t="s">
        <v>85</v>
      </c>
      <c r="AC4199">
        <v>1</v>
      </c>
      <c r="AD4199">
        <v>0</v>
      </c>
      <c r="AE4199">
        <v>0</v>
      </c>
      <c r="AF4199">
        <v>0</v>
      </c>
      <c r="AG4199">
        <v>1</v>
      </c>
      <c r="AJ4199">
        <v>0</v>
      </c>
      <c r="AK4199">
        <v>1</v>
      </c>
      <c r="AL4199">
        <v>1</v>
      </c>
      <c r="AM4199">
        <v>0</v>
      </c>
      <c r="AN4199">
        <v>0</v>
      </c>
      <c r="AO4199">
        <v>1</v>
      </c>
      <c r="AP4199">
        <v>1</v>
      </c>
      <c r="AQ4199">
        <v>1</v>
      </c>
      <c r="AR4199">
        <v>1</v>
      </c>
      <c r="AS4199">
        <v>1</v>
      </c>
      <c r="AT4199">
        <v>0</v>
      </c>
      <c r="AV4199">
        <v>1</v>
      </c>
      <c r="AW4199">
        <v>1</v>
      </c>
    </row>
    <row r="4200" spans="1:49" x14ac:dyDescent="0.25">
      <c r="A4200" t="str">
        <f>"4196"</f>
        <v>4196</v>
      </c>
      <c r="B4200" t="str">
        <f t="shared" si="242"/>
        <v>1</v>
      </c>
      <c r="C4200" t="str">
        <f t="shared" si="243"/>
        <v>184</v>
      </c>
      <c r="D4200" t="str">
        <f>"25"</f>
        <v>25</v>
      </c>
      <c r="E4200" t="str">
        <f>"1-184-25"</f>
        <v>1-184-25</v>
      </c>
      <c r="F4200" t="s">
        <v>83</v>
      </c>
      <c r="G4200" t="s">
        <v>84</v>
      </c>
      <c r="H4200" t="s">
        <v>85</v>
      </c>
      <c r="AC4200">
        <v>0</v>
      </c>
      <c r="AD4200">
        <v>1</v>
      </c>
      <c r="AE4200">
        <v>0</v>
      </c>
      <c r="AF4200">
        <v>0</v>
      </c>
      <c r="AG4200">
        <v>1</v>
      </c>
      <c r="AJ4200">
        <v>1</v>
      </c>
      <c r="AK4200">
        <v>0</v>
      </c>
      <c r="AL4200">
        <v>0</v>
      </c>
      <c r="AM4200">
        <v>1</v>
      </c>
      <c r="AN4200">
        <v>0</v>
      </c>
      <c r="AO4200">
        <v>1</v>
      </c>
      <c r="AP4200">
        <v>1</v>
      </c>
      <c r="AQ4200">
        <v>1</v>
      </c>
      <c r="AR4200">
        <v>1</v>
      </c>
      <c r="AS4200">
        <v>1</v>
      </c>
      <c r="AT4200">
        <v>0</v>
      </c>
      <c r="AV4200">
        <v>1</v>
      </c>
      <c r="AW4200">
        <v>1</v>
      </c>
    </row>
    <row r="4201" spans="1:49" x14ac:dyDescent="0.25">
      <c r="A4201" t="str">
        <f>"4197"</f>
        <v>4197</v>
      </c>
      <c r="B4201" t="str">
        <f t="shared" si="242"/>
        <v>1</v>
      </c>
      <c r="C4201" t="str">
        <f t="shared" si="243"/>
        <v>184</v>
      </c>
      <c r="D4201" t="str">
        <f>"24"</f>
        <v>24</v>
      </c>
      <c r="E4201" t="str">
        <f>"1-184-24"</f>
        <v>1-184-24</v>
      </c>
      <c r="F4201" t="s">
        <v>83</v>
      </c>
      <c r="G4201" t="s">
        <v>84</v>
      </c>
      <c r="H4201" t="s">
        <v>85</v>
      </c>
      <c r="AC4201">
        <v>0</v>
      </c>
      <c r="AD4201">
        <v>1</v>
      </c>
      <c r="AE4201">
        <v>0</v>
      </c>
      <c r="AF4201">
        <v>0</v>
      </c>
      <c r="AG4201">
        <v>0</v>
      </c>
      <c r="AJ4201">
        <v>0</v>
      </c>
      <c r="AK4201">
        <v>1</v>
      </c>
      <c r="AL4201">
        <v>0</v>
      </c>
      <c r="AM4201">
        <v>0</v>
      </c>
      <c r="AN4201">
        <v>1</v>
      </c>
      <c r="AO4201">
        <v>0</v>
      </c>
      <c r="AP4201">
        <v>0</v>
      </c>
      <c r="AQ4201">
        <v>0</v>
      </c>
      <c r="AR4201">
        <v>0</v>
      </c>
      <c r="AS4201">
        <v>1</v>
      </c>
      <c r="AT4201">
        <v>0</v>
      </c>
      <c r="AV4201">
        <v>0</v>
      </c>
      <c r="AW4201">
        <v>0</v>
      </c>
    </row>
    <row r="4202" spans="1:49" x14ac:dyDescent="0.25">
      <c r="A4202" t="str">
        <f>"4198"</f>
        <v>4198</v>
      </c>
      <c r="B4202" t="str">
        <f t="shared" si="242"/>
        <v>1</v>
      </c>
      <c r="C4202" t="str">
        <f t="shared" si="243"/>
        <v>184</v>
      </c>
      <c r="D4202" t="str">
        <f>"16"</f>
        <v>16</v>
      </c>
      <c r="E4202" t="str">
        <f>"1-184-16"</f>
        <v>1-184-16</v>
      </c>
      <c r="F4202" t="s">
        <v>83</v>
      </c>
      <c r="G4202" t="s">
        <v>84</v>
      </c>
      <c r="H4202" t="s">
        <v>85</v>
      </c>
      <c r="AC4202">
        <v>1</v>
      </c>
      <c r="AD4202">
        <v>0</v>
      </c>
      <c r="AE4202">
        <v>0</v>
      </c>
      <c r="AF4202">
        <v>0</v>
      </c>
      <c r="AG4202">
        <v>1</v>
      </c>
      <c r="AJ4202">
        <v>1</v>
      </c>
      <c r="AK4202">
        <v>0</v>
      </c>
      <c r="AL4202">
        <v>0</v>
      </c>
      <c r="AM4202">
        <v>1</v>
      </c>
      <c r="AN4202">
        <v>0</v>
      </c>
      <c r="AO4202">
        <v>1</v>
      </c>
      <c r="AP4202">
        <v>1</v>
      </c>
      <c r="AQ4202">
        <v>1</v>
      </c>
      <c r="AR4202">
        <v>1</v>
      </c>
      <c r="AS4202">
        <v>0</v>
      </c>
      <c r="AT4202">
        <v>1</v>
      </c>
      <c r="AV4202">
        <v>1</v>
      </c>
      <c r="AW4202">
        <v>1</v>
      </c>
    </row>
    <row r="4203" spans="1:49" x14ac:dyDescent="0.25">
      <c r="A4203" t="str">
        <f>"4199"</f>
        <v>4199</v>
      </c>
      <c r="B4203" t="str">
        <f t="shared" si="242"/>
        <v>1</v>
      </c>
      <c r="C4203" t="str">
        <f t="shared" si="243"/>
        <v>184</v>
      </c>
      <c r="D4203" t="str">
        <f>"5"</f>
        <v>5</v>
      </c>
      <c r="E4203" t="str">
        <f>"1-184-5"</f>
        <v>1-184-5</v>
      </c>
      <c r="F4203" t="s">
        <v>83</v>
      </c>
      <c r="G4203" t="s">
        <v>86</v>
      </c>
      <c r="H4203" t="s">
        <v>87</v>
      </c>
      <c r="AC4203">
        <v>0</v>
      </c>
      <c r="AD4203">
        <v>1</v>
      </c>
      <c r="AE4203">
        <v>0</v>
      </c>
      <c r="AF4203">
        <v>0</v>
      </c>
      <c r="AH4203">
        <v>0</v>
      </c>
      <c r="AI4203">
        <v>1</v>
      </c>
      <c r="AJ4203">
        <v>1</v>
      </c>
      <c r="AK4203">
        <v>0</v>
      </c>
      <c r="AL4203">
        <v>0</v>
      </c>
      <c r="AM4203">
        <v>0</v>
      </c>
      <c r="AN4203">
        <v>1</v>
      </c>
      <c r="AO4203">
        <v>1</v>
      </c>
      <c r="AP4203">
        <v>1</v>
      </c>
      <c r="AQ4203">
        <v>1</v>
      </c>
      <c r="AU4203">
        <v>1</v>
      </c>
      <c r="AV4203">
        <v>1</v>
      </c>
      <c r="AW4203">
        <v>1</v>
      </c>
    </row>
    <row r="4204" spans="1:49" x14ac:dyDescent="0.25">
      <c r="A4204" t="str">
        <f>"4200"</f>
        <v>4200</v>
      </c>
      <c r="B4204" t="str">
        <f t="shared" si="242"/>
        <v>1</v>
      </c>
      <c r="C4204" t="str">
        <f t="shared" si="243"/>
        <v>184</v>
      </c>
      <c r="D4204" t="str">
        <f>"21"</f>
        <v>21</v>
      </c>
      <c r="E4204" t="str">
        <f>"1-184-21"</f>
        <v>1-184-21</v>
      </c>
      <c r="F4204" t="s">
        <v>83</v>
      </c>
      <c r="G4204" t="s">
        <v>84</v>
      </c>
      <c r="H4204" t="s">
        <v>85</v>
      </c>
      <c r="AC4204">
        <v>0</v>
      </c>
      <c r="AD4204">
        <v>1</v>
      </c>
      <c r="AE4204">
        <v>0</v>
      </c>
      <c r="AF4204">
        <v>0</v>
      </c>
      <c r="AG4204">
        <v>0</v>
      </c>
      <c r="AJ4204">
        <v>0</v>
      </c>
      <c r="AK4204">
        <v>1</v>
      </c>
      <c r="AL4204">
        <v>0</v>
      </c>
      <c r="AM4204">
        <v>1</v>
      </c>
      <c r="AN4204">
        <v>0</v>
      </c>
      <c r="AO4204">
        <v>0</v>
      </c>
      <c r="AP4204">
        <v>0</v>
      </c>
      <c r="AQ4204">
        <v>0</v>
      </c>
      <c r="AR4204">
        <v>0</v>
      </c>
      <c r="AS4204">
        <v>0</v>
      </c>
      <c r="AT4204">
        <v>1</v>
      </c>
      <c r="AV4204">
        <v>0</v>
      </c>
      <c r="AW4204">
        <v>0</v>
      </c>
    </row>
    <row r="4205" spans="1:49" x14ac:dyDescent="0.25">
      <c r="A4205" t="str">
        <f>"4201"</f>
        <v>4201</v>
      </c>
      <c r="B4205" t="str">
        <f t="shared" si="242"/>
        <v>1</v>
      </c>
      <c r="C4205" t="str">
        <f t="shared" si="243"/>
        <v>184</v>
      </c>
      <c r="D4205" t="str">
        <f>"11"</f>
        <v>11</v>
      </c>
      <c r="E4205" t="str">
        <f>"1-184-11"</f>
        <v>1-184-11</v>
      </c>
      <c r="F4205" t="s">
        <v>83</v>
      </c>
      <c r="G4205" t="s">
        <v>84</v>
      </c>
      <c r="H4205" t="s">
        <v>85</v>
      </c>
      <c r="AC4205">
        <v>1</v>
      </c>
      <c r="AD4205">
        <v>0</v>
      </c>
      <c r="AE4205">
        <v>0</v>
      </c>
      <c r="AF4205">
        <v>0</v>
      </c>
      <c r="AG4205">
        <v>1</v>
      </c>
      <c r="AJ4205">
        <v>1</v>
      </c>
      <c r="AK4205">
        <v>0</v>
      </c>
      <c r="AL4205">
        <v>0</v>
      </c>
      <c r="AM4205">
        <v>0</v>
      </c>
      <c r="AN4205">
        <v>1</v>
      </c>
      <c r="AO4205">
        <v>1</v>
      </c>
      <c r="AP4205">
        <v>1</v>
      </c>
      <c r="AQ4205">
        <v>1</v>
      </c>
      <c r="AR4205">
        <v>1</v>
      </c>
      <c r="AS4205">
        <v>0</v>
      </c>
      <c r="AT4205">
        <v>1</v>
      </c>
      <c r="AV4205">
        <v>1</v>
      </c>
      <c r="AW4205">
        <v>1</v>
      </c>
    </row>
    <row r="4206" spans="1:49" x14ac:dyDescent="0.25">
      <c r="A4206" t="str">
        <f>"4202"</f>
        <v>4202</v>
      </c>
      <c r="B4206" t="str">
        <f t="shared" si="242"/>
        <v>1</v>
      </c>
      <c r="C4206" t="str">
        <f t="shared" si="243"/>
        <v>184</v>
      </c>
      <c r="D4206" t="str">
        <f>"1"</f>
        <v>1</v>
      </c>
      <c r="E4206" t="str">
        <f>"1-184-1"</f>
        <v>1-184-1</v>
      </c>
      <c r="F4206" t="s">
        <v>83</v>
      </c>
      <c r="G4206" t="s">
        <v>84</v>
      </c>
      <c r="H4206" t="s">
        <v>85</v>
      </c>
      <c r="AC4206">
        <v>1</v>
      </c>
      <c r="AD4206">
        <v>0</v>
      </c>
      <c r="AE4206">
        <v>0</v>
      </c>
      <c r="AF4206">
        <v>0</v>
      </c>
      <c r="AG4206">
        <v>1</v>
      </c>
      <c r="AJ4206">
        <v>1</v>
      </c>
      <c r="AK4206">
        <v>0</v>
      </c>
      <c r="AL4206">
        <v>1</v>
      </c>
      <c r="AM4206">
        <v>0</v>
      </c>
      <c r="AN4206">
        <v>0</v>
      </c>
      <c r="AO4206">
        <v>1</v>
      </c>
      <c r="AP4206">
        <v>1</v>
      </c>
      <c r="AQ4206">
        <v>1</v>
      </c>
      <c r="AR4206">
        <v>1</v>
      </c>
      <c r="AS4206">
        <v>0</v>
      </c>
      <c r="AT4206">
        <v>1</v>
      </c>
      <c r="AV4206">
        <v>1</v>
      </c>
      <c r="AW4206">
        <v>1</v>
      </c>
    </row>
    <row r="4207" spans="1:49" x14ac:dyDescent="0.25">
      <c r="A4207" t="str">
        <f>"4203"</f>
        <v>4203</v>
      </c>
      <c r="B4207" t="str">
        <f t="shared" si="242"/>
        <v>1</v>
      </c>
      <c r="C4207" t="str">
        <f t="shared" si="243"/>
        <v>184</v>
      </c>
      <c r="D4207" t="str">
        <f>"23"</f>
        <v>23</v>
      </c>
      <c r="E4207" t="str">
        <f>"1-184-23"</f>
        <v>1-184-23</v>
      </c>
      <c r="F4207" t="s">
        <v>83</v>
      </c>
      <c r="G4207" t="s">
        <v>84</v>
      </c>
      <c r="H4207" t="s">
        <v>85</v>
      </c>
      <c r="AC4207">
        <v>0</v>
      </c>
      <c r="AD4207">
        <v>1</v>
      </c>
      <c r="AE4207">
        <v>0</v>
      </c>
      <c r="AF4207">
        <v>0</v>
      </c>
      <c r="AG4207">
        <v>0</v>
      </c>
      <c r="AJ4207">
        <v>0</v>
      </c>
      <c r="AK4207">
        <v>1</v>
      </c>
      <c r="AL4207">
        <v>0</v>
      </c>
      <c r="AM4207">
        <v>0</v>
      </c>
      <c r="AN4207">
        <v>1</v>
      </c>
      <c r="AO4207">
        <v>0</v>
      </c>
      <c r="AP4207">
        <v>0</v>
      </c>
      <c r="AQ4207">
        <v>0</v>
      </c>
      <c r="AR4207">
        <v>0</v>
      </c>
      <c r="AS4207">
        <v>1</v>
      </c>
      <c r="AT4207">
        <v>0</v>
      </c>
      <c r="AV4207">
        <v>0</v>
      </c>
      <c r="AW4207">
        <v>0</v>
      </c>
    </row>
    <row r="4208" spans="1:49" x14ac:dyDescent="0.25">
      <c r="A4208" t="str">
        <f>"4204"</f>
        <v>4204</v>
      </c>
      <c r="B4208" t="str">
        <f t="shared" si="242"/>
        <v>1</v>
      </c>
      <c r="C4208" t="str">
        <f t="shared" si="243"/>
        <v>184</v>
      </c>
      <c r="D4208" t="str">
        <f>"12"</f>
        <v>12</v>
      </c>
      <c r="E4208" t="str">
        <f>"1-184-12"</f>
        <v>1-184-12</v>
      </c>
      <c r="F4208" t="s">
        <v>83</v>
      </c>
      <c r="G4208" t="s">
        <v>84</v>
      </c>
      <c r="H4208" t="s">
        <v>85</v>
      </c>
      <c r="AC4208">
        <v>1</v>
      </c>
      <c r="AD4208">
        <v>0</v>
      </c>
      <c r="AE4208">
        <v>0</v>
      </c>
      <c r="AF4208">
        <v>0</v>
      </c>
      <c r="AG4208">
        <v>1</v>
      </c>
      <c r="AJ4208">
        <v>1</v>
      </c>
      <c r="AK4208">
        <v>0</v>
      </c>
      <c r="AL4208">
        <v>0</v>
      </c>
      <c r="AM4208">
        <v>1</v>
      </c>
      <c r="AN4208">
        <v>0</v>
      </c>
      <c r="AO4208">
        <v>1</v>
      </c>
      <c r="AP4208">
        <v>1</v>
      </c>
      <c r="AQ4208">
        <v>1</v>
      </c>
      <c r="AR4208">
        <v>1</v>
      </c>
      <c r="AS4208">
        <v>0</v>
      </c>
      <c r="AT4208">
        <v>1</v>
      </c>
      <c r="AV4208">
        <v>1</v>
      </c>
      <c r="AW4208">
        <v>1</v>
      </c>
    </row>
    <row r="4209" spans="1:49" x14ac:dyDescent="0.25">
      <c r="A4209" t="str">
        <f>"4205"</f>
        <v>4205</v>
      </c>
      <c r="B4209" t="str">
        <f t="shared" si="242"/>
        <v>1</v>
      </c>
      <c r="C4209" t="str">
        <f t="shared" si="243"/>
        <v>184</v>
      </c>
      <c r="D4209" t="str">
        <f>"6"</f>
        <v>6</v>
      </c>
      <c r="E4209" t="str">
        <f>"1-184-6"</f>
        <v>1-184-6</v>
      </c>
      <c r="F4209" t="s">
        <v>83</v>
      </c>
      <c r="G4209" t="s">
        <v>84</v>
      </c>
      <c r="H4209" t="s">
        <v>85</v>
      </c>
      <c r="AC4209">
        <v>1</v>
      </c>
      <c r="AD4209">
        <v>0</v>
      </c>
      <c r="AE4209">
        <v>0</v>
      </c>
      <c r="AF4209">
        <v>0</v>
      </c>
      <c r="AG4209">
        <v>1</v>
      </c>
      <c r="AJ4209">
        <v>1</v>
      </c>
      <c r="AK4209">
        <v>0</v>
      </c>
      <c r="AL4209">
        <v>1</v>
      </c>
      <c r="AM4209">
        <v>0</v>
      </c>
      <c r="AN4209">
        <v>0</v>
      </c>
      <c r="AO4209">
        <v>1</v>
      </c>
      <c r="AP4209">
        <v>1</v>
      </c>
      <c r="AQ4209">
        <v>1</v>
      </c>
      <c r="AR4209">
        <v>1</v>
      </c>
      <c r="AS4209">
        <v>1</v>
      </c>
      <c r="AT4209">
        <v>0</v>
      </c>
      <c r="AV4209">
        <v>1</v>
      </c>
      <c r="AW4209">
        <v>1</v>
      </c>
    </row>
    <row r="4210" spans="1:49" x14ac:dyDescent="0.25">
      <c r="A4210" t="str">
        <f>"4206"</f>
        <v>4206</v>
      </c>
      <c r="B4210" t="str">
        <f t="shared" si="242"/>
        <v>1</v>
      </c>
      <c r="C4210" t="str">
        <f t="shared" si="243"/>
        <v>184</v>
      </c>
      <c r="D4210" t="str">
        <f>"22"</f>
        <v>22</v>
      </c>
      <c r="E4210" t="str">
        <f>"1-184-22"</f>
        <v>1-184-22</v>
      </c>
      <c r="F4210" t="s">
        <v>83</v>
      </c>
      <c r="G4210" t="s">
        <v>84</v>
      </c>
      <c r="H4210" t="s">
        <v>85</v>
      </c>
      <c r="AC4210">
        <v>0</v>
      </c>
      <c r="AD4210">
        <v>1</v>
      </c>
      <c r="AE4210">
        <v>0</v>
      </c>
      <c r="AF4210">
        <v>0</v>
      </c>
      <c r="AG4210">
        <v>1</v>
      </c>
      <c r="AJ4210">
        <v>0</v>
      </c>
      <c r="AK4210">
        <v>1</v>
      </c>
      <c r="AL4210">
        <v>0</v>
      </c>
      <c r="AM4210">
        <v>0</v>
      </c>
      <c r="AN4210">
        <v>1</v>
      </c>
      <c r="AO4210">
        <v>1</v>
      </c>
      <c r="AP4210">
        <v>1</v>
      </c>
      <c r="AQ4210">
        <v>1</v>
      </c>
      <c r="AR4210">
        <v>1</v>
      </c>
      <c r="AS4210">
        <v>0</v>
      </c>
      <c r="AT4210">
        <v>1</v>
      </c>
      <c r="AV4210">
        <v>1</v>
      </c>
      <c r="AW4210">
        <v>1</v>
      </c>
    </row>
    <row r="4211" spans="1:49" x14ac:dyDescent="0.25">
      <c r="A4211" t="str">
        <f>"4207"</f>
        <v>4207</v>
      </c>
      <c r="B4211" t="str">
        <f t="shared" si="242"/>
        <v>1</v>
      </c>
      <c r="C4211" t="str">
        <f t="shared" si="243"/>
        <v>184</v>
      </c>
      <c r="D4211" t="str">
        <f>"13"</f>
        <v>13</v>
      </c>
      <c r="E4211" t="str">
        <f>"1-184-13"</f>
        <v>1-184-13</v>
      </c>
      <c r="F4211" t="s">
        <v>83</v>
      </c>
      <c r="G4211" t="s">
        <v>84</v>
      </c>
      <c r="H4211" t="s">
        <v>85</v>
      </c>
      <c r="AC4211">
        <v>0</v>
      </c>
      <c r="AD4211">
        <v>1</v>
      </c>
      <c r="AE4211">
        <v>0</v>
      </c>
      <c r="AF4211">
        <v>0</v>
      </c>
      <c r="AG4211">
        <v>1</v>
      </c>
      <c r="AJ4211">
        <v>1</v>
      </c>
      <c r="AK4211">
        <v>0</v>
      </c>
      <c r="AL4211">
        <v>1</v>
      </c>
      <c r="AM4211">
        <v>0</v>
      </c>
      <c r="AN4211">
        <v>0</v>
      </c>
      <c r="AO4211">
        <v>1</v>
      </c>
      <c r="AP4211">
        <v>1</v>
      </c>
      <c r="AQ4211">
        <v>1</v>
      </c>
      <c r="AR4211">
        <v>1</v>
      </c>
      <c r="AS4211">
        <v>0</v>
      </c>
      <c r="AT4211">
        <v>1</v>
      </c>
      <c r="AV4211">
        <v>1</v>
      </c>
      <c r="AW4211">
        <v>1</v>
      </c>
    </row>
    <row r="4212" spans="1:49" x14ac:dyDescent="0.25">
      <c r="A4212" t="str">
        <f>"4208"</f>
        <v>4208</v>
      </c>
      <c r="B4212" t="str">
        <f t="shared" si="242"/>
        <v>1</v>
      </c>
      <c r="C4212" t="str">
        <f t="shared" si="243"/>
        <v>184</v>
      </c>
      <c r="D4212" t="str">
        <f>"3"</f>
        <v>3</v>
      </c>
      <c r="E4212" t="str">
        <f>"1-184-3"</f>
        <v>1-184-3</v>
      </c>
      <c r="F4212" t="s">
        <v>83</v>
      </c>
      <c r="G4212" t="s">
        <v>84</v>
      </c>
      <c r="H4212" t="s">
        <v>85</v>
      </c>
      <c r="AC4212">
        <v>1</v>
      </c>
      <c r="AD4212">
        <v>0</v>
      </c>
      <c r="AE4212">
        <v>0</v>
      </c>
      <c r="AF4212">
        <v>0</v>
      </c>
      <c r="AG4212">
        <v>1</v>
      </c>
      <c r="AJ4212">
        <v>1</v>
      </c>
      <c r="AK4212">
        <v>0</v>
      </c>
      <c r="AL4212">
        <v>1</v>
      </c>
      <c r="AM4212">
        <v>0</v>
      </c>
      <c r="AN4212">
        <v>0</v>
      </c>
      <c r="AO4212">
        <v>1</v>
      </c>
      <c r="AP4212">
        <v>1</v>
      </c>
      <c r="AQ4212">
        <v>1</v>
      </c>
      <c r="AR4212">
        <v>1</v>
      </c>
      <c r="AS4212">
        <v>1</v>
      </c>
      <c r="AT4212">
        <v>0</v>
      </c>
      <c r="AV4212">
        <v>1</v>
      </c>
      <c r="AW4212">
        <v>1</v>
      </c>
    </row>
    <row r="4213" spans="1:49" x14ac:dyDescent="0.25">
      <c r="A4213" t="str">
        <f>"4209"</f>
        <v>4209</v>
      </c>
      <c r="B4213" t="str">
        <f t="shared" si="242"/>
        <v>1</v>
      </c>
      <c r="C4213" t="str">
        <f t="shared" si="243"/>
        <v>184</v>
      </c>
      <c r="D4213" t="str">
        <f>"17"</f>
        <v>17</v>
      </c>
      <c r="E4213" t="str">
        <f>"1-184-17"</f>
        <v>1-184-17</v>
      </c>
      <c r="F4213" t="s">
        <v>83</v>
      </c>
      <c r="G4213" t="s">
        <v>84</v>
      </c>
      <c r="H4213" t="s">
        <v>85</v>
      </c>
      <c r="AC4213">
        <v>1</v>
      </c>
      <c r="AD4213">
        <v>0</v>
      </c>
      <c r="AE4213">
        <v>0</v>
      </c>
      <c r="AF4213">
        <v>0</v>
      </c>
      <c r="AG4213">
        <v>1</v>
      </c>
      <c r="AJ4213">
        <v>1</v>
      </c>
      <c r="AK4213">
        <v>0</v>
      </c>
      <c r="AL4213">
        <v>0</v>
      </c>
      <c r="AM4213">
        <v>1</v>
      </c>
      <c r="AN4213">
        <v>0</v>
      </c>
      <c r="AO4213">
        <v>1</v>
      </c>
      <c r="AP4213">
        <v>1</v>
      </c>
      <c r="AQ4213">
        <v>1</v>
      </c>
      <c r="AR4213">
        <v>1</v>
      </c>
      <c r="AS4213">
        <v>0</v>
      </c>
      <c r="AT4213">
        <v>1</v>
      </c>
      <c r="AV4213">
        <v>1</v>
      </c>
      <c r="AW4213">
        <v>1</v>
      </c>
    </row>
    <row r="4214" spans="1:49" x14ac:dyDescent="0.25">
      <c r="A4214" t="str">
        <f>"4210"</f>
        <v>4210</v>
      </c>
      <c r="B4214" t="str">
        <f t="shared" si="242"/>
        <v>1</v>
      </c>
      <c r="C4214" t="str">
        <f t="shared" si="243"/>
        <v>184</v>
      </c>
      <c r="D4214" t="str">
        <f>"4"</f>
        <v>4</v>
      </c>
      <c r="E4214" t="str">
        <f>"1-184-4"</f>
        <v>1-184-4</v>
      </c>
      <c r="F4214" t="s">
        <v>83</v>
      </c>
      <c r="G4214" t="s">
        <v>84</v>
      </c>
      <c r="H4214" t="s">
        <v>85</v>
      </c>
      <c r="AC4214">
        <v>0</v>
      </c>
      <c r="AD4214">
        <v>0</v>
      </c>
      <c r="AE4214">
        <v>0</v>
      </c>
      <c r="AF4214">
        <v>0</v>
      </c>
      <c r="AG4214">
        <v>1</v>
      </c>
      <c r="AJ4214">
        <v>1</v>
      </c>
      <c r="AK4214">
        <v>0</v>
      </c>
      <c r="AL4214">
        <v>0</v>
      </c>
      <c r="AM4214">
        <v>1</v>
      </c>
      <c r="AN4214">
        <v>0</v>
      </c>
      <c r="AO4214">
        <v>1</v>
      </c>
      <c r="AP4214">
        <v>1</v>
      </c>
      <c r="AQ4214">
        <v>1</v>
      </c>
      <c r="AR4214">
        <v>1</v>
      </c>
      <c r="AS4214">
        <v>0</v>
      </c>
      <c r="AT4214">
        <v>0</v>
      </c>
      <c r="AV4214">
        <v>1</v>
      </c>
      <c r="AW4214">
        <v>1</v>
      </c>
    </row>
    <row r="4215" spans="1:49" x14ac:dyDescent="0.25">
      <c r="A4215" t="str">
        <f>"4211"</f>
        <v>4211</v>
      </c>
      <c r="B4215" t="str">
        <f t="shared" si="242"/>
        <v>1</v>
      </c>
      <c r="C4215" t="str">
        <f t="shared" si="243"/>
        <v>184</v>
      </c>
      <c r="D4215" t="str">
        <f>"18"</f>
        <v>18</v>
      </c>
      <c r="E4215" t="str">
        <f>"1-184-18"</f>
        <v>1-184-18</v>
      </c>
      <c r="F4215" t="s">
        <v>83</v>
      </c>
      <c r="G4215" t="s">
        <v>84</v>
      </c>
      <c r="H4215" t="s">
        <v>85</v>
      </c>
      <c r="AC4215">
        <v>1</v>
      </c>
      <c r="AD4215">
        <v>0</v>
      </c>
      <c r="AE4215">
        <v>0</v>
      </c>
      <c r="AF4215">
        <v>0</v>
      </c>
      <c r="AG4215">
        <v>1</v>
      </c>
      <c r="AJ4215">
        <v>1</v>
      </c>
      <c r="AK4215">
        <v>0</v>
      </c>
      <c r="AL4215">
        <v>0</v>
      </c>
      <c r="AM4215">
        <v>0</v>
      </c>
      <c r="AN4215">
        <v>0</v>
      </c>
      <c r="AO4215">
        <v>1</v>
      </c>
      <c r="AP4215">
        <v>1</v>
      </c>
      <c r="AQ4215">
        <v>1</v>
      </c>
      <c r="AR4215">
        <v>1</v>
      </c>
      <c r="AS4215">
        <v>0</v>
      </c>
      <c r="AT4215">
        <v>0</v>
      </c>
      <c r="AV4215">
        <v>1</v>
      </c>
      <c r="AW4215">
        <v>0</v>
      </c>
    </row>
    <row r="4216" spans="1:49" x14ac:dyDescent="0.25">
      <c r="A4216" t="str">
        <f>"4212"</f>
        <v>4212</v>
      </c>
      <c r="B4216" t="str">
        <f t="shared" si="242"/>
        <v>1</v>
      </c>
      <c r="C4216" t="str">
        <f t="shared" si="243"/>
        <v>184</v>
      </c>
      <c r="D4216" t="str">
        <f>"7"</f>
        <v>7</v>
      </c>
      <c r="E4216" t="str">
        <f>"1-184-7"</f>
        <v>1-184-7</v>
      </c>
      <c r="F4216" t="s">
        <v>83</v>
      </c>
      <c r="G4216" t="s">
        <v>84</v>
      </c>
      <c r="H4216" t="s">
        <v>85</v>
      </c>
      <c r="AC4216">
        <v>0</v>
      </c>
      <c r="AD4216">
        <v>1</v>
      </c>
      <c r="AE4216">
        <v>0</v>
      </c>
      <c r="AF4216">
        <v>0</v>
      </c>
      <c r="AG4216">
        <v>1</v>
      </c>
      <c r="AJ4216">
        <v>0</v>
      </c>
      <c r="AK4216">
        <v>1</v>
      </c>
      <c r="AL4216">
        <v>0</v>
      </c>
      <c r="AM4216">
        <v>1</v>
      </c>
      <c r="AN4216">
        <v>0</v>
      </c>
      <c r="AO4216">
        <v>1</v>
      </c>
      <c r="AP4216">
        <v>1</v>
      </c>
      <c r="AQ4216">
        <v>1</v>
      </c>
      <c r="AR4216">
        <v>1</v>
      </c>
      <c r="AS4216">
        <v>0</v>
      </c>
      <c r="AT4216">
        <v>1</v>
      </c>
      <c r="AV4216">
        <v>1</v>
      </c>
      <c r="AW4216">
        <v>1</v>
      </c>
    </row>
    <row r="4217" spans="1:49" x14ac:dyDescent="0.25">
      <c r="A4217" t="str">
        <f>"4213"</f>
        <v>4213</v>
      </c>
      <c r="B4217" t="str">
        <f t="shared" si="242"/>
        <v>1</v>
      </c>
      <c r="C4217" t="str">
        <f t="shared" si="243"/>
        <v>184</v>
      </c>
      <c r="D4217" t="str">
        <f>"10"</f>
        <v>10</v>
      </c>
      <c r="E4217" t="str">
        <f>"1-184-10"</f>
        <v>1-184-10</v>
      </c>
      <c r="F4217" t="s">
        <v>83</v>
      </c>
      <c r="G4217" t="s">
        <v>84</v>
      </c>
      <c r="H4217" t="s">
        <v>85</v>
      </c>
      <c r="AC4217">
        <v>0</v>
      </c>
      <c r="AD4217">
        <v>1</v>
      </c>
      <c r="AE4217">
        <v>0</v>
      </c>
      <c r="AF4217">
        <v>0</v>
      </c>
      <c r="AG4217">
        <v>1</v>
      </c>
      <c r="AJ4217">
        <v>1</v>
      </c>
      <c r="AK4217">
        <v>0</v>
      </c>
      <c r="AL4217">
        <v>0</v>
      </c>
      <c r="AM4217">
        <v>1</v>
      </c>
      <c r="AN4217">
        <v>0</v>
      </c>
      <c r="AO4217">
        <v>1</v>
      </c>
      <c r="AP4217">
        <v>1</v>
      </c>
      <c r="AQ4217">
        <v>1</v>
      </c>
      <c r="AR4217">
        <v>1</v>
      </c>
      <c r="AS4217">
        <v>1</v>
      </c>
      <c r="AT4217">
        <v>0</v>
      </c>
      <c r="AV4217">
        <v>1</v>
      </c>
      <c r="AW4217">
        <v>1</v>
      </c>
    </row>
    <row r="4218" spans="1:49" x14ac:dyDescent="0.25">
      <c r="A4218" t="str">
        <f>"4214"</f>
        <v>4214</v>
      </c>
      <c r="B4218" t="str">
        <f t="shared" si="242"/>
        <v>1</v>
      </c>
      <c r="C4218" t="str">
        <f t="shared" si="243"/>
        <v>184</v>
      </c>
      <c r="D4218" t="str">
        <f>"20"</f>
        <v>20</v>
      </c>
      <c r="E4218" t="str">
        <f>"1-184-20"</f>
        <v>1-184-20</v>
      </c>
      <c r="F4218" t="s">
        <v>83</v>
      </c>
      <c r="G4218" t="s">
        <v>84</v>
      </c>
      <c r="H4218" t="s">
        <v>85</v>
      </c>
      <c r="AC4218">
        <v>1</v>
      </c>
      <c r="AD4218">
        <v>0</v>
      </c>
      <c r="AE4218">
        <v>0</v>
      </c>
      <c r="AF4218">
        <v>0</v>
      </c>
      <c r="AG4218">
        <v>0</v>
      </c>
      <c r="AJ4218">
        <v>0</v>
      </c>
      <c r="AK4218">
        <v>1</v>
      </c>
      <c r="AL4218">
        <v>0</v>
      </c>
      <c r="AM4218">
        <v>0</v>
      </c>
      <c r="AN4218">
        <v>1</v>
      </c>
      <c r="AO4218">
        <v>0</v>
      </c>
      <c r="AP4218">
        <v>0</v>
      </c>
      <c r="AQ4218">
        <v>0</v>
      </c>
      <c r="AR4218">
        <v>1</v>
      </c>
      <c r="AS4218">
        <v>0</v>
      </c>
      <c r="AT4218">
        <v>1</v>
      </c>
      <c r="AV4218">
        <v>0</v>
      </c>
      <c r="AW4218">
        <v>1</v>
      </c>
    </row>
    <row r="4219" spans="1:49" x14ac:dyDescent="0.25">
      <c r="A4219" t="str">
        <f>"4215"</f>
        <v>4215</v>
      </c>
      <c r="B4219" t="str">
        <f t="shared" si="242"/>
        <v>1</v>
      </c>
      <c r="C4219" t="str">
        <f t="shared" ref="C4219:C4243" si="244">"185"</f>
        <v>185</v>
      </c>
      <c r="D4219" t="str">
        <f>"25"</f>
        <v>25</v>
      </c>
      <c r="E4219" t="str">
        <f>"1-185-25"</f>
        <v>1-185-25</v>
      </c>
      <c r="F4219" t="s">
        <v>83</v>
      </c>
      <c r="G4219" t="s">
        <v>84</v>
      </c>
      <c r="H4219" t="s">
        <v>85</v>
      </c>
      <c r="AC4219">
        <v>1</v>
      </c>
      <c r="AD4219">
        <v>0</v>
      </c>
      <c r="AE4219">
        <v>0</v>
      </c>
      <c r="AF4219">
        <v>0</v>
      </c>
      <c r="AG4219">
        <v>1</v>
      </c>
      <c r="AJ4219">
        <v>0</v>
      </c>
      <c r="AK4219">
        <v>1</v>
      </c>
      <c r="AL4219">
        <v>0</v>
      </c>
      <c r="AM4219">
        <v>0</v>
      </c>
      <c r="AN4219">
        <v>1</v>
      </c>
      <c r="AO4219">
        <v>1</v>
      </c>
      <c r="AP4219">
        <v>1</v>
      </c>
      <c r="AQ4219">
        <v>1</v>
      </c>
      <c r="AR4219">
        <v>1</v>
      </c>
      <c r="AS4219">
        <v>1</v>
      </c>
      <c r="AT4219">
        <v>0</v>
      </c>
      <c r="AV4219">
        <v>1</v>
      </c>
      <c r="AW4219">
        <v>1</v>
      </c>
    </row>
    <row r="4220" spans="1:49" x14ac:dyDescent="0.25">
      <c r="A4220" t="str">
        <f>"4216"</f>
        <v>4216</v>
      </c>
      <c r="B4220" t="str">
        <f t="shared" si="242"/>
        <v>1</v>
      </c>
      <c r="C4220" t="str">
        <f t="shared" si="244"/>
        <v>185</v>
      </c>
      <c r="D4220" t="str">
        <f>"24"</f>
        <v>24</v>
      </c>
      <c r="E4220" t="str">
        <f>"1-185-24"</f>
        <v>1-185-24</v>
      </c>
      <c r="F4220" t="s">
        <v>83</v>
      </c>
      <c r="G4220" t="s">
        <v>84</v>
      </c>
      <c r="H4220" t="s">
        <v>85</v>
      </c>
      <c r="AC4220">
        <v>0</v>
      </c>
      <c r="AD4220">
        <v>1</v>
      </c>
      <c r="AE4220">
        <v>0</v>
      </c>
      <c r="AF4220">
        <v>0</v>
      </c>
      <c r="AG4220">
        <v>1</v>
      </c>
      <c r="AJ4220">
        <v>1</v>
      </c>
      <c r="AK4220">
        <v>0</v>
      </c>
      <c r="AL4220">
        <v>0</v>
      </c>
      <c r="AM4220">
        <v>1</v>
      </c>
      <c r="AN4220">
        <v>0</v>
      </c>
      <c r="AO4220">
        <v>1</v>
      </c>
      <c r="AP4220">
        <v>1</v>
      </c>
      <c r="AQ4220">
        <v>1</v>
      </c>
      <c r="AR4220">
        <v>1</v>
      </c>
      <c r="AS4220">
        <v>1</v>
      </c>
      <c r="AT4220">
        <v>0</v>
      </c>
      <c r="AV4220">
        <v>1</v>
      </c>
      <c r="AW4220">
        <v>1</v>
      </c>
    </row>
    <row r="4221" spans="1:49" x14ac:dyDescent="0.25">
      <c r="A4221" t="str">
        <f>"4217"</f>
        <v>4217</v>
      </c>
      <c r="B4221" t="str">
        <f t="shared" si="242"/>
        <v>1</v>
      </c>
      <c r="C4221" t="str">
        <f t="shared" si="244"/>
        <v>185</v>
      </c>
      <c r="D4221" t="str">
        <f>"15"</f>
        <v>15</v>
      </c>
      <c r="E4221" t="str">
        <f>"1-185-15"</f>
        <v>1-185-15</v>
      </c>
      <c r="F4221" t="s">
        <v>83</v>
      </c>
      <c r="G4221" t="s">
        <v>84</v>
      </c>
      <c r="H4221" t="s">
        <v>85</v>
      </c>
      <c r="AC4221">
        <v>0</v>
      </c>
      <c r="AD4221">
        <v>1</v>
      </c>
      <c r="AE4221">
        <v>0</v>
      </c>
      <c r="AF4221">
        <v>0</v>
      </c>
      <c r="AG4221">
        <v>1</v>
      </c>
      <c r="AJ4221">
        <v>1</v>
      </c>
      <c r="AK4221">
        <v>0</v>
      </c>
      <c r="AL4221">
        <v>0</v>
      </c>
      <c r="AM4221">
        <v>1</v>
      </c>
      <c r="AN4221">
        <v>0</v>
      </c>
      <c r="AO4221">
        <v>0</v>
      </c>
      <c r="AP4221">
        <v>0</v>
      </c>
      <c r="AQ4221">
        <v>0</v>
      </c>
      <c r="AR4221">
        <v>0</v>
      </c>
      <c r="AS4221">
        <v>0</v>
      </c>
      <c r="AT4221">
        <v>0</v>
      </c>
      <c r="AV4221">
        <v>0</v>
      </c>
      <c r="AW4221">
        <v>0</v>
      </c>
    </row>
    <row r="4222" spans="1:49" x14ac:dyDescent="0.25">
      <c r="A4222" t="str">
        <f>"4218"</f>
        <v>4218</v>
      </c>
      <c r="B4222" t="str">
        <f t="shared" si="242"/>
        <v>1</v>
      </c>
      <c r="C4222" t="str">
        <f t="shared" si="244"/>
        <v>185</v>
      </c>
      <c r="D4222" t="str">
        <f>"8"</f>
        <v>8</v>
      </c>
      <c r="E4222" t="str">
        <f>"1-185-8"</f>
        <v>1-185-8</v>
      </c>
      <c r="F4222" t="s">
        <v>83</v>
      </c>
      <c r="G4222" t="s">
        <v>84</v>
      </c>
      <c r="H4222" t="s">
        <v>85</v>
      </c>
      <c r="AC4222">
        <v>0</v>
      </c>
      <c r="AD4222">
        <v>1</v>
      </c>
      <c r="AE4222">
        <v>0</v>
      </c>
      <c r="AF4222">
        <v>0</v>
      </c>
      <c r="AG4222">
        <v>1</v>
      </c>
      <c r="AJ4222">
        <v>0</v>
      </c>
      <c r="AK4222">
        <v>1</v>
      </c>
      <c r="AL4222">
        <v>0</v>
      </c>
      <c r="AM4222">
        <v>0</v>
      </c>
      <c r="AN4222">
        <v>1</v>
      </c>
      <c r="AO4222">
        <v>1</v>
      </c>
      <c r="AP4222">
        <v>1</v>
      </c>
      <c r="AQ4222">
        <v>1</v>
      </c>
      <c r="AR4222">
        <v>1</v>
      </c>
      <c r="AS4222">
        <v>1</v>
      </c>
      <c r="AT4222">
        <v>0</v>
      </c>
      <c r="AV4222">
        <v>1</v>
      </c>
      <c r="AW4222">
        <v>1</v>
      </c>
    </row>
    <row r="4223" spans="1:49" x14ac:dyDescent="0.25">
      <c r="A4223" t="str">
        <f>"4219"</f>
        <v>4219</v>
      </c>
      <c r="B4223" t="str">
        <f t="shared" si="242"/>
        <v>1</v>
      </c>
      <c r="C4223" t="str">
        <f t="shared" si="244"/>
        <v>185</v>
      </c>
      <c r="D4223" t="str">
        <f>"5"</f>
        <v>5</v>
      </c>
      <c r="E4223" t="str">
        <f>"1-185-5"</f>
        <v>1-185-5</v>
      </c>
      <c r="F4223" t="s">
        <v>83</v>
      </c>
      <c r="G4223" t="s">
        <v>84</v>
      </c>
      <c r="H4223" t="s">
        <v>85</v>
      </c>
      <c r="AC4223">
        <v>0</v>
      </c>
      <c r="AD4223">
        <v>1</v>
      </c>
      <c r="AE4223">
        <v>0</v>
      </c>
      <c r="AF4223">
        <v>0</v>
      </c>
      <c r="AG4223">
        <v>1</v>
      </c>
      <c r="AJ4223">
        <v>0</v>
      </c>
      <c r="AK4223">
        <v>1</v>
      </c>
      <c r="AL4223">
        <v>0</v>
      </c>
      <c r="AM4223">
        <v>1</v>
      </c>
      <c r="AN4223">
        <v>0</v>
      </c>
      <c r="AO4223">
        <v>1</v>
      </c>
      <c r="AP4223">
        <v>1</v>
      </c>
      <c r="AQ4223">
        <v>1</v>
      </c>
      <c r="AR4223">
        <v>1</v>
      </c>
      <c r="AS4223">
        <v>1</v>
      </c>
      <c r="AT4223">
        <v>0</v>
      </c>
      <c r="AV4223">
        <v>1</v>
      </c>
      <c r="AW4223">
        <v>1</v>
      </c>
    </row>
    <row r="4224" spans="1:49" x14ac:dyDescent="0.25">
      <c r="A4224" t="str">
        <f>"4220"</f>
        <v>4220</v>
      </c>
      <c r="B4224" t="str">
        <f t="shared" si="242"/>
        <v>1</v>
      </c>
      <c r="C4224" t="str">
        <f t="shared" si="244"/>
        <v>185</v>
      </c>
      <c r="D4224" t="str">
        <f>"23"</f>
        <v>23</v>
      </c>
      <c r="E4224" t="str">
        <f>"1-185-23"</f>
        <v>1-185-23</v>
      </c>
      <c r="F4224" t="s">
        <v>83</v>
      </c>
      <c r="G4224" t="s">
        <v>84</v>
      </c>
      <c r="H4224" t="s">
        <v>85</v>
      </c>
      <c r="AC4224">
        <v>0</v>
      </c>
      <c r="AD4224">
        <v>1</v>
      </c>
      <c r="AE4224">
        <v>0</v>
      </c>
      <c r="AF4224">
        <v>0</v>
      </c>
      <c r="AG4224">
        <v>1</v>
      </c>
      <c r="AJ4224">
        <v>0</v>
      </c>
      <c r="AK4224">
        <v>1</v>
      </c>
      <c r="AL4224">
        <v>1</v>
      </c>
      <c r="AM4224">
        <v>0</v>
      </c>
      <c r="AN4224">
        <v>0</v>
      </c>
      <c r="AO4224">
        <v>1</v>
      </c>
      <c r="AP4224">
        <v>1</v>
      </c>
      <c r="AQ4224">
        <v>1</v>
      </c>
      <c r="AR4224">
        <v>1</v>
      </c>
      <c r="AS4224">
        <v>0</v>
      </c>
      <c r="AT4224">
        <v>1</v>
      </c>
      <c r="AV4224">
        <v>1</v>
      </c>
      <c r="AW4224">
        <v>1</v>
      </c>
    </row>
    <row r="4225" spans="1:49" x14ac:dyDescent="0.25">
      <c r="A4225" t="str">
        <f>"4221"</f>
        <v>4221</v>
      </c>
      <c r="B4225" t="str">
        <f t="shared" si="242"/>
        <v>1</v>
      </c>
      <c r="C4225" t="str">
        <f t="shared" si="244"/>
        <v>185</v>
      </c>
      <c r="D4225" t="str">
        <f>"22"</f>
        <v>22</v>
      </c>
      <c r="E4225" t="str">
        <f>"1-185-22"</f>
        <v>1-185-22</v>
      </c>
      <c r="F4225" t="s">
        <v>83</v>
      </c>
      <c r="G4225" t="s">
        <v>86</v>
      </c>
      <c r="H4225" t="s">
        <v>87</v>
      </c>
      <c r="AC4225">
        <v>1</v>
      </c>
      <c r="AD4225">
        <v>0</v>
      </c>
      <c r="AE4225">
        <v>0</v>
      </c>
      <c r="AF4225">
        <v>0</v>
      </c>
      <c r="AH4225">
        <v>1</v>
      </c>
      <c r="AI4225">
        <v>0</v>
      </c>
      <c r="AJ4225">
        <v>1</v>
      </c>
      <c r="AK4225">
        <v>0</v>
      </c>
      <c r="AL4225">
        <v>0</v>
      </c>
      <c r="AM4225">
        <v>0</v>
      </c>
      <c r="AN4225">
        <v>1</v>
      </c>
      <c r="AO4225">
        <v>1</v>
      </c>
      <c r="AP4225">
        <v>1</v>
      </c>
      <c r="AQ4225">
        <v>1</v>
      </c>
      <c r="AU4225">
        <v>1</v>
      </c>
      <c r="AV4225">
        <v>1</v>
      </c>
      <c r="AW4225">
        <v>1</v>
      </c>
    </row>
    <row r="4226" spans="1:49" x14ac:dyDescent="0.25">
      <c r="A4226" t="str">
        <f>"4222"</f>
        <v>4222</v>
      </c>
      <c r="B4226" t="str">
        <f t="shared" si="242"/>
        <v>1</v>
      </c>
      <c r="C4226" t="str">
        <f t="shared" si="244"/>
        <v>185</v>
      </c>
      <c r="D4226" t="str">
        <f>"16"</f>
        <v>16</v>
      </c>
      <c r="E4226" t="str">
        <f>"1-185-16"</f>
        <v>1-185-16</v>
      </c>
      <c r="F4226" t="s">
        <v>83</v>
      </c>
      <c r="G4226" t="s">
        <v>84</v>
      </c>
      <c r="H4226" t="s">
        <v>85</v>
      </c>
      <c r="AC4226">
        <v>1</v>
      </c>
      <c r="AD4226">
        <v>0</v>
      </c>
      <c r="AE4226">
        <v>0</v>
      </c>
      <c r="AF4226">
        <v>0</v>
      </c>
      <c r="AG4226">
        <v>0</v>
      </c>
      <c r="AJ4226">
        <v>1</v>
      </c>
      <c r="AK4226">
        <v>0</v>
      </c>
      <c r="AL4226">
        <v>0</v>
      </c>
      <c r="AM4226">
        <v>1</v>
      </c>
      <c r="AN4226">
        <v>0</v>
      </c>
      <c r="AO4226">
        <v>0</v>
      </c>
      <c r="AP4226">
        <v>0</v>
      </c>
      <c r="AQ4226">
        <v>0</v>
      </c>
      <c r="AR4226">
        <v>1</v>
      </c>
      <c r="AS4226">
        <v>1</v>
      </c>
      <c r="AT4226">
        <v>0</v>
      </c>
      <c r="AV4226">
        <v>0</v>
      </c>
      <c r="AW4226">
        <v>1</v>
      </c>
    </row>
    <row r="4227" spans="1:49" x14ac:dyDescent="0.25">
      <c r="A4227" t="str">
        <f>"4223"</f>
        <v>4223</v>
      </c>
      <c r="B4227" t="str">
        <f t="shared" si="242"/>
        <v>1</v>
      </c>
      <c r="C4227" t="str">
        <f t="shared" si="244"/>
        <v>185</v>
      </c>
      <c r="D4227" t="str">
        <f>"9"</f>
        <v>9</v>
      </c>
      <c r="E4227" t="str">
        <f>"1-185-9"</f>
        <v>1-185-9</v>
      </c>
      <c r="F4227" t="s">
        <v>83</v>
      </c>
      <c r="G4227" t="s">
        <v>84</v>
      </c>
      <c r="H4227" t="s">
        <v>85</v>
      </c>
      <c r="AC4227">
        <v>0</v>
      </c>
      <c r="AD4227">
        <v>1</v>
      </c>
      <c r="AE4227">
        <v>0</v>
      </c>
      <c r="AF4227">
        <v>0</v>
      </c>
      <c r="AG4227">
        <v>1</v>
      </c>
      <c r="AJ4227">
        <v>0</v>
      </c>
      <c r="AK4227">
        <v>1</v>
      </c>
      <c r="AL4227">
        <v>0</v>
      </c>
      <c r="AM4227">
        <v>1</v>
      </c>
      <c r="AN4227">
        <v>0</v>
      </c>
      <c r="AO4227">
        <v>1</v>
      </c>
      <c r="AP4227">
        <v>1</v>
      </c>
      <c r="AQ4227">
        <v>1</v>
      </c>
      <c r="AR4227">
        <v>1</v>
      </c>
      <c r="AS4227">
        <v>0</v>
      </c>
      <c r="AT4227">
        <v>0</v>
      </c>
      <c r="AV4227">
        <v>1</v>
      </c>
      <c r="AW4227">
        <v>1</v>
      </c>
    </row>
    <row r="4228" spans="1:49" x14ac:dyDescent="0.25">
      <c r="A4228" t="str">
        <f>"4224"</f>
        <v>4224</v>
      </c>
      <c r="B4228" t="str">
        <f t="shared" si="242"/>
        <v>1</v>
      </c>
      <c r="C4228" t="str">
        <f t="shared" si="244"/>
        <v>185</v>
      </c>
      <c r="D4228" t="str">
        <f>"3"</f>
        <v>3</v>
      </c>
      <c r="E4228" t="str">
        <f>"1-185-3"</f>
        <v>1-185-3</v>
      </c>
      <c r="F4228" t="s">
        <v>83</v>
      </c>
      <c r="G4228" t="s">
        <v>84</v>
      </c>
      <c r="H4228" t="s">
        <v>85</v>
      </c>
      <c r="AC4228">
        <v>0</v>
      </c>
      <c r="AD4228">
        <v>1</v>
      </c>
      <c r="AE4228">
        <v>0</v>
      </c>
      <c r="AF4228">
        <v>0</v>
      </c>
      <c r="AG4228">
        <v>1</v>
      </c>
      <c r="AJ4228">
        <v>0</v>
      </c>
      <c r="AK4228">
        <v>1</v>
      </c>
      <c r="AL4228">
        <v>0</v>
      </c>
      <c r="AM4228">
        <v>0</v>
      </c>
      <c r="AN4228">
        <v>1</v>
      </c>
      <c r="AO4228">
        <v>1</v>
      </c>
      <c r="AP4228">
        <v>1</v>
      </c>
      <c r="AQ4228">
        <v>1</v>
      </c>
      <c r="AR4228">
        <v>1</v>
      </c>
      <c r="AS4228">
        <v>1</v>
      </c>
      <c r="AT4228">
        <v>0</v>
      </c>
      <c r="AV4228">
        <v>1</v>
      </c>
      <c r="AW4228">
        <v>1</v>
      </c>
    </row>
    <row r="4229" spans="1:49" x14ac:dyDescent="0.25">
      <c r="A4229" t="str">
        <f>"4225"</f>
        <v>4225</v>
      </c>
      <c r="B4229" t="str">
        <f t="shared" si="242"/>
        <v>1</v>
      </c>
      <c r="C4229" t="str">
        <f t="shared" si="244"/>
        <v>185</v>
      </c>
      <c r="D4229" t="str">
        <f>"17"</f>
        <v>17</v>
      </c>
      <c r="E4229" t="str">
        <f>"1-185-17"</f>
        <v>1-185-17</v>
      </c>
      <c r="F4229" t="s">
        <v>83</v>
      </c>
      <c r="G4229" t="s">
        <v>84</v>
      </c>
      <c r="H4229" t="s">
        <v>85</v>
      </c>
      <c r="AC4229">
        <v>0</v>
      </c>
      <c r="AD4229">
        <v>1</v>
      </c>
      <c r="AE4229">
        <v>0</v>
      </c>
      <c r="AF4229">
        <v>0</v>
      </c>
      <c r="AG4229">
        <v>1</v>
      </c>
      <c r="AJ4229">
        <v>0</v>
      </c>
      <c r="AK4229">
        <v>1</v>
      </c>
      <c r="AL4229">
        <v>0</v>
      </c>
      <c r="AM4229">
        <v>1</v>
      </c>
      <c r="AN4229">
        <v>0</v>
      </c>
      <c r="AO4229">
        <v>1</v>
      </c>
      <c r="AP4229">
        <v>1</v>
      </c>
      <c r="AQ4229">
        <v>1</v>
      </c>
      <c r="AR4229">
        <v>1</v>
      </c>
      <c r="AS4229">
        <v>1</v>
      </c>
      <c r="AT4229">
        <v>0</v>
      </c>
      <c r="AV4229">
        <v>1</v>
      </c>
      <c r="AW4229">
        <v>1</v>
      </c>
    </row>
    <row r="4230" spans="1:49" x14ac:dyDescent="0.25">
      <c r="A4230" t="str">
        <f>"4226"</f>
        <v>4226</v>
      </c>
      <c r="B4230" t="str">
        <f t="shared" si="242"/>
        <v>1</v>
      </c>
      <c r="C4230" t="str">
        <f t="shared" si="244"/>
        <v>185</v>
      </c>
      <c r="D4230" t="str">
        <f>"10"</f>
        <v>10</v>
      </c>
      <c r="E4230" t="str">
        <f>"1-185-10"</f>
        <v>1-185-10</v>
      </c>
      <c r="F4230" t="s">
        <v>83</v>
      </c>
      <c r="G4230" t="s">
        <v>84</v>
      </c>
      <c r="H4230" t="s">
        <v>85</v>
      </c>
      <c r="AC4230">
        <v>1</v>
      </c>
      <c r="AD4230">
        <v>0</v>
      </c>
      <c r="AE4230">
        <v>0</v>
      </c>
      <c r="AF4230">
        <v>0</v>
      </c>
      <c r="AG4230">
        <v>1</v>
      </c>
      <c r="AJ4230">
        <v>1</v>
      </c>
      <c r="AK4230">
        <v>0</v>
      </c>
      <c r="AL4230">
        <v>0</v>
      </c>
      <c r="AM4230">
        <v>1</v>
      </c>
      <c r="AN4230">
        <v>0</v>
      </c>
      <c r="AO4230">
        <v>1</v>
      </c>
      <c r="AP4230">
        <v>1</v>
      </c>
      <c r="AQ4230">
        <v>1</v>
      </c>
      <c r="AR4230">
        <v>1</v>
      </c>
      <c r="AS4230">
        <v>0</v>
      </c>
      <c r="AT4230">
        <v>0</v>
      </c>
      <c r="AV4230">
        <v>1</v>
      </c>
      <c r="AW4230">
        <v>0</v>
      </c>
    </row>
    <row r="4231" spans="1:49" x14ac:dyDescent="0.25">
      <c r="A4231" t="str">
        <f>"4227"</f>
        <v>4227</v>
      </c>
      <c r="B4231" t="str">
        <f t="shared" si="242"/>
        <v>1</v>
      </c>
      <c r="C4231" t="str">
        <f t="shared" si="244"/>
        <v>185</v>
      </c>
      <c r="D4231" t="str">
        <f>"2"</f>
        <v>2</v>
      </c>
      <c r="E4231" t="str">
        <f>"1-185-2"</f>
        <v>1-185-2</v>
      </c>
      <c r="F4231" t="s">
        <v>83</v>
      </c>
      <c r="G4231" t="s">
        <v>84</v>
      </c>
      <c r="H4231" t="s">
        <v>85</v>
      </c>
      <c r="AC4231">
        <v>0</v>
      </c>
      <c r="AD4231">
        <v>1</v>
      </c>
      <c r="AE4231">
        <v>0</v>
      </c>
      <c r="AF4231">
        <v>0</v>
      </c>
      <c r="AG4231">
        <v>1</v>
      </c>
      <c r="AJ4231">
        <v>0</v>
      </c>
      <c r="AK4231">
        <v>1</v>
      </c>
      <c r="AL4231">
        <v>0</v>
      </c>
      <c r="AM4231">
        <v>0</v>
      </c>
      <c r="AN4231">
        <v>1</v>
      </c>
      <c r="AO4231">
        <v>1</v>
      </c>
      <c r="AP4231">
        <v>1</v>
      </c>
      <c r="AQ4231">
        <v>1</v>
      </c>
      <c r="AR4231">
        <v>1</v>
      </c>
      <c r="AS4231">
        <v>1</v>
      </c>
      <c r="AT4231">
        <v>0</v>
      </c>
      <c r="AV4231">
        <v>1</v>
      </c>
      <c r="AW4231">
        <v>1</v>
      </c>
    </row>
    <row r="4232" spans="1:49" x14ac:dyDescent="0.25">
      <c r="A4232" t="str">
        <f>"4228"</f>
        <v>4228</v>
      </c>
      <c r="B4232" t="str">
        <f t="shared" si="242"/>
        <v>1</v>
      </c>
      <c r="C4232" t="str">
        <f t="shared" si="244"/>
        <v>185</v>
      </c>
      <c r="D4232" t="str">
        <f>"18"</f>
        <v>18</v>
      </c>
      <c r="E4232" t="str">
        <f>"1-185-18"</f>
        <v>1-185-18</v>
      </c>
      <c r="F4232" t="s">
        <v>83</v>
      </c>
      <c r="G4232" t="s">
        <v>84</v>
      </c>
      <c r="H4232" t="s">
        <v>85</v>
      </c>
      <c r="AC4232">
        <v>1</v>
      </c>
      <c r="AD4232">
        <v>0</v>
      </c>
      <c r="AE4232">
        <v>0</v>
      </c>
      <c r="AF4232">
        <v>0</v>
      </c>
      <c r="AG4232">
        <v>1</v>
      </c>
      <c r="AJ4232">
        <v>0</v>
      </c>
      <c r="AK4232">
        <v>1</v>
      </c>
      <c r="AL4232">
        <v>0</v>
      </c>
      <c r="AM4232">
        <v>0</v>
      </c>
      <c r="AN4232">
        <v>1</v>
      </c>
      <c r="AO4232">
        <v>1</v>
      </c>
      <c r="AP4232">
        <v>1</v>
      </c>
      <c r="AQ4232">
        <v>1</v>
      </c>
      <c r="AR4232">
        <v>1</v>
      </c>
      <c r="AS4232">
        <v>1</v>
      </c>
      <c r="AT4232">
        <v>0</v>
      </c>
      <c r="AV4232">
        <v>1</v>
      </c>
      <c r="AW4232">
        <v>1</v>
      </c>
    </row>
    <row r="4233" spans="1:49" x14ac:dyDescent="0.25">
      <c r="A4233" t="str">
        <f>"4229"</f>
        <v>4229</v>
      </c>
      <c r="B4233" t="str">
        <f t="shared" si="242"/>
        <v>1</v>
      </c>
      <c r="C4233" t="str">
        <f t="shared" si="244"/>
        <v>185</v>
      </c>
      <c r="D4233" t="str">
        <f>"11"</f>
        <v>11</v>
      </c>
      <c r="E4233" t="str">
        <f>"1-185-11"</f>
        <v>1-185-11</v>
      </c>
      <c r="F4233" t="s">
        <v>83</v>
      </c>
      <c r="G4233" t="s">
        <v>84</v>
      </c>
      <c r="H4233" t="s">
        <v>85</v>
      </c>
      <c r="AC4233">
        <v>1</v>
      </c>
      <c r="AD4233">
        <v>0</v>
      </c>
      <c r="AE4233">
        <v>0</v>
      </c>
      <c r="AF4233">
        <v>0</v>
      </c>
      <c r="AG4233">
        <v>1</v>
      </c>
      <c r="AJ4233">
        <v>1</v>
      </c>
      <c r="AK4233">
        <v>0</v>
      </c>
      <c r="AL4233">
        <v>1</v>
      </c>
      <c r="AM4233">
        <v>0</v>
      </c>
      <c r="AN4233">
        <v>0</v>
      </c>
      <c r="AO4233">
        <v>1</v>
      </c>
      <c r="AP4233">
        <v>1</v>
      </c>
      <c r="AQ4233">
        <v>1</v>
      </c>
      <c r="AR4233">
        <v>1</v>
      </c>
      <c r="AS4233">
        <v>1</v>
      </c>
      <c r="AT4233">
        <v>0</v>
      </c>
      <c r="AV4233">
        <v>1</v>
      </c>
      <c r="AW4233">
        <v>1</v>
      </c>
    </row>
    <row r="4234" spans="1:49" x14ac:dyDescent="0.25">
      <c r="A4234" t="str">
        <f>"4230"</f>
        <v>4230</v>
      </c>
      <c r="B4234" t="str">
        <f t="shared" si="242"/>
        <v>1</v>
      </c>
      <c r="C4234" t="str">
        <f t="shared" si="244"/>
        <v>185</v>
      </c>
      <c r="D4234" t="str">
        <f>"4"</f>
        <v>4</v>
      </c>
      <c r="E4234" t="str">
        <f>"1-185-4"</f>
        <v>1-185-4</v>
      </c>
      <c r="F4234" t="s">
        <v>83</v>
      </c>
      <c r="G4234" t="s">
        <v>84</v>
      </c>
      <c r="H4234" t="s">
        <v>85</v>
      </c>
      <c r="AC4234">
        <v>0</v>
      </c>
      <c r="AD4234">
        <v>1</v>
      </c>
      <c r="AE4234">
        <v>0</v>
      </c>
      <c r="AF4234">
        <v>0</v>
      </c>
      <c r="AG4234">
        <v>1</v>
      </c>
      <c r="AJ4234">
        <v>0</v>
      </c>
      <c r="AK4234">
        <v>1</v>
      </c>
      <c r="AL4234">
        <v>0</v>
      </c>
      <c r="AM4234">
        <v>0</v>
      </c>
      <c r="AN4234">
        <v>1</v>
      </c>
      <c r="AO4234">
        <v>1</v>
      </c>
      <c r="AP4234">
        <v>1</v>
      </c>
      <c r="AQ4234">
        <v>1</v>
      </c>
      <c r="AR4234">
        <v>1</v>
      </c>
      <c r="AS4234">
        <v>0</v>
      </c>
      <c r="AT4234">
        <v>1</v>
      </c>
      <c r="AV4234">
        <v>1</v>
      </c>
      <c r="AW4234">
        <v>1</v>
      </c>
    </row>
    <row r="4235" spans="1:49" x14ac:dyDescent="0.25">
      <c r="A4235" t="str">
        <f>"4231"</f>
        <v>4231</v>
      </c>
      <c r="B4235" t="str">
        <f t="shared" si="242"/>
        <v>1</v>
      </c>
      <c r="C4235" t="str">
        <f t="shared" si="244"/>
        <v>185</v>
      </c>
      <c r="D4235" t="str">
        <f>"20"</f>
        <v>20</v>
      </c>
      <c r="E4235" t="str">
        <f>"1-185-20"</f>
        <v>1-185-20</v>
      </c>
      <c r="F4235" t="s">
        <v>83</v>
      </c>
      <c r="G4235" t="s">
        <v>84</v>
      </c>
      <c r="H4235" t="s">
        <v>85</v>
      </c>
      <c r="AC4235">
        <v>0</v>
      </c>
      <c r="AD4235">
        <v>1</v>
      </c>
      <c r="AE4235">
        <v>0</v>
      </c>
      <c r="AF4235">
        <v>0</v>
      </c>
      <c r="AG4235">
        <v>1</v>
      </c>
      <c r="AJ4235">
        <v>1</v>
      </c>
      <c r="AK4235">
        <v>0</v>
      </c>
      <c r="AL4235">
        <v>0</v>
      </c>
      <c r="AM4235">
        <v>1</v>
      </c>
      <c r="AN4235">
        <v>0</v>
      </c>
      <c r="AO4235">
        <v>1</v>
      </c>
      <c r="AP4235">
        <v>1</v>
      </c>
      <c r="AQ4235">
        <v>1</v>
      </c>
      <c r="AR4235">
        <v>0</v>
      </c>
      <c r="AS4235">
        <v>0</v>
      </c>
      <c r="AT4235">
        <v>1</v>
      </c>
      <c r="AV4235">
        <v>1</v>
      </c>
      <c r="AW4235">
        <v>1</v>
      </c>
    </row>
    <row r="4236" spans="1:49" x14ac:dyDescent="0.25">
      <c r="A4236" t="str">
        <f>"4232"</f>
        <v>4232</v>
      </c>
      <c r="B4236" t="str">
        <f t="shared" si="242"/>
        <v>1</v>
      </c>
      <c r="C4236" t="str">
        <f t="shared" si="244"/>
        <v>185</v>
      </c>
      <c r="D4236" t="str">
        <f>"12"</f>
        <v>12</v>
      </c>
      <c r="E4236" t="str">
        <f>"1-185-12"</f>
        <v>1-185-12</v>
      </c>
      <c r="F4236" t="s">
        <v>83</v>
      </c>
      <c r="G4236" t="s">
        <v>84</v>
      </c>
      <c r="H4236" t="s">
        <v>85</v>
      </c>
      <c r="AC4236">
        <v>1</v>
      </c>
      <c r="AD4236">
        <v>0</v>
      </c>
      <c r="AE4236">
        <v>0</v>
      </c>
      <c r="AF4236">
        <v>0</v>
      </c>
      <c r="AG4236">
        <v>0</v>
      </c>
      <c r="AJ4236">
        <v>1</v>
      </c>
      <c r="AK4236">
        <v>0</v>
      </c>
      <c r="AL4236">
        <v>0</v>
      </c>
      <c r="AM4236">
        <v>0</v>
      </c>
      <c r="AN4236">
        <v>1</v>
      </c>
      <c r="AO4236">
        <v>0</v>
      </c>
      <c r="AP4236">
        <v>0</v>
      </c>
      <c r="AQ4236">
        <v>0</v>
      </c>
      <c r="AR4236">
        <v>0</v>
      </c>
      <c r="AS4236">
        <v>0</v>
      </c>
      <c r="AT4236">
        <v>1</v>
      </c>
      <c r="AV4236">
        <v>0</v>
      </c>
      <c r="AW4236">
        <v>0</v>
      </c>
    </row>
    <row r="4237" spans="1:49" x14ac:dyDescent="0.25">
      <c r="A4237" t="str">
        <f>"4233"</f>
        <v>4233</v>
      </c>
      <c r="B4237" t="str">
        <f t="shared" si="242"/>
        <v>1</v>
      </c>
      <c r="C4237" t="str">
        <f t="shared" si="244"/>
        <v>185</v>
      </c>
      <c r="D4237" t="str">
        <f>"21"</f>
        <v>21</v>
      </c>
      <c r="E4237" t="str">
        <f>"1-185-21"</f>
        <v>1-185-21</v>
      </c>
      <c r="F4237" t="s">
        <v>83</v>
      </c>
      <c r="G4237" t="s">
        <v>84</v>
      </c>
      <c r="H4237" t="s">
        <v>85</v>
      </c>
      <c r="AC4237">
        <v>1</v>
      </c>
      <c r="AD4237">
        <v>0</v>
      </c>
      <c r="AE4237">
        <v>0</v>
      </c>
      <c r="AF4237">
        <v>0</v>
      </c>
      <c r="AG4237">
        <v>1</v>
      </c>
      <c r="AJ4237">
        <v>1</v>
      </c>
      <c r="AK4237">
        <v>0</v>
      </c>
      <c r="AL4237">
        <v>0</v>
      </c>
      <c r="AM4237">
        <v>1</v>
      </c>
      <c r="AN4237">
        <v>0</v>
      </c>
      <c r="AO4237">
        <v>1</v>
      </c>
      <c r="AP4237">
        <v>1</v>
      </c>
      <c r="AQ4237">
        <v>1</v>
      </c>
      <c r="AR4237">
        <v>1</v>
      </c>
      <c r="AS4237">
        <v>0</v>
      </c>
      <c r="AT4237">
        <v>1</v>
      </c>
      <c r="AV4237">
        <v>1</v>
      </c>
      <c r="AW4237">
        <v>1</v>
      </c>
    </row>
    <row r="4238" spans="1:49" x14ac:dyDescent="0.25">
      <c r="A4238" t="str">
        <f>"4234"</f>
        <v>4234</v>
      </c>
      <c r="B4238" t="str">
        <f t="shared" si="242"/>
        <v>1</v>
      </c>
      <c r="C4238" t="str">
        <f t="shared" si="244"/>
        <v>185</v>
      </c>
      <c r="D4238" t="str">
        <f>"13"</f>
        <v>13</v>
      </c>
      <c r="E4238" t="str">
        <f>"1-185-13"</f>
        <v>1-185-13</v>
      </c>
      <c r="F4238" t="s">
        <v>83</v>
      </c>
      <c r="G4238" t="s">
        <v>84</v>
      </c>
      <c r="H4238" t="s">
        <v>85</v>
      </c>
      <c r="AC4238">
        <v>0</v>
      </c>
      <c r="AD4238">
        <v>1</v>
      </c>
      <c r="AE4238">
        <v>0</v>
      </c>
      <c r="AF4238">
        <v>0</v>
      </c>
      <c r="AG4238">
        <v>1</v>
      </c>
      <c r="AJ4238">
        <v>0</v>
      </c>
      <c r="AK4238">
        <v>1</v>
      </c>
      <c r="AL4238">
        <v>0</v>
      </c>
      <c r="AM4238">
        <v>1</v>
      </c>
      <c r="AN4238">
        <v>0</v>
      </c>
      <c r="AO4238">
        <v>1</v>
      </c>
      <c r="AP4238">
        <v>1</v>
      </c>
      <c r="AQ4238">
        <v>1</v>
      </c>
      <c r="AR4238">
        <v>1</v>
      </c>
      <c r="AS4238">
        <v>1</v>
      </c>
      <c r="AT4238">
        <v>0</v>
      </c>
      <c r="AV4238">
        <v>1</v>
      </c>
      <c r="AW4238">
        <v>1</v>
      </c>
    </row>
    <row r="4239" spans="1:49" x14ac:dyDescent="0.25">
      <c r="A4239" t="str">
        <f>"4235"</f>
        <v>4235</v>
      </c>
      <c r="B4239" t="str">
        <f t="shared" si="242"/>
        <v>1</v>
      </c>
      <c r="C4239" t="str">
        <f t="shared" si="244"/>
        <v>185</v>
      </c>
      <c r="D4239" t="str">
        <f>"7"</f>
        <v>7</v>
      </c>
      <c r="E4239" t="str">
        <f>"1-185-7"</f>
        <v>1-185-7</v>
      </c>
      <c r="F4239" t="s">
        <v>83</v>
      </c>
      <c r="G4239" t="s">
        <v>84</v>
      </c>
      <c r="H4239" t="s">
        <v>85</v>
      </c>
      <c r="AC4239">
        <v>0</v>
      </c>
      <c r="AD4239">
        <v>1</v>
      </c>
      <c r="AE4239">
        <v>0</v>
      </c>
      <c r="AF4239">
        <v>0</v>
      </c>
      <c r="AG4239">
        <v>1</v>
      </c>
      <c r="AJ4239">
        <v>0</v>
      </c>
      <c r="AK4239">
        <v>1</v>
      </c>
      <c r="AL4239">
        <v>0</v>
      </c>
      <c r="AM4239">
        <v>0</v>
      </c>
      <c r="AN4239">
        <v>1</v>
      </c>
      <c r="AO4239">
        <v>1</v>
      </c>
      <c r="AP4239">
        <v>1</v>
      </c>
      <c r="AQ4239">
        <v>1</v>
      </c>
      <c r="AR4239">
        <v>1</v>
      </c>
      <c r="AS4239">
        <v>0</v>
      </c>
      <c r="AT4239">
        <v>1</v>
      </c>
      <c r="AV4239">
        <v>1</v>
      </c>
      <c r="AW4239">
        <v>1</v>
      </c>
    </row>
    <row r="4240" spans="1:49" x14ac:dyDescent="0.25">
      <c r="A4240" t="str">
        <f>"4236"</f>
        <v>4236</v>
      </c>
      <c r="B4240" t="str">
        <f t="shared" si="242"/>
        <v>1</v>
      </c>
      <c r="C4240" t="str">
        <f t="shared" si="244"/>
        <v>185</v>
      </c>
      <c r="D4240" t="str">
        <f>"19"</f>
        <v>19</v>
      </c>
      <c r="E4240" t="str">
        <f>"1-185-19"</f>
        <v>1-185-19</v>
      </c>
      <c r="F4240" t="s">
        <v>83</v>
      </c>
      <c r="G4240" t="s">
        <v>84</v>
      </c>
      <c r="H4240" t="s">
        <v>85</v>
      </c>
      <c r="AC4240">
        <v>0</v>
      </c>
      <c r="AD4240">
        <v>1</v>
      </c>
      <c r="AE4240">
        <v>0</v>
      </c>
      <c r="AF4240">
        <v>0</v>
      </c>
      <c r="AG4240">
        <v>1</v>
      </c>
      <c r="AJ4240">
        <v>0</v>
      </c>
      <c r="AK4240">
        <v>1</v>
      </c>
      <c r="AL4240">
        <v>0</v>
      </c>
      <c r="AM4240">
        <v>0</v>
      </c>
      <c r="AN4240">
        <v>1</v>
      </c>
      <c r="AO4240">
        <v>1</v>
      </c>
      <c r="AP4240">
        <v>1</v>
      </c>
      <c r="AQ4240">
        <v>1</v>
      </c>
      <c r="AR4240">
        <v>1</v>
      </c>
      <c r="AS4240">
        <v>0</v>
      </c>
      <c r="AT4240">
        <v>0</v>
      </c>
      <c r="AV4240">
        <v>1</v>
      </c>
      <c r="AW4240">
        <v>1</v>
      </c>
    </row>
    <row r="4241" spans="1:49" x14ac:dyDescent="0.25">
      <c r="A4241" t="str">
        <f>"4237"</f>
        <v>4237</v>
      </c>
      <c r="B4241" t="str">
        <f t="shared" si="242"/>
        <v>1</v>
      </c>
      <c r="C4241" t="str">
        <f t="shared" si="244"/>
        <v>185</v>
      </c>
      <c r="D4241" t="str">
        <f>"14"</f>
        <v>14</v>
      </c>
      <c r="E4241" t="str">
        <f>"1-185-14"</f>
        <v>1-185-14</v>
      </c>
      <c r="F4241" t="s">
        <v>83</v>
      </c>
      <c r="G4241" t="s">
        <v>84</v>
      </c>
      <c r="H4241" t="s">
        <v>85</v>
      </c>
      <c r="AC4241">
        <v>0</v>
      </c>
      <c r="AD4241">
        <v>0</v>
      </c>
      <c r="AE4241">
        <v>0</v>
      </c>
      <c r="AF4241">
        <v>0</v>
      </c>
      <c r="AG4241">
        <v>0</v>
      </c>
      <c r="AJ4241">
        <v>0</v>
      </c>
      <c r="AK4241">
        <v>1</v>
      </c>
      <c r="AL4241">
        <v>0</v>
      </c>
      <c r="AM4241">
        <v>0</v>
      </c>
      <c r="AN4241">
        <v>0</v>
      </c>
      <c r="AO4241">
        <v>0</v>
      </c>
      <c r="AP4241">
        <v>0</v>
      </c>
      <c r="AQ4241">
        <v>0</v>
      </c>
      <c r="AR4241">
        <v>1</v>
      </c>
      <c r="AS4241">
        <v>0</v>
      </c>
      <c r="AT4241">
        <v>0</v>
      </c>
      <c r="AV4241">
        <v>0</v>
      </c>
      <c r="AW4241">
        <v>1</v>
      </c>
    </row>
    <row r="4242" spans="1:49" x14ac:dyDescent="0.25">
      <c r="A4242" t="str">
        <f>"4238"</f>
        <v>4238</v>
      </c>
      <c r="B4242" t="str">
        <f t="shared" si="242"/>
        <v>1</v>
      </c>
      <c r="C4242" t="str">
        <f t="shared" si="244"/>
        <v>185</v>
      </c>
      <c r="D4242" t="str">
        <f>"6"</f>
        <v>6</v>
      </c>
      <c r="E4242" t="str">
        <f>"1-185-6"</f>
        <v>1-185-6</v>
      </c>
      <c r="F4242" t="s">
        <v>83</v>
      </c>
      <c r="G4242" t="s">
        <v>84</v>
      </c>
      <c r="H4242" t="s">
        <v>85</v>
      </c>
      <c r="AC4242">
        <v>0</v>
      </c>
      <c r="AD4242">
        <v>1</v>
      </c>
      <c r="AE4242">
        <v>0</v>
      </c>
      <c r="AF4242">
        <v>0</v>
      </c>
      <c r="AG4242">
        <v>1</v>
      </c>
      <c r="AJ4242">
        <v>0</v>
      </c>
      <c r="AK4242">
        <v>1</v>
      </c>
      <c r="AL4242">
        <v>0</v>
      </c>
      <c r="AM4242">
        <v>0</v>
      </c>
      <c r="AN4242">
        <v>1</v>
      </c>
      <c r="AO4242">
        <v>1</v>
      </c>
      <c r="AP4242">
        <v>1</v>
      </c>
      <c r="AQ4242">
        <v>1</v>
      </c>
      <c r="AR4242">
        <v>1</v>
      </c>
      <c r="AS4242">
        <v>0</v>
      </c>
      <c r="AT4242">
        <v>1</v>
      </c>
      <c r="AV4242">
        <v>1</v>
      </c>
      <c r="AW4242">
        <v>1</v>
      </c>
    </row>
    <row r="4243" spans="1:49" x14ac:dyDescent="0.25">
      <c r="A4243" t="str">
        <f>"4239"</f>
        <v>4239</v>
      </c>
      <c r="B4243" t="str">
        <f t="shared" si="242"/>
        <v>1</v>
      </c>
      <c r="C4243" t="str">
        <f t="shared" si="244"/>
        <v>185</v>
      </c>
      <c r="D4243" t="str">
        <f>"1"</f>
        <v>1</v>
      </c>
      <c r="E4243" t="str">
        <f>"1-185-1"</f>
        <v>1-185-1</v>
      </c>
      <c r="F4243" t="s">
        <v>83</v>
      </c>
      <c r="G4243" t="s">
        <v>84</v>
      </c>
      <c r="H4243" t="s">
        <v>85</v>
      </c>
      <c r="AC4243">
        <v>0</v>
      </c>
      <c r="AD4243">
        <v>1</v>
      </c>
      <c r="AE4243">
        <v>0</v>
      </c>
      <c r="AF4243">
        <v>0</v>
      </c>
      <c r="AG4243">
        <v>1</v>
      </c>
      <c r="AJ4243">
        <v>0</v>
      </c>
      <c r="AK4243">
        <v>1</v>
      </c>
      <c r="AL4243">
        <v>0</v>
      </c>
      <c r="AM4243">
        <v>0</v>
      </c>
      <c r="AN4243">
        <v>1</v>
      </c>
      <c r="AO4243">
        <v>1</v>
      </c>
      <c r="AP4243">
        <v>1</v>
      </c>
      <c r="AQ4243">
        <v>1</v>
      </c>
      <c r="AR4243">
        <v>1</v>
      </c>
      <c r="AS4243">
        <v>0</v>
      </c>
      <c r="AT4243">
        <v>1</v>
      </c>
      <c r="AV4243">
        <v>1</v>
      </c>
      <c r="AW4243">
        <v>1</v>
      </c>
    </row>
    <row r="4244" spans="1:49" x14ac:dyDescent="0.25">
      <c r="A4244" t="str">
        <f>"4240"</f>
        <v>4240</v>
      </c>
      <c r="B4244" t="str">
        <f t="shared" si="242"/>
        <v>1</v>
      </c>
      <c r="C4244" t="str">
        <f t="shared" ref="C4244:C4264" si="245">"186"</f>
        <v>186</v>
      </c>
      <c r="D4244" t="str">
        <f>"15"</f>
        <v>15</v>
      </c>
      <c r="E4244" t="str">
        <f>"1-186-15"</f>
        <v>1-186-15</v>
      </c>
      <c r="F4244" t="s">
        <v>83</v>
      </c>
      <c r="G4244" t="s">
        <v>84</v>
      </c>
      <c r="H4244" t="s">
        <v>92</v>
      </c>
      <c r="I4244">
        <v>1</v>
      </c>
      <c r="J4244">
        <v>1</v>
      </c>
      <c r="N4244">
        <v>1</v>
      </c>
      <c r="O4244">
        <v>1</v>
      </c>
      <c r="P4244">
        <v>1</v>
      </c>
      <c r="Q4244">
        <v>1</v>
      </c>
      <c r="R4244">
        <v>0</v>
      </c>
      <c r="S4244">
        <v>1</v>
      </c>
      <c r="T4244">
        <v>1</v>
      </c>
      <c r="W4244">
        <v>1</v>
      </c>
      <c r="X4244">
        <v>1</v>
      </c>
      <c r="Y4244">
        <v>1</v>
      </c>
      <c r="Z4244">
        <v>0</v>
      </c>
      <c r="AA4244">
        <v>1</v>
      </c>
      <c r="AB4244">
        <v>1</v>
      </c>
    </row>
    <row r="4245" spans="1:49" x14ac:dyDescent="0.25">
      <c r="A4245" t="str">
        <f>"4241"</f>
        <v>4241</v>
      </c>
      <c r="B4245" t="str">
        <f t="shared" si="242"/>
        <v>1</v>
      </c>
      <c r="C4245" t="str">
        <f t="shared" si="245"/>
        <v>186</v>
      </c>
      <c r="D4245" t="str">
        <f>"8"</f>
        <v>8</v>
      </c>
      <c r="E4245" t="str">
        <f>"1-186-8"</f>
        <v>1-186-8</v>
      </c>
      <c r="F4245" t="s">
        <v>83</v>
      </c>
      <c r="G4245" t="s">
        <v>84</v>
      </c>
      <c r="H4245" t="s">
        <v>92</v>
      </c>
      <c r="I4245">
        <v>1</v>
      </c>
      <c r="J4245">
        <v>1</v>
      </c>
      <c r="N4245">
        <v>1</v>
      </c>
      <c r="O4245">
        <v>1</v>
      </c>
      <c r="P4245">
        <v>1</v>
      </c>
      <c r="Q4245">
        <v>1</v>
      </c>
      <c r="R4245">
        <v>1</v>
      </c>
      <c r="S4245">
        <v>1</v>
      </c>
      <c r="T4245">
        <v>1</v>
      </c>
      <c r="W4245">
        <v>1</v>
      </c>
      <c r="X4245">
        <v>1</v>
      </c>
      <c r="Y4245">
        <v>1</v>
      </c>
      <c r="Z4245">
        <v>1</v>
      </c>
      <c r="AA4245">
        <v>1</v>
      </c>
      <c r="AB4245">
        <v>1</v>
      </c>
    </row>
    <row r="4246" spans="1:49" x14ac:dyDescent="0.25">
      <c r="A4246" t="str">
        <f>"4242"</f>
        <v>4242</v>
      </c>
      <c r="B4246" t="str">
        <f t="shared" si="242"/>
        <v>1</v>
      </c>
      <c r="C4246" t="str">
        <f t="shared" si="245"/>
        <v>186</v>
      </c>
      <c r="D4246" t="str">
        <f>"4"</f>
        <v>4</v>
      </c>
      <c r="E4246" t="str">
        <f>"1-186-4"</f>
        <v>1-186-4</v>
      </c>
      <c r="F4246" t="s">
        <v>83</v>
      </c>
      <c r="G4246" t="s">
        <v>84</v>
      </c>
      <c r="H4246" t="s">
        <v>85</v>
      </c>
      <c r="AC4246">
        <v>0</v>
      </c>
      <c r="AD4246">
        <v>1</v>
      </c>
      <c r="AE4246">
        <v>0</v>
      </c>
      <c r="AF4246">
        <v>0</v>
      </c>
      <c r="AG4246">
        <v>0</v>
      </c>
      <c r="AJ4246">
        <v>0</v>
      </c>
      <c r="AK4246">
        <v>1</v>
      </c>
      <c r="AL4246">
        <v>0</v>
      </c>
      <c r="AM4246">
        <v>1</v>
      </c>
      <c r="AN4246">
        <v>0</v>
      </c>
      <c r="AO4246">
        <v>0</v>
      </c>
      <c r="AP4246">
        <v>0</v>
      </c>
      <c r="AQ4246">
        <v>0</v>
      </c>
      <c r="AR4246">
        <v>0</v>
      </c>
      <c r="AS4246">
        <v>0</v>
      </c>
      <c r="AT4246">
        <v>1</v>
      </c>
      <c r="AV4246">
        <v>0</v>
      </c>
      <c r="AW4246">
        <v>0</v>
      </c>
    </row>
    <row r="4247" spans="1:49" x14ac:dyDescent="0.25">
      <c r="A4247" t="str">
        <f>"4243"</f>
        <v>4243</v>
      </c>
      <c r="B4247" t="str">
        <f t="shared" si="242"/>
        <v>1</v>
      </c>
      <c r="C4247" t="str">
        <f t="shared" si="245"/>
        <v>186</v>
      </c>
      <c r="D4247" t="str">
        <f>"16"</f>
        <v>16</v>
      </c>
      <c r="E4247" t="str">
        <f>"1-186-16"</f>
        <v>1-186-16</v>
      </c>
      <c r="F4247" t="s">
        <v>83</v>
      </c>
      <c r="G4247" t="s">
        <v>84</v>
      </c>
      <c r="H4247" t="s">
        <v>85</v>
      </c>
      <c r="AC4247">
        <v>0</v>
      </c>
      <c r="AD4247">
        <v>1</v>
      </c>
      <c r="AE4247">
        <v>0</v>
      </c>
      <c r="AF4247">
        <v>0</v>
      </c>
      <c r="AG4247">
        <v>1</v>
      </c>
      <c r="AJ4247">
        <v>0</v>
      </c>
      <c r="AK4247">
        <v>1</v>
      </c>
      <c r="AL4247">
        <v>0</v>
      </c>
      <c r="AM4247">
        <v>1</v>
      </c>
      <c r="AN4247">
        <v>0</v>
      </c>
      <c r="AO4247">
        <v>0</v>
      </c>
      <c r="AP4247">
        <v>0</v>
      </c>
      <c r="AQ4247">
        <v>0</v>
      </c>
      <c r="AR4247">
        <v>0</v>
      </c>
      <c r="AS4247">
        <v>1</v>
      </c>
      <c r="AT4247">
        <v>0</v>
      </c>
      <c r="AV4247">
        <v>1</v>
      </c>
      <c r="AW4247">
        <v>1</v>
      </c>
    </row>
    <row r="4248" spans="1:49" x14ac:dyDescent="0.25">
      <c r="A4248" t="str">
        <f>"4244"</f>
        <v>4244</v>
      </c>
      <c r="B4248" t="str">
        <f t="shared" si="242"/>
        <v>1</v>
      </c>
      <c r="C4248" t="str">
        <f t="shared" si="245"/>
        <v>186</v>
      </c>
      <c r="D4248" t="str">
        <f>"9"</f>
        <v>9</v>
      </c>
      <c r="E4248" t="str">
        <f>"1-186-9"</f>
        <v>1-186-9</v>
      </c>
      <c r="F4248" t="s">
        <v>83</v>
      </c>
      <c r="G4248" t="s">
        <v>84</v>
      </c>
      <c r="H4248" t="s">
        <v>85</v>
      </c>
      <c r="AC4248">
        <v>0</v>
      </c>
      <c r="AD4248">
        <v>1</v>
      </c>
      <c r="AE4248">
        <v>0</v>
      </c>
      <c r="AF4248">
        <v>0</v>
      </c>
      <c r="AG4248">
        <v>1</v>
      </c>
      <c r="AJ4248">
        <v>0</v>
      </c>
      <c r="AK4248">
        <v>1</v>
      </c>
      <c r="AL4248">
        <v>0</v>
      </c>
      <c r="AM4248">
        <v>0</v>
      </c>
      <c r="AN4248">
        <v>1</v>
      </c>
      <c r="AO4248">
        <v>1</v>
      </c>
      <c r="AP4248">
        <v>1</v>
      </c>
      <c r="AQ4248">
        <v>1</v>
      </c>
      <c r="AR4248">
        <v>1</v>
      </c>
      <c r="AS4248">
        <v>1</v>
      </c>
      <c r="AT4248">
        <v>0</v>
      </c>
      <c r="AV4248">
        <v>1</v>
      </c>
      <c r="AW4248">
        <v>1</v>
      </c>
    </row>
    <row r="4249" spans="1:49" x14ac:dyDescent="0.25">
      <c r="A4249" t="str">
        <f>"4245"</f>
        <v>4245</v>
      </c>
      <c r="B4249" t="str">
        <f t="shared" si="242"/>
        <v>1</v>
      </c>
      <c r="C4249" t="str">
        <f t="shared" si="245"/>
        <v>186</v>
      </c>
      <c r="D4249" t="str">
        <f>"3"</f>
        <v>3</v>
      </c>
      <c r="E4249" t="str">
        <f>"1-186-3"</f>
        <v>1-186-3</v>
      </c>
      <c r="F4249" t="s">
        <v>83</v>
      </c>
      <c r="G4249" t="s">
        <v>84</v>
      </c>
      <c r="H4249" t="s">
        <v>85</v>
      </c>
      <c r="AC4249">
        <v>0</v>
      </c>
      <c r="AD4249">
        <v>1</v>
      </c>
      <c r="AE4249">
        <v>0</v>
      </c>
      <c r="AF4249">
        <v>0</v>
      </c>
      <c r="AG4249">
        <v>0</v>
      </c>
      <c r="AJ4249">
        <v>0</v>
      </c>
      <c r="AK4249">
        <v>1</v>
      </c>
      <c r="AL4249">
        <v>0</v>
      </c>
      <c r="AM4249">
        <v>0</v>
      </c>
      <c r="AN4249">
        <v>1</v>
      </c>
      <c r="AO4249">
        <v>0</v>
      </c>
      <c r="AP4249">
        <v>0</v>
      </c>
      <c r="AQ4249">
        <v>0</v>
      </c>
      <c r="AR4249">
        <v>0</v>
      </c>
      <c r="AS4249">
        <v>0</v>
      </c>
      <c r="AT4249">
        <v>1</v>
      </c>
      <c r="AV4249">
        <v>0</v>
      </c>
      <c r="AW4249">
        <v>0</v>
      </c>
    </row>
    <row r="4250" spans="1:49" x14ac:dyDescent="0.25">
      <c r="A4250" t="str">
        <f>"4246"</f>
        <v>4246</v>
      </c>
      <c r="B4250" t="str">
        <f t="shared" si="242"/>
        <v>1</v>
      </c>
      <c r="C4250" t="str">
        <f t="shared" si="245"/>
        <v>186</v>
      </c>
      <c r="D4250" t="str">
        <f>"18"</f>
        <v>18</v>
      </c>
      <c r="E4250" t="str">
        <f>"1-186-18"</f>
        <v>1-186-18</v>
      </c>
      <c r="F4250" t="s">
        <v>83</v>
      </c>
      <c r="G4250" t="s">
        <v>84</v>
      </c>
      <c r="H4250" t="s">
        <v>85</v>
      </c>
      <c r="AC4250">
        <v>1</v>
      </c>
      <c r="AD4250">
        <v>0</v>
      </c>
      <c r="AE4250">
        <v>0</v>
      </c>
      <c r="AF4250">
        <v>0</v>
      </c>
      <c r="AG4250">
        <v>0</v>
      </c>
      <c r="AJ4250">
        <v>0</v>
      </c>
      <c r="AK4250">
        <v>1</v>
      </c>
      <c r="AL4250">
        <v>0</v>
      </c>
      <c r="AM4250">
        <v>1</v>
      </c>
      <c r="AN4250">
        <v>0</v>
      </c>
      <c r="AO4250">
        <v>0</v>
      </c>
      <c r="AP4250">
        <v>0</v>
      </c>
      <c r="AQ4250">
        <v>0</v>
      </c>
      <c r="AR4250">
        <v>0</v>
      </c>
      <c r="AS4250">
        <v>1</v>
      </c>
      <c r="AT4250">
        <v>0</v>
      </c>
      <c r="AV4250">
        <v>0</v>
      </c>
      <c r="AW4250">
        <v>0</v>
      </c>
    </row>
    <row r="4251" spans="1:49" x14ac:dyDescent="0.25">
      <c r="A4251" t="str">
        <f>"4247"</f>
        <v>4247</v>
      </c>
      <c r="B4251" t="str">
        <f t="shared" si="242"/>
        <v>1</v>
      </c>
      <c r="C4251" t="str">
        <f t="shared" si="245"/>
        <v>186</v>
      </c>
      <c r="D4251" t="str">
        <f>"10"</f>
        <v>10</v>
      </c>
      <c r="E4251" t="str">
        <f>"1-186-10"</f>
        <v>1-186-10</v>
      </c>
      <c r="F4251" t="s">
        <v>83</v>
      </c>
      <c r="G4251" t="s">
        <v>84</v>
      </c>
      <c r="H4251" t="s">
        <v>85</v>
      </c>
      <c r="AC4251">
        <v>0</v>
      </c>
      <c r="AD4251">
        <v>1</v>
      </c>
      <c r="AE4251">
        <v>0</v>
      </c>
      <c r="AF4251">
        <v>0</v>
      </c>
      <c r="AG4251">
        <v>1</v>
      </c>
      <c r="AJ4251">
        <v>0</v>
      </c>
      <c r="AK4251">
        <v>1</v>
      </c>
      <c r="AL4251">
        <v>0</v>
      </c>
      <c r="AM4251">
        <v>0</v>
      </c>
      <c r="AN4251">
        <v>1</v>
      </c>
      <c r="AO4251">
        <v>1</v>
      </c>
      <c r="AP4251">
        <v>1</v>
      </c>
      <c r="AQ4251">
        <v>1</v>
      </c>
      <c r="AR4251">
        <v>1</v>
      </c>
      <c r="AS4251">
        <v>1</v>
      </c>
      <c r="AT4251">
        <v>0</v>
      </c>
      <c r="AV4251">
        <v>1</v>
      </c>
      <c r="AW4251">
        <v>1</v>
      </c>
    </row>
    <row r="4252" spans="1:49" x14ac:dyDescent="0.25">
      <c r="A4252" t="str">
        <f>"4248"</f>
        <v>4248</v>
      </c>
      <c r="B4252" t="str">
        <f t="shared" si="242"/>
        <v>1</v>
      </c>
      <c r="C4252" t="str">
        <f t="shared" si="245"/>
        <v>186</v>
      </c>
      <c r="D4252" t="str">
        <f>"2"</f>
        <v>2</v>
      </c>
      <c r="E4252" t="str">
        <f>"1-186-2"</f>
        <v>1-186-2</v>
      </c>
      <c r="F4252" t="s">
        <v>83</v>
      </c>
      <c r="G4252" t="s">
        <v>84</v>
      </c>
      <c r="H4252" t="s">
        <v>85</v>
      </c>
      <c r="AC4252">
        <v>0</v>
      </c>
      <c r="AD4252">
        <v>1</v>
      </c>
      <c r="AE4252">
        <v>0</v>
      </c>
      <c r="AF4252">
        <v>0</v>
      </c>
      <c r="AG4252">
        <v>1</v>
      </c>
      <c r="AJ4252">
        <v>0</v>
      </c>
      <c r="AK4252">
        <v>1</v>
      </c>
      <c r="AL4252">
        <v>1</v>
      </c>
      <c r="AM4252">
        <v>0</v>
      </c>
      <c r="AN4252">
        <v>0</v>
      </c>
      <c r="AO4252">
        <v>1</v>
      </c>
      <c r="AP4252">
        <v>1</v>
      </c>
      <c r="AQ4252">
        <v>1</v>
      </c>
      <c r="AR4252">
        <v>1</v>
      </c>
      <c r="AS4252">
        <v>1</v>
      </c>
      <c r="AT4252">
        <v>0</v>
      </c>
      <c r="AV4252">
        <v>1</v>
      </c>
      <c r="AW4252">
        <v>1</v>
      </c>
    </row>
    <row r="4253" spans="1:49" x14ac:dyDescent="0.25">
      <c r="A4253" t="str">
        <f>"4249"</f>
        <v>4249</v>
      </c>
      <c r="B4253" t="str">
        <f t="shared" si="242"/>
        <v>1</v>
      </c>
      <c r="C4253" t="str">
        <f t="shared" si="245"/>
        <v>186</v>
      </c>
      <c r="D4253" t="str">
        <f>"17"</f>
        <v>17</v>
      </c>
      <c r="E4253" t="str">
        <f>"1-186-17"</f>
        <v>1-186-17</v>
      </c>
      <c r="F4253" t="s">
        <v>83</v>
      </c>
      <c r="G4253" t="s">
        <v>84</v>
      </c>
      <c r="H4253" t="s">
        <v>92</v>
      </c>
      <c r="I4253">
        <v>1</v>
      </c>
      <c r="J4253">
        <v>1</v>
      </c>
      <c r="N4253">
        <v>1</v>
      </c>
      <c r="O4253">
        <v>1</v>
      </c>
      <c r="P4253">
        <v>1</v>
      </c>
      <c r="Q4253">
        <v>1</v>
      </c>
      <c r="R4253">
        <v>1</v>
      </c>
      <c r="S4253">
        <v>1</v>
      </c>
      <c r="T4253">
        <v>1</v>
      </c>
      <c r="W4253">
        <v>1</v>
      </c>
      <c r="X4253">
        <v>1</v>
      </c>
      <c r="Y4253">
        <v>1</v>
      </c>
      <c r="Z4253">
        <v>1</v>
      </c>
      <c r="AA4253">
        <v>1</v>
      </c>
      <c r="AB4253">
        <v>1</v>
      </c>
    </row>
    <row r="4254" spans="1:49" x14ac:dyDescent="0.25">
      <c r="A4254" t="str">
        <f>"4250"</f>
        <v>4250</v>
      </c>
      <c r="B4254" t="str">
        <f t="shared" ref="B4254:B4317" si="246">"1"</f>
        <v>1</v>
      </c>
      <c r="C4254" t="str">
        <f t="shared" si="245"/>
        <v>186</v>
      </c>
      <c r="D4254" t="str">
        <f>"11"</f>
        <v>11</v>
      </c>
      <c r="E4254" t="str">
        <f>"1-186-11"</f>
        <v>1-186-11</v>
      </c>
      <c r="F4254" t="s">
        <v>83</v>
      </c>
      <c r="G4254" t="s">
        <v>84</v>
      </c>
      <c r="H4254" t="s">
        <v>92</v>
      </c>
      <c r="I4254">
        <v>1</v>
      </c>
      <c r="J4254">
        <v>1</v>
      </c>
      <c r="N4254">
        <v>1</v>
      </c>
      <c r="O4254">
        <v>1</v>
      </c>
      <c r="P4254">
        <v>1</v>
      </c>
      <c r="Q4254">
        <v>1</v>
      </c>
      <c r="R4254">
        <v>1</v>
      </c>
      <c r="S4254">
        <v>1</v>
      </c>
      <c r="T4254">
        <v>1</v>
      </c>
      <c r="W4254">
        <v>1</v>
      </c>
      <c r="X4254">
        <v>1</v>
      </c>
      <c r="Y4254">
        <v>1</v>
      </c>
      <c r="Z4254">
        <v>0</v>
      </c>
      <c r="AA4254">
        <v>1</v>
      </c>
      <c r="AB4254">
        <v>1</v>
      </c>
    </row>
    <row r="4255" spans="1:49" x14ac:dyDescent="0.25">
      <c r="A4255" t="str">
        <f>"4251"</f>
        <v>4251</v>
      </c>
      <c r="B4255" t="str">
        <f t="shared" si="246"/>
        <v>1</v>
      </c>
      <c r="C4255" t="str">
        <f t="shared" si="245"/>
        <v>186</v>
      </c>
      <c r="D4255" t="str">
        <f>"6"</f>
        <v>6</v>
      </c>
      <c r="E4255" t="str">
        <f>"1-186-6"</f>
        <v>1-186-6</v>
      </c>
      <c r="F4255" t="s">
        <v>83</v>
      </c>
      <c r="G4255" t="s">
        <v>84</v>
      </c>
      <c r="H4255" t="s">
        <v>85</v>
      </c>
      <c r="AC4255">
        <v>0</v>
      </c>
      <c r="AD4255">
        <v>1</v>
      </c>
      <c r="AE4255">
        <v>0</v>
      </c>
      <c r="AF4255">
        <v>0</v>
      </c>
      <c r="AG4255">
        <v>0</v>
      </c>
      <c r="AJ4255">
        <v>0</v>
      </c>
      <c r="AK4255">
        <v>0</v>
      </c>
      <c r="AL4255">
        <v>0</v>
      </c>
      <c r="AM4255">
        <v>0</v>
      </c>
      <c r="AN4255">
        <v>1</v>
      </c>
      <c r="AO4255">
        <v>0</v>
      </c>
      <c r="AP4255">
        <v>0</v>
      </c>
      <c r="AQ4255">
        <v>0</v>
      </c>
      <c r="AR4255">
        <v>0</v>
      </c>
      <c r="AS4255">
        <v>1</v>
      </c>
      <c r="AT4255">
        <v>0</v>
      </c>
      <c r="AV4255">
        <v>0</v>
      </c>
      <c r="AW4255">
        <v>0</v>
      </c>
    </row>
    <row r="4256" spans="1:49" x14ac:dyDescent="0.25">
      <c r="A4256" t="str">
        <f>"4252"</f>
        <v>4252</v>
      </c>
      <c r="B4256" t="str">
        <f t="shared" si="246"/>
        <v>1</v>
      </c>
      <c r="C4256" t="str">
        <f t="shared" si="245"/>
        <v>186</v>
      </c>
      <c r="D4256" t="str">
        <f>"20"</f>
        <v>20</v>
      </c>
      <c r="E4256" t="str">
        <f>"1-186-20"</f>
        <v>1-186-20</v>
      </c>
      <c r="F4256" t="s">
        <v>83</v>
      </c>
      <c r="G4256" t="s">
        <v>84</v>
      </c>
      <c r="H4256" t="s">
        <v>92</v>
      </c>
      <c r="I4256">
        <v>1</v>
      </c>
      <c r="J4256">
        <v>1</v>
      </c>
      <c r="N4256">
        <v>1</v>
      </c>
      <c r="O4256">
        <v>1</v>
      </c>
      <c r="P4256">
        <v>1</v>
      </c>
      <c r="Q4256">
        <v>1</v>
      </c>
      <c r="R4256">
        <v>1</v>
      </c>
      <c r="S4256">
        <v>1</v>
      </c>
      <c r="T4256">
        <v>1</v>
      </c>
      <c r="W4256">
        <v>1</v>
      </c>
      <c r="X4256">
        <v>1</v>
      </c>
      <c r="Y4256">
        <v>1</v>
      </c>
      <c r="Z4256">
        <v>1</v>
      </c>
      <c r="AA4256">
        <v>1</v>
      </c>
      <c r="AB4256">
        <v>1</v>
      </c>
    </row>
    <row r="4257" spans="1:49" x14ac:dyDescent="0.25">
      <c r="A4257" t="str">
        <f>"4253"</f>
        <v>4253</v>
      </c>
      <c r="B4257" t="str">
        <f t="shared" si="246"/>
        <v>1</v>
      </c>
      <c r="C4257" t="str">
        <f t="shared" si="245"/>
        <v>186</v>
      </c>
      <c r="D4257" t="str">
        <f>"12"</f>
        <v>12</v>
      </c>
      <c r="E4257" t="str">
        <f>"1-186-12"</f>
        <v>1-186-12</v>
      </c>
      <c r="F4257" t="s">
        <v>83</v>
      </c>
      <c r="G4257" t="s">
        <v>84</v>
      </c>
      <c r="H4257" t="s">
        <v>92</v>
      </c>
      <c r="I4257">
        <v>1</v>
      </c>
      <c r="J4257">
        <v>1</v>
      </c>
      <c r="N4257">
        <v>1</v>
      </c>
      <c r="O4257">
        <v>1</v>
      </c>
      <c r="P4257">
        <v>1</v>
      </c>
      <c r="Q4257">
        <v>1</v>
      </c>
      <c r="R4257">
        <v>1</v>
      </c>
      <c r="S4257">
        <v>1</v>
      </c>
      <c r="T4257">
        <v>1</v>
      </c>
      <c r="W4257">
        <v>1</v>
      </c>
      <c r="X4257">
        <v>1</v>
      </c>
      <c r="Y4257">
        <v>1</v>
      </c>
      <c r="Z4257">
        <v>1</v>
      </c>
      <c r="AA4257">
        <v>1</v>
      </c>
      <c r="AB4257">
        <v>1</v>
      </c>
    </row>
    <row r="4258" spans="1:49" x14ac:dyDescent="0.25">
      <c r="A4258" t="str">
        <f>"4254"</f>
        <v>4254</v>
      </c>
      <c r="B4258" t="str">
        <f t="shared" si="246"/>
        <v>1</v>
      </c>
      <c r="C4258" t="str">
        <f t="shared" si="245"/>
        <v>186</v>
      </c>
      <c r="D4258" t="str">
        <f>"1"</f>
        <v>1</v>
      </c>
      <c r="E4258" t="str">
        <f>"1-186-1"</f>
        <v>1-186-1</v>
      </c>
      <c r="F4258" t="s">
        <v>83</v>
      </c>
      <c r="G4258" t="s">
        <v>84</v>
      </c>
      <c r="H4258" t="s">
        <v>92</v>
      </c>
      <c r="I4258">
        <v>1</v>
      </c>
      <c r="J4258">
        <v>1</v>
      </c>
      <c r="N4258">
        <v>1</v>
      </c>
      <c r="O4258">
        <v>1</v>
      </c>
      <c r="P4258">
        <v>1</v>
      </c>
      <c r="Q4258">
        <v>1</v>
      </c>
      <c r="R4258">
        <v>1</v>
      </c>
      <c r="S4258">
        <v>1</v>
      </c>
      <c r="T4258">
        <v>1</v>
      </c>
      <c r="W4258">
        <v>1</v>
      </c>
      <c r="X4258">
        <v>1</v>
      </c>
      <c r="Y4258">
        <v>1</v>
      </c>
      <c r="Z4258">
        <v>1</v>
      </c>
      <c r="AA4258">
        <v>1</v>
      </c>
      <c r="AB4258">
        <v>1</v>
      </c>
    </row>
    <row r="4259" spans="1:49" x14ac:dyDescent="0.25">
      <c r="A4259" t="str">
        <f>"4255"</f>
        <v>4255</v>
      </c>
      <c r="B4259" t="str">
        <f t="shared" si="246"/>
        <v>1</v>
      </c>
      <c r="C4259" t="str">
        <f t="shared" si="245"/>
        <v>186</v>
      </c>
      <c r="D4259" t="str">
        <f>"21"</f>
        <v>21</v>
      </c>
      <c r="E4259" t="str">
        <f>"1-186-21"</f>
        <v>1-186-21</v>
      </c>
      <c r="F4259" t="s">
        <v>83</v>
      </c>
      <c r="G4259" t="s">
        <v>84</v>
      </c>
      <c r="H4259" t="s">
        <v>85</v>
      </c>
      <c r="AC4259">
        <v>1</v>
      </c>
      <c r="AD4259">
        <v>0</v>
      </c>
      <c r="AE4259">
        <v>0</v>
      </c>
      <c r="AF4259">
        <v>0</v>
      </c>
      <c r="AG4259">
        <v>0</v>
      </c>
      <c r="AJ4259">
        <v>0</v>
      </c>
      <c r="AK4259">
        <v>1</v>
      </c>
      <c r="AL4259">
        <v>0</v>
      </c>
      <c r="AM4259">
        <v>0</v>
      </c>
      <c r="AN4259">
        <v>0</v>
      </c>
      <c r="AO4259">
        <v>0</v>
      </c>
      <c r="AP4259">
        <v>0</v>
      </c>
      <c r="AQ4259">
        <v>0</v>
      </c>
      <c r="AR4259">
        <v>0</v>
      </c>
      <c r="AS4259">
        <v>0</v>
      </c>
      <c r="AT4259">
        <v>1</v>
      </c>
      <c r="AV4259">
        <v>0</v>
      </c>
      <c r="AW4259">
        <v>0</v>
      </c>
    </row>
    <row r="4260" spans="1:49" x14ac:dyDescent="0.25">
      <c r="A4260" t="str">
        <f>"4256"</f>
        <v>4256</v>
      </c>
      <c r="B4260" t="str">
        <f t="shared" si="246"/>
        <v>1</v>
      </c>
      <c r="C4260" t="str">
        <f t="shared" si="245"/>
        <v>186</v>
      </c>
      <c r="D4260" t="str">
        <f>"13"</f>
        <v>13</v>
      </c>
      <c r="E4260" t="str">
        <f>"1-186-13"</f>
        <v>1-186-13</v>
      </c>
      <c r="F4260" t="s">
        <v>83</v>
      </c>
      <c r="G4260" t="s">
        <v>84</v>
      </c>
      <c r="H4260" t="s">
        <v>85</v>
      </c>
      <c r="AC4260">
        <v>0</v>
      </c>
      <c r="AD4260">
        <v>1</v>
      </c>
      <c r="AE4260">
        <v>0</v>
      </c>
      <c r="AF4260">
        <v>0</v>
      </c>
      <c r="AG4260">
        <v>0</v>
      </c>
      <c r="AJ4260">
        <v>0</v>
      </c>
      <c r="AK4260">
        <v>1</v>
      </c>
      <c r="AL4260">
        <v>0</v>
      </c>
      <c r="AM4260">
        <v>0</v>
      </c>
      <c r="AN4260">
        <v>1</v>
      </c>
      <c r="AO4260">
        <v>0</v>
      </c>
      <c r="AP4260">
        <v>0</v>
      </c>
      <c r="AQ4260">
        <v>0</v>
      </c>
      <c r="AR4260">
        <v>0</v>
      </c>
      <c r="AS4260">
        <v>0</v>
      </c>
      <c r="AT4260">
        <v>1</v>
      </c>
      <c r="AV4260">
        <v>0</v>
      </c>
      <c r="AW4260">
        <v>1</v>
      </c>
    </row>
    <row r="4261" spans="1:49" x14ac:dyDescent="0.25">
      <c r="A4261" t="str">
        <f>"4257"</f>
        <v>4257</v>
      </c>
      <c r="B4261" t="str">
        <f t="shared" si="246"/>
        <v>1</v>
      </c>
      <c r="C4261" t="str">
        <f t="shared" si="245"/>
        <v>186</v>
      </c>
      <c r="D4261" t="str">
        <f>"7"</f>
        <v>7</v>
      </c>
      <c r="E4261" t="str">
        <f>"1-186-7"</f>
        <v>1-186-7</v>
      </c>
      <c r="F4261" t="s">
        <v>83</v>
      </c>
      <c r="G4261" t="s">
        <v>84</v>
      </c>
      <c r="H4261" t="s">
        <v>85</v>
      </c>
      <c r="AC4261">
        <v>1</v>
      </c>
      <c r="AD4261">
        <v>0</v>
      </c>
      <c r="AE4261">
        <v>0</v>
      </c>
      <c r="AF4261">
        <v>0</v>
      </c>
      <c r="AG4261">
        <v>1</v>
      </c>
      <c r="AJ4261">
        <v>0</v>
      </c>
      <c r="AK4261">
        <v>1</v>
      </c>
      <c r="AL4261">
        <v>1</v>
      </c>
      <c r="AM4261">
        <v>0</v>
      </c>
      <c r="AN4261">
        <v>0</v>
      </c>
      <c r="AO4261">
        <v>1</v>
      </c>
      <c r="AP4261">
        <v>1</v>
      </c>
      <c r="AQ4261">
        <v>1</v>
      </c>
      <c r="AR4261">
        <v>1</v>
      </c>
      <c r="AS4261">
        <v>1</v>
      </c>
      <c r="AT4261">
        <v>0</v>
      </c>
      <c r="AV4261">
        <v>1</v>
      </c>
      <c r="AW4261">
        <v>1</v>
      </c>
    </row>
    <row r="4262" spans="1:49" x14ac:dyDescent="0.25">
      <c r="A4262" t="str">
        <f>"4258"</f>
        <v>4258</v>
      </c>
      <c r="B4262" t="str">
        <f t="shared" si="246"/>
        <v>1</v>
      </c>
      <c r="C4262" t="str">
        <f t="shared" si="245"/>
        <v>186</v>
      </c>
      <c r="D4262" t="str">
        <f>"19"</f>
        <v>19</v>
      </c>
      <c r="E4262" t="str">
        <f>"1-186-19"</f>
        <v>1-186-19</v>
      </c>
      <c r="F4262" t="s">
        <v>83</v>
      </c>
      <c r="G4262" t="s">
        <v>84</v>
      </c>
      <c r="H4262" t="s">
        <v>92</v>
      </c>
      <c r="I4262">
        <v>1</v>
      </c>
      <c r="J4262">
        <v>1</v>
      </c>
      <c r="N4262">
        <v>1</v>
      </c>
      <c r="O4262">
        <v>1</v>
      </c>
      <c r="P4262">
        <v>1</v>
      </c>
      <c r="Q4262">
        <v>1</v>
      </c>
      <c r="R4262">
        <v>1</v>
      </c>
      <c r="S4262">
        <v>1</v>
      </c>
      <c r="T4262">
        <v>1</v>
      </c>
      <c r="W4262">
        <v>1</v>
      </c>
      <c r="X4262">
        <v>1</v>
      </c>
      <c r="Y4262">
        <v>1</v>
      </c>
      <c r="Z4262">
        <v>1</v>
      </c>
      <c r="AA4262">
        <v>1</v>
      </c>
      <c r="AB4262">
        <v>1</v>
      </c>
    </row>
    <row r="4263" spans="1:49" x14ac:dyDescent="0.25">
      <c r="A4263" t="str">
        <f>"4259"</f>
        <v>4259</v>
      </c>
      <c r="B4263" t="str">
        <f t="shared" si="246"/>
        <v>1</v>
      </c>
      <c r="C4263" t="str">
        <f t="shared" si="245"/>
        <v>186</v>
      </c>
      <c r="D4263" t="str">
        <f>"14"</f>
        <v>14</v>
      </c>
      <c r="E4263" t="str">
        <f>"1-186-14"</f>
        <v>1-186-14</v>
      </c>
      <c r="F4263" t="s">
        <v>83</v>
      </c>
      <c r="G4263" t="s">
        <v>84</v>
      </c>
      <c r="H4263" t="s">
        <v>92</v>
      </c>
      <c r="I4263">
        <v>1</v>
      </c>
      <c r="J4263">
        <v>1</v>
      </c>
      <c r="N4263">
        <v>1</v>
      </c>
      <c r="O4263">
        <v>1</v>
      </c>
      <c r="P4263">
        <v>1</v>
      </c>
      <c r="Q4263">
        <v>1</v>
      </c>
      <c r="R4263">
        <v>1</v>
      </c>
      <c r="S4263">
        <v>1</v>
      </c>
      <c r="T4263">
        <v>1</v>
      </c>
      <c r="W4263">
        <v>1</v>
      </c>
      <c r="X4263">
        <v>1</v>
      </c>
      <c r="Y4263">
        <v>1</v>
      </c>
      <c r="Z4263">
        <v>1</v>
      </c>
      <c r="AA4263">
        <v>1</v>
      </c>
      <c r="AB4263">
        <v>1</v>
      </c>
    </row>
    <row r="4264" spans="1:49" x14ac:dyDescent="0.25">
      <c r="A4264" t="str">
        <f>"4260"</f>
        <v>4260</v>
      </c>
      <c r="B4264" t="str">
        <f t="shared" si="246"/>
        <v>1</v>
      </c>
      <c r="C4264" t="str">
        <f t="shared" si="245"/>
        <v>186</v>
      </c>
      <c r="D4264" t="str">
        <f>"5"</f>
        <v>5</v>
      </c>
      <c r="E4264" t="str">
        <f>"1-186-5"</f>
        <v>1-186-5</v>
      </c>
      <c r="F4264" t="s">
        <v>83</v>
      </c>
      <c r="G4264" t="s">
        <v>84</v>
      </c>
      <c r="H4264" t="s">
        <v>85</v>
      </c>
      <c r="AC4264">
        <v>0</v>
      </c>
      <c r="AD4264">
        <v>1</v>
      </c>
      <c r="AE4264">
        <v>0</v>
      </c>
      <c r="AF4264">
        <v>0</v>
      </c>
      <c r="AG4264">
        <v>0</v>
      </c>
      <c r="AJ4264">
        <v>0</v>
      </c>
      <c r="AK4264">
        <v>1</v>
      </c>
      <c r="AL4264">
        <v>0</v>
      </c>
      <c r="AM4264">
        <v>1</v>
      </c>
      <c r="AN4264">
        <v>0</v>
      </c>
      <c r="AO4264">
        <v>0</v>
      </c>
      <c r="AP4264">
        <v>0</v>
      </c>
      <c r="AQ4264">
        <v>0</v>
      </c>
      <c r="AR4264">
        <v>0</v>
      </c>
      <c r="AS4264">
        <v>0</v>
      </c>
      <c r="AT4264">
        <v>1</v>
      </c>
      <c r="AV4264">
        <v>0</v>
      </c>
      <c r="AW4264">
        <v>0</v>
      </c>
    </row>
    <row r="4265" spans="1:49" x14ac:dyDescent="0.25">
      <c r="A4265" t="str">
        <f>"4261"</f>
        <v>4261</v>
      </c>
      <c r="B4265" t="str">
        <f t="shared" si="246"/>
        <v>1</v>
      </c>
      <c r="C4265" t="str">
        <f t="shared" ref="C4265:C4289" si="247">"187"</f>
        <v>187</v>
      </c>
      <c r="D4265" t="str">
        <f>"23"</f>
        <v>23</v>
      </c>
      <c r="E4265" t="str">
        <f>"1-187-23"</f>
        <v>1-187-23</v>
      </c>
      <c r="F4265" t="s">
        <v>83</v>
      </c>
      <c r="G4265" t="s">
        <v>84</v>
      </c>
      <c r="H4265" t="s">
        <v>85</v>
      </c>
      <c r="AC4265">
        <v>0</v>
      </c>
      <c r="AD4265">
        <v>1</v>
      </c>
      <c r="AE4265">
        <v>0</v>
      </c>
      <c r="AF4265">
        <v>0</v>
      </c>
      <c r="AG4265">
        <v>0</v>
      </c>
      <c r="AJ4265">
        <v>0</v>
      </c>
      <c r="AK4265">
        <v>1</v>
      </c>
      <c r="AL4265">
        <v>0</v>
      </c>
      <c r="AM4265">
        <v>0</v>
      </c>
      <c r="AN4265">
        <v>1</v>
      </c>
      <c r="AO4265">
        <v>0</v>
      </c>
      <c r="AP4265">
        <v>0</v>
      </c>
      <c r="AQ4265">
        <v>0</v>
      </c>
      <c r="AR4265">
        <v>0</v>
      </c>
      <c r="AS4265">
        <v>0</v>
      </c>
      <c r="AT4265">
        <v>1</v>
      </c>
      <c r="AV4265">
        <v>0</v>
      </c>
      <c r="AW4265">
        <v>0</v>
      </c>
    </row>
    <row r="4266" spans="1:49" x14ac:dyDescent="0.25">
      <c r="A4266" t="str">
        <f>"4262"</f>
        <v>4262</v>
      </c>
      <c r="B4266" t="str">
        <f t="shared" si="246"/>
        <v>1</v>
      </c>
      <c r="C4266" t="str">
        <f t="shared" si="247"/>
        <v>187</v>
      </c>
      <c r="D4266" t="str">
        <f>"15"</f>
        <v>15</v>
      </c>
      <c r="E4266" t="str">
        <f>"1-187-15"</f>
        <v>1-187-15</v>
      </c>
      <c r="F4266" t="s">
        <v>83</v>
      </c>
      <c r="G4266" t="s">
        <v>84</v>
      </c>
      <c r="H4266" t="s">
        <v>92</v>
      </c>
      <c r="I4266">
        <v>1</v>
      </c>
      <c r="J4266">
        <v>1</v>
      </c>
      <c r="N4266">
        <v>1</v>
      </c>
      <c r="O4266">
        <v>1</v>
      </c>
      <c r="P4266">
        <v>1</v>
      </c>
      <c r="Q4266">
        <v>1</v>
      </c>
      <c r="R4266">
        <v>1</v>
      </c>
      <c r="S4266">
        <v>1</v>
      </c>
      <c r="T4266">
        <v>1</v>
      </c>
      <c r="W4266">
        <v>1</v>
      </c>
      <c r="X4266">
        <v>1</v>
      </c>
      <c r="Y4266">
        <v>1</v>
      </c>
      <c r="Z4266">
        <v>1</v>
      </c>
      <c r="AA4266">
        <v>1</v>
      </c>
      <c r="AB4266">
        <v>1</v>
      </c>
    </row>
    <row r="4267" spans="1:49" x14ac:dyDescent="0.25">
      <c r="A4267" t="str">
        <f>"4263"</f>
        <v>4263</v>
      </c>
      <c r="B4267" t="str">
        <f t="shared" si="246"/>
        <v>1</v>
      </c>
      <c r="C4267" t="str">
        <f t="shared" si="247"/>
        <v>187</v>
      </c>
      <c r="D4267" t="str">
        <f>"8"</f>
        <v>8</v>
      </c>
      <c r="E4267" t="str">
        <f>"1-187-8"</f>
        <v>1-187-8</v>
      </c>
      <c r="F4267" t="s">
        <v>83</v>
      </c>
      <c r="G4267" t="s">
        <v>84</v>
      </c>
      <c r="H4267" t="s">
        <v>92</v>
      </c>
      <c r="I4267">
        <v>1</v>
      </c>
      <c r="J4267">
        <v>1</v>
      </c>
      <c r="N4267">
        <v>1</v>
      </c>
      <c r="O4267">
        <v>1</v>
      </c>
      <c r="P4267">
        <v>1</v>
      </c>
      <c r="Q4267">
        <v>1</v>
      </c>
      <c r="R4267">
        <v>1</v>
      </c>
      <c r="S4267">
        <v>1</v>
      </c>
      <c r="T4267">
        <v>1</v>
      </c>
      <c r="W4267">
        <v>1</v>
      </c>
      <c r="X4267">
        <v>1</v>
      </c>
      <c r="Y4267">
        <v>1</v>
      </c>
      <c r="Z4267">
        <v>1</v>
      </c>
      <c r="AA4267">
        <v>1</v>
      </c>
      <c r="AB4267">
        <v>1</v>
      </c>
    </row>
    <row r="4268" spans="1:49" x14ac:dyDescent="0.25">
      <c r="A4268" t="str">
        <f>"4264"</f>
        <v>4264</v>
      </c>
      <c r="B4268" t="str">
        <f t="shared" si="246"/>
        <v>1</v>
      </c>
      <c r="C4268" t="str">
        <f t="shared" si="247"/>
        <v>187</v>
      </c>
      <c r="D4268" t="str">
        <f>"6"</f>
        <v>6</v>
      </c>
      <c r="E4268" t="str">
        <f>"1-187-6"</f>
        <v>1-187-6</v>
      </c>
      <c r="F4268" t="s">
        <v>83</v>
      </c>
      <c r="G4268" t="s">
        <v>84</v>
      </c>
      <c r="H4268" t="s">
        <v>92</v>
      </c>
      <c r="I4268">
        <v>1</v>
      </c>
      <c r="J4268">
        <v>1</v>
      </c>
      <c r="N4268">
        <v>1</v>
      </c>
      <c r="O4268">
        <v>1</v>
      </c>
      <c r="P4268">
        <v>1</v>
      </c>
      <c r="Q4268">
        <v>1</v>
      </c>
      <c r="R4268">
        <v>1</v>
      </c>
      <c r="S4268">
        <v>1</v>
      </c>
      <c r="T4268">
        <v>1</v>
      </c>
      <c r="W4268">
        <v>0</v>
      </c>
      <c r="X4268">
        <v>0</v>
      </c>
      <c r="Y4268">
        <v>0</v>
      </c>
      <c r="Z4268">
        <v>0</v>
      </c>
      <c r="AA4268">
        <v>0</v>
      </c>
      <c r="AB4268">
        <v>0</v>
      </c>
    </row>
    <row r="4269" spans="1:49" x14ac:dyDescent="0.25">
      <c r="A4269" t="str">
        <f>"4265"</f>
        <v>4265</v>
      </c>
      <c r="B4269" t="str">
        <f t="shared" si="246"/>
        <v>1</v>
      </c>
      <c r="C4269" t="str">
        <f t="shared" si="247"/>
        <v>187</v>
      </c>
      <c r="D4269" t="str">
        <f>"25"</f>
        <v>25</v>
      </c>
      <c r="E4269" t="str">
        <f>"1-187-25"</f>
        <v>1-187-25</v>
      </c>
      <c r="F4269" t="s">
        <v>83</v>
      </c>
      <c r="G4269" t="s">
        <v>86</v>
      </c>
      <c r="H4269" t="s">
        <v>87</v>
      </c>
      <c r="AC4269">
        <v>1</v>
      </c>
      <c r="AD4269">
        <v>0</v>
      </c>
      <c r="AE4269">
        <v>0</v>
      </c>
      <c r="AF4269">
        <v>0</v>
      </c>
      <c r="AH4269">
        <v>0</v>
      </c>
      <c r="AI4269">
        <v>1</v>
      </c>
      <c r="AJ4269">
        <v>0</v>
      </c>
      <c r="AK4269">
        <v>1</v>
      </c>
      <c r="AL4269">
        <v>0</v>
      </c>
      <c r="AM4269">
        <v>1</v>
      </c>
      <c r="AN4269">
        <v>0</v>
      </c>
      <c r="AO4269">
        <v>1</v>
      </c>
      <c r="AP4269">
        <v>1</v>
      </c>
      <c r="AQ4269">
        <v>1</v>
      </c>
      <c r="AU4269">
        <v>1</v>
      </c>
      <c r="AV4269">
        <v>1</v>
      </c>
      <c r="AW4269">
        <v>1</v>
      </c>
    </row>
    <row r="4270" spans="1:49" x14ac:dyDescent="0.25">
      <c r="A4270" t="str">
        <f>"4266"</f>
        <v>4266</v>
      </c>
      <c r="B4270" t="str">
        <f t="shared" si="246"/>
        <v>1</v>
      </c>
      <c r="C4270" t="str">
        <f t="shared" si="247"/>
        <v>187</v>
      </c>
      <c r="D4270" t="str">
        <f>"24"</f>
        <v>24</v>
      </c>
      <c r="E4270" t="str">
        <f>"1-187-24"</f>
        <v>1-187-24</v>
      </c>
      <c r="F4270" t="s">
        <v>83</v>
      </c>
      <c r="G4270" t="s">
        <v>84</v>
      </c>
      <c r="H4270" t="s">
        <v>92</v>
      </c>
      <c r="I4270">
        <v>1</v>
      </c>
      <c r="J4270">
        <v>1</v>
      </c>
      <c r="N4270">
        <v>1</v>
      </c>
      <c r="O4270">
        <v>1</v>
      </c>
      <c r="P4270">
        <v>1</v>
      </c>
      <c r="Q4270">
        <v>1</v>
      </c>
      <c r="R4270">
        <v>1</v>
      </c>
      <c r="S4270">
        <v>1</v>
      </c>
      <c r="T4270">
        <v>1</v>
      </c>
      <c r="W4270">
        <v>1</v>
      </c>
      <c r="X4270">
        <v>1</v>
      </c>
      <c r="Y4270">
        <v>1</v>
      </c>
      <c r="Z4270">
        <v>1</v>
      </c>
      <c r="AA4270">
        <v>1</v>
      </c>
      <c r="AB4270">
        <v>1</v>
      </c>
    </row>
    <row r="4271" spans="1:49" x14ac:dyDescent="0.25">
      <c r="A4271" t="str">
        <f>"4267"</f>
        <v>4267</v>
      </c>
      <c r="B4271" t="str">
        <f t="shared" si="246"/>
        <v>1</v>
      </c>
      <c r="C4271" t="str">
        <f t="shared" si="247"/>
        <v>187</v>
      </c>
      <c r="D4271" t="str">
        <f>"16"</f>
        <v>16</v>
      </c>
      <c r="E4271" t="str">
        <f>"1-187-16"</f>
        <v>1-187-16</v>
      </c>
      <c r="F4271" t="s">
        <v>83</v>
      </c>
      <c r="G4271" t="s">
        <v>84</v>
      </c>
      <c r="H4271" t="s">
        <v>85</v>
      </c>
      <c r="AC4271">
        <v>1</v>
      </c>
      <c r="AD4271">
        <v>0</v>
      </c>
      <c r="AE4271">
        <v>0</v>
      </c>
      <c r="AF4271">
        <v>0</v>
      </c>
      <c r="AG4271">
        <v>1</v>
      </c>
      <c r="AJ4271">
        <v>1</v>
      </c>
      <c r="AK4271">
        <v>0</v>
      </c>
      <c r="AL4271">
        <v>0</v>
      </c>
      <c r="AM4271">
        <v>1</v>
      </c>
      <c r="AN4271">
        <v>0</v>
      </c>
      <c r="AO4271">
        <v>0</v>
      </c>
      <c r="AP4271">
        <v>1</v>
      </c>
      <c r="AQ4271">
        <v>1</v>
      </c>
      <c r="AR4271">
        <v>1</v>
      </c>
      <c r="AS4271">
        <v>0</v>
      </c>
      <c r="AT4271">
        <v>1</v>
      </c>
      <c r="AV4271">
        <v>1</v>
      </c>
      <c r="AW4271">
        <v>0</v>
      </c>
    </row>
    <row r="4272" spans="1:49" x14ac:dyDescent="0.25">
      <c r="A4272" t="str">
        <f>"4268"</f>
        <v>4268</v>
      </c>
      <c r="B4272" t="str">
        <f t="shared" si="246"/>
        <v>1</v>
      </c>
      <c r="C4272" t="str">
        <f t="shared" si="247"/>
        <v>187</v>
      </c>
      <c r="D4272" t="str">
        <f>"9"</f>
        <v>9</v>
      </c>
      <c r="E4272" t="str">
        <f>"1-187-9"</f>
        <v>1-187-9</v>
      </c>
      <c r="F4272" t="s">
        <v>83</v>
      </c>
      <c r="G4272" t="s">
        <v>84</v>
      </c>
      <c r="H4272" t="s">
        <v>85</v>
      </c>
      <c r="AC4272">
        <v>1</v>
      </c>
      <c r="AD4272">
        <v>0</v>
      </c>
      <c r="AE4272">
        <v>0</v>
      </c>
      <c r="AF4272">
        <v>0</v>
      </c>
      <c r="AG4272">
        <v>1</v>
      </c>
      <c r="AJ4272">
        <v>0</v>
      </c>
      <c r="AK4272">
        <v>1</v>
      </c>
      <c r="AL4272">
        <v>0</v>
      </c>
      <c r="AM4272">
        <v>1</v>
      </c>
      <c r="AN4272">
        <v>0</v>
      </c>
      <c r="AO4272">
        <v>1</v>
      </c>
      <c r="AP4272">
        <v>1</v>
      </c>
      <c r="AQ4272">
        <v>1</v>
      </c>
      <c r="AR4272">
        <v>1</v>
      </c>
      <c r="AS4272">
        <v>1</v>
      </c>
      <c r="AT4272">
        <v>0</v>
      </c>
      <c r="AV4272">
        <v>1</v>
      </c>
      <c r="AW4272">
        <v>1</v>
      </c>
    </row>
    <row r="4273" spans="1:49" x14ac:dyDescent="0.25">
      <c r="A4273" t="str">
        <f>"4269"</f>
        <v>4269</v>
      </c>
      <c r="B4273" t="str">
        <f t="shared" si="246"/>
        <v>1</v>
      </c>
      <c r="C4273" t="str">
        <f t="shared" si="247"/>
        <v>187</v>
      </c>
      <c r="D4273" t="str">
        <f>"4"</f>
        <v>4</v>
      </c>
      <c r="E4273" t="str">
        <f>"1-187-4"</f>
        <v>1-187-4</v>
      </c>
      <c r="F4273" t="s">
        <v>83</v>
      </c>
      <c r="G4273" t="s">
        <v>84</v>
      </c>
      <c r="H4273" t="s">
        <v>85</v>
      </c>
      <c r="AC4273">
        <v>1</v>
      </c>
      <c r="AD4273">
        <v>0</v>
      </c>
      <c r="AE4273">
        <v>0</v>
      </c>
      <c r="AF4273">
        <v>0</v>
      </c>
      <c r="AG4273">
        <v>0</v>
      </c>
      <c r="AJ4273">
        <v>0</v>
      </c>
      <c r="AK4273">
        <v>1</v>
      </c>
      <c r="AL4273">
        <v>1</v>
      </c>
      <c r="AM4273">
        <v>0</v>
      </c>
      <c r="AN4273">
        <v>0</v>
      </c>
      <c r="AO4273">
        <v>0</v>
      </c>
      <c r="AP4273">
        <v>0</v>
      </c>
      <c r="AQ4273">
        <v>0</v>
      </c>
      <c r="AR4273">
        <v>0</v>
      </c>
      <c r="AS4273">
        <v>1</v>
      </c>
      <c r="AT4273">
        <v>0</v>
      </c>
      <c r="AV4273">
        <v>0</v>
      </c>
      <c r="AW4273">
        <v>0</v>
      </c>
    </row>
    <row r="4274" spans="1:49" x14ac:dyDescent="0.25">
      <c r="A4274" t="str">
        <f>"4270"</f>
        <v>4270</v>
      </c>
      <c r="B4274" t="str">
        <f t="shared" si="246"/>
        <v>1</v>
      </c>
      <c r="C4274" t="str">
        <f t="shared" si="247"/>
        <v>187</v>
      </c>
      <c r="D4274" t="str">
        <f>"17"</f>
        <v>17</v>
      </c>
      <c r="E4274" t="str">
        <f>"1-187-17"</f>
        <v>1-187-17</v>
      </c>
      <c r="F4274" t="s">
        <v>83</v>
      </c>
      <c r="G4274" t="s">
        <v>84</v>
      </c>
      <c r="H4274" t="s">
        <v>85</v>
      </c>
      <c r="AC4274">
        <v>0</v>
      </c>
      <c r="AD4274">
        <v>1</v>
      </c>
      <c r="AE4274">
        <v>0</v>
      </c>
      <c r="AF4274">
        <v>0</v>
      </c>
      <c r="AG4274">
        <v>1</v>
      </c>
      <c r="AJ4274">
        <v>1</v>
      </c>
      <c r="AK4274">
        <v>0</v>
      </c>
      <c r="AL4274">
        <v>1</v>
      </c>
      <c r="AM4274">
        <v>0</v>
      </c>
      <c r="AN4274">
        <v>0</v>
      </c>
      <c r="AO4274">
        <v>1</v>
      </c>
      <c r="AP4274">
        <v>1</v>
      </c>
      <c r="AQ4274">
        <v>1</v>
      </c>
      <c r="AR4274">
        <v>1</v>
      </c>
      <c r="AS4274">
        <v>1</v>
      </c>
      <c r="AT4274">
        <v>0</v>
      </c>
      <c r="AV4274">
        <v>1</v>
      </c>
      <c r="AW4274">
        <v>1</v>
      </c>
    </row>
    <row r="4275" spans="1:49" x14ac:dyDescent="0.25">
      <c r="A4275" t="str">
        <f>"4271"</f>
        <v>4271</v>
      </c>
      <c r="B4275" t="str">
        <f t="shared" si="246"/>
        <v>1</v>
      </c>
      <c r="C4275" t="str">
        <f t="shared" si="247"/>
        <v>187</v>
      </c>
      <c r="D4275" t="str">
        <f>"10"</f>
        <v>10</v>
      </c>
      <c r="E4275" t="str">
        <f>"1-187-10"</f>
        <v>1-187-10</v>
      </c>
      <c r="F4275" t="s">
        <v>83</v>
      </c>
      <c r="G4275" t="s">
        <v>84</v>
      </c>
      <c r="H4275" t="s">
        <v>92</v>
      </c>
      <c r="I4275">
        <v>1</v>
      </c>
      <c r="J4275">
        <v>1</v>
      </c>
      <c r="N4275">
        <v>1</v>
      </c>
      <c r="O4275">
        <v>1</v>
      </c>
      <c r="P4275">
        <v>1</v>
      </c>
      <c r="Q4275">
        <v>1</v>
      </c>
      <c r="R4275">
        <v>1</v>
      </c>
      <c r="S4275">
        <v>1</v>
      </c>
      <c r="T4275">
        <v>1</v>
      </c>
      <c r="W4275">
        <v>1</v>
      </c>
      <c r="X4275">
        <v>1</v>
      </c>
      <c r="Y4275">
        <v>0</v>
      </c>
      <c r="Z4275">
        <v>0</v>
      </c>
      <c r="AA4275">
        <v>0</v>
      </c>
      <c r="AB4275">
        <v>1</v>
      </c>
    </row>
    <row r="4276" spans="1:49" x14ac:dyDescent="0.25">
      <c r="A4276" t="str">
        <f>"4272"</f>
        <v>4272</v>
      </c>
      <c r="B4276" t="str">
        <f t="shared" si="246"/>
        <v>1</v>
      </c>
      <c r="C4276" t="str">
        <f t="shared" si="247"/>
        <v>187</v>
      </c>
      <c r="D4276" t="str">
        <f>"3"</f>
        <v>3</v>
      </c>
      <c r="E4276" t="str">
        <f>"1-187-3"</f>
        <v>1-187-3</v>
      </c>
      <c r="F4276" t="s">
        <v>83</v>
      </c>
      <c r="G4276" t="s">
        <v>84</v>
      </c>
      <c r="H4276" t="s">
        <v>85</v>
      </c>
      <c r="AC4276">
        <v>0</v>
      </c>
      <c r="AD4276">
        <v>1</v>
      </c>
      <c r="AE4276">
        <v>0</v>
      </c>
      <c r="AF4276">
        <v>0</v>
      </c>
      <c r="AG4276">
        <v>0</v>
      </c>
      <c r="AJ4276">
        <v>0</v>
      </c>
      <c r="AK4276">
        <v>1</v>
      </c>
      <c r="AL4276">
        <v>0</v>
      </c>
      <c r="AM4276">
        <v>0</v>
      </c>
      <c r="AN4276">
        <v>1</v>
      </c>
      <c r="AO4276">
        <v>0</v>
      </c>
      <c r="AP4276">
        <v>0</v>
      </c>
      <c r="AQ4276">
        <v>0</v>
      </c>
      <c r="AR4276">
        <v>0</v>
      </c>
      <c r="AS4276">
        <v>0</v>
      </c>
      <c r="AT4276">
        <v>1</v>
      </c>
      <c r="AV4276">
        <v>0</v>
      </c>
      <c r="AW4276">
        <v>0</v>
      </c>
    </row>
    <row r="4277" spans="1:49" x14ac:dyDescent="0.25">
      <c r="A4277" t="str">
        <f>"4273"</f>
        <v>4273</v>
      </c>
      <c r="B4277" t="str">
        <f t="shared" si="246"/>
        <v>1</v>
      </c>
      <c r="C4277" t="str">
        <f t="shared" si="247"/>
        <v>187</v>
      </c>
      <c r="D4277" t="str">
        <f>"19"</f>
        <v>19</v>
      </c>
      <c r="E4277" t="str">
        <f>"1-187-19"</f>
        <v>1-187-19</v>
      </c>
      <c r="F4277" t="s">
        <v>83</v>
      </c>
      <c r="G4277" t="s">
        <v>84</v>
      </c>
      <c r="H4277" t="s">
        <v>92</v>
      </c>
      <c r="I4277">
        <v>1</v>
      </c>
      <c r="J4277">
        <v>1</v>
      </c>
      <c r="N4277">
        <v>1</v>
      </c>
      <c r="O4277">
        <v>1</v>
      </c>
      <c r="P4277">
        <v>1</v>
      </c>
      <c r="Q4277">
        <v>1</v>
      </c>
      <c r="R4277">
        <v>1</v>
      </c>
      <c r="S4277">
        <v>1</v>
      </c>
      <c r="T4277">
        <v>1</v>
      </c>
      <c r="W4277">
        <v>1</v>
      </c>
      <c r="X4277">
        <v>1</v>
      </c>
      <c r="Y4277">
        <v>1</v>
      </c>
      <c r="Z4277">
        <v>1</v>
      </c>
      <c r="AA4277">
        <v>1</v>
      </c>
      <c r="AB4277">
        <v>1</v>
      </c>
    </row>
    <row r="4278" spans="1:49" x14ac:dyDescent="0.25">
      <c r="A4278" t="str">
        <f>"4274"</f>
        <v>4274</v>
      </c>
      <c r="B4278" t="str">
        <f t="shared" si="246"/>
        <v>1</v>
      </c>
      <c r="C4278" t="str">
        <f t="shared" si="247"/>
        <v>187</v>
      </c>
      <c r="D4278" t="str">
        <f>"11"</f>
        <v>11</v>
      </c>
      <c r="E4278" t="str">
        <f>"1-187-11"</f>
        <v>1-187-11</v>
      </c>
      <c r="F4278" t="s">
        <v>83</v>
      </c>
      <c r="G4278" t="s">
        <v>84</v>
      </c>
      <c r="H4278" t="s">
        <v>92</v>
      </c>
      <c r="I4278">
        <v>1</v>
      </c>
      <c r="J4278">
        <v>1</v>
      </c>
      <c r="N4278">
        <v>1</v>
      </c>
      <c r="O4278">
        <v>1</v>
      </c>
      <c r="P4278">
        <v>1</v>
      </c>
      <c r="Q4278">
        <v>1</v>
      </c>
      <c r="R4278">
        <v>1</v>
      </c>
      <c r="S4278">
        <v>1</v>
      </c>
      <c r="T4278">
        <v>1</v>
      </c>
      <c r="W4278">
        <v>1</v>
      </c>
      <c r="X4278">
        <v>1</v>
      </c>
      <c r="Y4278">
        <v>1</v>
      </c>
      <c r="Z4278">
        <v>1</v>
      </c>
      <c r="AA4278">
        <v>1</v>
      </c>
      <c r="AB4278">
        <v>1</v>
      </c>
    </row>
    <row r="4279" spans="1:49" x14ac:dyDescent="0.25">
      <c r="A4279" t="str">
        <f>"4275"</f>
        <v>4275</v>
      </c>
      <c r="B4279" t="str">
        <f t="shared" si="246"/>
        <v>1</v>
      </c>
      <c r="C4279" t="str">
        <f t="shared" si="247"/>
        <v>187</v>
      </c>
      <c r="D4279" t="str">
        <f>"7"</f>
        <v>7</v>
      </c>
      <c r="E4279" t="str">
        <f>"1-187-7"</f>
        <v>1-187-7</v>
      </c>
      <c r="F4279" t="s">
        <v>83</v>
      </c>
      <c r="G4279" t="s">
        <v>86</v>
      </c>
      <c r="H4279" t="s">
        <v>93</v>
      </c>
      <c r="I4279">
        <v>1</v>
      </c>
      <c r="K4279">
        <v>0</v>
      </c>
      <c r="L4279">
        <v>0</v>
      </c>
      <c r="M4279">
        <v>1</v>
      </c>
      <c r="N4279">
        <v>1</v>
      </c>
      <c r="O4279">
        <v>0</v>
      </c>
      <c r="P4279">
        <v>0</v>
      </c>
      <c r="Q4279">
        <v>0</v>
      </c>
      <c r="R4279">
        <v>0</v>
      </c>
      <c r="U4279">
        <v>0</v>
      </c>
      <c r="V4279">
        <v>0</v>
      </c>
      <c r="W4279">
        <v>0</v>
      </c>
      <c r="X4279">
        <v>0</v>
      </c>
      <c r="Y4279">
        <v>0</v>
      </c>
      <c r="Z4279">
        <v>0</v>
      </c>
      <c r="AA4279">
        <v>0</v>
      </c>
      <c r="AB4279">
        <v>0</v>
      </c>
    </row>
    <row r="4280" spans="1:49" x14ac:dyDescent="0.25">
      <c r="A4280" t="str">
        <f>"4276"</f>
        <v>4276</v>
      </c>
      <c r="B4280" t="str">
        <f t="shared" si="246"/>
        <v>1</v>
      </c>
      <c r="C4280" t="str">
        <f t="shared" si="247"/>
        <v>187</v>
      </c>
      <c r="D4280" t="str">
        <f>"18"</f>
        <v>18</v>
      </c>
      <c r="E4280" t="str">
        <f>"1-187-18"</f>
        <v>1-187-18</v>
      </c>
      <c r="F4280" t="s">
        <v>83</v>
      </c>
      <c r="G4280" t="s">
        <v>84</v>
      </c>
      <c r="H4280" t="s">
        <v>92</v>
      </c>
      <c r="I4280">
        <v>1</v>
      </c>
      <c r="J4280">
        <v>0</v>
      </c>
      <c r="N4280">
        <v>1</v>
      </c>
      <c r="O4280">
        <v>0</v>
      </c>
      <c r="P4280">
        <v>1</v>
      </c>
      <c r="Q4280">
        <v>1</v>
      </c>
      <c r="R4280">
        <v>1</v>
      </c>
      <c r="S4280">
        <v>1</v>
      </c>
      <c r="T4280">
        <v>0</v>
      </c>
      <c r="W4280">
        <v>1</v>
      </c>
      <c r="X4280">
        <v>1</v>
      </c>
      <c r="Y4280">
        <v>1</v>
      </c>
      <c r="Z4280">
        <v>1</v>
      </c>
      <c r="AA4280">
        <v>1</v>
      </c>
      <c r="AB4280">
        <v>1</v>
      </c>
    </row>
    <row r="4281" spans="1:49" x14ac:dyDescent="0.25">
      <c r="A4281" t="str">
        <f>"4277"</f>
        <v>4277</v>
      </c>
      <c r="B4281" t="str">
        <f t="shared" si="246"/>
        <v>1</v>
      </c>
      <c r="C4281" t="str">
        <f t="shared" si="247"/>
        <v>187</v>
      </c>
      <c r="D4281" t="str">
        <f>"1"</f>
        <v>1</v>
      </c>
      <c r="E4281" t="str">
        <f>"1-187-1"</f>
        <v>1-187-1</v>
      </c>
      <c r="F4281" t="s">
        <v>83</v>
      </c>
      <c r="G4281" t="s">
        <v>86</v>
      </c>
      <c r="H4281" t="s">
        <v>87</v>
      </c>
      <c r="AC4281">
        <v>0</v>
      </c>
      <c r="AD4281">
        <v>1</v>
      </c>
      <c r="AE4281">
        <v>0</v>
      </c>
      <c r="AF4281">
        <v>0</v>
      </c>
      <c r="AH4281">
        <v>0</v>
      </c>
      <c r="AI4281">
        <v>1</v>
      </c>
      <c r="AJ4281">
        <v>1</v>
      </c>
      <c r="AK4281">
        <v>0</v>
      </c>
      <c r="AL4281">
        <v>0</v>
      </c>
      <c r="AM4281">
        <v>0</v>
      </c>
      <c r="AN4281">
        <v>1</v>
      </c>
      <c r="AO4281">
        <v>1</v>
      </c>
      <c r="AP4281">
        <v>1</v>
      </c>
      <c r="AQ4281">
        <v>1</v>
      </c>
      <c r="AU4281">
        <v>1</v>
      </c>
      <c r="AV4281">
        <v>1</v>
      </c>
      <c r="AW4281">
        <v>1</v>
      </c>
    </row>
    <row r="4282" spans="1:49" x14ac:dyDescent="0.25">
      <c r="A4282" t="str">
        <f>"4278"</f>
        <v>4278</v>
      </c>
      <c r="B4282" t="str">
        <f t="shared" si="246"/>
        <v>1</v>
      </c>
      <c r="C4282" t="str">
        <f t="shared" si="247"/>
        <v>187</v>
      </c>
      <c r="D4282" t="str">
        <f>"21"</f>
        <v>21</v>
      </c>
      <c r="E4282" t="str">
        <f>"1-187-21"</f>
        <v>1-187-21</v>
      </c>
      <c r="F4282" t="s">
        <v>83</v>
      </c>
      <c r="G4282" t="s">
        <v>84</v>
      </c>
      <c r="H4282" t="s">
        <v>85</v>
      </c>
      <c r="AC4282">
        <v>1</v>
      </c>
      <c r="AD4282">
        <v>0</v>
      </c>
      <c r="AE4282">
        <v>0</v>
      </c>
      <c r="AF4282">
        <v>0</v>
      </c>
      <c r="AG4282">
        <v>1</v>
      </c>
      <c r="AJ4282">
        <v>1</v>
      </c>
      <c r="AK4282">
        <v>0</v>
      </c>
      <c r="AL4282">
        <v>0</v>
      </c>
      <c r="AM4282">
        <v>0</v>
      </c>
      <c r="AN4282">
        <v>1</v>
      </c>
      <c r="AO4282">
        <v>1</v>
      </c>
      <c r="AP4282">
        <v>1</v>
      </c>
      <c r="AQ4282">
        <v>1</v>
      </c>
      <c r="AR4282">
        <v>1</v>
      </c>
      <c r="AS4282">
        <v>1</v>
      </c>
      <c r="AT4282">
        <v>0</v>
      </c>
      <c r="AV4282">
        <v>1</v>
      </c>
      <c r="AW4282">
        <v>1</v>
      </c>
    </row>
    <row r="4283" spans="1:49" x14ac:dyDescent="0.25">
      <c r="A4283" t="str">
        <f>"4279"</f>
        <v>4279</v>
      </c>
      <c r="B4283" t="str">
        <f t="shared" si="246"/>
        <v>1</v>
      </c>
      <c r="C4283" t="str">
        <f t="shared" si="247"/>
        <v>187</v>
      </c>
      <c r="D4283" t="str">
        <f>"13"</f>
        <v>13</v>
      </c>
      <c r="E4283" t="str">
        <f>"1-187-13"</f>
        <v>1-187-13</v>
      </c>
      <c r="F4283" t="s">
        <v>83</v>
      </c>
      <c r="G4283" t="s">
        <v>84</v>
      </c>
      <c r="H4283" t="s">
        <v>85</v>
      </c>
      <c r="AC4283">
        <v>0</v>
      </c>
      <c r="AD4283">
        <v>1</v>
      </c>
      <c r="AE4283">
        <v>0</v>
      </c>
      <c r="AF4283">
        <v>0</v>
      </c>
      <c r="AG4283">
        <v>0</v>
      </c>
      <c r="AJ4283">
        <v>1</v>
      </c>
      <c r="AK4283">
        <v>0</v>
      </c>
      <c r="AL4283">
        <v>0</v>
      </c>
      <c r="AM4283">
        <v>1</v>
      </c>
      <c r="AN4283">
        <v>0</v>
      </c>
      <c r="AO4283">
        <v>0</v>
      </c>
      <c r="AP4283">
        <v>0</v>
      </c>
      <c r="AQ4283">
        <v>0</v>
      </c>
      <c r="AR4283">
        <v>0</v>
      </c>
      <c r="AS4283">
        <v>1</v>
      </c>
      <c r="AT4283">
        <v>0</v>
      </c>
      <c r="AV4283">
        <v>0</v>
      </c>
      <c r="AW4283">
        <v>0</v>
      </c>
    </row>
    <row r="4284" spans="1:49" x14ac:dyDescent="0.25">
      <c r="A4284" t="str">
        <f>"4280"</f>
        <v>4280</v>
      </c>
      <c r="B4284" t="str">
        <f t="shared" si="246"/>
        <v>1</v>
      </c>
      <c r="C4284" t="str">
        <f t="shared" si="247"/>
        <v>187</v>
      </c>
      <c r="D4284" t="str">
        <f>"2"</f>
        <v>2</v>
      </c>
      <c r="E4284" t="str">
        <f>"1-187-2"</f>
        <v>1-187-2</v>
      </c>
      <c r="F4284" t="s">
        <v>83</v>
      </c>
      <c r="G4284" t="s">
        <v>84</v>
      </c>
      <c r="H4284" t="s">
        <v>92</v>
      </c>
      <c r="I4284">
        <v>1</v>
      </c>
      <c r="J4284">
        <v>1</v>
      </c>
      <c r="N4284">
        <v>1</v>
      </c>
      <c r="O4284">
        <v>1</v>
      </c>
      <c r="P4284">
        <v>1</v>
      </c>
      <c r="Q4284">
        <v>1</v>
      </c>
      <c r="R4284">
        <v>1</v>
      </c>
      <c r="S4284">
        <v>1</v>
      </c>
      <c r="T4284">
        <v>1</v>
      </c>
      <c r="W4284">
        <v>1</v>
      </c>
      <c r="X4284">
        <v>1</v>
      </c>
      <c r="Y4284">
        <v>1</v>
      </c>
      <c r="Z4284">
        <v>1</v>
      </c>
      <c r="AA4284">
        <v>1</v>
      </c>
      <c r="AB4284">
        <v>1</v>
      </c>
    </row>
    <row r="4285" spans="1:49" x14ac:dyDescent="0.25">
      <c r="A4285" t="str">
        <f>"4281"</f>
        <v>4281</v>
      </c>
      <c r="B4285" t="str">
        <f t="shared" si="246"/>
        <v>1</v>
      </c>
      <c r="C4285" t="str">
        <f t="shared" si="247"/>
        <v>187</v>
      </c>
      <c r="D4285" t="str">
        <f>"20"</f>
        <v>20</v>
      </c>
      <c r="E4285" t="str">
        <f>"1-187-20"</f>
        <v>1-187-20</v>
      </c>
      <c r="F4285" t="s">
        <v>83</v>
      </c>
      <c r="G4285" t="s">
        <v>84</v>
      </c>
      <c r="H4285" t="s">
        <v>92</v>
      </c>
      <c r="I4285">
        <v>0</v>
      </c>
      <c r="J4285">
        <v>1</v>
      </c>
      <c r="N4285">
        <v>1</v>
      </c>
      <c r="O4285">
        <v>1</v>
      </c>
      <c r="P4285">
        <v>1</v>
      </c>
      <c r="Q4285">
        <v>1</v>
      </c>
      <c r="R4285">
        <v>1</v>
      </c>
      <c r="S4285">
        <v>1</v>
      </c>
      <c r="T4285">
        <v>1</v>
      </c>
      <c r="W4285">
        <v>1</v>
      </c>
      <c r="X4285">
        <v>1</v>
      </c>
      <c r="Y4285">
        <v>1</v>
      </c>
      <c r="Z4285">
        <v>1</v>
      </c>
      <c r="AA4285">
        <v>1</v>
      </c>
      <c r="AB4285">
        <v>1</v>
      </c>
    </row>
    <row r="4286" spans="1:49" x14ac:dyDescent="0.25">
      <c r="A4286" t="str">
        <f>"4282"</f>
        <v>4282</v>
      </c>
      <c r="B4286" t="str">
        <f t="shared" si="246"/>
        <v>1</v>
      </c>
      <c r="C4286" t="str">
        <f t="shared" si="247"/>
        <v>187</v>
      </c>
      <c r="D4286" t="str">
        <f>"14"</f>
        <v>14</v>
      </c>
      <c r="E4286" t="str">
        <f>"1-187-14"</f>
        <v>1-187-14</v>
      </c>
      <c r="F4286" t="s">
        <v>83</v>
      </c>
      <c r="G4286" t="s">
        <v>86</v>
      </c>
      <c r="H4286" t="s">
        <v>87</v>
      </c>
      <c r="AC4286">
        <v>1</v>
      </c>
      <c r="AD4286">
        <v>0</v>
      </c>
      <c r="AE4286">
        <v>0</v>
      </c>
      <c r="AF4286">
        <v>0</v>
      </c>
      <c r="AH4286">
        <v>1</v>
      </c>
      <c r="AI4286">
        <v>0</v>
      </c>
      <c r="AJ4286">
        <v>0</v>
      </c>
      <c r="AK4286">
        <v>1</v>
      </c>
      <c r="AL4286">
        <v>0</v>
      </c>
      <c r="AM4286">
        <v>1</v>
      </c>
      <c r="AN4286">
        <v>0</v>
      </c>
      <c r="AO4286">
        <v>1</v>
      </c>
      <c r="AP4286">
        <v>1</v>
      </c>
      <c r="AQ4286">
        <v>1</v>
      </c>
      <c r="AU4286">
        <v>1</v>
      </c>
      <c r="AV4286">
        <v>1</v>
      </c>
      <c r="AW4286">
        <v>1</v>
      </c>
    </row>
    <row r="4287" spans="1:49" x14ac:dyDescent="0.25">
      <c r="A4287" t="str">
        <f>"4283"</f>
        <v>4283</v>
      </c>
      <c r="B4287" t="str">
        <f t="shared" si="246"/>
        <v>1</v>
      </c>
      <c r="C4287" t="str">
        <f t="shared" si="247"/>
        <v>187</v>
      </c>
      <c r="D4287" t="str">
        <f>"5"</f>
        <v>5</v>
      </c>
      <c r="E4287" t="str">
        <f>"1-187-5"</f>
        <v>1-187-5</v>
      </c>
      <c r="F4287" t="s">
        <v>83</v>
      </c>
      <c r="G4287" t="s">
        <v>84</v>
      </c>
      <c r="H4287" t="s">
        <v>85</v>
      </c>
      <c r="AC4287">
        <v>0</v>
      </c>
      <c r="AD4287">
        <v>0</v>
      </c>
      <c r="AE4287">
        <v>0</v>
      </c>
      <c r="AF4287">
        <v>0</v>
      </c>
      <c r="AG4287">
        <v>0</v>
      </c>
      <c r="AJ4287">
        <v>0</v>
      </c>
      <c r="AK4287">
        <v>1</v>
      </c>
      <c r="AL4287">
        <v>0</v>
      </c>
      <c r="AM4287">
        <v>0</v>
      </c>
      <c r="AN4287">
        <v>0</v>
      </c>
      <c r="AO4287">
        <v>0</v>
      </c>
      <c r="AP4287">
        <v>0</v>
      </c>
      <c r="AQ4287">
        <v>0</v>
      </c>
      <c r="AR4287">
        <v>0</v>
      </c>
      <c r="AS4287">
        <v>0</v>
      </c>
      <c r="AT4287">
        <v>0</v>
      </c>
      <c r="AV4287">
        <v>0</v>
      </c>
      <c r="AW4287">
        <v>0</v>
      </c>
    </row>
    <row r="4288" spans="1:49" x14ac:dyDescent="0.25">
      <c r="A4288" t="str">
        <f>"4284"</f>
        <v>4284</v>
      </c>
      <c r="B4288" t="str">
        <f t="shared" si="246"/>
        <v>1</v>
      </c>
      <c r="C4288" t="str">
        <f t="shared" si="247"/>
        <v>187</v>
      </c>
      <c r="D4288" t="str">
        <f>"12"</f>
        <v>12</v>
      </c>
      <c r="E4288" t="str">
        <f>"1-187-12"</f>
        <v>1-187-12</v>
      </c>
      <c r="F4288" t="s">
        <v>83</v>
      </c>
      <c r="G4288" t="s">
        <v>84</v>
      </c>
      <c r="H4288" t="s">
        <v>85</v>
      </c>
      <c r="AC4288">
        <v>1</v>
      </c>
      <c r="AD4288">
        <v>0</v>
      </c>
      <c r="AE4288">
        <v>0</v>
      </c>
      <c r="AF4288">
        <v>0</v>
      </c>
      <c r="AG4288">
        <v>1</v>
      </c>
      <c r="AJ4288">
        <v>0</v>
      </c>
      <c r="AK4288">
        <v>1</v>
      </c>
      <c r="AL4288">
        <v>1</v>
      </c>
      <c r="AM4288">
        <v>0</v>
      </c>
      <c r="AN4288">
        <v>0</v>
      </c>
      <c r="AO4288">
        <v>0</v>
      </c>
      <c r="AP4288">
        <v>0</v>
      </c>
      <c r="AQ4288">
        <v>0</v>
      </c>
      <c r="AR4288">
        <v>0</v>
      </c>
      <c r="AS4288">
        <v>0</v>
      </c>
      <c r="AT4288">
        <v>1</v>
      </c>
      <c r="AV4288">
        <v>0</v>
      </c>
      <c r="AW4288">
        <v>0</v>
      </c>
    </row>
    <row r="4289" spans="1:49" x14ac:dyDescent="0.25">
      <c r="A4289" t="str">
        <f>"4285"</f>
        <v>4285</v>
      </c>
      <c r="B4289" t="str">
        <f t="shared" si="246"/>
        <v>1</v>
      </c>
      <c r="C4289" t="str">
        <f t="shared" si="247"/>
        <v>187</v>
      </c>
      <c r="D4289" t="str">
        <f>"22"</f>
        <v>22</v>
      </c>
      <c r="E4289" t="str">
        <f>"1-187-22"</f>
        <v>1-187-22</v>
      </c>
      <c r="F4289" t="s">
        <v>83</v>
      </c>
      <c r="G4289" t="s">
        <v>84</v>
      </c>
      <c r="H4289" t="s">
        <v>85</v>
      </c>
      <c r="AC4289">
        <v>0</v>
      </c>
      <c r="AD4289">
        <v>1</v>
      </c>
      <c r="AE4289">
        <v>0</v>
      </c>
      <c r="AF4289">
        <v>0</v>
      </c>
      <c r="AG4289">
        <v>0</v>
      </c>
      <c r="AJ4289">
        <v>1</v>
      </c>
      <c r="AK4289">
        <v>0</v>
      </c>
      <c r="AL4289">
        <v>1</v>
      </c>
      <c r="AM4289">
        <v>0</v>
      </c>
      <c r="AN4289">
        <v>0</v>
      </c>
      <c r="AO4289">
        <v>0</v>
      </c>
      <c r="AP4289">
        <v>0</v>
      </c>
      <c r="AQ4289">
        <v>0</v>
      </c>
      <c r="AR4289">
        <v>0</v>
      </c>
      <c r="AS4289">
        <v>1</v>
      </c>
      <c r="AT4289">
        <v>0</v>
      </c>
      <c r="AV4289">
        <v>0</v>
      </c>
      <c r="AW4289">
        <v>0</v>
      </c>
    </row>
    <row r="4290" spans="1:49" x14ac:dyDescent="0.25">
      <c r="A4290" t="str">
        <f>"4286"</f>
        <v>4286</v>
      </c>
      <c r="B4290" t="str">
        <f t="shared" si="246"/>
        <v>1</v>
      </c>
      <c r="C4290" t="str">
        <f t="shared" ref="C4290:C4312" si="248">"188"</f>
        <v>188</v>
      </c>
      <c r="D4290" t="str">
        <f>"23"</f>
        <v>23</v>
      </c>
      <c r="E4290" t="str">
        <f>"1-188-23"</f>
        <v>1-188-23</v>
      </c>
      <c r="F4290" t="s">
        <v>83</v>
      </c>
      <c r="G4290" t="s">
        <v>84</v>
      </c>
      <c r="H4290" t="s">
        <v>92</v>
      </c>
      <c r="I4290">
        <v>1</v>
      </c>
      <c r="J4290">
        <v>1</v>
      </c>
      <c r="N4290">
        <v>1</v>
      </c>
      <c r="O4290">
        <v>1</v>
      </c>
      <c r="P4290">
        <v>1</v>
      </c>
      <c r="Q4290">
        <v>1</v>
      </c>
      <c r="R4290">
        <v>1</v>
      </c>
      <c r="S4290">
        <v>1</v>
      </c>
      <c r="T4290">
        <v>1</v>
      </c>
      <c r="W4290">
        <v>1</v>
      </c>
      <c r="X4290">
        <v>1</v>
      </c>
      <c r="Y4290">
        <v>1</v>
      </c>
      <c r="Z4290">
        <v>1</v>
      </c>
      <c r="AA4290">
        <v>1</v>
      </c>
      <c r="AB4290">
        <v>1</v>
      </c>
    </row>
    <row r="4291" spans="1:49" x14ac:dyDescent="0.25">
      <c r="A4291" t="str">
        <f>"4287"</f>
        <v>4287</v>
      </c>
      <c r="B4291" t="str">
        <f t="shared" si="246"/>
        <v>1</v>
      </c>
      <c r="C4291" t="str">
        <f t="shared" si="248"/>
        <v>188</v>
      </c>
      <c r="D4291" t="str">
        <f>"22"</f>
        <v>22</v>
      </c>
      <c r="E4291" t="str">
        <f>"1-188-22"</f>
        <v>1-188-22</v>
      </c>
      <c r="F4291" t="s">
        <v>83</v>
      </c>
      <c r="G4291" t="s">
        <v>84</v>
      </c>
      <c r="H4291" t="s">
        <v>92</v>
      </c>
      <c r="I4291">
        <v>1</v>
      </c>
      <c r="J4291">
        <v>1</v>
      </c>
      <c r="N4291">
        <v>1</v>
      </c>
      <c r="O4291">
        <v>1</v>
      </c>
      <c r="P4291">
        <v>1</v>
      </c>
      <c r="Q4291">
        <v>1</v>
      </c>
      <c r="R4291">
        <v>1</v>
      </c>
      <c r="S4291">
        <v>1</v>
      </c>
      <c r="T4291">
        <v>1</v>
      </c>
      <c r="W4291">
        <v>1</v>
      </c>
      <c r="X4291">
        <v>1</v>
      </c>
      <c r="Y4291">
        <v>1</v>
      </c>
      <c r="Z4291">
        <v>1</v>
      </c>
      <c r="AA4291">
        <v>1</v>
      </c>
      <c r="AB4291">
        <v>1</v>
      </c>
    </row>
    <row r="4292" spans="1:49" x14ac:dyDescent="0.25">
      <c r="A4292" t="str">
        <f>"4288"</f>
        <v>4288</v>
      </c>
      <c r="B4292" t="str">
        <f t="shared" si="246"/>
        <v>1</v>
      </c>
      <c r="C4292" t="str">
        <f t="shared" si="248"/>
        <v>188</v>
      </c>
      <c r="D4292" t="str">
        <f>"15"</f>
        <v>15</v>
      </c>
      <c r="E4292" t="str">
        <f>"1-188-15"</f>
        <v>1-188-15</v>
      </c>
      <c r="F4292" t="s">
        <v>83</v>
      </c>
      <c r="G4292" t="s">
        <v>84</v>
      </c>
      <c r="H4292" t="s">
        <v>92</v>
      </c>
      <c r="I4292">
        <v>1</v>
      </c>
      <c r="J4292">
        <v>1</v>
      </c>
      <c r="N4292">
        <v>1</v>
      </c>
      <c r="O4292">
        <v>1</v>
      </c>
      <c r="P4292">
        <v>1</v>
      </c>
      <c r="Q4292">
        <v>1</v>
      </c>
      <c r="R4292">
        <v>1</v>
      </c>
      <c r="S4292">
        <v>1</v>
      </c>
      <c r="T4292">
        <v>1</v>
      </c>
      <c r="W4292">
        <v>1</v>
      </c>
      <c r="X4292">
        <v>1</v>
      </c>
      <c r="Y4292">
        <v>1</v>
      </c>
      <c r="Z4292">
        <v>1</v>
      </c>
      <c r="AA4292">
        <v>1</v>
      </c>
      <c r="AB4292">
        <v>1</v>
      </c>
    </row>
    <row r="4293" spans="1:49" x14ac:dyDescent="0.25">
      <c r="A4293" t="str">
        <f>"4289"</f>
        <v>4289</v>
      </c>
      <c r="B4293" t="str">
        <f t="shared" si="246"/>
        <v>1</v>
      </c>
      <c r="C4293" t="str">
        <f t="shared" si="248"/>
        <v>188</v>
      </c>
      <c r="D4293" t="str">
        <f>"8"</f>
        <v>8</v>
      </c>
      <c r="E4293" t="str">
        <f>"1-188-8"</f>
        <v>1-188-8</v>
      </c>
      <c r="F4293" t="s">
        <v>83</v>
      </c>
      <c r="G4293" t="s">
        <v>86</v>
      </c>
      <c r="H4293" t="s">
        <v>93</v>
      </c>
      <c r="I4293">
        <v>1</v>
      </c>
      <c r="K4293">
        <v>0</v>
      </c>
      <c r="L4293">
        <v>0</v>
      </c>
      <c r="M4293">
        <v>1</v>
      </c>
      <c r="N4293">
        <v>1</v>
      </c>
      <c r="O4293">
        <v>1</v>
      </c>
      <c r="P4293">
        <v>1</v>
      </c>
      <c r="Q4293">
        <v>1</v>
      </c>
      <c r="R4293">
        <v>1</v>
      </c>
      <c r="U4293">
        <v>0</v>
      </c>
      <c r="V4293">
        <v>1</v>
      </c>
      <c r="W4293">
        <v>1</v>
      </c>
      <c r="X4293">
        <v>1</v>
      </c>
      <c r="Y4293">
        <v>1</v>
      </c>
      <c r="Z4293">
        <v>1</v>
      </c>
      <c r="AA4293">
        <v>1</v>
      </c>
      <c r="AB4293">
        <v>1</v>
      </c>
    </row>
    <row r="4294" spans="1:49" x14ac:dyDescent="0.25">
      <c r="A4294" t="str">
        <f>"4290"</f>
        <v>4290</v>
      </c>
      <c r="B4294" t="str">
        <f t="shared" si="246"/>
        <v>1</v>
      </c>
      <c r="C4294" t="str">
        <f t="shared" si="248"/>
        <v>188</v>
      </c>
      <c r="D4294" t="str">
        <f>"3"</f>
        <v>3</v>
      </c>
      <c r="E4294" t="str">
        <f>"1-188-3"</f>
        <v>1-188-3</v>
      </c>
      <c r="F4294" t="s">
        <v>83</v>
      </c>
      <c r="G4294" t="s">
        <v>84</v>
      </c>
      <c r="H4294" t="s">
        <v>92</v>
      </c>
      <c r="I4294">
        <v>1</v>
      </c>
      <c r="J4294">
        <v>1</v>
      </c>
      <c r="N4294">
        <v>1</v>
      </c>
      <c r="O4294">
        <v>1</v>
      </c>
      <c r="P4294">
        <v>1</v>
      </c>
      <c r="Q4294">
        <v>1</v>
      </c>
      <c r="R4294">
        <v>1</v>
      </c>
      <c r="S4294">
        <v>1</v>
      </c>
      <c r="T4294">
        <v>1</v>
      </c>
      <c r="W4294">
        <v>1</v>
      </c>
      <c r="X4294">
        <v>1</v>
      </c>
      <c r="Y4294">
        <v>1</v>
      </c>
      <c r="Z4294">
        <v>1</v>
      </c>
      <c r="AA4294">
        <v>1</v>
      </c>
      <c r="AB4294">
        <v>1</v>
      </c>
    </row>
    <row r="4295" spans="1:49" x14ac:dyDescent="0.25">
      <c r="A4295" t="str">
        <f>"4291"</f>
        <v>4291</v>
      </c>
      <c r="B4295" t="str">
        <f t="shared" si="246"/>
        <v>1</v>
      </c>
      <c r="C4295" t="str">
        <f t="shared" si="248"/>
        <v>188</v>
      </c>
      <c r="D4295" t="str">
        <f>"16"</f>
        <v>16</v>
      </c>
      <c r="E4295" t="str">
        <f>"1-188-16"</f>
        <v>1-188-16</v>
      </c>
      <c r="F4295" t="s">
        <v>83</v>
      </c>
      <c r="G4295" t="s">
        <v>84</v>
      </c>
      <c r="H4295" t="s">
        <v>92</v>
      </c>
      <c r="I4295">
        <v>1</v>
      </c>
      <c r="J4295">
        <v>0</v>
      </c>
      <c r="N4295">
        <v>1</v>
      </c>
      <c r="O4295">
        <v>0</v>
      </c>
      <c r="P4295">
        <v>0</v>
      </c>
      <c r="Q4295">
        <v>1</v>
      </c>
      <c r="R4295">
        <v>0</v>
      </c>
      <c r="S4295">
        <v>0</v>
      </c>
      <c r="T4295">
        <v>0</v>
      </c>
      <c r="W4295">
        <v>0</v>
      </c>
      <c r="X4295">
        <v>0</v>
      </c>
      <c r="Y4295">
        <v>0</v>
      </c>
      <c r="Z4295">
        <v>0</v>
      </c>
      <c r="AA4295">
        <v>0</v>
      </c>
      <c r="AB4295">
        <v>0</v>
      </c>
    </row>
    <row r="4296" spans="1:49" x14ac:dyDescent="0.25">
      <c r="A4296" t="str">
        <f>"4292"</f>
        <v>4292</v>
      </c>
      <c r="B4296" t="str">
        <f t="shared" si="246"/>
        <v>1</v>
      </c>
      <c r="C4296" t="str">
        <f t="shared" si="248"/>
        <v>188</v>
      </c>
      <c r="D4296" t="str">
        <f>"9"</f>
        <v>9</v>
      </c>
      <c r="E4296" t="str">
        <f>"1-188-9"</f>
        <v>1-188-9</v>
      </c>
      <c r="F4296" t="s">
        <v>83</v>
      </c>
      <c r="G4296" t="s">
        <v>84</v>
      </c>
      <c r="H4296" t="s">
        <v>92</v>
      </c>
      <c r="I4296">
        <v>1</v>
      </c>
      <c r="J4296">
        <v>1</v>
      </c>
      <c r="N4296">
        <v>1</v>
      </c>
      <c r="O4296">
        <v>1</v>
      </c>
      <c r="P4296">
        <v>1</v>
      </c>
      <c r="Q4296">
        <v>1</v>
      </c>
      <c r="R4296">
        <v>1</v>
      </c>
      <c r="S4296">
        <v>1</v>
      </c>
      <c r="T4296">
        <v>1</v>
      </c>
      <c r="W4296">
        <v>1</v>
      </c>
      <c r="X4296">
        <v>1</v>
      </c>
      <c r="Y4296">
        <v>1</v>
      </c>
      <c r="Z4296">
        <v>1</v>
      </c>
      <c r="AA4296">
        <v>1</v>
      </c>
      <c r="AB4296">
        <v>1</v>
      </c>
    </row>
    <row r="4297" spans="1:49" x14ac:dyDescent="0.25">
      <c r="A4297" t="str">
        <f>"4293"</f>
        <v>4293</v>
      </c>
      <c r="B4297" t="str">
        <f t="shared" si="246"/>
        <v>1</v>
      </c>
      <c r="C4297" t="str">
        <f t="shared" si="248"/>
        <v>188</v>
      </c>
      <c r="D4297" t="str">
        <f>"4"</f>
        <v>4</v>
      </c>
      <c r="E4297" t="str">
        <f>"1-188-4"</f>
        <v>1-188-4</v>
      </c>
      <c r="F4297" t="s">
        <v>83</v>
      </c>
      <c r="G4297" t="s">
        <v>84</v>
      </c>
      <c r="H4297" t="s">
        <v>92</v>
      </c>
      <c r="I4297">
        <v>1</v>
      </c>
      <c r="J4297">
        <v>1</v>
      </c>
      <c r="N4297">
        <v>1</v>
      </c>
      <c r="O4297">
        <v>1</v>
      </c>
      <c r="P4297">
        <v>1</v>
      </c>
      <c r="Q4297">
        <v>1</v>
      </c>
      <c r="R4297">
        <v>1</v>
      </c>
      <c r="S4297">
        <v>1</v>
      </c>
      <c r="T4297">
        <v>1</v>
      </c>
      <c r="W4297">
        <v>1</v>
      </c>
      <c r="X4297">
        <v>1</v>
      </c>
      <c r="Y4297">
        <v>1</v>
      </c>
      <c r="Z4297">
        <v>1</v>
      </c>
      <c r="AA4297">
        <v>1</v>
      </c>
      <c r="AB4297">
        <v>1</v>
      </c>
    </row>
    <row r="4298" spans="1:49" x14ac:dyDescent="0.25">
      <c r="A4298" t="str">
        <f>"4294"</f>
        <v>4294</v>
      </c>
      <c r="B4298" t="str">
        <f t="shared" si="246"/>
        <v>1</v>
      </c>
      <c r="C4298" t="str">
        <f t="shared" si="248"/>
        <v>188</v>
      </c>
      <c r="D4298" t="str">
        <f>"17"</f>
        <v>17</v>
      </c>
      <c r="E4298" t="str">
        <f>"1-188-17"</f>
        <v>1-188-17</v>
      </c>
      <c r="F4298" t="s">
        <v>83</v>
      </c>
      <c r="G4298" t="s">
        <v>84</v>
      </c>
      <c r="H4298" t="s">
        <v>92</v>
      </c>
      <c r="I4298">
        <v>1</v>
      </c>
      <c r="J4298">
        <v>1</v>
      </c>
      <c r="N4298">
        <v>0</v>
      </c>
      <c r="O4298">
        <v>0</v>
      </c>
      <c r="P4298">
        <v>0</v>
      </c>
      <c r="Q4298">
        <v>0</v>
      </c>
      <c r="R4298">
        <v>0</v>
      </c>
      <c r="S4298">
        <v>1</v>
      </c>
      <c r="T4298">
        <v>1</v>
      </c>
      <c r="W4298">
        <v>1</v>
      </c>
      <c r="X4298">
        <v>1</v>
      </c>
      <c r="Y4298">
        <v>0</v>
      </c>
      <c r="Z4298">
        <v>0</v>
      </c>
      <c r="AA4298">
        <v>0</v>
      </c>
      <c r="AB4298">
        <v>1</v>
      </c>
    </row>
    <row r="4299" spans="1:49" x14ac:dyDescent="0.25">
      <c r="A4299" t="str">
        <f>"4295"</f>
        <v>4295</v>
      </c>
      <c r="B4299" t="str">
        <f t="shared" si="246"/>
        <v>1</v>
      </c>
      <c r="C4299" t="str">
        <f t="shared" si="248"/>
        <v>188</v>
      </c>
      <c r="D4299" t="str">
        <f>"10"</f>
        <v>10</v>
      </c>
      <c r="E4299" t="str">
        <f>"1-188-10"</f>
        <v>1-188-10</v>
      </c>
      <c r="F4299" t="s">
        <v>83</v>
      </c>
      <c r="G4299" t="s">
        <v>84</v>
      </c>
      <c r="H4299" t="s">
        <v>92</v>
      </c>
      <c r="I4299">
        <v>1</v>
      </c>
      <c r="J4299">
        <v>1</v>
      </c>
      <c r="N4299">
        <v>1</v>
      </c>
      <c r="O4299">
        <v>1</v>
      </c>
      <c r="P4299">
        <v>1</v>
      </c>
      <c r="Q4299">
        <v>1</v>
      </c>
      <c r="R4299">
        <v>1</v>
      </c>
      <c r="S4299">
        <v>1</v>
      </c>
      <c r="T4299">
        <v>1</v>
      </c>
      <c r="W4299">
        <v>1</v>
      </c>
      <c r="X4299">
        <v>1</v>
      </c>
      <c r="Y4299">
        <v>1</v>
      </c>
      <c r="Z4299">
        <v>1</v>
      </c>
      <c r="AA4299">
        <v>1</v>
      </c>
      <c r="AB4299">
        <v>1</v>
      </c>
    </row>
    <row r="4300" spans="1:49" x14ac:dyDescent="0.25">
      <c r="A4300" t="str">
        <f>"4296"</f>
        <v>4296</v>
      </c>
      <c r="B4300" t="str">
        <f t="shared" si="246"/>
        <v>1</v>
      </c>
      <c r="C4300" t="str">
        <f t="shared" si="248"/>
        <v>188</v>
      </c>
      <c r="D4300" t="str">
        <f>"5"</f>
        <v>5</v>
      </c>
      <c r="E4300" t="str">
        <f>"1-188-5"</f>
        <v>1-188-5</v>
      </c>
      <c r="F4300" t="s">
        <v>83</v>
      </c>
      <c r="G4300" t="s">
        <v>84</v>
      </c>
      <c r="H4300" t="s">
        <v>92</v>
      </c>
      <c r="I4300">
        <v>1</v>
      </c>
      <c r="J4300">
        <v>1</v>
      </c>
      <c r="N4300">
        <v>1</v>
      </c>
      <c r="O4300">
        <v>1</v>
      </c>
      <c r="P4300">
        <v>1</v>
      </c>
      <c r="Q4300">
        <v>1</v>
      </c>
      <c r="R4300">
        <v>1</v>
      </c>
      <c r="S4300">
        <v>1</v>
      </c>
      <c r="T4300">
        <v>1</v>
      </c>
      <c r="W4300">
        <v>1</v>
      </c>
      <c r="X4300">
        <v>1</v>
      </c>
      <c r="Y4300">
        <v>1</v>
      </c>
      <c r="Z4300">
        <v>1</v>
      </c>
      <c r="AA4300">
        <v>1</v>
      </c>
      <c r="AB4300">
        <v>1</v>
      </c>
    </row>
    <row r="4301" spans="1:49" x14ac:dyDescent="0.25">
      <c r="A4301" t="str">
        <f>"4297"</f>
        <v>4297</v>
      </c>
      <c r="B4301" t="str">
        <f t="shared" si="246"/>
        <v>1</v>
      </c>
      <c r="C4301" t="str">
        <f t="shared" si="248"/>
        <v>188</v>
      </c>
      <c r="D4301" t="str">
        <f>"18"</f>
        <v>18</v>
      </c>
      <c r="E4301" t="str">
        <f>"1-188-18"</f>
        <v>1-188-18</v>
      </c>
      <c r="F4301" t="s">
        <v>83</v>
      </c>
      <c r="G4301" t="s">
        <v>84</v>
      </c>
      <c r="H4301" t="s">
        <v>92</v>
      </c>
      <c r="I4301">
        <v>1</v>
      </c>
      <c r="J4301">
        <v>1</v>
      </c>
      <c r="N4301">
        <v>1</v>
      </c>
      <c r="O4301">
        <v>1</v>
      </c>
      <c r="P4301">
        <v>1</v>
      </c>
      <c r="Q4301">
        <v>1</v>
      </c>
      <c r="R4301">
        <v>1</v>
      </c>
      <c r="S4301">
        <v>1</v>
      </c>
      <c r="T4301">
        <v>1</v>
      </c>
      <c r="W4301">
        <v>1</v>
      </c>
      <c r="X4301">
        <v>1</v>
      </c>
      <c r="Y4301">
        <v>1</v>
      </c>
      <c r="Z4301">
        <v>1</v>
      </c>
      <c r="AA4301">
        <v>1</v>
      </c>
      <c r="AB4301">
        <v>1</v>
      </c>
    </row>
    <row r="4302" spans="1:49" x14ac:dyDescent="0.25">
      <c r="A4302" t="str">
        <f>"4298"</f>
        <v>4298</v>
      </c>
      <c r="B4302" t="str">
        <f t="shared" si="246"/>
        <v>1</v>
      </c>
      <c r="C4302" t="str">
        <f t="shared" si="248"/>
        <v>188</v>
      </c>
      <c r="D4302" t="str">
        <f>"11"</f>
        <v>11</v>
      </c>
      <c r="E4302" t="str">
        <f>"1-188-11"</f>
        <v>1-188-11</v>
      </c>
      <c r="F4302" t="s">
        <v>83</v>
      </c>
      <c r="G4302" t="s">
        <v>84</v>
      </c>
      <c r="H4302" t="s">
        <v>92</v>
      </c>
      <c r="I4302">
        <v>1</v>
      </c>
      <c r="J4302">
        <v>1</v>
      </c>
      <c r="N4302">
        <v>1</v>
      </c>
      <c r="O4302">
        <v>1</v>
      </c>
      <c r="P4302">
        <v>1</v>
      </c>
      <c r="Q4302">
        <v>1</v>
      </c>
      <c r="R4302">
        <v>1</v>
      </c>
      <c r="S4302">
        <v>1</v>
      </c>
      <c r="T4302">
        <v>1</v>
      </c>
      <c r="W4302">
        <v>1</v>
      </c>
      <c r="X4302">
        <v>1</v>
      </c>
      <c r="Y4302">
        <v>1</v>
      </c>
      <c r="Z4302">
        <v>1</v>
      </c>
      <c r="AA4302">
        <v>1</v>
      </c>
      <c r="AB4302">
        <v>1</v>
      </c>
    </row>
    <row r="4303" spans="1:49" x14ac:dyDescent="0.25">
      <c r="A4303" t="str">
        <f>"4299"</f>
        <v>4299</v>
      </c>
      <c r="B4303" t="str">
        <f t="shared" si="246"/>
        <v>1</v>
      </c>
      <c r="C4303" t="str">
        <f t="shared" si="248"/>
        <v>188</v>
      </c>
      <c r="D4303" t="str">
        <f>"6"</f>
        <v>6</v>
      </c>
      <c r="E4303" t="str">
        <f>"1-188-6"</f>
        <v>1-188-6</v>
      </c>
      <c r="F4303" t="s">
        <v>83</v>
      </c>
      <c r="G4303" t="s">
        <v>84</v>
      </c>
      <c r="H4303" t="s">
        <v>92</v>
      </c>
      <c r="I4303">
        <v>1</v>
      </c>
      <c r="J4303">
        <v>1</v>
      </c>
      <c r="N4303">
        <v>1</v>
      </c>
      <c r="O4303">
        <v>1</v>
      </c>
      <c r="P4303">
        <v>1</v>
      </c>
      <c r="Q4303">
        <v>1</v>
      </c>
      <c r="R4303">
        <v>1</v>
      </c>
      <c r="S4303">
        <v>1</v>
      </c>
      <c r="T4303">
        <v>1</v>
      </c>
      <c r="W4303">
        <v>1</v>
      </c>
      <c r="X4303">
        <v>1</v>
      </c>
      <c r="Y4303">
        <v>1</v>
      </c>
      <c r="Z4303">
        <v>1</v>
      </c>
      <c r="AA4303">
        <v>1</v>
      </c>
      <c r="AB4303">
        <v>1</v>
      </c>
    </row>
    <row r="4304" spans="1:49" x14ac:dyDescent="0.25">
      <c r="A4304" t="str">
        <f>"4300"</f>
        <v>4300</v>
      </c>
      <c r="B4304" t="str">
        <f t="shared" si="246"/>
        <v>1</v>
      </c>
      <c r="C4304" t="str">
        <f t="shared" si="248"/>
        <v>188</v>
      </c>
      <c r="D4304" t="str">
        <f>"19"</f>
        <v>19</v>
      </c>
      <c r="E4304" t="str">
        <f>"1-188-19"</f>
        <v>1-188-19</v>
      </c>
      <c r="F4304" t="s">
        <v>83</v>
      </c>
      <c r="G4304" t="s">
        <v>86</v>
      </c>
      <c r="H4304" t="s">
        <v>93</v>
      </c>
      <c r="I4304">
        <v>1</v>
      </c>
      <c r="K4304">
        <v>0</v>
      </c>
      <c r="L4304">
        <v>0</v>
      </c>
      <c r="M4304">
        <v>1</v>
      </c>
      <c r="N4304">
        <v>1</v>
      </c>
      <c r="O4304">
        <v>1</v>
      </c>
      <c r="P4304">
        <v>1</v>
      </c>
      <c r="Q4304">
        <v>1</v>
      </c>
      <c r="R4304">
        <v>1</v>
      </c>
      <c r="U4304">
        <v>0</v>
      </c>
      <c r="V4304">
        <v>1</v>
      </c>
      <c r="W4304">
        <v>1</v>
      </c>
      <c r="X4304">
        <v>1</v>
      </c>
      <c r="Y4304">
        <v>1</v>
      </c>
      <c r="Z4304">
        <v>1</v>
      </c>
      <c r="AA4304">
        <v>1</v>
      </c>
      <c r="AB4304">
        <v>1</v>
      </c>
    </row>
    <row r="4305" spans="1:28" x14ac:dyDescent="0.25">
      <c r="A4305" t="str">
        <f>"4301"</f>
        <v>4301</v>
      </c>
      <c r="B4305" t="str">
        <f t="shared" si="246"/>
        <v>1</v>
      </c>
      <c r="C4305" t="str">
        <f t="shared" si="248"/>
        <v>188</v>
      </c>
      <c r="D4305" t="str">
        <f>"12"</f>
        <v>12</v>
      </c>
      <c r="E4305" t="str">
        <f>"1-188-12"</f>
        <v>1-188-12</v>
      </c>
      <c r="F4305" t="s">
        <v>83</v>
      </c>
      <c r="G4305" t="s">
        <v>84</v>
      </c>
      <c r="H4305" t="s">
        <v>92</v>
      </c>
      <c r="I4305">
        <v>1</v>
      </c>
      <c r="J4305">
        <v>1</v>
      </c>
      <c r="N4305">
        <v>1</v>
      </c>
      <c r="O4305">
        <v>1</v>
      </c>
      <c r="P4305">
        <v>1</v>
      </c>
      <c r="Q4305">
        <v>1</v>
      </c>
      <c r="R4305">
        <v>1</v>
      </c>
      <c r="S4305">
        <v>1</v>
      </c>
      <c r="T4305">
        <v>1</v>
      </c>
      <c r="W4305">
        <v>1</v>
      </c>
      <c r="X4305">
        <v>1</v>
      </c>
      <c r="Y4305">
        <v>1</v>
      </c>
      <c r="Z4305">
        <v>1</v>
      </c>
      <c r="AA4305">
        <v>1</v>
      </c>
      <c r="AB4305">
        <v>1</v>
      </c>
    </row>
    <row r="4306" spans="1:28" x14ac:dyDescent="0.25">
      <c r="A4306" t="str">
        <f>"4302"</f>
        <v>4302</v>
      </c>
      <c r="B4306" t="str">
        <f t="shared" si="246"/>
        <v>1</v>
      </c>
      <c r="C4306" t="str">
        <f t="shared" si="248"/>
        <v>188</v>
      </c>
      <c r="D4306" t="str">
        <f>"7"</f>
        <v>7</v>
      </c>
      <c r="E4306" t="str">
        <f>"1-188-7"</f>
        <v>1-188-7</v>
      </c>
      <c r="F4306" t="s">
        <v>83</v>
      </c>
      <c r="G4306" t="s">
        <v>84</v>
      </c>
      <c r="H4306" t="s">
        <v>92</v>
      </c>
      <c r="I4306">
        <v>1</v>
      </c>
      <c r="J4306">
        <v>1</v>
      </c>
      <c r="N4306">
        <v>1</v>
      </c>
      <c r="O4306">
        <v>1</v>
      </c>
      <c r="P4306">
        <v>1</v>
      </c>
      <c r="Q4306">
        <v>1</v>
      </c>
      <c r="R4306">
        <v>1</v>
      </c>
      <c r="S4306">
        <v>1</v>
      </c>
      <c r="T4306">
        <v>1</v>
      </c>
      <c r="W4306">
        <v>1</v>
      </c>
      <c r="X4306">
        <v>1</v>
      </c>
      <c r="Y4306">
        <v>1</v>
      </c>
      <c r="Z4306">
        <v>1</v>
      </c>
      <c r="AA4306">
        <v>1</v>
      </c>
      <c r="AB4306">
        <v>1</v>
      </c>
    </row>
    <row r="4307" spans="1:28" x14ac:dyDescent="0.25">
      <c r="A4307" t="str">
        <f>"4303"</f>
        <v>4303</v>
      </c>
      <c r="B4307" t="str">
        <f t="shared" si="246"/>
        <v>1</v>
      </c>
      <c r="C4307" t="str">
        <f t="shared" si="248"/>
        <v>188</v>
      </c>
      <c r="D4307" t="str">
        <f>"20"</f>
        <v>20</v>
      </c>
      <c r="E4307" t="str">
        <f>"1-188-20"</f>
        <v>1-188-20</v>
      </c>
      <c r="F4307" t="s">
        <v>83</v>
      </c>
      <c r="G4307" t="s">
        <v>86</v>
      </c>
      <c r="H4307" t="s">
        <v>93</v>
      </c>
      <c r="I4307">
        <v>1</v>
      </c>
      <c r="K4307">
        <v>1</v>
      </c>
      <c r="L4307">
        <v>0</v>
      </c>
      <c r="M4307">
        <v>0</v>
      </c>
      <c r="N4307">
        <v>1</v>
      </c>
      <c r="O4307">
        <v>1</v>
      </c>
      <c r="P4307">
        <v>1</v>
      </c>
      <c r="Q4307">
        <v>1</v>
      </c>
      <c r="R4307">
        <v>1</v>
      </c>
      <c r="U4307">
        <v>0</v>
      </c>
      <c r="V4307">
        <v>1</v>
      </c>
      <c r="W4307">
        <v>1</v>
      </c>
      <c r="X4307">
        <v>1</v>
      </c>
      <c r="Y4307">
        <v>1</v>
      </c>
      <c r="Z4307">
        <v>1</v>
      </c>
      <c r="AA4307">
        <v>1</v>
      </c>
      <c r="AB4307">
        <v>1</v>
      </c>
    </row>
    <row r="4308" spans="1:28" x14ac:dyDescent="0.25">
      <c r="A4308" t="str">
        <f>"4304"</f>
        <v>4304</v>
      </c>
      <c r="B4308" t="str">
        <f t="shared" si="246"/>
        <v>1</v>
      </c>
      <c r="C4308" t="str">
        <f t="shared" si="248"/>
        <v>188</v>
      </c>
      <c r="D4308" t="str">
        <f>"13"</f>
        <v>13</v>
      </c>
      <c r="E4308" t="str">
        <f>"1-188-13"</f>
        <v>1-188-13</v>
      </c>
      <c r="F4308" t="s">
        <v>83</v>
      </c>
      <c r="G4308" t="s">
        <v>84</v>
      </c>
      <c r="H4308" t="s">
        <v>92</v>
      </c>
      <c r="I4308">
        <v>1</v>
      </c>
      <c r="J4308">
        <v>1</v>
      </c>
      <c r="N4308">
        <v>1</v>
      </c>
      <c r="O4308">
        <v>1</v>
      </c>
      <c r="P4308">
        <v>1</v>
      </c>
      <c r="Q4308">
        <v>1</v>
      </c>
      <c r="R4308">
        <v>1</v>
      </c>
      <c r="S4308">
        <v>1</v>
      </c>
      <c r="T4308">
        <v>1</v>
      </c>
      <c r="W4308">
        <v>1</v>
      </c>
      <c r="X4308">
        <v>1</v>
      </c>
      <c r="Y4308">
        <v>1</v>
      </c>
      <c r="Z4308">
        <v>1</v>
      </c>
      <c r="AA4308">
        <v>1</v>
      </c>
      <c r="AB4308">
        <v>1</v>
      </c>
    </row>
    <row r="4309" spans="1:28" x14ac:dyDescent="0.25">
      <c r="A4309" t="str">
        <f>"4305"</f>
        <v>4305</v>
      </c>
      <c r="B4309" t="str">
        <f t="shared" si="246"/>
        <v>1</v>
      </c>
      <c r="C4309" t="str">
        <f t="shared" si="248"/>
        <v>188</v>
      </c>
      <c r="D4309" t="str">
        <f>"1"</f>
        <v>1</v>
      </c>
      <c r="E4309" t="str">
        <f>"1-188-1"</f>
        <v>1-188-1</v>
      </c>
      <c r="F4309" t="s">
        <v>83</v>
      </c>
      <c r="G4309" t="s">
        <v>84</v>
      </c>
      <c r="H4309" t="s">
        <v>92</v>
      </c>
      <c r="I4309">
        <v>1</v>
      </c>
      <c r="J4309">
        <v>1</v>
      </c>
      <c r="N4309">
        <v>1</v>
      </c>
      <c r="O4309">
        <v>1</v>
      </c>
      <c r="P4309">
        <v>1</v>
      </c>
      <c r="Q4309">
        <v>1</v>
      </c>
      <c r="R4309">
        <v>1</v>
      </c>
      <c r="S4309">
        <v>1</v>
      </c>
      <c r="T4309">
        <v>1</v>
      </c>
      <c r="W4309">
        <v>1</v>
      </c>
      <c r="X4309">
        <v>1</v>
      </c>
      <c r="Y4309">
        <v>1</v>
      </c>
      <c r="Z4309">
        <v>1</v>
      </c>
      <c r="AA4309">
        <v>1</v>
      </c>
      <c r="AB4309">
        <v>1</v>
      </c>
    </row>
    <row r="4310" spans="1:28" x14ac:dyDescent="0.25">
      <c r="A4310" t="str">
        <f>"4306"</f>
        <v>4306</v>
      </c>
      <c r="B4310" t="str">
        <f t="shared" si="246"/>
        <v>1</v>
      </c>
      <c r="C4310" t="str">
        <f t="shared" si="248"/>
        <v>188</v>
      </c>
      <c r="D4310" t="str">
        <f>"21"</f>
        <v>21</v>
      </c>
      <c r="E4310" t="str">
        <f>"1-188-21"</f>
        <v>1-188-21</v>
      </c>
      <c r="F4310" t="s">
        <v>83</v>
      </c>
      <c r="G4310" t="s">
        <v>86</v>
      </c>
      <c r="H4310" t="s">
        <v>93</v>
      </c>
      <c r="I4310">
        <v>1</v>
      </c>
      <c r="K4310">
        <v>1</v>
      </c>
      <c r="L4310">
        <v>0</v>
      </c>
      <c r="M4310">
        <v>0</v>
      </c>
      <c r="N4310">
        <v>1</v>
      </c>
      <c r="O4310">
        <v>1</v>
      </c>
      <c r="P4310">
        <v>1</v>
      </c>
      <c r="Q4310">
        <v>1</v>
      </c>
      <c r="R4310">
        <v>1</v>
      </c>
      <c r="U4310">
        <v>0</v>
      </c>
      <c r="V4310">
        <v>1</v>
      </c>
      <c r="W4310">
        <v>1</v>
      </c>
      <c r="X4310">
        <v>1</v>
      </c>
      <c r="Y4310">
        <v>1</v>
      </c>
      <c r="Z4310">
        <v>1</v>
      </c>
      <c r="AA4310">
        <v>1</v>
      </c>
      <c r="AB4310">
        <v>1</v>
      </c>
    </row>
    <row r="4311" spans="1:28" x14ac:dyDescent="0.25">
      <c r="A4311" t="str">
        <f>"4307"</f>
        <v>4307</v>
      </c>
      <c r="B4311" t="str">
        <f t="shared" si="246"/>
        <v>1</v>
      </c>
      <c r="C4311" t="str">
        <f t="shared" si="248"/>
        <v>188</v>
      </c>
      <c r="D4311" t="str">
        <f>"14"</f>
        <v>14</v>
      </c>
      <c r="E4311" t="str">
        <f>"1-188-14"</f>
        <v>1-188-14</v>
      </c>
      <c r="F4311" t="s">
        <v>83</v>
      </c>
      <c r="G4311" t="s">
        <v>84</v>
      </c>
      <c r="H4311" t="s">
        <v>92</v>
      </c>
      <c r="I4311">
        <v>1</v>
      </c>
      <c r="J4311">
        <v>1</v>
      </c>
      <c r="N4311">
        <v>1</v>
      </c>
      <c r="O4311">
        <v>1</v>
      </c>
      <c r="P4311">
        <v>1</v>
      </c>
      <c r="Q4311">
        <v>1</v>
      </c>
      <c r="R4311">
        <v>1</v>
      </c>
      <c r="S4311">
        <v>1</v>
      </c>
      <c r="T4311">
        <v>1</v>
      </c>
      <c r="W4311">
        <v>1</v>
      </c>
      <c r="X4311">
        <v>1</v>
      </c>
      <c r="Y4311">
        <v>1</v>
      </c>
      <c r="Z4311">
        <v>1</v>
      </c>
      <c r="AA4311">
        <v>1</v>
      </c>
      <c r="AB4311">
        <v>1</v>
      </c>
    </row>
    <row r="4312" spans="1:28" x14ac:dyDescent="0.25">
      <c r="A4312" t="str">
        <f>"4308"</f>
        <v>4308</v>
      </c>
      <c r="B4312" t="str">
        <f t="shared" si="246"/>
        <v>1</v>
      </c>
      <c r="C4312" t="str">
        <f t="shared" si="248"/>
        <v>188</v>
      </c>
      <c r="D4312" t="str">
        <f>"2"</f>
        <v>2</v>
      </c>
      <c r="E4312" t="str">
        <f>"1-188-2"</f>
        <v>1-188-2</v>
      </c>
      <c r="F4312" t="s">
        <v>83</v>
      </c>
      <c r="G4312" t="s">
        <v>84</v>
      </c>
      <c r="H4312" t="s">
        <v>92</v>
      </c>
      <c r="I4312">
        <v>1</v>
      </c>
      <c r="J4312">
        <v>1</v>
      </c>
      <c r="N4312">
        <v>1</v>
      </c>
      <c r="O4312">
        <v>1</v>
      </c>
      <c r="P4312">
        <v>1</v>
      </c>
      <c r="Q4312">
        <v>1</v>
      </c>
      <c r="R4312">
        <v>1</v>
      </c>
      <c r="S4312">
        <v>1</v>
      </c>
      <c r="T4312">
        <v>1</v>
      </c>
      <c r="W4312">
        <v>1</v>
      </c>
      <c r="X4312">
        <v>1</v>
      </c>
      <c r="Y4312">
        <v>1</v>
      </c>
      <c r="Z4312">
        <v>1</v>
      </c>
      <c r="AA4312">
        <v>1</v>
      </c>
      <c r="AB4312">
        <v>1</v>
      </c>
    </row>
    <row r="4313" spans="1:28" x14ac:dyDescent="0.25">
      <c r="A4313" t="str">
        <f>"4309"</f>
        <v>4309</v>
      </c>
      <c r="B4313" t="str">
        <f t="shared" si="246"/>
        <v>1</v>
      </c>
      <c r="C4313" t="str">
        <f t="shared" ref="C4313:C4337" si="249">"189"</f>
        <v>189</v>
      </c>
      <c r="D4313" t="str">
        <f>"23"</f>
        <v>23</v>
      </c>
      <c r="E4313" t="str">
        <f>"1-189-23"</f>
        <v>1-189-23</v>
      </c>
      <c r="F4313" t="s">
        <v>83</v>
      </c>
      <c r="G4313" t="s">
        <v>84</v>
      </c>
      <c r="H4313" t="s">
        <v>92</v>
      </c>
      <c r="I4313">
        <v>1</v>
      </c>
      <c r="J4313">
        <v>1</v>
      </c>
      <c r="N4313">
        <v>1</v>
      </c>
      <c r="O4313">
        <v>1</v>
      </c>
      <c r="P4313">
        <v>1</v>
      </c>
      <c r="Q4313">
        <v>1</v>
      </c>
      <c r="R4313">
        <v>1</v>
      </c>
      <c r="S4313">
        <v>1</v>
      </c>
      <c r="T4313">
        <v>1</v>
      </c>
      <c r="W4313">
        <v>1</v>
      </c>
      <c r="X4313">
        <v>1</v>
      </c>
      <c r="Y4313">
        <v>1</v>
      </c>
      <c r="Z4313">
        <v>1</v>
      </c>
      <c r="AA4313">
        <v>1</v>
      </c>
      <c r="AB4313">
        <v>1</v>
      </c>
    </row>
    <row r="4314" spans="1:28" x14ac:dyDescent="0.25">
      <c r="A4314" t="str">
        <f>"4310"</f>
        <v>4310</v>
      </c>
      <c r="B4314" t="str">
        <f t="shared" si="246"/>
        <v>1</v>
      </c>
      <c r="C4314" t="str">
        <f t="shared" si="249"/>
        <v>189</v>
      </c>
      <c r="D4314" t="str">
        <f>"22"</f>
        <v>22</v>
      </c>
      <c r="E4314" t="str">
        <f>"1-189-22"</f>
        <v>1-189-22</v>
      </c>
      <c r="F4314" t="s">
        <v>83</v>
      </c>
      <c r="G4314" t="s">
        <v>84</v>
      </c>
      <c r="H4314" t="s">
        <v>92</v>
      </c>
      <c r="I4314">
        <v>1</v>
      </c>
      <c r="J4314">
        <v>1</v>
      </c>
      <c r="N4314">
        <v>1</v>
      </c>
      <c r="O4314">
        <v>1</v>
      </c>
      <c r="P4314">
        <v>1</v>
      </c>
      <c r="Q4314">
        <v>1</v>
      </c>
      <c r="R4314">
        <v>1</v>
      </c>
      <c r="S4314">
        <v>1</v>
      </c>
      <c r="T4314">
        <v>1</v>
      </c>
      <c r="W4314">
        <v>1</v>
      </c>
      <c r="X4314">
        <v>1</v>
      </c>
      <c r="Y4314">
        <v>1</v>
      </c>
      <c r="Z4314">
        <v>1</v>
      </c>
      <c r="AA4314">
        <v>1</v>
      </c>
      <c r="AB4314">
        <v>1</v>
      </c>
    </row>
    <row r="4315" spans="1:28" x14ac:dyDescent="0.25">
      <c r="A4315" t="str">
        <f>"4311"</f>
        <v>4311</v>
      </c>
      <c r="B4315" t="str">
        <f t="shared" si="246"/>
        <v>1</v>
      </c>
      <c r="C4315" t="str">
        <f t="shared" si="249"/>
        <v>189</v>
      </c>
      <c r="D4315" t="str">
        <f>"15"</f>
        <v>15</v>
      </c>
      <c r="E4315" t="str">
        <f>"1-189-15"</f>
        <v>1-189-15</v>
      </c>
      <c r="F4315" t="s">
        <v>83</v>
      </c>
      <c r="G4315" t="s">
        <v>84</v>
      </c>
      <c r="H4315" t="s">
        <v>92</v>
      </c>
      <c r="I4315">
        <v>1</v>
      </c>
      <c r="J4315">
        <v>1</v>
      </c>
      <c r="N4315">
        <v>1</v>
      </c>
      <c r="O4315">
        <v>1</v>
      </c>
      <c r="P4315">
        <v>1</v>
      </c>
      <c r="Q4315">
        <v>1</v>
      </c>
      <c r="R4315">
        <v>1</v>
      </c>
      <c r="S4315">
        <v>1</v>
      </c>
      <c r="T4315">
        <v>1</v>
      </c>
      <c r="W4315">
        <v>1</v>
      </c>
      <c r="X4315">
        <v>1</v>
      </c>
      <c r="Y4315">
        <v>1</v>
      </c>
      <c r="Z4315">
        <v>1</v>
      </c>
      <c r="AA4315">
        <v>1</v>
      </c>
      <c r="AB4315">
        <v>1</v>
      </c>
    </row>
    <row r="4316" spans="1:28" x14ac:dyDescent="0.25">
      <c r="A4316" t="str">
        <f>"4312"</f>
        <v>4312</v>
      </c>
      <c r="B4316" t="str">
        <f t="shared" si="246"/>
        <v>1</v>
      </c>
      <c r="C4316" t="str">
        <f t="shared" si="249"/>
        <v>189</v>
      </c>
      <c r="D4316" t="str">
        <f>"14"</f>
        <v>14</v>
      </c>
      <c r="E4316" t="str">
        <f>"1-189-14"</f>
        <v>1-189-14</v>
      </c>
      <c r="F4316" t="s">
        <v>83</v>
      </c>
      <c r="G4316" t="s">
        <v>84</v>
      </c>
      <c r="H4316" t="s">
        <v>92</v>
      </c>
      <c r="I4316">
        <v>1</v>
      </c>
      <c r="J4316">
        <v>1</v>
      </c>
      <c r="N4316">
        <v>1</v>
      </c>
      <c r="O4316">
        <v>1</v>
      </c>
      <c r="P4316">
        <v>1</v>
      </c>
      <c r="Q4316">
        <v>1</v>
      </c>
      <c r="R4316">
        <v>1</v>
      </c>
      <c r="S4316">
        <v>1</v>
      </c>
      <c r="T4316">
        <v>1</v>
      </c>
      <c r="W4316">
        <v>1</v>
      </c>
      <c r="X4316">
        <v>1</v>
      </c>
      <c r="Y4316">
        <v>1</v>
      </c>
      <c r="Z4316">
        <v>1</v>
      </c>
      <c r="AA4316">
        <v>1</v>
      </c>
      <c r="AB4316">
        <v>1</v>
      </c>
    </row>
    <row r="4317" spans="1:28" x14ac:dyDescent="0.25">
      <c r="A4317" t="str">
        <f>"4313"</f>
        <v>4313</v>
      </c>
      <c r="B4317" t="str">
        <f t="shared" si="246"/>
        <v>1</v>
      </c>
      <c r="C4317" t="str">
        <f t="shared" si="249"/>
        <v>189</v>
      </c>
      <c r="D4317" t="str">
        <f>"11"</f>
        <v>11</v>
      </c>
      <c r="E4317" t="str">
        <f>"1-189-11"</f>
        <v>1-189-11</v>
      </c>
      <c r="F4317" t="s">
        <v>83</v>
      </c>
      <c r="G4317" t="s">
        <v>84</v>
      </c>
      <c r="H4317" t="s">
        <v>92</v>
      </c>
      <c r="I4317">
        <v>1</v>
      </c>
      <c r="J4317">
        <v>1</v>
      </c>
      <c r="N4317">
        <v>1</v>
      </c>
      <c r="O4317">
        <v>1</v>
      </c>
      <c r="P4317">
        <v>0</v>
      </c>
      <c r="Q4317">
        <v>1</v>
      </c>
      <c r="R4317">
        <v>1</v>
      </c>
      <c r="S4317">
        <v>1</v>
      </c>
      <c r="T4317">
        <v>1</v>
      </c>
      <c r="W4317">
        <v>1</v>
      </c>
      <c r="X4317">
        <v>1</v>
      </c>
      <c r="Y4317">
        <v>1</v>
      </c>
      <c r="Z4317">
        <v>1</v>
      </c>
      <c r="AA4317">
        <v>1</v>
      </c>
      <c r="AB4317">
        <v>1</v>
      </c>
    </row>
    <row r="4318" spans="1:28" x14ac:dyDescent="0.25">
      <c r="A4318" t="str">
        <f>"4314"</f>
        <v>4314</v>
      </c>
      <c r="B4318" t="str">
        <f t="shared" ref="B4318:B4381" si="250">"1"</f>
        <v>1</v>
      </c>
      <c r="C4318" t="str">
        <f t="shared" si="249"/>
        <v>189</v>
      </c>
      <c r="D4318" t="str">
        <f>"8"</f>
        <v>8</v>
      </c>
      <c r="E4318" t="str">
        <f>"1-189-8"</f>
        <v>1-189-8</v>
      </c>
      <c r="F4318" t="s">
        <v>83</v>
      </c>
      <c r="G4318" t="s">
        <v>84</v>
      </c>
      <c r="H4318" t="s">
        <v>92</v>
      </c>
      <c r="I4318">
        <v>1</v>
      </c>
      <c r="J4318">
        <v>1</v>
      </c>
      <c r="N4318">
        <v>1</v>
      </c>
      <c r="O4318">
        <v>1</v>
      </c>
      <c r="P4318">
        <v>1</v>
      </c>
      <c r="Q4318">
        <v>1</v>
      </c>
      <c r="R4318">
        <v>1</v>
      </c>
      <c r="S4318">
        <v>1</v>
      </c>
      <c r="T4318">
        <v>1</v>
      </c>
      <c r="W4318">
        <v>1</v>
      </c>
      <c r="X4318">
        <v>1</v>
      </c>
      <c r="Y4318">
        <v>1</v>
      </c>
      <c r="Z4318">
        <v>1</v>
      </c>
      <c r="AA4318">
        <v>1</v>
      </c>
      <c r="AB4318">
        <v>1</v>
      </c>
    </row>
    <row r="4319" spans="1:28" x14ac:dyDescent="0.25">
      <c r="A4319" t="str">
        <f>"4315"</f>
        <v>4315</v>
      </c>
      <c r="B4319" t="str">
        <f t="shared" si="250"/>
        <v>1</v>
      </c>
      <c r="C4319" t="str">
        <f t="shared" si="249"/>
        <v>189</v>
      </c>
      <c r="D4319" t="str">
        <f>"4"</f>
        <v>4</v>
      </c>
      <c r="E4319" t="str">
        <f>"1-189-4"</f>
        <v>1-189-4</v>
      </c>
      <c r="F4319" t="s">
        <v>83</v>
      </c>
      <c r="G4319" t="s">
        <v>88</v>
      </c>
      <c r="H4319" t="s">
        <v>95</v>
      </c>
      <c r="I4319">
        <v>1</v>
      </c>
      <c r="K4319">
        <v>1</v>
      </c>
      <c r="L4319">
        <v>0</v>
      </c>
      <c r="M4319">
        <v>0</v>
      </c>
      <c r="N4319">
        <v>1</v>
      </c>
      <c r="O4319">
        <v>0</v>
      </c>
      <c r="P4319">
        <v>1</v>
      </c>
      <c r="Q4319">
        <v>1</v>
      </c>
      <c r="R4319">
        <v>1</v>
      </c>
      <c r="S4319">
        <v>1</v>
      </c>
      <c r="T4319">
        <v>1</v>
      </c>
      <c r="W4319">
        <v>1</v>
      </c>
      <c r="X4319">
        <v>1</v>
      </c>
      <c r="Y4319">
        <v>1</v>
      </c>
      <c r="Z4319">
        <v>1</v>
      </c>
      <c r="AA4319">
        <v>1</v>
      </c>
      <c r="AB4319">
        <v>1</v>
      </c>
    </row>
    <row r="4320" spans="1:28" x14ac:dyDescent="0.25">
      <c r="A4320" t="str">
        <f>"4316"</f>
        <v>4316</v>
      </c>
      <c r="B4320" t="str">
        <f t="shared" si="250"/>
        <v>1</v>
      </c>
      <c r="C4320" t="str">
        <f t="shared" si="249"/>
        <v>189</v>
      </c>
      <c r="D4320" t="str">
        <f>"25"</f>
        <v>25</v>
      </c>
      <c r="E4320" t="str">
        <f>"1-189-25"</f>
        <v>1-189-25</v>
      </c>
      <c r="F4320" t="s">
        <v>83</v>
      </c>
      <c r="G4320" t="s">
        <v>86</v>
      </c>
      <c r="H4320" t="s">
        <v>93</v>
      </c>
      <c r="I4320">
        <v>1</v>
      </c>
      <c r="K4320">
        <v>0</v>
      </c>
      <c r="L4320">
        <v>0</v>
      </c>
      <c r="M4320">
        <v>1</v>
      </c>
      <c r="N4320">
        <v>1</v>
      </c>
      <c r="O4320">
        <v>1</v>
      </c>
      <c r="P4320">
        <v>1</v>
      </c>
      <c r="Q4320">
        <v>1</v>
      </c>
      <c r="R4320">
        <v>1</v>
      </c>
      <c r="U4320">
        <v>0</v>
      </c>
      <c r="V4320">
        <v>1</v>
      </c>
      <c r="W4320">
        <v>1</v>
      </c>
      <c r="X4320">
        <v>1</v>
      </c>
      <c r="Y4320">
        <v>1</v>
      </c>
      <c r="Z4320">
        <v>1</v>
      </c>
      <c r="AA4320">
        <v>1</v>
      </c>
      <c r="AB4320">
        <v>1</v>
      </c>
    </row>
    <row r="4321" spans="1:28" x14ac:dyDescent="0.25">
      <c r="A4321" t="str">
        <f>"4317"</f>
        <v>4317</v>
      </c>
      <c r="B4321" t="str">
        <f t="shared" si="250"/>
        <v>1</v>
      </c>
      <c r="C4321" t="str">
        <f t="shared" si="249"/>
        <v>189</v>
      </c>
      <c r="D4321" t="str">
        <f>"24"</f>
        <v>24</v>
      </c>
      <c r="E4321" t="str">
        <f>"1-189-24"</f>
        <v>1-189-24</v>
      </c>
      <c r="F4321" t="s">
        <v>83</v>
      </c>
      <c r="G4321" t="s">
        <v>84</v>
      </c>
      <c r="H4321" t="s">
        <v>92</v>
      </c>
      <c r="I4321">
        <v>1</v>
      </c>
      <c r="J4321">
        <v>1</v>
      </c>
      <c r="N4321">
        <v>1</v>
      </c>
      <c r="O4321">
        <v>1</v>
      </c>
      <c r="P4321">
        <v>1</v>
      </c>
      <c r="Q4321">
        <v>1</v>
      </c>
      <c r="R4321">
        <v>1</v>
      </c>
      <c r="S4321">
        <v>1</v>
      </c>
      <c r="T4321">
        <v>1</v>
      </c>
      <c r="W4321">
        <v>1</v>
      </c>
      <c r="X4321">
        <v>1</v>
      </c>
      <c r="Y4321">
        <v>1</v>
      </c>
      <c r="Z4321">
        <v>1</v>
      </c>
      <c r="AA4321">
        <v>1</v>
      </c>
      <c r="AB4321">
        <v>1</v>
      </c>
    </row>
    <row r="4322" spans="1:28" x14ac:dyDescent="0.25">
      <c r="A4322" t="str">
        <f>"4318"</f>
        <v>4318</v>
      </c>
      <c r="B4322" t="str">
        <f t="shared" si="250"/>
        <v>1</v>
      </c>
      <c r="C4322" t="str">
        <f t="shared" si="249"/>
        <v>189</v>
      </c>
      <c r="D4322" t="str">
        <f>"16"</f>
        <v>16</v>
      </c>
      <c r="E4322" t="str">
        <f>"1-189-16"</f>
        <v>1-189-16</v>
      </c>
      <c r="F4322" t="s">
        <v>83</v>
      </c>
      <c r="G4322" t="s">
        <v>84</v>
      </c>
      <c r="H4322" t="s">
        <v>92</v>
      </c>
      <c r="I4322">
        <v>1</v>
      </c>
      <c r="J4322">
        <v>1</v>
      </c>
      <c r="N4322">
        <v>1</v>
      </c>
      <c r="O4322">
        <v>1</v>
      </c>
      <c r="P4322">
        <v>1</v>
      </c>
      <c r="Q4322">
        <v>1</v>
      </c>
      <c r="R4322">
        <v>1</v>
      </c>
      <c r="S4322">
        <v>1</v>
      </c>
      <c r="T4322">
        <v>1</v>
      </c>
      <c r="W4322">
        <v>1</v>
      </c>
      <c r="X4322">
        <v>1</v>
      </c>
      <c r="Y4322">
        <v>1</v>
      </c>
      <c r="Z4322">
        <v>1</v>
      </c>
      <c r="AA4322">
        <v>1</v>
      </c>
      <c r="AB4322">
        <v>1</v>
      </c>
    </row>
    <row r="4323" spans="1:28" x14ac:dyDescent="0.25">
      <c r="A4323" t="str">
        <f>"4319"</f>
        <v>4319</v>
      </c>
      <c r="B4323" t="str">
        <f t="shared" si="250"/>
        <v>1</v>
      </c>
      <c r="C4323" t="str">
        <f t="shared" si="249"/>
        <v>189</v>
      </c>
      <c r="D4323" t="str">
        <f>"9"</f>
        <v>9</v>
      </c>
      <c r="E4323" t="str">
        <f>"1-189-9"</f>
        <v>1-189-9</v>
      </c>
      <c r="F4323" t="s">
        <v>83</v>
      </c>
      <c r="G4323" t="s">
        <v>84</v>
      </c>
      <c r="H4323" t="s">
        <v>92</v>
      </c>
      <c r="I4323">
        <v>1</v>
      </c>
      <c r="J4323">
        <v>1</v>
      </c>
      <c r="N4323">
        <v>1</v>
      </c>
      <c r="O4323">
        <v>1</v>
      </c>
      <c r="P4323">
        <v>1</v>
      </c>
      <c r="Q4323">
        <v>1</v>
      </c>
      <c r="R4323">
        <v>1</v>
      </c>
      <c r="S4323">
        <v>1</v>
      </c>
      <c r="T4323">
        <v>1</v>
      </c>
      <c r="W4323">
        <v>1</v>
      </c>
      <c r="X4323">
        <v>1</v>
      </c>
      <c r="Y4323">
        <v>0</v>
      </c>
      <c r="Z4323">
        <v>1</v>
      </c>
      <c r="AA4323">
        <v>1</v>
      </c>
      <c r="AB4323">
        <v>1</v>
      </c>
    </row>
    <row r="4324" spans="1:28" x14ac:dyDescent="0.25">
      <c r="A4324" t="str">
        <f>"4320"</f>
        <v>4320</v>
      </c>
      <c r="B4324" t="str">
        <f t="shared" si="250"/>
        <v>1</v>
      </c>
      <c r="C4324" t="str">
        <f t="shared" si="249"/>
        <v>189</v>
      </c>
      <c r="D4324" t="str">
        <f>"7"</f>
        <v>7</v>
      </c>
      <c r="E4324" t="str">
        <f>"1-189-7"</f>
        <v>1-189-7</v>
      </c>
      <c r="F4324" t="s">
        <v>83</v>
      </c>
      <c r="G4324" t="s">
        <v>84</v>
      </c>
      <c r="H4324" t="s">
        <v>92</v>
      </c>
      <c r="I4324">
        <v>1</v>
      </c>
      <c r="J4324">
        <v>1</v>
      </c>
      <c r="N4324">
        <v>1</v>
      </c>
      <c r="O4324">
        <v>1</v>
      </c>
      <c r="P4324">
        <v>1</v>
      </c>
      <c r="Q4324">
        <v>1</v>
      </c>
      <c r="R4324">
        <v>1</v>
      </c>
      <c r="S4324">
        <v>1</v>
      </c>
      <c r="T4324">
        <v>1</v>
      </c>
      <c r="W4324">
        <v>1</v>
      </c>
      <c r="X4324">
        <v>1</v>
      </c>
      <c r="Y4324">
        <v>1</v>
      </c>
      <c r="Z4324">
        <v>1</v>
      </c>
      <c r="AA4324">
        <v>1</v>
      </c>
      <c r="AB4324">
        <v>1</v>
      </c>
    </row>
    <row r="4325" spans="1:28" x14ac:dyDescent="0.25">
      <c r="A4325" t="str">
        <f>"4321"</f>
        <v>4321</v>
      </c>
      <c r="B4325" t="str">
        <f t="shared" si="250"/>
        <v>1</v>
      </c>
      <c r="C4325" t="str">
        <f t="shared" si="249"/>
        <v>189</v>
      </c>
      <c r="D4325" t="str">
        <f>"18"</f>
        <v>18</v>
      </c>
      <c r="E4325" t="str">
        <f>"1-189-18"</f>
        <v>1-189-18</v>
      </c>
      <c r="F4325" t="s">
        <v>83</v>
      </c>
      <c r="G4325" t="s">
        <v>84</v>
      </c>
      <c r="H4325" t="s">
        <v>92</v>
      </c>
      <c r="I4325">
        <v>1</v>
      </c>
      <c r="J4325">
        <v>1</v>
      </c>
      <c r="N4325">
        <v>1</v>
      </c>
      <c r="O4325">
        <v>1</v>
      </c>
      <c r="P4325">
        <v>1</v>
      </c>
      <c r="Q4325">
        <v>1</v>
      </c>
      <c r="R4325">
        <v>1</v>
      </c>
      <c r="S4325">
        <v>1</v>
      </c>
      <c r="T4325">
        <v>1</v>
      </c>
      <c r="W4325">
        <v>1</v>
      </c>
      <c r="X4325">
        <v>1</v>
      </c>
      <c r="Y4325">
        <v>1</v>
      </c>
      <c r="Z4325">
        <v>1</v>
      </c>
      <c r="AA4325">
        <v>1</v>
      </c>
      <c r="AB4325">
        <v>1</v>
      </c>
    </row>
    <row r="4326" spans="1:28" x14ac:dyDescent="0.25">
      <c r="A4326" t="str">
        <f>"4322"</f>
        <v>4322</v>
      </c>
      <c r="B4326" t="str">
        <f t="shared" si="250"/>
        <v>1</v>
      </c>
      <c r="C4326" t="str">
        <f t="shared" si="249"/>
        <v>189</v>
      </c>
      <c r="D4326" t="str">
        <f>"10"</f>
        <v>10</v>
      </c>
      <c r="E4326" t="str">
        <f>"1-189-10"</f>
        <v>1-189-10</v>
      </c>
      <c r="F4326" t="s">
        <v>83</v>
      </c>
      <c r="G4326" t="s">
        <v>84</v>
      </c>
      <c r="H4326" t="s">
        <v>92</v>
      </c>
      <c r="I4326">
        <v>1</v>
      </c>
      <c r="J4326">
        <v>1</v>
      </c>
      <c r="N4326">
        <v>1</v>
      </c>
      <c r="O4326">
        <v>1</v>
      </c>
      <c r="P4326">
        <v>1</v>
      </c>
      <c r="Q4326">
        <v>1</v>
      </c>
      <c r="R4326">
        <v>1</v>
      </c>
      <c r="S4326">
        <v>1</v>
      </c>
      <c r="T4326">
        <v>1</v>
      </c>
      <c r="W4326">
        <v>1</v>
      </c>
      <c r="X4326">
        <v>1</v>
      </c>
      <c r="Y4326">
        <v>1</v>
      </c>
      <c r="Z4326">
        <v>1</v>
      </c>
      <c r="AA4326">
        <v>1</v>
      </c>
      <c r="AB4326">
        <v>1</v>
      </c>
    </row>
    <row r="4327" spans="1:28" x14ac:dyDescent="0.25">
      <c r="A4327" t="str">
        <f>"4323"</f>
        <v>4323</v>
      </c>
      <c r="B4327" t="str">
        <f t="shared" si="250"/>
        <v>1</v>
      </c>
      <c r="C4327" t="str">
        <f t="shared" si="249"/>
        <v>189</v>
      </c>
      <c r="D4327" t="str">
        <f>"3"</f>
        <v>3</v>
      </c>
      <c r="E4327" t="str">
        <f>"1-189-3"</f>
        <v>1-189-3</v>
      </c>
      <c r="F4327" t="s">
        <v>83</v>
      </c>
      <c r="G4327" t="s">
        <v>88</v>
      </c>
      <c r="H4327" t="s">
        <v>95</v>
      </c>
      <c r="I4327">
        <v>1</v>
      </c>
      <c r="K4327">
        <v>0</v>
      </c>
      <c r="L4327">
        <v>0</v>
      </c>
      <c r="M4327">
        <v>1</v>
      </c>
      <c r="N4327">
        <v>1</v>
      </c>
      <c r="O4327">
        <v>1</v>
      </c>
      <c r="P4327">
        <v>1</v>
      </c>
      <c r="Q4327">
        <v>1</v>
      </c>
      <c r="R4327">
        <v>1</v>
      </c>
      <c r="S4327">
        <v>1</v>
      </c>
      <c r="T4327">
        <v>1</v>
      </c>
      <c r="W4327">
        <v>1</v>
      </c>
      <c r="X4327">
        <v>1</v>
      </c>
      <c r="Y4327">
        <v>1</v>
      </c>
      <c r="Z4327">
        <v>1</v>
      </c>
      <c r="AA4327">
        <v>1</v>
      </c>
      <c r="AB4327">
        <v>1</v>
      </c>
    </row>
    <row r="4328" spans="1:28" x14ac:dyDescent="0.25">
      <c r="A4328" t="str">
        <f>"4324"</f>
        <v>4324</v>
      </c>
      <c r="B4328" t="str">
        <f t="shared" si="250"/>
        <v>1</v>
      </c>
      <c r="C4328" t="str">
        <f t="shared" si="249"/>
        <v>189</v>
      </c>
      <c r="D4328" t="str">
        <f>"20"</f>
        <v>20</v>
      </c>
      <c r="E4328" t="str">
        <f>"1-189-20"</f>
        <v>1-189-20</v>
      </c>
      <c r="F4328" t="s">
        <v>83</v>
      </c>
      <c r="G4328" t="s">
        <v>84</v>
      </c>
      <c r="H4328" t="s">
        <v>92</v>
      </c>
      <c r="I4328">
        <v>1</v>
      </c>
      <c r="J4328">
        <v>1</v>
      </c>
      <c r="N4328">
        <v>1</v>
      </c>
      <c r="O4328">
        <v>1</v>
      </c>
      <c r="P4328">
        <v>1</v>
      </c>
      <c r="Q4328">
        <v>1</v>
      </c>
      <c r="R4328">
        <v>1</v>
      </c>
      <c r="S4328">
        <v>1</v>
      </c>
      <c r="T4328">
        <v>1</v>
      </c>
      <c r="W4328">
        <v>1</v>
      </c>
      <c r="X4328">
        <v>1</v>
      </c>
      <c r="Y4328">
        <v>1</v>
      </c>
      <c r="Z4328">
        <v>1</v>
      </c>
      <c r="AA4328">
        <v>1</v>
      </c>
      <c r="AB4328">
        <v>1</v>
      </c>
    </row>
    <row r="4329" spans="1:28" x14ac:dyDescent="0.25">
      <c r="A4329" t="str">
        <f>"4325"</f>
        <v>4325</v>
      </c>
      <c r="B4329" t="str">
        <f t="shared" si="250"/>
        <v>1</v>
      </c>
      <c r="C4329" t="str">
        <f t="shared" si="249"/>
        <v>189</v>
      </c>
      <c r="D4329" t="str">
        <f>"12"</f>
        <v>12</v>
      </c>
      <c r="E4329" t="str">
        <f>"1-189-12"</f>
        <v>1-189-12</v>
      </c>
      <c r="F4329" t="s">
        <v>83</v>
      </c>
      <c r="G4329" t="s">
        <v>84</v>
      </c>
      <c r="H4329" t="s">
        <v>92</v>
      </c>
      <c r="I4329">
        <v>0</v>
      </c>
      <c r="J4329">
        <v>1</v>
      </c>
      <c r="N4329">
        <v>1</v>
      </c>
      <c r="O4329">
        <v>0</v>
      </c>
      <c r="P4329">
        <v>0</v>
      </c>
      <c r="Q4329">
        <v>0</v>
      </c>
      <c r="R4329">
        <v>0</v>
      </c>
      <c r="S4329">
        <v>1</v>
      </c>
      <c r="T4329">
        <v>0</v>
      </c>
      <c r="W4329">
        <v>1</v>
      </c>
      <c r="X4329">
        <v>0</v>
      </c>
      <c r="Y4329">
        <v>1</v>
      </c>
      <c r="Z4329">
        <v>0</v>
      </c>
      <c r="AA4329">
        <v>0</v>
      </c>
      <c r="AB4329">
        <v>1</v>
      </c>
    </row>
    <row r="4330" spans="1:28" x14ac:dyDescent="0.25">
      <c r="A4330" t="str">
        <f>"4326"</f>
        <v>4326</v>
      </c>
      <c r="B4330" t="str">
        <f t="shared" si="250"/>
        <v>1</v>
      </c>
      <c r="C4330" t="str">
        <f t="shared" si="249"/>
        <v>189</v>
      </c>
      <c r="D4330" t="str">
        <f>"6"</f>
        <v>6</v>
      </c>
      <c r="E4330" t="str">
        <f>"1-189-6"</f>
        <v>1-189-6</v>
      </c>
      <c r="F4330" t="s">
        <v>83</v>
      </c>
      <c r="G4330" t="s">
        <v>84</v>
      </c>
      <c r="H4330" t="s">
        <v>92</v>
      </c>
      <c r="I4330">
        <v>1</v>
      </c>
      <c r="J4330">
        <v>0</v>
      </c>
      <c r="N4330">
        <v>1</v>
      </c>
      <c r="O4330">
        <v>1</v>
      </c>
      <c r="P4330">
        <v>1</v>
      </c>
      <c r="Q4330">
        <v>1</v>
      </c>
      <c r="R4330">
        <v>1</v>
      </c>
      <c r="S4330">
        <v>1</v>
      </c>
      <c r="T4330">
        <v>1</v>
      </c>
      <c r="W4330">
        <v>1</v>
      </c>
      <c r="X4330">
        <v>1</v>
      </c>
      <c r="Y4330">
        <v>1</v>
      </c>
      <c r="Z4330">
        <v>1</v>
      </c>
      <c r="AA4330">
        <v>1</v>
      </c>
      <c r="AB4330">
        <v>1</v>
      </c>
    </row>
    <row r="4331" spans="1:28" x14ac:dyDescent="0.25">
      <c r="A4331" t="str">
        <f>"4327"</f>
        <v>4327</v>
      </c>
      <c r="B4331" t="str">
        <f t="shared" si="250"/>
        <v>1</v>
      </c>
      <c r="C4331" t="str">
        <f t="shared" si="249"/>
        <v>189</v>
      </c>
      <c r="D4331" t="str">
        <f>"21"</f>
        <v>21</v>
      </c>
      <c r="E4331" t="str">
        <f>"1-189-21"</f>
        <v>1-189-21</v>
      </c>
      <c r="F4331" t="s">
        <v>83</v>
      </c>
      <c r="G4331" t="s">
        <v>88</v>
      </c>
      <c r="H4331" t="s">
        <v>95</v>
      </c>
      <c r="I4331">
        <v>1</v>
      </c>
      <c r="K4331">
        <v>1</v>
      </c>
      <c r="L4331">
        <v>0</v>
      </c>
      <c r="M4331">
        <v>0</v>
      </c>
      <c r="N4331">
        <v>1</v>
      </c>
      <c r="O4331">
        <v>1</v>
      </c>
      <c r="P4331">
        <v>1</v>
      </c>
      <c r="Q4331">
        <v>1</v>
      </c>
      <c r="R4331">
        <v>1</v>
      </c>
      <c r="S4331">
        <v>1</v>
      </c>
      <c r="T4331">
        <v>1</v>
      </c>
      <c r="W4331">
        <v>1</v>
      </c>
      <c r="X4331">
        <v>1</v>
      </c>
      <c r="Y4331">
        <v>1</v>
      </c>
      <c r="Z4331">
        <v>1</v>
      </c>
      <c r="AA4331">
        <v>1</v>
      </c>
      <c r="AB4331">
        <v>1</v>
      </c>
    </row>
    <row r="4332" spans="1:28" x14ac:dyDescent="0.25">
      <c r="A4332" t="str">
        <f>"4328"</f>
        <v>4328</v>
      </c>
      <c r="B4332" t="str">
        <f t="shared" si="250"/>
        <v>1</v>
      </c>
      <c r="C4332" t="str">
        <f t="shared" si="249"/>
        <v>189</v>
      </c>
      <c r="D4332" t="str">
        <f>"13"</f>
        <v>13</v>
      </c>
      <c r="E4332" t="str">
        <f>"1-189-13"</f>
        <v>1-189-13</v>
      </c>
      <c r="F4332" t="s">
        <v>83</v>
      </c>
      <c r="G4332" t="s">
        <v>84</v>
      </c>
      <c r="H4332" t="s">
        <v>92</v>
      </c>
      <c r="I4332">
        <v>1</v>
      </c>
      <c r="J4332">
        <v>1</v>
      </c>
      <c r="N4332">
        <v>1</v>
      </c>
      <c r="O4332">
        <v>1</v>
      </c>
      <c r="P4332">
        <v>1</v>
      </c>
      <c r="Q4332">
        <v>1</v>
      </c>
      <c r="R4332">
        <v>1</v>
      </c>
      <c r="S4332">
        <v>1</v>
      </c>
      <c r="T4332">
        <v>1</v>
      </c>
      <c r="W4332">
        <v>1</v>
      </c>
      <c r="X4332">
        <v>1</v>
      </c>
      <c r="Y4332">
        <v>1</v>
      </c>
      <c r="Z4332">
        <v>1</v>
      </c>
      <c r="AA4332">
        <v>1</v>
      </c>
      <c r="AB4332">
        <v>1</v>
      </c>
    </row>
    <row r="4333" spans="1:28" x14ac:dyDescent="0.25">
      <c r="A4333" t="str">
        <f>"4329"</f>
        <v>4329</v>
      </c>
      <c r="B4333" t="str">
        <f t="shared" si="250"/>
        <v>1</v>
      </c>
      <c r="C4333" t="str">
        <f t="shared" si="249"/>
        <v>189</v>
      </c>
      <c r="D4333" t="str">
        <f>"1"</f>
        <v>1</v>
      </c>
      <c r="E4333" t="str">
        <f>"1-189-1"</f>
        <v>1-189-1</v>
      </c>
      <c r="F4333" t="s">
        <v>83</v>
      </c>
      <c r="G4333" t="s">
        <v>84</v>
      </c>
      <c r="H4333" t="s">
        <v>92</v>
      </c>
      <c r="I4333">
        <v>0</v>
      </c>
      <c r="J4333">
        <v>0</v>
      </c>
      <c r="N4333">
        <v>1</v>
      </c>
      <c r="O4333">
        <v>1</v>
      </c>
      <c r="P4333">
        <v>1</v>
      </c>
      <c r="Q4333">
        <v>1</v>
      </c>
      <c r="R4333">
        <v>1</v>
      </c>
      <c r="S4333">
        <v>0</v>
      </c>
      <c r="T4333">
        <v>1</v>
      </c>
      <c r="W4333">
        <v>1</v>
      </c>
      <c r="X4333">
        <v>1</v>
      </c>
      <c r="Y4333">
        <v>0</v>
      </c>
      <c r="Z4333">
        <v>1</v>
      </c>
      <c r="AA4333">
        <v>1</v>
      </c>
      <c r="AB4333">
        <v>1</v>
      </c>
    </row>
    <row r="4334" spans="1:28" x14ac:dyDescent="0.25">
      <c r="A4334" t="str">
        <f>"4330"</f>
        <v>4330</v>
      </c>
      <c r="B4334" t="str">
        <f t="shared" si="250"/>
        <v>1</v>
      </c>
      <c r="C4334" t="str">
        <f t="shared" si="249"/>
        <v>189</v>
      </c>
      <c r="D4334" t="str">
        <f>"17"</f>
        <v>17</v>
      </c>
      <c r="E4334" t="str">
        <f>"1-189-17"</f>
        <v>1-189-17</v>
      </c>
      <c r="F4334" t="s">
        <v>83</v>
      </c>
      <c r="G4334" t="s">
        <v>84</v>
      </c>
      <c r="H4334" t="s">
        <v>92</v>
      </c>
      <c r="I4334">
        <v>1</v>
      </c>
      <c r="J4334">
        <v>1</v>
      </c>
      <c r="N4334">
        <v>1</v>
      </c>
      <c r="O4334">
        <v>1</v>
      </c>
      <c r="P4334">
        <v>1</v>
      </c>
      <c r="Q4334">
        <v>1</v>
      </c>
      <c r="R4334">
        <v>1</v>
      </c>
      <c r="S4334">
        <v>1</v>
      </c>
      <c r="T4334">
        <v>1</v>
      </c>
      <c r="W4334">
        <v>1</v>
      </c>
      <c r="X4334">
        <v>1</v>
      </c>
      <c r="Y4334">
        <v>1</v>
      </c>
      <c r="Z4334">
        <v>1</v>
      </c>
      <c r="AA4334">
        <v>1</v>
      </c>
      <c r="AB4334">
        <v>1</v>
      </c>
    </row>
    <row r="4335" spans="1:28" x14ac:dyDescent="0.25">
      <c r="A4335" t="str">
        <f>"4331"</f>
        <v>4331</v>
      </c>
      <c r="B4335" t="str">
        <f t="shared" si="250"/>
        <v>1</v>
      </c>
      <c r="C4335" t="str">
        <f t="shared" si="249"/>
        <v>189</v>
      </c>
      <c r="D4335" t="str">
        <f>"2"</f>
        <v>2</v>
      </c>
      <c r="E4335" t="str">
        <f>"1-189-2"</f>
        <v>1-189-2</v>
      </c>
      <c r="F4335" t="s">
        <v>83</v>
      </c>
      <c r="G4335" t="s">
        <v>88</v>
      </c>
      <c r="H4335" t="s">
        <v>95</v>
      </c>
      <c r="I4335">
        <v>1</v>
      </c>
      <c r="K4335">
        <v>0</v>
      </c>
      <c r="L4335">
        <v>0</v>
      </c>
      <c r="M4335">
        <v>1</v>
      </c>
      <c r="N4335">
        <v>1</v>
      </c>
      <c r="O4335">
        <v>1</v>
      </c>
      <c r="P4335">
        <v>1</v>
      </c>
      <c r="Q4335">
        <v>1</v>
      </c>
      <c r="R4335">
        <v>1</v>
      </c>
      <c r="S4335">
        <v>1</v>
      </c>
      <c r="T4335">
        <v>1</v>
      </c>
      <c r="W4335">
        <v>0</v>
      </c>
      <c r="X4335">
        <v>1</v>
      </c>
      <c r="Y4335">
        <v>1</v>
      </c>
      <c r="Z4335">
        <v>1</v>
      </c>
      <c r="AA4335">
        <v>1</v>
      </c>
      <c r="AB4335">
        <v>1</v>
      </c>
    </row>
    <row r="4336" spans="1:28" x14ac:dyDescent="0.25">
      <c r="A4336" t="str">
        <f>"4332"</f>
        <v>4332</v>
      </c>
      <c r="B4336" t="str">
        <f t="shared" si="250"/>
        <v>1</v>
      </c>
      <c r="C4336" t="str">
        <f t="shared" si="249"/>
        <v>189</v>
      </c>
      <c r="D4336" t="str">
        <f>"19"</f>
        <v>19</v>
      </c>
      <c r="E4336" t="str">
        <f>"1-189-19"</f>
        <v>1-189-19</v>
      </c>
      <c r="F4336" t="s">
        <v>83</v>
      </c>
      <c r="G4336" t="s">
        <v>84</v>
      </c>
      <c r="H4336" t="s">
        <v>92</v>
      </c>
      <c r="I4336">
        <v>1</v>
      </c>
      <c r="J4336">
        <v>1</v>
      </c>
      <c r="N4336">
        <v>1</v>
      </c>
      <c r="O4336">
        <v>1</v>
      </c>
      <c r="P4336">
        <v>1</v>
      </c>
      <c r="Q4336">
        <v>1</v>
      </c>
      <c r="R4336">
        <v>1</v>
      </c>
      <c r="S4336">
        <v>1</v>
      </c>
      <c r="T4336">
        <v>1</v>
      </c>
      <c r="W4336">
        <v>1</v>
      </c>
      <c r="X4336">
        <v>1</v>
      </c>
      <c r="Y4336">
        <v>1</v>
      </c>
      <c r="Z4336">
        <v>1</v>
      </c>
      <c r="AA4336">
        <v>1</v>
      </c>
      <c r="AB4336">
        <v>1</v>
      </c>
    </row>
    <row r="4337" spans="1:49" x14ac:dyDescent="0.25">
      <c r="A4337" t="str">
        <f>"4333"</f>
        <v>4333</v>
      </c>
      <c r="B4337" t="str">
        <f t="shared" si="250"/>
        <v>1</v>
      </c>
      <c r="C4337" t="str">
        <f t="shared" si="249"/>
        <v>189</v>
      </c>
      <c r="D4337" t="str">
        <f>"5"</f>
        <v>5</v>
      </c>
      <c r="E4337" t="str">
        <f>"1-189-5"</f>
        <v>1-189-5</v>
      </c>
      <c r="F4337" t="s">
        <v>83</v>
      </c>
      <c r="G4337" t="s">
        <v>88</v>
      </c>
      <c r="H4337" t="s">
        <v>95</v>
      </c>
      <c r="I4337">
        <v>1</v>
      </c>
      <c r="K4337">
        <v>1</v>
      </c>
      <c r="L4337">
        <v>0</v>
      </c>
      <c r="M4337">
        <v>0</v>
      </c>
      <c r="N4337">
        <v>1</v>
      </c>
      <c r="O4337">
        <v>1</v>
      </c>
      <c r="P4337">
        <v>1</v>
      </c>
      <c r="Q4337">
        <v>1</v>
      </c>
      <c r="R4337">
        <v>1</v>
      </c>
      <c r="S4337">
        <v>1</v>
      </c>
      <c r="T4337">
        <v>1</v>
      </c>
      <c r="W4337">
        <v>1</v>
      </c>
      <c r="X4337">
        <v>1</v>
      </c>
      <c r="Y4337">
        <v>1</v>
      </c>
      <c r="Z4337">
        <v>1</v>
      </c>
      <c r="AA4337">
        <v>1</v>
      </c>
      <c r="AB4337">
        <v>1</v>
      </c>
    </row>
    <row r="4338" spans="1:49" x14ac:dyDescent="0.25">
      <c r="A4338" t="str">
        <f>"4334"</f>
        <v>4334</v>
      </c>
      <c r="B4338" t="str">
        <f t="shared" si="250"/>
        <v>1</v>
      </c>
      <c r="C4338" t="str">
        <f t="shared" ref="C4338:C4361" si="251">"190"</f>
        <v>190</v>
      </c>
      <c r="D4338" t="str">
        <f>"21"</f>
        <v>21</v>
      </c>
      <c r="E4338" t="str">
        <f>"1-190-21"</f>
        <v>1-190-21</v>
      </c>
      <c r="F4338" t="s">
        <v>83</v>
      </c>
      <c r="G4338" t="s">
        <v>84</v>
      </c>
      <c r="H4338" t="s">
        <v>85</v>
      </c>
      <c r="AC4338">
        <v>1</v>
      </c>
      <c r="AD4338">
        <v>0</v>
      </c>
      <c r="AE4338">
        <v>0</v>
      </c>
      <c r="AF4338">
        <v>0</v>
      </c>
      <c r="AG4338">
        <v>0</v>
      </c>
      <c r="AJ4338">
        <v>0</v>
      </c>
      <c r="AK4338">
        <v>1</v>
      </c>
      <c r="AL4338">
        <v>1</v>
      </c>
      <c r="AM4338">
        <v>0</v>
      </c>
      <c r="AN4338">
        <v>0</v>
      </c>
      <c r="AO4338">
        <v>0</v>
      </c>
      <c r="AP4338">
        <v>0</v>
      </c>
      <c r="AQ4338">
        <v>0</v>
      </c>
      <c r="AR4338">
        <v>0</v>
      </c>
      <c r="AS4338">
        <v>1</v>
      </c>
      <c r="AT4338">
        <v>0</v>
      </c>
      <c r="AV4338">
        <v>0</v>
      </c>
      <c r="AW4338">
        <v>1</v>
      </c>
    </row>
    <row r="4339" spans="1:49" x14ac:dyDescent="0.25">
      <c r="A4339" t="str">
        <f>"4335"</f>
        <v>4335</v>
      </c>
      <c r="B4339" t="str">
        <f t="shared" si="250"/>
        <v>1</v>
      </c>
      <c r="C4339" t="str">
        <f t="shared" si="251"/>
        <v>190</v>
      </c>
      <c r="D4339" t="str">
        <f>"20"</f>
        <v>20</v>
      </c>
      <c r="E4339" t="str">
        <f>"1-190-20"</f>
        <v>1-190-20</v>
      </c>
      <c r="F4339" t="s">
        <v>83</v>
      </c>
      <c r="G4339" t="s">
        <v>84</v>
      </c>
      <c r="H4339" t="s">
        <v>85</v>
      </c>
      <c r="AC4339">
        <v>0</v>
      </c>
      <c r="AD4339">
        <v>1</v>
      </c>
      <c r="AE4339">
        <v>0</v>
      </c>
      <c r="AF4339">
        <v>0</v>
      </c>
      <c r="AG4339">
        <v>0</v>
      </c>
      <c r="AJ4339">
        <v>0</v>
      </c>
      <c r="AK4339">
        <v>1</v>
      </c>
      <c r="AL4339">
        <v>0</v>
      </c>
      <c r="AM4339">
        <v>0</v>
      </c>
      <c r="AN4339">
        <v>0</v>
      </c>
      <c r="AO4339">
        <v>0</v>
      </c>
      <c r="AP4339">
        <v>0</v>
      </c>
      <c r="AQ4339">
        <v>0</v>
      </c>
      <c r="AR4339">
        <v>0</v>
      </c>
      <c r="AS4339">
        <v>1</v>
      </c>
      <c r="AT4339">
        <v>0</v>
      </c>
      <c r="AV4339">
        <v>0</v>
      </c>
      <c r="AW4339">
        <v>0</v>
      </c>
    </row>
    <row r="4340" spans="1:49" x14ac:dyDescent="0.25">
      <c r="A4340" t="str">
        <f>"4336"</f>
        <v>4336</v>
      </c>
      <c r="B4340" t="str">
        <f t="shared" si="250"/>
        <v>1</v>
      </c>
      <c r="C4340" t="str">
        <f t="shared" si="251"/>
        <v>190</v>
      </c>
      <c r="D4340" t="str">
        <f>"15"</f>
        <v>15</v>
      </c>
      <c r="E4340" t="str">
        <f>"1-190-15"</f>
        <v>1-190-15</v>
      </c>
      <c r="F4340" t="s">
        <v>83</v>
      </c>
      <c r="G4340" t="s">
        <v>84</v>
      </c>
      <c r="H4340" t="s">
        <v>85</v>
      </c>
      <c r="AC4340">
        <v>0</v>
      </c>
      <c r="AD4340">
        <v>0</v>
      </c>
      <c r="AE4340">
        <v>0</v>
      </c>
      <c r="AF4340">
        <v>0</v>
      </c>
      <c r="AG4340">
        <v>1</v>
      </c>
      <c r="AJ4340">
        <v>0</v>
      </c>
      <c r="AK4340">
        <v>1</v>
      </c>
      <c r="AL4340">
        <v>0</v>
      </c>
      <c r="AM4340">
        <v>0</v>
      </c>
      <c r="AN4340">
        <v>1</v>
      </c>
      <c r="AO4340">
        <v>1</v>
      </c>
      <c r="AP4340">
        <v>1</v>
      </c>
      <c r="AQ4340">
        <v>1</v>
      </c>
      <c r="AR4340">
        <v>1</v>
      </c>
      <c r="AS4340">
        <v>1</v>
      </c>
      <c r="AT4340">
        <v>0</v>
      </c>
      <c r="AV4340">
        <v>1</v>
      </c>
      <c r="AW4340">
        <v>1</v>
      </c>
    </row>
    <row r="4341" spans="1:49" x14ac:dyDescent="0.25">
      <c r="A4341" t="str">
        <f>"4337"</f>
        <v>4337</v>
      </c>
      <c r="B4341" t="str">
        <f t="shared" si="250"/>
        <v>1</v>
      </c>
      <c r="C4341" t="str">
        <f t="shared" si="251"/>
        <v>190</v>
      </c>
      <c r="D4341" t="str">
        <f>"8"</f>
        <v>8</v>
      </c>
      <c r="E4341" t="str">
        <f>"1-190-8"</f>
        <v>1-190-8</v>
      </c>
      <c r="F4341" t="s">
        <v>83</v>
      </c>
      <c r="G4341" t="s">
        <v>84</v>
      </c>
      <c r="H4341" t="s">
        <v>85</v>
      </c>
      <c r="AC4341">
        <v>0</v>
      </c>
      <c r="AD4341">
        <v>1</v>
      </c>
      <c r="AE4341">
        <v>0</v>
      </c>
      <c r="AF4341">
        <v>0</v>
      </c>
      <c r="AG4341">
        <v>1</v>
      </c>
      <c r="AJ4341">
        <v>1</v>
      </c>
      <c r="AK4341">
        <v>0</v>
      </c>
      <c r="AL4341">
        <v>0</v>
      </c>
      <c r="AM4341">
        <v>1</v>
      </c>
      <c r="AN4341">
        <v>0</v>
      </c>
      <c r="AO4341">
        <v>1</v>
      </c>
      <c r="AP4341">
        <v>1</v>
      </c>
      <c r="AQ4341">
        <v>1</v>
      </c>
      <c r="AR4341">
        <v>1</v>
      </c>
      <c r="AS4341">
        <v>1</v>
      </c>
      <c r="AT4341">
        <v>0</v>
      </c>
      <c r="AV4341">
        <v>1</v>
      </c>
      <c r="AW4341">
        <v>1</v>
      </c>
    </row>
    <row r="4342" spans="1:49" x14ac:dyDescent="0.25">
      <c r="A4342" t="str">
        <f>"4338"</f>
        <v>4338</v>
      </c>
      <c r="B4342" t="str">
        <f t="shared" si="250"/>
        <v>1</v>
      </c>
      <c r="C4342" t="str">
        <f t="shared" si="251"/>
        <v>190</v>
      </c>
      <c r="D4342" t="str">
        <f>"6"</f>
        <v>6</v>
      </c>
      <c r="E4342" t="str">
        <f>"1-190-6"</f>
        <v>1-190-6</v>
      </c>
      <c r="F4342" t="s">
        <v>83</v>
      </c>
      <c r="G4342" t="s">
        <v>84</v>
      </c>
      <c r="H4342" t="s">
        <v>85</v>
      </c>
      <c r="AC4342">
        <v>0</v>
      </c>
      <c r="AD4342">
        <v>1</v>
      </c>
      <c r="AE4342">
        <v>0</v>
      </c>
      <c r="AF4342">
        <v>0</v>
      </c>
      <c r="AG4342">
        <v>1</v>
      </c>
      <c r="AJ4342">
        <v>1</v>
      </c>
      <c r="AK4342">
        <v>0</v>
      </c>
      <c r="AL4342">
        <v>0</v>
      </c>
      <c r="AM4342">
        <v>1</v>
      </c>
      <c r="AN4342">
        <v>0</v>
      </c>
      <c r="AO4342">
        <v>1</v>
      </c>
      <c r="AP4342">
        <v>1</v>
      </c>
      <c r="AQ4342">
        <v>1</v>
      </c>
      <c r="AR4342">
        <v>1</v>
      </c>
      <c r="AS4342">
        <v>1</v>
      </c>
      <c r="AT4342">
        <v>0</v>
      </c>
      <c r="AV4342">
        <v>1</v>
      </c>
      <c r="AW4342">
        <v>1</v>
      </c>
    </row>
    <row r="4343" spans="1:49" x14ac:dyDescent="0.25">
      <c r="A4343" t="str">
        <f>"4339"</f>
        <v>4339</v>
      </c>
      <c r="B4343" t="str">
        <f t="shared" si="250"/>
        <v>1</v>
      </c>
      <c r="C4343" t="str">
        <f t="shared" si="251"/>
        <v>190</v>
      </c>
      <c r="D4343" t="str">
        <f>"24"</f>
        <v>24</v>
      </c>
      <c r="E4343" t="str">
        <f>"1-190-24"</f>
        <v>1-190-24</v>
      </c>
      <c r="F4343" t="s">
        <v>83</v>
      </c>
      <c r="G4343" t="s">
        <v>84</v>
      </c>
      <c r="H4343" t="s">
        <v>85</v>
      </c>
      <c r="AC4343">
        <v>0</v>
      </c>
      <c r="AD4343">
        <v>1</v>
      </c>
      <c r="AE4343">
        <v>0</v>
      </c>
      <c r="AF4343">
        <v>0</v>
      </c>
      <c r="AG4343">
        <v>0</v>
      </c>
      <c r="AJ4343">
        <v>0</v>
      </c>
      <c r="AK4343">
        <v>1</v>
      </c>
      <c r="AL4343">
        <v>0</v>
      </c>
      <c r="AM4343">
        <v>0</v>
      </c>
      <c r="AN4343">
        <v>1</v>
      </c>
      <c r="AO4343">
        <v>0</v>
      </c>
      <c r="AP4343">
        <v>0</v>
      </c>
      <c r="AQ4343">
        <v>0</v>
      </c>
      <c r="AR4343">
        <v>0</v>
      </c>
      <c r="AS4343">
        <v>1</v>
      </c>
      <c r="AT4343">
        <v>0</v>
      </c>
      <c r="AV4343">
        <v>0</v>
      </c>
      <c r="AW4343">
        <v>0</v>
      </c>
    </row>
    <row r="4344" spans="1:49" x14ac:dyDescent="0.25">
      <c r="A4344" t="str">
        <f>"4340"</f>
        <v>4340</v>
      </c>
      <c r="B4344" t="str">
        <f t="shared" si="250"/>
        <v>1</v>
      </c>
      <c r="C4344" t="str">
        <f t="shared" si="251"/>
        <v>190</v>
      </c>
      <c r="D4344" t="str">
        <f>"17"</f>
        <v>17</v>
      </c>
      <c r="E4344" t="str">
        <f>"1-190-17"</f>
        <v>1-190-17</v>
      </c>
      <c r="F4344" t="s">
        <v>83</v>
      </c>
      <c r="G4344" t="s">
        <v>84</v>
      </c>
      <c r="H4344" t="s">
        <v>85</v>
      </c>
      <c r="AC4344">
        <v>0</v>
      </c>
      <c r="AD4344">
        <v>1</v>
      </c>
      <c r="AE4344">
        <v>0</v>
      </c>
      <c r="AF4344">
        <v>0</v>
      </c>
      <c r="AG4344">
        <v>1</v>
      </c>
      <c r="AJ4344">
        <v>1</v>
      </c>
      <c r="AK4344">
        <v>0</v>
      </c>
      <c r="AL4344">
        <v>1</v>
      </c>
      <c r="AM4344">
        <v>0</v>
      </c>
      <c r="AN4344">
        <v>0</v>
      </c>
      <c r="AO4344">
        <v>1</v>
      </c>
      <c r="AP4344">
        <v>1</v>
      </c>
      <c r="AQ4344">
        <v>1</v>
      </c>
      <c r="AR4344">
        <v>1</v>
      </c>
      <c r="AS4344">
        <v>1</v>
      </c>
      <c r="AT4344">
        <v>0</v>
      </c>
      <c r="AV4344">
        <v>1</v>
      </c>
      <c r="AW4344">
        <v>1</v>
      </c>
    </row>
    <row r="4345" spans="1:49" x14ac:dyDescent="0.25">
      <c r="A4345" t="str">
        <f>"4341"</f>
        <v>4341</v>
      </c>
      <c r="B4345" t="str">
        <f t="shared" si="250"/>
        <v>1</v>
      </c>
      <c r="C4345" t="str">
        <f t="shared" si="251"/>
        <v>190</v>
      </c>
      <c r="D4345" t="str">
        <f>"9"</f>
        <v>9</v>
      </c>
      <c r="E4345" t="str">
        <f>"1-190-9"</f>
        <v>1-190-9</v>
      </c>
      <c r="F4345" t="s">
        <v>83</v>
      </c>
      <c r="G4345" t="s">
        <v>84</v>
      </c>
      <c r="H4345" t="s">
        <v>85</v>
      </c>
      <c r="AC4345">
        <v>1</v>
      </c>
      <c r="AD4345">
        <v>0</v>
      </c>
      <c r="AE4345">
        <v>0</v>
      </c>
      <c r="AF4345">
        <v>0</v>
      </c>
      <c r="AG4345">
        <v>1</v>
      </c>
      <c r="AJ4345">
        <v>1</v>
      </c>
      <c r="AK4345">
        <v>0</v>
      </c>
      <c r="AL4345">
        <v>1</v>
      </c>
      <c r="AM4345">
        <v>0</v>
      </c>
      <c r="AN4345">
        <v>0</v>
      </c>
      <c r="AO4345">
        <v>1</v>
      </c>
      <c r="AP4345">
        <v>1</v>
      </c>
      <c r="AQ4345">
        <v>1</v>
      </c>
      <c r="AR4345">
        <v>1</v>
      </c>
      <c r="AS4345">
        <v>1</v>
      </c>
      <c r="AT4345">
        <v>0</v>
      </c>
      <c r="AV4345">
        <v>1</v>
      </c>
      <c r="AW4345">
        <v>1</v>
      </c>
    </row>
    <row r="4346" spans="1:49" x14ac:dyDescent="0.25">
      <c r="A4346" t="str">
        <f>"4342"</f>
        <v>4342</v>
      </c>
      <c r="B4346" t="str">
        <f t="shared" si="250"/>
        <v>1</v>
      </c>
      <c r="C4346" t="str">
        <f t="shared" si="251"/>
        <v>190</v>
      </c>
      <c r="D4346" t="str">
        <f>"3"</f>
        <v>3</v>
      </c>
      <c r="E4346" t="str">
        <f>"1-190-3"</f>
        <v>1-190-3</v>
      </c>
      <c r="F4346" t="s">
        <v>83</v>
      </c>
      <c r="G4346" t="s">
        <v>84</v>
      </c>
      <c r="H4346" t="s">
        <v>85</v>
      </c>
      <c r="AC4346">
        <v>0</v>
      </c>
      <c r="AD4346">
        <v>1</v>
      </c>
      <c r="AE4346">
        <v>0</v>
      </c>
      <c r="AF4346">
        <v>0</v>
      </c>
      <c r="AG4346">
        <v>1</v>
      </c>
      <c r="AJ4346">
        <v>0</v>
      </c>
      <c r="AK4346">
        <v>1</v>
      </c>
      <c r="AL4346">
        <v>0</v>
      </c>
      <c r="AM4346">
        <v>1</v>
      </c>
      <c r="AN4346">
        <v>0</v>
      </c>
      <c r="AO4346">
        <v>1</v>
      </c>
      <c r="AP4346">
        <v>1</v>
      </c>
      <c r="AQ4346">
        <v>1</v>
      </c>
      <c r="AR4346">
        <v>1</v>
      </c>
      <c r="AS4346">
        <v>0</v>
      </c>
      <c r="AT4346">
        <v>1</v>
      </c>
      <c r="AV4346">
        <v>1</v>
      </c>
      <c r="AW4346">
        <v>1</v>
      </c>
    </row>
    <row r="4347" spans="1:49" x14ac:dyDescent="0.25">
      <c r="A4347" t="str">
        <f>"4343"</f>
        <v>4343</v>
      </c>
      <c r="B4347" t="str">
        <f t="shared" si="250"/>
        <v>1</v>
      </c>
      <c r="C4347" t="str">
        <f t="shared" si="251"/>
        <v>190</v>
      </c>
      <c r="D4347" t="str">
        <f>"18"</f>
        <v>18</v>
      </c>
      <c r="E4347" t="str">
        <f>"1-190-18"</f>
        <v>1-190-18</v>
      </c>
      <c r="F4347" t="s">
        <v>83</v>
      </c>
      <c r="G4347" t="s">
        <v>84</v>
      </c>
      <c r="H4347" t="s">
        <v>85</v>
      </c>
      <c r="AC4347">
        <v>1</v>
      </c>
      <c r="AD4347">
        <v>0</v>
      </c>
      <c r="AE4347">
        <v>0</v>
      </c>
      <c r="AF4347">
        <v>0</v>
      </c>
      <c r="AG4347">
        <v>1</v>
      </c>
      <c r="AJ4347">
        <v>0</v>
      </c>
      <c r="AK4347">
        <v>1</v>
      </c>
      <c r="AL4347">
        <v>1</v>
      </c>
      <c r="AM4347">
        <v>0</v>
      </c>
      <c r="AN4347">
        <v>0</v>
      </c>
      <c r="AO4347">
        <v>1</v>
      </c>
      <c r="AP4347">
        <v>1</v>
      </c>
      <c r="AQ4347">
        <v>1</v>
      </c>
      <c r="AR4347">
        <v>1</v>
      </c>
      <c r="AS4347">
        <v>1</v>
      </c>
      <c r="AT4347">
        <v>0</v>
      </c>
      <c r="AV4347">
        <v>1</v>
      </c>
      <c r="AW4347">
        <v>1</v>
      </c>
    </row>
    <row r="4348" spans="1:49" x14ac:dyDescent="0.25">
      <c r="A4348" t="str">
        <f>"4344"</f>
        <v>4344</v>
      </c>
      <c r="B4348" t="str">
        <f t="shared" si="250"/>
        <v>1</v>
      </c>
      <c r="C4348" t="str">
        <f t="shared" si="251"/>
        <v>190</v>
      </c>
      <c r="D4348" t="str">
        <f>"10"</f>
        <v>10</v>
      </c>
      <c r="E4348" t="str">
        <f>"1-190-10"</f>
        <v>1-190-10</v>
      </c>
      <c r="F4348" t="s">
        <v>83</v>
      </c>
      <c r="G4348" t="s">
        <v>84</v>
      </c>
      <c r="H4348" t="s">
        <v>85</v>
      </c>
      <c r="AC4348">
        <v>0</v>
      </c>
      <c r="AD4348">
        <v>1</v>
      </c>
      <c r="AE4348">
        <v>0</v>
      </c>
      <c r="AF4348">
        <v>0</v>
      </c>
      <c r="AG4348">
        <v>1</v>
      </c>
      <c r="AJ4348">
        <v>1</v>
      </c>
      <c r="AK4348">
        <v>0</v>
      </c>
      <c r="AL4348">
        <v>0</v>
      </c>
      <c r="AM4348">
        <v>1</v>
      </c>
      <c r="AN4348">
        <v>0</v>
      </c>
      <c r="AO4348">
        <v>1</v>
      </c>
      <c r="AP4348">
        <v>1</v>
      </c>
      <c r="AQ4348">
        <v>1</v>
      </c>
      <c r="AR4348">
        <v>1</v>
      </c>
      <c r="AS4348">
        <v>0</v>
      </c>
      <c r="AT4348">
        <v>1</v>
      </c>
      <c r="AV4348">
        <v>1</v>
      </c>
      <c r="AW4348">
        <v>1</v>
      </c>
    </row>
    <row r="4349" spans="1:49" x14ac:dyDescent="0.25">
      <c r="A4349" t="str">
        <f>"4345"</f>
        <v>4345</v>
      </c>
      <c r="B4349" t="str">
        <f t="shared" si="250"/>
        <v>1</v>
      </c>
      <c r="C4349" t="str">
        <f t="shared" si="251"/>
        <v>190</v>
      </c>
      <c r="D4349" t="str">
        <f>"4"</f>
        <v>4</v>
      </c>
      <c r="E4349" t="str">
        <f>"1-190-4"</f>
        <v>1-190-4</v>
      </c>
      <c r="F4349" t="s">
        <v>83</v>
      </c>
      <c r="G4349" t="s">
        <v>84</v>
      </c>
      <c r="H4349" t="s">
        <v>85</v>
      </c>
      <c r="AC4349">
        <v>0</v>
      </c>
      <c r="AD4349">
        <v>1</v>
      </c>
      <c r="AE4349">
        <v>0</v>
      </c>
      <c r="AF4349">
        <v>0</v>
      </c>
      <c r="AG4349">
        <v>0</v>
      </c>
      <c r="AJ4349">
        <v>1</v>
      </c>
      <c r="AK4349">
        <v>0</v>
      </c>
      <c r="AL4349">
        <v>0</v>
      </c>
      <c r="AM4349">
        <v>1</v>
      </c>
      <c r="AN4349">
        <v>0</v>
      </c>
      <c r="AO4349">
        <v>0</v>
      </c>
      <c r="AP4349">
        <v>1</v>
      </c>
      <c r="AQ4349">
        <v>0</v>
      </c>
      <c r="AR4349">
        <v>1</v>
      </c>
      <c r="AS4349">
        <v>0</v>
      </c>
      <c r="AT4349">
        <v>1</v>
      </c>
      <c r="AV4349">
        <v>1</v>
      </c>
      <c r="AW4349">
        <v>1</v>
      </c>
    </row>
    <row r="4350" spans="1:49" x14ac:dyDescent="0.25">
      <c r="A4350" t="str">
        <f>"4346"</f>
        <v>4346</v>
      </c>
      <c r="B4350" t="str">
        <f t="shared" si="250"/>
        <v>1</v>
      </c>
      <c r="C4350" t="str">
        <f t="shared" si="251"/>
        <v>190</v>
      </c>
      <c r="D4350" t="str">
        <f>"23"</f>
        <v>23</v>
      </c>
      <c r="E4350" t="str">
        <f>"1-190-23"</f>
        <v>1-190-23</v>
      </c>
      <c r="F4350" t="s">
        <v>83</v>
      </c>
      <c r="G4350" t="s">
        <v>84</v>
      </c>
      <c r="H4350" t="s">
        <v>85</v>
      </c>
      <c r="AC4350">
        <v>1</v>
      </c>
      <c r="AD4350">
        <v>0</v>
      </c>
      <c r="AE4350">
        <v>0</v>
      </c>
      <c r="AF4350">
        <v>0</v>
      </c>
      <c r="AG4350">
        <v>1</v>
      </c>
      <c r="AJ4350">
        <v>0</v>
      </c>
      <c r="AK4350">
        <v>1</v>
      </c>
      <c r="AL4350">
        <v>1</v>
      </c>
      <c r="AM4350">
        <v>0</v>
      </c>
      <c r="AN4350">
        <v>0</v>
      </c>
      <c r="AO4350">
        <v>1</v>
      </c>
      <c r="AP4350">
        <v>1</v>
      </c>
      <c r="AQ4350">
        <v>1</v>
      </c>
      <c r="AR4350">
        <v>1</v>
      </c>
      <c r="AS4350">
        <v>1</v>
      </c>
      <c r="AT4350">
        <v>0</v>
      </c>
      <c r="AV4350">
        <v>1</v>
      </c>
      <c r="AW4350">
        <v>1</v>
      </c>
    </row>
    <row r="4351" spans="1:49" x14ac:dyDescent="0.25">
      <c r="A4351" t="str">
        <f>"4347"</f>
        <v>4347</v>
      </c>
      <c r="B4351" t="str">
        <f t="shared" si="250"/>
        <v>1</v>
      </c>
      <c r="C4351" t="str">
        <f t="shared" si="251"/>
        <v>190</v>
      </c>
      <c r="D4351" t="str">
        <f>"22"</f>
        <v>22</v>
      </c>
      <c r="E4351" t="str">
        <f>"1-190-22"</f>
        <v>1-190-22</v>
      </c>
      <c r="F4351" t="s">
        <v>83</v>
      </c>
      <c r="G4351" t="s">
        <v>84</v>
      </c>
      <c r="H4351" t="s">
        <v>85</v>
      </c>
      <c r="AC4351">
        <v>0</v>
      </c>
      <c r="AD4351">
        <v>1</v>
      </c>
      <c r="AE4351">
        <v>0</v>
      </c>
      <c r="AF4351">
        <v>0</v>
      </c>
      <c r="AG4351">
        <v>1</v>
      </c>
      <c r="AJ4351">
        <v>0</v>
      </c>
      <c r="AK4351">
        <v>1</v>
      </c>
      <c r="AL4351">
        <v>0</v>
      </c>
      <c r="AM4351">
        <v>0</v>
      </c>
      <c r="AN4351">
        <v>1</v>
      </c>
      <c r="AO4351">
        <v>1</v>
      </c>
      <c r="AP4351">
        <v>1</v>
      </c>
      <c r="AQ4351">
        <v>1</v>
      </c>
      <c r="AR4351">
        <v>1</v>
      </c>
      <c r="AS4351">
        <v>1</v>
      </c>
      <c r="AT4351">
        <v>0</v>
      </c>
      <c r="AV4351">
        <v>1</v>
      </c>
      <c r="AW4351">
        <v>1</v>
      </c>
    </row>
    <row r="4352" spans="1:49" x14ac:dyDescent="0.25">
      <c r="A4352" t="str">
        <f>"4348"</f>
        <v>4348</v>
      </c>
      <c r="B4352" t="str">
        <f t="shared" si="250"/>
        <v>1</v>
      </c>
      <c r="C4352" t="str">
        <f t="shared" si="251"/>
        <v>190</v>
      </c>
      <c r="D4352" t="str">
        <f>"16"</f>
        <v>16</v>
      </c>
      <c r="E4352" t="str">
        <f>"1-190-16"</f>
        <v>1-190-16</v>
      </c>
      <c r="F4352" t="s">
        <v>83</v>
      </c>
      <c r="G4352" t="s">
        <v>84</v>
      </c>
      <c r="H4352" t="s">
        <v>85</v>
      </c>
      <c r="AC4352">
        <v>0</v>
      </c>
      <c r="AD4352">
        <v>1</v>
      </c>
      <c r="AE4352">
        <v>0</v>
      </c>
      <c r="AF4352">
        <v>0</v>
      </c>
      <c r="AG4352">
        <v>1</v>
      </c>
      <c r="AJ4352">
        <v>0</v>
      </c>
      <c r="AK4352">
        <v>1</v>
      </c>
      <c r="AL4352">
        <v>1</v>
      </c>
      <c r="AM4352">
        <v>0</v>
      </c>
      <c r="AN4352">
        <v>0</v>
      </c>
      <c r="AO4352">
        <v>1</v>
      </c>
      <c r="AP4352">
        <v>1</v>
      </c>
      <c r="AQ4352">
        <v>1</v>
      </c>
      <c r="AR4352">
        <v>1</v>
      </c>
      <c r="AS4352">
        <v>0</v>
      </c>
      <c r="AT4352">
        <v>1</v>
      </c>
      <c r="AV4352">
        <v>1</v>
      </c>
      <c r="AW4352">
        <v>1</v>
      </c>
    </row>
    <row r="4353" spans="1:49" x14ac:dyDescent="0.25">
      <c r="A4353" t="str">
        <f>"4349"</f>
        <v>4349</v>
      </c>
      <c r="B4353" t="str">
        <f t="shared" si="250"/>
        <v>1</v>
      </c>
      <c r="C4353" t="str">
        <f t="shared" si="251"/>
        <v>190</v>
      </c>
      <c r="D4353" t="str">
        <f>"11"</f>
        <v>11</v>
      </c>
      <c r="E4353" t="str">
        <f>"1-190-11"</f>
        <v>1-190-11</v>
      </c>
      <c r="F4353" t="s">
        <v>83</v>
      </c>
      <c r="G4353" t="s">
        <v>84</v>
      </c>
      <c r="H4353" t="s">
        <v>85</v>
      </c>
      <c r="AC4353">
        <v>1</v>
      </c>
      <c r="AD4353">
        <v>0</v>
      </c>
      <c r="AE4353">
        <v>0</v>
      </c>
      <c r="AF4353">
        <v>0</v>
      </c>
      <c r="AG4353">
        <v>1</v>
      </c>
      <c r="AJ4353">
        <v>1</v>
      </c>
      <c r="AK4353">
        <v>0</v>
      </c>
      <c r="AL4353">
        <v>0</v>
      </c>
      <c r="AM4353">
        <v>1</v>
      </c>
      <c r="AN4353">
        <v>0</v>
      </c>
      <c r="AO4353">
        <v>1</v>
      </c>
      <c r="AP4353">
        <v>1</v>
      </c>
      <c r="AQ4353">
        <v>1</v>
      </c>
      <c r="AR4353">
        <v>1</v>
      </c>
      <c r="AS4353">
        <v>0</v>
      </c>
      <c r="AT4353">
        <v>0</v>
      </c>
      <c r="AV4353">
        <v>1</v>
      </c>
      <c r="AW4353">
        <v>1</v>
      </c>
    </row>
    <row r="4354" spans="1:49" x14ac:dyDescent="0.25">
      <c r="A4354" t="str">
        <f>"4350"</f>
        <v>4350</v>
      </c>
      <c r="B4354" t="str">
        <f t="shared" si="250"/>
        <v>1</v>
      </c>
      <c r="C4354" t="str">
        <f t="shared" si="251"/>
        <v>190</v>
      </c>
      <c r="D4354" t="str">
        <f>"1"</f>
        <v>1</v>
      </c>
      <c r="E4354" t="str">
        <f>"1-190-1"</f>
        <v>1-190-1</v>
      </c>
      <c r="F4354" t="s">
        <v>83</v>
      </c>
      <c r="G4354" t="s">
        <v>84</v>
      </c>
      <c r="H4354" t="s">
        <v>85</v>
      </c>
      <c r="AC4354">
        <v>1</v>
      </c>
      <c r="AD4354">
        <v>0</v>
      </c>
      <c r="AE4354">
        <v>0</v>
      </c>
      <c r="AF4354">
        <v>0</v>
      </c>
      <c r="AG4354">
        <v>1</v>
      </c>
      <c r="AJ4354">
        <v>1</v>
      </c>
      <c r="AK4354">
        <v>0</v>
      </c>
      <c r="AL4354">
        <v>1</v>
      </c>
      <c r="AM4354">
        <v>0</v>
      </c>
      <c r="AN4354">
        <v>0</v>
      </c>
      <c r="AO4354">
        <v>1</v>
      </c>
      <c r="AP4354">
        <v>1</v>
      </c>
      <c r="AQ4354">
        <v>1</v>
      </c>
      <c r="AR4354">
        <v>1</v>
      </c>
      <c r="AS4354">
        <v>1</v>
      </c>
      <c r="AT4354">
        <v>0</v>
      </c>
      <c r="AV4354">
        <v>1</v>
      </c>
      <c r="AW4354">
        <v>1</v>
      </c>
    </row>
    <row r="4355" spans="1:49" x14ac:dyDescent="0.25">
      <c r="A4355" t="str">
        <f>"4351"</f>
        <v>4351</v>
      </c>
      <c r="B4355" t="str">
        <f t="shared" si="250"/>
        <v>1</v>
      </c>
      <c r="C4355" t="str">
        <f t="shared" si="251"/>
        <v>190</v>
      </c>
      <c r="D4355" t="str">
        <f>"19"</f>
        <v>19</v>
      </c>
      <c r="E4355" t="str">
        <f>"1-190-19"</f>
        <v>1-190-19</v>
      </c>
      <c r="F4355" t="s">
        <v>83</v>
      </c>
      <c r="G4355" t="s">
        <v>84</v>
      </c>
      <c r="H4355" t="s">
        <v>85</v>
      </c>
      <c r="AC4355">
        <v>0</v>
      </c>
      <c r="AD4355">
        <v>1</v>
      </c>
      <c r="AE4355">
        <v>0</v>
      </c>
      <c r="AF4355">
        <v>0</v>
      </c>
      <c r="AG4355">
        <v>1</v>
      </c>
      <c r="AJ4355">
        <v>0</v>
      </c>
      <c r="AK4355">
        <v>1</v>
      </c>
      <c r="AL4355">
        <v>0</v>
      </c>
      <c r="AM4355">
        <v>0</v>
      </c>
      <c r="AN4355">
        <v>0</v>
      </c>
      <c r="AO4355">
        <v>1</v>
      </c>
      <c r="AP4355">
        <v>1</v>
      </c>
      <c r="AQ4355">
        <v>1</v>
      </c>
      <c r="AR4355">
        <v>1</v>
      </c>
      <c r="AS4355">
        <v>1</v>
      </c>
      <c r="AT4355">
        <v>0</v>
      </c>
      <c r="AV4355">
        <v>1</v>
      </c>
      <c r="AW4355">
        <v>1</v>
      </c>
    </row>
    <row r="4356" spans="1:49" x14ac:dyDescent="0.25">
      <c r="A4356" t="str">
        <f>"4352"</f>
        <v>4352</v>
      </c>
      <c r="B4356" t="str">
        <f t="shared" si="250"/>
        <v>1</v>
      </c>
      <c r="C4356" t="str">
        <f t="shared" si="251"/>
        <v>190</v>
      </c>
      <c r="D4356" t="str">
        <f>"12"</f>
        <v>12</v>
      </c>
      <c r="E4356" t="str">
        <f>"1-190-12"</f>
        <v>1-190-12</v>
      </c>
      <c r="F4356" t="s">
        <v>83</v>
      </c>
      <c r="G4356" t="s">
        <v>84</v>
      </c>
      <c r="H4356" t="s">
        <v>85</v>
      </c>
      <c r="AC4356">
        <v>1</v>
      </c>
      <c r="AD4356">
        <v>0</v>
      </c>
      <c r="AE4356">
        <v>0</v>
      </c>
      <c r="AF4356">
        <v>0</v>
      </c>
      <c r="AG4356">
        <v>1</v>
      </c>
      <c r="AJ4356">
        <v>1</v>
      </c>
      <c r="AK4356">
        <v>0</v>
      </c>
      <c r="AL4356">
        <v>0</v>
      </c>
      <c r="AM4356">
        <v>1</v>
      </c>
      <c r="AN4356">
        <v>0</v>
      </c>
      <c r="AO4356">
        <v>1</v>
      </c>
      <c r="AP4356">
        <v>0</v>
      </c>
      <c r="AQ4356">
        <v>1</v>
      </c>
      <c r="AR4356">
        <v>1</v>
      </c>
      <c r="AS4356">
        <v>0</v>
      </c>
      <c r="AT4356">
        <v>1</v>
      </c>
      <c r="AV4356">
        <v>1</v>
      </c>
      <c r="AW4356">
        <v>1</v>
      </c>
    </row>
    <row r="4357" spans="1:49" x14ac:dyDescent="0.25">
      <c r="A4357" t="str">
        <f>"4353"</f>
        <v>4353</v>
      </c>
      <c r="B4357" t="str">
        <f t="shared" si="250"/>
        <v>1</v>
      </c>
      <c r="C4357" t="str">
        <f t="shared" si="251"/>
        <v>190</v>
      </c>
      <c r="D4357" t="str">
        <f>"7"</f>
        <v>7</v>
      </c>
      <c r="E4357" t="str">
        <f>"1-190-7"</f>
        <v>1-190-7</v>
      </c>
      <c r="F4357" t="s">
        <v>83</v>
      </c>
      <c r="G4357" t="s">
        <v>84</v>
      </c>
      <c r="H4357" t="s">
        <v>85</v>
      </c>
      <c r="AC4357">
        <v>0</v>
      </c>
      <c r="AD4357">
        <v>1</v>
      </c>
      <c r="AE4357">
        <v>0</v>
      </c>
      <c r="AF4357">
        <v>0</v>
      </c>
      <c r="AG4357">
        <v>1</v>
      </c>
      <c r="AJ4357">
        <v>1</v>
      </c>
      <c r="AK4357">
        <v>0</v>
      </c>
      <c r="AL4357">
        <v>0</v>
      </c>
      <c r="AM4357">
        <v>1</v>
      </c>
      <c r="AN4357">
        <v>0</v>
      </c>
      <c r="AO4357">
        <v>1</v>
      </c>
      <c r="AP4357">
        <v>1</v>
      </c>
      <c r="AQ4357">
        <v>1</v>
      </c>
      <c r="AR4357">
        <v>1</v>
      </c>
      <c r="AS4357">
        <v>1</v>
      </c>
      <c r="AT4357">
        <v>0</v>
      </c>
      <c r="AV4357">
        <v>1</v>
      </c>
      <c r="AW4357">
        <v>1</v>
      </c>
    </row>
    <row r="4358" spans="1:49" x14ac:dyDescent="0.25">
      <c r="A4358" t="str">
        <f>"4354"</f>
        <v>4354</v>
      </c>
      <c r="B4358" t="str">
        <f t="shared" si="250"/>
        <v>1</v>
      </c>
      <c r="C4358" t="str">
        <f t="shared" si="251"/>
        <v>190</v>
      </c>
      <c r="D4358" t="str">
        <f>"13"</f>
        <v>13</v>
      </c>
      <c r="E4358" t="str">
        <f>"1-190-13"</f>
        <v>1-190-13</v>
      </c>
      <c r="F4358" t="s">
        <v>83</v>
      </c>
      <c r="G4358" t="s">
        <v>84</v>
      </c>
      <c r="H4358" t="s">
        <v>85</v>
      </c>
      <c r="AC4358">
        <v>0</v>
      </c>
      <c r="AD4358">
        <v>1</v>
      </c>
      <c r="AE4358">
        <v>0</v>
      </c>
      <c r="AF4358">
        <v>0</v>
      </c>
      <c r="AG4358">
        <v>0</v>
      </c>
      <c r="AJ4358">
        <v>0</v>
      </c>
      <c r="AK4358">
        <v>1</v>
      </c>
      <c r="AL4358">
        <v>1</v>
      </c>
      <c r="AM4358">
        <v>0</v>
      </c>
      <c r="AN4358">
        <v>0</v>
      </c>
      <c r="AO4358">
        <v>0</v>
      </c>
      <c r="AP4358">
        <v>0</v>
      </c>
      <c r="AQ4358">
        <v>0</v>
      </c>
      <c r="AR4358">
        <v>0</v>
      </c>
      <c r="AS4358">
        <v>0</v>
      </c>
      <c r="AT4358">
        <v>1</v>
      </c>
      <c r="AV4358">
        <v>0</v>
      </c>
      <c r="AW4358">
        <v>0</v>
      </c>
    </row>
    <row r="4359" spans="1:49" x14ac:dyDescent="0.25">
      <c r="A4359" t="str">
        <f>"4355"</f>
        <v>4355</v>
      </c>
      <c r="B4359" t="str">
        <f t="shared" si="250"/>
        <v>1</v>
      </c>
      <c r="C4359" t="str">
        <f t="shared" si="251"/>
        <v>190</v>
      </c>
      <c r="D4359" t="str">
        <f>"2"</f>
        <v>2</v>
      </c>
      <c r="E4359" t="str">
        <f>"1-190-2"</f>
        <v>1-190-2</v>
      </c>
      <c r="F4359" t="s">
        <v>83</v>
      </c>
      <c r="G4359" t="s">
        <v>84</v>
      </c>
      <c r="H4359" t="s">
        <v>85</v>
      </c>
      <c r="AC4359">
        <v>1</v>
      </c>
      <c r="AD4359">
        <v>0</v>
      </c>
      <c r="AE4359">
        <v>0</v>
      </c>
      <c r="AF4359">
        <v>0</v>
      </c>
      <c r="AG4359">
        <v>0</v>
      </c>
      <c r="AJ4359">
        <v>0</v>
      </c>
      <c r="AK4359">
        <v>1</v>
      </c>
      <c r="AL4359">
        <v>1</v>
      </c>
      <c r="AM4359">
        <v>0</v>
      </c>
      <c r="AN4359">
        <v>0</v>
      </c>
      <c r="AO4359">
        <v>0</v>
      </c>
      <c r="AP4359">
        <v>0</v>
      </c>
      <c r="AQ4359">
        <v>0</v>
      </c>
      <c r="AR4359">
        <v>0</v>
      </c>
      <c r="AS4359">
        <v>1</v>
      </c>
      <c r="AT4359">
        <v>0</v>
      </c>
      <c r="AV4359">
        <v>0</v>
      </c>
      <c r="AW4359">
        <v>1</v>
      </c>
    </row>
    <row r="4360" spans="1:49" x14ac:dyDescent="0.25">
      <c r="A4360" t="str">
        <f>"4356"</f>
        <v>4356</v>
      </c>
      <c r="B4360" t="str">
        <f t="shared" si="250"/>
        <v>1</v>
      </c>
      <c r="C4360" t="str">
        <f t="shared" si="251"/>
        <v>190</v>
      </c>
      <c r="D4360" t="str">
        <f>"14"</f>
        <v>14</v>
      </c>
      <c r="E4360" t="str">
        <f>"1-190-14"</f>
        <v>1-190-14</v>
      </c>
      <c r="F4360" t="s">
        <v>83</v>
      </c>
      <c r="G4360" t="s">
        <v>84</v>
      </c>
      <c r="H4360" t="s">
        <v>85</v>
      </c>
      <c r="AC4360">
        <v>1</v>
      </c>
      <c r="AD4360">
        <v>0</v>
      </c>
      <c r="AE4360">
        <v>0</v>
      </c>
      <c r="AF4360">
        <v>0</v>
      </c>
      <c r="AG4360">
        <v>1</v>
      </c>
      <c r="AJ4360">
        <v>0</v>
      </c>
      <c r="AK4360">
        <v>1</v>
      </c>
      <c r="AL4360">
        <v>0</v>
      </c>
      <c r="AM4360">
        <v>1</v>
      </c>
      <c r="AN4360">
        <v>0</v>
      </c>
      <c r="AO4360">
        <v>1</v>
      </c>
      <c r="AP4360">
        <v>1</v>
      </c>
      <c r="AQ4360">
        <v>1</v>
      </c>
      <c r="AR4360">
        <v>1</v>
      </c>
      <c r="AS4360">
        <v>0</v>
      </c>
      <c r="AT4360">
        <v>1</v>
      </c>
      <c r="AV4360">
        <v>1</v>
      </c>
      <c r="AW4360">
        <v>1</v>
      </c>
    </row>
    <row r="4361" spans="1:49" x14ac:dyDescent="0.25">
      <c r="A4361" t="str">
        <f>"4357"</f>
        <v>4357</v>
      </c>
      <c r="B4361" t="str">
        <f t="shared" si="250"/>
        <v>1</v>
      </c>
      <c r="C4361" t="str">
        <f t="shared" si="251"/>
        <v>190</v>
      </c>
      <c r="D4361" t="str">
        <f>"5"</f>
        <v>5</v>
      </c>
      <c r="E4361" t="str">
        <f>"1-190-5"</f>
        <v>1-190-5</v>
      </c>
      <c r="F4361" t="s">
        <v>83</v>
      </c>
      <c r="G4361" t="s">
        <v>84</v>
      </c>
      <c r="H4361" t="s">
        <v>85</v>
      </c>
      <c r="AC4361">
        <v>0</v>
      </c>
      <c r="AD4361">
        <v>1</v>
      </c>
      <c r="AE4361">
        <v>0</v>
      </c>
      <c r="AF4361">
        <v>0</v>
      </c>
      <c r="AG4361">
        <v>0</v>
      </c>
      <c r="AJ4361">
        <v>1</v>
      </c>
      <c r="AK4361">
        <v>0</v>
      </c>
      <c r="AL4361">
        <v>0</v>
      </c>
      <c r="AM4361">
        <v>0</v>
      </c>
      <c r="AN4361">
        <v>0</v>
      </c>
      <c r="AO4361">
        <v>0</v>
      </c>
      <c r="AP4361">
        <v>0</v>
      </c>
      <c r="AQ4361">
        <v>0</v>
      </c>
      <c r="AR4361">
        <v>1</v>
      </c>
      <c r="AS4361">
        <v>0</v>
      </c>
      <c r="AT4361">
        <v>0</v>
      </c>
      <c r="AV4361">
        <v>0</v>
      </c>
      <c r="AW4361">
        <v>1</v>
      </c>
    </row>
    <row r="4362" spans="1:49" x14ac:dyDescent="0.25">
      <c r="A4362" t="str">
        <f>"4358"</f>
        <v>4358</v>
      </c>
      <c r="B4362" t="str">
        <f t="shared" si="250"/>
        <v>1</v>
      </c>
      <c r="C4362" t="str">
        <f t="shared" ref="C4362:C4386" si="252">"191"</f>
        <v>191</v>
      </c>
      <c r="D4362" t="str">
        <f>"21"</f>
        <v>21</v>
      </c>
      <c r="E4362" t="str">
        <f>"1-191-21"</f>
        <v>1-191-21</v>
      </c>
      <c r="F4362" t="s">
        <v>83</v>
      </c>
      <c r="G4362" t="s">
        <v>84</v>
      </c>
      <c r="H4362" t="s">
        <v>85</v>
      </c>
      <c r="AC4362">
        <v>0</v>
      </c>
      <c r="AD4362">
        <v>1</v>
      </c>
      <c r="AE4362">
        <v>0</v>
      </c>
      <c r="AF4362">
        <v>0</v>
      </c>
      <c r="AG4362">
        <v>1</v>
      </c>
      <c r="AJ4362">
        <v>0</v>
      </c>
      <c r="AK4362">
        <v>1</v>
      </c>
      <c r="AL4362">
        <v>0</v>
      </c>
      <c r="AM4362">
        <v>0</v>
      </c>
      <c r="AN4362">
        <v>1</v>
      </c>
      <c r="AO4362">
        <v>1</v>
      </c>
      <c r="AP4362">
        <v>1</v>
      </c>
      <c r="AQ4362">
        <v>1</v>
      </c>
      <c r="AR4362">
        <v>1</v>
      </c>
      <c r="AS4362">
        <v>0</v>
      </c>
      <c r="AT4362">
        <v>1</v>
      </c>
      <c r="AV4362">
        <v>1</v>
      </c>
      <c r="AW4362">
        <v>1</v>
      </c>
    </row>
    <row r="4363" spans="1:49" x14ac:dyDescent="0.25">
      <c r="A4363" t="str">
        <f>"4359"</f>
        <v>4359</v>
      </c>
      <c r="B4363" t="str">
        <f t="shared" si="250"/>
        <v>1</v>
      </c>
      <c r="C4363" t="str">
        <f t="shared" si="252"/>
        <v>191</v>
      </c>
      <c r="D4363" t="str">
        <f>"20"</f>
        <v>20</v>
      </c>
      <c r="E4363" t="str">
        <f>"1-191-20"</f>
        <v>1-191-20</v>
      </c>
      <c r="F4363" t="s">
        <v>83</v>
      </c>
      <c r="G4363" t="s">
        <v>84</v>
      </c>
      <c r="H4363" t="s">
        <v>85</v>
      </c>
      <c r="AC4363">
        <v>1</v>
      </c>
      <c r="AD4363">
        <v>0</v>
      </c>
      <c r="AE4363">
        <v>0</v>
      </c>
      <c r="AF4363">
        <v>0</v>
      </c>
      <c r="AG4363">
        <v>1</v>
      </c>
      <c r="AJ4363">
        <v>0</v>
      </c>
      <c r="AK4363">
        <v>1</v>
      </c>
      <c r="AL4363">
        <v>1</v>
      </c>
      <c r="AM4363">
        <v>0</v>
      </c>
      <c r="AN4363">
        <v>0</v>
      </c>
      <c r="AO4363">
        <v>1</v>
      </c>
      <c r="AP4363">
        <v>1</v>
      </c>
      <c r="AQ4363">
        <v>1</v>
      </c>
      <c r="AR4363">
        <v>1</v>
      </c>
      <c r="AS4363">
        <v>1</v>
      </c>
      <c r="AT4363">
        <v>0</v>
      </c>
      <c r="AV4363">
        <v>1</v>
      </c>
      <c r="AW4363">
        <v>1</v>
      </c>
    </row>
    <row r="4364" spans="1:49" x14ac:dyDescent="0.25">
      <c r="A4364" t="str">
        <f>"4360"</f>
        <v>4360</v>
      </c>
      <c r="B4364" t="str">
        <f t="shared" si="250"/>
        <v>1</v>
      </c>
      <c r="C4364" t="str">
        <f t="shared" si="252"/>
        <v>191</v>
      </c>
      <c r="D4364" t="str">
        <f>"15"</f>
        <v>15</v>
      </c>
      <c r="E4364" t="str">
        <f>"1-191-15"</f>
        <v>1-191-15</v>
      </c>
      <c r="F4364" t="s">
        <v>83</v>
      </c>
      <c r="G4364" t="s">
        <v>86</v>
      </c>
      <c r="H4364" t="s">
        <v>87</v>
      </c>
      <c r="AC4364">
        <v>1</v>
      </c>
      <c r="AD4364">
        <v>0</v>
      </c>
      <c r="AE4364">
        <v>0</v>
      </c>
      <c r="AF4364">
        <v>0</v>
      </c>
      <c r="AH4364">
        <v>0</v>
      </c>
      <c r="AI4364">
        <v>1</v>
      </c>
      <c r="AJ4364">
        <v>1</v>
      </c>
      <c r="AK4364">
        <v>0</v>
      </c>
      <c r="AL4364">
        <v>0</v>
      </c>
      <c r="AM4364">
        <v>0</v>
      </c>
      <c r="AN4364">
        <v>0</v>
      </c>
      <c r="AO4364">
        <v>0</v>
      </c>
      <c r="AP4364">
        <v>0</v>
      </c>
      <c r="AQ4364">
        <v>0</v>
      </c>
      <c r="AU4364">
        <v>0</v>
      </c>
      <c r="AV4364">
        <v>0</v>
      </c>
      <c r="AW4364">
        <v>0</v>
      </c>
    </row>
    <row r="4365" spans="1:49" x14ac:dyDescent="0.25">
      <c r="A4365" t="str">
        <f>"4361"</f>
        <v>4361</v>
      </c>
      <c r="B4365" t="str">
        <f t="shared" si="250"/>
        <v>1</v>
      </c>
      <c r="C4365" t="str">
        <f t="shared" si="252"/>
        <v>191</v>
      </c>
      <c r="D4365" t="str">
        <f>"8"</f>
        <v>8</v>
      </c>
      <c r="E4365" t="str">
        <f>"1-191-8"</f>
        <v>1-191-8</v>
      </c>
      <c r="F4365" t="s">
        <v>83</v>
      </c>
      <c r="G4365" t="s">
        <v>84</v>
      </c>
      <c r="H4365" t="s">
        <v>85</v>
      </c>
      <c r="AC4365">
        <v>0</v>
      </c>
      <c r="AD4365">
        <v>1</v>
      </c>
      <c r="AE4365">
        <v>0</v>
      </c>
      <c r="AF4365">
        <v>0</v>
      </c>
      <c r="AG4365">
        <v>0</v>
      </c>
      <c r="AJ4365">
        <v>0</v>
      </c>
      <c r="AK4365">
        <v>0</v>
      </c>
      <c r="AL4365">
        <v>0</v>
      </c>
      <c r="AM4365">
        <v>1</v>
      </c>
      <c r="AN4365">
        <v>0</v>
      </c>
      <c r="AO4365">
        <v>0</v>
      </c>
      <c r="AP4365">
        <v>0</v>
      </c>
      <c r="AQ4365">
        <v>0</v>
      </c>
      <c r="AR4365">
        <v>0</v>
      </c>
      <c r="AS4365">
        <v>0</v>
      </c>
      <c r="AT4365">
        <v>1</v>
      </c>
      <c r="AV4365">
        <v>0</v>
      </c>
      <c r="AW4365">
        <v>1</v>
      </c>
    </row>
    <row r="4366" spans="1:49" x14ac:dyDescent="0.25">
      <c r="A4366" t="str">
        <f>"4362"</f>
        <v>4362</v>
      </c>
      <c r="B4366" t="str">
        <f t="shared" si="250"/>
        <v>1</v>
      </c>
      <c r="C4366" t="str">
        <f t="shared" si="252"/>
        <v>191</v>
      </c>
      <c r="D4366" t="str">
        <f>"4"</f>
        <v>4</v>
      </c>
      <c r="E4366" t="str">
        <f>"1-191-4"</f>
        <v>1-191-4</v>
      </c>
      <c r="F4366" t="s">
        <v>83</v>
      </c>
      <c r="G4366" t="s">
        <v>84</v>
      </c>
      <c r="H4366" t="s">
        <v>85</v>
      </c>
      <c r="AC4366">
        <v>1</v>
      </c>
      <c r="AD4366">
        <v>0</v>
      </c>
      <c r="AE4366">
        <v>0</v>
      </c>
      <c r="AF4366">
        <v>0</v>
      </c>
      <c r="AG4366">
        <v>1</v>
      </c>
      <c r="AJ4366">
        <v>0</v>
      </c>
      <c r="AK4366">
        <v>1</v>
      </c>
      <c r="AL4366">
        <v>1</v>
      </c>
      <c r="AM4366">
        <v>0</v>
      </c>
      <c r="AN4366">
        <v>0</v>
      </c>
      <c r="AO4366">
        <v>1</v>
      </c>
      <c r="AP4366">
        <v>1</v>
      </c>
      <c r="AQ4366">
        <v>1</v>
      </c>
      <c r="AR4366">
        <v>1</v>
      </c>
      <c r="AS4366">
        <v>0</v>
      </c>
      <c r="AT4366">
        <v>0</v>
      </c>
      <c r="AV4366">
        <v>1</v>
      </c>
      <c r="AW4366">
        <v>1</v>
      </c>
    </row>
    <row r="4367" spans="1:49" x14ac:dyDescent="0.25">
      <c r="A4367" t="str">
        <f>"4363"</f>
        <v>4363</v>
      </c>
      <c r="B4367" t="str">
        <f t="shared" si="250"/>
        <v>1</v>
      </c>
      <c r="C4367" t="str">
        <f t="shared" si="252"/>
        <v>191</v>
      </c>
      <c r="D4367" t="str">
        <f>"25"</f>
        <v>25</v>
      </c>
      <c r="E4367" t="str">
        <f>"1-191-25"</f>
        <v>1-191-25</v>
      </c>
      <c r="F4367" t="s">
        <v>83</v>
      </c>
      <c r="G4367" t="s">
        <v>84</v>
      </c>
      <c r="H4367" t="s">
        <v>85</v>
      </c>
      <c r="AC4367">
        <v>1</v>
      </c>
      <c r="AD4367">
        <v>0</v>
      </c>
      <c r="AE4367">
        <v>0</v>
      </c>
      <c r="AF4367">
        <v>0</v>
      </c>
      <c r="AG4367">
        <v>1</v>
      </c>
      <c r="AJ4367">
        <v>0</v>
      </c>
      <c r="AK4367">
        <v>1</v>
      </c>
      <c r="AL4367">
        <v>0</v>
      </c>
      <c r="AM4367">
        <v>0</v>
      </c>
      <c r="AN4367">
        <v>1</v>
      </c>
      <c r="AO4367">
        <v>1</v>
      </c>
      <c r="AP4367">
        <v>1</v>
      </c>
      <c r="AQ4367">
        <v>1</v>
      </c>
      <c r="AR4367">
        <v>1</v>
      </c>
      <c r="AS4367">
        <v>0</v>
      </c>
      <c r="AT4367">
        <v>1</v>
      </c>
      <c r="AV4367">
        <v>1</v>
      </c>
      <c r="AW4367">
        <v>1</v>
      </c>
    </row>
    <row r="4368" spans="1:49" x14ac:dyDescent="0.25">
      <c r="A4368" t="str">
        <f>"4364"</f>
        <v>4364</v>
      </c>
      <c r="B4368" t="str">
        <f t="shared" si="250"/>
        <v>1</v>
      </c>
      <c r="C4368" t="str">
        <f t="shared" si="252"/>
        <v>191</v>
      </c>
      <c r="D4368" t="str">
        <f>"24"</f>
        <v>24</v>
      </c>
      <c r="E4368" t="str">
        <f>"1-191-24"</f>
        <v>1-191-24</v>
      </c>
      <c r="F4368" t="s">
        <v>83</v>
      </c>
      <c r="G4368" t="s">
        <v>84</v>
      </c>
      <c r="H4368" t="s">
        <v>85</v>
      </c>
      <c r="AC4368">
        <v>0</v>
      </c>
      <c r="AD4368">
        <v>1</v>
      </c>
      <c r="AE4368">
        <v>0</v>
      </c>
      <c r="AF4368">
        <v>0</v>
      </c>
      <c r="AG4368">
        <v>0</v>
      </c>
      <c r="AJ4368">
        <v>1</v>
      </c>
      <c r="AK4368">
        <v>0</v>
      </c>
      <c r="AL4368">
        <v>1</v>
      </c>
      <c r="AM4368">
        <v>0</v>
      </c>
      <c r="AN4368">
        <v>0</v>
      </c>
      <c r="AO4368">
        <v>0</v>
      </c>
      <c r="AP4368">
        <v>0</v>
      </c>
      <c r="AQ4368">
        <v>0</v>
      </c>
      <c r="AR4368">
        <v>1</v>
      </c>
      <c r="AS4368">
        <v>0</v>
      </c>
      <c r="AT4368">
        <v>1</v>
      </c>
      <c r="AV4368">
        <v>0</v>
      </c>
      <c r="AW4368">
        <v>0</v>
      </c>
    </row>
    <row r="4369" spans="1:49" x14ac:dyDescent="0.25">
      <c r="A4369" t="str">
        <f>"4365"</f>
        <v>4365</v>
      </c>
      <c r="B4369" t="str">
        <f t="shared" si="250"/>
        <v>1</v>
      </c>
      <c r="C4369" t="str">
        <f t="shared" si="252"/>
        <v>191</v>
      </c>
      <c r="D4369" t="str">
        <f>"16"</f>
        <v>16</v>
      </c>
      <c r="E4369" t="str">
        <f>"1-191-16"</f>
        <v>1-191-16</v>
      </c>
      <c r="F4369" t="s">
        <v>83</v>
      </c>
      <c r="G4369" t="s">
        <v>84</v>
      </c>
      <c r="H4369" t="s">
        <v>85</v>
      </c>
      <c r="AC4369">
        <v>0</v>
      </c>
      <c r="AD4369">
        <v>1</v>
      </c>
      <c r="AE4369">
        <v>0</v>
      </c>
      <c r="AF4369">
        <v>0</v>
      </c>
      <c r="AG4369">
        <v>0</v>
      </c>
      <c r="AJ4369">
        <v>0</v>
      </c>
      <c r="AK4369">
        <v>1</v>
      </c>
      <c r="AL4369">
        <v>1</v>
      </c>
      <c r="AM4369">
        <v>0</v>
      </c>
      <c r="AN4369">
        <v>0</v>
      </c>
      <c r="AO4369">
        <v>1</v>
      </c>
      <c r="AP4369">
        <v>1</v>
      </c>
      <c r="AQ4369">
        <v>1</v>
      </c>
      <c r="AR4369">
        <v>1</v>
      </c>
      <c r="AS4369">
        <v>1</v>
      </c>
      <c r="AT4369">
        <v>0</v>
      </c>
      <c r="AV4369">
        <v>0</v>
      </c>
      <c r="AW4369">
        <v>0</v>
      </c>
    </row>
    <row r="4370" spans="1:49" x14ac:dyDescent="0.25">
      <c r="A4370" t="str">
        <f>"4366"</f>
        <v>4366</v>
      </c>
      <c r="B4370" t="str">
        <f t="shared" si="250"/>
        <v>1</v>
      </c>
      <c r="C4370" t="str">
        <f t="shared" si="252"/>
        <v>191</v>
      </c>
      <c r="D4370" t="str">
        <f>"9"</f>
        <v>9</v>
      </c>
      <c r="E4370" t="str">
        <f>"1-191-9"</f>
        <v>1-191-9</v>
      </c>
      <c r="F4370" t="s">
        <v>83</v>
      </c>
      <c r="G4370" t="s">
        <v>84</v>
      </c>
      <c r="H4370" t="s">
        <v>85</v>
      </c>
      <c r="AC4370">
        <v>0</v>
      </c>
      <c r="AD4370">
        <v>1</v>
      </c>
      <c r="AE4370">
        <v>0</v>
      </c>
      <c r="AF4370">
        <v>0</v>
      </c>
      <c r="AG4370">
        <v>1</v>
      </c>
      <c r="AJ4370">
        <v>0</v>
      </c>
      <c r="AK4370">
        <v>1</v>
      </c>
      <c r="AL4370">
        <v>0</v>
      </c>
      <c r="AM4370">
        <v>1</v>
      </c>
      <c r="AN4370">
        <v>0</v>
      </c>
      <c r="AO4370">
        <v>1</v>
      </c>
      <c r="AP4370">
        <v>1</v>
      </c>
      <c r="AQ4370">
        <v>1</v>
      </c>
      <c r="AR4370">
        <v>1</v>
      </c>
      <c r="AS4370">
        <v>0</v>
      </c>
      <c r="AT4370">
        <v>1</v>
      </c>
      <c r="AV4370">
        <v>1</v>
      </c>
      <c r="AW4370">
        <v>1</v>
      </c>
    </row>
    <row r="4371" spans="1:49" x14ac:dyDescent="0.25">
      <c r="A4371" t="str">
        <f>"4367"</f>
        <v>4367</v>
      </c>
      <c r="B4371" t="str">
        <f t="shared" si="250"/>
        <v>1</v>
      </c>
      <c r="C4371" t="str">
        <f t="shared" si="252"/>
        <v>191</v>
      </c>
      <c r="D4371" t="str">
        <f>"3"</f>
        <v>3</v>
      </c>
      <c r="E4371" t="str">
        <f>"1-191-3"</f>
        <v>1-191-3</v>
      </c>
      <c r="F4371" t="s">
        <v>83</v>
      </c>
      <c r="G4371" t="s">
        <v>84</v>
      </c>
      <c r="H4371" t="s">
        <v>85</v>
      </c>
      <c r="AC4371">
        <v>0</v>
      </c>
      <c r="AD4371">
        <v>1</v>
      </c>
      <c r="AE4371">
        <v>0</v>
      </c>
      <c r="AF4371">
        <v>0</v>
      </c>
      <c r="AG4371">
        <v>1</v>
      </c>
      <c r="AJ4371">
        <v>0</v>
      </c>
      <c r="AK4371">
        <v>1</v>
      </c>
      <c r="AL4371">
        <v>0</v>
      </c>
      <c r="AM4371">
        <v>0</v>
      </c>
      <c r="AN4371">
        <v>1</v>
      </c>
      <c r="AO4371">
        <v>1</v>
      </c>
      <c r="AP4371">
        <v>1</v>
      </c>
      <c r="AQ4371">
        <v>1</v>
      </c>
      <c r="AR4371">
        <v>1</v>
      </c>
      <c r="AS4371">
        <v>0</v>
      </c>
      <c r="AT4371">
        <v>0</v>
      </c>
      <c r="AV4371">
        <v>1</v>
      </c>
      <c r="AW4371">
        <v>1</v>
      </c>
    </row>
    <row r="4372" spans="1:49" x14ac:dyDescent="0.25">
      <c r="A4372" t="str">
        <f>"4368"</f>
        <v>4368</v>
      </c>
      <c r="B4372" t="str">
        <f t="shared" si="250"/>
        <v>1</v>
      </c>
      <c r="C4372" t="str">
        <f t="shared" si="252"/>
        <v>191</v>
      </c>
      <c r="D4372" t="str">
        <f>"18"</f>
        <v>18</v>
      </c>
      <c r="E4372" t="str">
        <f>"1-191-18"</f>
        <v>1-191-18</v>
      </c>
      <c r="F4372" t="s">
        <v>83</v>
      </c>
      <c r="G4372" t="s">
        <v>86</v>
      </c>
      <c r="H4372" t="s">
        <v>87</v>
      </c>
      <c r="AC4372">
        <v>0</v>
      </c>
      <c r="AD4372">
        <v>0</v>
      </c>
      <c r="AE4372">
        <v>0</v>
      </c>
      <c r="AF4372">
        <v>0</v>
      </c>
      <c r="AH4372">
        <v>0</v>
      </c>
      <c r="AI4372">
        <v>1</v>
      </c>
      <c r="AJ4372">
        <v>0</v>
      </c>
      <c r="AK4372">
        <v>0</v>
      </c>
      <c r="AL4372">
        <v>0</v>
      </c>
      <c r="AM4372">
        <v>0</v>
      </c>
      <c r="AN4372">
        <v>0</v>
      </c>
      <c r="AO4372">
        <v>0</v>
      </c>
      <c r="AP4372">
        <v>0</v>
      </c>
      <c r="AQ4372">
        <v>0</v>
      </c>
      <c r="AU4372">
        <v>0</v>
      </c>
      <c r="AV4372">
        <v>0</v>
      </c>
      <c r="AW4372">
        <v>0</v>
      </c>
    </row>
    <row r="4373" spans="1:49" x14ac:dyDescent="0.25">
      <c r="A4373" t="str">
        <f>"4369"</f>
        <v>4369</v>
      </c>
      <c r="B4373" t="str">
        <f t="shared" si="250"/>
        <v>1</v>
      </c>
      <c r="C4373" t="str">
        <f t="shared" si="252"/>
        <v>191</v>
      </c>
      <c r="D4373" t="str">
        <f>"10"</f>
        <v>10</v>
      </c>
      <c r="E4373" t="str">
        <f>"1-191-10"</f>
        <v>1-191-10</v>
      </c>
      <c r="F4373" t="s">
        <v>83</v>
      </c>
      <c r="G4373" t="s">
        <v>86</v>
      </c>
      <c r="H4373" t="s">
        <v>87</v>
      </c>
      <c r="AC4373">
        <v>0</v>
      </c>
      <c r="AD4373">
        <v>1</v>
      </c>
      <c r="AE4373">
        <v>0</v>
      </c>
      <c r="AF4373">
        <v>0</v>
      </c>
      <c r="AH4373">
        <v>0</v>
      </c>
      <c r="AI4373">
        <v>1</v>
      </c>
      <c r="AJ4373">
        <v>1</v>
      </c>
      <c r="AK4373">
        <v>0</v>
      </c>
      <c r="AL4373">
        <v>0</v>
      </c>
      <c r="AM4373">
        <v>1</v>
      </c>
      <c r="AN4373">
        <v>0</v>
      </c>
      <c r="AO4373">
        <v>1</v>
      </c>
      <c r="AP4373">
        <v>1</v>
      </c>
      <c r="AQ4373">
        <v>1</v>
      </c>
      <c r="AU4373">
        <v>1</v>
      </c>
      <c r="AV4373">
        <v>1</v>
      </c>
      <c r="AW4373">
        <v>1</v>
      </c>
    </row>
    <row r="4374" spans="1:49" x14ac:dyDescent="0.25">
      <c r="A4374" t="str">
        <f>"4370"</f>
        <v>4370</v>
      </c>
      <c r="B4374" t="str">
        <f t="shared" si="250"/>
        <v>1</v>
      </c>
      <c r="C4374" t="str">
        <f t="shared" si="252"/>
        <v>191</v>
      </c>
      <c r="D4374" t="str">
        <f>"2"</f>
        <v>2</v>
      </c>
      <c r="E4374" t="str">
        <f>"1-191-2"</f>
        <v>1-191-2</v>
      </c>
      <c r="F4374" t="s">
        <v>83</v>
      </c>
      <c r="G4374" t="s">
        <v>84</v>
      </c>
      <c r="H4374" t="s">
        <v>85</v>
      </c>
      <c r="AC4374">
        <v>1</v>
      </c>
      <c r="AD4374">
        <v>0</v>
      </c>
      <c r="AE4374">
        <v>0</v>
      </c>
      <c r="AF4374">
        <v>0</v>
      </c>
      <c r="AG4374">
        <v>1</v>
      </c>
      <c r="AJ4374">
        <v>0</v>
      </c>
      <c r="AK4374">
        <v>1</v>
      </c>
      <c r="AL4374">
        <v>0</v>
      </c>
      <c r="AM4374">
        <v>1</v>
      </c>
      <c r="AN4374">
        <v>0</v>
      </c>
      <c r="AO4374">
        <v>1</v>
      </c>
      <c r="AP4374">
        <v>1</v>
      </c>
      <c r="AQ4374">
        <v>1</v>
      </c>
      <c r="AR4374">
        <v>1</v>
      </c>
      <c r="AS4374">
        <v>0</v>
      </c>
      <c r="AT4374">
        <v>1</v>
      </c>
      <c r="AV4374">
        <v>1</v>
      </c>
      <c r="AW4374">
        <v>1</v>
      </c>
    </row>
    <row r="4375" spans="1:49" x14ac:dyDescent="0.25">
      <c r="A4375" t="str">
        <f>"4371"</f>
        <v>4371</v>
      </c>
      <c r="B4375" t="str">
        <f t="shared" si="250"/>
        <v>1</v>
      </c>
      <c r="C4375" t="str">
        <f t="shared" si="252"/>
        <v>191</v>
      </c>
      <c r="D4375" t="str">
        <f>"11"</f>
        <v>11</v>
      </c>
      <c r="E4375" t="str">
        <f>"1-191-11"</f>
        <v>1-191-11</v>
      </c>
      <c r="F4375" t="s">
        <v>83</v>
      </c>
      <c r="G4375" t="s">
        <v>86</v>
      </c>
      <c r="H4375" t="s">
        <v>87</v>
      </c>
      <c r="AC4375">
        <v>0</v>
      </c>
      <c r="AD4375">
        <v>1</v>
      </c>
      <c r="AE4375">
        <v>0</v>
      </c>
      <c r="AF4375">
        <v>0</v>
      </c>
      <c r="AH4375">
        <v>1</v>
      </c>
      <c r="AI4375">
        <v>0</v>
      </c>
      <c r="AJ4375">
        <v>0</v>
      </c>
      <c r="AK4375">
        <v>1</v>
      </c>
      <c r="AL4375">
        <v>1</v>
      </c>
      <c r="AM4375">
        <v>0</v>
      </c>
      <c r="AN4375">
        <v>0</v>
      </c>
      <c r="AO4375">
        <v>1</v>
      </c>
      <c r="AP4375">
        <v>1</v>
      </c>
      <c r="AQ4375">
        <v>1</v>
      </c>
      <c r="AU4375">
        <v>1</v>
      </c>
      <c r="AV4375">
        <v>1</v>
      </c>
      <c r="AW4375">
        <v>0</v>
      </c>
    </row>
    <row r="4376" spans="1:49" x14ac:dyDescent="0.25">
      <c r="A4376" t="str">
        <f>"4372"</f>
        <v>4372</v>
      </c>
      <c r="B4376" t="str">
        <f t="shared" si="250"/>
        <v>1</v>
      </c>
      <c r="C4376" t="str">
        <f t="shared" si="252"/>
        <v>191</v>
      </c>
      <c r="D4376" t="str">
        <f>"5"</f>
        <v>5</v>
      </c>
      <c r="E4376" t="str">
        <f>"1-191-5"</f>
        <v>1-191-5</v>
      </c>
      <c r="F4376" t="s">
        <v>83</v>
      </c>
      <c r="G4376" t="s">
        <v>84</v>
      </c>
      <c r="H4376" t="s">
        <v>85</v>
      </c>
      <c r="AC4376">
        <v>0</v>
      </c>
      <c r="AD4376">
        <v>1</v>
      </c>
      <c r="AE4376">
        <v>0</v>
      </c>
      <c r="AF4376">
        <v>0</v>
      </c>
      <c r="AG4376">
        <v>0</v>
      </c>
      <c r="AJ4376">
        <v>0</v>
      </c>
      <c r="AK4376">
        <v>1</v>
      </c>
      <c r="AL4376">
        <v>0</v>
      </c>
      <c r="AM4376">
        <v>0</v>
      </c>
      <c r="AN4376">
        <v>1</v>
      </c>
      <c r="AO4376">
        <v>1</v>
      </c>
      <c r="AP4376">
        <v>1</v>
      </c>
      <c r="AQ4376">
        <v>1</v>
      </c>
      <c r="AR4376">
        <v>1</v>
      </c>
      <c r="AS4376">
        <v>0</v>
      </c>
      <c r="AT4376">
        <v>1</v>
      </c>
      <c r="AV4376">
        <v>1</v>
      </c>
      <c r="AW4376">
        <v>1</v>
      </c>
    </row>
    <row r="4377" spans="1:49" x14ac:dyDescent="0.25">
      <c r="A4377" t="str">
        <f>"4373"</f>
        <v>4373</v>
      </c>
      <c r="B4377" t="str">
        <f t="shared" si="250"/>
        <v>1</v>
      </c>
      <c r="C4377" t="str">
        <f t="shared" si="252"/>
        <v>191</v>
      </c>
      <c r="D4377" t="str">
        <f>"19"</f>
        <v>19</v>
      </c>
      <c r="E4377" t="str">
        <f>"1-191-19"</f>
        <v>1-191-19</v>
      </c>
      <c r="F4377" t="s">
        <v>83</v>
      </c>
      <c r="G4377" t="s">
        <v>84</v>
      </c>
      <c r="H4377" t="s">
        <v>85</v>
      </c>
      <c r="AC4377">
        <v>0</v>
      </c>
      <c r="AD4377">
        <v>1</v>
      </c>
      <c r="AE4377">
        <v>0</v>
      </c>
      <c r="AF4377">
        <v>0</v>
      </c>
      <c r="AG4377">
        <v>1</v>
      </c>
      <c r="AJ4377">
        <v>0</v>
      </c>
      <c r="AK4377">
        <v>0</v>
      </c>
      <c r="AL4377">
        <v>0</v>
      </c>
      <c r="AM4377">
        <v>0</v>
      </c>
      <c r="AN4377">
        <v>0</v>
      </c>
      <c r="AO4377">
        <v>1</v>
      </c>
      <c r="AP4377">
        <v>1</v>
      </c>
      <c r="AQ4377">
        <v>1</v>
      </c>
      <c r="AR4377">
        <v>1</v>
      </c>
      <c r="AS4377">
        <v>0</v>
      </c>
      <c r="AT4377">
        <v>0</v>
      </c>
      <c r="AV4377">
        <v>1</v>
      </c>
      <c r="AW4377">
        <v>1</v>
      </c>
    </row>
    <row r="4378" spans="1:49" x14ac:dyDescent="0.25">
      <c r="A4378" t="str">
        <f>"4374"</f>
        <v>4374</v>
      </c>
      <c r="B4378" t="str">
        <f t="shared" si="250"/>
        <v>1</v>
      </c>
      <c r="C4378" t="str">
        <f t="shared" si="252"/>
        <v>191</v>
      </c>
      <c r="D4378" t="str">
        <f>"12"</f>
        <v>12</v>
      </c>
      <c r="E4378" t="str">
        <f>"1-191-12"</f>
        <v>1-191-12</v>
      </c>
      <c r="F4378" t="s">
        <v>83</v>
      </c>
      <c r="G4378" t="s">
        <v>84</v>
      </c>
      <c r="H4378" t="s">
        <v>85</v>
      </c>
      <c r="AC4378">
        <v>0</v>
      </c>
      <c r="AD4378">
        <v>1</v>
      </c>
      <c r="AE4378">
        <v>0</v>
      </c>
      <c r="AF4378">
        <v>0</v>
      </c>
      <c r="AG4378">
        <v>1</v>
      </c>
      <c r="AJ4378">
        <v>1</v>
      </c>
      <c r="AK4378">
        <v>0</v>
      </c>
      <c r="AL4378">
        <v>0</v>
      </c>
      <c r="AM4378">
        <v>1</v>
      </c>
      <c r="AN4378">
        <v>0</v>
      </c>
      <c r="AO4378">
        <v>1</v>
      </c>
      <c r="AP4378">
        <v>1</v>
      </c>
      <c r="AQ4378">
        <v>1</v>
      </c>
      <c r="AR4378">
        <v>1</v>
      </c>
      <c r="AS4378">
        <v>0</v>
      </c>
      <c r="AT4378">
        <v>1</v>
      </c>
      <c r="AV4378">
        <v>1</v>
      </c>
      <c r="AW4378">
        <v>1</v>
      </c>
    </row>
    <row r="4379" spans="1:49" x14ac:dyDescent="0.25">
      <c r="A4379" t="str">
        <f>"4375"</f>
        <v>4375</v>
      </c>
      <c r="B4379" t="str">
        <f t="shared" si="250"/>
        <v>1</v>
      </c>
      <c r="C4379" t="str">
        <f t="shared" si="252"/>
        <v>191</v>
      </c>
      <c r="D4379" t="str">
        <f>"6"</f>
        <v>6</v>
      </c>
      <c r="E4379" t="str">
        <f>"1-191-6"</f>
        <v>1-191-6</v>
      </c>
      <c r="F4379" t="s">
        <v>83</v>
      </c>
      <c r="G4379" t="s">
        <v>84</v>
      </c>
      <c r="H4379" t="s">
        <v>85</v>
      </c>
      <c r="AC4379">
        <v>1</v>
      </c>
      <c r="AD4379">
        <v>0</v>
      </c>
      <c r="AE4379">
        <v>0</v>
      </c>
      <c r="AF4379">
        <v>0</v>
      </c>
      <c r="AG4379">
        <v>1</v>
      </c>
      <c r="AJ4379">
        <v>0</v>
      </c>
      <c r="AK4379">
        <v>1</v>
      </c>
      <c r="AL4379">
        <v>0</v>
      </c>
      <c r="AM4379">
        <v>0</v>
      </c>
      <c r="AN4379">
        <v>1</v>
      </c>
      <c r="AO4379">
        <v>1</v>
      </c>
      <c r="AP4379">
        <v>1</v>
      </c>
      <c r="AQ4379">
        <v>1</v>
      </c>
      <c r="AR4379">
        <v>1</v>
      </c>
      <c r="AS4379">
        <v>1</v>
      </c>
      <c r="AT4379">
        <v>0</v>
      </c>
      <c r="AV4379">
        <v>1</v>
      </c>
      <c r="AW4379">
        <v>1</v>
      </c>
    </row>
    <row r="4380" spans="1:49" x14ac:dyDescent="0.25">
      <c r="A4380" t="str">
        <f>"4376"</f>
        <v>4376</v>
      </c>
      <c r="B4380" t="str">
        <f t="shared" si="250"/>
        <v>1</v>
      </c>
      <c r="C4380" t="str">
        <f t="shared" si="252"/>
        <v>191</v>
      </c>
      <c r="D4380" t="str">
        <f>"23"</f>
        <v>23</v>
      </c>
      <c r="E4380" t="str">
        <f>"1-191-23"</f>
        <v>1-191-23</v>
      </c>
      <c r="F4380" t="s">
        <v>83</v>
      </c>
      <c r="G4380" t="s">
        <v>84</v>
      </c>
      <c r="H4380" t="s">
        <v>85</v>
      </c>
      <c r="AC4380">
        <v>1</v>
      </c>
      <c r="AD4380">
        <v>0</v>
      </c>
      <c r="AE4380">
        <v>0</v>
      </c>
      <c r="AF4380">
        <v>0</v>
      </c>
      <c r="AG4380">
        <v>1</v>
      </c>
      <c r="AJ4380">
        <v>0</v>
      </c>
      <c r="AK4380">
        <v>1</v>
      </c>
      <c r="AL4380">
        <v>0</v>
      </c>
      <c r="AM4380">
        <v>1</v>
      </c>
      <c r="AN4380">
        <v>0</v>
      </c>
      <c r="AO4380">
        <v>0</v>
      </c>
      <c r="AP4380">
        <v>1</v>
      </c>
      <c r="AQ4380">
        <v>0</v>
      </c>
      <c r="AR4380">
        <v>0</v>
      </c>
      <c r="AS4380">
        <v>0</v>
      </c>
      <c r="AT4380">
        <v>1</v>
      </c>
      <c r="AV4380">
        <v>0</v>
      </c>
      <c r="AW4380">
        <v>0</v>
      </c>
    </row>
    <row r="4381" spans="1:49" x14ac:dyDescent="0.25">
      <c r="A4381" t="str">
        <f>"4377"</f>
        <v>4377</v>
      </c>
      <c r="B4381" t="str">
        <f t="shared" si="250"/>
        <v>1</v>
      </c>
      <c r="C4381" t="str">
        <f t="shared" si="252"/>
        <v>191</v>
      </c>
      <c r="D4381" t="str">
        <f>"13"</f>
        <v>13</v>
      </c>
      <c r="E4381" t="str">
        <f>"1-191-13"</f>
        <v>1-191-13</v>
      </c>
      <c r="F4381" t="s">
        <v>83</v>
      </c>
      <c r="G4381" t="s">
        <v>86</v>
      </c>
      <c r="H4381" t="s">
        <v>87</v>
      </c>
      <c r="AC4381">
        <v>1</v>
      </c>
      <c r="AD4381">
        <v>0</v>
      </c>
      <c r="AE4381">
        <v>0</v>
      </c>
      <c r="AF4381">
        <v>0</v>
      </c>
      <c r="AH4381">
        <v>1</v>
      </c>
      <c r="AI4381">
        <v>0</v>
      </c>
      <c r="AJ4381">
        <v>1</v>
      </c>
      <c r="AK4381">
        <v>0</v>
      </c>
      <c r="AL4381">
        <v>1</v>
      </c>
      <c r="AM4381">
        <v>0</v>
      </c>
      <c r="AN4381">
        <v>0</v>
      </c>
      <c r="AO4381">
        <v>1</v>
      </c>
      <c r="AP4381">
        <v>1</v>
      </c>
      <c r="AQ4381">
        <v>1</v>
      </c>
      <c r="AU4381">
        <v>1</v>
      </c>
      <c r="AV4381">
        <v>1</v>
      </c>
      <c r="AW4381">
        <v>1</v>
      </c>
    </row>
    <row r="4382" spans="1:49" x14ac:dyDescent="0.25">
      <c r="A4382" t="str">
        <f>"4378"</f>
        <v>4378</v>
      </c>
      <c r="B4382" t="str">
        <f t="shared" ref="B4382:B4445" si="253">"1"</f>
        <v>1</v>
      </c>
      <c r="C4382" t="str">
        <f t="shared" si="252"/>
        <v>191</v>
      </c>
      <c r="D4382" t="str">
        <f>"1"</f>
        <v>1</v>
      </c>
      <c r="E4382" t="str">
        <f>"1-191-1"</f>
        <v>1-191-1</v>
      </c>
      <c r="F4382" t="s">
        <v>83</v>
      </c>
      <c r="G4382" t="s">
        <v>84</v>
      </c>
      <c r="H4382" t="s">
        <v>85</v>
      </c>
      <c r="AC4382">
        <v>1</v>
      </c>
      <c r="AD4382">
        <v>0</v>
      </c>
      <c r="AE4382">
        <v>0</v>
      </c>
      <c r="AF4382">
        <v>0</v>
      </c>
      <c r="AG4382">
        <v>1</v>
      </c>
      <c r="AJ4382">
        <v>1</v>
      </c>
      <c r="AK4382">
        <v>0</v>
      </c>
      <c r="AL4382">
        <v>0</v>
      </c>
      <c r="AM4382">
        <v>1</v>
      </c>
      <c r="AN4382">
        <v>0</v>
      </c>
      <c r="AO4382">
        <v>1</v>
      </c>
      <c r="AP4382">
        <v>1</v>
      </c>
      <c r="AQ4382">
        <v>1</v>
      </c>
      <c r="AR4382">
        <v>1</v>
      </c>
      <c r="AS4382">
        <v>0</v>
      </c>
      <c r="AT4382">
        <v>1</v>
      </c>
      <c r="AV4382">
        <v>1</v>
      </c>
      <c r="AW4382">
        <v>1</v>
      </c>
    </row>
    <row r="4383" spans="1:49" x14ac:dyDescent="0.25">
      <c r="A4383" t="str">
        <f>"4379"</f>
        <v>4379</v>
      </c>
      <c r="B4383" t="str">
        <f t="shared" si="253"/>
        <v>1</v>
      </c>
      <c r="C4383" t="str">
        <f t="shared" si="252"/>
        <v>191</v>
      </c>
      <c r="D4383" t="str">
        <f>"22"</f>
        <v>22</v>
      </c>
      <c r="E4383" t="str">
        <f>"1-191-22"</f>
        <v>1-191-22</v>
      </c>
      <c r="F4383" t="s">
        <v>83</v>
      </c>
      <c r="G4383" t="s">
        <v>84</v>
      </c>
      <c r="H4383" t="s">
        <v>85</v>
      </c>
      <c r="AC4383">
        <v>0</v>
      </c>
      <c r="AD4383">
        <v>1</v>
      </c>
      <c r="AE4383">
        <v>0</v>
      </c>
      <c r="AF4383">
        <v>0</v>
      </c>
      <c r="AG4383">
        <v>1</v>
      </c>
      <c r="AJ4383">
        <v>0</v>
      </c>
      <c r="AK4383">
        <v>1</v>
      </c>
      <c r="AL4383">
        <v>0</v>
      </c>
      <c r="AM4383">
        <v>1</v>
      </c>
      <c r="AN4383">
        <v>0</v>
      </c>
      <c r="AO4383">
        <v>1</v>
      </c>
      <c r="AP4383">
        <v>1</v>
      </c>
      <c r="AQ4383">
        <v>1</v>
      </c>
      <c r="AR4383">
        <v>1</v>
      </c>
      <c r="AS4383">
        <v>0</v>
      </c>
      <c r="AT4383">
        <v>1</v>
      </c>
      <c r="AV4383">
        <v>1</v>
      </c>
      <c r="AW4383">
        <v>0</v>
      </c>
    </row>
    <row r="4384" spans="1:49" x14ac:dyDescent="0.25">
      <c r="A4384" t="str">
        <f>"4380"</f>
        <v>4380</v>
      </c>
      <c r="B4384" t="str">
        <f t="shared" si="253"/>
        <v>1</v>
      </c>
      <c r="C4384" t="str">
        <f t="shared" si="252"/>
        <v>191</v>
      </c>
      <c r="D4384" t="str">
        <f>"14"</f>
        <v>14</v>
      </c>
      <c r="E4384" t="str">
        <f>"1-191-14"</f>
        <v>1-191-14</v>
      </c>
      <c r="F4384" t="s">
        <v>83</v>
      </c>
      <c r="G4384" t="s">
        <v>84</v>
      </c>
      <c r="H4384" t="s">
        <v>85</v>
      </c>
      <c r="AC4384">
        <v>0</v>
      </c>
      <c r="AD4384">
        <v>1</v>
      </c>
      <c r="AE4384">
        <v>0</v>
      </c>
      <c r="AF4384">
        <v>0</v>
      </c>
      <c r="AG4384">
        <v>1</v>
      </c>
      <c r="AJ4384">
        <v>1</v>
      </c>
      <c r="AK4384">
        <v>0</v>
      </c>
      <c r="AL4384">
        <v>0</v>
      </c>
      <c r="AM4384">
        <v>0</v>
      </c>
      <c r="AN4384">
        <v>0</v>
      </c>
      <c r="AO4384">
        <v>0</v>
      </c>
      <c r="AP4384">
        <v>0</v>
      </c>
      <c r="AQ4384">
        <v>0</v>
      </c>
      <c r="AR4384">
        <v>1</v>
      </c>
      <c r="AS4384">
        <v>0</v>
      </c>
      <c r="AT4384">
        <v>0</v>
      </c>
      <c r="AV4384">
        <v>0</v>
      </c>
      <c r="AW4384">
        <v>1</v>
      </c>
    </row>
    <row r="4385" spans="1:49" x14ac:dyDescent="0.25">
      <c r="A4385" t="str">
        <f>"4381"</f>
        <v>4381</v>
      </c>
      <c r="B4385" t="str">
        <f t="shared" si="253"/>
        <v>1</v>
      </c>
      <c r="C4385" t="str">
        <f t="shared" si="252"/>
        <v>191</v>
      </c>
      <c r="D4385" t="str">
        <f>"7"</f>
        <v>7</v>
      </c>
      <c r="E4385" t="str">
        <f>"1-191-7"</f>
        <v>1-191-7</v>
      </c>
      <c r="F4385" t="s">
        <v>83</v>
      </c>
      <c r="G4385" t="s">
        <v>84</v>
      </c>
      <c r="H4385" t="s">
        <v>85</v>
      </c>
      <c r="AC4385">
        <v>1</v>
      </c>
      <c r="AD4385">
        <v>0</v>
      </c>
      <c r="AE4385">
        <v>0</v>
      </c>
      <c r="AF4385">
        <v>0</v>
      </c>
      <c r="AG4385">
        <v>0</v>
      </c>
      <c r="AJ4385">
        <v>1</v>
      </c>
      <c r="AK4385">
        <v>0</v>
      </c>
      <c r="AL4385">
        <v>1</v>
      </c>
      <c r="AM4385">
        <v>0</v>
      </c>
      <c r="AN4385">
        <v>0</v>
      </c>
      <c r="AO4385">
        <v>0</v>
      </c>
      <c r="AP4385">
        <v>0</v>
      </c>
      <c r="AQ4385">
        <v>0</v>
      </c>
      <c r="AR4385">
        <v>0</v>
      </c>
      <c r="AS4385">
        <v>0</v>
      </c>
      <c r="AT4385">
        <v>1</v>
      </c>
      <c r="AV4385">
        <v>0</v>
      </c>
      <c r="AW4385">
        <v>1</v>
      </c>
    </row>
    <row r="4386" spans="1:49" x14ac:dyDescent="0.25">
      <c r="A4386" t="str">
        <f>"4382"</f>
        <v>4382</v>
      </c>
      <c r="B4386" t="str">
        <f t="shared" si="253"/>
        <v>1</v>
      </c>
      <c r="C4386" t="str">
        <f t="shared" si="252"/>
        <v>191</v>
      </c>
      <c r="D4386" t="str">
        <f>"17"</f>
        <v>17</v>
      </c>
      <c r="E4386" t="str">
        <f>"1-191-17"</f>
        <v>1-191-17</v>
      </c>
      <c r="F4386" t="s">
        <v>83</v>
      </c>
      <c r="G4386" t="s">
        <v>84</v>
      </c>
      <c r="H4386" t="s">
        <v>85</v>
      </c>
      <c r="AC4386">
        <v>1</v>
      </c>
      <c r="AD4386">
        <v>0</v>
      </c>
      <c r="AE4386">
        <v>0</v>
      </c>
      <c r="AF4386">
        <v>0</v>
      </c>
      <c r="AG4386">
        <v>1</v>
      </c>
      <c r="AJ4386">
        <v>0</v>
      </c>
      <c r="AK4386">
        <v>1</v>
      </c>
      <c r="AL4386">
        <v>1</v>
      </c>
      <c r="AM4386">
        <v>0</v>
      </c>
      <c r="AN4386">
        <v>0</v>
      </c>
      <c r="AO4386">
        <v>1</v>
      </c>
      <c r="AP4386">
        <v>1</v>
      </c>
      <c r="AQ4386">
        <v>1</v>
      </c>
      <c r="AR4386">
        <v>1</v>
      </c>
      <c r="AS4386">
        <v>0</v>
      </c>
      <c r="AT4386">
        <v>1</v>
      </c>
      <c r="AV4386">
        <v>1</v>
      </c>
      <c r="AW4386">
        <v>1</v>
      </c>
    </row>
    <row r="4387" spans="1:49" x14ac:dyDescent="0.25">
      <c r="A4387" t="str">
        <f>"4383"</f>
        <v>4383</v>
      </c>
      <c r="B4387" t="str">
        <f t="shared" si="253"/>
        <v>1</v>
      </c>
      <c r="C4387" t="str">
        <f t="shared" ref="C4387:C4409" si="254">"192"</f>
        <v>192</v>
      </c>
      <c r="D4387" t="str">
        <f>"23"</f>
        <v>23</v>
      </c>
      <c r="E4387" t="str">
        <f>"1-192-23"</f>
        <v>1-192-23</v>
      </c>
      <c r="F4387" t="s">
        <v>83</v>
      </c>
      <c r="G4387" t="s">
        <v>84</v>
      </c>
      <c r="H4387" t="s">
        <v>92</v>
      </c>
      <c r="I4387">
        <v>1</v>
      </c>
      <c r="J4387">
        <v>1</v>
      </c>
      <c r="N4387">
        <v>1</v>
      </c>
      <c r="O4387">
        <v>1</v>
      </c>
      <c r="P4387">
        <v>1</v>
      </c>
      <c r="Q4387">
        <v>1</v>
      </c>
      <c r="R4387">
        <v>1</v>
      </c>
      <c r="S4387">
        <v>1</v>
      </c>
      <c r="T4387">
        <v>1</v>
      </c>
      <c r="W4387">
        <v>1</v>
      </c>
      <c r="X4387">
        <v>1</v>
      </c>
      <c r="Y4387">
        <v>1</v>
      </c>
      <c r="Z4387">
        <v>1</v>
      </c>
      <c r="AA4387">
        <v>1</v>
      </c>
      <c r="AB4387">
        <v>1</v>
      </c>
    </row>
    <row r="4388" spans="1:49" x14ac:dyDescent="0.25">
      <c r="A4388" t="str">
        <f>"4384"</f>
        <v>4384</v>
      </c>
      <c r="B4388" t="str">
        <f t="shared" si="253"/>
        <v>1</v>
      </c>
      <c r="C4388" t="str">
        <f t="shared" si="254"/>
        <v>192</v>
      </c>
      <c r="D4388" t="str">
        <f>"15"</f>
        <v>15</v>
      </c>
      <c r="E4388" t="str">
        <f>"1-192-15"</f>
        <v>1-192-15</v>
      </c>
      <c r="F4388" t="s">
        <v>83</v>
      </c>
      <c r="G4388" t="s">
        <v>84</v>
      </c>
      <c r="H4388" t="s">
        <v>92</v>
      </c>
      <c r="I4388">
        <v>1</v>
      </c>
      <c r="J4388">
        <v>1</v>
      </c>
      <c r="N4388">
        <v>1</v>
      </c>
      <c r="O4388">
        <v>1</v>
      </c>
      <c r="P4388">
        <v>1</v>
      </c>
      <c r="Q4388">
        <v>1</v>
      </c>
      <c r="R4388">
        <v>1</v>
      </c>
      <c r="S4388">
        <v>1</v>
      </c>
      <c r="T4388">
        <v>1</v>
      </c>
      <c r="W4388">
        <v>1</v>
      </c>
      <c r="X4388">
        <v>1</v>
      </c>
      <c r="Y4388">
        <v>1</v>
      </c>
      <c r="Z4388">
        <v>1</v>
      </c>
      <c r="AA4388">
        <v>1</v>
      </c>
      <c r="AB4388">
        <v>1</v>
      </c>
    </row>
    <row r="4389" spans="1:49" x14ac:dyDescent="0.25">
      <c r="A4389" t="str">
        <f>"4385"</f>
        <v>4385</v>
      </c>
      <c r="B4389" t="str">
        <f t="shared" si="253"/>
        <v>1</v>
      </c>
      <c r="C4389" t="str">
        <f t="shared" si="254"/>
        <v>192</v>
      </c>
      <c r="D4389" t="str">
        <f>"8"</f>
        <v>8</v>
      </c>
      <c r="E4389" t="str">
        <f>"1-192-8"</f>
        <v>1-192-8</v>
      </c>
      <c r="F4389" t="s">
        <v>83</v>
      </c>
      <c r="G4389" t="s">
        <v>84</v>
      </c>
      <c r="H4389" t="s">
        <v>92</v>
      </c>
      <c r="I4389">
        <v>1</v>
      </c>
      <c r="J4389">
        <v>1</v>
      </c>
      <c r="N4389">
        <v>1</v>
      </c>
      <c r="O4389">
        <v>1</v>
      </c>
      <c r="P4389">
        <v>1</v>
      </c>
      <c r="Q4389">
        <v>1</v>
      </c>
      <c r="R4389">
        <v>1</v>
      </c>
      <c r="S4389">
        <v>1</v>
      </c>
      <c r="T4389">
        <v>1</v>
      </c>
      <c r="W4389">
        <v>1</v>
      </c>
      <c r="X4389">
        <v>1</v>
      </c>
      <c r="Y4389">
        <v>1</v>
      </c>
      <c r="Z4389">
        <v>1</v>
      </c>
      <c r="AA4389">
        <v>1</v>
      </c>
      <c r="AB4389">
        <v>1</v>
      </c>
    </row>
    <row r="4390" spans="1:49" x14ac:dyDescent="0.25">
      <c r="A4390" t="str">
        <f>"4386"</f>
        <v>4386</v>
      </c>
      <c r="B4390" t="str">
        <f t="shared" si="253"/>
        <v>1</v>
      </c>
      <c r="C4390" t="str">
        <f t="shared" si="254"/>
        <v>192</v>
      </c>
      <c r="D4390" t="str">
        <f>"3"</f>
        <v>3</v>
      </c>
      <c r="E4390" t="str">
        <f>"1-192-3"</f>
        <v>1-192-3</v>
      </c>
      <c r="F4390" t="s">
        <v>83</v>
      </c>
      <c r="G4390" t="s">
        <v>84</v>
      </c>
      <c r="H4390" t="s">
        <v>92</v>
      </c>
      <c r="I4390">
        <v>1</v>
      </c>
      <c r="J4390">
        <v>1</v>
      </c>
      <c r="N4390">
        <v>1</v>
      </c>
      <c r="O4390">
        <v>1</v>
      </c>
      <c r="P4390">
        <v>1</v>
      </c>
      <c r="Q4390">
        <v>1</v>
      </c>
      <c r="R4390">
        <v>1</v>
      </c>
      <c r="S4390">
        <v>1</v>
      </c>
      <c r="T4390">
        <v>1</v>
      </c>
      <c r="W4390">
        <v>1</v>
      </c>
      <c r="X4390">
        <v>1</v>
      </c>
      <c r="Y4390">
        <v>1</v>
      </c>
      <c r="Z4390">
        <v>1</v>
      </c>
      <c r="AA4390">
        <v>1</v>
      </c>
      <c r="AB4390">
        <v>1</v>
      </c>
    </row>
    <row r="4391" spans="1:49" x14ac:dyDescent="0.25">
      <c r="A4391" t="str">
        <f>"4387"</f>
        <v>4387</v>
      </c>
      <c r="B4391" t="str">
        <f t="shared" si="253"/>
        <v>1</v>
      </c>
      <c r="C4391" t="str">
        <f t="shared" si="254"/>
        <v>192</v>
      </c>
      <c r="D4391" t="str">
        <f>"22"</f>
        <v>22</v>
      </c>
      <c r="E4391" t="str">
        <f>"1-192-22"</f>
        <v>1-192-22</v>
      </c>
      <c r="F4391" t="s">
        <v>83</v>
      </c>
      <c r="G4391" t="s">
        <v>84</v>
      </c>
      <c r="H4391" t="s">
        <v>92</v>
      </c>
      <c r="I4391">
        <v>1</v>
      </c>
      <c r="J4391">
        <v>1</v>
      </c>
      <c r="N4391">
        <v>1</v>
      </c>
      <c r="O4391">
        <v>1</v>
      </c>
      <c r="P4391">
        <v>1</v>
      </c>
      <c r="Q4391">
        <v>1</v>
      </c>
      <c r="R4391">
        <v>1</v>
      </c>
      <c r="S4391">
        <v>1</v>
      </c>
      <c r="T4391">
        <v>1</v>
      </c>
      <c r="W4391">
        <v>1</v>
      </c>
      <c r="X4391">
        <v>1</v>
      </c>
      <c r="Y4391">
        <v>1</v>
      </c>
      <c r="Z4391">
        <v>1</v>
      </c>
      <c r="AA4391">
        <v>1</v>
      </c>
      <c r="AB4391">
        <v>1</v>
      </c>
    </row>
    <row r="4392" spans="1:49" x14ac:dyDescent="0.25">
      <c r="A4392" t="str">
        <f>"4388"</f>
        <v>4388</v>
      </c>
      <c r="B4392" t="str">
        <f t="shared" si="253"/>
        <v>1</v>
      </c>
      <c r="C4392" t="str">
        <f t="shared" si="254"/>
        <v>192</v>
      </c>
      <c r="D4392" t="str">
        <f>"21"</f>
        <v>21</v>
      </c>
      <c r="E4392" t="str">
        <f>"1-192-21"</f>
        <v>1-192-21</v>
      </c>
      <c r="F4392" t="s">
        <v>83</v>
      </c>
      <c r="G4392" t="s">
        <v>84</v>
      </c>
      <c r="H4392" t="s">
        <v>92</v>
      </c>
      <c r="I4392">
        <v>1</v>
      </c>
      <c r="J4392">
        <v>1</v>
      </c>
      <c r="N4392">
        <v>1</v>
      </c>
      <c r="O4392">
        <v>1</v>
      </c>
      <c r="P4392">
        <v>1</v>
      </c>
      <c r="Q4392">
        <v>1</v>
      </c>
      <c r="R4392">
        <v>1</v>
      </c>
      <c r="S4392">
        <v>1</v>
      </c>
      <c r="T4392">
        <v>1</v>
      </c>
      <c r="W4392">
        <v>1</v>
      </c>
      <c r="X4392">
        <v>1</v>
      </c>
      <c r="Y4392">
        <v>1</v>
      </c>
      <c r="Z4392">
        <v>1</v>
      </c>
      <c r="AA4392">
        <v>1</v>
      </c>
      <c r="AB4392">
        <v>1</v>
      </c>
    </row>
    <row r="4393" spans="1:49" x14ac:dyDescent="0.25">
      <c r="A4393" t="str">
        <f>"4389"</f>
        <v>4389</v>
      </c>
      <c r="B4393" t="str">
        <f t="shared" si="253"/>
        <v>1</v>
      </c>
      <c r="C4393" t="str">
        <f t="shared" si="254"/>
        <v>192</v>
      </c>
      <c r="D4393" t="str">
        <f>"14"</f>
        <v>14</v>
      </c>
      <c r="E4393" t="str">
        <f>"1-192-14"</f>
        <v>1-192-14</v>
      </c>
      <c r="F4393" t="s">
        <v>83</v>
      </c>
      <c r="G4393" t="s">
        <v>84</v>
      </c>
      <c r="H4393" t="s">
        <v>92</v>
      </c>
      <c r="I4393">
        <v>1</v>
      </c>
      <c r="J4393">
        <v>1</v>
      </c>
      <c r="N4393">
        <v>1</v>
      </c>
      <c r="O4393">
        <v>1</v>
      </c>
      <c r="P4393">
        <v>1</v>
      </c>
      <c r="Q4393">
        <v>1</v>
      </c>
      <c r="R4393">
        <v>1</v>
      </c>
      <c r="S4393">
        <v>1</v>
      </c>
      <c r="T4393">
        <v>1</v>
      </c>
      <c r="W4393">
        <v>1</v>
      </c>
      <c r="X4393">
        <v>1</v>
      </c>
      <c r="Y4393">
        <v>1</v>
      </c>
      <c r="Z4393">
        <v>1</v>
      </c>
      <c r="AA4393">
        <v>1</v>
      </c>
      <c r="AB4393">
        <v>1</v>
      </c>
    </row>
    <row r="4394" spans="1:49" x14ac:dyDescent="0.25">
      <c r="A4394" t="str">
        <f>"4390"</f>
        <v>4390</v>
      </c>
      <c r="B4394" t="str">
        <f t="shared" si="253"/>
        <v>1</v>
      </c>
      <c r="C4394" t="str">
        <f t="shared" si="254"/>
        <v>192</v>
      </c>
      <c r="D4394" t="str">
        <f>"9"</f>
        <v>9</v>
      </c>
      <c r="E4394" t="str">
        <f>"1-192-9"</f>
        <v>1-192-9</v>
      </c>
      <c r="F4394" t="s">
        <v>83</v>
      </c>
      <c r="G4394" t="s">
        <v>84</v>
      </c>
      <c r="H4394" t="s">
        <v>92</v>
      </c>
      <c r="I4394">
        <v>1</v>
      </c>
      <c r="J4394">
        <v>1</v>
      </c>
      <c r="N4394">
        <v>1</v>
      </c>
      <c r="O4394">
        <v>1</v>
      </c>
      <c r="P4394">
        <v>1</v>
      </c>
      <c r="Q4394">
        <v>1</v>
      </c>
      <c r="R4394">
        <v>1</v>
      </c>
      <c r="S4394">
        <v>0</v>
      </c>
      <c r="T4394">
        <v>1</v>
      </c>
      <c r="W4394">
        <v>1</v>
      </c>
      <c r="X4394">
        <v>1</v>
      </c>
      <c r="Y4394">
        <v>1</v>
      </c>
      <c r="Z4394">
        <v>1</v>
      </c>
      <c r="AA4394">
        <v>1</v>
      </c>
      <c r="AB4394">
        <v>1</v>
      </c>
    </row>
    <row r="4395" spans="1:49" x14ac:dyDescent="0.25">
      <c r="A4395" t="str">
        <f>"4391"</f>
        <v>4391</v>
      </c>
      <c r="B4395" t="str">
        <f t="shared" si="253"/>
        <v>1</v>
      </c>
      <c r="C4395" t="str">
        <f t="shared" si="254"/>
        <v>192</v>
      </c>
      <c r="D4395" t="str">
        <f>"4"</f>
        <v>4</v>
      </c>
      <c r="E4395" t="str">
        <f>"1-192-4"</f>
        <v>1-192-4</v>
      </c>
      <c r="F4395" t="s">
        <v>83</v>
      </c>
      <c r="G4395" t="s">
        <v>84</v>
      </c>
      <c r="H4395" t="s">
        <v>92</v>
      </c>
      <c r="I4395">
        <v>1</v>
      </c>
      <c r="J4395">
        <v>1</v>
      </c>
      <c r="N4395">
        <v>1</v>
      </c>
      <c r="O4395">
        <v>1</v>
      </c>
      <c r="P4395">
        <v>1</v>
      </c>
      <c r="Q4395">
        <v>1</v>
      </c>
      <c r="R4395">
        <v>1</v>
      </c>
      <c r="S4395">
        <v>1</v>
      </c>
      <c r="T4395">
        <v>1</v>
      </c>
      <c r="W4395">
        <v>1</v>
      </c>
      <c r="X4395">
        <v>1</v>
      </c>
      <c r="Y4395">
        <v>1</v>
      </c>
      <c r="Z4395">
        <v>1</v>
      </c>
      <c r="AA4395">
        <v>1</v>
      </c>
      <c r="AB4395">
        <v>1</v>
      </c>
    </row>
    <row r="4396" spans="1:49" x14ac:dyDescent="0.25">
      <c r="A4396" t="str">
        <f>"4392"</f>
        <v>4392</v>
      </c>
      <c r="B4396" t="str">
        <f t="shared" si="253"/>
        <v>1</v>
      </c>
      <c r="C4396" t="str">
        <f t="shared" si="254"/>
        <v>192</v>
      </c>
      <c r="D4396" t="str">
        <f>"18"</f>
        <v>18</v>
      </c>
      <c r="E4396" t="str">
        <f>"1-192-18"</f>
        <v>1-192-18</v>
      </c>
      <c r="F4396" t="s">
        <v>83</v>
      </c>
      <c r="G4396" t="s">
        <v>84</v>
      </c>
      <c r="H4396" t="s">
        <v>92</v>
      </c>
      <c r="I4396">
        <v>1</v>
      </c>
      <c r="J4396">
        <v>1</v>
      </c>
      <c r="N4396">
        <v>1</v>
      </c>
      <c r="O4396">
        <v>1</v>
      </c>
      <c r="P4396">
        <v>1</v>
      </c>
      <c r="Q4396">
        <v>1</v>
      </c>
      <c r="R4396">
        <v>1</v>
      </c>
      <c r="S4396">
        <v>1</v>
      </c>
      <c r="T4396">
        <v>1</v>
      </c>
      <c r="W4396">
        <v>1</v>
      </c>
      <c r="X4396">
        <v>1</v>
      </c>
      <c r="Y4396">
        <v>1</v>
      </c>
      <c r="Z4396">
        <v>1</v>
      </c>
      <c r="AA4396">
        <v>1</v>
      </c>
      <c r="AB4396">
        <v>1</v>
      </c>
    </row>
    <row r="4397" spans="1:49" x14ac:dyDescent="0.25">
      <c r="A4397" t="str">
        <f>"4393"</f>
        <v>4393</v>
      </c>
      <c r="B4397" t="str">
        <f t="shared" si="253"/>
        <v>1</v>
      </c>
      <c r="C4397" t="str">
        <f t="shared" si="254"/>
        <v>192</v>
      </c>
      <c r="D4397" t="str">
        <f>"10"</f>
        <v>10</v>
      </c>
      <c r="E4397" t="str">
        <f>"1-192-10"</f>
        <v>1-192-10</v>
      </c>
      <c r="F4397" t="s">
        <v>83</v>
      </c>
      <c r="G4397" t="s">
        <v>84</v>
      </c>
      <c r="H4397" t="s">
        <v>92</v>
      </c>
      <c r="I4397">
        <v>1</v>
      </c>
      <c r="J4397">
        <v>1</v>
      </c>
      <c r="N4397">
        <v>1</v>
      </c>
      <c r="O4397">
        <v>1</v>
      </c>
      <c r="P4397">
        <v>1</v>
      </c>
      <c r="Q4397">
        <v>1</v>
      </c>
      <c r="R4397">
        <v>1</v>
      </c>
      <c r="S4397">
        <v>1</v>
      </c>
      <c r="T4397">
        <v>1</v>
      </c>
      <c r="W4397">
        <v>1</v>
      </c>
      <c r="X4397">
        <v>1</v>
      </c>
      <c r="Y4397">
        <v>1</v>
      </c>
      <c r="Z4397">
        <v>1</v>
      </c>
      <c r="AA4397">
        <v>1</v>
      </c>
      <c r="AB4397">
        <v>1</v>
      </c>
    </row>
    <row r="4398" spans="1:49" x14ac:dyDescent="0.25">
      <c r="A4398" t="str">
        <f>"4394"</f>
        <v>4394</v>
      </c>
      <c r="B4398" t="str">
        <f t="shared" si="253"/>
        <v>1</v>
      </c>
      <c r="C4398" t="str">
        <f t="shared" si="254"/>
        <v>192</v>
      </c>
      <c r="D4398" t="str">
        <f>"2"</f>
        <v>2</v>
      </c>
      <c r="E4398" t="str">
        <f>"1-192-2"</f>
        <v>1-192-2</v>
      </c>
      <c r="F4398" t="s">
        <v>83</v>
      </c>
      <c r="G4398" t="s">
        <v>84</v>
      </c>
      <c r="H4398" t="s">
        <v>92</v>
      </c>
      <c r="I4398">
        <v>1</v>
      </c>
      <c r="J4398">
        <v>1</v>
      </c>
      <c r="N4398">
        <v>1</v>
      </c>
      <c r="O4398">
        <v>1</v>
      </c>
      <c r="P4398">
        <v>1</v>
      </c>
      <c r="Q4398">
        <v>1</v>
      </c>
      <c r="R4398">
        <v>1</v>
      </c>
      <c r="S4398">
        <v>1</v>
      </c>
      <c r="T4398">
        <v>1</v>
      </c>
      <c r="W4398">
        <v>1</v>
      </c>
      <c r="X4398">
        <v>1</v>
      </c>
      <c r="Y4398">
        <v>1</v>
      </c>
      <c r="Z4398">
        <v>1</v>
      </c>
      <c r="AA4398">
        <v>1</v>
      </c>
      <c r="AB4398">
        <v>1</v>
      </c>
    </row>
    <row r="4399" spans="1:49" x14ac:dyDescent="0.25">
      <c r="A4399" t="str">
        <f>"4395"</f>
        <v>4395</v>
      </c>
      <c r="B4399" t="str">
        <f t="shared" si="253"/>
        <v>1</v>
      </c>
      <c r="C4399" t="str">
        <f t="shared" si="254"/>
        <v>192</v>
      </c>
      <c r="D4399" t="str">
        <f>"16"</f>
        <v>16</v>
      </c>
      <c r="E4399" t="str">
        <f>"1-192-16"</f>
        <v>1-192-16</v>
      </c>
      <c r="F4399" t="s">
        <v>83</v>
      </c>
      <c r="G4399" t="s">
        <v>84</v>
      </c>
      <c r="H4399" t="s">
        <v>92</v>
      </c>
      <c r="I4399">
        <v>1</v>
      </c>
      <c r="J4399">
        <v>1</v>
      </c>
      <c r="N4399">
        <v>1</v>
      </c>
      <c r="O4399">
        <v>1</v>
      </c>
      <c r="P4399">
        <v>1</v>
      </c>
      <c r="Q4399">
        <v>1</v>
      </c>
      <c r="R4399">
        <v>1</v>
      </c>
      <c r="S4399">
        <v>1</v>
      </c>
      <c r="T4399">
        <v>1</v>
      </c>
      <c r="W4399">
        <v>1</v>
      </c>
      <c r="X4399">
        <v>1</v>
      </c>
      <c r="Y4399">
        <v>1</v>
      </c>
      <c r="Z4399">
        <v>1</v>
      </c>
      <c r="AA4399">
        <v>1</v>
      </c>
      <c r="AB4399">
        <v>1</v>
      </c>
    </row>
    <row r="4400" spans="1:49" x14ac:dyDescent="0.25">
      <c r="A4400" t="str">
        <f>"4396"</f>
        <v>4396</v>
      </c>
      <c r="B4400" t="str">
        <f t="shared" si="253"/>
        <v>1</v>
      </c>
      <c r="C4400" t="str">
        <f t="shared" si="254"/>
        <v>192</v>
      </c>
      <c r="D4400" t="str">
        <f>"11"</f>
        <v>11</v>
      </c>
      <c r="E4400" t="str">
        <f>"1-192-11"</f>
        <v>1-192-11</v>
      </c>
      <c r="F4400" t="s">
        <v>83</v>
      </c>
      <c r="G4400" t="s">
        <v>84</v>
      </c>
      <c r="H4400" t="s">
        <v>92</v>
      </c>
      <c r="I4400">
        <v>1</v>
      </c>
      <c r="J4400">
        <v>1</v>
      </c>
      <c r="N4400">
        <v>1</v>
      </c>
      <c r="O4400">
        <v>1</v>
      </c>
      <c r="P4400">
        <v>1</v>
      </c>
      <c r="Q4400">
        <v>1</v>
      </c>
      <c r="R4400">
        <v>1</v>
      </c>
      <c r="S4400">
        <v>1</v>
      </c>
      <c r="T4400">
        <v>1</v>
      </c>
      <c r="W4400">
        <v>1</v>
      </c>
      <c r="X4400">
        <v>1</v>
      </c>
      <c r="Y4400">
        <v>1</v>
      </c>
      <c r="Z4400">
        <v>1</v>
      </c>
      <c r="AA4400">
        <v>1</v>
      </c>
      <c r="AB4400">
        <v>1</v>
      </c>
    </row>
    <row r="4401" spans="1:28" x14ac:dyDescent="0.25">
      <c r="A4401" t="str">
        <f>"4397"</f>
        <v>4397</v>
      </c>
      <c r="B4401" t="str">
        <f t="shared" si="253"/>
        <v>1</v>
      </c>
      <c r="C4401" t="str">
        <f t="shared" si="254"/>
        <v>192</v>
      </c>
      <c r="D4401" t="str">
        <f>"6"</f>
        <v>6</v>
      </c>
      <c r="E4401" t="str">
        <f>"1-192-6"</f>
        <v>1-192-6</v>
      </c>
      <c r="F4401" t="s">
        <v>83</v>
      </c>
      <c r="G4401" t="s">
        <v>84</v>
      </c>
      <c r="H4401" t="s">
        <v>92</v>
      </c>
      <c r="I4401">
        <v>1</v>
      </c>
      <c r="J4401">
        <v>1</v>
      </c>
      <c r="N4401">
        <v>1</v>
      </c>
      <c r="O4401">
        <v>1</v>
      </c>
      <c r="P4401">
        <v>1</v>
      </c>
      <c r="Q4401">
        <v>1</v>
      </c>
      <c r="R4401">
        <v>1</v>
      </c>
      <c r="S4401">
        <v>1</v>
      </c>
      <c r="T4401">
        <v>1</v>
      </c>
      <c r="W4401">
        <v>1</v>
      </c>
      <c r="X4401">
        <v>1</v>
      </c>
      <c r="Y4401">
        <v>1</v>
      </c>
      <c r="Z4401">
        <v>1</v>
      </c>
      <c r="AA4401">
        <v>1</v>
      </c>
      <c r="AB4401">
        <v>1</v>
      </c>
    </row>
    <row r="4402" spans="1:28" x14ac:dyDescent="0.25">
      <c r="A4402" t="str">
        <f>"4398"</f>
        <v>4398</v>
      </c>
      <c r="B4402" t="str">
        <f t="shared" si="253"/>
        <v>1</v>
      </c>
      <c r="C4402" t="str">
        <f t="shared" si="254"/>
        <v>192</v>
      </c>
      <c r="D4402" t="str">
        <f>"20"</f>
        <v>20</v>
      </c>
      <c r="E4402" t="str">
        <f>"1-192-20"</f>
        <v>1-192-20</v>
      </c>
      <c r="F4402" t="s">
        <v>83</v>
      </c>
      <c r="G4402" t="s">
        <v>84</v>
      </c>
      <c r="H4402" t="s">
        <v>92</v>
      </c>
      <c r="I4402">
        <v>1</v>
      </c>
      <c r="J4402">
        <v>1</v>
      </c>
      <c r="N4402">
        <v>1</v>
      </c>
      <c r="O4402">
        <v>1</v>
      </c>
      <c r="P4402">
        <v>1</v>
      </c>
      <c r="Q4402">
        <v>1</v>
      </c>
      <c r="R4402">
        <v>1</v>
      </c>
      <c r="S4402">
        <v>1</v>
      </c>
      <c r="T4402">
        <v>1</v>
      </c>
      <c r="W4402">
        <v>1</v>
      </c>
      <c r="X4402">
        <v>1</v>
      </c>
      <c r="Y4402">
        <v>1</v>
      </c>
      <c r="Z4402">
        <v>1</v>
      </c>
      <c r="AA4402">
        <v>1</v>
      </c>
      <c r="AB4402">
        <v>1</v>
      </c>
    </row>
    <row r="4403" spans="1:28" x14ac:dyDescent="0.25">
      <c r="A4403" t="str">
        <f>"4399"</f>
        <v>4399</v>
      </c>
      <c r="B4403" t="str">
        <f t="shared" si="253"/>
        <v>1</v>
      </c>
      <c r="C4403" t="str">
        <f t="shared" si="254"/>
        <v>192</v>
      </c>
      <c r="D4403" t="str">
        <f>"12"</f>
        <v>12</v>
      </c>
      <c r="E4403" t="str">
        <f>"1-192-12"</f>
        <v>1-192-12</v>
      </c>
      <c r="F4403" t="s">
        <v>83</v>
      </c>
      <c r="G4403" t="s">
        <v>84</v>
      </c>
      <c r="H4403" t="s">
        <v>92</v>
      </c>
      <c r="I4403">
        <v>1</v>
      </c>
      <c r="J4403">
        <v>1</v>
      </c>
      <c r="N4403">
        <v>1</v>
      </c>
      <c r="O4403">
        <v>1</v>
      </c>
      <c r="P4403">
        <v>1</v>
      </c>
      <c r="Q4403">
        <v>1</v>
      </c>
      <c r="R4403">
        <v>1</v>
      </c>
      <c r="S4403">
        <v>1</v>
      </c>
      <c r="T4403">
        <v>1</v>
      </c>
      <c r="W4403">
        <v>1</v>
      </c>
      <c r="X4403">
        <v>1</v>
      </c>
      <c r="Y4403">
        <v>1</v>
      </c>
      <c r="Z4403">
        <v>1</v>
      </c>
      <c r="AA4403">
        <v>1</v>
      </c>
      <c r="AB4403">
        <v>1</v>
      </c>
    </row>
    <row r="4404" spans="1:28" x14ac:dyDescent="0.25">
      <c r="A4404" t="str">
        <f>"4400"</f>
        <v>4400</v>
      </c>
      <c r="B4404" t="str">
        <f t="shared" si="253"/>
        <v>1</v>
      </c>
      <c r="C4404" t="str">
        <f t="shared" si="254"/>
        <v>192</v>
      </c>
      <c r="D4404" t="str">
        <f>"7"</f>
        <v>7</v>
      </c>
      <c r="E4404" t="str">
        <f>"1-192-7"</f>
        <v>1-192-7</v>
      </c>
      <c r="F4404" t="s">
        <v>83</v>
      </c>
      <c r="G4404" t="s">
        <v>84</v>
      </c>
      <c r="H4404" t="s">
        <v>92</v>
      </c>
      <c r="I4404">
        <v>1</v>
      </c>
      <c r="J4404">
        <v>1</v>
      </c>
      <c r="N4404">
        <v>1</v>
      </c>
      <c r="O4404">
        <v>1</v>
      </c>
      <c r="P4404">
        <v>1</v>
      </c>
      <c r="Q4404">
        <v>1</v>
      </c>
      <c r="R4404">
        <v>1</v>
      </c>
      <c r="S4404">
        <v>1</v>
      </c>
      <c r="T4404">
        <v>1</v>
      </c>
      <c r="W4404">
        <v>1</v>
      </c>
      <c r="X4404">
        <v>1</v>
      </c>
      <c r="Y4404">
        <v>1</v>
      </c>
      <c r="Z4404">
        <v>1</v>
      </c>
      <c r="AA4404">
        <v>1</v>
      </c>
      <c r="AB4404">
        <v>1</v>
      </c>
    </row>
    <row r="4405" spans="1:28" x14ac:dyDescent="0.25">
      <c r="A4405" t="str">
        <f>"4401"</f>
        <v>4401</v>
      </c>
      <c r="B4405" t="str">
        <f t="shared" si="253"/>
        <v>1</v>
      </c>
      <c r="C4405" t="str">
        <f t="shared" si="254"/>
        <v>192</v>
      </c>
      <c r="D4405" t="str">
        <f>"19"</f>
        <v>19</v>
      </c>
      <c r="E4405" t="str">
        <f>"1-192-19"</f>
        <v>1-192-19</v>
      </c>
      <c r="F4405" t="s">
        <v>83</v>
      </c>
      <c r="G4405" t="s">
        <v>84</v>
      </c>
      <c r="H4405" t="s">
        <v>92</v>
      </c>
      <c r="I4405">
        <v>1</v>
      </c>
      <c r="J4405">
        <v>1</v>
      </c>
      <c r="N4405">
        <v>1</v>
      </c>
      <c r="O4405">
        <v>0</v>
      </c>
      <c r="P4405">
        <v>0</v>
      </c>
      <c r="Q4405">
        <v>1</v>
      </c>
      <c r="R4405">
        <v>0</v>
      </c>
      <c r="S4405">
        <v>1</v>
      </c>
      <c r="T4405">
        <v>0</v>
      </c>
      <c r="W4405">
        <v>1</v>
      </c>
      <c r="X4405">
        <v>1</v>
      </c>
      <c r="Y4405">
        <v>0</v>
      </c>
      <c r="Z4405">
        <v>0</v>
      </c>
      <c r="AA4405">
        <v>0</v>
      </c>
      <c r="AB4405">
        <v>1</v>
      </c>
    </row>
    <row r="4406" spans="1:28" x14ac:dyDescent="0.25">
      <c r="A4406" t="str">
        <f>"4402"</f>
        <v>4402</v>
      </c>
      <c r="B4406" t="str">
        <f t="shared" si="253"/>
        <v>1</v>
      </c>
      <c r="C4406" t="str">
        <f t="shared" si="254"/>
        <v>192</v>
      </c>
      <c r="D4406" t="str">
        <f>"13"</f>
        <v>13</v>
      </c>
      <c r="E4406" t="str">
        <f>"1-192-13"</f>
        <v>1-192-13</v>
      </c>
      <c r="F4406" t="s">
        <v>83</v>
      </c>
      <c r="G4406" t="s">
        <v>84</v>
      </c>
      <c r="H4406" t="s">
        <v>92</v>
      </c>
      <c r="I4406">
        <v>1</v>
      </c>
      <c r="J4406">
        <v>1</v>
      </c>
      <c r="N4406">
        <v>1</v>
      </c>
      <c r="O4406">
        <v>1</v>
      </c>
      <c r="P4406">
        <v>1</v>
      </c>
      <c r="Q4406">
        <v>1</v>
      </c>
      <c r="R4406">
        <v>1</v>
      </c>
      <c r="S4406">
        <v>1</v>
      </c>
      <c r="T4406">
        <v>1</v>
      </c>
      <c r="W4406">
        <v>1</v>
      </c>
      <c r="X4406">
        <v>1</v>
      </c>
      <c r="Y4406">
        <v>1</v>
      </c>
      <c r="Z4406">
        <v>1</v>
      </c>
      <c r="AA4406">
        <v>1</v>
      </c>
      <c r="AB4406">
        <v>1</v>
      </c>
    </row>
    <row r="4407" spans="1:28" x14ac:dyDescent="0.25">
      <c r="A4407" t="str">
        <f>"4403"</f>
        <v>4403</v>
      </c>
      <c r="B4407" t="str">
        <f t="shared" si="253"/>
        <v>1</v>
      </c>
      <c r="C4407" t="str">
        <f t="shared" si="254"/>
        <v>192</v>
      </c>
      <c r="D4407" t="str">
        <f>"1"</f>
        <v>1</v>
      </c>
      <c r="E4407" t="str">
        <f>"1-192-1"</f>
        <v>1-192-1</v>
      </c>
      <c r="F4407" t="s">
        <v>83</v>
      </c>
      <c r="G4407" t="s">
        <v>84</v>
      </c>
      <c r="H4407" t="s">
        <v>92</v>
      </c>
      <c r="I4407">
        <v>1</v>
      </c>
      <c r="J4407">
        <v>1</v>
      </c>
      <c r="N4407">
        <v>1</v>
      </c>
      <c r="O4407">
        <v>1</v>
      </c>
      <c r="P4407">
        <v>1</v>
      </c>
      <c r="Q4407">
        <v>1</v>
      </c>
      <c r="R4407">
        <v>1</v>
      </c>
      <c r="S4407">
        <v>1</v>
      </c>
      <c r="T4407">
        <v>1</v>
      </c>
      <c r="W4407">
        <v>1</v>
      </c>
      <c r="X4407">
        <v>1</v>
      </c>
      <c r="Y4407">
        <v>1</v>
      </c>
      <c r="Z4407">
        <v>1</v>
      </c>
      <c r="AA4407">
        <v>1</v>
      </c>
      <c r="AB4407">
        <v>1</v>
      </c>
    </row>
    <row r="4408" spans="1:28" x14ac:dyDescent="0.25">
      <c r="A4408" t="str">
        <f>"4404"</f>
        <v>4404</v>
      </c>
      <c r="B4408" t="str">
        <f t="shared" si="253"/>
        <v>1</v>
      </c>
      <c r="C4408" t="str">
        <f t="shared" si="254"/>
        <v>192</v>
      </c>
      <c r="D4408" t="str">
        <f>"17"</f>
        <v>17</v>
      </c>
      <c r="E4408" t="str">
        <f>"1-192-17"</f>
        <v>1-192-17</v>
      </c>
      <c r="F4408" t="s">
        <v>83</v>
      </c>
      <c r="G4408" t="s">
        <v>84</v>
      </c>
      <c r="H4408" t="s">
        <v>92</v>
      </c>
      <c r="I4408">
        <v>1</v>
      </c>
      <c r="J4408">
        <v>1</v>
      </c>
      <c r="N4408">
        <v>1</v>
      </c>
      <c r="O4408">
        <v>1</v>
      </c>
      <c r="P4408">
        <v>1</v>
      </c>
      <c r="Q4408">
        <v>1</v>
      </c>
      <c r="R4408">
        <v>1</v>
      </c>
      <c r="S4408">
        <v>1</v>
      </c>
      <c r="T4408">
        <v>1</v>
      </c>
      <c r="W4408">
        <v>1</v>
      </c>
      <c r="X4408">
        <v>1</v>
      </c>
      <c r="Y4408">
        <v>1</v>
      </c>
      <c r="Z4408">
        <v>1</v>
      </c>
      <c r="AA4408">
        <v>1</v>
      </c>
      <c r="AB4408">
        <v>1</v>
      </c>
    </row>
    <row r="4409" spans="1:28" x14ac:dyDescent="0.25">
      <c r="A4409" t="str">
        <f>"4405"</f>
        <v>4405</v>
      </c>
      <c r="B4409" t="str">
        <f t="shared" si="253"/>
        <v>1</v>
      </c>
      <c r="C4409" t="str">
        <f t="shared" si="254"/>
        <v>192</v>
      </c>
      <c r="D4409" t="str">
        <f>"5"</f>
        <v>5</v>
      </c>
      <c r="E4409" t="str">
        <f>"1-192-5"</f>
        <v>1-192-5</v>
      </c>
      <c r="F4409" t="s">
        <v>83</v>
      </c>
      <c r="G4409" t="s">
        <v>84</v>
      </c>
      <c r="H4409" t="s">
        <v>92</v>
      </c>
      <c r="I4409">
        <v>1</v>
      </c>
      <c r="J4409">
        <v>1</v>
      </c>
      <c r="N4409">
        <v>1</v>
      </c>
      <c r="O4409">
        <v>1</v>
      </c>
      <c r="P4409">
        <v>1</v>
      </c>
      <c r="Q4409">
        <v>1</v>
      </c>
      <c r="R4409">
        <v>1</v>
      </c>
      <c r="S4409">
        <v>1</v>
      </c>
      <c r="T4409">
        <v>1</v>
      </c>
      <c r="W4409">
        <v>1</v>
      </c>
      <c r="X4409">
        <v>1</v>
      </c>
      <c r="Y4409">
        <v>1</v>
      </c>
      <c r="Z4409">
        <v>1</v>
      </c>
      <c r="AA4409">
        <v>1</v>
      </c>
      <c r="AB4409">
        <v>1</v>
      </c>
    </row>
    <row r="4410" spans="1:28" x14ac:dyDescent="0.25">
      <c r="A4410" t="str">
        <f>"4406"</f>
        <v>4406</v>
      </c>
      <c r="B4410" t="str">
        <f t="shared" si="253"/>
        <v>1</v>
      </c>
      <c r="C4410" t="str">
        <f t="shared" ref="C4410:C4434" si="255">"193"</f>
        <v>193</v>
      </c>
      <c r="D4410" t="str">
        <f>"19"</f>
        <v>19</v>
      </c>
      <c r="E4410" t="str">
        <f>"1-193-19"</f>
        <v>1-193-19</v>
      </c>
      <c r="F4410" t="s">
        <v>83</v>
      </c>
      <c r="G4410" t="s">
        <v>84</v>
      </c>
      <c r="H4410" t="s">
        <v>92</v>
      </c>
      <c r="I4410">
        <v>1</v>
      </c>
      <c r="J4410">
        <v>1</v>
      </c>
      <c r="N4410">
        <v>1</v>
      </c>
      <c r="O4410">
        <v>1</v>
      </c>
      <c r="P4410">
        <v>1</v>
      </c>
      <c r="Q4410">
        <v>1</v>
      </c>
      <c r="R4410">
        <v>1</v>
      </c>
      <c r="S4410">
        <v>0</v>
      </c>
      <c r="T4410">
        <v>1</v>
      </c>
      <c r="W4410">
        <v>0</v>
      </c>
      <c r="X4410">
        <v>1</v>
      </c>
      <c r="Y4410">
        <v>0</v>
      </c>
      <c r="Z4410">
        <v>1</v>
      </c>
      <c r="AA4410">
        <v>1</v>
      </c>
      <c r="AB4410">
        <v>1</v>
      </c>
    </row>
    <row r="4411" spans="1:28" x14ac:dyDescent="0.25">
      <c r="A4411" t="str">
        <f>"4407"</f>
        <v>4407</v>
      </c>
      <c r="B4411" t="str">
        <f t="shared" si="253"/>
        <v>1</v>
      </c>
      <c r="C4411" t="str">
        <f t="shared" si="255"/>
        <v>193</v>
      </c>
      <c r="D4411" t="str">
        <f>"18"</f>
        <v>18</v>
      </c>
      <c r="E4411" t="str">
        <f>"1-193-18"</f>
        <v>1-193-18</v>
      </c>
      <c r="F4411" t="s">
        <v>83</v>
      </c>
      <c r="G4411" t="s">
        <v>86</v>
      </c>
      <c r="H4411" t="s">
        <v>93</v>
      </c>
      <c r="I4411">
        <v>1</v>
      </c>
      <c r="K4411">
        <v>0</v>
      </c>
      <c r="L4411">
        <v>0</v>
      </c>
      <c r="M4411">
        <v>0</v>
      </c>
      <c r="N4411">
        <v>1</v>
      </c>
      <c r="O4411">
        <v>0</v>
      </c>
      <c r="P4411">
        <v>0</v>
      </c>
      <c r="Q4411">
        <v>1</v>
      </c>
      <c r="R4411">
        <v>0</v>
      </c>
      <c r="U4411">
        <v>0</v>
      </c>
      <c r="V4411">
        <v>0</v>
      </c>
      <c r="W4411">
        <v>0</v>
      </c>
      <c r="X4411">
        <v>0</v>
      </c>
      <c r="Y4411">
        <v>0</v>
      </c>
      <c r="Z4411">
        <v>0</v>
      </c>
      <c r="AA4411">
        <v>0</v>
      </c>
      <c r="AB4411">
        <v>0</v>
      </c>
    </row>
    <row r="4412" spans="1:28" x14ac:dyDescent="0.25">
      <c r="A4412" t="str">
        <f>"4408"</f>
        <v>4408</v>
      </c>
      <c r="B4412" t="str">
        <f t="shared" si="253"/>
        <v>1</v>
      </c>
      <c r="C4412" t="str">
        <f t="shared" si="255"/>
        <v>193</v>
      </c>
      <c r="D4412" t="str">
        <f>"13"</f>
        <v>13</v>
      </c>
      <c r="E4412" t="str">
        <f>"1-193-13"</f>
        <v>1-193-13</v>
      </c>
      <c r="F4412" t="s">
        <v>83</v>
      </c>
      <c r="G4412" t="s">
        <v>84</v>
      </c>
      <c r="H4412" t="s">
        <v>92</v>
      </c>
      <c r="I4412">
        <v>1</v>
      </c>
      <c r="J4412">
        <v>1</v>
      </c>
      <c r="N4412">
        <v>1</v>
      </c>
      <c r="O4412">
        <v>1</v>
      </c>
      <c r="P4412">
        <v>1</v>
      </c>
      <c r="Q4412">
        <v>1</v>
      </c>
      <c r="R4412">
        <v>1</v>
      </c>
      <c r="S4412">
        <v>1</v>
      </c>
      <c r="T4412">
        <v>1</v>
      </c>
      <c r="W4412">
        <v>1</v>
      </c>
      <c r="X4412">
        <v>1</v>
      </c>
      <c r="Y4412">
        <v>1</v>
      </c>
      <c r="Z4412">
        <v>1</v>
      </c>
      <c r="AA4412">
        <v>1</v>
      </c>
      <c r="AB4412">
        <v>1</v>
      </c>
    </row>
    <row r="4413" spans="1:28" x14ac:dyDescent="0.25">
      <c r="A4413" t="str">
        <f>"4409"</f>
        <v>4409</v>
      </c>
      <c r="B4413" t="str">
        <f t="shared" si="253"/>
        <v>1</v>
      </c>
      <c r="C4413" t="str">
        <f t="shared" si="255"/>
        <v>193</v>
      </c>
      <c r="D4413" t="str">
        <f>"8"</f>
        <v>8</v>
      </c>
      <c r="E4413" t="str">
        <f>"1-193-8"</f>
        <v>1-193-8</v>
      </c>
      <c r="F4413" t="s">
        <v>83</v>
      </c>
      <c r="G4413" t="s">
        <v>84</v>
      </c>
      <c r="H4413" t="s">
        <v>92</v>
      </c>
      <c r="I4413">
        <v>1</v>
      </c>
      <c r="J4413">
        <v>1</v>
      </c>
      <c r="N4413">
        <v>1</v>
      </c>
      <c r="O4413">
        <v>1</v>
      </c>
      <c r="P4413">
        <v>1</v>
      </c>
      <c r="Q4413">
        <v>1</v>
      </c>
      <c r="R4413">
        <v>1</v>
      </c>
      <c r="S4413">
        <v>1</v>
      </c>
      <c r="T4413">
        <v>1</v>
      </c>
      <c r="W4413">
        <v>1</v>
      </c>
      <c r="X4413">
        <v>1</v>
      </c>
      <c r="Y4413">
        <v>1</v>
      </c>
      <c r="Z4413">
        <v>1</v>
      </c>
      <c r="AA4413">
        <v>1</v>
      </c>
      <c r="AB4413">
        <v>1</v>
      </c>
    </row>
    <row r="4414" spans="1:28" x14ac:dyDescent="0.25">
      <c r="A4414" t="str">
        <f>"4410"</f>
        <v>4410</v>
      </c>
      <c r="B4414" t="str">
        <f t="shared" si="253"/>
        <v>1</v>
      </c>
      <c r="C4414" t="str">
        <f t="shared" si="255"/>
        <v>193</v>
      </c>
      <c r="D4414" t="str">
        <f>"3"</f>
        <v>3</v>
      </c>
      <c r="E4414" t="str">
        <f>"1-193-3"</f>
        <v>1-193-3</v>
      </c>
      <c r="F4414" t="s">
        <v>83</v>
      </c>
      <c r="G4414" t="s">
        <v>84</v>
      </c>
      <c r="H4414" t="s">
        <v>92</v>
      </c>
      <c r="I4414">
        <v>1</v>
      </c>
      <c r="J4414">
        <v>1</v>
      </c>
      <c r="N4414">
        <v>1</v>
      </c>
      <c r="O4414">
        <v>1</v>
      </c>
      <c r="P4414">
        <v>1</v>
      </c>
      <c r="Q4414">
        <v>1</v>
      </c>
      <c r="R4414">
        <v>1</v>
      </c>
      <c r="S4414">
        <v>1</v>
      </c>
      <c r="T4414">
        <v>1</v>
      </c>
      <c r="W4414">
        <v>1</v>
      </c>
      <c r="X4414">
        <v>1</v>
      </c>
      <c r="Y4414">
        <v>1</v>
      </c>
      <c r="Z4414">
        <v>1</v>
      </c>
      <c r="AA4414">
        <v>1</v>
      </c>
      <c r="AB4414">
        <v>1</v>
      </c>
    </row>
    <row r="4415" spans="1:28" x14ac:dyDescent="0.25">
      <c r="A4415" t="str">
        <f>"4411"</f>
        <v>4411</v>
      </c>
      <c r="B4415" t="str">
        <f t="shared" si="253"/>
        <v>1</v>
      </c>
      <c r="C4415" t="str">
        <f t="shared" si="255"/>
        <v>193</v>
      </c>
      <c r="D4415" t="str">
        <f>"25"</f>
        <v>25</v>
      </c>
      <c r="E4415" t="str">
        <f>"1-193-25"</f>
        <v>1-193-25</v>
      </c>
      <c r="F4415" t="s">
        <v>83</v>
      </c>
      <c r="G4415" t="s">
        <v>84</v>
      </c>
      <c r="H4415" t="s">
        <v>92</v>
      </c>
      <c r="I4415">
        <v>1</v>
      </c>
      <c r="J4415">
        <v>1</v>
      </c>
      <c r="N4415">
        <v>1</v>
      </c>
      <c r="O4415">
        <v>1</v>
      </c>
      <c r="P4415">
        <v>1</v>
      </c>
      <c r="Q4415">
        <v>1</v>
      </c>
      <c r="R4415">
        <v>0</v>
      </c>
      <c r="S4415">
        <v>1</v>
      </c>
      <c r="T4415">
        <v>1</v>
      </c>
      <c r="W4415">
        <v>1</v>
      </c>
      <c r="X4415">
        <v>1</v>
      </c>
      <c r="Y4415">
        <v>0</v>
      </c>
      <c r="Z4415">
        <v>1</v>
      </c>
      <c r="AA4415">
        <v>1</v>
      </c>
      <c r="AB4415">
        <v>1</v>
      </c>
    </row>
    <row r="4416" spans="1:28" x14ac:dyDescent="0.25">
      <c r="A4416" t="str">
        <f>"4412"</f>
        <v>4412</v>
      </c>
      <c r="B4416" t="str">
        <f t="shared" si="253"/>
        <v>1</v>
      </c>
      <c r="C4416" t="str">
        <f t="shared" si="255"/>
        <v>193</v>
      </c>
      <c r="D4416" t="str">
        <f>"24"</f>
        <v>24</v>
      </c>
      <c r="E4416" t="str">
        <f>"1-193-24"</f>
        <v>1-193-24</v>
      </c>
      <c r="F4416" t="s">
        <v>83</v>
      </c>
      <c r="G4416" t="s">
        <v>84</v>
      </c>
      <c r="H4416" t="s">
        <v>92</v>
      </c>
      <c r="I4416">
        <v>1</v>
      </c>
      <c r="J4416">
        <v>1</v>
      </c>
      <c r="N4416">
        <v>1</v>
      </c>
      <c r="O4416">
        <v>1</v>
      </c>
      <c r="P4416">
        <v>1</v>
      </c>
      <c r="Q4416">
        <v>1</v>
      </c>
      <c r="R4416">
        <v>1</v>
      </c>
      <c r="S4416">
        <v>1</v>
      </c>
      <c r="T4416">
        <v>1</v>
      </c>
      <c r="W4416">
        <v>1</v>
      </c>
      <c r="X4416">
        <v>1</v>
      </c>
      <c r="Y4416">
        <v>1</v>
      </c>
      <c r="Z4416">
        <v>1</v>
      </c>
      <c r="AA4416">
        <v>1</v>
      </c>
      <c r="AB4416">
        <v>1</v>
      </c>
    </row>
    <row r="4417" spans="1:28" x14ac:dyDescent="0.25">
      <c r="A4417" t="str">
        <f>"4413"</f>
        <v>4413</v>
      </c>
      <c r="B4417" t="str">
        <f t="shared" si="253"/>
        <v>1</v>
      </c>
      <c r="C4417" t="str">
        <f t="shared" si="255"/>
        <v>193</v>
      </c>
      <c r="D4417" t="str">
        <f>"14"</f>
        <v>14</v>
      </c>
      <c r="E4417" t="str">
        <f>"1-193-14"</f>
        <v>1-193-14</v>
      </c>
      <c r="F4417" t="s">
        <v>83</v>
      </c>
      <c r="G4417" t="s">
        <v>84</v>
      </c>
      <c r="H4417" t="s">
        <v>92</v>
      </c>
      <c r="I4417">
        <v>1</v>
      </c>
      <c r="J4417">
        <v>0</v>
      </c>
      <c r="N4417">
        <v>1</v>
      </c>
      <c r="O4417">
        <v>1</v>
      </c>
      <c r="P4417">
        <v>1</v>
      </c>
      <c r="Q4417">
        <v>1</v>
      </c>
      <c r="R4417">
        <v>1</v>
      </c>
      <c r="S4417">
        <v>1</v>
      </c>
      <c r="T4417">
        <v>1</v>
      </c>
      <c r="W4417">
        <v>1</v>
      </c>
      <c r="X4417">
        <v>1</v>
      </c>
      <c r="Y4417">
        <v>1</v>
      </c>
      <c r="Z4417">
        <v>1</v>
      </c>
      <c r="AA4417">
        <v>1</v>
      </c>
      <c r="AB4417">
        <v>1</v>
      </c>
    </row>
    <row r="4418" spans="1:28" x14ac:dyDescent="0.25">
      <c r="A4418" t="str">
        <f>"4414"</f>
        <v>4414</v>
      </c>
      <c r="B4418" t="str">
        <f t="shared" si="253"/>
        <v>1</v>
      </c>
      <c r="C4418" t="str">
        <f t="shared" si="255"/>
        <v>193</v>
      </c>
      <c r="D4418" t="str">
        <f>"9"</f>
        <v>9</v>
      </c>
      <c r="E4418" t="str">
        <f>"1-193-9"</f>
        <v>1-193-9</v>
      </c>
      <c r="F4418" t="s">
        <v>83</v>
      </c>
      <c r="G4418" t="s">
        <v>86</v>
      </c>
      <c r="H4418" t="s">
        <v>93</v>
      </c>
      <c r="I4418">
        <v>1</v>
      </c>
      <c r="K4418">
        <v>0</v>
      </c>
      <c r="L4418">
        <v>0</v>
      </c>
      <c r="M4418">
        <v>1</v>
      </c>
      <c r="N4418">
        <v>1</v>
      </c>
      <c r="O4418">
        <v>1</v>
      </c>
      <c r="P4418">
        <v>1</v>
      </c>
      <c r="Q4418">
        <v>1</v>
      </c>
      <c r="R4418">
        <v>0</v>
      </c>
      <c r="U4418">
        <v>1</v>
      </c>
      <c r="V4418">
        <v>0</v>
      </c>
      <c r="W4418">
        <v>0</v>
      </c>
      <c r="X4418">
        <v>1</v>
      </c>
      <c r="Y4418">
        <v>1</v>
      </c>
      <c r="Z4418">
        <v>1</v>
      </c>
      <c r="AA4418">
        <v>1</v>
      </c>
      <c r="AB4418">
        <v>1</v>
      </c>
    </row>
    <row r="4419" spans="1:28" x14ac:dyDescent="0.25">
      <c r="A4419" t="str">
        <f>"4415"</f>
        <v>4415</v>
      </c>
      <c r="B4419" t="str">
        <f t="shared" si="253"/>
        <v>1</v>
      </c>
      <c r="C4419" t="str">
        <f t="shared" si="255"/>
        <v>193</v>
      </c>
      <c r="D4419" t="str">
        <f>"1"</f>
        <v>1</v>
      </c>
      <c r="E4419" t="str">
        <f>"1-193-1"</f>
        <v>1-193-1</v>
      </c>
      <c r="F4419" t="s">
        <v>83</v>
      </c>
      <c r="G4419" t="s">
        <v>84</v>
      </c>
      <c r="H4419" t="s">
        <v>92</v>
      </c>
      <c r="I4419">
        <v>1</v>
      </c>
      <c r="J4419">
        <v>1</v>
      </c>
      <c r="N4419">
        <v>1</v>
      </c>
      <c r="O4419">
        <v>1</v>
      </c>
      <c r="P4419">
        <v>1</v>
      </c>
      <c r="Q4419">
        <v>1</v>
      </c>
      <c r="R4419">
        <v>1</v>
      </c>
      <c r="S4419">
        <v>1</v>
      </c>
      <c r="T4419">
        <v>1</v>
      </c>
      <c r="W4419">
        <v>1</v>
      </c>
      <c r="X4419">
        <v>1</v>
      </c>
      <c r="Y4419">
        <v>1</v>
      </c>
      <c r="Z4419">
        <v>1</v>
      </c>
      <c r="AA4419">
        <v>1</v>
      </c>
      <c r="AB4419">
        <v>1</v>
      </c>
    </row>
    <row r="4420" spans="1:28" x14ac:dyDescent="0.25">
      <c r="A4420" t="str">
        <f>"4416"</f>
        <v>4416</v>
      </c>
      <c r="B4420" t="str">
        <f t="shared" si="253"/>
        <v>1</v>
      </c>
      <c r="C4420" t="str">
        <f t="shared" si="255"/>
        <v>193</v>
      </c>
      <c r="D4420" t="str">
        <f>"17"</f>
        <v>17</v>
      </c>
      <c r="E4420" t="str">
        <f>"1-193-17"</f>
        <v>1-193-17</v>
      </c>
      <c r="F4420" t="s">
        <v>83</v>
      </c>
      <c r="G4420" t="s">
        <v>84</v>
      </c>
      <c r="H4420" t="s">
        <v>92</v>
      </c>
      <c r="I4420">
        <v>1</v>
      </c>
      <c r="J4420">
        <v>1</v>
      </c>
      <c r="N4420">
        <v>1</v>
      </c>
      <c r="O4420">
        <v>1</v>
      </c>
      <c r="P4420">
        <v>1</v>
      </c>
      <c r="Q4420">
        <v>1</v>
      </c>
      <c r="R4420">
        <v>1</v>
      </c>
      <c r="S4420">
        <v>1</v>
      </c>
      <c r="T4420">
        <v>1</v>
      </c>
      <c r="W4420">
        <v>1</v>
      </c>
      <c r="X4420">
        <v>1</v>
      </c>
      <c r="Y4420">
        <v>1</v>
      </c>
      <c r="Z4420">
        <v>1</v>
      </c>
      <c r="AA4420">
        <v>1</v>
      </c>
      <c r="AB4420">
        <v>1</v>
      </c>
    </row>
    <row r="4421" spans="1:28" x14ac:dyDescent="0.25">
      <c r="A4421" t="str">
        <f>"4417"</f>
        <v>4417</v>
      </c>
      <c r="B4421" t="str">
        <f t="shared" si="253"/>
        <v>1</v>
      </c>
      <c r="C4421" t="str">
        <f t="shared" si="255"/>
        <v>193</v>
      </c>
      <c r="D4421" t="str">
        <f>"10"</f>
        <v>10</v>
      </c>
      <c r="E4421" t="str">
        <f>"1-193-10"</f>
        <v>1-193-10</v>
      </c>
      <c r="F4421" t="s">
        <v>83</v>
      </c>
      <c r="G4421" t="s">
        <v>86</v>
      </c>
      <c r="H4421" t="s">
        <v>93</v>
      </c>
      <c r="I4421">
        <v>1</v>
      </c>
      <c r="K4421">
        <v>0</v>
      </c>
      <c r="L4421">
        <v>0</v>
      </c>
      <c r="M4421">
        <v>1</v>
      </c>
      <c r="N4421">
        <v>1</v>
      </c>
      <c r="O4421">
        <v>1</v>
      </c>
      <c r="P4421">
        <v>0</v>
      </c>
      <c r="Q4421">
        <v>0</v>
      </c>
      <c r="R4421">
        <v>0</v>
      </c>
      <c r="U4421">
        <v>1</v>
      </c>
      <c r="V4421">
        <v>0</v>
      </c>
      <c r="W4421">
        <v>0</v>
      </c>
      <c r="X4421">
        <v>0</v>
      </c>
      <c r="Y4421">
        <v>0</v>
      </c>
      <c r="Z4421">
        <v>0</v>
      </c>
      <c r="AA4421">
        <v>0</v>
      </c>
      <c r="AB4421">
        <v>0</v>
      </c>
    </row>
    <row r="4422" spans="1:28" x14ac:dyDescent="0.25">
      <c r="A4422" t="str">
        <f>"4418"</f>
        <v>4418</v>
      </c>
      <c r="B4422" t="str">
        <f t="shared" si="253"/>
        <v>1</v>
      </c>
      <c r="C4422" t="str">
        <f t="shared" si="255"/>
        <v>193</v>
      </c>
      <c r="D4422" t="str">
        <f>"7"</f>
        <v>7</v>
      </c>
      <c r="E4422" t="str">
        <f>"1-193-7"</f>
        <v>1-193-7</v>
      </c>
      <c r="F4422" t="s">
        <v>83</v>
      </c>
      <c r="G4422" t="s">
        <v>84</v>
      </c>
      <c r="H4422" t="s">
        <v>92</v>
      </c>
      <c r="I4422">
        <v>1</v>
      </c>
      <c r="J4422">
        <v>1</v>
      </c>
      <c r="N4422">
        <v>1</v>
      </c>
      <c r="O4422">
        <v>1</v>
      </c>
      <c r="P4422">
        <v>1</v>
      </c>
      <c r="Q4422">
        <v>1</v>
      </c>
      <c r="R4422">
        <v>1</v>
      </c>
      <c r="S4422">
        <v>1</v>
      </c>
      <c r="T4422">
        <v>1</v>
      </c>
      <c r="W4422">
        <v>1</v>
      </c>
      <c r="X4422">
        <v>1</v>
      </c>
      <c r="Y4422">
        <v>1</v>
      </c>
      <c r="Z4422">
        <v>1</v>
      </c>
      <c r="AA4422">
        <v>1</v>
      </c>
      <c r="AB4422">
        <v>1</v>
      </c>
    </row>
    <row r="4423" spans="1:28" x14ac:dyDescent="0.25">
      <c r="A4423" t="str">
        <f>"4419"</f>
        <v>4419</v>
      </c>
      <c r="B4423" t="str">
        <f t="shared" si="253"/>
        <v>1</v>
      </c>
      <c r="C4423" t="str">
        <f t="shared" si="255"/>
        <v>193</v>
      </c>
      <c r="D4423" t="str">
        <f>"16"</f>
        <v>16</v>
      </c>
      <c r="E4423" t="str">
        <f>"1-193-16"</f>
        <v>1-193-16</v>
      </c>
      <c r="F4423" t="s">
        <v>83</v>
      </c>
      <c r="G4423" t="s">
        <v>84</v>
      </c>
      <c r="H4423" t="s">
        <v>92</v>
      </c>
      <c r="I4423">
        <v>1</v>
      </c>
      <c r="J4423">
        <v>1</v>
      </c>
      <c r="N4423">
        <v>1</v>
      </c>
      <c r="O4423">
        <v>0</v>
      </c>
      <c r="P4423">
        <v>1</v>
      </c>
      <c r="Q4423">
        <v>1</v>
      </c>
      <c r="R4423">
        <v>0</v>
      </c>
      <c r="S4423">
        <v>1</v>
      </c>
      <c r="T4423">
        <v>0</v>
      </c>
      <c r="W4423">
        <v>1</v>
      </c>
      <c r="X4423">
        <v>1</v>
      </c>
      <c r="Y4423">
        <v>1</v>
      </c>
      <c r="Z4423">
        <v>1</v>
      </c>
      <c r="AA4423">
        <v>0</v>
      </c>
      <c r="AB4423">
        <v>1</v>
      </c>
    </row>
    <row r="4424" spans="1:28" x14ac:dyDescent="0.25">
      <c r="A4424" t="str">
        <f>"4420"</f>
        <v>4420</v>
      </c>
      <c r="B4424" t="str">
        <f t="shared" si="253"/>
        <v>1</v>
      </c>
      <c r="C4424" t="str">
        <f t="shared" si="255"/>
        <v>193</v>
      </c>
      <c r="D4424" t="str">
        <f>"11"</f>
        <v>11</v>
      </c>
      <c r="E4424" t="str">
        <f>"1-193-11"</f>
        <v>1-193-11</v>
      </c>
      <c r="F4424" t="s">
        <v>83</v>
      </c>
      <c r="G4424" t="s">
        <v>84</v>
      </c>
      <c r="H4424" t="s">
        <v>92</v>
      </c>
      <c r="I4424">
        <v>1</v>
      </c>
      <c r="J4424">
        <v>1</v>
      </c>
      <c r="N4424">
        <v>1</v>
      </c>
      <c r="O4424">
        <v>1</v>
      </c>
      <c r="P4424">
        <v>1</v>
      </c>
      <c r="Q4424">
        <v>1</v>
      </c>
      <c r="R4424">
        <v>1</v>
      </c>
      <c r="S4424">
        <v>1</v>
      </c>
      <c r="T4424">
        <v>1</v>
      </c>
      <c r="W4424">
        <v>1</v>
      </c>
      <c r="X4424">
        <v>1</v>
      </c>
      <c r="Y4424">
        <v>1</v>
      </c>
      <c r="Z4424">
        <v>1</v>
      </c>
      <c r="AA4424">
        <v>1</v>
      </c>
      <c r="AB4424">
        <v>1</v>
      </c>
    </row>
    <row r="4425" spans="1:28" x14ac:dyDescent="0.25">
      <c r="A4425" t="str">
        <f>"4421"</f>
        <v>4421</v>
      </c>
      <c r="B4425" t="str">
        <f t="shared" si="253"/>
        <v>1</v>
      </c>
      <c r="C4425" t="str">
        <f t="shared" si="255"/>
        <v>193</v>
      </c>
      <c r="D4425" t="str">
        <f>"4"</f>
        <v>4</v>
      </c>
      <c r="E4425" t="str">
        <f>"1-193-4"</f>
        <v>1-193-4</v>
      </c>
      <c r="F4425" t="s">
        <v>83</v>
      </c>
      <c r="G4425" t="s">
        <v>84</v>
      </c>
      <c r="H4425" t="s">
        <v>92</v>
      </c>
      <c r="I4425">
        <v>1</v>
      </c>
      <c r="J4425">
        <v>1</v>
      </c>
      <c r="N4425">
        <v>1</v>
      </c>
      <c r="O4425">
        <v>0</v>
      </c>
      <c r="P4425">
        <v>0</v>
      </c>
      <c r="Q4425">
        <v>0</v>
      </c>
      <c r="R4425">
        <v>0</v>
      </c>
      <c r="S4425">
        <v>1</v>
      </c>
      <c r="T4425">
        <v>0</v>
      </c>
      <c r="W4425">
        <v>1</v>
      </c>
      <c r="X4425">
        <v>1</v>
      </c>
      <c r="Y4425">
        <v>1</v>
      </c>
      <c r="Z4425">
        <v>0</v>
      </c>
      <c r="AA4425">
        <v>0</v>
      </c>
      <c r="AB4425">
        <v>1</v>
      </c>
    </row>
    <row r="4426" spans="1:28" x14ac:dyDescent="0.25">
      <c r="A4426" t="str">
        <f>"4422"</f>
        <v>4422</v>
      </c>
      <c r="B4426" t="str">
        <f t="shared" si="253"/>
        <v>1</v>
      </c>
      <c r="C4426" t="str">
        <f t="shared" si="255"/>
        <v>193</v>
      </c>
      <c r="D4426" t="str">
        <f>"23"</f>
        <v>23</v>
      </c>
      <c r="E4426" t="str">
        <f>"1-193-23"</f>
        <v>1-193-23</v>
      </c>
      <c r="F4426" t="s">
        <v>83</v>
      </c>
      <c r="G4426" t="s">
        <v>84</v>
      </c>
      <c r="H4426" t="s">
        <v>92</v>
      </c>
      <c r="I4426">
        <v>1</v>
      </c>
      <c r="J4426">
        <v>1</v>
      </c>
      <c r="N4426">
        <v>1</v>
      </c>
      <c r="O4426">
        <v>1</v>
      </c>
      <c r="P4426">
        <v>1</v>
      </c>
      <c r="Q4426">
        <v>1</v>
      </c>
      <c r="R4426">
        <v>1</v>
      </c>
      <c r="S4426">
        <v>1</v>
      </c>
      <c r="T4426">
        <v>1</v>
      </c>
      <c r="W4426">
        <v>1</v>
      </c>
      <c r="X4426">
        <v>1</v>
      </c>
      <c r="Y4426">
        <v>1</v>
      </c>
      <c r="Z4426">
        <v>1</v>
      </c>
      <c r="AA4426">
        <v>1</v>
      </c>
      <c r="AB4426">
        <v>1</v>
      </c>
    </row>
    <row r="4427" spans="1:28" x14ac:dyDescent="0.25">
      <c r="A4427" t="str">
        <f>"4423"</f>
        <v>4423</v>
      </c>
      <c r="B4427" t="str">
        <f t="shared" si="253"/>
        <v>1</v>
      </c>
      <c r="C4427" t="str">
        <f t="shared" si="255"/>
        <v>193</v>
      </c>
      <c r="D4427" t="str">
        <f>"22"</f>
        <v>22</v>
      </c>
      <c r="E4427" t="str">
        <f>"1-193-22"</f>
        <v>1-193-22</v>
      </c>
      <c r="F4427" t="s">
        <v>83</v>
      </c>
      <c r="G4427" t="s">
        <v>84</v>
      </c>
      <c r="H4427" t="s">
        <v>92</v>
      </c>
      <c r="I4427">
        <v>1</v>
      </c>
      <c r="J4427">
        <v>1</v>
      </c>
      <c r="N4427">
        <v>1</v>
      </c>
      <c r="O4427">
        <v>1</v>
      </c>
      <c r="P4427">
        <v>1</v>
      </c>
      <c r="Q4427">
        <v>1</v>
      </c>
      <c r="R4427">
        <v>1</v>
      </c>
      <c r="S4427">
        <v>1</v>
      </c>
      <c r="T4427">
        <v>1</v>
      </c>
      <c r="W4427">
        <v>1</v>
      </c>
      <c r="X4427">
        <v>1</v>
      </c>
      <c r="Y4427">
        <v>1</v>
      </c>
      <c r="Z4427">
        <v>1</v>
      </c>
      <c r="AA4427">
        <v>1</v>
      </c>
      <c r="AB4427">
        <v>1</v>
      </c>
    </row>
    <row r="4428" spans="1:28" x14ac:dyDescent="0.25">
      <c r="A4428" t="str">
        <f>"4424"</f>
        <v>4424</v>
      </c>
      <c r="B4428" t="str">
        <f t="shared" si="253"/>
        <v>1</v>
      </c>
      <c r="C4428" t="str">
        <f t="shared" si="255"/>
        <v>193</v>
      </c>
      <c r="D4428" t="str">
        <f>"15"</f>
        <v>15</v>
      </c>
      <c r="E4428" t="str">
        <f>"1-193-15"</f>
        <v>1-193-15</v>
      </c>
      <c r="F4428" t="s">
        <v>83</v>
      </c>
      <c r="G4428" t="s">
        <v>84</v>
      </c>
      <c r="H4428" t="s">
        <v>92</v>
      </c>
      <c r="I4428">
        <v>1</v>
      </c>
      <c r="J4428">
        <v>1</v>
      </c>
      <c r="N4428">
        <v>1</v>
      </c>
      <c r="O4428">
        <v>1</v>
      </c>
      <c r="P4428">
        <v>1</v>
      </c>
      <c r="Q4428">
        <v>1</v>
      </c>
      <c r="R4428">
        <v>1</v>
      </c>
      <c r="S4428">
        <v>1</v>
      </c>
      <c r="T4428">
        <v>1</v>
      </c>
      <c r="W4428">
        <v>1</v>
      </c>
      <c r="X4428">
        <v>1</v>
      </c>
      <c r="Y4428">
        <v>1</v>
      </c>
      <c r="Z4428">
        <v>1</v>
      </c>
      <c r="AA4428">
        <v>1</v>
      </c>
      <c r="AB4428">
        <v>1</v>
      </c>
    </row>
    <row r="4429" spans="1:28" x14ac:dyDescent="0.25">
      <c r="A4429" t="str">
        <f>"4425"</f>
        <v>4425</v>
      </c>
      <c r="B4429" t="str">
        <f t="shared" si="253"/>
        <v>1</v>
      </c>
      <c r="C4429" t="str">
        <f t="shared" si="255"/>
        <v>193</v>
      </c>
      <c r="D4429" t="str">
        <f>"12"</f>
        <v>12</v>
      </c>
      <c r="E4429" t="str">
        <f>"1-193-12"</f>
        <v>1-193-12</v>
      </c>
      <c r="F4429" t="s">
        <v>83</v>
      </c>
      <c r="G4429" t="s">
        <v>86</v>
      </c>
      <c r="H4429" t="s">
        <v>93</v>
      </c>
      <c r="I4429">
        <v>1</v>
      </c>
      <c r="K4429">
        <v>0</v>
      </c>
      <c r="L4429">
        <v>0</v>
      </c>
      <c r="M4429">
        <v>1</v>
      </c>
      <c r="N4429">
        <v>1</v>
      </c>
      <c r="O4429">
        <v>1</v>
      </c>
      <c r="P4429">
        <v>1</v>
      </c>
      <c r="Q4429">
        <v>1</v>
      </c>
      <c r="R4429">
        <v>1</v>
      </c>
      <c r="U4429">
        <v>0</v>
      </c>
      <c r="V4429">
        <v>1</v>
      </c>
      <c r="W4429">
        <v>1</v>
      </c>
      <c r="X4429">
        <v>1</v>
      </c>
      <c r="Y4429">
        <v>1</v>
      </c>
      <c r="Z4429">
        <v>1</v>
      </c>
      <c r="AA4429">
        <v>1</v>
      </c>
      <c r="AB4429">
        <v>1</v>
      </c>
    </row>
    <row r="4430" spans="1:28" x14ac:dyDescent="0.25">
      <c r="A4430" t="str">
        <f>"4426"</f>
        <v>4426</v>
      </c>
      <c r="B4430" t="str">
        <f t="shared" si="253"/>
        <v>1</v>
      </c>
      <c r="C4430" t="str">
        <f t="shared" si="255"/>
        <v>193</v>
      </c>
      <c r="D4430" t="str">
        <f>"6"</f>
        <v>6</v>
      </c>
      <c r="E4430" t="str">
        <f>"1-193-6"</f>
        <v>1-193-6</v>
      </c>
      <c r="F4430" t="s">
        <v>83</v>
      </c>
      <c r="G4430" t="s">
        <v>84</v>
      </c>
      <c r="H4430" t="s">
        <v>92</v>
      </c>
      <c r="I4430">
        <v>1</v>
      </c>
      <c r="J4430">
        <v>1</v>
      </c>
      <c r="N4430">
        <v>1</v>
      </c>
      <c r="O4430">
        <v>1</v>
      </c>
      <c r="P4430">
        <v>1</v>
      </c>
      <c r="Q4430">
        <v>1</v>
      </c>
      <c r="R4430">
        <v>1</v>
      </c>
      <c r="S4430">
        <v>1</v>
      </c>
      <c r="T4430">
        <v>1</v>
      </c>
      <c r="W4430">
        <v>1</v>
      </c>
      <c r="X4430">
        <v>1</v>
      </c>
      <c r="Y4430">
        <v>1</v>
      </c>
      <c r="Z4430">
        <v>1</v>
      </c>
      <c r="AA4430">
        <v>1</v>
      </c>
      <c r="AB4430">
        <v>1</v>
      </c>
    </row>
    <row r="4431" spans="1:28" x14ac:dyDescent="0.25">
      <c r="A4431" t="str">
        <f>"4427"</f>
        <v>4427</v>
      </c>
      <c r="B4431" t="str">
        <f t="shared" si="253"/>
        <v>1</v>
      </c>
      <c r="C4431" t="str">
        <f t="shared" si="255"/>
        <v>193</v>
      </c>
      <c r="D4431" t="str">
        <f>"5"</f>
        <v>5</v>
      </c>
      <c r="E4431" t="str">
        <f>"1-193-5"</f>
        <v>1-193-5</v>
      </c>
      <c r="F4431" t="s">
        <v>83</v>
      </c>
      <c r="G4431" t="s">
        <v>84</v>
      </c>
      <c r="H4431" t="s">
        <v>92</v>
      </c>
      <c r="I4431">
        <v>1</v>
      </c>
      <c r="J4431">
        <v>1</v>
      </c>
      <c r="N4431">
        <v>1</v>
      </c>
      <c r="O4431">
        <v>1</v>
      </c>
      <c r="P4431">
        <v>1</v>
      </c>
      <c r="Q4431">
        <v>1</v>
      </c>
      <c r="R4431">
        <v>1</v>
      </c>
      <c r="S4431">
        <v>1</v>
      </c>
      <c r="T4431">
        <v>1</v>
      </c>
      <c r="W4431">
        <v>1</v>
      </c>
      <c r="X4431">
        <v>1</v>
      </c>
      <c r="Y4431">
        <v>1</v>
      </c>
      <c r="Z4431">
        <v>1</v>
      </c>
      <c r="AA4431">
        <v>1</v>
      </c>
      <c r="AB4431">
        <v>1</v>
      </c>
    </row>
    <row r="4432" spans="1:28" x14ac:dyDescent="0.25">
      <c r="A4432" t="str">
        <f>"4428"</f>
        <v>4428</v>
      </c>
      <c r="B4432" t="str">
        <f t="shared" si="253"/>
        <v>1</v>
      </c>
      <c r="C4432" t="str">
        <f t="shared" si="255"/>
        <v>193</v>
      </c>
      <c r="D4432" t="str">
        <f>"21"</f>
        <v>21</v>
      </c>
      <c r="E4432" t="str">
        <f>"1-193-21"</f>
        <v>1-193-21</v>
      </c>
      <c r="F4432" t="s">
        <v>83</v>
      </c>
      <c r="G4432" t="s">
        <v>84</v>
      </c>
      <c r="H4432" t="s">
        <v>92</v>
      </c>
      <c r="I4432">
        <v>1</v>
      </c>
      <c r="J4432">
        <v>1</v>
      </c>
      <c r="N4432">
        <v>1</v>
      </c>
      <c r="O4432">
        <v>1</v>
      </c>
      <c r="P4432">
        <v>1</v>
      </c>
      <c r="Q4432">
        <v>1</v>
      </c>
      <c r="R4432">
        <v>1</v>
      </c>
      <c r="S4432">
        <v>1</v>
      </c>
      <c r="T4432">
        <v>1</v>
      </c>
      <c r="W4432">
        <v>1</v>
      </c>
      <c r="X4432">
        <v>1</v>
      </c>
      <c r="Y4432">
        <v>1</v>
      </c>
      <c r="Z4432">
        <v>1</v>
      </c>
      <c r="AA4432">
        <v>1</v>
      </c>
      <c r="AB4432">
        <v>1</v>
      </c>
    </row>
    <row r="4433" spans="1:49" x14ac:dyDescent="0.25">
      <c r="A4433" t="str">
        <f>"4429"</f>
        <v>4429</v>
      </c>
      <c r="B4433" t="str">
        <f t="shared" si="253"/>
        <v>1</v>
      </c>
      <c r="C4433" t="str">
        <f t="shared" si="255"/>
        <v>193</v>
      </c>
      <c r="D4433" t="str">
        <f>"2"</f>
        <v>2</v>
      </c>
      <c r="E4433" t="str">
        <f>"1-193-2"</f>
        <v>1-193-2</v>
      </c>
      <c r="F4433" t="s">
        <v>83</v>
      </c>
      <c r="G4433" t="s">
        <v>84</v>
      </c>
      <c r="H4433" t="s">
        <v>92</v>
      </c>
      <c r="I4433">
        <v>1</v>
      </c>
      <c r="J4433">
        <v>1</v>
      </c>
      <c r="N4433">
        <v>1</v>
      </c>
      <c r="O4433">
        <v>1</v>
      </c>
      <c r="P4433">
        <v>1</v>
      </c>
      <c r="Q4433">
        <v>1</v>
      </c>
      <c r="R4433">
        <v>1</v>
      </c>
      <c r="S4433">
        <v>1</v>
      </c>
      <c r="T4433">
        <v>1</v>
      </c>
      <c r="W4433">
        <v>1</v>
      </c>
      <c r="X4433">
        <v>1</v>
      </c>
      <c r="Y4433">
        <v>1</v>
      </c>
      <c r="Z4433">
        <v>1</v>
      </c>
      <c r="AA4433">
        <v>1</v>
      </c>
      <c r="AB4433">
        <v>1</v>
      </c>
    </row>
    <row r="4434" spans="1:49" x14ac:dyDescent="0.25">
      <c r="A4434" t="str">
        <f>"4430"</f>
        <v>4430</v>
      </c>
      <c r="B4434" t="str">
        <f t="shared" si="253"/>
        <v>1</v>
      </c>
      <c r="C4434" t="str">
        <f t="shared" si="255"/>
        <v>193</v>
      </c>
      <c r="D4434" t="str">
        <f>"20"</f>
        <v>20</v>
      </c>
      <c r="E4434" t="str">
        <f>"1-193-20"</f>
        <v>1-193-20</v>
      </c>
      <c r="F4434" t="s">
        <v>83</v>
      </c>
      <c r="G4434" t="s">
        <v>84</v>
      </c>
      <c r="H4434" t="s">
        <v>92</v>
      </c>
      <c r="I4434">
        <v>1</v>
      </c>
      <c r="J4434">
        <v>1</v>
      </c>
      <c r="N4434">
        <v>1</v>
      </c>
      <c r="O4434">
        <v>1</v>
      </c>
      <c r="P4434">
        <v>0</v>
      </c>
      <c r="Q4434">
        <v>1</v>
      </c>
      <c r="R4434">
        <v>0</v>
      </c>
      <c r="S4434">
        <v>1</v>
      </c>
      <c r="T4434">
        <v>0</v>
      </c>
      <c r="W4434">
        <v>1</v>
      </c>
      <c r="X4434">
        <v>0</v>
      </c>
      <c r="Y4434">
        <v>0</v>
      </c>
      <c r="Z4434">
        <v>0</v>
      </c>
      <c r="AA4434">
        <v>0</v>
      </c>
      <c r="AB4434">
        <v>0</v>
      </c>
    </row>
    <row r="4435" spans="1:49" x14ac:dyDescent="0.25">
      <c r="A4435" t="str">
        <f>"4431"</f>
        <v>4431</v>
      </c>
      <c r="B4435" t="str">
        <f t="shared" si="253"/>
        <v>1</v>
      </c>
      <c r="C4435" t="str">
        <f t="shared" ref="C4435:C4458" si="256">"194"</f>
        <v>194</v>
      </c>
      <c r="D4435" t="str">
        <f>"24"</f>
        <v>24</v>
      </c>
      <c r="E4435" t="str">
        <f>"1-194-24"</f>
        <v>1-194-24</v>
      </c>
      <c r="F4435" t="s">
        <v>83</v>
      </c>
      <c r="G4435" t="s">
        <v>84</v>
      </c>
      <c r="H4435" t="s">
        <v>85</v>
      </c>
      <c r="AC4435">
        <v>0</v>
      </c>
      <c r="AD4435">
        <v>1</v>
      </c>
      <c r="AE4435">
        <v>0</v>
      </c>
      <c r="AF4435">
        <v>0</v>
      </c>
      <c r="AG4435">
        <v>0</v>
      </c>
      <c r="AJ4435">
        <v>0</v>
      </c>
      <c r="AK4435">
        <v>1</v>
      </c>
      <c r="AL4435">
        <v>0</v>
      </c>
      <c r="AM4435">
        <v>0</v>
      </c>
      <c r="AN4435">
        <v>1</v>
      </c>
      <c r="AO4435">
        <v>0</v>
      </c>
      <c r="AP4435">
        <v>0</v>
      </c>
      <c r="AQ4435">
        <v>0</v>
      </c>
      <c r="AR4435">
        <v>0</v>
      </c>
      <c r="AS4435">
        <v>0</v>
      </c>
      <c r="AT4435">
        <v>1</v>
      </c>
      <c r="AV4435">
        <v>0</v>
      </c>
      <c r="AW4435">
        <v>0</v>
      </c>
    </row>
    <row r="4436" spans="1:49" x14ac:dyDescent="0.25">
      <c r="A4436" t="str">
        <f>"4432"</f>
        <v>4432</v>
      </c>
      <c r="B4436" t="str">
        <f t="shared" si="253"/>
        <v>1</v>
      </c>
      <c r="C4436" t="str">
        <f t="shared" si="256"/>
        <v>194</v>
      </c>
      <c r="D4436" t="str">
        <f>"23"</f>
        <v>23</v>
      </c>
      <c r="E4436" t="str">
        <f>"1-194-23"</f>
        <v>1-194-23</v>
      </c>
      <c r="F4436" t="s">
        <v>83</v>
      </c>
      <c r="G4436" t="s">
        <v>84</v>
      </c>
      <c r="H4436" t="s">
        <v>85</v>
      </c>
      <c r="AC4436">
        <v>0</v>
      </c>
      <c r="AD4436">
        <v>1</v>
      </c>
      <c r="AE4436">
        <v>0</v>
      </c>
      <c r="AF4436">
        <v>0</v>
      </c>
      <c r="AG4436">
        <v>0</v>
      </c>
      <c r="AJ4436">
        <v>0</v>
      </c>
      <c r="AK4436">
        <v>0</v>
      </c>
      <c r="AL4436">
        <v>0</v>
      </c>
      <c r="AM4436">
        <v>0</v>
      </c>
      <c r="AN4436">
        <v>0</v>
      </c>
      <c r="AO4436">
        <v>0</v>
      </c>
      <c r="AP4436">
        <v>0</v>
      </c>
      <c r="AQ4436">
        <v>0</v>
      </c>
      <c r="AR4436">
        <v>0</v>
      </c>
      <c r="AS4436">
        <v>0</v>
      </c>
      <c r="AT4436">
        <v>0</v>
      </c>
      <c r="AV4436">
        <v>0</v>
      </c>
      <c r="AW4436">
        <v>1</v>
      </c>
    </row>
    <row r="4437" spans="1:49" x14ac:dyDescent="0.25">
      <c r="A4437" t="str">
        <f>"4433"</f>
        <v>4433</v>
      </c>
      <c r="B4437" t="str">
        <f t="shared" si="253"/>
        <v>1</v>
      </c>
      <c r="C4437" t="str">
        <f t="shared" si="256"/>
        <v>194</v>
      </c>
      <c r="D4437" t="str">
        <f>"16"</f>
        <v>16</v>
      </c>
      <c r="E4437" t="str">
        <f>"1-194-16"</f>
        <v>1-194-16</v>
      </c>
      <c r="F4437" t="s">
        <v>83</v>
      </c>
      <c r="G4437" t="s">
        <v>84</v>
      </c>
      <c r="H4437" t="s">
        <v>85</v>
      </c>
      <c r="AC4437">
        <v>0</v>
      </c>
      <c r="AD4437">
        <v>1</v>
      </c>
      <c r="AE4437">
        <v>0</v>
      </c>
      <c r="AF4437">
        <v>0</v>
      </c>
      <c r="AG4437">
        <v>0</v>
      </c>
      <c r="AJ4437">
        <v>0</v>
      </c>
      <c r="AK4437">
        <v>1</v>
      </c>
      <c r="AL4437">
        <v>0</v>
      </c>
      <c r="AM4437">
        <v>0</v>
      </c>
      <c r="AN4437">
        <v>1</v>
      </c>
      <c r="AO4437">
        <v>0</v>
      </c>
      <c r="AP4437">
        <v>0</v>
      </c>
      <c r="AQ4437">
        <v>0</v>
      </c>
      <c r="AR4437">
        <v>0</v>
      </c>
      <c r="AS4437">
        <v>0</v>
      </c>
      <c r="AT4437">
        <v>1</v>
      </c>
      <c r="AV4437">
        <v>0</v>
      </c>
      <c r="AW4437">
        <v>0</v>
      </c>
    </row>
    <row r="4438" spans="1:49" x14ac:dyDescent="0.25">
      <c r="A4438" t="str">
        <f>"4434"</f>
        <v>4434</v>
      </c>
      <c r="B4438" t="str">
        <f t="shared" si="253"/>
        <v>1</v>
      </c>
      <c r="C4438" t="str">
        <f t="shared" si="256"/>
        <v>194</v>
      </c>
      <c r="D4438" t="str">
        <f>"8"</f>
        <v>8</v>
      </c>
      <c r="E4438" t="str">
        <f>"1-194-8"</f>
        <v>1-194-8</v>
      </c>
      <c r="F4438" t="s">
        <v>83</v>
      </c>
      <c r="G4438" t="s">
        <v>84</v>
      </c>
      <c r="H4438" t="s">
        <v>85</v>
      </c>
      <c r="AC4438">
        <v>1</v>
      </c>
      <c r="AD4438">
        <v>0</v>
      </c>
      <c r="AE4438">
        <v>0</v>
      </c>
      <c r="AF4438">
        <v>0</v>
      </c>
      <c r="AG4438">
        <v>1</v>
      </c>
      <c r="AJ4438">
        <v>0</v>
      </c>
      <c r="AK4438">
        <v>1</v>
      </c>
      <c r="AL4438">
        <v>0</v>
      </c>
      <c r="AM4438">
        <v>0</v>
      </c>
      <c r="AN4438">
        <v>1</v>
      </c>
      <c r="AO4438">
        <v>1</v>
      </c>
      <c r="AP4438">
        <v>1</v>
      </c>
      <c r="AQ4438">
        <v>1</v>
      </c>
      <c r="AR4438">
        <v>1</v>
      </c>
      <c r="AS4438">
        <v>0</v>
      </c>
      <c r="AT4438">
        <v>1</v>
      </c>
      <c r="AV4438">
        <v>1</v>
      </c>
      <c r="AW4438">
        <v>1</v>
      </c>
    </row>
    <row r="4439" spans="1:49" x14ac:dyDescent="0.25">
      <c r="A4439" t="str">
        <f>"4435"</f>
        <v>4435</v>
      </c>
      <c r="B4439" t="str">
        <f t="shared" si="253"/>
        <v>1</v>
      </c>
      <c r="C4439" t="str">
        <f t="shared" si="256"/>
        <v>194</v>
      </c>
      <c r="D4439" t="str">
        <f>"5"</f>
        <v>5</v>
      </c>
      <c r="E4439" t="str">
        <f>"1-194-5"</f>
        <v>1-194-5</v>
      </c>
      <c r="F4439" t="s">
        <v>83</v>
      </c>
      <c r="G4439" t="s">
        <v>84</v>
      </c>
      <c r="H4439" t="s">
        <v>92</v>
      </c>
      <c r="I4439">
        <v>1</v>
      </c>
      <c r="J4439">
        <v>1</v>
      </c>
      <c r="N4439">
        <v>1</v>
      </c>
      <c r="O4439">
        <v>1</v>
      </c>
      <c r="P4439">
        <v>1</v>
      </c>
      <c r="Q4439">
        <v>1</v>
      </c>
      <c r="R4439">
        <v>1</v>
      </c>
      <c r="S4439">
        <v>1</v>
      </c>
      <c r="T4439">
        <v>1</v>
      </c>
      <c r="W4439">
        <v>1</v>
      </c>
      <c r="X4439">
        <v>1</v>
      </c>
      <c r="Y4439">
        <v>1</v>
      </c>
      <c r="Z4439">
        <v>1</v>
      </c>
      <c r="AA4439">
        <v>1</v>
      </c>
      <c r="AB4439">
        <v>1</v>
      </c>
    </row>
    <row r="4440" spans="1:49" x14ac:dyDescent="0.25">
      <c r="A4440" t="str">
        <f>"4436"</f>
        <v>4436</v>
      </c>
      <c r="B4440" t="str">
        <f t="shared" si="253"/>
        <v>1</v>
      </c>
      <c r="C4440" t="str">
        <f t="shared" si="256"/>
        <v>194</v>
      </c>
      <c r="D4440" t="str">
        <f>"22"</f>
        <v>22</v>
      </c>
      <c r="E4440" t="str">
        <f>"1-194-22"</f>
        <v>1-194-22</v>
      </c>
      <c r="F4440" t="s">
        <v>83</v>
      </c>
      <c r="G4440" t="s">
        <v>84</v>
      </c>
      <c r="H4440" t="s">
        <v>92</v>
      </c>
      <c r="I4440">
        <v>1</v>
      </c>
      <c r="J4440">
        <v>1</v>
      </c>
      <c r="N4440">
        <v>1</v>
      </c>
      <c r="O4440">
        <v>1</v>
      </c>
      <c r="P4440">
        <v>1</v>
      </c>
      <c r="Q4440">
        <v>1</v>
      </c>
      <c r="R4440">
        <v>1</v>
      </c>
      <c r="S4440">
        <v>1</v>
      </c>
      <c r="T4440">
        <v>1</v>
      </c>
      <c r="W4440">
        <v>1</v>
      </c>
      <c r="X4440">
        <v>1</v>
      </c>
      <c r="Y4440">
        <v>1</v>
      </c>
      <c r="Z4440">
        <v>1</v>
      </c>
      <c r="AA4440">
        <v>1</v>
      </c>
      <c r="AB4440">
        <v>1</v>
      </c>
    </row>
    <row r="4441" spans="1:49" x14ac:dyDescent="0.25">
      <c r="A4441" t="str">
        <f>"4437"</f>
        <v>4437</v>
      </c>
      <c r="B4441" t="str">
        <f t="shared" si="253"/>
        <v>1</v>
      </c>
      <c r="C4441" t="str">
        <f t="shared" si="256"/>
        <v>194</v>
      </c>
      <c r="D4441" t="str">
        <f>"21"</f>
        <v>21</v>
      </c>
      <c r="E4441" t="str">
        <f>"1-194-21"</f>
        <v>1-194-21</v>
      </c>
      <c r="F4441" t="s">
        <v>83</v>
      </c>
      <c r="G4441" t="s">
        <v>84</v>
      </c>
      <c r="H4441" t="s">
        <v>85</v>
      </c>
      <c r="AC4441">
        <v>1</v>
      </c>
      <c r="AD4441">
        <v>0</v>
      </c>
      <c r="AE4441">
        <v>0</v>
      </c>
      <c r="AF4441">
        <v>0</v>
      </c>
      <c r="AG4441">
        <v>0</v>
      </c>
      <c r="AJ4441">
        <v>1</v>
      </c>
      <c r="AK4441">
        <v>0</v>
      </c>
      <c r="AL4441">
        <v>1</v>
      </c>
      <c r="AM4441">
        <v>0</v>
      </c>
      <c r="AN4441">
        <v>0</v>
      </c>
      <c r="AO4441">
        <v>0</v>
      </c>
      <c r="AP4441">
        <v>0</v>
      </c>
      <c r="AQ4441">
        <v>0</v>
      </c>
      <c r="AR4441">
        <v>0</v>
      </c>
      <c r="AS4441">
        <v>0</v>
      </c>
      <c r="AT4441">
        <v>1</v>
      </c>
      <c r="AV4441">
        <v>0</v>
      </c>
      <c r="AW4441">
        <v>0</v>
      </c>
    </row>
    <row r="4442" spans="1:49" x14ac:dyDescent="0.25">
      <c r="A4442" t="str">
        <f>"4438"</f>
        <v>4438</v>
      </c>
      <c r="B4442" t="str">
        <f t="shared" si="253"/>
        <v>1</v>
      </c>
      <c r="C4442" t="str">
        <f t="shared" si="256"/>
        <v>194</v>
      </c>
      <c r="D4442" t="str">
        <f>"15"</f>
        <v>15</v>
      </c>
      <c r="E4442" t="str">
        <f>"1-194-15"</f>
        <v>1-194-15</v>
      </c>
      <c r="F4442" t="s">
        <v>83</v>
      </c>
      <c r="G4442" t="s">
        <v>84</v>
      </c>
      <c r="H4442" t="s">
        <v>92</v>
      </c>
      <c r="I4442">
        <v>1</v>
      </c>
      <c r="J4442">
        <v>1</v>
      </c>
      <c r="N4442">
        <v>1</v>
      </c>
      <c r="O4442">
        <v>1</v>
      </c>
      <c r="P4442">
        <v>1</v>
      </c>
      <c r="Q4442">
        <v>1</v>
      </c>
      <c r="R4442">
        <v>1</v>
      </c>
      <c r="S4442">
        <v>1</v>
      </c>
      <c r="T4442">
        <v>1</v>
      </c>
      <c r="W4442">
        <v>1</v>
      </c>
      <c r="X4442">
        <v>1</v>
      </c>
      <c r="Y4442">
        <v>1</v>
      </c>
      <c r="Z4442">
        <v>1</v>
      </c>
      <c r="AA4442">
        <v>1</v>
      </c>
      <c r="AB4442">
        <v>1</v>
      </c>
    </row>
    <row r="4443" spans="1:49" x14ac:dyDescent="0.25">
      <c r="A4443" t="str">
        <f>"4439"</f>
        <v>4439</v>
      </c>
      <c r="B4443" t="str">
        <f t="shared" si="253"/>
        <v>1</v>
      </c>
      <c r="C4443" t="str">
        <f t="shared" si="256"/>
        <v>194</v>
      </c>
      <c r="D4443" t="str">
        <f>"9"</f>
        <v>9</v>
      </c>
      <c r="E4443" t="str">
        <f>"1-194-9"</f>
        <v>1-194-9</v>
      </c>
      <c r="F4443" t="s">
        <v>83</v>
      </c>
      <c r="G4443" t="s">
        <v>84</v>
      </c>
      <c r="H4443" t="s">
        <v>92</v>
      </c>
      <c r="I4443">
        <v>1</v>
      </c>
      <c r="J4443">
        <v>1</v>
      </c>
      <c r="N4443">
        <v>1</v>
      </c>
      <c r="O4443">
        <v>1</v>
      </c>
      <c r="P4443">
        <v>1</v>
      </c>
      <c r="Q4443">
        <v>1</v>
      </c>
      <c r="R4443">
        <v>1</v>
      </c>
      <c r="S4443">
        <v>1</v>
      </c>
      <c r="T4443">
        <v>1</v>
      </c>
      <c r="W4443">
        <v>1</v>
      </c>
      <c r="X4443">
        <v>1</v>
      </c>
      <c r="Y4443">
        <v>1</v>
      </c>
      <c r="Z4443">
        <v>1</v>
      </c>
      <c r="AA4443">
        <v>1</v>
      </c>
      <c r="AB4443">
        <v>1</v>
      </c>
    </row>
    <row r="4444" spans="1:49" x14ac:dyDescent="0.25">
      <c r="A4444" t="str">
        <f>"4440"</f>
        <v>4440</v>
      </c>
      <c r="B4444" t="str">
        <f t="shared" si="253"/>
        <v>1</v>
      </c>
      <c r="C4444" t="str">
        <f t="shared" si="256"/>
        <v>194</v>
      </c>
      <c r="D4444" t="str">
        <f>"1"</f>
        <v>1</v>
      </c>
      <c r="E4444" t="str">
        <f>"1-194-1"</f>
        <v>1-194-1</v>
      </c>
      <c r="F4444" t="s">
        <v>83</v>
      </c>
      <c r="G4444" t="s">
        <v>84</v>
      </c>
      <c r="H4444" t="s">
        <v>85</v>
      </c>
      <c r="AC4444">
        <v>0</v>
      </c>
      <c r="AD4444">
        <v>1</v>
      </c>
      <c r="AE4444">
        <v>0</v>
      </c>
      <c r="AF4444">
        <v>0</v>
      </c>
      <c r="AG4444">
        <v>0</v>
      </c>
      <c r="AJ4444">
        <v>0</v>
      </c>
      <c r="AK4444">
        <v>1</v>
      </c>
      <c r="AL4444">
        <v>0</v>
      </c>
      <c r="AM4444">
        <v>0</v>
      </c>
      <c r="AN4444">
        <v>1</v>
      </c>
      <c r="AO4444">
        <v>0</v>
      </c>
      <c r="AP4444">
        <v>0</v>
      </c>
      <c r="AQ4444">
        <v>0</v>
      </c>
      <c r="AR4444">
        <v>0</v>
      </c>
      <c r="AS4444">
        <v>0</v>
      </c>
      <c r="AT4444">
        <v>1</v>
      </c>
      <c r="AV4444">
        <v>0</v>
      </c>
      <c r="AW4444">
        <v>0</v>
      </c>
    </row>
    <row r="4445" spans="1:49" x14ac:dyDescent="0.25">
      <c r="A4445" t="str">
        <f>"4441"</f>
        <v>4441</v>
      </c>
      <c r="B4445" t="str">
        <f t="shared" si="253"/>
        <v>1</v>
      </c>
      <c r="C4445" t="str">
        <f t="shared" si="256"/>
        <v>194</v>
      </c>
      <c r="D4445" t="str">
        <f>"17"</f>
        <v>17</v>
      </c>
      <c r="E4445" t="str">
        <f>"1-194-17"</f>
        <v>1-194-17</v>
      </c>
      <c r="F4445" t="s">
        <v>83</v>
      </c>
      <c r="G4445" t="s">
        <v>84</v>
      </c>
      <c r="H4445" t="s">
        <v>85</v>
      </c>
      <c r="AC4445">
        <v>0</v>
      </c>
      <c r="AD4445">
        <v>1</v>
      </c>
      <c r="AE4445">
        <v>0</v>
      </c>
      <c r="AF4445">
        <v>0</v>
      </c>
      <c r="AG4445">
        <v>0</v>
      </c>
      <c r="AJ4445">
        <v>0</v>
      </c>
      <c r="AK4445">
        <v>1</v>
      </c>
      <c r="AL4445">
        <v>0</v>
      </c>
      <c r="AM4445">
        <v>0</v>
      </c>
      <c r="AN4445">
        <v>1</v>
      </c>
      <c r="AO4445">
        <v>0</v>
      </c>
      <c r="AP4445">
        <v>0</v>
      </c>
      <c r="AQ4445">
        <v>1</v>
      </c>
      <c r="AR4445">
        <v>0</v>
      </c>
      <c r="AS4445">
        <v>1</v>
      </c>
      <c r="AT4445">
        <v>0</v>
      </c>
      <c r="AV4445">
        <v>0</v>
      </c>
      <c r="AW4445">
        <v>1</v>
      </c>
    </row>
    <row r="4446" spans="1:49" x14ac:dyDescent="0.25">
      <c r="A4446" t="str">
        <f>"4442"</f>
        <v>4442</v>
      </c>
      <c r="B4446" t="str">
        <f t="shared" ref="B4446:B4509" si="257">"1"</f>
        <v>1</v>
      </c>
      <c r="C4446" t="str">
        <f t="shared" si="256"/>
        <v>194</v>
      </c>
      <c r="D4446" t="str">
        <f>"10"</f>
        <v>10</v>
      </c>
      <c r="E4446" t="str">
        <f>"1-194-10"</f>
        <v>1-194-10</v>
      </c>
      <c r="F4446" t="s">
        <v>83</v>
      </c>
      <c r="G4446" t="s">
        <v>84</v>
      </c>
      <c r="H4446" t="s">
        <v>92</v>
      </c>
      <c r="I4446">
        <v>1</v>
      </c>
      <c r="J4446">
        <v>1</v>
      </c>
      <c r="N4446">
        <v>1</v>
      </c>
      <c r="O4446">
        <v>1</v>
      </c>
      <c r="P4446">
        <v>1</v>
      </c>
      <c r="Q4446">
        <v>1</v>
      </c>
      <c r="R4446">
        <v>1</v>
      </c>
      <c r="S4446">
        <v>1</v>
      </c>
      <c r="T4446">
        <v>1</v>
      </c>
      <c r="W4446">
        <v>1</v>
      </c>
      <c r="X4446">
        <v>1</v>
      </c>
      <c r="Y4446">
        <v>1</v>
      </c>
      <c r="Z4446">
        <v>1</v>
      </c>
      <c r="AA4446">
        <v>1</v>
      </c>
      <c r="AB4446">
        <v>1</v>
      </c>
    </row>
    <row r="4447" spans="1:49" x14ac:dyDescent="0.25">
      <c r="A4447" t="str">
        <f>"4443"</f>
        <v>4443</v>
      </c>
      <c r="B4447" t="str">
        <f t="shared" si="257"/>
        <v>1</v>
      </c>
      <c r="C4447" t="str">
        <f t="shared" si="256"/>
        <v>194</v>
      </c>
      <c r="D4447" t="str">
        <f>"4"</f>
        <v>4</v>
      </c>
      <c r="E4447" t="str">
        <f>"1-194-4"</f>
        <v>1-194-4</v>
      </c>
      <c r="F4447" t="s">
        <v>83</v>
      </c>
      <c r="G4447" t="s">
        <v>84</v>
      </c>
      <c r="H4447" t="s">
        <v>85</v>
      </c>
      <c r="AC4447">
        <v>0</v>
      </c>
      <c r="AD4447">
        <v>1</v>
      </c>
      <c r="AE4447">
        <v>0</v>
      </c>
      <c r="AF4447">
        <v>0</v>
      </c>
      <c r="AG4447">
        <v>0</v>
      </c>
      <c r="AJ4447">
        <v>0</v>
      </c>
      <c r="AK4447">
        <v>1</v>
      </c>
      <c r="AL4447">
        <v>0</v>
      </c>
      <c r="AM4447">
        <v>0</v>
      </c>
      <c r="AN4447">
        <v>1</v>
      </c>
      <c r="AO4447">
        <v>0</v>
      </c>
      <c r="AP4447">
        <v>0</v>
      </c>
      <c r="AQ4447">
        <v>0</v>
      </c>
      <c r="AR4447">
        <v>0</v>
      </c>
      <c r="AS4447">
        <v>0</v>
      </c>
      <c r="AT4447">
        <v>0</v>
      </c>
      <c r="AV4447">
        <v>0</v>
      </c>
      <c r="AW4447">
        <v>0</v>
      </c>
    </row>
    <row r="4448" spans="1:49" x14ac:dyDescent="0.25">
      <c r="A4448" t="str">
        <f>"4444"</f>
        <v>4444</v>
      </c>
      <c r="B4448" t="str">
        <f t="shared" si="257"/>
        <v>1</v>
      </c>
      <c r="C4448" t="str">
        <f t="shared" si="256"/>
        <v>194</v>
      </c>
      <c r="D4448" t="str">
        <f>"18"</f>
        <v>18</v>
      </c>
      <c r="E4448" t="str">
        <f>"1-194-18"</f>
        <v>1-194-18</v>
      </c>
      <c r="F4448" t="s">
        <v>83</v>
      </c>
      <c r="G4448" t="s">
        <v>84</v>
      </c>
      <c r="H4448" t="s">
        <v>85</v>
      </c>
      <c r="AC4448">
        <v>0</v>
      </c>
      <c r="AD4448">
        <v>1</v>
      </c>
      <c r="AE4448">
        <v>0</v>
      </c>
      <c r="AF4448">
        <v>0</v>
      </c>
      <c r="AG4448">
        <v>1</v>
      </c>
      <c r="AJ4448">
        <v>0</v>
      </c>
      <c r="AK4448">
        <v>1</v>
      </c>
      <c r="AL4448">
        <v>0</v>
      </c>
      <c r="AM4448">
        <v>0</v>
      </c>
      <c r="AN4448">
        <v>1</v>
      </c>
      <c r="AO4448">
        <v>1</v>
      </c>
      <c r="AP4448">
        <v>1</v>
      </c>
      <c r="AQ4448">
        <v>1</v>
      </c>
      <c r="AR4448">
        <v>1</v>
      </c>
      <c r="AS4448">
        <v>0</v>
      </c>
      <c r="AT4448">
        <v>1</v>
      </c>
      <c r="AV4448">
        <v>1</v>
      </c>
      <c r="AW4448">
        <v>1</v>
      </c>
    </row>
    <row r="4449" spans="1:49" x14ac:dyDescent="0.25">
      <c r="A4449" t="str">
        <f>"4445"</f>
        <v>4445</v>
      </c>
      <c r="B4449" t="str">
        <f t="shared" si="257"/>
        <v>1</v>
      </c>
      <c r="C4449" t="str">
        <f t="shared" si="256"/>
        <v>194</v>
      </c>
      <c r="D4449" t="str">
        <f>"11"</f>
        <v>11</v>
      </c>
      <c r="E4449" t="str">
        <f>"1-194-11"</f>
        <v>1-194-11</v>
      </c>
      <c r="F4449" t="s">
        <v>83</v>
      </c>
      <c r="G4449" t="s">
        <v>84</v>
      </c>
      <c r="H4449" t="s">
        <v>92</v>
      </c>
      <c r="I4449">
        <v>1</v>
      </c>
      <c r="J4449">
        <v>1</v>
      </c>
      <c r="N4449">
        <v>1</v>
      </c>
      <c r="O4449">
        <v>1</v>
      </c>
      <c r="P4449">
        <v>1</v>
      </c>
      <c r="Q4449">
        <v>1</v>
      </c>
      <c r="R4449">
        <v>1</v>
      </c>
      <c r="S4449">
        <v>1</v>
      </c>
      <c r="T4449">
        <v>1</v>
      </c>
      <c r="W4449">
        <v>1</v>
      </c>
      <c r="X4449">
        <v>1</v>
      </c>
      <c r="Y4449">
        <v>1</v>
      </c>
      <c r="Z4449">
        <v>1</v>
      </c>
      <c r="AA4449">
        <v>1</v>
      </c>
      <c r="AB4449">
        <v>1</v>
      </c>
    </row>
    <row r="4450" spans="1:49" x14ac:dyDescent="0.25">
      <c r="A4450" t="str">
        <f>"4446"</f>
        <v>4446</v>
      </c>
      <c r="B4450" t="str">
        <f t="shared" si="257"/>
        <v>1</v>
      </c>
      <c r="C4450" t="str">
        <f t="shared" si="256"/>
        <v>194</v>
      </c>
      <c r="D4450" t="str">
        <f>"7"</f>
        <v>7</v>
      </c>
      <c r="E4450" t="str">
        <f>"1-194-7"</f>
        <v>1-194-7</v>
      </c>
      <c r="F4450" t="s">
        <v>83</v>
      </c>
      <c r="G4450" t="s">
        <v>84</v>
      </c>
      <c r="H4450" t="s">
        <v>85</v>
      </c>
      <c r="AC4450">
        <v>1</v>
      </c>
      <c r="AD4450">
        <v>0</v>
      </c>
      <c r="AE4450">
        <v>0</v>
      </c>
      <c r="AF4450">
        <v>0</v>
      </c>
      <c r="AG4450">
        <v>0</v>
      </c>
      <c r="AJ4450">
        <v>1</v>
      </c>
      <c r="AK4450">
        <v>0</v>
      </c>
      <c r="AL4450">
        <v>1</v>
      </c>
      <c r="AM4450">
        <v>0</v>
      </c>
      <c r="AN4450">
        <v>0</v>
      </c>
      <c r="AO4450">
        <v>0</v>
      </c>
      <c r="AP4450">
        <v>0</v>
      </c>
      <c r="AQ4450">
        <v>0</v>
      </c>
      <c r="AR4450">
        <v>0</v>
      </c>
      <c r="AS4450">
        <v>0</v>
      </c>
      <c r="AT4450">
        <v>1</v>
      </c>
      <c r="AV4450">
        <v>0</v>
      </c>
      <c r="AW4450">
        <v>0</v>
      </c>
    </row>
    <row r="4451" spans="1:49" x14ac:dyDescent="0.25">
      <c r="A4451" t="str">
        <f>"4447"</f>
        <v>4447</v>
      </c>
      <c r="B4451" t="str">
        <f t="shared" si="257"/>
        <v>1</v>
      </c>
      <c r="C4451" t="str">
        <f t="shared" si="256"/>
        <v>194</v>
      </c>
      <c r="D4451" t="str">
        <f>"19"</f>
        <v>19</v>
      </c>
      <c r="E4451" t="str">
        <f>"1-194-19"</f>
        <v>1-194-19</v>
      </c>
      <c r="F4451" t="s">
        <v>83</v>
      </c>
      <c r="G4451" t="s">
        <v>84</v>
      </c>
      <c r="H4451" t="s">
        <v>85</v>
      </c>
      <c r="AC4451">
        <v>0</v>
      </c>
      <c r="AD4451">
        <v>1</v>
      </c>
      <c r="AE4451">
        <v>0</v>
      </c>
      <c r="AF4451">
        <v>0</v>
      </c>
      <c r="AG4451">
        <v>0</v>
      </c>
      <c r="AJ4451">
        <v>0</v>
      </c>
      <c r="AK4451">
        <v>1</v>
      </c>
      <c r="AL4451">
        <v>0</v>
      </c>
      <c r="AM4451">
        <v>0</v>
      </c>
      <c r="AN4451">
        <v>1</v>
      </c>
      <c r="AO4451">
        <v>0</v>
      </c>
      <c r="AP4451">
        <v>0</v>
      </c>
      <c r="AQ4451">
        <v>0</v>
      </c>
      <c r="AR4451">
        <v>0</v>
      </c>
      <c r="AS4451">
        <v>1</v>
      </c>
      <c r="AT4451">
        <v>0</v>
      </c>
      <c r="AV4451">
        <v>0</v>
      </c>
      <c r="AW4451">
        <v>0</v>
      </c>
    </row>
    <row r="4452" spans="1:49" x14ac:dyDescent="0.25">
      <c r="A4452" t="str">
        <f>"4448"</f>
        <v>4448</v>
      </c>
      <c r="B4452" t="str">
        <f t="shared" si="257"/>
        <v>1</v>
      </c>
      <c r="C4452" t="str">
        <f t="shared" si="256"/>
        <v>194</v>
      </c>
      <c r="D4452" t="str">
        <f>"12"</f>
        <v>12</v>
      </c>
      <c r="E4452" t="str">
        <f>"1-194-12"</f>
        <v>1-194-12</v>
      </c>
      <c r="F4452" t="s">
        <v>83</v>
      </c>
      <c r="G4452" t="s">
        <v>84</v>
      </c>
      <c r="H4452" t="s">
        <v>85</v>
      </c>
      <c r="AC4452">
        <v>0</v>
      </c>
      <c r="AD4452">
        <v>1</v>
      </c>
      <c r="AE4452">
        <v>0</v>
      </c>
      <c r="AF4452">
        <v>0</v>
      </c>
      <c r="AG4452">
        <v>0</v>
      </c>
      <c r="AJ4452">
        <v>0</v>
      </c>
      <c r="AK4452">
        <v>1</v>
      </c>
      <c r="AL4452">
        <v>0</v>
      </c>
      <c r="AM4452">
        <v>0</v>
      </c>
      <c r="AN4452">
        <v>1</v>
      </c>
      <c r="AO4452">
        <v>0</v>
      </c>
      <c r="AP4452">
        <v>0</v>
      </c>
      <c r="AQ4452">
        <v>0</v>
      </c>
      <c r="AR4452">
        <v>0</v>
      </c>
      <c r="AS4452">
        <v>0</v>
      </c>
      <c r="AT4452">
        <v>1</v>
      </c>
      <c r="AV4452">
        <v>0</v>
      </c>
      <c r="AW4452">
        <v>0</v>
      </c>
    </row>
    <row r="4453" spans="1:49" x14ac:dyDescent="0.25">
      <c r="A4453" t="str">
        <f>"4449"</f>
        <v>4449</v>
      </c>
      <c r="B4453" t="str">
        <f t="shared" si="257"/>
        <v>1</v>
      </c>
      <c r="C4453" t="str">
        <f t="shared" si="256"/>
        <v>194</v>
      </c>
      <c r="D4453" t="str">
        <f>"2"</f>
        <v>2</v>
      </c>
      <c r="E4453" t="str">
        <f>"1-194-2"</f>
        <v>1-194-2</v>
      </c>
      <c r="F4453" t="s">
        <v>83</v>
      </c>
      <c r="G4453" t="s">
        <v>84</v>
      </c>
      <c r="H4453" t="s">
        <v>92</v>
      </c>
      <c r="I4453">
        <v>1</v>
      </c>
      <c r="J4453">
        <v>0</v>
      </c>
      <c r="N4453">
        <v>1</v>
      </c>
      <c r="O4453">
        <v>0</v>
      </c>
      <c r="P4453">
        <v>0</v>
      </c>
      <c r="Q4453">
        <v>0</v>
      </c>
      <c r="R4453">
        <v>1</v>
      </c>
      <c r="S4453">
        <v>0</v>
      </c>
      <c r="T4453">
        <v>1</v>
      </c>
      <c r="W4453">
        <v>0</v>
      </c>
      <c r="X4453">
        <v>1</v>
      </c>
      <c r="Y4453">
        <v>1</v>
      </c>
      <c r="Z4453">
        <v>0</v>
      </c>
      <c r="AA4453">
        <v>0</v>
      </c>
      <c r="AB4453">
        <v>1</v>
      </c>
    </row>
    <row r="4454" spans="1:49" x14ac:dyDescent="0.25">
      <c r="A4454" t="str">
        <f>"4450"</f>
        <v>4450</v>
      </c>
      <c r="B4454" t="str">
        <f t="shared" si="257"/>
        <v>1</v>
      </c>
      <c r="C4454" t="str">
        <f t="shared" si="256"/>
        <v>194</v>
      </c>
      <c r="D4454" t="str">
        <f>"6"</f>
        <v>6</v>
      </c>
      <c r="E4454" t="str">
        <f>"1-194-6"</f>
        <v>1-194-6</v>
      </c>
      <c r="F4454" t="s">
        <v>83</v>
      </c>
      <c r="G4454" t="s">
        <v>84</v>
      </c>
      <c r="H4454" t="s">
        <v>92</v>
      </c>
      <c r="I4454">
        <v>1</v>
      </c>
      <c r="J4454">
        <v>1</v>
      </c>
      <c r="N4454">
        <v>1</v>
      </c>
      <c r="O4454">
        <v>1</v>
      </c>
      <c r="P4454">
        <v>1</v>
      </c>
      <c r="Q4454">
        <v>1</v>
      </c>
      <c r="R4454">
        <v>1</v>
      </c>
      <c r="S4454">
        <v>1</v>
      </c>
      <c r="T4454">
        <v>1</v>
      </c>
      <c r="W4454">
        <v>1</v>
      </c>
      <c r="X4454">
        <v>1</v>
      </c>
      <c r="Y4454">
        <v>1</v>
      </c>
      <c r="Z4454">
        <v>1</v>
      </c>
      <c r="AA4454">
        <v>1</v>
      </c>
      <c r="AB4454">
        <v>1</v>
      </c>
    </row>
    <row r="4455" spans="1:49" x14ac:dyDescent="0.25">
      <c r="A4455" t="str">
        <f>"4451"</f>
        <v>4451</v>
      </c>
      <c r="B4455" t="str">
        <f t="shared" si="257"/>
        <v>1</v>
      </c>
      <c r="C4455" t="str">
        <f t="shared" si="256"/>
        <v>194</v>
      </c>
      <c r="D4455" t="str">
        <f>"20"</f>
        <v>20</v>
      </c>
      <c r="E4455" t="str">
        <f>"1-194-20"</f>
        <v>1-194-20</v>
      </c>
      <c r="F4455" t="s">
        <v>83</v>
      </c>
      <c r="G4455" t="s">
        <v>84</v>
      </c>
      <c r="H4455" t="s">
        <v>92</v>
      </c>
      <c r="I4455">
        <v>1</v>
      </c>
      <c r="J4455">
        <v>1</v>
      </c>
      <c r="N4455">
        <v>1</v>
      </c>
      <c r="O4455">
        <v>1</v>
      </c>
      <c r="P4455">
        <v>1</v>
      </c>
      <c r="Q4455">
        <v>1</v>
      </c>
      <c r="R4455">
        <v>1</v>
      </c>
      <c r="S4455">
        <v>1</v>
      </c>
      <c r="T4455">
        <v>1</v>
      </c>
      <c r="W4455">
        <v>1</v>
      </c>
      <c r="X4455">
        <v>1</v>
      </c>
      <c r="Y4455">
        <v>1</v>
      </c>
      <c r="Z4455">
        <v>1</v>
      </c>
      <c r="AA4455">
        <v>1</v>
      </c>
      <c r="AB4455">
        <v>1</v>
      </c>
    </row>
    <row r="4456" spans="1:49" x14ac:dyDescent="0.25">
      <c r="A4456" t="str">
        <f>"4452"</f>
        <v>4452</v>
      </c>
      <c r="B4456" t="str">
        <f t="shared" si="257"/>
        <v>1</v>
      </c>
      <c r="C4456" t="str">
        <f t="shared" si="256"/>
        <v>194</v>
      </c>
      <c r="D4456" t="str">
        <f>"14"</f>
        <v>14</v>
      </c>
      <c r="E4456" t="str">
        <f>"1-194-14"</f>
        <v>1-194-14</v>
      </c>
      <c r="F4456" t="s">
        <v>83</v>
      </c>
      <c r="G4456" t="s">
        <v>84</v>
      </c>
      <c r="H4456" t="s">
        <v>92</v>
      </c>
      <c r="I4456">
        <v>1</v>
      </c>
      <c r="J4456">
        <v>1</v>
      </c>
      <c r="N4456">
        <v>1</v>
      </c>
      <c r="O4456">
        <v>1</v>
      </c>
      <c r="P4456">
        <v>1</v>
      </c>
      <c r="Q4456">
        <v>1</v>
      </c>
      <c r="R4456">
        <v>1</v>
      </c>
      <c r="S4456">
        <v>1</v>
      </c>
      <c r="T4456">
        <v>1</v>
      </c>
      <c r="W4456">
        <v>1</v>
      </c>
      <c r="X4456">
        <v>1</v>
      </c>
      <c r="Y4456">
        <v>1</v>
      </c>
      <c r="Z4456">
        <v>1</v>
      </c>
      <c r="AA4456">
        <v>1</v>
      </c>
      <c r="AB4456">
        <v>1</v>
      </c>
    </row>
    <row r="4457" spans="1:49" x14ac:dyDescent="0.25">
      <c r="A4457" t="str">
        <f>"4453"</f>
        <v>4453</v>
      </c>
      <c r="B4457" t="str">
        <f t="shared" si="257"/>
        <v>1</v>
      </c>
      <c r="C4457" t="str">
        <f t="shared" si="256"/>
        <v>194</v>
      </c>
      <c r="D4457" t="str">
        <f>"3"</f>
        <v>3</v>
      </c>
      <c r="E4457" t="str">
        <f>"1-194-3"</f>
        <v>1-194-3</v>
      </c>
      <c r="F4457" t="s">
        <v>83</v>
      </c>
      <c r="G4457" t="s">
        <v>84</v>
      </c>
      <c r="H4457" t="s">
        <v>85</v>
      </c>
      <c r="AC4457">
        <v>0</v>
      </c>
      <c r="AD4457">
        <v>1</v>
      </c>
      <c r="AE4457">
        <v>0</v>
      </c>
      <c r="AF4457">
        <v>0</v>
      </c>
      <c r="AG4457">
        <v>0</v>
      </c>
      <c r="AJ4457">
        <v>0</v>
      </c>
      <c r="AK4457">
        <v>1</v>
      </c>
      <c r="AL4457">
        <v>0</v>
      </c>
      <c r="AM4457">
        <v>0</v>
      </c>
      <c r="AN4457">
        <v>0</v>
      </c>
      <c r="AO4457">
        <v>0</v>
      </c>
      <c r="AP4457">
        <v>0</v>
      </c>
      <c r="AQ4457">
        <v>0</v>
      </c>
      <c r="AR4457">
        <v>0</v>
      </c>
      <c r="AS4457">
        <v>0</v>
      </c>
      <c r="AT4457">
        <v>0</v>
      </c>
      <c r="AV4457">
        <v>0</v>
      </c>
      <c r="AW4457">
        <v>1</v>
      </c>
    </row>
    <row r="4458" spans="1:49" x14ac:dyDescent="0.25">
      <c r="A4458" t="str">
        <f>"4454"</f>
        <v>4454</v>
      </c>
      <c r="B4458" t="str">
        <f t="shared" si="257"/>
        <v>1</v>
      </c>
      <c r="C4458" t="str">
        <f t="shared" si="256"/>
        <v>194</v>
      </c>
      <c r="D4458" t="str">
        <f>"13"</f>
        <v>13</v>
      </c>
      <c r="E4458" t="str">
        <f>"1-194-13"</f>
        <v>1-194-13</v>
      </c>
      <c r="F4458" t="s">
        <v>83</v>
      </c>
      <c r="G4458" t="s">
        <v>84</v>
      </c>
      <c r="H4458" t="s">
        <v>85</v>
      </c>
      <c r="AC4458">
        <v>0</v>
      </c>
      <c r="AD4458">
        <v>1</v>
      </c>
      <c r="AE4458">
        <v>0</v>
      </c>
      <c r="AF4458">
        <v>0</v>
      </c>
      <c r="AG4458">
        <v>1</v>
      </c>
      <c r="AJ4458">
        <v>0</v>
      </c>
      <c r="AK4458">
        <v>1</v>
      </c>
      <c r="AL4458">
        <v>0</v>
      </c>
      <c r="AM4458">
        <v>0</v>
      </c>
      <c r="AN4458">
        <v>1</v>
      </c>
      <c r="AO4458">
        <v>1</v>
      </c>
      <c r="AP4458">
        <v>1</v>
      </c>
      <c r="AQ4458">
        <v>1</v>
      </c>
      <c r="AR4458">
        <v>1</v>
      </c>
      <c r="AS4458">
        <v>1</v>
      </c>
      <c r="AT4458">
        <v>0</v>
      </c>
      <c r="AV4458">
        <v>1</v>
      </c>
      <c r="AW4458">
        <v>1</v>
      </c>
    </row>
    <row r="4459" spans="1:49" x14ac:dyDescent="0.25">
      <c r="A4459" t="str">
        <f>"4455"</f>
        <v>4455</v>
      </c>
      <c r="B4459" t="str">
        <f t="shared" si="257"/>
        <v>1</v>
      </c>
      <c r="C4459" t="str">
        <f t="shared" ref="C4459:C4483" si="258">"195"</f>
        <v>195</v>
      </c>
      <c r="D4459" t="str">
        <f>"19"</f>
        <v>19</v>
      </c>
      <c r="E4459" t="str">
        <f>"1-195-19"</f>
        <v>1-195-19</v>
      </c>
      <c r="F4459" t="s">
        <v>83</v>
      </c>
      <c r="G4459" t="s">
        <v>84</v>
      </c>
      <c r="H4459" t="s">
        <v>92</v>
      </c>
      <c r="I4459">
        <v>1</v>
      </c>
      <c r="J4459">
        <v>1</v>
      </c>
      <c r="N4459">
        <v>1</v>
      </c>
      <c r="O4459">
        <v>1</v>
      </c>
      <c r="P4459">
        <v>0</v>
      </c>
      <c r="Q4459">
        <v>1</v>
      </c>
      <c r="R4459">
        <v>0</v>
      </c>
      <c r="S4459">
        <v>0</v>
      </c>
      <c r="T4459">
        <v>0</v>
      </c>
      <c r="W4459">
        <v>1</v>
      </c>
      <c r="X4459">
        <v>1</v>
      </c>
      <c r="Y4459">
        <v>1</v>
      </c>
      <c r="Z4459">
        <v>0</v>
      </c>
      <c r="AA4459">
        <v>1</v>
      </c>
      <c r="AB4459">
        <v>1</v>
      </c>
    </row>
    <row r="4460" spans="1:49" x14ac:dyDescent="0.25">
      <c r="A4460" t="str">
        <f>"4456"</f>
        <v>4456</v>
      </c>
      <c r="B4460" t="str">
        <f t="shared" si="257"/>
        <v>1</v>
      </c>
      <c r="C4460" t="str">
        <f t="shared" si="258"/>
        <v>195</v>
      </c>
      <c r="D4460" t="str">
        <f>"18"</f>
        <v>18</v>
      </c>
      <c r="E4460" t="str">
        <f>"1-195-18"</f>
        <v>1-195-18</v>
      </c>
      <c r="F4460" t="s">
        <v>83</v>
      </c>
      <c r="G4460" t="s">
        <v>84</v>
      </c>
      <c r="H4460" t="s">
        <v>85</v>
      </c>
      <c r="AC4460">
        <v>0</v>
      </c>
      <c r="AD4460">
        <v>1</v>
      </c>
      <c r="AE4460">
        <v>0</v>
      </c>
      <c r="AF4460">
        <v>0</v>
      </c>
      <c r="AG4460">
        <v>0</v>
      </c>
      <c r="AJ4460">
        <v>0</v>
      </c>
      <c r="AK4460">
        <v>1</v>
      </c>
      <c r="AL4460">
        <v>0</v>
      </c>
      <c r="AM4460">
        <v>1</v>
      </c>
      <c r="AN4460">
        <v>0</v>
      </c>
      <c r="AO4460">
        <v>0</v>
      </c>
      <c r="AP4460">
        <v>0</v>
      </c>
      <c r="AQ4460">
        <v>0</v>
      </c>
      <c r="AR4460">
        <v>0</v>
      </c>
      <c r="AS4460">
        <v>0</v>
      </c>
      <c r="AT4460">
        <v>1</v>
      </c>
      <c r="AV4460">
        <v>0</v>
      </c>
      <c r="AW4460">
        <v>0</v>
      </c>
    </row>
    <row r="4461" spans="1:49" x14ac:dyDescent="0.25">
      <c r="A4461" t="str">
        <f>"4457"</f>
        <v>4457</v>
      </c>
      <c r="B4461" t="str">
        <f t="shared" si="257"/>
        <v>1</v>
      </c>
      <c r="C4461" t="str">
        <f t="shared" si="258"/>
        <v>195</v>
      </c>
      <c r="D4461" t="str">
        <f>"13"</f>
        <v>13</v>
      </c>
      <c r="E4461" t="str">
        <f>"1-195-13"</f>
        <v>1-195-13</v>
      </c>
      <c r="F4461" t="s">
        <v>83</v>
      </c>
      <c r="G4461" t="s">
        <v>86</v>
      </c>
      <c r="H4461" t="s">
        <v>87</v>
      </c>
      <c r="AC4461">
        <v>0</v>
      </c>
      <c r="AD4461">
        <v>0</v>
      </c>
      <c r="AE4461">
        <v>0</v>
      </c>
      <c r="AF4461">
        <v>0</v>
      </c>
      <c r="AH4461">
        <v>0</v>
      </c>
      <c r="AI4461">
        <v>1</v>
      </c>
      <c r="AJ4461">
        <v>0</v>
      </c>
      <c r="AK4461">
        <v>0</v>
      </c>
      <c r="AL4461">
        <v>0</v>
      </c>
      <c r="AM4461">
        <v>0</v>
      </c>
      <c r="AN4461">
        <v>0</v>
      </c>
      <c r="AO4461">
        <v>0</v>
      </c>
      <c r="AP4461">
        <v>0</v>
      </c>
      <c r="AQ4461">
        <v>0</v>
      </c>
      <c r="AU4461">
        <v>0</v>
      </c>
      <c r="AV4461">
        <v>0</v>
      </c>
      <c r="AW4461">
        <v>0</v>
      </c>
    </row>
    <row r="4462" spans="1:49" x14ac:dyDescent="0.25">
      <c r="A4462" t="str">
        <f>"4458"</f>
        <v>4458</v>
      </c>
      <c r="B4462" t="str">
        <f t="shared" si="257"/>
        <v>1</v>
      </c>
      <c r="C4462" t="str">
        <f t="shared" si="258"/>
        <v>195</v>
      </c>
      <c r="D4462" t="str">
        <f>"8"</f>
        <v>8</v>
      </c>
      <c r="E4462" t="str">
        <f>"1-195-8"</f>
        <v>1-195-8</v>
      </c>
      <c r="F4462" t="s">
        <v>83</v>
      </c>
      <c r="G4462" t="s">
        <v>86</v>
      </c>
      <c r="H4462" t="s">
        <v>87</v>
      </c>
      <c r="AC4462">
        <v>0</v>
      </c>
      <c r="AD4462">
        <v>0</v>
      </c>
      <c r="AE4462">
        <v>0</v>
      </c>
      <c r="AF4462">
        <v>0</v>
      </c>
      <c r="AH4462">
        <v>0</v>
      </c>
      <c r="AI4462">
        <v>1</v>
      </c>
      <c r="AJ4462">
        <v>0</v>
      </c>
      <c r="AK4462">
        <v>0</v>
      </c>
      <c r="AL4462">
        <v>0</v>
      </c>
      <c r="AM4462">
        <v>0</v>
      </c>
      <c r="AN4462">
        <v>0</v>
      </c>
      <c r="AO4462">
        <v>0</v>
      </c>
      <c r="AP4462">
        <v>0</v>
      </c>
      <c r="AQ4462">
        <v>0</v>
      </c>
      <c r="AU4462">
        <v>0</v>
      </c>
      <c r="AV4462">
        <v>0</v>
      </c>
      <c r="AW4462">
        <v>0</v>
      </c>
    </row>
    <row r="4463" spans="1:49" x14ac:dyDescent="0.25">
      <c r="A4463" t="str">
        <f>"4459"</f>
        <v>4459</v>
      </c>
      <c r="B4463" t="str">
        <f t="shared" si="257"/>
        <v>1</v>
      </c>
      <c r="C4463" t="str">
        <f t="shared" si="258"/>
        <v>195</v>
      </c>
      <c r="D4463" t="str">
        <f>"1"</f>
        <v>1</v>
      </c>
      <c r="E4463" t="str">
        <f>"1-195-1"</f>
        <v>1-195-1</v>
      </c>
      <c r="F4463" t="s">
        <v>83</v>
      </c>
      <c r="G4463" t="s">
        <v>86</v>
      </c>
      <c r="H4463" t="s">
        <v>87</v>
      </c>
      <c r="AC4463">
        <v>0</v>
      </c>
      <c r="AD4463">
        <v>0</v>
      </c>
      <c r="AE4463">
        <v>0</v>
      </c>
      <c r="AF4463">
        <v>0</v>
      </c>
      <c r="AH4463">
        <v>0</v>
      </c>
      <c r="AI4463">
        <v>1</v>
      </c>
      <c r="AJ4463">
        <v>0</v>
      </c>
      <c r="AK4463">
        <v>0</v>
      </c>
      <c r="AL4463">
        <v>0</v>
      </c>
      <c r="AM4463">
        <v>0</v>
      </c>
      <c r="AN4463">
        <v>0</v>
      </c>
      <c r="AO4463">
        <v>0</v>
      </c>
      <c r="AP4463">
        <v>0</v>
      </c>
      <c r="AQ4463">
        <v>0</v>
      </c>
      <c r="AU4463">
        <v>0</v>
      </c>
      <c r="AV4463">
        <v>0</v>
      </c>
      <c r="AW4463">
        <v>0</v>
      </c>
    </row>
    <row r="4464" spans="1:49" x14ac:dyDescent="0.25">
      <c r="A4464" t="str">
        <f>"4460"</f>
        <v>4460</v>
      </c>
      <c r="B4464" t="str">
        <f t="shared" si="257"/>
        <v>1</v>
      </c>
      <c r="C4464" t="str">
        <f t="shared" si="258"/>
        <v>195</v>
      </c>
      <c r="D4464" t="str">
        <f>"16"</f>
        <v>16</v>
      </c>
      <c r="E4464" t="str">
        <f>"1-195-16"</f>
        <v>1-195-16</v>
      </c>
      <c r="F4464" t="s">
        <v>83</v>
      </c>
      <c r="G4464" t="s">
        <v>84</v>
      </c>
      <c r="H4464" t="s">
        <v>92</v>
      </c>
      <c r="I4464">
        <v>0</v>
      </c>
      <c r="J4464">
        <v>1</v>
      </c>
      <c r="N4464">
        <v>1</v>
      </c>
      <c r="O4464">
        <v>1</v>
      </c>
      <c r="P4464">
        <v>1</v>
      </c>
      <c r="Q4464">
        <v>1</v>
      </c>
      <c r="R4464">
        <v>1</v>
      </c>
      <c r="S4464">
        <v>1</v>
      </c>
      <c r="T4464">
        <v>1</v>
      </c>
      <c r="W4464">
        <v>1</v>
      </c>
      <c r="X4464">
        <v>1</v>
      </c>
      <c r="Y4464">
        <v>1</v>
      </c>
      <c r="Z4464">
        <v>1</v>
      </c>
      <c r="AA4464">
        <v>1</v>
      </c>
      <c r="AB4464">
        <v>1</v>
      </c>
    </row>
    <row r="4465" spans="1:49" x14ac:dyDescent="0.25">
      <c r="A4465" t="str">
        <f>"4461"</f>
        <v>4461</v>
      </c>
      <c r="B4465" t="str">
        <f t="shared" si="257"/>
        <v>1</v>
      </c>
      <c r="C4465" t="str">
        <f t="shared" si="258"/>
        <v>195</v>
      </c>
      <c r="D4465" t="str">
        <f>"9"</f>
        <v>9</v>
      </c>
      <c r="E4465" t="str">
        <f>"1-195-9"</f>
        <v>1-195-9</v>
      </c>
      <c r="F4465" t="s">
        <v>83</v>
      </c>
      <c r="G4465" t="s">
        <v>86</v>
      </c>
      <c r="H4465" t="s">
        <v>93</v>
      </c>
      <c r="I4465">
        <v>1</v>
      </c>
      <c r="K4465">
        <v>0</v>
      </c>
      <c r="L4465">
        <v>0</v>
      </c>
      <c r="M4465">
        <v>0</v>
      </c>
      <c r="N4465">
        <v>1</v>
      </c>
      <c r="O4465">
        <v>1</v>
      </c>
      <c r="P4465">
        <v>1</v>
      </c>
      <c r="Q4465">
        <v>1</v>
      </c>
      <c r="R4465">
        <v>1</v>
      </c>
      <c r="U4465">
        <v>0</v>
      </c>
      <c r="V4465">
        <v>0</v>
      </c>
      <c r="W4465">
        <v>1</v>
      </c>
      <c r="X4465">
        <v>1</v>
      </c>
      <c r="Y4465">
        <v>1</v>
      </c>
      <c r="Z4465">
        <v>1</v>
      </c>
      <c r="AA4465">
        <v>1</v>
      </c>
      <c r="AB4465">
        <v>1</v>
      </c>
    </row>
    <row r="4466" spans="1:49" x14ac:dyDescent="0.25">
      <c r="A4466" t="str">
        <f>"4462"</f>
        <v>4462</v>
      </c>
      <c r="B4466" t="str">
        <f t="shared" si="257"/>
        <v>1</v>
      </c>
      <c r="C4466" t="str">
        <f t="shared" si="258"/>
        <v>195</v>
      </c>
      <c r="D4466" t="str">
        <f>"7"</f>
        <v>7</v>
      </c>
      <c r="E4466" t="str">
        <f>"1-195-7"</f>
        <v>1-195-7</v>
      </c>
      <c r="F4466" t="s">
        <v>83</v>
      </c>
      <c r="G4466" t="s">
        <v>86</v>
      </c>
      <c r="H4466" t="s">
        <v>87</v>
      </c>
      <c r="AC4466">
        <v>0</v>
      </c>
      <c r="AD4466">
        <v>0</v>
      </c>
      <c r="AE4466">
        <v>0</v>
      </c>
      <c r="AF4466">
        <v>0</v>
      </c>
      <c r="AH4466">
        <v>0</v>
      </c>
      <c r="AI4466">
        <v>1</v>
      </c>
      <c r="AJ4466">
        <v>0</v>
      </c>
      <c r="AK4466">
        <v>0</v>
      </c>
      <c r="AL4466">
        <v>0</v>
      </c>
      <c r="AM4466">
        <v>0</v>
      </c>
      <c r="AN4466">
        <v>0</v>
      </c>
      <c r="AO4466">
        <v>0</v>
      </c>
      <c r="AP4466">
        <v>0</v>
      </c>
      <c r="AQ4466">
        <v>0</v>
      </c>
      <c r="AU4466">
        <v>0</v>
      </c>
      <c r="AV4466">
        <v>0</v>
      </c>
      <c r="AW4466">
        <v>0</v>
      </c>
    </row>
    <row r="4467" spans="1:49" x14ac:dyDescent="0.25">
      <c r="A4467" t="str">
        <f>"4463"</f>
        <v>4463</v>
      </c>
      <c r="B4467" t="str">
        <f t="shared" si="257"/>
        <v>1</v>
      </c>
      <c r="C4467" t="str">
        <f t="shared" si="258"/>
        <v>195</v>
      </c>
      <c r="D4467" t="str">
        <f>"25"</f>
        <v>25</v>
      </c>
      <c r="E4467" t="str">
        <f>"1-195-25"</f>
        <v>1-195-25</v>
      </c>
      <c r="F4467" t="s">
        <v>83</v>
      </c>
      <c r="G4467" t="s">
        <v>84</v>
      </c>
      <c r="H4467" t="s">
        <v>85</v>
      </c>
      <c r="AC4467">
        <v>0</v>
      </c>
      <c r="AD4467">
        <v>1</v>
      </c>
      <c r="AE4467">
        <v>0</v>
      </c>
      <c r="AF4467">
        <v>0</v>
      </c>
      <c r="AG4467">
        <v>1</v>
      </c>
      <c r="AJ4467">
        <v>0</v>
      </c>
      <c r="AK4467">
        <v>1</v>
      </c>
      <c r="AL4467">
        <v>0</v>
      </c>
      <c r="AM4467">
        <v>0</v>
      </c>
      <c r="AN4467">
        <v>1</v>
      </c>
      <c r="AO4467">
        <v>1</v>
      </c>
      <c r="AP4467">
        <v>1</v>
      </c>
      <c r="AQ4467">
        <v>1</v>
      </c>
      <c r="AR4467">
        <v>1</v>
      </c>
      <c r="AS4467">
        <v>0</v>
      </c>
      <c r="AT4467">
        <v>1</v>
      </c>
      <c r="AV4467">
        <v>1</v>
      </c>
      <c r="AW4467">
        <v>1</v>
      </c>
    </row>
    <row r="4468" spans="1:49" x14ac:dyDescent="0.25">
      <c r="A4468" t="str">
        <f>"4464"</f>
        <v>4464</v>
      </c>
      <c r="B4468" t="str">
        <f t="shared" si="257"/>
        <v>1</v>
      </c>
      <c r="C4468" t="str">
        <f t="shared" si="258"/>
        <v>195</v>
      </c>
      <c r="D4468" t="str">
        <f>"24"</f>
        <v>24</v>
      </c>
      <c r="E4468" t="str">
        <f>"1-195-24"</f>
        <v>1-195-24</v>
      </c>
      <c r="F4468" t="s">
        <v>83</v>
      </c>
      <c r="G4468" t="s">
        <v>84</v>
      </c>
      <c r="H4468" t="s">
        <v>92</v>
      </c>
      <c r="I4468">
        <v>1</v>
      </c>
      <c r="J4468">
        <v>1</v>
      </c>
      <c r="N4468">
        <v>1</v>
      </c>
      <c r="O4468">
        <v>1</v>
      </c>
      <c r="P4468">
        <v>1</v>
      </c>
      <c r="Q4468">
        <v>1</v>
      </c>
      <c r="R4468">
        <v>0</v>
      </c>
      <c r="S4468">
        <v>0</v>
      </c>
      <c r="T4468">
        <v>0</v>
      </c>
      <c r="W4468">
        <v>0</v>
      </c>
      <c r="X4468">
        <v>0</v>
      </c>
      <c r="Y4468">
        <v>0</v>
      </c>
      <c r="Z4468">
        <v>0</v>
      </c>
      <c r="AA4468">
        <v>0</v>
      </c>
      <c r="AB4468">
        <v>0</v>
      </c>
    </row>
    <row r="4469" spans="1:49" x14ac:dyDescent="0.25">
      <c r="A4469" t="str">
        <f>"4465"</f>
        <v>4465</v>
      </c>
      <c r="B4469" t="str">
        <f t="shared" si="257"/>
        <v>1</v>
      </c>
      <c r="C4469" t="str">
        <f t="shared" si="258"/>
        <v>195</v>
      </c>
      <c r="D4469" t="str">
        <f>"15"</f>
        <v>15</v>
      </c>
      <c r="E4469" t="str">
        <f>"1-195-15"</f>
        <v>1-195-15</v>
      </c>
      <c r="F4469" t="s">
        <v>83</v>
      </c>
      <c r="G4469" t="s">
        <v>84</v>
      </c>
      <c r="H4469" t="s">
        <v>92</v>
      </c>
      <c r="I4469">
        <v>1</v>
      </c>
      <c r="J4469">
        <v>1</v>
      </c>
      <c r="N4469">
        <v>1</v>
      </c>
      <c r="O4469">
        <v>1</v>
      </c>
      <c r="P4469">
        <v>1</v>
      </c>
      <c r="Q4469">
        <v>1</v>
      </c>
      <c r="R4469">
        <v>1</v>
      </c>
      <c r="S4469">
        <v>1</v>
      </c>
      <c r="T4469">
        <v>1</v>
      </c>
      <c r="W4469">
        <v>1</v>
      </c>
      <c r="X4469">
        <v>1</v>
      </c>
      <c r="Y4469">
        <v>1</v>
      </c>
      <c r="Z4469">
        <v>1</v>
      </c>
      <c r="AA4469">
        <v>1</v>
      </c>
      <c r="AB4469">
        <v>1</v>
      </c>
    </row>
    <row r="4470" spans="1:49" x14ac:dyDescent="0.25">
      <c r="A4470" t="str">
        <f>"4466"</f>
        <v>4466</v>
      </c>
      <c r="B4470" t="str">
        <f t="shared" si="257"/>
        <v>1</v>
      </c>
      <c r="C4470" t="str">
        <f t="shared" si="258"/>
        <v>195</v>
      </c>
      <c r="D4470" t="str">
        <f>"10"</f>
        <v>10</v>
      </c>
      <c r="E4470" t="str">
        <f>"1-195-10"</f>
        <v>1-195-10</v>
      </c>
      <c r="F4470" t="s">
        <v>83</v>
      </c>
      <c r="G4470" t="s">
        <v>86</v>
      </c>
      <c r="H4470" t="s">
        <v>87</v>
      </c>
      <c r="AC4470">
        <v>0</v>
      </c>
      <c r="AD4470">
        <v>1</v>
      </c>
      <c r="AE4470">
        <v>0</v>
      </c>
      <c r="AF4470">
        <v>0</v>
      </c>
      <c r="AH4470">
        <v>0</v>
      </c>
      <c r="AI4470">
        <v>1</v>
      </c>
      <c r="AJ4470">
        <v>0</v>
      </c>
      <c r="AK4470">
        <v>1</v>
      </c>
      <c r="AL4470">
        <v>0</v>
      </c>
      <c r="AM4470">
        <v>0</v>
      </c>
      <c r="AN4470">
        <v>1</v>
      </c>
      <c r="AO4470">
        <v>0</v>
      </c>
      <c r="AP4470">
        <v>0</v>
      </c>
      <c r="AQ4470">
        <v>0</v>
      </c>
      <c r="AU4470">
        <v>1</v>
      </c>
      <c r="AV4470">
        <v>0</v>
      </c>
      <c r="AW4470">
        <v>0</v>
      </c>
    </row>
    <row r="4471" spans="1:49" x14ac:dyDescent="0.25">
      <c r="A4471" t="str">
        <f>"4467"</f>
        <v>4467</v>
      </c>
      <c r="B4471" t="str">
        <f t="shared" si="257"/>
        <v>1</v>
      </c>
      <c r="C4471" t="str">
        <f t="shared" si="258"/>
        <v>195</v>
      </c>
      <c r="D4471" t="str">
        <f>"4"</f>
        <v>4</v>
      </c>
      <c r="E4471" t="str">
        <f>"1-195-4"</f>
        <v>1-195-4</v>
      </c>
      <c r="F4471" t="s">
        <v>83</v>
      </c>
      <c r="G4471" t="s">
        <v>84</v>
      </c>
      <c r="H4471" t="s">
        <v>85</v>
      </c>
      <c r="AC4471">
        <v>0</v>
      </c>
      <c r="AD4471">
        <v>1</v>
      </c>
      <c r="AE4471">
        <v>0</v>
      </c>
      <c r="AF4471">
        <v>0</v>
      </c>
      <c r="AG4471">
        <v>0</v>
      </c>
      <c r="AJ4471">
        <v>1</v>
      </c>
      <c r="AK4471">
        <v>0</v>
      </c>
      <c r="AL4471">
        <v>0</v>
      </c>
      <c r="AM4471">
        <v>0</v>
      </c>
      <c r="AN4471">
        <v>1</v>
      </c>
      <c r="AO4471">
        <v>0</v>
      </c>
      <c r="AP4471">
        <v>0</v>
      </c>
      <c r="AQ4471">
        <v>0</v>
      </c>
      <c r="AR4471">
        <v>0</v>
      </c>
      <c r="AS4471">
        <v>1</v>
      </c>
      <c r="AT4471">
        <v>0</v>
      </c>
      <c r="AV4471">
        <v>0</v>
      </c>
      <c r="AW4471">
        <v>0</v>
      </c>
    </row>
    <row r="4472" spans="1:49" x14ac:dyDescent="0.25">
      <c r="A4472" t="str">
        <f>"4468"</f>
        <v>4468</v>
      </c>
      <c r="B4472" t="str">
        <f t="shared" si="257"/>
        <v>1</v>
      </c>
      <c r="C4472" t="str">
        <f t="shared" si="258"/>
        <v>195</v>
      </c>
      <c r="D4472" t="str">
        <f>"23"</f>
        <v>23</v>
      </c>
      <c r="E4472" t="str">
        <f>"1-195-23"</f>
        <v>1-195-23</v>
      </c>
      <c r="F4472" t="s">
        <v>83</v>
      </c>
      <c r="G4472" t="s">
        <v>84</v>
      </c>
      <c r="H4472" t="s">
        <v>85</v>
      </c>
      <c r="AC4472">
        <v>1</v>
      </c>
      <c r="AD4472">
        <v>0</v>
      </c>
      <c r="AE4472">
        <v>0</v>
      </c>
      <c r="AF4472">
        <v>0</v>
      </c>
      <c r="AG4472">
        <v>1</v>
      </c>
      <c r="AJ4472">
        <v>1</v>
      </c>
      <c r="AK4472">
        <v>0</v>
      </c>
      <c r="AL4472">
        <v>0</v>
      </c>
      <c r="AM4472">
        <v>0</v>
      </c>
      <c r="AN4472">
        <v>1</v>
      </c>
      <c r="AO4472">
        <v>1</v>
      </c>
      <c r="AP4472">
        <v>1</v>
      </c>
      <c r="AQ4472">
        <v>1</v>
      </c>
      <c r="AR4472">
        <v>1</v>
      </c>
      <c r="AS4472">
        <v>0</v>
      </c>
      <c r="AT4472">
        <v>1</v>
      </c>
      <c r="AV4472">
        <v>1</v>
      </c>
      <c r="AW4472">
        <v>1</v>
      </c>
    </row>
    <row r="4473" spans="1:49" x14ac:dyDescent="0.25">
      <c r="A4473" t="str">
        <f>"4469"</f>
        <v>4469</v>
      </c>
      <c r="B4473" t="str">
        <f t="shared" si="257"/>
        <v>1</v>
      </c>
      <c r="C4473" t="str">
        <f t="shared" si="258"/>
        <v>195</v>
      </c>
      <c r="D4473" t="str">
        <f>"22"</f>
        <v>22</v>
      </c>
      <c r="E4473" t="str">
        <f>"1-195-22"</f>
        <v>1-195-22</v>
      </c>
      <c r="F4473" t="s">
        <v>83</v>
      </c>
      <c r="G4473" t="s">
        <v>84</v>
      </c>
      <c r="H4473" t="s">
        <v>85</v>
      </c>
      <c r="AC4473">
        <v>0</v>
      </c>
      <c r="AD4473">
        <v>1</v>
      </c>
      <c r="AE4473">
        <v>0</v>
      </c>
      <c r="AF4473">
        <v>0</v>
      </c>
      <c r="AG4473">
        <v>0</v>
      </c>
      <c r="AJ4473">
        <v>0</v>
      </c>
      <c r="AK4473">
        <v>0</v>
      </c>
      <c r="AL4473">
        <v>0</v>
      </c>
      <c r="AM4473">
        <v>0</v>
      </c>
      <c r="AN4473">
        <v>0</v>
      </c>
      <c r="AO4473">
        <v>0</v>
      </c>
      <c r="AP4473">
        <v>0</v>
      </c>
      <c r="AQ4473">
        <v>0</v>
      </c>
      <c r="AR4473">
        <v>0</v>
      </c>
      <c r="AS4473">
        <v>0</v>
      </c>
      <c r="AT4473">
        <v>0</v>
      </c>
      <c r="AV4473">
        <v>0</v>
      </c>
      <c r="AW4473">
        <v>0</v>
      </c>
    </row>
    <row r="4474" spans="1:49" x14ac:dyDescent="0.25">
      <c r="A4474" t="str">
        <f>"4470"</f>
        <v>4470</v>
      </c>
      <c r="B4474" t="str">
        <f t="shared" si="257"/>
        <v>1</v>
      </c>
      <c r="C4474" t="str">
        <f t="shared" si="258"/>
        <v>195</v>
      </c>
      <c r="D4474" t="str">
        <f>"14"</f>
        <v>14</v>
      </c>
      <c r="E4474" t="str">
        <f>"1-195-14"</f>
        <v>1-195-14</v>
      </c>
      <c r="F4474" t="s">
        <v>83</v>
      </c>
      <c r="G4474" t="s">
        <v>86</v>
      </c>
      <c r="H4474" t="s">
        <v>87</v>
      </c>
      <c r="AC4474">
        <v>0</v>
      </c>
      <c r="AD4474">
        <v>0</v>
      </c>
      <c r="AE4474">
        <v>0</v>
      </c>
      <c r="AF4474">
        <v>0</v>
      </c>
      <c r="AH4474">
        <v>0</v>
      </c>
      <c r="AI4474">
        <v>1</v>
      </c>
      <c r="AJ4474">
        <v>0</v>
      </c>
      <c r="AK4474">
        <v>0</v>
      </c>
      <c r="AL4474">
        <v>0</v>
      </c>
      <c r="AM4474">
        <v>0</v>
      </c>
      <c r="AN4474">
        <v>0</v>
      </c>
      <c r="AO4474">
        <v>1</v>
      </c>
      <c r="AP4474">
        <v>1</v>
      </c>
      <c r="AQ4474">
        <v>1</v>
      </c>
      <c r="AU4474">
        <v>1</v>
      </c>
      <c r="AV4474">
        <v>1</v>
      </c>
      <c r="AW4474">
        <v>1</v>
      </c>
    </row>
    <row r="4475" spans="1:49" x14ac:dyDescent="0.25">
      <c r="A4475" t="str">
        <f>"4471"</f>
        <v>4471</v>
      </c>
      <c r="B4475" t="str">
        <f t="shared" si="257"/>
        <v>1</v>
      </c>
      <c r="C4475" t="str">
        <f t="shared" si="258"/>
        <v>195</v>
      </c>
      <c r="D4475" t="str">
        <f>"11"</f>
        <v>11</v>
      </c>
      <c r="E4475" t="str">
        <f>"1-195-11"</f>
        <v>1-195-11</v>
      </c>
      <c r="F4475" t="s">
        <v>83</v>
      </c>
      <c r="G4475" t="s">
        <v>86</v>
      </c>
      <c r="H4475" t="s">
        <v>87</v>
      </c>
      <c r="AC4475">
        <v>0</v>
      </c>
      <c r="AD4475">
        <v>0</v>
      </c>
      <c r="AE4475">
        <v>0</v>
      </c>
      <c r="AF4475">
        <v>0</v>
      </c>
      <c r="AH4475">
        <v>1</v>
      </c>
      <c r="AI4475">
        <v>0</v>
      </c>
      <c r="AJ4475">
        <v>0</v>
      </c>
      <c r="AK4475">
        <v>1</v>
      </c>
      <c r="AL4475">
        <v>0</v>
      </c>
      <c r="AM4475">
        <v>0</v>
      </c>
      <c r="AN4475">
        <v>1</v>
      </c>
      <c r="AO4475">
        <v>0</v>
      </c>
      <c r="AP4475">
        <v>0</v>
      </c>
      <c r="AQ4475">
        <v>0</v>
      </c>
      <c r="AU4475">
        <v>1</v>
      </c>
      <c r="AV4475">
        <v>0</v>
      </c>
      <c r="AW4475">
        <v>0</v>
      </c>
    </row>
    <row r="4476" spans="1:49" x14ac:dyDescent="0.25">
      <c r="A4476" t="str">
        <f>"4472"</f>
        <v>4472</v>
      </c>
      <c r="B4476" t="str">
        <f t="shared" si="257"/>
        <v>1</v>
      </c>
      <c r="C4476" t="str">
        <f t="shared" si="258"/>
        <v>195</v>
      </c>
      <c r="D4476" t="str">
        <f>"3"</f>
        <v>3</v>
      </c>
      <c r="E4476" t="str">
        <f>"1-195-3"</f>
        <v>1-195-3</v>
      </c>
      <c r="F4476" t="s">
        <v>83</v>
      </c>
      <c r="G4476" t="s">
        <v>84</v>
      </c>
      <c r="H4476" t="s">
        <v>92</v>
      </c>
      <c r="I4476">
        <v>1</v>
      </c>
      <c r="J4476">
        <v>1</v>
      </c>
      <c r="N4476">
        <v>1</v>
      </c>
      <c r="O4476">
        <v>1</v>
      </c>
      <c r="P4476">
        <v>1</v>
      </c>
      <c r="Q4476">
        <v>1</v>
      </c>
      <c r="R4476">
        <v>1</v>
      </c>
      <c r="S4476">
        <v>1</v>
      </c>
      <c r="T4476">
        <v>1</v>
      </c>
      <c r="W4476">
        <v>1</v>
      </c>
      <c r="X4476">
        <v>1</v>
      </c>
      <c r="Y4476">
        <v>1</v>
      </c>
      <c r="Z4476">
        <v>1</v>
      </c>
      <c r="AA4476">
        <v>1</v>
      </c>
      <c r="AB4476">
        <v>1</v>
      </c>
    </row>
    <row r="4477" spans="1:49" x14ac:dyDescent="0.25">
      <c r="A4477" t="str">
        <f>"4473"</f>
        <v>4473</v>
      </c>
      <c r="B4477" t="str">
        <f t="shared" si="257"/>
        <v>1</v>
      </c>
      <c r="C4477" t="str">
        <f t="shared" si="258"/>
        <v>195</v>
      </c>
      <c r="D4477" t="str">
        <f>"17"</f>
        <v>17</v>
      </c>
      <c r="E4477" t="str">
        <f>"1-195-17"</f>
        <v>1-195-17</v>
      </c>
      <c r="F4477" t="s">
        <v>83</v>
      </c>
      <c r="G4477" t="s">
        <v>84</v>
      </c>
      <c r="H4477" t="s">
        <v>92</v>
      </c>
      <c r="I4477">
        <v>1</v>
      </c>
      <c r="J4477">
        <v>1</v>
      </c>
      <c r="N4477">
        <v>1</v>
      </c>
      <c r="O4477">
        <v>1</v>
      </c>
      <c r="P4477">
        <v>1</v>
      </c>
      <c r="Q4477">
        <v>1</v>
      </c>
      <c r="R4477">
        <v>1</v>
      </c>
      <c r="S4477">
        <v>1</v>
      </c>
      <c r="T4477">
        <v>1</v>
      </c>
      <c r="W4477">
        <v>1</v>
      </c>
      <c r="X4477">
        <v>1</v>
      </c>
      <c r="Y4477">
        <v>1</v>
      </c>
      <c r="Z4477">
        <v>1</v>
      </c>
      <c r="AA4477">
        <v>1</v>
      </c>
      <c r="AB4477">
        <v>1</v>
      </c>
    </row>
    <row r="4478" spans="1:49" x14ac:dyDescent="0.25">
      <c r="A4478" t="str">
        <f>"4474"</f>
        <v>4474</v>
      </c>
      <c r="B4478" t="str">
        <f t="shared" si="257"/>
        <v>1</v>
      </c>
      <c r="C4478" t="str">
        <f t="shared" si="258"/>
        <v>195</v>
      </c>
      <c r="D4478" t="str">
        <f>"12"</f>
        <v>12</v>
      </c>
      <c r="E4478" t="str">
        <f>"1-195-12"</f>
        <v>1-195-12</v>
      </c>
      <c r="F4478" t="s">
        <v>83</v>
      </c>
      <c r="G4478" t="s">
        <v>86</v>
      </c>
      <c r="H4478" t="s">
        <v>87</v>
      </c>
      <c r="AC4478">
        <v>0</v>
      </c>
      <c r="AD4478">
        <v>1</v>
      </c>
      <c r="AE4478">
        <v>0</v>
      </c>
      <c r="AF4478">
        <v>0</v>
      </c>
      <c r="AH4478">
        <v>0</v>
      </c>
      <c r="AI4478">
        <v>1</v>
      </c>
      <c r="AJ4478">
        <v>0</v>
      </c>
      <c r="AK4478">
        <v>1</v>
      </c>
      <c r="AL4478">
        <v>0</v>
      </c>
      <c r="AM4478">
        <v>0</v>
      </c>
      <c r="AN4478">
        <v>1</v>
      </c>
      <c r="AO4478">
        <v>0</v>
      </c>
      <c r="AP4478">
        <v>0</v>
      </c>
      <c r="AQ4478">
        <v>0</v>
      </c>
      <c r="AU4478">
        <v>0</v>
      </c>
      <c r="AV4478">
        <v>0</v>
      </c>
      <c r="AW4478">
        <v>0</v>
      </c>
    </row>
    <row r="4479" spans="1:49" x14ac:dyDescent="0.25">
      <c r="A4479" t="str">
        <f>"4475"</f>
        <v>4475</v>
      </c>
      <c r="B4479" t="str">
        <f t="shared" si="257"/>
        <v>1</v>
      </c>
      <c r="C4479" t="str">
        <f t="shared" si="258"/>
        <v>195</v>
      </c>
      <c r="D4479" t="str">
        <f>"2"</f>
        <v>2</v>
      </c>
      <c r="E4479" t="str">
        <f>"1-195-2"</f>
        <v>1-195-2</v>
      </c>
      <c r="F4479" t="s">
        <v>83</v>
      </c>
      <c r="G4479" t="s">
        <v>84</v>
      </c>
      <c r="H4479" t="s">
        <v>92</v>
      </c>
      <c r="I4479">
        <v>1</v>
      </c>
      <c r="J4479">
        <v>1</v>
      </c>
      <c r="N4479">
        <v>1</v>
      </c>
      <c r="O4479">
        <v>1</v>
      </c>
      <c r="P4479">
        <v>1</v>
      </c>
      <c r="Q4479">
        <v>1</v>
      </c>
      <c r="R4479">
        <v>1</v>
      </c>
      <c r="S4479">
        <v>1</v>
      </c>
      <c r="T4479">
        <v>1</v>
      </c>
      <c r="W4479">
        <v>1</v>
      </c>
      <c r="X4479">
        <v>1</v>
      </c>
      <c r="Y4479">
        <v>1</v>
      </c>
      <c r="Z4479">
        <v>1</v>
      </c>
      <c r="AA4479">
        <v>1</v>
      </c>
      <c r="AB4479">
        <v>1</v>
      </c>
    </row>
    <row r="4480" spans="1:49" x14ac:dyDescent="0.25">
      <c r="A4480" t="str">
        <f>"4476"</f>
        <v>4476</v>
      </c>
      <c r="B4480" t="str">
        <f t="shared" si="257"/>
        <v>1</v>
      </c>
      <c r="C4480" t="str">
        <f t="shared" si="258"/>
        <v>195</v>
      </c>
      <c r="D4480" t="str">
        <f>"20"</f>
        <v>20</v>
      </c>
      <c r="E4480" t="str">
        <f>"1-195-20"</f>
        <v>1-195-20</v>
      </c>
      <c r="F4480" t="s">
        <v>83</v>
      </c>
      <c r="G4480" t="s">
        <v>84</v>
      </c>
      <c r="H4480" t="s">
        <v>92</v>
      </c>
      <c r="I4480">
        <v>1</v>
      </c>
      <c r="J4480">
        <v>1</v>
      </c>
      <c r="N4480">
        <v>1</v>
      </c>
      <c r="O4480">
        <v>1</v>
      </c>
      <c r="P4480">
        <v>1</v>
      </c>
      <c r="Q4480">
        <v>1</v>
      </c>
      <c r="R4480">
        <v>1</v>
      </c>
      <c r="S4480">
        <v>1</v>
      </c>
      <c r="T4480">
        <v>1</v>
      </c>
      <c r="W4480">
        <v>1</v>
      </c>
      <c r="X4480">
        <v>1</v>
      </c>
      <c r="Y4480">
        <v>1</v>
      </c>
      <c r="Z4480">
        <v>1</v>
      </c>
      <c r="AA4480">
        <v>1</v>
      </c>
      <c r="AB4480">
        <v>1</v>
      </c>
    </row>
    <row r="4481" spans="1:49" x14ac:dyDescent="0.25">
      <c r="A4481" t="str">
        <f>"4477"</f>
        <v>4477</v>
      </c>
      <c r="B4481" t="str">
        <f t="shared" si="257"/>
        <v>1</v>
      </c>
      <c r="C4481" t="str">
        <f t="shared" si="258"/>
        <v>195</v>
      </c>
      <c r="D4481" t="str">
        <f>"5"</f>
        <v>5</v>
      </c>
      <c r="E4481" t="str">
        <f>"1-195-5"</f>
        <v>1-195-5</v>
      </c>
      <c r="F4481" t="s">
        <v>83</v>
      </c>
      <c r="G4481" t="s">
        <v>84</v>
      </c>
      <c r="H4481" t="s">
        <v>92</v>
      </c>
      <c r="I4481">
        <v>1</v>
      </c>
      <c r="J4481">
        <v>1</v>
      </c>
      <c r="N4481">
        <v>1</v>
      </c>
      <c r="O4481">
        <v>1</v>
      </c>
      <c r="P4481">
        <v>1</v>
      </c>
      <c r="Q4481">
        <v>1</v>
      </c>
      <c r="R4481">
        <v>1</v>
      </c>
      <c r="S4481">
        <v>1</v>
      </c>
      <c r="T4481">
        <v>1</v>
      </c>
      <c r="W4481">
        <v>1</v>
      </c>
      <c r="X4481">
        <v>1</v>
      </c>
      <c r="Y4481">
        <v>1</v>
      </c>
      <c r="Z4481">
        <v>1</v>
      </c>
      <c r="AA4481">
        <v>1</v>
      </c>
      <c r="AB4481">
        <v>1</v>
      </c>
    </row>
    <row r="4482" spans="1:49" x14ac:dyDescent="0.25">
      <c r="A4482" t="str">
        <f>"4478"</f>
        <v>4478</v>
      </c>
      <c r="B4482" t="str">
        <f t="shared" si="257"/>
        <v>1</v>
      </c>
      <c r="C4482" t="str">
        <f t="shared" si="258"/>
        <v>195</v>
      </c>
      <c r="D4482" t="str">
        <f>"21"</f>
        <v>21</v>
      </c>
      <c r="E4482" t="str">
        <f>"1-195-21"</f>
        <v>1-195-21</v>
      </c>
      <c r="F4482" t="s">
        <v>83</v>
      </c>
      <c r="G4482" t="s">
        <v>84</v>
      </c>
      <c r="H4482" t="s">
        <v>92</v>
      </c>
      <c r="I4482">
        <v>1</v>
      </c>
      <c r="J4482">
        <v>1</v>
      </c>
      <c r="N4482">
        <v>1</v>
      </c>
      <c r="O4482">
        <v>1</v>
      </c>
      <c r="P4482">
        <v>1</v>
      </c>
      <c r="Q4482">
        <v>1</v>
      </c>
      <c r="R4482">
        <v>1</v>
      </c>
      <c r="S4482">
        <v>1</v>
      </c>
      <c r="T4482">
        <v>1</v>
      </c>
      <c r="W4482">
        <v>1</v>
      </c>
      <c r="X4482">
        <v>1</v>
      </c>
      <c r="Y4482">
        <v>1</v>
      </c>
      <c r="Z4482">
        <v>1</v>
      </c>
      <c r="AA4482">
        <v>1</v>
      </c>
      <c r="AB4482">
        <v>1</v>
      </c>
    </row>
    <row r="4483" spans="1:49" x14ac:dyDescent="0.25">
      <c r="A4483" t="str">
        <f>"4479"</f>
        <v>4479</v>
      </c>
      <c r="B4483" t="str">
        <f t="shared" si="257"/>
        <v>1</v>
      </c>
      <c r="C4483" t="str">
        <f t="shared" si="258"/>
        <v>195</v>
      </c>
      <c r="D4483" t="str">
        <f>"6"</f>
        <v>6</v>
      </c>
      <c r="E4483" t="str">
        <f>"1-195-6"</f>
        <v>1-195-6</v>
      </c>
      <c r="F4483" t="s">
        <v>83</v>
      </c>
      <c r="G4483" t="s">
        <v>84</v>
      </c>
      <c r="H4483" t="s">
        <v>92</v>
      </c>
      <c r="I4483">
        <v>1</v>
      </c>
      <c r="J4483">
        <v>1</v>
      </c>
      <c r="N4483">
        <v>1</v>
      </c>
      <c r="O4483">
        <v>1</v>
      </c>
      <c r="P4483">
        <v>1</v>
      </c>
      <c r="Q4483">
        <v>1</v>
      </c>
      <c r="R4483">
        <v>1</v>
      </c>
      <c r="S4483">
        <v>1</v>
      </c>
      <c r="T4483">
        <v>1</v>
      </c>
      <c r="W4483">
        <v>1</v>
      </c>
      <c r="X4483">
        <v>1</v>
      </c>
      <c r="Y4483">
        <v>1</v>
      </c>
      <c r="Z4483">
        <v>1</v>
      </c>
      <c r="AA4483">
        <v>1</v>
      </c>
      <c r="AB4483">
        <v>1</v>
      </c>
    </row>
    <row r="4484" spans="1:49" x14ac:dyDescent="0.25">
      <c r="A4484" t="str">
        <f>"4480"</f>
        <v>4480</v>
      </c>
      <c r="B4484" t="str">
        <f t="shared" si="257"/>
        <v>1</v>
      </c>
      <c r="C4484" t="str">
        <f t="shared" ref="C4484:C4508" si="259">"196"</f>
        <v>196</v>
      </c>
      <c r="D4484" t="str">
        <f>"21"</f>
        <v>21</v>
      </c>
      <c r="E4484" t="str">
        <f>"1-196-21"</f>
        <v>1-196-21</v>
      </c>
      <c r="F4484" t="s">
        <v>83</v>
      </c>
      <c r="G4484" t="s">
        <v>84</v>
      </c>
      <c r="H4484" t="s">
        <v>85</v>
      </c>
      <c r="AC4484">
        <v>0</v>
      </c>
      <c r="AD4484">
        <v>1</v>
      </c>
      <c r="AE4484">
        <v>0</v>
      </c>
      <c r="AF4484">
        <v>0</v>
      </c>
      <c r="AG4484">
        <v>0</v>
      </c>
      <c r="AJ4484">
        <v>0</v>
      </c>
      <c r="AK4484">
        <v>1</v>
      </c>
      <c r="AL4484">
        <v>0</v>
      </c>
      <c r="AM4484">
        <v>0</v>
      </c>
      <c r="AN4484">
        <v>0</v>
      </c>
      <c r="AO4484">
        <v>0</v>
      </c>
      <c r="AP4484">
        <v>1</v>
      </c>
      <c r="AQ4484">
        <v>0</v>
      </c>
      <c r="AR4484">
        <v>1</v>
      </c>
      <c r="AS4484">
        <v>1</v>
      </c>
      <c r="AT4484">
        <v>0</v>
      </c>
      <c r="AV4484">
        <v>0</v>
      </c>
      <c r="AW4484">
        <v>0</v>
      </c>
    </row>
    <row r="4485" spans="1:49" x14ac:dyDescent="0.25">
      <c r="A4485" t="str">
        <f>"4481"</f>
        <v>4481</v>
      </c>
      <c r="B4485" t="str">
        <f t="shared" si="257"/>
        <v>1</v>
      </c>
      <c r="C4485" t="str">
        <f t="shared" si="259"/>
        <v>196</v>
      </c>
      <c r="D4485" t="str">
        <f>"20"</f>
        <v>20</v>
      </c>
      <c r="E4485" t="str">
        <f>"1-196-20"</f>
        <v>1-196-20</v>
      </c>
      <c r="F4485" t="s">
        <v>83</v>
      </c>
      <c r="G4485" t="s">
        <v>84</v>
      </c>
      <c r="H4485" t="s">
        <v>85</v>
      </c>
      <c r="AC4485">
        <v>0</v>
      </c>
      <c r="AD4485">
        <v>1</v>
      </c>
      <c r="AE4485">
        <v>0</v>
      </c>
      <c r="AF4485">
        <v>0</v>
      </c>
      <c r="AG4485">
        <v>1</v>
      </c>
      <c r="AJ4485">
        <v>1</v>
      </c>
      <c r="AK4485">
        <v>0</v>
      </c>
      <c r="AL4485">
        <v>1</v>
      </c>
      <c r="AM4485">
        <v>0</v>
      </c>
      <c r="AN4485">
        <v>0</v>
      </c>
      <c r="AO4485">
        <v>1</v>
      </c>
      <c r="AP4485">
        <v>1</v>
      </c>
      <c r="AQ4485">
        <v>1</v>
      </c>
      <c r="AR4485">
        <v>1</v>
      </c>
      <c r="AS4485">
        <v>0</v>
      </c>
      <c r="AT4485">
        <v>1</v>
      </c>
      <c r="AV4485">
        <v>1</v>
      </c>
      <c r="AW4485">
        <v>1</v>
      </c>
    </row>
    <row r="4486" spans="1:49" x14ac:dyDescent="0.25">
      <c r="A4486" t="str">
        <f>"4482"</f>
        <v>4482</v>
      </c>
      <c r="B4486" t="str">
        <f t="shared" si="257"/>
        <v>1</v>
      </c>
      <c r="C4486" t="str">
        <f t="shared" si="259"/>
        <v>196</v>
      </c>
      <c r="D4486" t="str">
        <f>"15"</f>
        <v>15</v>
      </c>
      <c r="E4486" t="str">
        <f>"1-196-15"</f>
        <v>1-196-15</v>
      </c>
      <c r="F4486" t="s">
        <v>83</v>
      </c>
      <c r="G4486" t="s">
        <v>84</v>
      </c>
      <c r="H4486" t="s">
        <v>85</v>
      </c>
      <c r="AC4486">
        <v>1</v>
      </c>
      <c r="AD4486">
        <v>0</v>
      </c>
      <c r="AE4486">
        <v>0</v>
      </c>
      <c r="AF4486">
        <v>0</v>
      </c>
      <c r="AG4486">
        <v>0</v>
      </c>
      <c r="AJ4486">
        <v>1</v>
      </c>
      <c r="AK4486">
        <v>0</v>
      </c>
      <c r="AL4486">
        <v>1</v>
      </c>
      <c r="AM4486">
        <v>0</v>
      </c>
      <c r="AN4486">
        <v>0</v>
      </c>
      <c r="AO4486">
        <v>0</v>
      </c>
      <c r="AP4486">
        <v>1</v>
      </c>
      <c r="AQ4486">
        <v>0</v>
      </c>
      <c r="AR4486">
        <v>1</v>
      </c>
      <c r="AS4486">
        <v>1</v>
      </c>
      <c r="AT4486">
        <v>0</v>
      </c>
      <c r="AV4486">
        <v>0</v>
      </c>
      <c r="AW4486">
        <v>1</v>
      </c>
    </row>
    <row r="4487" spans="1:49" x14ac:dyDescent="0.25">
      <c r="A4487" t="str">
        <f>"4483"</f>
        <v>4483</v>
      </c>
      <c r="B4487" t="str">
        <f t="shared" si="257"/>
        <v>1</v>
      </c>
      <c r="C4487" t="str">
        <f t="shared" si="259"/>
        <v>196</v>
      </c>
      <c r="D4487" t="str">
        <f>"14"</f>
        <v>14</v>
      </c>
      <c r="E4487" t="str">
        <f>"1-196-14"</f>
        <v>1-196-14</v>
      </c>
      <c r="F4487" t="s">
        <v>83</v>
      </c>
      <c r="G4487" t="s">
        <v>84</v>
      </c>
      <c r="H4487" t="s">
        <v>85</v>
      </c>
      <c r="AC4487">
        <v>0</v>
      </c>
      <c r="AD4487">
        <v>1</v>
      </c>
      <c r="AE4487">
        <v>0</v>
      </c>
      <c r="AF4487">
        <v>0</v>
      </c>
      <c r="AG4487">
        <v>1</v>
      </c>
      <c r="AJ4487">
        <v>0</v>
      </c>
      <c r="AK4487">
        <v>1</v>
      </c>
      <c r="AL4487">
        <v>0</v>
      </c>
      <c r="AM4487">
        <v>0</v>
      </c>
      <c r="AN4487">
        <v>1</v>
      </c>
      <c r="AO4487">
        <v>1</v>
      </c>
      <c r="AP4487">
        <v>1</v>
      </c>
      <c r="AQ4487">
        <v>1</v>
      </c>
      <c r="AR4487">
        <v>1</v>
      </c>
      <c r="AS4487">
        <v>0</v>
      </c>
      <c r="AT4487">
        <v>1</v>
      </c>
      <c r="AV4487">
        <v>1</v>
      </c>
      <c r="AW4487">
        <v>1</v>
      </c>
    </row>
    <row r="4488" spans="1:49" x14ac:dyDescent="0.25">
      <c r="A4488" t="str">
        <f>"4484"</f>
        <v>4484</v>
      </c>
      <c r="B4488" t="str">
        <f t="shared" si="257"/>
        <v>1</v>
      </c>
      <c r="C4488" t="str">
        <f t="shared" si="259"/>
        <v>196</v>
      </c>
      <c r="D4488" t="str">
        <f>"11"</f>
        <v>11</v>
      </c>
      <c r="E4488" t="str">
        <f>"1-196-11"</f>
        <v>1-196-11</v>
      </c>
      <c r="F4488" t="s">
        <v>83</v>
      </c>
      <c r="G4488" t="s">
        <v>84</v>
      </c>
      <c r="H4488" t="s">
        <v>85</v>
      </c>
      <c r="AC4488">
        <v>0</v>
      </c>
      <c r="AD4488">
        <v>1</v>
      </c>
      <c r="AE4488">
        <v>0</v>
      </c>
      <c r="AF4488">
        <v>0</v>
      </c>
      <c r="AG4488">
        <v>1</v>
      </c>
      <c r="AJ4488">
        <v>1</v>
      </c>
      <c r="AK4488">
        <v>0</v>
      </c>
      <c r="AL4488">
        <v>0</v>
      </c>
      <c r="AM4488">
        <v>1</v>
      </c>
      <c r="AN4488">
        <v>0</v>
      </c>
      <c r="AO4488">
        <v>1</v>
      </c>
      <c r="AP4488">
        <v>1</v>
      </c>
      <c r="AQ4488">
        <v>1</v>
      </c>
      <c r="AR4488">
        <v>1</v>
      </c>
      <c r="AS4488">
        <v>1</v>
      </c>
      <c r="AT4488">
        <v>0</v>
      </c>
      <c r="AV4488">
        <v>1</v>
      </c>
      <c r="AW4488">
        <v>1</v>
      </c>
    </row>
    <row r="4489" spans="1:49" x14ac:dyDescent="0.25">
      <c r="A4489" t="str">
        <f>"4485"</f>
        <v>4485</v>
      </c>
      <c r="B4489" t="str">
        <f t="shared" si="257"/>
        <v>1</v>
      </c>
      <c r="C4489" t="str">
        <f t="shared" si="259"/>
        <v>196</v>
      </c>
      <c r="D4489" t="str">
        <f>"8"</f>
        <v>8</v>
      </c>
      <c r="E4489" t="str">
        <f>"1-196-8"</f>
        <v>1-196-8</v>
      </c>
      <c r="F4489" t="s">
        <v>83</v>
      </c>
      <c r="G4489" t="s">
        <v>84</v>
      </c>
      <c r="H4489" t="s">
        <v>85</v>
      </c>
      <c r="AC4489">
        <v>1</v>
      </c>
      <c r="AD4489">
        <v>0</v>
      </c>
      <c r="AE4489">
        <v>0</v>
      </c>
      <c r="AF4489">
        <v>0</v>
      </c>
      <c r="AG4489">
        <v>1</v>
      </c>
      <c r="AJ4489">
        <v>1</v>
      </c>
      <c r="AK4489">
        <v>0</v>
      </c>
      <c r="AL4489">
        <v>0</v>
      </c>
      <c r="AM4489">
        <v>0</v>
      </c>
      <c r="AN4489">
        <v>1</v>
      </c>
      <c r="AO4489">
        <v>1</v>
      </c>
      <c r="AP4489">
        <v>1</v>
      </c>
      <c r="AQ4489">
        <v>1</v>
      </c>
      <c r="AR4489">
        <v>1</v>
      </c>
      <c r="AS4489">
        <v>0</v>
      </c>
      <c r="AT4489">
        <v>1</v>
      </c>
      <c r="AV4489">
        <v>1</v>
      </c>
      <c r="AW4489">
        <v>1</v>
      </c>
    </row>
    <row r="4490" spans="1:49" x14ac:dyDescent="0.25">
      <c r="A4490" t="str">
        <f>"4486"</f>
        <v>4486</v>
      </c>
      <c r="B4490" t="str">
        <f t="shared" si="257"/>
        <v>1</v>
      </c>
      <c r="C4490" t="str">
        <f t="shared" si="259"/>
        <v>196</v>
      </c>
      <c r="D4490" t="str">
        <f>"2"</f>
        <v>2</v>
      </c>
      <c r="E4490" t="str">
        <f>"1-196-2"</f>
        <v>1-196-2</v>
      </c>
      <c r="F4490" t="s">
        <v>83</v>
      </c>
      <c r="G4490" t="s">
        <v>86</v>
      </c>
      <c r="H4490" t="s">
        <v>87</v>
      </c>
      <c r="AC4490">
        <v>0</v>
      </c>
      <c r="AD4490">
        <v>1</v>
      </c>
      <c r="AE4490">
        <v>0</v>
      </c>
      <c r="AF4490">
        <v>0</v>
      </c>
      <c r="AH4490">
        <v>1</v>
      </c>
      <c r="AI4490">
        <v>0</v>
      </c>
      <c r="AJ4490">
        <v>0</v>
      </c>
      <c r="AK4490">
        <v>1</v>
      </c>
      <c r="AL4490">
        <v>0</v>
      </c>
      <c r="AM4490">
        <v>1</v>
      </c>
      <c r="AN4490">
        <v>0</v>
      </c>
      <c r="AO4490">
        <v>0</v>
      </c>
      <c r="AP4490">
        <v>0</v>
      </c>
      <c r="AQ4490">
        <v>0</v>
      </c>
      <c r="AU4490">
        <v>1</v>
      </c>
      <c r="AV4490">
        <v>1</v>
      </c>
      <c r="AW4490">
        <v>1</v>
      </c>
    </row>
    <row r="4491" spans="1:49" x14ac:dyDescent="0.25">
      <c r="A4491" t="str">
        <f>"4487"</f>
        <v>4487</v>
      </c>
      <c r="B4491" t="str">
        <f t="shared" si="257"/>
        <v>1</v>
      </c>
      <c r="C4491" t="str">
        <f t="shared" si="259"/>
        <v>196</v>
      </c>
      <c r="D4491" t="str">
        <f>"17"</f>
        <v>17</v>
      </c>
      <c r="E4491" t="str">
        <f>"1-196-17"</f>
        <v>1-196-17</v>
      </c>
      <c r="F4491" t="s">
        <v>83</v>
      </c>
      <c r="G4491" t="s">
        <v>84</v>
      </c>
      <c r="H4491" t="s">
        <v>85</v>
      </c>
      <c r="AC4491">
        <v>0</v>
      </c>
      <c r="AD4491">
        <v>1</v>
      </c>
      <c r="AE4491">
        <v>0</v>
      </c>
      <c r="AF4491">
        <v>0</v>
      </c>
      <c r="AG4491">
        <v>1</v>
      </c>
      <c r="AJ4491">
        <v>0</v>
      </c>
      <c r="AK4491">
        <v>1</v>
      </c>
      <c r="AL4491">
        <v>0</v>
      </c>
      <c r="AM4491">
        <v>0</v>
      </c>
      <c r="AN4491">
        <v>1</v>
      </c>
      <c r="AO4491">
        <v>1</v>
      </c>
      <c r="AP4491">
        <v>1</v>
      </c>
      <c r="AQ4491">
        <v>1</v>
      </c>
      <c r="AR4491">
        <v>1</v>
      </c>
      <c r="AS4491">
        <v>0</v>
      </c>
      <c r="AT4491">
        <v>1</v>
      </c>
      <c r="AV4491">
        <v>1</v>
      </c>
      <c r="AW4491">
        <v>1</v>
      </c>
    </row>
    <row r="4492" spans="1:49" x14ac:dyDescent="0.25">
      <c r="A4492" t="str">
        <f>"4488"</f>
        <v>4488</v>
      </c>
      <c r="B4492" t="str">
        <f t="shared" si="257"/>
        <v>1</v>
      </c>
      <c r="C4492" t="str">
        <f t="shared" si="259"/>
        <v>196</v>
      </c>
      <c r="D4492" t="str">
        <f>"9"</f>
        <v>9</v>
      </c>
      <c r="E4492" t="str">
        <f>"1-196-9"</f>
        <v>1-196-9</v>
      </c>
      <c r="F4492" t="s">
        <v>83</v>
      </c>
      <c r="G4492" t="s">
        <v>84</v>
      </c>
      <c r="H4492" t="s">
        <v>85</v>
      </c>
      <c r="AC4492">
        <v>1</v>
      </c>
      <c r="AD4492">
        <v>0</v>
      </c>
      <c r="AE4492">
        <v>0</v>
      </c>
      <c r="AF4492">
        <v>0</v>
      </c>
      <c r="AG4492">
        <v>0</v>
      </c>
      <c r="AJ4492">
        <v>1</v>
      </c>
      <c r="AK4492">
        <v>0</v>
      </c>
      <c r="AL4492">
        <v>0</v>
      </c>
      <c r="AM4492">
        <v>1</v>
      </c>
      <c r="AN4492">
        <v>0</v>
      </c>
      <c r="AO4492">
        <v>1</v>
      </c>
      <c r="AP4492">
        <v>0</v>
      </c>
      <c r="AQ4492">
        <v>1</v>
      </c>
      <c r="AR4492">
        <v>1</v>
      </c>
      <c r="AS4492">
        <v>0</v>
      </c>
      <c r="AT4492">
        <v>1</v>
      </c>
      <c r="AV4492">
        <v>1</v>
      </c>
      <c r="AW4492">
        <v>0</v>
      </c>
    </row>
    <row r="4493" spans="1:49" x14ac:dyDescent="0.25">
      <c r="A4493" t="str">
        <f>"4489"</f>
        <v>4489</v>
      </c>
      <c r="B4493" t="str">
        <f t="shared" si="257"/>
        <v>1</v>
      </c>
      <c r="C4493" t="str">
        <f t="shared" si="259"/>
        <v>196</v>
      </c>
      <c r="D4493" t="str">
        <f>"6"</f>
        <v>6</v>
      </c>
      <c r="E4493" t="str">
        <f>"1-196-6"</f>
        <v>1-196-6</v>
      </c>
      <c r="F4493" t="s">
        <v>83</v>
      </c>
      <c r="G4493" t="s">
        <v>84</v>
      </c>
      <c r="H4493" t="s">
        <v>85</v>
      </c>
      <c r="AC4493">
        <v>0</v>
      </c>
      <c r="AD4493">
        <v>1</v>
      </c>
      <c r="AE4493">
        <v>0</v>
      </c>
      <c r="AF4493">
        <v>0</v>
      </c>
      <c r="AG4493">
        <v>0</v>
      </c>
      <c r="AJ4493">
        <v>0</v>
      </c>
      <c r="AK4493">
        <v>1</v>
      </c>
      <c r="AL4493">
        <v>1</v>
      </c>
      <c r="AM4493">
        <v>0</v>
      </c>
      <c r="AN4493">
        <v>0</v>
      </c>
      <c r="AO4493">
        <v>1</v>
      </c>
      <c r="AP4493">
        <v>1</v>
      </c>
      <c r="AQ4493">
        <v>0</v>
      </c>
      <c r="AR4493">
        <v>1</v>
      </c>
      <c r="AS4493">
        <v>1</v>
      </c>
      <c r="AT4493">
        <v>0</v>
      </c>
      <c r="AV4493">
        <v>1</v>
      </c>
      <c r="AW4493">
        <v>1</v>
      </c>
    </row>
    <row r="4494" spans="1:49" x14ac:dyDescent="0.25">
      <c r="A4494" t="str">
        <f>"4490"</f>
        <v>4490</v>
      </c>
      <c r="B4494" t="str">
        <f t="shared" si="257"/>
        <v>1</v>
      </c>
      <c r="C4494" t="str">
        <f t="shared" si="259"/>
        <v>196</v>
      </c>
      <c r="D4494" t="str">
        <f>"25"</f>
        <v>25</v>
      </c>
      <c r="E4494" t="str">
        <f>"1-196-25"</f>
        <v>1-196-25</v>
      </c>
      <c r="F4494" t="s">
        <v>83</v>
      </c>
      <c r="G4494" t="s">
        <v>84</v>
      </c>
      <c r="H4494" t="s">
        <v>85</v>
      </c>
      <c r="AC4494">
        <v>1</v>
      </c>
      <c r="AD4494">
        <v>0</v>
      </c>
      <c r="AE4494">
        <v>0</v>
      </c>
      <c r="AF4494">
        <v>0</v>
      </c>
      <c r="AG4494">
        <v>1</v>
      </c>
      <c r="AJ4494">
        <v>0</v>
      </c>
      <c r="AK4494">
        <v>1</v>
      </c>
      <c r="AL4494">
        <v>0</v>
      </c>
      <c r="AM4494">
        <v>0</v>
      </c>
      <c r="AN4494">
        <v>1</v>
      </c>
      <c r="AO4494">
        <v>1</v>
      </c>
      <c r="AP4494">
        <v>1</v>
      </c>
      <c r="AQ4494">
        <v>1</v>
      </c>
      <c r="AR4494">
        <v>1</v>
      </c>
      <c r="AS4494">
        <v>0</v>
      </c>
      <c r="AT4494">
        <v>1</v>
      </c>
      <c r="AV4494">
        <v>1</v>
      </c>
      <c r="AW4494">
        <v>1</v>
      </c>
    </row>
    <row r="4495" spans="1:49" x14ac:dyDescent="0.25">
      <c r="A4495" t="str">
        <f>"4491"</f>
        <v>4491</v>
      </c>
      <c r="B4495" t="str">
        <f t="shared" si="257"/>
        <v>1</v>
      </c>
      <c r="C4495" t="str">
        <f t="shared" si="259"/>
        <v>196</v>
      </c>
      <c r="D4495" t="str">
        <f>"24"</f>
        <v>24</v>
      </c>
      <c r="E4495" t="str">
        <f>"1-196-24"</f>
        <v>1-196-24</v>
      </c>
      <c r="F4495" t="s">
        <v>83</v>
      </c>
      <c r="G4495" t="s">
        <v>86</v>
      </c>
      <c r="H4495" t="s">
        <v>87</v>
      </c>
      <c r="AC4495">
        <v>1</v>
      </c>
      <c r="AD4495">
        <v>0</v>
      </c>
      <c r="AE4495">
        <v>0</v>
      </c>
      <c r="AF4495">
        <v>0</v>
      </c>
      <c r="AH4495">
        <v>1</v>
      </c>
      <c r="AI4495">
        <v>0</v>
      </c>
      <c r="AJ4495">
        <v>0</v>
      </c>
      <c r="AK4495">
        <v>1</v>
      </c>
      <c r="AL4495">
        <v>1</v>
      </c>
      <c r="AM4495">
        <v>0</v>
      </c>
      <c r="AN4495">
        <v>0</v>
      </c>
      <c r="AO4495">
        <v>1</v>
      </c>
      <c r="AP4495">
        <v>1</v>
      </c>
      <c r="AQ4495">
        <v>1</v>
      </c>
      <c r="AU4495">
        <v>1</v>
      </c>
      <c r="AV4495">
        <v>1</v>
      </c>
      <c r="AW4495">
        <v>1</v>
      </c>
    </row>
    <row r="4496" spans="1:49" x14ac:dyDescent="0.25">
      <c r="A4496" t="str">
        <f>"4492"</f>
        <v>4492</v>
      </c>
      <c r="B4496" t="str">
        <f t="shared" si="257"/>
        <v>1</v>
      </c>
      <c r="C4496" t="str">
        <f t="shared" si="259"/>
        <v>196</v>
      </c>
      <c r="D4496" t="str">
        <f>"16"</f>
        <v>16</v>
      </c>
      <c r="E4496" t="str">
        <f>"1-196-16"</f>
        <v>1-196-16</v>
      </c>
      <c r="F4496" t="s">
        <v>83</v>
      </c>
      <c r="G4496" t="s">
        <v>84</v>
      </c>
      <c r="H4496" t="s">
        <v>85</v>
      </c>
      <c r="AC4496">
        <v>0</v>
      </c>
      <c r="AD4496">
        <v>1</v>
      </c>
      <c r="AE4496">
        <v>0</v>
      </c>
      <c r="AF4496">
        <v>0</v>
      </c>
      <c r="AG4496">
        <v>0</v>
      </c>
      <c r="AJ4496">
        <v>1</v>
      </c>
      <c r="AK4496">
        <v>0</v>
      </c>
      <c r="AL4496">
        <v>0</v>
      </c>
      <c r="AM4496">
        <v>1</v>
      </c>
      <c r="AN4496">
        <v>0</v>
      </c>
      <c r="AO4496">
        <v>1</v>
      </c>
      <c r="AP4496">
        <v>1</v>
      </c>
      <c r="AQ4496">
        <v>1</v>
      </c>
      <c r="AR4496">
        <v>1</v>
      </c>
      <c r="AS4496">
        <v>0</v>
      </c>
      <c r="AT4496">
        <v>1</v>
      </c>
      <c r="AV4496">
        <v>1</v>
      </c>
      <c r="AW4496">
        <v>1</v>
      </c>
    </row>
    <row r="4497" spans="1:49" x14ac:dyDescent="0.25">
      <c r="A4497" t="str">
        <f>"4493"</f>
        <v>4493</v>
      </c>
      <c r="B4497" t="str">
        <f t="shared" si="257"/>
        <v>1</v>
      </c>
      <c r="C4497" t="str">
        <f t="shared" si="259"/>
        <v>196</v>
      </c>
      <c r="D4497" t="str">
        <f>"10"</f>
        <v>10</v>
      </c>
      <c r="E4497" t="str">
        <f>"1-196-10"</f>
        <v>1-196-10</v>
      </c>
      <c r="F4497" t="s">
        <v>83</v>
      </c>
      <c r="G4497" t="s">
        <v>84</v>
      </c>
      <c r="H4497" t="s">
        <v>85</v>
      </c>
      <c r="AC4497">
        <v>0</v>
      </c>
      <c r="AD4497">
        <v>1</v>
      </c>
      <c r="AE4497">
        <v>0</v>
      </c>
      <c r="AF4497">
        <v>0</v>
      </c>
      <c r="AG4497">
        <v>1</v>
      </c>
      <c r="AJ4497">
        <v>1</v>
      </c>
      <c r="AK4497">
        <v>0</v>
      </c>
      <c r="AL4497">
        <v>0</v>
      </c>
      <c r="AM4497">
        <v>1</v>
      </c>
      <c r="AN4497">
        <v>0</v>
      </c>
      <c r="AO4497">
        <v>1</v>
      </c>
      <c r="AP4497">
        <v>1</v>
      </c>
      <c r="AQ4497">
        <v>1</v>
      </c>
      <c r="AR4497">
        <v>1</v>
      </c>
      <c r="AS4497">
        <v>0</v>
      </c>
      <c r="AT4497">
        <v>1</v>
      </c>
      <c r="AV4497">
        <v>1</v>
      </c>
      <c r="AW4497">
        <v>1</v>
      </c>
    </row>
    <row r="4498" spans="1:49" x14ac:dyDescent="0.25">
      <c r="A4498" t="str">
        <f>"4494"</f>
        <v>4494</v>
      </c>
      <c r="B4498" t="str">
        <f t="shared" si="257"/>
        <v>1</v>
      </c>
      <c r="C4498" t="str">
        <f t="shared" si="259"/>
        <v>196</v>
      </c>
      <c r="D4498" t="str">
        <f>"4"</f>
        <v>4</v>
      </c>
      <c r="E4498" t="str">
        <f>"1-196-4"</f>
        <v>1-196-4</v>
      </c>
      <c r="F4498" t="s">
        <v>83</v>
      </c>
      <c r="G4498" t="s">
        <v>84</v>
      </c>
      <c r="H4498" t="s">
        <v>85</v>
      </c>
      <c r="AC4498">
        <v>0</v>
      </c>
      <c r="AD4498">
        <v>1</v>
      </c>
      <c r="AE4498">
        <v>0</v>
      </c>
      <c r="AF4498">
        <v>0</v>
      </c>
      <c r="AG4498">
        <v>1</v>
      </c>
      <c r="AJ4498">
        <v>0</v>
      </c>
      <c r="AK4498">
        <v>1</v>
      </c>
      <c r="AL4498">
        <v>0</v>
      </c>
      <c r="AM4498">
        <v>0</v>
      </c>
      <c r="AN4498">
        <v>1</v>
      </c>
      <c r="AO4498">
        <v>1</v>
      </c>
      <c r="AP4498">
        <v>1</v>
      </c>
      <c r="AQ4498">
        <v>1</v>
      </c>
      <c r="AR4498">
        <v>1</v>
      </c>
      <c r="AS4498">
        <v>0</v>
      </c>
      <c r="AT4498">
        <v>0</v>
      </c>
      <c r="AV4498">
        <v>1</v>
      </c>
      <c r="AW4498">
        <v>1</v>
      </c>
    </row>
    <row r="4499" spans="1:49" x14ac:dyDescent="0.25">
      <c r="A4499" t="str">
        <f>"4495"</f>
        <v>4495</v>
      </c>
      <c r="B4499" t="str">
        <f t="shared" si="257"/>
        <v>1</v>
      </c>
      <c r="C4499" t="str">
        <f t="shared" si="259"/>
        <v>196</v>
      </c>
      <c r="D4499" t="str">
        <f>"22"</f>
        <v>22</v>
      </c>
      <c r="E4499" t="str">
        <f>"1-196-22"</f>
        <v>1-196-22</v>
      </c>
      <c r="F4499" t="s">
        <v>83</v>
      </c>
      <c r="G4499" t="s">
        <v>84</v>
      </c>
      <c r="H4499" t="s">
        <v>85</v>
      </c>
      <c r="AC4499">
        <v>0</v>
      </c>
      <c r="AD4499">
        <v>1</v>
      </c>
      <c r="AE4499">
        <v>0</v>
      </c>
      <c r="AF4499">
        <v>0</v>
      </c>
      <c r="AG4499">
        <v>0</v>
      </c>
      <c r="AJ4499">
        <v>0</v>
      </c>
      <c r="AK4499">
        <v>1</v>
      </c>
      <c r="AL4499">
        <v>0</v>
      </c>
      <c r="AM4499">
        <v>0</v>
      </c>
      <c r="AN4499">
        <v>1</v>
      </c>
      <c r="AO4499">
        <v>0</v>
      </c>
      <c r="AP4499">
        <v>0</v>
      </c>
      <c r="AQ4499">
        <v>0</v>
      </c>
      <c r="AR4499">
        <v>0</v>
      </c>
      <c r="AS4499">
        <v>0</v>
      </c>
      <c r="AT4499">
        <v>1</v>
      </c>
      <c r="AV4499">
        <v>0</v>
      </c>
      <c r="AW4499">
        <v>0</v>
      </c>
    </row>
    <row r="4500" spans="1:49" x14ac:dyDescent="0.25">
      <c r="A4500" t="str">
        <f>"4496"</f>
        <v>4496</v>
      </c>
      <c r="B4500" t="str">
        <f t="shared" si="257"/>
        <v>1</v>
      </c>
      <c r="C4500" t="str">
        <f t="shared" si="259"/>
        <v>196</v>
      </c>
      <c r="D4500" t="str">
        <f>"12"</f>
        <v>12</v>
      </c>
      <c r="E4500" t="str">
        <f>"1-196-12"</f>
        <v>1-196-12</v>
      </c>
      <c r="F4500" t="s">
        <v>83</v>
      </c>
      <c r="G4500" t="s">
        <v>84</v>
      </c>
      <c r="H4500" t="s">
        <v>85</v>
      </c>
      <c r="AC4500">
        <v>1</v>
      </c>
      <c r="AD4500">
        <v>0</v>
      </c>
      <c r="AE4500">
        <v>0</v>
      </c>
      <c r="AF4500">
        <v>0</v>
      </c>
      <c r="AG4500">
        <v>1</v>
      </c>
      <c r="AJ4500">
        <v>1</v>
      </c>
      <c r="AK4500">
        <v>0</v>
      </c>
      <c r="AL4500">
        <v>0</v>
      </c>
      <c r="AM4500">
        <v>0</v>
      </c>
      <c r="AN4500">
        <v>1</v>
      </c>
      <c r="AO4500">
        <v>1</v>
      </c>
      <c r="AP4500">
        <v>1</v>
      </c>
      <c r="AQ4500">
        <v>1</v>
      </c>
      <c r="AR4500">
        <v>1</v>
      </c>
      <c r="AS4500">
        <v>0</v>
      </c>
      <c r="AT4500">
        <v>1</v>
      </c>
      <c r="AV4500">
        <v>1</v>
      </c>
      <c r="AW4500">
        <v>1</v>
      </c>
    </row>
    <row r="4501" spans="1:49" x14ac:dyDescent="0.25">
      <c r="A4501" t="str">
        <f>"4497"</f>
        <v>4497</v>
      </c>
      <c r="B4501" t="str">
        <f t="shared" si="257"/>
        <v>1</v>
      </c>
      <c r="C4501" t="str">
        <f t="shared" si="259"/>
        <v>196</v>
      </c>
      <c r="D4501" t="str">
        <f>"1"</f>
        <v>1</v>
      </c>
      <c r="E4501" t="str">
        <f>"1-196-1"</f>
        <v>1-196-1</v>
      </c>
      <c r="F4501" t="s">
        <v>83</v>
      </c>
      <c r="G4501" t="s">
        <v>86</v>
      </c>
      <c r="H4501" t="s">
        <v>87</v>
      </c>
      <c r="AC4501">
        <v>0</v>
      </c>
      <c r="AD4501">
        <v>1</v>
      </c>
      <c r="AE4501">
        <v>0</v>
      </c>
      <c r="AF4501">
        <v>0</v>
      </c>
      <c r="AH4501">
        <v>1</v>
      </c>
      <c r="AI4501">
        <v>0</v>
      </c>
      <c r="AJ4501">
        <v>1</v>
      </c>
      <c r="AK4501">
        <v>0</v>
      </c>
      <c r="AL4501">
        <v>0</v>
      </c>
      <c r="AM4501">
        <v>0</v>
      </c>
      <c r="AN4501">
        <v>0</v>
      </c>
      <c r="AO4501">
        <v>0</v>
      </c>
      <c r="AP4501">
        <v>0</v>
      </c>
      <c r="AQ4501">
        <v>0</v>
      </c>
      <c r="AU4501">
        <v>0</v>
      </c>
      <c r="AV4501">
        <v>0</v>
      </c>
      <c r="AW4501">
        <v>0</v>
      </c>
    </row>
    <row r="4502" spans="1:49" x14ac:dyDescent="0.25">
      <c r="A4502" t="str">
        <f>"4498"</f>
        <v>4498</v>
      </c>
      <c r="B4502" t="str">
        <f t="shared" si="257"/>
        <v>1</v>
      </c>
      <c r="C4502" t="str">
        <f t="shared" si="259"/>
        <v>196</v>
      </c>
      <c r="D4502" t="str">
        <f>"23"</f>
        <v>23</v>
      </c>
      <c r="E4502" t="str">
        <f>"1-196-23"</f>
        <v>1-196-23</v>
      </c>
      <c r="F4502" t="s">
        <v>83</v>
      </c>
      <c r="G4502" t="s">
        <v>84</v>
      </c>
      <c r="H4502" t="s">
        <v>85</v>
      </c>
      <c r="AC4502">
        <v>0</v>
      </c>
      <c r="AD4502">
        <v>1</v>
      </c>
      <c r="AE4502">
        <v>0</v>
      </c>
      <c r="AF4502">
        <v>0</v>
      </c>
      <c r="AG4502">
        <v>0</v>
      </c>
      <c r="AJ4502">
        <v>0</v>
      </c>
      <c r="AK4502">
        <v>0</v>
      </c>
      <c r="AL4502">
        <v>0</v>
      </c>
      <c r="AM4502">
        <v>0</v>
      </c>
      <c r="AN4502">
        <v>0</v>
      </c>
      <c r="AO4502">
        <v>0</v>
      </c>
      <c r="AP4502">
        <v>0</v>
      </c>
      <c r="AQ4502">
        <v>0</v>
      </c>
      <c r="AR4502">
        <v>0</v>
      </c>
      <c r="AS4502">
        <v>0</v>
      </c>
      <c r="AT4502">
        <v>0</v>
      </c>
      <c r="AV4502">
        <v>0</v>
      </c>
      <c r="AW4502">
        <v>0</v>
      </c>
    </row>
    <row r="4503" spans="1:49" x14ac:dyDescent="0.25">
      <c r="A4503" t="str">
        <f>"4499"</f>
        <v>4499</v>
      </c>
      <c r="B4503" t="str">
        <f t="shared" si="257"/>
        <v>1</v>
      </c>
      <c r="C4503" t="str">
        <f t="shared" si="259"/>
        <v>196</v>
      </c>
      <c r="D4503" t="str">
        <f>"13"</f>
        <v>13</v>
      </c>
      <c r="E4503" t="str">
        <f>"1-196-13"</f>
        <v>1-196-13</v>
      </c>
      <c r="F4503" t="s">
        <v>83</v>
      </c>
      <c r="G4503" t="s">
        <v>84</v>
      </c>
      <c r="H4503" t="s">
        <v>85</v>
      </c>
      <c r="AC4503">
        <v>0</v>
      </c>
      <c r="AD4503">
        <v>1</v>
      </c>
      <c r="AE4503">
        <v>0</v>
      </c>
      <c r="AF4503">
        <v>0</v>
      </c>
      <c r="AG4503">
        <v>1</v>
      </c>
      <c r="AJ4503">
        <v>0</v>
      </c>
      <c r="AK4503">
        <v>1</v>
      </c>
      <c r="AL4503">
        <v>0</v>
      </c>
      <c r="AM4503">
        <v>0</v>
      </c>
      <c r="AN4503">
        <v>1</v>
      </c>
      <c r="AO4503">
        <v>1</v>
      </c>
      <c r="AP4503">
        <v>1</v>
      </c>
      <c r="AQ4503">
        <v>1</v>
      </c>
      <c r="AR4503">
        <v>1</v>
      </c>
      <c r="AS4503">
        <v>0</v>
      </c>
      <c r="AT4503">
        <v>1</v>
      </c>
      <c r="AV4503">
        <v>1</v>
      </c>
      <c r="AW4503">
        <v>1</v>
      </c>
    </row>
    <row r="4504" spans="1:49" x14ac:dyDescent="0.25">
      <c r="A4504" t="str">
        <f>"4500"</f>
        <v>4500</v>
      </c>
      <c r="B4504" t="str">
        <f t="shared" si="257"/>
        <v>1</v>
      </c>
      <c r="C4504" t="str">
        <f t="shared" si="259"/>
        <v>196</v>
      </c>
      <c r="D4504" t="str">
        <f>"7"</f>
        <v>7</v>
      </c>
      <c r="E4504" t="str">
        <f>"1-196-7"</f>
        <v>1-196-7</v>
      </c>
      <c r="F4504" t="s">
        <v>83</v>
      </c>
      <c r="G4504" t="s">
        <v>84</v>
      </c>
      <c r="H4504" t="s">
        <v>85</v>
      </c>
      <c r="AC4504">
        <v>0</v>
      </c>
      <c r="AD4504">
        <v>1</v>
      </c>
      <c r="AE4504">
        <v>0</v>
      </c>
      <c r="AF4504">
        <v>0</v>
      </c>
      <c r="AG4504">
        <v>1</v>
      </c>
      <c r="AJ4504">
        <v>0</v>
      </c>
      <c r="AK4504">
        <v>0</v>
      </c>
      <c r="AL4504">
        <v>1</v>
      </c>
      <c r="AM4504">
        <v>0</v>
      </c>
      <c r="AN4504">
        <v>0</v>
      </c>
      <c r="AO4504">
        <v>1</v>
      </c>
      <c r="AP4504">
        <v>0</v>
      </c>
      <c r="AQ4504">
        <v>0</v>
      </c>
      <c r="AR4504">
        <v>0</v>
      </c>
      <c r="AS4504">
        <v>0</v>
      </c>
      <c r="AT4504">
        <v>0</v>
      </c>
      <c r="AV4504">
        <v>0</v>
      </c>
      <c r="AW4504">
        <v>1</v>
      </c>
    </row>
    <row r="4505" spans="1:49" x14ac:dyDescent="0.25">
      <c r="A4505" t="str">
        <f>"4501"</f>
        <v>4501</v>
      </c>
      <c r="B4505" t="str">
        <f t="shared" si="257"/>
        <v>1</v>
      </c>
      <c r="C4505" t="str">
        <f t="shared" si="259"/>
        <v>196</v>
      </c>
      <c r="D4505" t="str">
        <f>"18"</f>
        <v>18</v>
      </c>
      <c r="E4505" t="str">
        <f>"1-196-18"</f>
        <v>1-196-18</v>
      </c>
      <c r="F4505" t="s">
        <v>83</v>
      </c>
      <c r="G4505" t="s">
        <v>84</v>
      </c>
      <c r="H4505" t="s">
        <v>85</v>
      </c>
      <c r="AC4505">
        <v>1</v>
      </c>
      <c r="AD4505">
        <v>0</v>
      </c>
      <c r="AE4505">
        <v>0</v>
      </c>
      <c r="AF4505">
        <v>0</v>
      </c>
      <c r="AG4505">
        <v>1</v>
      </c>
      <c r="AJ4505">
        <v>1</v>
      </c>
      <c r="AK4505">
        <v>0</v>
      </c>
      <c r="AL4505">
        <v>0</v>
      </c>
      <c r="AM4505">
        <v>1</v>
      </c>
      <c r="AN4505">
        <v>0</v>
      </c>
      <c r="AO4505">
        <v>1</v>
      </c>
      <c r="AP4505">
        <v>1</v>
      </c>
      <c r="AQ4505">
        <v>1</v>
      </c>
      <c r="AR4505">
        <v>1</v>
      </c>
      <c r="AS4505">
        <v>0</v>
      </c>
      <c r="AT4505">
        <v>1</v>
      </c>
      <c r="AV4505">
        <v>1</v>
      </c>
      <c r="AW4505">
        <v>1</v>
      </c>
    </row>
    <row r="4506" spans="1:49" x14ac:dyDescent="0.25">
      <c r="A4506" t="str">
        <f>"4502"</f>
        <v>4502</v>
      </c>
      <c r="B4506" t="str">
        <f t="shared" si="257"/>
        <v>1</v>
      </c>
      <c r="C4506" t="str">
        <f t="shared" si="259"/>
        <v>196</v>
      </c>
      <c r="D4506" t="str">
        <f>"3"</f>
        <v>3</v>
      </c>
      <c r="E4506" t="str">
        <f>"1-196-3"</f>
        <v>1-196-3</v>
      </c>
      <c r="F4506" t="s">
        <v>83</v>
      </c>
      <c r="G4506" t="s">
        <v>86</v>
      </c>
      <c r="H4506" t="s">
        <v>87</v>
      </c>
      <c r="AC4506">
        <v>1</v>
      </c>
      <c r="AD4506">
        <v>0</v>
      </c>
      <c r="AE4506">
        <v>0</v>
      </c>
      <c r="AF4506">
        <v>0</v>
      </c>
      <c r="AH4506">
        <v>1</v>
      </c>
      <c r="AI4506">
        <v>0</v>
      </c>
      <c r="AJ4506">
        <v>0</v>
      </c>
      <c r="AK4506">
        <v>1</v>
      </c>
      <c r="AL4506">
        <v>1</v>
      </c>
      <c r="AM4506">
        <v>0</v>
      </c>
      <c r="AN4506">
        <v>0</v>
      </c>
      <c r="AO4506">
        <v>1</v>
      </c>
      <c r="AP4506">
        <v>1</v>
      </c>
      <c r="AQ4506">
        <v>1</v>
      </c>
      <c r="AU4506">
        <v>1</v>
      </c>
      <c r="AV4506">
        <v>1</v>
      </c>
      <c r="AW4506">
        <v>1</v>
      </c>
    </row>
    <row r="4507" spans="1:49" x14ac:dyDescent="0.25">
      <c r="A4507" t="str">
        <f>"4503"</f>
        <v>4503</v>
      </c>
      <c r="B4507" t="str">
        <f t="shared" si="257"/>
        <v>1</v>
      </c>
      <c r="C4507" t="str">
        <f t="shared" si="259"/>
        <v>196</v>
      </c>
      <c r="D4507" t="str">
        <f>"19"</f>
        <v>19</v>
      </c>
      <c r="E4507" t="str">
        <f>"1-196-19"</f>
        <v>1-196-19</v>
      </c>
      <c r="F4507" t="s">
        <v>83</v>
      </c>
      <c r="G4507" t="s">
        <v>84</v>
      </c>
      <c r="H4507" t="s">
        <v>85</v>
      </c>
      <c r="AC4507">
        <v>0</v>
      </c>
      <c r="AD4507">
        <v>0</v>
      </c>
      <c r="AE4507">
        <v>0</v>
      </c>
      <c r="AF4507">
        <v>0</v>
      </c>
      <c r="AG4507">
        <v>0</v>
      </c>
      <c r="AJ4507">
        <v>0</v>
      </c>
      <c r="AK4507">
        <v>0</v>
      </c>
      <c r="AL4507">
        <v>0</v>
      </c>
      <c r="AM4507">
        <v>0</v>
      </c>
      <c r="AN4507">
        <v>0</v>
      </c>
      <c r="AO4507">
        <v>0</v>
      </c>
      <c r="AP4507">
        <v>0</v>
      </c>
      <c r="AQ4507">
        <v>1</v>
      </c>
      <c r="AR4507">
        <v>0</v>
      </c>
      <c r="AS4507">
        <v>0</v>
      </c>
      <c r="AT4507">
        <v>0</v>
      </c>
      <c r="AV4507">
        <v>0</v>
      </c>
      <c r="AW4507">
        <v>1</v>
      </c>
    </row>
    <row r="4508" spans="1:49" x14ac:dyDescent="0.25">
      <c r="A4508" t="str">
        <f>"4504"</f>
        <v>4504</v>
      </c>
      <c r="B4508" t="str">
        <f t="shared" si="257"/>
        <v>1</v>
      </c>
      <c r="C4508" t="str">
        <f t="shared" si="259"/>
        <v>196</v>
      </c>
      <c r="D4508" t="str">
        <f>"5"</f>
        <v>5</v>
      </c>
      <c r="E4508" t="str">
        <f>"1-196-5"</f>
        <v>1-196-5</v>
      </c>
      <c r="F4508" t="s">
        <v>83</v>
      </c>
      <c r="G4508" t="s">
        <v>84</v>
      </c>
      <c r="H4508" t="s">
        <v>85</v>
      </c>
      <c r="AC4508">
        <v>1</v>
      </c>
      <c r="AD4508">
        <v>0</v>
      </c>
      <c r="AE4508">
        <v>0</v>
      </c>
      <c r="AF4508">
        <v>0</v>
      </c>
      <c r="AG4508">
        <v>0</v>
      </c>
      <c r="AJ4508">
        <v>1</v>
      </c>
      <c r="AK4508">
        <v>0</v>
      </c>
      <c r="AL4508">
        <v>0</v>
      </c>
      <c r="AM4508">
        <v>1</v>
      </c>
      <c r="AN4508">
        <v>0</v>
      </c>
      <c r="AO4508">
        <v>0</v>
      </c>
      <c r="AP4508">
        <v>0</v>
      </c>
      <c r="AQ4508">
        <v>0</v>
      </c>
      <c r="AR4508">
        <v>0</v>
      </c>
      <c r="AS4508">
        <v>0</v>
      </c>
      <c r="AT4508">
        <v>1</v>
      </c>
      <c r="AV4508">
        <v>0</v>
      </c>
      <c r="AW4508">
        <v>0</v>
      </c>
    </row>
    <row r="4509" spans="1:49" x14ac:dyDescent="0.25">
      <c r="A4509" t="str">
        <f>"4505"</f>
        <v>4505</v>
      </c>
      <c r="B4509" t="str">
        <f t="shared" si="257"/>
        <v>1</v>
      </c>
      <c r="C4509" t="str">
        <f t="shared" ref="C4509:C4533" si="260">"197"</f>
        <v>197</v>
      </c>
      <c r="D4509" t="str">
        <f>"21"</f>
        <v>21</v>
      </c>
      <c r="E4509" t="str">
        <f>"1-197-21"</f>
        <v>1-197-21</v>
      </c>
      <c r="F4509" t="s">
        <v>83</v>
      </c>
      <c r="G4509" t="s">
        <v>84</v>
      </c>
      <c r="H4509" t="s">
        <v>85</v>
      </c>
      <c r="AC4509">
        <v>0</v>
      </c>
      <c r="AD4509">
        <v>1</v>
      </c>
      <c r="AE4509">
        <v>0</v>
      </c>
      <c r="AF4509">
        <v>0</v>
      </c>
      <c r="AG4509">
        <v>1</v>
      </c>
      <c r="AJ4509">
        <v>1</v>
      </c>
      <c r="AK4509">
        <v>0</v>
      </c>
      <c r="AL4509">
        <v>1</v>
      </c>
      <c r="AM4509">
        <v>0</v>
      </c>
      <c r="AN4509">
        <v>0</v>
      </c>
      <c r="AO4509">
        <v>1</v>
      </c>
      <c r="AP4509">
        <v>1</v>
      </c>
      <c r="AQ4509">
        <v>1</v>
      </c>
      <c r="AR4509">
        <v>1</v>
      </c>
      <c r="AS4509">
        <v>1</v>
      </c>
      <c r="AT4509">
        <v>0</v>
      </c>
      <c r="AV4509">
        <v>1</v>
      </c>
      <c r="AW4509">
        <v>1</v>
      </c>
    </row>
    <row r="4510" spans="1:49" x14ac:dyDescent="0.25">
      <c r="A4510" t="str">
        <f>"4506"</f>
        <v>4506</v>
      </c>
      <c r="B4510" t="str">
        <f t="shared" ref="B4510:B4573" si="261">"1"</f>
        <v>1</v>
      </c>
      <c r="C4510" t="str">
        <f t="shared" si="260"/>
        <v>197</v>
      </c>
      <c r="D4510" t="str">
        <f>"20"</f>
        <v>20</v>
      </c>
      <c r="E4510" t="str">
        <f>"1-197-20"</f>
        <v>1-197-20</v>
      </c>
      <c r="F4510" t="s">
        <v>83</v>
      </c>
      <c r="G4510" t="s">
        <v>84</v>
      </c>
      <c r="H4510" t="s">
        <v>85</v>
      </c>
      <c r="AC4510">
        <v>0</v>
      </c>
      <c r="AD4510">
        <v>1</v>
      </c>
      <c r="AE4510">
        <v>0</v>
      </c>
      <c r="AF4510">
        <v>0</v>
      </c>
      <c r="AG4510">
        <v>0</v>
      </c>
      <c r="AJ4510">
        <v>0</v>
      </c>
      <c r="AK4510">
        <v>1</v>
      </c>
      <c r="AL4510">
        <v>1</v>
      </c>
      <c r="AM4510">
        <v>0</v>
      </c>
      <c r="AN4510">
        <v>0</v>
      </c>
      <c r="AO4510">
        <v>1</v>
      </c>
      <c r="AP4510">
        <v>1</v>
      </c>
      <c r="AQ4510">
        <v>1</v>
      </c>
      <c r="AR4510">
        <v>1</v>
      </c>
      <c r="AS4510">
        <v>1</v>
      </c>
      <c r="AT4510">
        <v>0</v>
      </c>
      <c r="AV4510">
        <v>1</v>
      </c>
      <c r="AW4510">
        <v>1</v>
      </c>
    </row>
    <row r="4511" spans="1:49" x14ac:dyDescent="0.25">
      <c r="A4511" t="str">
        <f>"4507"</f>
        <v>4507</v>
      </c>
      <c r="B4511" t="str">
        <f t="shared" si="261"/>
        <v>1</v>
      </c>
      <c r="C4511" t="str">
        <f t="shared" si="260"/>
        <v>197</v>
      </c>
      <c r="D4511" t="str">
        <f>"15"</f>
        <v>15</v>
      </c>
      <c r="E4511" t="str">
        <f>"1-197-15"</f>
        <v>1-197-15</v>
      </c>
      <c r="F4511" t="s">
        <v>83</v>
      </c>
      <c r="G4511" t="s">
        <v>84</v>
      </c>
      <c r="H4511" t="s">
        <v>85</v>
      </c>
      <c r="AC4511">
        <v>0</v>
      </c>
      <c r="AD4511">
        <v>1</v>
      </c>
      <c r="AE4511">
        <v>0</v>
      </c>
      <c r="AF4511">
        <v>0</v>
      </c>
      <c r="AG4511">
        <v>0</v>
      </c>
      <c r="AJ4511">
        <v>0</v>
      </c>
      <c r="AK4511">
        <v>1</v>
      </c>
      <c r="AL4511">
        <v>0</v>
      </c>
      <c r="AM4511">
        <v>0</v>
      </c>
      <c r="AN4511">
        <v>1</v>
      </c>
      <c r="AO4511">
        <v>0</v>
      </c>
      <c r="AP4511">
        <v>0</v>
      </c>
      <c r="AQ4511">
        <v>0</v>
      </c>
      <c r="AR4511">
        <v>0</v>
      </c>
      <c r="AS4511">
        <v>0</v>
      </c>
      <c r="AT4511">
        <v>1</v>
      </c>
      <c r="AV4511">
        <v>0</v>
      </c>
      <c r="AW4511">
        <v>0</v>
      </c>
    </row>
    <row r="4512" spans="1:49" x14ac:dyDescent="0.25">
      <c r="A4512" t="str">
        <f>"4508"</f>
        <v>4508</v>
      </c>
      <c r="B4512" t="str">
        <f t="shared" si="261"/>
        <v>1</v>
      </c>
      <c r="C4512" t="str">
        <f t="shared" si="260"/>
        <v>197</v>
      </c>
      <c r="D4512" t="str">
        <f>"14"</f>
        <v>14</v>
      </c>
      <c r="E4512" t="str">
        <f>"1-197-14"</f>
        <v>1-197-14</v>
      </c>
      <c r="F4512" t="s">
        <v>83</v>
      </c>
      <c r="G4512" t="s">
        <v>84</v>
      </c>
      <c r="H4512" t="s">
        <v>85</v>
      </c>
      <c r="AC4512">
        <v>0</v>
      </c>
      <c r="AD4512">
        <v>0</v>
      </c>
      <c r="AE4512">
        <v>0</v>
      </c>
      <c r="AF4512">
        <v>0</v>
      </c>
      <c r="AG4512">
        <v>0</v>
      </c>
      <c r="AJ4512">
        <v>0</v>
      </c>
      <c r="AK4512">
        <v>0</v>
      </c>
      <c r="AL4512">
        <v>0</v>
      </c>
      <c r="AM4512">
        <v>0</v>
      </c>
      <c r="AN4512">
        <v>0</v>
      </c>
      <c r="AO4512">
        <v>0</v>
      </c>
      <c r="AP4512">
        <v>0</v>
      </c>
      <c r="AQ4512">
        <v>0</v>
      </c>
      <c r="AR4512">
        <v>0</v>
      </c>
      <c r="AS4512">
        <v>0</v>
      </c>
      <c r="AT4512">
        <v>1</v>
      </c>
      <c r="AV4512">
        <v>0</v>
      </c>
      <c r="AW4512">
        <v>1</v>
      </c>
    </row>
    <row r="4513" spans="1:49" x14ac:dyDescent="0.25">
      <c r="A4513" t="str">
        <f>"4509"</f>
        <v>4509</v>
      </c>
      <c r="B4513" t="str">
        <f t="shared" si="261"/>
        <v>1</v>
      </c>
      <c r="C4513" t="str">
        <f t="shared" si="260"/>
        <v>197</v>
      </c>
      <c r="D4513" t="str">
        <f>"11"</f>
        <v>11</v>
      </c>
      <c r="E4513" t="str">
        <f>"1-197-11"</f>
        <v>1-197-11</v>
      </c>
      <c r="F4513" t="s">
        <v>83</v>
      </c>
      <c r="G4513" t="s">
        <v>84</v>
      </c>
      <c r="H4513" t="s">
        <v>85</v>
      </c>
      <c r="AC4513">
        <v>1</v>
      </c>
      <c r="AD4513">
        <v>0</v>
      </c>
      <c r="AE4513">
        <v>0</v>
      </c>
      <c r="AF4513">
        <v>0</v>
      </c>
      <c r="AG4513">
        <v>1</v>
      </c>
      <c r="AJ4513">
        <v>1</v>
      </c>
      <c r="AK4513">
        <v>0</v>
      </c>
      <c r="AL4513">
        <v>1</v>
      </c>
      <c r="AM4513">
        <v>0</v>
      </c>
      <c r="AN4513">
        <v>0</v>
      </c>
      <c r="AO4513">
        <v>1</v>
      </c>
      <c r="AP4513">
        <v>1</v>
      </c>
      <c r="AQ4513">
        <v>1</v>
      </c>
      <c r="AR4513">
        <v>1</v>
      </c>
      <c r="AS4513">
        <v>1</v>
      </c>
      <c r="AT4513">
        <v>0</v>
      </c>
      <c r="AV4513">
        <v>1</v>
      </c>
      <c r="AW4513">
        <v>1</v>
      </c>
    </row>
    <row r="4514" spans="1:49" x14ac:dyDescent="0.25">
      <c r="A4514" t="str">
        <f>"4510"</f>
        <v>4510</v>
      </c>
      <c r="B4514" t="str">
        <f t="shared" si="261"/>
        <v>1</v>
      </c>
      <c r="C4514" t="str">
        <f t="shared" si="260"/>
        <v>197</v>
      </c>
      <c r="D4514" t="str">
        <f>"8"</f>
        <v>8</v>
      </c>
      <c r="E4514" t="str">
        <f>"1-197-8"</f>
        <v>1-197-8</v>
      </c>
      <c r="F4514" t="s">
        <v>83</v>
      </c>
      <c r="G4514" t="s">
        <v>86</v>
      </c>
      <c r="H4514" t="s">
        <v>87</v>
      </c>
      <c r="AC4514">
        <v>0</v>
      </c>
      <c r="AD4514">
        <v>1</v>
      </c>
      <c r="AE4514">
        <v>0</v>
      </c>
      <c r="AF4514">
        <v>0</v>
      </c>
      <c r="AH4514">
        <v>1</v>
      </c>
      <c r="AI4514">
        <v>0</v>
      </c>
      <c r="AJ4514">
        <v>0</v>
      </c>
      <c r="AK4514">
        <v>1</v>
      </c>
      <c r="AL4514">
        <v>0</v>
      </c>
      <c r="AM4514">
        <v>0</v>
      </c>
      <c r="AN4514">
        <v>1</v>
      </c>
      <c r="AO4514">
        <v>1</v>
      </c>
      <c r="AP4514">
        <v>1</v>
      </c>
      <c r="AQ4514">
        <v>1</v>
      </c>
      <c r="AU4514">
        <v>1</v>
      </c>
      <c r="AV4514">
        <v>1</v>
      </c>
      <c r="AW4514">
        <v>1</v>
      </c>
    </row>
    <row r="4515" spans="1:49" x14ac:dyDescent="0.25">
      <c r="A4515" t="str">
        <f>"4511"</f>
        <v>4511</v>
      </c>
      <c r="B4515" t="str">
        <f t="shared" si="261"/>
        <v>1</v>
      </c>
      <c r="C4515" t="str">
        <f t="shared" si="260"/>
        <v>197</v>
      </c>
      <c r="D4515" t="str">
        <f>"3"</f>
        <v>3</v>
      </c>
      <c r="E4515" t="str">
        <f>"1-197-3"</f>
        <v>1-197-3</v>
      </c>
      <c r="F4515" t="s">
        <v>83</v>
      </c>
      <c r="G4515" t="s">
        <v>84</v>
      </c>
      <c r="H4515" t="s">
        <v>85</v>
      </c>
      <c r="AC4515">
        <v>0</v>
      </c>
      <c r="AD4515">
        <v>1</v>
      </c>
      <c r="AE4515">
        <v>0</v>
      </c>
      <c r="AF4515">
        <v>0</v>
      </c>
      <c r="AG4515">
        <v>0</v>
      </c>
      <c r="AJ4515">
        <v>1</v>
      </c>
      <c r="AK4515">
        <v>0</v>
      </c>
      <c r="AL4515">
        <v>0</v>
      </c>
      <c r="AM4515">
        <v>0</v>
      </c>
      <c r="AN4515">
        <v>1</v>
      </c>
      <c r="AO4515">
        <v>0</v>
      </c>
      <c r="AP4515">
        <v>0</v>
      </c>
      <c r="AQ4515">
        <v>0</v>
      </c>
      <c r="AR4515">
        <v>0</v>
      </c>
      <c r="AS4515">
        <v>0</v>
      </c>
      <c r="AT4515">
        <v>1</v>
      </c>
      <c r="AV4515">
        <v>0</v>
      </c>
      <c r="AW4515">
        <v>0</v>
      </c>
    </row>
    <row r="4516" spans="1:49" x14ac:dyDescent="0.25">
      <c r="A4516" t="str">
        <f>"4512"</f>
        <v>4512</v>
      </c>
      <c r="B4516" t="str">
        <f t="shared" si="261"/>
        <v>1</v>
      </c>
      <c r="C4516" t="str">
        <f t="shared" si="260"/>
        <v>197</v>
      </c>
      <c r="D4516" t="str">
        <f>"24"</f>
        <v>24</v>
      </c>
      <c r="E4516" t="str">
        <f>"1-197-24"</f>
        <v>1-197-24</v>
      </c>
      <c r="F4516" t="s">
        <v>83</v>
      </c>
      <c r="G4516" t="s">
        <v>86</v>
      </c>
      <c r="H4516" t="s">
        <v>87</v>
      </c>
      <c r="AC4516">
        <v>1</v>
      </c>
      <c r="AD4516">
        <v>0</v>
      </c>
      <c r="AE4516">
        <v>0</v>
      </c>
      <c r="AF4516">
        <v>0</v>
      </c>
      <c r="AH4516">
        <v>0</v>
      </c>
      <c r="AI4516">
        <v>1</v>
      </c>
      <c r="AJ4516">
        <v>0</v>
      </c>
      <c r="AK4516">
        <v>1</v>
      </c>
      <c r="AL4516">
        <v>0</v>
      </c>
      <c r="AM4516">
        <v>1</v>
      </c>
      <c r="AN4516">
        <v>0</v>
      </c>
      <c r="AO4516">
        <v>1</v>
      </c>
      <c r="AP4516">
        <v>1</v>
      </c>
      <c r="AQ4516">
        <v>1</v>
      </c>
      <c r="AU4516">
        <v>1</v>
      </c>
      <c r="AV4516">
        <v>1</v>
      </c>
      <c r="AW4516">
        <v>0</v>
      </c>
    </row>
    <row r="4517" spans="1:49" x14ac:dyDescent="0.25">
      <c r="A4517" t="str">
        <f>"4513"</f>
        <v>4513</v>
      </c>
      <c r="B4517" t="str">
        <f t="shared" si="261"/>
        <v>1</v>
      </c>
      <c r="C4517" t="str">
        <f t="shared" si="260"/>
        <v>197</v>
      </c>
      <c r="D4517" t="str">
        <f>"23"</f>
        <v>23</v>
      </c>
      <c r="E4517" t="str">
        <f>"1-197-23"</f>
        <v>1-197-23</v>
      </c>
      <c r="F4517" t="s">
        <v>83</v>
      </c>
      <c r="G4517" t="s">
        <v>84</v>
      </c>
      <c r="H4517" t="s">
        <v>85</v>
      </c>
      <c r="AC4517">
        <v>0</v>
      </c>
      <c r="AD4517">
        <v>1</v>
      </c>
      <c r="AE4517">
        <v>0</v>
      </c>
      <c r="AF4517">
        <v>0</v>
      </c>
      <c r="AG4517">
        <v>1</v>
      </c>
      <c r="AJ4517">
        <v>1</v>
      </c>
      <c r="AK4517">
        <v>0</v>
      </c>
      <c r="AL4517">
        <v>1</v>
      </c>
      <c r="AM4517">
        <v>0</v>
      </c>
      <c r="AN4517">
        <v>0</v>
      </c>
      <c r="AO4517">
        <v>1</v>
      </c>
      <c r="AP4517">
        <v>1</v>
      </c>
      <c r="AQ4517">
        <v>1</v>
      </c>
      <c r="AR4517">
        <v>1</v>
      </c>
      <c r="AS4517">
        <v>0</v>
      </c>
      <c r="AT4517">
        <v>1</v>
      </c>
      <c r="AV4517">
        <v>1</v>
      </c>
      <c r="AW4517">
        <v>1</v>
      </c>
    </row>
    <row r="4518" spans="1:49" x14ac:dyDescent="0.25">
      <c r="A4518" t="str">
        <f>"4514"</f>
        <v>4514</v>
      </c>
      <c r="B4518" t="str">
        <f t="shared" si="261"/>
        <v>1</v>
      </c>
      <c r="C4518" t="str">
        <f t="shared" si="260"/>
        <v>197</v>
      </c>
      <c r="D4518" t="str">
        <f>"17"</f>
        <v>17</v>
      </c>
      <c r="E4518" t="str">
        <f>"1-197-17"</f>
        <v>1-197-17</v>
      </c>
      <c r="F4518" t="s">
        <v>83</v>
      </c>
      <c r="G4518" t="s">
        <v>84</v>
      </c>
      <c r="H4518" t="s">
        <v>85</v>
      </c>
      <c r="AC4518">
        <v>0</v>
      </c>
      <c r="AD4518">
        <v>1</v>
      </c>
      <c r="AE4518">
        <v>0</v>
      </c>
      <c r="AF4518">
        <v>0</v>
      </c>
      <c r="AG4518">
        <v>1</v>
      </c>
      <c r="AJ4518">
        <v>0</v>
      </c>
      <c r="AK4518">
        <v>1</v>
      </c>
      <c r="AL4518">
        <v>0</v>
      </c>
      <c r="AM4518">
        <v>0</v>
      </c>
      <c r="AN4518">
        <v>1</v>
      </c>
      <c r="AO4518">
        <v>1</v>
      </c>
      <c r="AP4518">
        <v>1</v>
      </c>
      <c r="AQ4518">
        <v>1</v>
      </c>
      <c r="AR4518">
        <v>1</v>
      </c>
      <c r="AS4518">
        <v>0</v>
      </c>
      <c r="AT4518">
        <v>0</v>
      </c>
      <c r="AV4518">
        <v>1</v>
      </c>
      <c r="AW4518">
        <v>1</v>
      </c>
    </row>
    <row r="4519" spans="1:49" x14ac:dyDescent="0.25">
      <c r="A4519" t="str">
        <f>"4515"</f>
        <v>4515</v>
      </c>
      <c r="B4519" t="str">
        <f t="shared" si="261"/>
        <v>1</v>
      </c>
      <c r="C4519" t="str">
        <f t="shared" si="260"/>
        <v>197</v>
      </c>
      <c r="D4519" t="str">
        <f>"9"</f>
        <v>9</v>
      </c>
      <c r="E4519" t="str">
        <f>"1-197-9"</f>
        <v>1-197-9</v>
      </c>
      <c r="F4519" t="s">
        <v>83</v>
      </c>
      <c r="G4519" t="s">
        <v>86</v>
      </c>
      <c r="H4519" t="s">
        <v>87</v>
      </c>
      <c r="AC4519">
        <v>0</v>
      </c>
      <c r="AD4519">
        <v>1</v>
      </c>
      <c r="AE4519">
        <v>0</v>
      </c>
      <c r="AF4519">
        <v>0</v>
      </c>
      <c r="AH4519">
        <v>0</v>
      </c>
      <c r="AI4519">
        <v>1</v>
      </c>
      <c r="AJ4519">
        <v>0</v>
      </c>
      <c r="AK4519">
        <v>1</v>
      </c>
      <c r="AL4519">
        <v>0</v>
      </c>
      <c r="AM4519">
        <v>0</v>
      </c>
      <c r="AN4519">
        <v>1</v>
      </c>
      <c r="AO4519">
        <v>0</v>
      </c>
      <c r="AP4519">
        <v>0</v>
      </c>
      <c r="AQ4519">
        <v>0</v>
      </c>
      <c r="AU4519">
        <v>0</v>
      </c>
      <c r="AV4519">
        <v>0</v>
      </c>
      <c r="AW4519">
        <v>0</v>
      </c>
    </row>
    <row r="4520" spans="1:49" x14ac:dyDescent="0.25">
      <c r="A4520" t="str">
        <f>"4516"</f>
        <v>4516</v>
      </c>
      <c r="B4520" t="str">
        <f t="shared" si="261"/>
        <v>1</v>
      </c>
      <c r="C4520" t="str">
        <f t="shared" si="260"/>
        <v>197</v>
      </c>
      <c r="D4520" t="str">
        <f>"7"</f>
        <v>7</v>
      </c>
      <c r="E4520" t="str">
        <f>"1-197-7"</f>
        <v>1-197-7</v>
      </c>
      <c r="F4520" t="s">
        <v>83</v>
      </c>
      <c r="G4520" t="s">
        <v>86</v>
      </c>
      <c r="H4520" t="s">
        <v>87</v>
      </c>
      <c r="AC4520">
        <v>0</v>
      </c>
      <c r="AD4520">
        <v>1</v>
      </c>
      <c r="AE4520">
        <v>0</v>
      </c>
      <c r="AF4520">
        <v>0</v>
      </c>
      <c r="AH4520">
        <v>0</v>
      </c>
      <c r="AI4520">
        <v>1</v>
      </c>
      <c r="AJ4520">
        <v>0</v>
      </c>
      <c r="AK4520">
        <v>1</v>
      </c>
      <c r="AL4520">
        <v>0</v>
      </c>
      <c r="AM4520">
        <v>0</v>
      </c>
      <c r="AN4520">
        <v>1</v>
      </c>
      <c r="AO4520">
        <v>1</v>
      </c>
      <c r="AP4520">
        <v>1</v>
      </c>
      <c r="AQ4520">
        <v>1</v>
      </c>
      <c r="AU4520">
        <v>1</v>
      </c>
      <c r="AV4520">
        <v>1</v>
      </c>
      <c r="AW4520">
        <v>1</v>
      </c>
    </row>
    <row r="4521" spans="1:49" x14ac:dyDescent="0.25">
      <c r="A4521" t="str">
        <f>"4517"</f>
        <v>4517</v>
      </c>
      <c r="B4521" t="str">
        <f t="shared" si="261"/>
        <v>1</v>
      </c>
      <c r="C4521" t="str">
        <f t="shared" si="260"/>
        <v>197</v>
      </c>
      <c r="D4521" t="str">
        <f>"16"</f>
        <v>16</v>
      </c>
      <c r="E4521" t="str">
        <f>"1-197-16"</f>
        <v>1-197-16</v>
      </c>
      <c r="F4521" t="s">
        <v>83</v>
      </c>
      <c r="G4521" t="s">
        <v>84</v>
      </c>
      <c r="H4521" t="s">
        <v>85</v>
      </c>
      <c r="AC4521">
        <v>0</v>
      </c>
      <c r="AD4521">
        <v>1</v>
      </c>
      <c r="AE4521">
        <v>0</v>
      </c>
      <c r="AF4521">
        <v>0</v>
      </c>
      <c r="AG4521">
        <v>1</v>
      </c>
      <c r="AJ4521">
        <v>1</v>
      </c>
      <c r="AK4521">
        <v>0</v>
      </c>
      <c r="AL4521">
        <v>1</v>
      </c>
      <c r="AM4521">
        <v>0</v>
      </c>
      <c r="AN4521">
        <v>0</v>
      </c>
      <c r="AO4521">
        <v>1</v>
      </c>
      <c r="AP4521">
        <v>1</v>
      </c>
      <c r="AQ4521">
        <v>1</v>
      </c>
      <c r="AR4521">
        <v>1</v>
      </c>
      <c r="AS4521">
        <v>1</v>
      </c>
      <c r="AT4521">
        <v>0</v>
      </c>
      <c r="AV4521">
        <v>1</v>
      </c>
      <c r="AW4521">
        <v>1</v>
      </c>
    </row>
    <row r="4522" spans="1:49" x14ac:dyDescent="0.25">
      <c r="A4522" t="str">
        <f>"4518"</f>
        <v>4518</v>
      </c>
      <c r="B4522" t="str">
        <f t="shared" si="261"/>
        <v>1</v>
      </c>
      <c r="C4522" t="str">
        <f t="shared" si="260"/>
        <v>197</v>
      </c>
      <c r="D4522" t="str">
        <f>"10"</f>
        <v>10</v>
      </c>
      <c r="E4522" t="str">
        <f>"1-197-10"</f>
        <v>1-197-10</v>
      </c>
      <c r="F4522" t="s">
        <v>83</v>
      </c>
      <c r="G4522" t="s">
        <v>86</v>
      </c>
      <c r="H4522" t="s">
        <v>87</v>
      </c>
      <c r="AC4522">
        <v>1</v>
      </c>
      <c r="AD4522">
        <v>0</v>
      </c>
      <c r="AE4522">
        <v>0</v>
      </c>
      <c r="AF4522">
        <v>0</v>
      </c>
      <c r="AH4522">
        <v>1</v>
      </c>
      <c r="AI4522">
        <v>0</v>
      </c>
      <c r="AJ4522">
        <v>1</v>
      </c>
      <c r="AK4522">
        <v>0</v>
      </c>
      <c r="AL4522">
        <v>1</v>
      </c>
      <c r="AM4522">
        <v>0</v>
      </c>
      <c r="AN4522">
        <v>0</v>
      </c>
      <c r="AO4522">
        <v>0</v>
      </c>
      <c r="AP4522">
        <v>0</v>
      </c>
      <c r="AQ4522">
        <v>0</v>
      </c>
      <c r="AU4522">
        <v>0</v>
      </c>
      <c r="AV4522">
        <v>0</v>
      </c>
      <c r="AW4522">
        <v>0</v>
      </c>
    </row>
    <row r="4523" spans="1:49" x14ac:dyDescent="0.25">
      <c r="A4523" t="str">
        <f>"4519"</f>
        <v>4519</v>
      </c>
      <c r="B4523" t="str">
        <f t="shared" si="261"/>
        <v>1</v>
      </c>
      <c r="C4523" t="str">
        <f t="shared" si="260"/>
        <v>197</v>
      </c>
      <c r="D4523" t="str">
        <f>"2"</f>
        <v>2</v>
      </c>
      <c r="E4523" t="str">
        <f>"1-197-2"</f>
        <v>1-197-2</v>
      </c>
      <c r="F4523" t="s">
        <v>83</v>
      </c>
      <c r="G4523" t="s">
        <v>84</v>
      </c>
      <c r="H4523" t="s">
        <v>85</v>
      </c>
      <c r="AC4523">
        <v>1</v>
      </c>
      <c r="AD4523">
        <v>0</v>
      </c>
      <c r="AE4523">
        <v>0</v>
      </c>
      <c r="AF4523">
        <v>0</v>
      </c>
      <c r="AG4523">
        <v>1</v>
      </c>
      <c r="AJ4523">
        <v>1</v>
      </c>
      <c r="AK4523">
        <v>0</v>
      </c>
      <c r="AL4523">
        <v>0</v>
      </c>
      <c r="AM4523">
        <v>0</v>
      </c>
      <c r="AN4523">
        <v>1</v>
      </c>
      <c r="AO4523">
        <v>1</v>
      </c>
      <c r="AP4523">
        <v>1</v>
      </c>
      <c r="AQ4523">
        <v>1</v>
      </c>
      <c r="AR4523">
        <v>1</v>
      </c>
      <c r="AS4523">
        <v>1</v>
      </c>
      <c r="AT4523">
        <v>0</v>
      </c>
      <c r="AV4523">
        <v>1</v>
      </c>
      <c r="AW4523">
        <v>1</v>
      </c>
    </row>
    <row r="4524" spans="1:49" x14ac:dyDescent="0.25">
      <c r="A4524" t="str">
        <f>"4520"</f>
        <v>4520</v>
      </c>
      <c r="B4524" t="str">
        <f t="shared" si="261"/>
        <v>1</v>
      </c>
      <c r="C4524" t="str">
        <f t="shared" si="260"/>
        <v>197</v>
      </c>
      <c r="D4524" t="str">
        <f>"22"</f>
        <v>22</v>
      </c>
      <c r="E4524" t="str">
        <f>"1-197-22"</f>
        <v>1-197-22</v>
      </c>
      <c r="F4524" t="s">
        <v>83</v>
      </c>
      <c r="G4524" t="s">
        <v>84</v>
      </c>
      <c r="H4524" t="s">
        <v>85</v>
      </c>
      <c r="AC4524">
        <v>0</v>
      </c>
      <c r="AD4524">
        <v>0</v>
      </c>
      <c r="AE4524">
        <v>0</v>
      </c>
      <c r="AF4524">
        <v>0</v>
      </c>
      <c r="AG4524">
        <v>1</v>
      </c>
      <c r="AJ4524">
        <v>0</v>
      </c>
      <c r="AK4524">
        <v>1</v>
      </c>
      <c r="AL4524">
        <v>0</v>
      </c>
      <c r="AM4524">
        <v>1</v>
      </c>
      <c r="AN4524">
        <v>0</v>
      </c>
      <c r="AO4524">
        <v>1</v>
      </c>
      <c r="AP4524">
        <v>1</v>
      </c>
      <c r="AQ4524">
        <v>1</v>
      </c>
      <c r="AR4524">
        <v>1</v>
      </c>
      <c r="AS4524">
        <v>0</v>
      </c>
      <c r="AT4524">
        <v>1</v>
      </c>
      <c r="AV4524">
        <v>1</v>
      </c>
      <c r="AW4524">
        <v>1</v>
      </c>
    </row>
    <row r="4525" spans="1:49" x14ac:dyDescent="0.25">
      <c r="A4525" t="str">
        <f>"4521"</f>
        <v>4521</v>
      </c>
      <c r="B4525" t="str">
        <f t="shared" si="261"/>
        <v>1</v>
      </c>
      <c r="C4525" t="str">
        <f t="shared" si="260"/>
        <v>197</v>
      </c>
      <c r="D4525" t="str">
        <f>"12"</f>
        <v>12</v>
      </c>
      <c r="E4525" t="str">
        <f>"1-197-12"</f>
        <v>1-197-12</v>
      </c>
      <c r="F4525" t="s">
        <v>83</v>
      </c>
      <c r="G4525" t="s">
        <v>84</v>
      </c>
      <c r="H4525" t="s">
        <v>85</v>
      </c>
      <c r="AC4525">
        <v>1</v>
      </c>
      <c r="AD4525">
        <v>0</v>
      </c>
      <c r="AE4525">
        <v>0</v>
      </c>
      <c r="AF4525">
        <v>0</v>
      </c>
      <c r="AG4525">
        <v>1</v>
      </c>
      <c r="AJ4525">
        <v>1</v>
      </c>
      <c r="AK4525">
        <v>0</v>
      </c>
      <c r="AL4525">
        <v>1</v>
      </c>
      <c r="AM4525">
        <v>0</v>
      </c>
      <c r="AN4525">
        <v>0</v>
      </c>
      <c r="AO4525">
        <v>1</v>
      </c>
      <c r="AP4525">
        <v>1</v>
      </c>
      <c r="AQ4525">
        <v>1</v>
      </c>
      <c r="AR4525">
        <v>1</v>
      </c>
      <c r="AS4525">
        <v>0</v>
      </c>
      <c r="AT4525">
        <v>1</v>
      </c>
      <c r="AV4525">
        <v>1</v>
      </c>
      <c r="AW4525">
        <v>1</v>
      </c>
    </row>
    <row r="4526" spans="1:49" x14ac:dyDescent="0.25">
      <c r="A4526" t="str">
        <f>"4522"</f>
        <v>4522</v>
      </c>
      <c r="B4526" t="str">
        <f t="shared" si="261"/>
        <v>1</v>
      </c>
      <c r="C4526" t="str">
        <f t="shared" si="260"/>
        <v>197</v>
      </c>
      <c r="D4526" t="str">
        <f>"25"</f>
        <v>25</v>
      </c>
      <c r="E4526" t="str">
        <f>"1-197-25"</f>
        <v>1-197-25</v>
      </c>
      <c r="F4526" t="s">
        <v>83</v>
      </c>
      <c r="G4526" t="s">
        <v>84</v>
      </c>
      <c r="H4526" t="s">
        <v>85</v>
      </c>
      <c r="AC4526">
        <v>0</v>
      </c>
      <c r="AD4526">
        <v>1</v>
      </c>
      <c r="AE4526">
        <v>0</v>
      </c>
      <c r="AF4526">
        <v>0</v>
      </c>
      <c r="AG4526">
        <v>1</v>
      </c>
      <c r="AJ4526">
        <v>0</v>
      </c>
      <c r="AK4526">
        <v>1</v>
      </c>
      <c r="AL4526">
        <v>0</v>
      </c>
      <c r="AM4526">
        <v>0</v>
      </c>
      <c r="AN4526">
        <v>1</v>
      </c>
      <c r="AO4526">
        <v>1</v>
      </c>
      <c r="AP4526">
        <v>1</v>
      </c>
      <c r="AQ4526">
        <v>1</v>
      </c>
      <c r="AR4526">
        <v>1</v>
      </c>
      <c r="AS4526">
        <v>0</v>
      </c>
      <c r="AT4526">
        <v>1</v>
      </c>
      <c r="AV4526">
        <v>1</v>
      </c>
      <c r="AW4526">
        <v>1</v>
      </c>
    </row>
    <row r="4527" spans="1:49" x14ac:dyDescent="0.25">
      <c r="A4527" t="str">
        <f>"4523"</f>
        <v>4523</v>
      </c>
      <c r="B4527" t="str">
        <f t="shared" si="261"/>
        <v>1</v>
      </c>
      <c r="C4527" t="str">
        <f t="shared" si="260"/>
        <v>197</v>
      </c>
      <c r="D4527" t="str">
        <f>"13"</f>
        <v>13</v>
      </c>
      <c r="E4527" t="str">
        <f>"1-197-13"</f>
        <v>1-197-13</v>
      </c>
      <c r="F4527" t="s">
        <v>83</v>
      </c>
      <c r="G4527" t="s">
        <v>84</v>
      </c>
      <c r="H4527" t="s">
        <v>85</v>
      </c>
      <c r="AC4527">
        <v>1</v>
      </c>
      <c r="AD4527">
        <v>0</v>
      </c>
      <c r="AE4527">
        <v>0</v>
      </c>
      <c r="AF4527">
        <v>0</v>
      </c>
      <c r="AG4527">
        <v>1</v>
      </c>
      <c r="AJ4527">
        <v>1</v>
      </c>
      <c r="AK4527">
        <v>0</v>
      </c>
      <c r="AL4527">
        <v>1</v>
      </c>
      <c r="AM4527">
        <v>0</v>
      </c>
      <c r="AN4527">
        <v>0</v>
      </c>
      <c r="AO4527">
        <v>1</v>
      </c>
      <c r="AP4527">
        <v>1</v>
      </c>
      <c r="AQ4527">
        <v>1</v>
      </c>
      <c r="AR4527">
        <v>1</v>
      </c>
      <c r="AS4527">
        <v>0</v>
      </c>
      <c r="AT4527">
        <v>1</v>
      </c>
      <c r="AV4527">
        <v>1</v>
      </c>
      <c r="AW4527">
        <v>1</v>
      </c>
    </row>
    <row r="4528" spans="1:49" x14ac:dyDescent="0.25">
      <c r="A4528" t="str">
        <f>"4524"</f>
        <v>4524</v>
      </c>
      <c r="B4528" t="str">
        <f t="shared" si="261"/>
        <v>1</v>
      </c>
      <c r="C4528" t="str">
        <f t="shared" si="260"/>
        <v>197</v>
      </c>
      <c r="D4528" t="str">
        <f>"6"</f>
        <v>6</v>
      </c>
      <c r="E4528" t="str">
        <f>"1-197-6"</f>
        <v>1-197-6</v>
      </c>
      <c r="F4528" t="s">
        <v>83</v>
      </c>
      <c r="G4528" t="s">
        <v>86</v>
      </c>
      <c r="H4528" t="s">
        <v>87</v>
      </c>
      <c r="AC4528">
        <v>1</v>
      </c>
      <c r="AD4528">
        <v>0</v>
      </c>
      <c r="AE4528">
        <v>0</v>
      </c>
      <c r="AF4528">
        <v>0</v>
      </c>
      <c r="AH4528">
        <v>1</v>
      </c>
      <c r="AI4528">
        <v>0</v>
      </c>
      <c r="AJ4528">
        <v>1</v>
      </c>
      <c r="AK4528">
        <v>0</v>
      </c>
      <c r="AL4528">
        <v>1</v>
      </c>
      <c r="AM4528">
        <v>0</v>
      </c>
      <c r="AN4528">
        <v>0</v>
      </c>
      <c r="AO4528">
        <v>1</v>
      </c>
      <c r="AP4528">
        <v>1</v>
      </c>
      <c r="AQ4528">
        <v>1</v>
      </c>
      <c r="AU4528">
        <v>1</v>
      </c>
      <c r="AV4528">
        <v>1</v>
      </c>
      <c r="AW4528">
        <v>1</v>
      </c>
    </row>
    <row r="4529" spans="1:49" x14ac:dyDescent="0.25">
      <c r="A4529" t="str">
        <f>"4525"</f>
        <v>4525</v>
      </c>
      <c r="B4529" t="str">
        <f t="shared" si="261"/>
        <v>1</v>
      </c>
      <c r="C4529" t="str">
        <f t="shared" si="260"/>
        <v>197</v>
      </c>
      <c r="D4529" t="str">
        <f>"18"</f>
        <v>18</v>
      </c>
      <c r="E4529" t="str">
        <f>"1-197-18"</f>
        <v>1-197-18</v>
      </c>
      <c r="F4529" t="s">
        <v>83</v>
      </c>
      <c r="G4529" t="s">
        <v>84</v>
      </c>
      <c r="H4529" t="s">
        <v>85</v>
      </c>
      <c r="AC4529">
        <v>0</v>
      </c>
      <c r="AD4529">
        <v>1</v>
      </c>
      <c r="AE4529">
        <v>0</v>
      </c>
      <c r="AF4529">
        <v>0</v>
      </c>
      <c r="AG4529">
        <v>1</v>
      </c>
      <c r="AJ4529">
        <v>0</v>
      </c>
      <c r="AK4529">
        <v>1</v>
      </c>
      <c r="AL4529">
        <v>1</v>
      </c>
      <c r="AM4529">
        <v>0</v>
      </c>
      <c r="AN4529">
        <v>0</v>
      </c>
      <c r="AO4529">
        <v>1</v>
      </c>
      <c r="AP4529">
        <v>1</v>
      </c>
      <c r="AQ4529">
        <v>1</v>
      </c>
      <c r="AR4529">
        <v>1</v>
      </c>
      <c r="AS4529">
        <v>1</v>
      </c>
      <c r="AT4529">
        <v>0</v>
      </c>
      <c r="AV4529">
        <v>1</v>
      </c>
      <c r="AW4529">
        <v>1</v>
      </c>
    </row>
    <row r="4530" spans="1:49" x14ac:dyDescent="0.25">
      <c r="A4530" t="str">
        <f>"4526"</f>
        <v>4526</v>
      </c>
      <c r="B4530" t="str">
        <f t="shared" si="261"/>
        <v>1</v>
      </c>
      <c r="C4530" t="str">
        <f t="shared" si="260"/>
        <v>197</v>
      </c>
      <c r="D4530" t="str">
        <f>"4"</f>
        <v>4</v>
      </c>
      <c r="E4530" t="str">
        <f>"1-197-4"</f>
        <v>1-197-4</v>
      </c>
      <c r="F4530" t="s">
        <v>83</v>
      </c>
      <c r="G4530" t="s">
        <v>86</v>
      </c>
      <c r="H4530" t="s">
        <v>87</v>
      </c>
      <c r="AC4530">
        <v>0</v>
      </c>
      <c r="AD4530">
        <v>0</v>
      </c>
      <c r="AE4530">
        <v>0</v>
      </c>
      <c r="AF4530">
        <v>0</v>
      </c>
      <c r="AH4530">
        <v>0</v>
      </c>
      <c r="AI4530">
        <v>1</v>
      </c>
      <c r="AJ4530">
        <v>0</v>
      </c>
      <c r="AK4530">
        <v>0</v>
      </c>
      <c r="AL4530">
        <v>0</v>
      </c>
      <c r="AM4530">
        <v>0</v>
      </c>
      <c r="AN4530">
        <v>0</v>
      </c>
      <c r="AO4530">
        <v>0</v>
      </c>
      <c r="AP4530">
        <v>0</v>
      </c>
      <c r="AQ4530">
        <v>0</v>
      </c>
      <c r="AU4530">
        <v>1</v>
      </c>
      <c r="AV4530">
        <v>0</v>
      </c>
      <c r="AW4530">
        <v>1</v>
      </c>
    </row>
    <row r="4531" spans="1:49" x14ac:dyDescent="0.25">
      <c r="A4531" t="str">
        <f>"4527"</f>
        <v>4527</v>
      </c>
      <c r="B4531" t="str">
        <f t="shared" si="261"/>
        <v>1</v>
      </c>
      <c r="C4531" t="str">
        <f t="shared" si="260"/>
        <v>197</v>
      </c>
      <c r="D4531" t="str">
        <f>"19"</f>
        <v>19</v>
      </c>
      <c r="E4531" t="str">
        <f>"1-197-19"</f>
        <v>1-197-19</v>
      </c>
      <c r="F4531" t="s">
        <v>83</v>
      </c>
      <c r="G4531" t="s">
        <v>84</v>
      </c>
      <c r="H4531" t="s">
        <v>85</v>
      </c>
      <c r="AC4531">
        <v>0</v>
      </c>
      <c r="AD4531">
        <v>1</v>
      </c>
      <c r="AE4531">
        <v>0</v>
      </c>
      <c r="AF4531">
        <v>0</v>
      </c>
      <c r="AG4531">
        <v>0</v>
      </c>
      <c r="AJ4531">
        <v>0</v>
      </c>
      <c r="AK4531">
        <v>1</v>
      </c>
      <c r="AL4531">
        <v>0</v>
      </c>
      <c r="AM4531">
        <v>0</v>
      </c>
      <c r="AN4531">
        <v>1</v>
      </c>
      <c r="AO4531">
        <v>1</v>
      </c>
      <c r="AP4531">
        <v>1</v>
      </c>
      <c r="AQ4531">
        <v>1</v>
      </c>
      <c r="AR4531">
        <v>1</v>
      </c>
      <c r="AS4531">
        <v>0</v>
      </c>
      <c r="AT4531">
        <v>1</v>
      </c>
      <c r="AV4531">
        <v>1</v>
      </c>
      <c r="AW4531">
        <v>1</v>
      </c>
    </row>
    <row r="4532" spans="1:49" x14ac:dyDescent="0.25">
      <c r="A4532" t="str">
        <f>"4528"</f>
        <v>4528</v>
      </c>
      <c r="B4532" t="str">
        <f t="shared" si="261"/>
        <v>1</v>
      </c>
      <c r="C4532" t="str">
        <f t="shared" si="260"/>
        <v>197</v>
      </c>
      <c r="D4532" t="str">
        <f>"5"</f>
        <v>5</v>
      </c>
      <c r="E4532" t="str">
        <f>"1-197-5"</f>
        <v>1-197-5</v>
      </c>
      <c r="F4532" t="s">
        <v>83</v>
      </c>
      <c r="G4532" t="s">
        <v>86</v>
      </c>
      <c r="H4532" t="s">
        <v>87</v>
      </c>
      <c r="AC4532">
        <v>0</v>
      </c>
      <c r="AD4532">
        <v>1</v>
      </c>
      <c r="AE4532">
        <v>0</v>
      </c>
      <c r="AF4532">
        <v>0</v>
      </c>
      <c r="AH4532">
        <v>1</v>
      </c>
      <c r="AI4532">
        <v>0</v>
      </c>
      <c r="AJ4532">
        <v>1</v>
      </c>
      <c r="AK4532">
        <v>0</v>
      </c>
      <c r="AL4532">
        <v>0</v>
      </c>
      <c r="AM4532">
        <v>1</v>
      </c>
      <c r="AN4532">
        <v>0</v>
      </c>
      <c r="AO4532">
        <v>1</v>
      </c>
      <c r="AP4532">
        <v>1</v>
      </c>
      <c r="AQ4532">
        <v>1</v>
      </c>
      <c r="AU4532">
        <v>1</v>
      </c>
      <c r="AV4532">
        <v>1</v>
      </c>
      <c r="AW4532">
        <v>1</v>
      </c>
    </row>
    <row r="4533" spans="1:49" x14ac:dyDescent="0.25">
      <c r="A4533" t="str">
        <f>"4529"</f>
        <v>4529</v>
      </c>
      <c r="B4533" t="str">
        <f t="shared" si="261"/>
        <v>1</v>
      </c>
      <c r="C4533" t="str">
        <f t="shared" si="260"/>
        <v>197</v>
      </c>
      <c r="D4533" t="str">
        <f>"1"</f>
        <v>1</v>
      </c>
      <c r="E4533" t="str">
        <f>"1-197-1"</f>
        <v>1-197-1</v>
      </c>
      <c r="F4533" t="s">
        <v>83</v>
      </c>
      <c r="G4533" t="s">
        <v>86</v>
      </c>
      <c r="H4533" t="s">
        <v>87</v>
      </c>
      <c r="AC4533">
        <v>0</v>
      </c>
      <c r="AD4533">
        <v>1</v>
      </c>
      <c r="AE4533">
        <v>0</v>
      </c>
      <c r="AF4533">
        <v>0</v>
      </c>
      <c r="AH4533">
        <v>1</v>
      </c>
      <c r="AI4533">
        <v>0</v>
      </c>
      <c r="AJ4533">
        <v>1</v>
      </c>
      <c r="AK4533">
        <v>0</v>
      </c>
      <c r="AL4533">
        <v>0</v>
      </c>
      <c r="AM4533">
        <v>1</v>
      </c>
      <c r="AN4533">
        <v>0</v>
      </c>
      <c r="AO4533">
        <v>1</v>
      </c>
      <c r="AP4533">
        <v>1</v>
      </c>
      <c r="AQ4533">
        <v>1</v>
      </c>
      <c r="AU4533">
        <v>1</v>
      </c>
      <c r="AV4533">
        <v>1</v>
      </c>
      <c r="AW4533">
        <v>1</v>
      </c>
    </row>
    <row r="4534" spans="1:49" x14ac:dyDescent="0.25">
      <c r="A4534" t="str">
        <f>"4530"</f>
        <v>4530</v>
      </c>
      <c r="B4534" t="str">
        <f t="shared" si="261"/>
        <v>1</v>
      </c>
      <c r="C4534" t="str">
        <f t="shared" ref="C4534:C4558" si="262">"198"</f>
        <v>198</v>
      </c>
      <c r="D4534" t="str">
        <f>"18"</f>
        <v>18</v>
      </c>
      <c r="E4534" t="str">
        <f>"1-198-18"</f>
        <v>1-198-18</v>
      </c>
      <c r="F4534" t="s">
        <v>83</v>
      </c>
      <c r="G4534" t="s">
        <v>84</v>
      </c>
      <c r="H4534" t="s">
        <v>85</v>
      </c>
      <c r="AC4534">
        <v>0</v>
      </c>
      <c r="AD4534">
        <v>0</v>
      </c>
      <c r="AE4534">
        <v>0</v>
      </c>
      <c r="AF4534">
        <v>0</v>
      </c>
      <c r="AG4534">
        <v>0</v>
      </c>
      <c r="AJ4534">
        <v>0</v>
      </c>
      <c r="AK4534">
        <v>0</v>
      </c>
      <c r="AL4534">
        <v>0</v>
      </c>
      <c r="AM4534">
        <v>0</v>
      </c>
      <c r="AN4534">
        <v>0</v>
      </c>
      <c r="AO4534">
        <v>0</v>
      </c>
      <c r="AP4534">
        <v>0</v>
      </c>
      <c r="AQ4534">
        <v>0</v>
      </c>
      <c r="AR4534">
        <v>0</v>
      </c>
      <c r="AS4534">
        <v>0</v>
      </c>
      <c r="AT4534">
        <v>1</v>
      </c>
      <c r="AV4534">
        <v>0</v>
      </c>
      <c r="AW4534">
        <v>1</v>
      </c>
    </row>
    <row r="4535" spans="1:49" x14ac:dyDescent="0.25">
      <c r="A4535" t="str">
        <f>"4531"</f>
        <v>4531</v>
      </c>
      <c r="B4535" t="str">
        <f t="shared" si="261"/>
        <v>1</v>
      </c>
      <c r="C4535" t="str">
        <f t="shared" si="262"/>
        <v>198</v>
      </c>
      <c r="D4535" t="str">
        <f>"8"</f>
        <v>8</v>
      </c>
      <c r="E4535" t="str">
        <f>"1-198-8"</f>
        <v>1-198-8</v>
      </c>
      <c r="F4535" t="s">
        <v>83</v>
      </c>
      <c r="G4535" t="s">
        <v>84</v>
      </c>
      <c r="H4535" t="s">
        <v>85</v>
      </c>
      <c r="AC4535">
        <v>1</v>
      </c>
      <c r="AD4535">
        <v>0</v>
      </c>
      <c r="AE4535">
        <v>0</v>
      </c>
      <c r="AF4535">
        <v>0</v>
      </c>
      <c r="AG4535">
        <v>0</v>
      </c>
      <c r="AJ4535">
        <v>1</v>
      </c>
      <c r="AK4535">
        <v>0</v>
      </c>
      <c r="AL4535">
        <v>0</v>
      </c>
      <c r="AM4535">
        <v>1</v>
      </c>
      <c r="AN4535">
        <v>0</v>
      </c>
      <c r="AO4535">
        <v>1</v>
      </c>
      <c r="AP4535">
        <v>1</v>
      </c>
      <c r="AQ4535">
        <v>1</v>
      </c>
      <c r="AR4535">
        <v>1</v>
      </c>
      <c r="AS4535">
        <v>0</v>
      </c>
      <c r="AT4535">
        <v>1</v>
      </c>
      <c r="AV4535">
        <v>1</v>
      </c>
      <c r="AW4535">
        <v>1</v>
      </c>
    </row>
    <row r="4536" spans="1:49" x14ac:dyDescent="0.25">
      <c r="A4536" t="str">
        <f>"4532"</f>
        <v>4532</v>
      </c>
      <c r="B4536" t="str">
        <f t="shared" si="261"/>
        <v>1</v>
      </c>
      <c r="C4536" t="str">
        <f t="shared" si="262"/>
        <v>198</v>
      </c>
      <c r="D4536" t="str">
        <f>"5"</f>
        <v>5</v>
      </c>
      <c r="E4536" t="str">
        <f>"1-198-5"</f>
        <v>1-198-5</v>
      </c>
      <c r="F4536" t="s">
        <v>83</v>
      </c>
      <c r="G4536" t="s">
        <v>84</v>
      </c>
      <c r="H4536" t="s">
        <v>85</v>
      </c>
      <c r="AC4536">
        <v>1</v>
      </c>
      <c r="AD4536">
        <v>0</v>
      </c>
      <c r="AE4536">
        <v>0</v>
      </c>
      <c r="AF4536">
        <v>0</v>
      </c>
      <c r="AG4536">
        <v>0</v>
      </c>
      <c r="AJ4536">
        <v>0</v>
      </c>
      <c r="AK4536">
        <v>1</v>
      </c>
      <c r="AL4536">
        <v>0</v>
      </c>
      <c r="AM4536">
        <v>1</v>
      </c>
      <c r="AN4536">
        <v>0</v>
      </c>
      <c r="AO4536">
        <v>0</v>
      </c>
      <c r="AP4536">
        <v>0</v>
      </c>
      <c r="AQ4536">
        <v>0</v>
      </c>
      <c r="AR4536">
        <v>0</v>
      </c>
      <c r="AS4536">
        <v>0</v>
      </c>
      <c r="AT4536">
        <v>1</v>
      </c>
      <c r="AV4536">
        <v>1</v>
      </c>
      <c r="AW4536">
        <v>1</v>
      </c>
    </row>
    <row r="4537" spans="1:49" x14ac:dyDescent="0.25">
      <c r="A4537" t="str">
        <f>"4533"</f>
        <v>4533</v>
      </c>
      <c r="B4537" t="str">
        <f t="shared" si="261"/>
        <v>1</v>
      </c>
      <c r="C4537" t="str">
        <f t="shared" si="262"/>
        <v>198</v>
      </c>
      <c r="D4537" t="str">
        <f>"20"</f>
        <v>20</v>
      </c>
      <c r="E4537" t="str">
        <f>"1-198-20"</f>
        <v>1-198-20</v>
      </c>
      <c r="F4537" t="s">
        <v>83</v>
      </c>
      <c r="G4537" t="s">
        <v>84</v>
      </c>
      <c r="H4537" t="s">
        <v>85</v>
      </c>
      <c r="AC4537">
        <v>1</v>
      </c>
      <c r="AD4537">
        <v>0</v>
      </c>
      <c r="AE4537">
        <v>0</v>
      </c>
      <c r="AF4537">
        <v>0</v>
      </c>
      <c r="AG4537">
        <v>1</v>
      </c>
      <c r="AJ4537">
        <v>0</v>
      </c>
      <c r="AK4537">
        <v>1</v>
      </c>
      <c r="AL4537">
        <v>1</v>
      </c>
      <c r="AM4537">
        <v>0</v>
      </c>
      <c r="AN4537">
        <v>0</v>
      </c>
      <c r="AO4537">
        <v>1</v>
      </c>
      <c r="AP4537">
        <v>1</v>
      </c>
      <c r="AQ4537">
        <v>1</v>
      </c>
      <c r="AR4537">
        <v>1</v>
      </c>
      <c r="AS4537">
        <v>0</v>
      </c>
      <c r="AT4537">
        <v>1</v>
      </c>
      <c r="AV4537">
        <v>1</v>
      </c>
      <c r="AW4537">
        <v>1</v>
      </c>
    </row>
    <row r="4538" spans="1:49" x14ac:dyDescent="0.25">
      <c r="A4538" t="str">
        <f>"4534"</f>
        <v>4534</v>
      </c>
      <c r="B4538" t="str">
        <f t="shared" si="261"/>
        <v>1</v>
      </c>
      <c r="C4538" t="str">
        <f t="shared" si="262"/>
        <v>198</v>
      </c>
      <c r="D4538" t="str">
        <f>"19"</f>
        <v>19</v>
      </c>
      <c r="E4538" t="str">
        <f>"1-198-19"</f>
        <v>1-198-19</v>
      </c>
      <c r="F4538" t="s">
        <v>83</v>
      </c>
      <c r="G4538" t="s">
        <v>84</v>
      </c>
      <c r="H4538" t="s">
        <v>85</v>
      </c>
      <c r="AC4538">
        <v>0</v>
      </c>
      <c r="AD4538">
        <v>1</v>
      </c>
      <c r="AE4538">
        <v>0</v>
      </c>
      <c r="AF4538">
        <v>0</v>
      </c>
      <c r="AG4538">
        <v>1</v>
      </c>
      <c r="AJ4538">
        <v>0</v>
      </c>
      <c r="AK4538">
        <v>1</v>
      </c>
      <c r="AL4538">
        <v>0</v>
      </c>
      <c r="AM4538">
        <v>0</v>
      </c>
      <c r="AN4538">
        <v>1</v>
      </c>
      <c r="AO4538">
        <v>1</v>
      </c>
      <c r="AP4538">
        <v>1</v>
      </c>
      <c r="AQ4538">
        <v>1</v>
      </c>
      <c r="AR4538">
        <v>1</v>
      </c>
      <c r="AS4538">
        <v>0</v>
      </c>
      <c r="AT4538">
        <v>1</v>
      </c>
      <c r="AV4538">
        <v>1</v>
      </c>
      <c r="AW4538">
        <v>1</v>
      </c>
    </row>
    <row r="4539" spans="1:49" x14ac:dyDescent="0.25">
      <c r="A4539" t="str">
        <f>"4535"</f>
        <v>4535</v>
      </c>
      <c r="B4539" t="str">
        <f t="shared" si="261"/>
        <v>1</v>
      </c>
      <c r="C4539" t="str">
        <f t="shared" si="262"/>
        <v>198</v>
      </c>
      <c r="D4539" t="str">
        <f>"15"</f>
        <v>15</v>
      </c>
      <c r="E4539" t="str">
        <f>"1-198-15"</f>
        <v>1-198-15</v>
      </c>
      <c r="F4539" t="s">
        <v>83</v>
      </c>
      <c r="G4539" t="s">
        <v>84</v>
      </c>
      <c r="H4539" t="s">
        <v>85</v>
      </c>
      <c r="AC4539">
        <v>1</v>
      </c>
      <c r="AD4539">
        <v>0</v>
      </c>
      <c r="AE4539">
        <v>0</v>
      </c>
      <c r="AF4539">
        <v>0</v>
      </c>
      <c r="AG4539">
        <v>1</v>
      </c>
      <c r="AJ4539">
        <v>0</v>
      </c>
      <c r="AK4539">
        <v>1</v>
      </c>
      <c r="AL4539">
        <v>0</v>
      </c>
      <c r="AM4539">
        <v>1</v>
      </c>
      <c r="AN4539">
        <v>0</v>
      </c>
      <c r="AO4539">
        <v>1</v>
      </c>
      <c r="AP4539">
        <v>1</v>
      </c>
      <c r="AQ4539">
        <v>1</v>
      </c>
      <c r="AR4539">
        <v>1</v>
      </c>
      <c r="AS4539">
        <v>0</v>
      </c>
      <c r="AT4539">
        <v>1</v>
      </c>
      <c r="AV4539">
        <v>1</v>
      </c>
      <c r="AW4539">
        <v>1</v>
      </c>
    </row>
    <row r="4540" spans="1:49" x14ac:dyDescent="0.25">
      <c r="A4540" t="str">
        <f>"4536"</f>
        <v>4536</v>
      </c>
      <c r="B4540" t="str">
        <f t="shared" si="261"/>
        <v>1</v>
      </c>
      <c r="C4540" t="str">
        <f t="shared" si="262"/>
        <v>198</v>
      </c>
      <c r="D4540" t="str">
        <f>"9"</f>
        <v>9</v>
      </c>
      <c r="E4540" t="str">
        <f>"1-198-9"</f>
        <v>1-198-9</v>
      </c>
      <c r="F4540" t="s">
        <v>83</v>
      </c>
      <c r="G4540" t="s">
        <v>84</v>
      </c>
      <c r="H4540" t="s">
        <v>85</v>
      </c>
      <c r="AC4540">
        <v>1</v>
      </c>
      <c r="AD4540">
        <v>0</v>
      </c>
      <c r="AE4540">
        <v>0</v>
      </c>
      <c r="AF4540">
        <v>0</v>
      </c>
      <c r="AG4540">
        <v>1</v>
      </c>
      <c r="AJ4540">
        <v>1</v>
      </c>
      <c r="AK4540">
        <v>0</v>
      </c>
      <c r="AL4540">
        <v>1</v>
      </c>
      <c r="AM4540">
        <v>0</v>
      </c>
      <c r="AN4540">
        <v>0</v>
      </c>
      <c r="AO4540">
        <v>1</v>
      </c>
      <c r="AP4540">
        <v>1</v>
      </c>
      <c r="AQ4540">
        <v>1</v>
      </c>
      <c r="AR4540">
        <v>1</v>
      </c>
      <c r="AS4540">
        <v>1</v>
      </c>
      <c r="AT4540">
        <v>0</v>
      </c>
      <c r="AV4540">
        <v>1</v>
      </c>
      <c r="AW4540">
        <v>1</v>
      </c>
    </row>
    <row r="4541" spans="1:49" x14ac:dyDescent="0.25">
      <c r="A4541" t="str">
        <f>"4537"</f>
        <v>4537</v>
      </c>
      <c r="B4541" t="str">
        <f t="shared" si="261"/>
        <v>1</v>
      </c>
      <c r="C4541" t="str">
        <f t="shared" si="262"/>
        <v>198</v>
      </c>
      <c r="D4541" t="str">
        <f>"2"</f>
        <v>2</v>
      </c>
      <c r="E4541" t="str">
        <f>"1-198-2"</f>
        <v>1-198-2</v>
      </c>
      <c r="F4541" t="s">
        <v>83</v>
      </c>
      <c r="G4541" t="s">
        <v>84</v>
      </c>
      <c r="H4541" t="s">
        <v>85</v>
      </c>
      <c r="AC4541">
        <v>1</v>
      </c>
      <c r="AD4541">
        <v>0</v>
      </c>
      <c r="AE4541">
        <v>0</v>
      </c>
      <c r="AF4541">
        <v>0</v>
      </c>
      <c r="AG4541">
        <v>1</v>
      </c>
      <c r="AJ4541">
        <v>0</v>
      </c>
      <c r="AK4541">
        <v>1</v>
      </c>
      <c r="AL4541">
        <v>0</v>
      </c>
      <c r="AM4541">
        <v>0</v>
      </c>
      <c r="AN4541">
        <v>1</v>
      </c>
      <c r="AO4541">
        <v>1</v>
      </c>
      <c r="AP4541">
        <v>1</v>
      </c>
      <c r="AQ4541">
        <v>0</v>
      </c>
      <c r="AR4541">
        <v>0</v>
      </c>
      <c r="AS4541">
        <v>0</v>
      </c>
      <c r="AT4541">
        <v>1</v>
      </c>
      <c r="AV4541">
        <v>1</v>
      </c>
      <c r="AW4541">
        <v>1</v>
      </c>
    </row>
    <row r="4542" spans="1:49" x14ac:dyDescent="0.25">
      <c r="A4542" t="str">
        <f>"4538"</f>
        <v>4538</v>
      </c>
      <c r="B4542" t="str">
        <f t="shared" si="261"/>
        <v>1</v>
      </c>
      <c r="C4542" t="str">
        <f t="shared" si="262"/>
        <v>198</v>
      </c>
      <c r="D4542" t="str">
        <f>"24"</f>
        <v>24</v>
      </c>
      <c r="E4542" t="str">
        <f>"1-198-24"</f>
        <v>1-198-24</v>
      </c>
      <c r="F4542" t="s">
        <v>83</v>
      </c>
      <c r="G4542" t="s">
        <v>84</v>
      </c>
      <c r="H4542" t="s">
        <v>85</v>
      </c>
      <c r="AC4542">
        <v>1</v>
      </c>
      <c r="AD4542">
        <v>0</v>
      </c>
      <c r="AE4542">
        <v>0</v>
      </c>
      <c r="AF4542">
        <v>0</v>
      </c>
      <c r="AG4542">
        <v>1</v>
      </c>
      <c r="AJ4542">
        <v>0</v>
      </c>
      <c r="AK4542">
        <v>1</v>
      </c>
      <c r="AL4542">
        <v>1</v>
      </c>
      <c r="AM4542">
        <v>0</v>
      </c>
      <c r="AN4542">
        <v>0</v>
      </c>
      <c r="AO4542">
        <v>1</v>
      </c>
      <c r="AP4542">
        <v>1</v>
      </c>
      <c r="AQ4542">
        <v>1</v>
      </c>
      <c r="AR4542">
        <v>1</v>
      </c>
      <c r="AS4542">
        <v>1</v>
      </c>
      <c r="AT4542">
        <v>0</v>
      </c>
      <c r="AV4542">
        <v>1</v>
      </c>
      <c r="AW4542">
        <v>1</v>
      </c>
    </row>
    <row r="4543" spans="1:49" x14ac:dyDescent="0.25">
      <c r="A4543" t="str">
        <f>"4539"</f>
        <v>4539</v>
      </c>
      <c r="B4543" t="str">
        <f t="shared" si="261"/>
        <v>1</v>
      </c>
      <c r="C4543" t="str">
        <f t="shared" si="262"/>
        <v>198</v>
      </c>
      <c r="D4543" t="str">
        <f>"23"</f>
        <v>23</v>
      </c>
      <c r="E4543" t="str">
        <f>"1-198-23"</f>
        <v>1-198-23</v>
      </c>
      <c r="F4543" t="s">
        <v>83</v>
      </c>
      <c r="G4543" t="s">
        <v>84</v>
      </c>
      <c r="H4543" t="s">
        <v>85</v>
      </c>
      <c r="AC4543">
        <v>1</v>
      </c>
      <c r="AD4543">
        <v>0</v>
      </c>
      <c r="AE4543">
        <v>0</v>
      </c>
      <c r="AF4543">
        <v>0</v>
      </c>
      <c r="AG4543">
        <v>1</v>
      </c>
      <c r="AJ4543">
        <v>0</v>
      </c>
      <c r="AK4543">
        <v>1</v>
      </c>
      <c r="AL4543">
        <v>0</v>
      </c>
      <c r="AM4543">
        <v>0</v>
      </c>
      <c r="AN4543">
        <v>1</v>
      </c>
      <c r="AO4543">
        <v>1</v>
      </c>
      <c r="AP4543">
        <v>1</v>
      </c>
      <c r="AQ4543">
        <v>1</v>
      </c>
      <c r="AR4543">
        <v>1</v>
      </c>
      <c r="AS4543">
        <v>0</v>
      </c>
      <c r="AT4543">
        <v>1</v>
      </c>
      <c r="AV4543">
        <v>1</v>
      </c>
      <c r="AW4543">
        <v>1</v>
      </c>
    </row>
    <row r="4544" spans="1:49" x14ac:dyDescent="0.25">
      <c r="A4544" t="str">
        <f>"4540"</f>
        <v>4540</v>
      </c>
      <c r="B4544" t="str">
        <f t="shared" si="261"/>
        <v>1</v>
      </c>
      <c r="C4544" t="str">
        <f t="shared" si="262"/>
        <v>198</v>
      </c>
      <c r="D4544" t="str">
        <f>"16"</f>
        <v>16</v>
      </c>
      <c r="E4544" t="str">
        <f>"1-198-16"</f>
        <v>1-198-16</v>
      </c>
      <c r="F4544" t="s">
        <v>83</v>
      </c>
      <c r="G4544" t="s">
        <v>84</v>
      </c>
      <c r="H4544" t="s">
        <v>85</v>
      </c>
      <c r="AC4544">
        <v>0</v>
      </c>
      <c r="AD4544">
        <v>1</v>
      </c>
      <c r="AE4544">
        <v>0</v>
      </c>
      <c r="AF4544">
        <v>0</v>
      </c>
      <c r="AG4544">
        <v>1</v>
      </c>
      <c r="AJ4544">
        <v>0</v>
      </c>
      <c r="AK4544">
        <v>1</v>
      </c>
      <c r="AL4544">
        <v>0</v>
      </c>
      <c r="AM4544">
        <v>0</v>
      </c>
      <c r="AN4544">
        <v>1</v>
      </c>
      <c r="AO4544">
        <v>1</v>
      </c>
      <c r="AP4544">
        <v>1</v>
      </c>
      <c r="AQ4544">
        <v>1</v>
      </c>
      <c r="AR4544">
        <v>1</v>
      </c>
      <c r="AS4544">
        <v>0</v>
      </c>
      <c r="AT4544">
        <v>1</v>
      </c>
      <c r="AV4544">
        <v>1</v>
      </c>
      <c r="AW4544">
        <v>1</v>
      </c>
    </row>
    <row r="4545" spans="1:49" x14ac:dyDescent="0.25">
      <c r="A4545" t="str">
        <f>"4541"</f>
        <v>4541</v>
      </c>
      <c r="B4545" t="str">
        <f t="shared" si="261"/>
        <v>1</v>
      </c>
      <c r="C4545" t="str">
        <f t="shared" si="262"/>
        <v>198</v>
      </c>
      <c r="D4545" t="str">
        <f>"10"</f>
        <v>10</v>
      </c>
      <c r="E4545" t="str">
        <f>"1-198-10"</f>
        <v>1-198-10</v>
      </c>
      <c r="F4545" t="s">
        <v>83</v>
      </c>
      <c r="G4545" t="s">
        <v>84</v>
      </c>
      <c r="H4545" t="s">
        <v>85</v>
      </c>
      <c r="AC4545">
        <v>0</v>
      </c>
      <c r="AD4545">
        <v>1</v>
      </c>
      <c r="AE4545">
        <v>0</v>
      </c>
      <c r="AF4545">
        <v>0</v>
      </c>
      <c r="AG4545">
        <v>1</v>
      </c>
      <c r="AJ4545">
        <v>1</v>
      </c>
      <c r="AK4545">
        <v>0</v>
      </c>
      <c r="AL4545">
        <v>0</v>
      </c>
      <c r="AM4545">
        <v>0</v>
      </c>
      <c r="AN4545">
        <v>1</v>
      </c>
      <c r="AO4545">
        <v>1</v>
      </c>
      <c r="AP4545">
        <v>1</v>
      </c>
      <c r="AQ4545">
        <v>1</v>
      </c>
      <c r="AR4545">
        <v>1</v>
      </c>
      <c r="AS4545">
        <v>0</v>
      </c>
      <c r="AT4545">
        <v>1</v>
      </c>
      <c r="AV4545">
        <v>1</v>
      </c>
      <c r="AW4545">
        <v>1</v>
      </c>
    </row>
    <row r="4546" spans="1:49" x14ac:dyDescent="0.25">
      <c r="A4546" t="str">
        <f>"4542"</f>
        <v>4542</v>
      </c>
      <c r="B4546" t="str">
        <f t="shared" si="261"/>
        <v>1</v>
      </c>
      <c r="C4546" t="str">
        <f t="shared" si="262"/>
        <v>198</v>
      </c>
      <c r="D4546" t="str">
        <f>"7"</f>
        <v>7</v>
      </c>
      <c r="E4546" t="str">
        <f>"1-198-7"</f>
        <v>1-198-7</v>
      </c>
      <c r="F4546" t="s">
        <v>83</v>
      </c>
      <c r="G4546" t="s">
        <v>84</v>
      </c>
      <c r="H4546" t="s">
        <v>85</v>
      </c>
      <c r="AC4546">
        <v>0</v>
      </c>
      <c r="AD4546">
        <v>0</v>
      </c>
      <c r="AE4546">
        <v>0</v>
      </c>
      <c r="AF4546">
        <v>0</v>
      </c>
      <c r="AG4546">
        <v>0</v>
      </c>
      <c r="AJ4546">
        <v>0</v>
      </c>
      <c r="AK4546">
        <v>0</v>
      </c>
      <c r="AL4546">
        <v>0</v>
      </c>
      <c r="AM4546">
        <v>0</v>
      </c>
      <c r="AN4546">
        <v>0</v>
      </c>
      <c r="AO4546">
        <v>0</v>
      </c>
      <c r="AP4546">
        <v>0</v>
      </c>
      <c r="AQ4546">
        <v>0</v>
      </c>
      <c r="AR4546">
        <v>0</v>
      </c>
      <c r="AS4546">
        <v>0</v>
      </c>
      <c r="AT4546">
        <v>1</v>
      </c>
      <c r="AV4546">
        <v>0</v>
      </c>
      <c r="AW4546">
        <v>1</v>
      </c>
    </row>
    <row r="4547" spans="1:49" x14ac:dyDescent="0.25">
      <c r="A4547" t="str">
        <f>"4543"</f>
        <v>4543</v>
      </c>
      <c r="B4547" t="str">
        <f t="shared" si="261"/>
        <v>1</v>
      </c>
      <c r="C4547" t="str">
        <f t="shared" si="262"/>
        <v>198</v>
      </c>
      <c r="D4547" t="str">
        <f>"25"</f>
        <v>25</v>
      </c>
      <c r="E4547" t="str">
        <f>"1-198-25"</f>
        <v>1-198-25</v>
      </c>
      <c r="F4547" t="s">
        <v>83</v>
      </c>
      <c r="G4547" t="s">
        <v>84</v>
      </c>
      <c r="H4547" t="s">
        <v>85</v>
      </c>
      <c r="AC4547">
        <v>1</v>
      </c>
      <c r="AD4547">
        <v>0</v>
      </c>
      <c r="AE4547">
        <v>0</v>
      </c>
      <c r="AF4547">
        <v>0</v>
      </c>
      <c r="AG4547">
        <v>1</v>
      </c>
      <c r="AJ4547">
        <v>1</v>
      </c>
      <c r="AK4547">
        <v>0</v>
      </c>
      <c r="AL4547">
        <v>1</v>
      </c>
      <c r="AM4547">
        <v>0</v>
      </c>
      <c r="AN4547">
        <v>0</v>
      </c>
      <c r="AO4547">
        <v>1</v>
      </c>
      <c r="AP4547">
        <v>1</v>
      </c>
      <c r="AQ4547">
        <v>1</v>
      </c>
      <c r="AR4547">
        <v>1</v>
      </c>
      <c r="AS4547">
        <v>1</v>
      </c>
      <c r="AT4547">
        <v>0</v>
      </c>
      <c r="AV4547">
        <v>1</v>
      </c>
      <c r="AW4547">
        <v>1</v>
      </c>
    </row>
    <row r="4548" spans="1:49" x14ac:dyDescent="0.25">
      <c r="A4548" t="str">
        <f>"4544"</f>
        <v>4544</v>
      </c>
      <c r="B4548" t="str">
        <f t="shared" si="261"/>
        <v>1</v>
      </c>
      <c r="C4548" t="str">
        <f t="shared" si="262"/>
        <v>198</v>
      </c>
      <c r="D4548" t="str">
        <f>"17"</f>
        <v>17</v>
      </c>
      <c r="E4548" t="str">
        <f>"1-198-17"</f>
        <v>1-198-17</v>
      </c>
      <c r="F4548" t="s">
        <v>83</v>
      </c>
      <c r="G4548" t="s">
        <v>84</v>
      </c>
      <c r="H4548" t="s">
        <v>85</v>
      </c>
      <c r="AC4548">
        <v>1</v>
      </c>
      <c r="AD4548">
        <v>0</v>
      </c>
      <c r="AE4548">
        <v>0</v>
      </c>
      <c r="AF4548">
        <v>0</v>
      </c>
      <c r="AG4548">
        <v>0</v>
      </c>
      <c r="AJ4548">
        <v>0</v>
      </c>
      <c r="AK4548">
        <v>1</v>
      </c>
      <c r="AL4548">
        <v>1</v>
      </c>
      <c r="AM4548">
        <v>0</v>
      </c>
      <c r="AN4548">
        <v>0</v>
      </c>
      <c r="AO4548">
        <v>0</v>
      </c>
      <c r="AP4548">
        <v>0</v>
      </c>
      <c r="AQ4548">
        <v>0</v>
      </c>
      <c r="AR4548">
        <v>0</v>
      </c>
      <c r="AS4548">
        <v>1</v>
      </c>
      <c r="AT4548">
        <v>0</v>
      </c>
      <c r="AV4548">
        <v>0</v>
      </c>
      <c r="AW4548">
        <v>0</v>
      </c>
    </row>
    <row r="4549" spans="1:49" x14ac:dyDescent="0.25">
      <c r="A4549" t="str">
        <f>"4545"</f>
        <v>4545</v>
      </c>
      <c r="B4549" t="str">
        <f t="shared" si="261"/>
        <v>1</v>
      </c>
      <c r="C4549" t="str">
        <f t="shared" si="262"/>
        <v>198</v>
      </c>
      <c r="D4549" t="str">
        <f>"11"</f>
        <v>11</v>
      </c>
      <c r="E4549" t="str">
        <f>"1-198-11"</f>
        <v>1-198-11</v>
      </c>
      <c r="F4549" t="s">
        <v>83</v>
      </c>
      <c r="G4549" t="s">
        <v>84</v>
      </c>
      <c r="H4549" t="s">
        <v>85</v>
      </c>
      <c r="AC4549">
        <v>0</v>
      </c>
      <c r="AD4549">
        <v>1</v>
      </c>
      <c r="AE4549">
        <v>0</v>
      </c>
      <c r="AF4549">
        <v>0</v>
      </c>
      <c r="AG4549">
        <v>1</v>
      </c>
      <c r="AJ4549">
        <v>0</v>
      </c>
      <c r="AK4549">
        <v>1</v>
      </c>
      <c r="AL4549">
        <v>1</v>
      </c>
      <c r="AM4549">
        <v>0</v>
      </c>
      <c r="AN4549">
        <v>0</v>
      </c>
      <c r="AO4549">
        <v>1</v>
      </c>
      <c r="AP4549">
        <v>1</v>
      </c>
      <c r="AQ4549">
        <v>1</v>
      </c>
      <c r="AR4549">
        <v>1</v>
      </c>
      <c r="AS4549">
        <v>0</v>
      </c>
      <c r="AT4549">
        <v>1</v>
      </c>
      <c r="AV4549">
        <v>1</v>
      </c>
      <c r="AW4549">
        <v>1</v>
      </c>
    </row>
    <row r="4550" spans="1:49" x14ac:dyDescent="0.25">
      <c r="A4550" t="str">
        <f>"4546"</f>
        <v>4546</v>
      </c>
      <c r="B4550" t="str">
        <f t="shared" si="261"/>
        <v>1</v>
      </c>
      <c r="C4550" t="str">
        <f t="shared" si="262"/>
        <v>198</v>
      </c>
      <c r="D4550" t="str">
        <f>"6"</f>
        <v>6</v>
      </c>
      <c r="E4550" t="str">
        <f>"1-198-6"</f>
        <v>1-198-6</v>
      </c>
      <c r="F4550" t="s">
        <v>83</v>
      </c>
      <c r="G4550" t="s">
        <v>84</v>
      </c>
      <c r="H4550" t="s">
        <v>85</v>
      </c>
      <c r="AC4550">
        <v>0</v>
      </c>
      <c r="AD4550">
        <v>1</v>
      </c>
      <c r="AE4550">
        <v>0</v>
      </c>
      <c r="AF4550">
        <v>0</v>
      </c>
      <c r="AG4550">
        <v>1</v>
      </c>
      <c r="AJ4550">
        <v>0</v>
      </c>
      <c r="AK4550">
        <v>1</v>
      </c>
      <c r="AL4550">
        <v>0</v>
      </c>
      <c r="AM4550">
        <v>1</v>
      </c>
      <c r="AN4550">
        <v>0</v>
      </c>
      <c r="AO4550">
        <v>1</v>
      </c>
      <c r="AP4550">
        <v>1</v>
      </c>
      <c r="AQ4550">
        <v>1</v>
      </c>
      <c r="AR4550">
        <v>1</v>
      </c>
      <c r="AS4550">
        <v>0</v>
      </c>
      <c r="AT4550">
        <v>1</v>
      </c>
      <c r="AV4550">
        <v>1</v>
      </c>
      <c r="AW4550">
        <v>1</v>
      </c>
    </row>
    <row r="4551" spans="1:49" x14ac:dyDescent="0.25">
      <c r="A4551" t="str">
        <f>"4547"</f>
        <v>4547</v>
      </c>
      <c r="B4551" t="str">
        <f t="shared" si="261"/>
        <v>1</v>
      </c>
      <c r="C4551" t="str">
        <f t="shared" si="262"/>
        <v>198</v>
      </c>
      <c r="D4551" t="str">
        <f>"3"</f>
        <v>3</v>
      </c>
      <c r="E4551" t="str">
        <f>"1-198-3"</f>
        <v>1-198-3</v>
      </c>
      <c r="F4551" t="s">
        <v>83</v>
      </c>
      <c r="G4551" t="s">
        <v>84</v>
      </c>
      <c r="H4551" t="s">
        <v>85</v>
      </c>
      <c r="AC4551">
        <v>1</v>
      </c>
      <c r="AD4551">
        <v>0</v>
      </c>
      <c r="AE4551">
        <v>0</v>
      </c>
      <c r="AF4551">
        <v>0</v>
      </c>
      <c r="AG4551">
        <v>1</v>
      </c>
      <c r="AJ4551">
        <v>1</v>
      </c>
      <c r="AK4551">
        <v>0</v>
      </c>
      <c r="AL4551">
        <v>0</v>
      </c>
      <c r="AM4551">
        <v>1</v>
      </c>
      <c r="AN4551">
        <v>0</v>
      </c>
      <c r="AO4551">
        <v>1</v>
      </c>
      <c r="AP4551">
        <v>1</v>
      </c>
      <c r="AQ4551">
        <v>1</v>
      </c>
      <c r="AR4551">
        <v>1</v>
      </c>
      <c r="AS4551">
        <v>0</v>
      </c>
      <c r="AT4551">
        <v>1</v>
      </c>
      <c r="AV4551">
        <v>1</v>
      </c>
      <c r="AW4551">
        <v>1</v>
      </c>
    </row>
    <row r="4552" spans="1:49" x14ac:dyDescent="0.25">
      <c r="A4552" t="str">
        <f>"4548"</f>
        <v>4548</v>
      </c>
      <c r="B4552" t="str">
        <f t="shared" si="261"/>
        <v>1</v>
      </c>
      <c r="C4552" t="str">
        <f t="shared" si="262"/>
        <v>198</v>
      </c>
      <c r="D4552" t="str">
        <f>"21"</f>
        <v>21</v>
      </c>
      <c r="E4552" t="str">
        <f>"1-198-21"</f>
        <v>1-198-21</v>
      </c>
      <c r="F4552" t="s">
        <v>83</v>
      </c>
      <c r="G4552" t="s">
        <v>84</v>
      </c>
      <c r="H4552" t="s">
        <v>85</v>
      </c>
      <c r="AC4552">
        <v>1</v>
      </c>
      <c r="AD4552">
        <v>0</v>
      </c>
      <c r="AE4552">
        <v>0</v>
      </c>
      <c r="AF4552">
        <v>0</v>
      </c>
      <c r="AG4552">
        <v>1</v>
      </c>
      <c r="AJ4552">
        <v>1</v>
      </c>
      <c r="AK4552">
        <v>0</v>
      </c>
      <c r="AL4552">
        <v>1</v>
      </c>
      <c r="AM4552">
        <v>0</v>
      </c>
      <c r="AN4552">
        <v>0</v>
      </c>
      <c r="AO4552">
        <v>1</v>
      </c>
      <c r="AP4552">
        <v>1</v>
      </c>
      <c r="AQ4552">
        <v>1</v>
      </c>
      <c r="AR4552">
        <v>1</v>
      </c>
      <c r="AS4552">
        <v>0</v>
      </c>
      <c r="AT4552">
        <v>1</v>
      </c>
      <c r="AV4552">
        <v>1</v>
      </c>
      <c r="AW4552">
        <v>1</v>
      </c>
    </row>
    <row r="4553" spans="1:49" x14ac:dyDescent="0.25">
      <c r="A4553" t="str">
        <f>"4549"</f>
        <v>4549</v>
      </c>
      <c r="B4553" t="str">
        <f t="shared" si="261"/>
        <v>1</v>
      </c>
      <c r="C4553" t="str">
        <f t="shared" si="262"/>
        <v>198</v>
      </c>
      <c r="D4553" t="str">
        <f>"13"</f>
        <v>13</v>
      </c>
      <c r="E4553" t="str">
        <f>"1-198-13"</f>
        <v>1-198-13</v>
      </c>
      <c r="F4553" t="s">
        <v>83</v>
      </c>
      <c r="G4553" t="s">
        <v>84</v>
      </c>
      <c r="H4553" t="s">
        <v>85</v>
      </c>
      <c r="AC4553">
        <v>0</v>
      </c>
      <c r="AD4553">
        <v>1</v>
      </c>
      <c r="AE4553">
        <v>0</v>
      </c>
      <c r="AF4553">
        <v>0</v>
      </c>
      <c r="AG4553">
        <v>0</v>
      </c>
      <c r="AJ4553">
        <v>0</v>
      </c>
      <c r="AK4553">
        <v>0</v>
      </c>
      <c r="AL4553">
        <v>0</v>
      </c>
      <c r="AM4553">
        <v>0</v>
      </c>
      <c r="AN4553">
        <v>0</v>
      </c>
      <c r="AO4553">
        <v>0</v>
      </c>
      <c r="AP4553">
        <v>0</v>
      </c>
      <c r="AQ4553">
        <v>0</v>
      </c>
      <c r="AR4553">
        <v>1</v>
      </c>
      <c r="AS4553">
        <v>0</v>
      </c>
      <c r="AT4553">
        <v>1</v>
      </c>
      <c r="AV4553">
        <v>1</v>
      </c>
      <c r="AW4553">
        <v>0</v>
      </c>
    </row>
    <row r="4554" spans="1:49" x14ac:dyDescent="0.25">
      <c r="A4554" t="str">
        <f>"4550"</f>
        <v>4550</v>
      </c>
      <c r="B4554" t="str">
        <f t="shared" si="261"/>
        <v>1</v>
      </c>
      <c r="C4554" t="str">
        <f t="shared" si="262"/>
        <v>198</v>
      </c>
      <c r="D4554" t="str">
        <f>"1"</f>
        <v>1</v>
      </c>
      <c r="E4554" t="str">
        <f>"1-198-1"</f>
        <v>1-198-1</v>
      </c>
      <c r="F4554" t="s">
        <v>83</v>
      </c>
      <c r="G4554" t="s">
        <v>84</v>
      </c>
      <c r="H4554" t="s">
        <v>85</v>
      </c>
      <c r="AC4554">
        <v>1</v>
      </c>
      <c r="AD4554">
        <v>0</v>
      </c>
      <c r="AE4554">
        <v>0</v>
      </c>
      <c r="AF4554">
        <v>0</v>
      </c>
      <c r="AG4554">
        <v>1</v>
      </c>
      <c r="AJ4554">
        <v>0</v>
      </c>
      <c r="AK4554">
        <v>1</v>
      </c>
      <c r="AL4554">
        <v>1</v>
      </c>
      <c r="AM4554">
        <v>0</v>
      </c>
      <c r="AN4554">
        <v>0</v>
      </c>
      <c r="AO4554">
        <v>1</v>
      </c>
      <c r="AP4554">
        <v>1</v>
      </c>
      <c r="AQ4554">
        <v>1</v>
      </c>
      <c r="AR4554">
        <v>1</v>
      </c>
      <c r="AS4554">
        <v>1</v>
      </c>
      <c r="AT4554">
        <v>0</v>
      </c>
      <c r="AV4554">
        <v>1</v>
      </c>
      <c r="AW4554">
        <v>1</v>
      </c>
    </row>
    <row r="4555" spans="1:49" x14ac:dyDescent="0.25">
      <c r="A4555" t="str">
        <f>"4551"</f>
        <v>4551</v>
      </c>
      <c r="B4555" t="str">
        <f t="shared" si="261"/>
        <v>1</v>
      </c>
      <c r="C4555" t="str">
        <f t="shared" si="262"/>
        <v>198</v>
      </c>
      <c r="D4555" t="str">
        <f>"22"</f>
        <v>22</v>
      </c>
      <c r="E4555" t="str">
        <f>"1-198-22"</f>
        <v>1-198-22</v>
      </c>
      <c r="F4555" t="s">
        <v>83</v>
      </c>
      <c r="G4555" t="s">
        <v>84</v>
      </c>
      <c r="H4555" t="s">
        <v>85</v>
      </c>
      <c r="AC4555">
        <v>1</v>
      </c>
      <c r="AD4555">
        <v>0</v>
      </c>
      <c r="AE4555">
        <v>0</v>
      </c>
      <c r="AF4555">
        <v>0</v>
      </c>
      <c r="AG4555">
        <v>1</v>
      </c>
      <c r="AJ4555">
        <v>1</v>
      </c>
      <c r="AK4555">
        <v>0</v>
      </c>
      <c r="AL4555">
        <v>0</v>
      </c>
      <c r="AM4555">
        <v>1</v>
      </c>
      <c r="AN4555">
        <v>0</v>
      </c>
      <c r="AO4555">
        <v>1</v>
      </c>
      <c r="AP4555">
        <v>1</v>
      </c>
      <c r="AQ4555">
        <v>1</v>
      </c>
      <c r="AR4555">
        <v>1</v>
      </c>
      <c r="AS4555">
        <v>0</v>
      </c>
      <c r="AT4555">
        <v>1</v>
      </c>
      <c r="AV4555">
        <v>1</v>
      </c>
      <c r="AW4555">
        <v>1</v>
      </c>
    </row>
    <row r="4556" spans="1:49" x14ac:dyDescent="0.25">
      <c r="A4556" t="str">
        <f>"4552"</f>
        <v>4552</v>
      </c>
      <c r="B4556" t="str">
        <f t="shared" si="261"/>
        <v>1</v>
      </c>
      <c r="C4556" t="str">
        <f t="shared" si="262"/>
        <v>198</v>
      </c>
      <c r="D4556" t="str">
        <f>"14"</f>
        <v>14</v>
      </c>
      <c r="E4556" t="str">
        <f>"1-198-14"</f>
        <v>1-198-14</v>
      </c>
      <c r="F4556" t="s">
        <v>83</v>
      </c>
      <c r="G4556" t="s">
        <v>84</v>
      </c>
      <c r="H4556" t="s">
        <v>85</v>
      </c>
      <c r="AC4556">
        <v>0</v>
      </c>
      <c r="AD4556">
        <v>1</v>
      </c>
      <c r="AE4556">
        <v>0</v>
      </c>
      <c r="AF4556">
        <v>0</v>
      </c>
      <c r="AG4556">
        <v>0</v>
      </c>
      <c r="AJ4556">
        <v>1</v>
      </c>
      <c r="AK4556">
        <v>0</v>
      </c>
      <c r="AL4556">
        <v>0</v>
      </c>
      <c r="AM4556">
        <v>0</v>
      </c>
      <c r="AN4556">
        <v>1</v>
      </c>
      <c r="AO4556">
        <v>0</v>
      </c>
      <c r="AP4556">
        <v>0</v>
      </c>
      <c r="AQ4556">
        <v>0</v>
      </c>
      <c r="AR4556">
        <v>0</v>
      </c>
      <c r="AS4556">
        <v>0</v>
      </c>
      <c r="AT4556">
        <v>1</v>
      </c>
      <c r="AV4556">
        <v>0</v>
      </c>
      <c r="AW4556">
        <v>0</v>
      </c>
    </row>
    <row r="4557" spans="1:49" x14ac:dyDescent="0.25">
      <c r="A4557" t="str">
        <f>"4553"</f>
        <v>4553</v>
      </c>
      <c r="B4557" t="str">
        <f t="shared" si="261"/>
        <v>1</v>
      </c>
      <c r="C4557" t="str">
        <f t="shared" si="262"/>
        <v>198</v>
      </c>
      <c r="D4557" t="str">
        <f>"4"</f>
        <v>4</v>
      </c>
      <c r="E4557" t="str">
        <f>"1-198-4"</f>
        <v>1-198-4</v>
      </c>
      <c r="F4557" t="s">
        <v>83</v>
      </c>
      <c r="G4557" t="s">
        <v>84</v>
      </c>
      <c r="H4557" t="s">
        <v>85</v>
      </c>
      <c r="AC4557">
        <v>1</v>
      </c>
      <c r="AD4557">
        <v>0</v>
      </c>
      <c r="AE4557">
        <v>0</v>
      </c>
      <c r="AF4557">
        <v>0</v>
      </c>
      <c r="AG4557">
        <v>1</v>
      </c>
      <c r="AJ4557">
        <v>0</v>
      </c>
      <c r="AK4557">
        <v>1</v>
      </c>
      <c r="AL4557">
        <v>0</v>
      </c>
      <c r="AM4557">
        <v>1</v>
      </c>
      <c r="AN4557">
        <v>0</v>
      </c>
      <c r="AO4557">
        <v>1</v>
      </c>
      <c r="AP4557">
        <v>1</v>
      </c>
      <c r="AQ4557">
        <v>1</v>
      </c>
      <c r="AR4557">
        <v>1</v>
      </c>
      <c r="AS4557">
        <v>0</v>
      </c>
      <c r="AT4557">
        <v>1</v>
      </c>
      <c r="AV4557">
        <v>1</v>
      </c>
      <c r="AW4557">
        <v>0</v>
      </c>
    </row>
    <row r="4558" spans="1:49" x14ac:dyDescent="0.25">
      <c r="A4558" t="str">
        <f>"4554"</f>
        <v>4554</v>
      </c>
      <c r="B4558" t="str">
        <f t="shared" si="261"/>
        <v>1</v>
      </c>
      <c r="C4558" t="str">
        <f t="shared" si="262"/>
        <v>198</v>
      </c>
      <c r="D4558" t="str">
        <f>"12"</f>
        <v>12</v>
      </c>
      <c r="E4558" t="str">
        <f>"1-198-12"</f>
        <v>1-198-12</v>
      </c>
      <c r="F4558" t="s">
        <v>83</v>
      </c>
      <c r="G4558" t="s">
        <v>84</v>
      </c>
      <c r="H4558" t="s">
        <v>85</v>
      </c>
      <c r="AC4558">
        <v>0</v>
      </c>
      <c r="AD4558">
        <v>0</v>
      </c>
      <c r="AE4558">
        <v>0</v>
      </c>
      <c r="AF4558">
        <v>0</v>
      </c>
      <c r="AG4558">
        <v>1</v>
      </c>
      <c r="AJ4558">
        <v>0</v>
      </c>
      <c r="AK4558">
        <v>1</v>
      </c>
      <c r="AL4558">
        <v>0</v>
      </c>
      <c r="AM4558">
        <v>0</v>
      </c>
      <c r="AN4558">
        <v>1</v>
      </c>
      <c r="AO4558">
        <v>1</v>
      </c>
      <c r="AP4558">
        <v>0</v>
      </c>
      <c r="AQ4558">
        <v>1</v>
      </c>
      <c r="AR4558">
        <v>1</v>
      </c>
      <c r="AS4558">
        <v>1</v>
      </c>
      <c r="AT4558">
        <v>0</v>
      </c>
      <c r="AV4558">
        <v>1</v>
      </c>
      <c r="AW4558">
        <v>1</v>
      </c>
    </row>
    <row r="4559" spans="1:49" x14ac:dyDescent="0.25">
      <c r="A4559" t="str">
        <f>"4555"</f>
        <v>4555</v>
      </c>
      <c r="B4559" t="str">
        <f t="shared" si="261"/>
        <v>1</v>
      </c>
      <c r="C4559" t="str">
        <f t="shared" ref="C4559:C4583" si="263">"199"</f>
        <v>199</v>
      </c>
      <c r="D4559" t="str">
        <f>"19"</f>
        <v>19</v>
      </c>
      <c r="E4559" t="str">
        <f>"1-199-19"</f>
        <v>1-199-19</v>
      </c>
      <c r="F4559" t="s">
        <v>83</v>
      </c>
      <c r="G4559" t="s">
        <v>84</v>
      </c>
      <c r="H4559" t="s">
        <v>85</v>
      </c>
      <c r="AC4559">
        <v>0</v>
      </c>
      <c r="AD4559">
        <v>1</v>
      </c>
      <c r="AE4559">
        <v>0</v>
      </c>
      <c r="AF4559">
        <v>0</v>
      </c>
      <c r="AG4559">
        <v>0</v>
      </c>
      <c r="AJ4559">
        <v>0</v>
      </c>
      <c r="AK4559">
        <v>1</v>
      </c>
      <c r="AL4559">
        <v>0</v>
      </c>
      <c r="AM4559">
        <v>0</v>
      </c>
      <c r="AN4559">
        <v>1</v>
      </c>
      <c r="AO4559">
        <v>0</v>
      </c>
      <c r="AP4559">
        <v>0</v>
      </c>
      <c r="AQ4559">
        <v>0</v>
      </c>
      <c r="AR4559">
        <v>0</v>
      </c>
      <c r="AS4559">
        <v>1</v>
      </c>
      <c r="AT4559">
        <v>0</v>
      </c>
      <c r="AV4559">
        <v>0</v>
      </c>
      <c r="AW4559">
        <v>0</v>
      </c>
    </row>
    <row r="4560" spans="1:49" x14ac:dyDescent="0.25">
      <c r="A4560" t="str">
        <f>"4556"</f>
        <v>4556</v>
      </c>
      <c r="B4560" t="str">
        <f t="shared" si="261"/>
        <v>1</v>
      </c>
      <c r="C4560" t="str">
        <f t="shared" si="263"/>
        <v>199</v>
      </c>
      <c r="D4560" t="str">
        <f>"18"</f>
        <v>18</v>
      </c>
      <c r="E4560" t="str">
        <f>"1-199-18"</f>
        <v>1-199-18</v>
      </c>
      <c r="F4560" t="s">
        <v>83</v>
      </c>
      <c r="G4560" t="s">
        <v>86</v>
      </c>
      <c r="H4560" t="s">
        <v>87</v>
      </c>
      <c r="AC4560">
        <v>0</v>
      </c>
      <c r="AD4560">
        <v>1</v>
      </c>
      <c r="AE4560">
        <v>0</v>
      </c>
      <c r="AF4560">
        <v>0</v>
      </c>
      <c r="AH4560">
        <v>1</v>
      </c>
      <c r="AI4560">
        <v>0</v>
      </c>
      <c r="AJ4560">
        <v>1</v>
      </c>
      <c r="AK4560">
        <v>0</v>
      </c>
      <c r="AL4560">
        <v>0</v>
      </c>
      <c r="AM4560">
        <v>1</v>
      </c>
      <c r="AN4560">
        <v>0</v>
      </c>
      <c r="AO4560">
        <v>1</v>
      </c>
      <c r="AP4560">
        <v>1</v>
      </c>
      <c r="AQ4560">
        <v>1</v>
      </c>
      <c r="AU4560">
        <v>1</v>
      </c>
      <c r="AV4560">
        <v>1</v>
      </c>
      <c r="AW4560">
        <v>1</v>
      </c>
    </row>
    <row r="4561" spans="1:49" x14ac:dyDescent="0.25">
      <c r="A4561" t="str">
        <f>"4557"</f>
        <v>4557</v>
      </c>
      <c r="B4561" t="str">
        <f t="shared" si="261"/>
        <v>1</v>
      </c>
      <c r="C4561" t="str">
        <f t="shared" si="263"/>
        <v>199</v>
      </c>
      <c r="D4561" t="str">
        <f>"13"</f>
        <v>13</v>
      </c>
      <c r="E4561" t="str">
        <f>"1-199-13"</f>
        <v>1-199-13</v>
      </c>
      <c r="F4561" t="s">
        <v>83</v>
      </c>
      <c r="G4561" t="s">
        <v>86</v>
      </c>
      <c r="H4561" t="s">
        <v>87</v>
      </c>
      <c r="AC4561">
        <v>1</v>
      </c>
      <c r="AD4561">
        <v>0</v>
      </c>
      <c r="AE4561">
        <v>0</v>
      </c>
      <c r="AF4561">
        <v>0</v>
      </c>
      <c r="AH4561">
        <v>0</v>
      </c>
      <c r="AI4561">
        <v>1</v>
      </c>
      <c r="AJ4561">
        <v>0</v>
      </c>
      <c r="AK4561">
        <v>1</v>
      </c>
      <c r="AL4561">
        <v>0</v>
      </c>
      <c r="AM4561">
        <v>1</v>
      </c>
      <c r="AN4561">
        <v>0</v>
      </c>
      <c r="AO4561">
        <v>0</v>
      </c>
      <c r="AP4561">
        <v>0</v>
      </c>
      <c r="AQ4561">
        <v>0</v>
      </c>
      <c r="AU4561">
        <v>0</v>
      </c>
      <c r="AV4561">
        <v>0</v>
      </c>
      <c r="AW4561">
        <v>0</v>
      </c>
    </row>
    <row r="4562" spans="1:49" x14ac:dyDescent="0.25">
      <c r="A4562" t="str">
        <f>"4558"</f>
        <v>4558</v>
      </c>
      <c r="B4562" t="str">
        <f t="shared" si="261"/>
        <v>1</v>
      </c>
      <c r="C4562" t="str">
        <f t="shared" si="263"/>
        <v>199</v>
      </c>
      <c r="D4562" t="str">
        <f>"8"</f>
        <v>8</v>
      </c>
      <c r="E4562" t="str">
        <f>"1-199-8"</f>
        <v>1-199-8</v>
      </c>
      <c r="F4562" t="s">
        <v>83</v>
      </c>
      <c r="G4562" t="s">
        <v>84</v>
      </c>
      <c r="H4562" t="s">
        <v>85</v>
      </c>
      <c r="AC4562">
        <v>0</v>
      </c>
      <c r="AD4562">
        <v>1</v>
      </c>
      <c r="AE4562">
        <v>0</v>
      </c>
      <c r="AF4562">
        <v>0</v>
      </c>
      <c r="AG4562">
        <v>1</v>
      </c>
      <c r="AJ4562">
        <v>0</v>
      </c>
      <c r="AK4562">
        <v>1</v>
      </c>
      <c r="AL4562">
        <v>0</v>
      </c>
      <c r="AM4562">
        <v>1</v>
      </c>
      <c r="AN4562">
        <v>0</v>
      </c>
      <c r="AO4562">
        <v>1</v>
      </c>
      <c r="AP4562">
        <v>1</v>
      </c>
      <c r="AQ4562">
        <v>1</v>
      </c>
      <c r="AR4562">
        <v>1</v>
      </c>
      <c r="AS4562">
        <v>0</v>
      </c>
      <c r="AT4562">
        <v>1</v>
      </c>
      <c r="AV4562">
        <v>1</v>
      </c>
      <c r="AW4562">
        <v>1</v>
      </c>
    </row>
    <row r="4563" spans="1:49" x14ac:dyDescent="0.25">
      <c r="A4563" t="str">
        <f>"4559"</f>
        <v>4559</v>
      </c>
      <c r="B4563" t="str">
        <f t="shared" si="261"/>
        <v>1</v>
      </c>
      <c r="C4563" t="str">
        <f t="shared" si="263"/>
        <v>199</v>
      </c>
      <c r="D4563" t="str">
        <f>"5"</f>
        <v>5</v>
      </c>
      <c r="E4563" t="str">
        <f>"1-199-5"</f>
        <v>1-199-5</v>
      </c>
      <c r="F4563" t="s">
        <v>83</v>
      </c>
      <c r="G4563" t="s">
        <v>84</v>
      </c>
      <c r="H4563" t="s">
        <v>85</v>
      </c>
      <c r="AC4563">
        <v>1</v>
      </c>
      <c r="AD4563">
        <v>0</v>
      </c>
      <c r="AE4563">
        <v>0</v>
      </c>
      <c r="AF4563">
        <v>0</v>
      </c>
      <c r="AG4563">
        <v>1</v>
      </c>
      <c r="AJ4563">
        <v>0</v>
      </c>
      <c r="AK4563">
        <v>1</v>
      </c>
      <c r="AL4563">
        <v>1</v>
      </c>
      <c r="AM4563">
        <v>0</v>
      </c>
      <c r="AN4563">
        <v>0</v>
      </c>
      <c r="AO4563">
        <v>1</v>
      </c>
      <c r="AP4563">
        <v>1</v>
      </c>
      <c r="AQ4563">
        <v>1</v>
      </c>
      <c r="AR4563">
        <v>1</v>
      </c>
      <c r="AS4563">
        <v>0</v>
      </c>
      <c r="AT4563">
        <v>1</v>
      </c>
      <c r="AV4563">
        <v>1</v>
      </c>
      <c r="AW4563">
        <v>1</v>
      </c>
    </row>
    <row r="4564" spans="1:49" x14ac:dyDescent="0.25">
      <c r="A4564" t="str">
        <f>"4560"</f>
        <v>4560</v>
      </c>
      <c r="B4564" t="str">
        <f t="shared" si="261"/>
        <v>1</v>
      </c>
      <c r="C4564" t="str">
        <f t="shared" si="263"/>
        <v>199</v>
      </c>
      <c r="D4564" t="str">
        <f>"23"</f>
        <v>23</v>
      </c>
      <c r="E4564" t="str">
        <f>"1-199-23"</f>
        <v>1-199-23</v>
      </c>
      <c r="F4564" t="s">
        <v>83</v>
      </c>
      <c r="G4564" t="s">
        <v>84</v>
      </c>
      <c r="H4564" t="s">
        <v>85</v>
      </c>
      <c r="AC4564">
        <v>1</v>
      </c>
      <c r="AD4564">
        <v>0</v>
      </c>
      <c r="AE4564">
        <v>0</v>
      </c>
      <c r="AF4564">
        <v>0</v>
      </c>
      <c r="AG4564">
        <v>1</v>
      </c>
      <c r="AJ4564">
        <v>1</v>
      </c>
      <c r="AK4564">
        <v>0</v>
      </c>
      <c r="AL4564">
        <v>0</v>
      </c>
      <c r="AM4564">
        <v>1</v>
      </c>
      <c r="AN4564">
        <v>0</v>
      </c>
      <c r="AO4564">
        <v>1</v>
      </c>
      <c r="AP4564">
        <v>1</v>
      </c>
      <c r="AQ4564">
        <v>1</v>
      </c>
      <c r="AR4564">
        <v>1</v>
      </c>
      <c r="AS4564">
        <v>0</v>
      </c>
      <c r="AT4564">
        <v>1</v>
      </c>
      <c r="AV4564">
        <v>1</v>
      </c>
      <c r="AW4564">
        <v>1</v>
      </c>
    </row>
    <row r="4565" spans="1:49" x14ac:dyDescent="0.25">
      <c r="A4565" t="str">
        <f>"4561"</f>
        <v>4561</v>
      </c>
      <c r="B4565" t="str">
        <f t="shared" si="261"/>
        <v>1</v>
      </c>
      <c r="C4565" t="str">
        <f t="shared" si="263"/>
        <v>199</v>
      </c>
      <c r="D4565" t="str">
        <f>"22"</f>
        <v>22</v>
      </c>
      <c r="E4565" t="str">
        <f>"1-199-22"</f>
        <v>1-199-22</v>
      </c>
      <c r="F4565" t="s">
        <v>83</v>
      </c>
      <c r="G4565" t="s">
        <v>84</v>
      </c>
      <c r="H4565" t="s">
        <v>85</v>
      </c>
      <c r="AC4565">
        <v>0</v>
      </c>
      <c r="AD4565">
        <v>1</v>
      </c>
      <c r="AE4565">
        <v>0</v>
      </c>
      <c r="AF4565">
        <v>0</v>
      </c>
      <c r="AG4565">
        <v>1</v>
      </c>
      <c r="AJ4565">
        <v>0</v>
      </c>
      <c r="AK4565">
        <v>1</v>
      </c>
      <c r="AL4565">
        <v>0</v>
      </c>
      <c r="AM4565">
        <v>0</v>
      </c>
      <c r="AN4565">
        <v>1</v>
      </c>
      <c r="AO4565">
        <v>1</v>
      </c>
      <c r="AP4565">
        <v>1</v>
      </c>
      <c r="AQ4565">
        <v>1</v>
      </c>
      <c r="AR4565">
        <v>1</v>
      </c>
      <c r="AS4565">
        <v>1</v>
      </c>
      <c r="AT4565">
        <v>0</v>
      </c>
      <c r="AV4565">
        <v>1</v>
      </c>
      <c r="AW4565">
        <v>1</v>
      </c>
    </row>
    <row r="4566" spans="1:49" x14ac:dyDescent="0.25">
      <c r="A4566" t="str">
        <f>"4562"</f>
        <v>4562</v>
      </c>
      <c r="B4566" t="str">
        <f t="shared" si="261"/>
        <v>1</v>
      </c>
      <c r="C4566" t="str">
        <f t="shared" si="263"/>
        <v>199</v>
      </c>
      <c r="D4566" t="str">
        <f>"14"</f>
        <v>14</v>
      </c>
      <c r="E4566" t="str">
        <f>"1-199-14"</f>
        <v>1-199-14</v>
      </c>
      <c r="F4566" t="s">
        <v>83</v>
      </c>
      <c r="G4566" t="s">
        <v>84</v>
      </c>
      <c r="H4566" t="s">
        <v>85</v>
      </c>
      <c r="AC4566">
        <v>1</v>
      </c>
      <c r="AD4566">
        <v>0</v>
      </c>
      <c r="AE4566">
        <v>0</v>
      </c>
      <c r="AF4566">
        <v>0</v>
      </c>
      <c r="AG4566">
        <v>0</v>
      </c>
      <c r="AJ4566">
        <v>1</v>
      </c>
      <c r="AK4566">
        <v>0</v>
      </c>
      <c r="AL4566">
        <v>0</v>
      </c>
      <c r="AM4566">
        <v>1</v>
      </c>
      <c r="AN4566">
        <v>0</v>
      </c>
      <c r="AO4566">
        <v>0</v>
      </c>
      <c r="AP4566">
        <v>0</v>
      </c>
      <c r="AQ4566">
        <v>0</v>
      </c>
      <c r="AR4566">
        <v>0</v>
      </c>
      <c r="AS4566">
        <v>1</v>
      </c>
      <c r="AT4566">
        <v>0</v>
      </c>
      <c r="AV4566">
        <v>0</v>
      </c>
      <c r="AW4566">
        <v>0</v>
      </c>
    </row>
    <row r="4567" spans="1:49" x14ac:dyDescent="0.25">
      <c r="A4567" t="str">
        <f>"4563"</f>
        <v>4563</v>
      </c>
      <c r="B4567" t="str">
        <f t="shared" si="261"/>
        <v>1</v>
      </c>
      <c r="C4567" t="str">
        <f t="shared" si="263"/>
        <v>199</v>
      </c>
      <c r="D4567" t="str">
        <f>"9"</f>
        <v>9</v>
      </c>
      <c r="E4567" t="str">
        <f>"1-199-9"</f>
        <v>1-199-9</v>
      </c>
      <c r="F4567" t="s">
        <v>83</v>
      </c>
      <c r="G4567" t="s">
        <v>84</v>
      </c>
      <c r="H4567" t="s">
        <v>85</v>
      </c>
      <c r="AC4567">
        <v>0</v>
      </c>
      <c r="AD4567">
        <v>1</v>
      </c>
      <c r="AE4567">
        <v>0</v>
      </c>
      <c r="AF4567">
        <v>0</v>
      </c>
      <c r="AG4567">
        <v>0</v>
      </c>
      <c r="AJ4567">
        <v>1</v>
      </c>
      <c r="AK4567">
        <v>0</v>
      </c>
      <c r="AL4567">
        <v>0</v>
      </c>
      <c r="AM4567">
        <v>1</v>
      </c>
      <c r="AN4567">
        <v>0</v>
      </c>
      <c r="AO4567">
        <v>0</v>
      </c>
      <c r="AP4567">
        <v>0</v>
      </c>
      <c r="AQ4567">
        <v>0</v>
      </c>
      <c r="AR4567">
        <v>0</v>
      </c>
      <c r="AS4567">
        <v>0</v>
      </c>
      <c r="AT4567">
        <v>1</v>
      </c>
      <c r="AV4567">
        <v>0</v>
      </c>
      <c r="AW4567">
        <v>0</v>
      </c>
    </row>
    <row r="4568" spans="1:49" x14ac:dyDescent="0.25">
      <c r="A4568" t="str">
        <f>"4564"</f>
        <v>4564</v>
      </c>
      <c r="B4568" t="str">
        <f t="shared" si="261"/>
        <v>1</v>
      </c>
      <c r="C4568" t="str">
        <f t="shared" si="263"/>
        <v>199</v>
      </c>
      <c r="D4568" t="str">
        <f>"2"</f>
        <v>2</v>
      </c>
      <c r="E4568" t="str">
        <f>"1-199-2"</f>
        <v>1-199-2</v>
      </c>
      <c r="F4568" t="s">
        <v>83</v>
      </c>
      <c r="G4568" t="s">
        <v>86</v>
      </c>
      <c r="H4568" t="s">
        <v>87</v>
      </c>
      <c r="AC4568">
        <v>0</v>
      </c>
      <c r="AD4568">
        <v>1</v>
      </c>
      <c r="AE4568">
        <v>0</v>
      </c>
      <c r="AF4568">
        <v>0</v>
      </c>
      <c r="AH4568">
        <v>1</v>
      </c>
      <c r="AI4568">
        <v>0</v>
      </c>
      <c r="AJ4568">
        <v>1</v>
      </c>
      <c r="AK4568">
        <v>0</v>
      </c>
      <c r="AL4568">
        <v>0</v>
      </c>
      <c r="AM4568">
        <v>1</v>
      </c>
      <c r="AN4568">
        <v>0</v>
      </c>
      <c r="AO4568">
        <v>1</v>
      </c>
      <c r="AP4568">
        <v>1</v>
      </c>
      <c r="AQ4568">
        <v>1</v>
      </c>
      <c r="AU4568">
        <v>1</v>
      </c>
      <c r="AV4568">
        <v>1</v>
      </c>
      <c r="AW4568">
        <v>1</v>
      </c>
    </row>
    <row r="4569" spans="1:49" x14ac:dyDescent="0.25">
      <c r="A4569" t="str">
        <f>"4565"</f>
        <v>4565</v>
      </c>
      <c r="B4569" t="str">
        <f t="shared" si="261"/>
        <v>1</v>
      </c>
      <c r="C4569" t="str">
        <f t="shared" si="263"/>
        <v>199</v>
      </c>
      <c r="D4569" t="str">
        <f>"25"</f>
        <v>25</v>
      </c>
      <c r="E4569" t="str">
        <f>"1-199-25"</f>
        <v>1-199-25</v>
      </c>
      <c r="F4569" t="s">
        <v>83</v>
      </c>
      <c r="G4569" t="s">
        <v>88</v>
      </c>
      <c r="H4569" t="s">
        <v>89</v>
      </c>
      <c r="AC4569">
        <v>0</v>
      </c>
      <c r="AD4569">
        <v>1</v>
      </c>
      <c r="AE4569">
        <v>0</v>
      </c>
      <c r="AF4569">
        <v>0</v>
      </c>
      <c r="AH4569">
        <v>1</v>
      </c>
      <c r="AI4569">
        <v>0</v>
      </c>
      <c r="AJ4569">
        <v>1</v>
      </c>
      <c r="AK4569">
        <v>0</v>
      </c>
      <c r="AL4569">
        <v>0</v>
      </c>
      <c r="AM4569">
        <v>1</v>
      </c>
      <c r="AN4569">
        <v>0</v>
      </c>
      <c r="AO4569">
        <v>1</v>
      </c>
      <c r="AP4569">
        <v>1</v>
      </c>
      <c r="AQ4569">
        <v>1</v>
      </c>
      <c r="AR4569">
        <v>1</v>
      </c>
      <c r="AS4569">
        <v>0</v>
      </c>
      <c r="AT4569">
        <v>1</v>
      </c>
      <c r="AV4569">
        <v>1</v>
      </c>
      <c r="AW4569">
        <v>1</v>
      </c>
    </row>
    <row r="4570" spans="1:49" x14ac:dyDescent="0.25">
      <c r="A4570" t="str">
        <f>"4566"</f>
        <v>4566</v>
      </c>
      <c r="B4570" t="str">
        <f t="shared" si="261"/>
        <v>1</v>
      </c>
      <c r="C4570" t="str">
        <f t="shared" si="263"/>
        <v>199</v>
      </c>
      <c r="D4570" t="str">
        <f>"24"</f>
        <v>24</v>
      </c>
      <c r="E4570" t="str">
        <f>"1-199-24"</f>
        <v>1-199-24</v>
      </c>
      <c r="F4570" t="s">
        <v>83</v>
      </c>
      <c r="G4570" t="s">
        <v>84</v>
      </c>
      <c r="H4570" t="s">
        <v>85</v>
      </c>
      <c r="AC4570">
        <v>1</v>
      </c>
      <c r="AD4570">
        <v>0</v>
      </c>
      <c r="AE4570">
        <v>0</v>
      </c>
      <c r="AF4570">
        <v>0</v>
      </c>
      <c r="AG4570">
        <v>1</v>
      </c>
      <c r="AJ4570">
        <v>0</v>
      </c>
      <c r="AK4570">
        <v>1</v>
      </c>
      <c r="AL4570">
        <v>0</v>
      </c>
      <c r="AM4570">
        <v>1</v>
      </c>
      <c r="AN4570">
        <v>0</v>
      </c>
      <c r="AO4570">
        <v>1</v>
      </c>
      <c r="AP4570">
        <v>1</v>
      </c>
      <c r="AQ4570">
        <v>1</v>
      </c>
      <c r="AR4570">
        <v>1</v>
      </c>
      <c r="AS4570">
        <v>0</v>
      </c>
      <c r="AT4570">
        <v>1</v>
      </c>
      <c r="AV4570">
        <v>1</v>
      </c>
      <c r="AW4570">
        <v>1</v>
      </c>
    </row>
    <row r="4571" spans="1:49" x14ac:dyDescent="0.25">
      <c r="A4571" t="str">
        <f>"4567"</f>
        <v>4567</v>
      </c>
      <c r="B4571" t="str">
        <f t="shared" si="261"/>
        <v>1</v>
      </c>
      <c r="C4571" t="str">
        <f t="shared" si="263"/>
        <v>199</v>
      </c>
      <c r="D4571" t="str">
        <f>"15"</f>
        <v>15</v>
      </c>
      <c r="E4571" t="str">
        <f>"1-199-15"</f>
        <v>1-199-15</v>
      </c>
      <c r="F4571" t="s">
        <v>83</v>
      </c>
      <c r="G4571" t="s">
        <v>84</v>
      </c>
      <c r="H4571" t="s">
        <v>85</v>
      </c>
      <c r="AC4571">
        <v>1</v>
      </c>
      <c r="AD4571">
        <v>0</v>
      </c>
      <c r="AE4571">
        <v>0</v>
      </c>
      <c r="AF4571">
        <v>0</v>
      </c>
      <c r="AG4571">
        <v>1</v>
      </c>
      <c r="AJ4571">
        <v>1</v>
      </c>
      <c r="AK4571">
        <v>0</v>
      </c>
      <c r="AL4571">
        <v>0</v>
      </c>
      <c r="AM4571">
        <v>0</v>
      </c>
      <c r="AN4571">
        <v>1</v>
      </c>
      <c r="AO4571">
        <v>1</v>
      </c>
      <c r="AP4571">
        <v>1</v>
      </c>
      <c r="AQ4571">
        <v>1</v>
      </c>
      <c r="AR4571">
        <v>1</v>
      </c>
      <c r="AS4571">
        <v>0</v>
      </c>
      <c r="AT4571">
        <v>1</v>
      </c>
      <c r="AV4571">
        <v>1</v>
      </c>
      <c r="AW4571">
        <v>1</v>
      </c>
    </row>
    <row r="4572" spans="1:49" x14ac:dyDescent="0.25">
      <c r="A4572" t="str">
        <f>"4568"</f>
        <v>4568</v>
      </c>
      <c r="B4572" t="str">
        <f t="shared" si="261"/>
        <v>1</v>
      </c>
      <c r="C4572" t="str">
        <f t="shared" si="263"/>
        <v>199</v>
      </c>
      <c r="D4572" t="str">
        <f>"10"</f>
        <v>10</v>
      </c>
      <c r="E4572" t="str">
        <f>"1-199-10"</f>
        <v>1-199-10</v>
      </c>
      <c r="F4572" t="s">
        <v>83</v>
      </c>
      <c r="G4572" t="s">
        <v>84</v>
      </c>
      <c r="H4572" t="s">
        <v>85</v>
      </c>
      <c r="AC4572">
        <v>1</v>
      </c>
      <c r="AD4572">
        <v>0</v>
      </c>
      <c r="AE4572">
        <v>0</v>
      </c>
      <c r="AF4572">
        <v>0</v>
      </c>
      <c r="AG4572">
        <v>0</v>
      </c>
      <c r="AJ4572">
        <v>1</v>
      </c>
      <c r="AK4572">
        <v>0</v>
      </c>
      <c r="AL4572">
        <v>0</v>
      </c>
      <c r="AM4572">
        <v>0</v>
      </c>
      <c r="AN4572">
        <v>0</v>
      </c>
      <c r="AO4572">
        <v>0</v>
      </c>
      <c r="AP4572">
        <v>0</v>
      </c>
      <c r="AQ4572">
        <v>0</v>
      </c>
      <c r="AR4572">
        <v>0</v>
      </c>
      <c r="AS4572">
        <v>0</v>
      </c>
      <c r="AT4572">
        <v>0</v>
      </c>
      <c r="AV4572">
        <v>0</v>
      </c>
      <c r="AW4572">
        <v>0</v>
      </c>
    </row>
    <row r="4573" spans="1:49" x14ac:dyDescent="0.25">
      <c r="A4573" t="str">
        <f>"4569"</f>
        <v>4569</v>
      </c>
      <c r="B4573" t="str">
        <f t="shared" si="261"/>
        <v>1</v>
      </c>
      <c r="C4573" t="str">
        <f t="shared" si="263"/>
        <v>199</v>
      </c>
      <c r="D4573" t="str">
        <f>"7"</f>
        <v>7</v>
      </c>
      <c r="E4573" t="str">
        <f>"1-199-7"</f>
        <v>1-199-7</v>
      </c>
      <c r="F4573" t="s">
        <v>83</v>
      </c>
      <c r="G4573" t="s">
        <v>84</v>
      </c>
      <c r="H4573" t="s">
        <v>85</v>
      </c>
      <c r="AC4573">
        <v>0</v>
      </c>
      <c r="AD4573">
        <v>1</v>
      </c>
      <c r="AE4573">
        <v>0</v>
      </c>
      <c r="AF4573">
        <v>0</v>
      </c>
      <c r="AG4573">
        <v>1</v>
      </c>
      <c r="AJ4573">
        <v>0</v>
      </c>
      <c r="AK4573">
        <v>1</v>
      </c>
      <c r="AL4573">
        <v>0</v>
      </c>
      <c r="AM4573">
        <v>0</v>
      </c>
      <c r="AN4573">
        <v>1</v>
      </c>
      <c r="AO4573">
        <v>1</v>
      </c>
      <c r="AP4573">
        <v>1</v>
      </c>
      <c r="AQ4573">
        <v>1</v>
      </c>
      <c r="AR4573">
        <v>1</v>
      </c>
      <c r="AS4573">
        <v>0</v>
      </c>
      <c r="AT4573">
        <v>0</v>
      </c>
      <c r="AV4573">
        <v>1</v>
      </c>
      <c r="AW4573">
        <v>1</v>
      </c>
    </row>
    <row r="4574" spans="1:49" x14ac:dyDescent="0.25">
      <c r="A4574" t="str">
        <f>"4570"</f>
        <v>4570</v>
      </c>
      <c r="B4574" t="str">
        <f t="shared" ref="B4574:B4637" si="264">"1"</f>
        <v>1</v>
      </c>
      <c r="C4574" t="str">
        <f t="shared" si="263"/>
        <v>199</v>
      </c>
      <c r="D4574" t="str">
        <f>"21"</f>
        <v>21</v>
      </c>
      <c r="E4574" t="str">
        <f>"1-199-21"</f>
        <v>1-199-21</v>
      </c>
      <c r="F4574" t="s">
        <v>83</v>
      </c>
      <c r="G4574" t="s">
        <v>84</v>
      </c>
      <c r="H4574" t="s">
        <v>85</v>
      </c>
      <c r="AC4574">
        <v>1</v>
      </c>
      <c r="AD4574">
        <v>0</v>
      </c>
      <c r="AE4574">
        <v>0</v>
      </c>
      <c r="AF4574">
        <v>0</v>
      </c>
      <c r="AG4574">
        <v>1</v>
      </c>
      <c r="AJ4574">
        <v>1</v>
      </c>
      <c r="AK4574">
        <v>0</v>
      </c>
      <c r="AL4574">
        <v>0</v>
      </c>
      <c r="AM4574">
        <v>1</v>
      </c>
      <c r="AN4574">
        <v>0</v>
      </c>
      <c r="AO4574">
        <v>1</v>
      </c>
      <c r="AP4574">
        <v>1</v>
      </c>
      <c r="AQ4574">
        <v>1</v>
      </c>
      <c r="AR4574">
        <v>1</v>
      </c>
      <c r="AS4574">
        <v>0</v>
      </c>
      <c r="AT4574">
        <v>1</v>
      </c>
      <c r="AV4574">
        <v>1</v>
      </c>
      <c r="AW4574">
        <v>1</v>
      </c>
    </row>
    <row r="4575" spans="1:49" x14ac:dyDescent="0.25">
      <c r="A4575" t="str">
        <f>"4571"</f>
        <v>4571</v>
      </c>
      <c r="B4575" t="str">
        <f t="shared" si="264"/>
        <v>1</v>
      </c>
      <c r="C4575" t="str">
        <f t="shared" si="263"/>
        <v>199</v>
      </c>
      <c r="D4575" t="str">
        <f>"11"</f>
        <v>11</v>
      </c>
      <c r="E4575" t="str">
        <f>"1-199-11"</f>
        <v>1-199-11</v>
      </c>
      <c r="F4575" t="s">
        <v>83</v>
      </c>
      <c r="G4575" t="s">
        <v>84</v>
      </c>
      <c r="H4575" t="s">
        <v>85</v>
      </c>
      <c r="AC4575">
        <v>0</v>
      </c>
      <c r="AD4575">
        <v>0</v>
      </c>
      <c r="AE4575">
        <v>0</v>
      </c>
      <c r="AF4575">
        <v>0</v>
      </c>
      <c r="AG4575">
        <v>0</v>
      </c>
      <c r="AJ4575">
        <v>0</v>
      </c>
      <c r="AK4575">
        <v>1</v>
      </c>
      <c r="AL4575">
        <v>0</v>
      </c>
      <c r="AM4575">
        <v>0</v>
      </c>
      <c r="AN4575">
        <v>0</v>
      </c>
      <c r="AO4575">
        <v>0</v>
      </c>
      <c r="AP4575">
        <v>0</v>
      </c>
      <c r="AQ4575">
        <v>0</v>
      </c>
      <c r="AR4575">
        <v>0</v>
      </c>
      <c r="AS4575">
        <v>0</v>
      </c>
      <c r="AT4575">
        <v>0</v>
      </c>
      <c r="AV4575">
        <v>0</v>
      </c>
      <c r="AW4575">
        <v>0</v>
      </c>
    </row>
    <row r="4576" spans="1:49" x14ac:dyDescent="0.25">
      <c r="A4576" t="str">
        <f>"4572"</f>
        <v>4572</v>
      </c>
      <c r="B4576" t="str">
        <f t="shared" si="264"/>
        <v>1</v>
      </c>
      <c r="C4576" t="str">
        <f t="shared" si="263"/>
        <v>199</v>
      </c>
      <c r="D4576" t="str">
        <f>"3"</f>
        <v>3</v>
      </c>
      <c r="E4576" t="str">
        <f>"1-199-3"</f>
        <v>1-199-3</v>
      </c>
      <c r="F4576" t="s">
        <v>83</v>
      </c>
      <c r="G4576" t="s">
        <v>84</v>
      </c>
      <c r="H4576" t="s">
        <v>85</v>
      </c>
      <c r="AC4576">
        <v>1</v>
      </c>
      <c r="AD4576">
        <v>0</v>
      </c>
      <c r="AE4576">
        <v>0</v>
      </c>
      <c r="AF4576">
        <v>0</v>
      </c>
      <c r="AG4576">
        <v>1</v>
      </c>
      <c r="AJ4576">
        <v>0</v>
      </c>
      <c r="AK4576">
        <v>1</v>
      </c>
      <c r="AL4576">
        <v>0</v>
      </c>
      <c r="AM4576">
        <v>0</v>
      </c>
      <c r="AN4576">
        <v>1</v>
      </c>
      <c r="AO4576">
        <v>1</v>
      </c>
      <c r="AP4576">
        <v>1</v>
      </c>
      <c r="AQ4576">
        <v>1</v>
      </c>
      <c r="AR4576">
        <v>1</v>
      </c>
      <c r="AS4576">
        <v>0</v>
      </c>
      <c r="AT4576">
        <v>1</v>
      </c>
      <c r="AV4576">
        <v>1</v>
      </c>
      <c r="AW4576">
        <v>1</v>
      </c>
    </row>
    <row r="4577" spans="1:49" x14ac:dyDescent="0.25">
      <c r="A4577" t="str">
        <f>"4573"</f>
        <v>4573</v>
      </c>
      <c r="B4577" t="str">
        <f t="shared" si="264"/>
        <v>1</v>
      </c>
      <c r="C4577" t="str">
        <f t="shared" si="263"/>
        <v>199</v>
      </c>
      <c r="D4577" t="str">
        <f>"20"</f>
        <v>20</v>
      </c>
      <c r="E4577" t="str">
        <f>"1-199-20"</f>
        <v>1-199-20</v>
      </c>
      <c r="F4577" t="s">
        <v>83</v>
      </c>
      <c r="G4577" t="s">
        <v>84</v>
      </c>
      <c r="H4577" t="s">
        <v>85</v>
      </c>
      <c r="AC4577">
        <v>1</v>
      </c>
      <c r="AD4577">
        <v>0</v>
      </c>
      <c r="AE4577">
        <v>0</v>
      </c>
      <c r="AF4577">
        <v>0</v>
      </c>
      <c r="AG4577">
        <v>1</v>
      </c>
      <c r="AJ4577">
        <v>1</v>
      </c>
      <c r="AK4577">
        <v>0</v>
      </c>
      <c r="AL4577">
        <v>0</v>
      </c>
      <c r="AM4577">
        <v>1</v>
      </c>
      <c r="AN4577">
        <v>0</v>
      </c>
      <c r="AO4577">
        <v>1</v>
      </c>
      <c r="AP4577">
        <v>1</v>
      </c>
      <c r="AQ4577">
        <v>1</v>
      </c>
      <c r="AR4577">
        <v>1</v>
      </c>
      <c r="AS4577">
        <v>0</v>
      </c>
      <c r="AT4577">
        <v>1</v>
      </c>
      <c r="AV4577">
        <v>1</v>
      </c>
      <c r="AW4577">
        <v>1</v>
      </c>
    </row>
    <row r="4578" spans="1:49" x14ac:dyDescent="0.25">
      <c r="A4578" t="str">
        <f>"4574"</f>
        <v>4574</v>
      </c>
      <c r="B4578" t="str">
        <f t="shared" si="264"/>
        <v>1</v>
      </c>
      <c r="C4578" t="str">
        <f t="shared" si="263"/>
        <v>199</v>
      </c>
      <c r="D4578" t="str">
        <f>"12"</f>
        <v>12</v>
      </c>
      <c r="E4578" t="str">
        <f>"1-199-12"</f>
        <v>1-199-12</v>
      </c>
      <c r="F4578" t="s">
        <v>83</v>
      </c>
      <c r="G4578" t="s">
        <v>84</v>
      </c>
      <c r="H4578" t="s">
        <v>85</v>
      </c>
      <c r="AC4578">
        <v>0</v>
      </c>
      <c r="AD4578">
        <v>1</v>
      </c>
      <c r="AE4578">
        <v>0</v>
      </c>
      <c r="AF4578">
        <v>0</v>
      </c>
      <c r="AG4578">
        <v>1</v>
      </c>
      <c r="AJ4578">
        <v>1</v>
      </c>
      <c r="AK4578">
        <v>0</v>
      </c>
      <c r="AL4578">
        <v>0</v>
      </c>
      <c r="AM4578">
        <v>1</v>
      </c>
      <c r="AN4578">
        <v>0</v>
      </c>
      <c r="AO4578">
        <v>1</v>
      </c>
      <c r="AP4578">
        <v>1</v>
      </c>
      <c r="AQ4578">
        <v>1</v>
      </c>
      <c r="AR4578">
        <v>1</v>
      </c>
      <c r="AS4578">
        <v>0</v>
      </c>
      <c r="AT4578">
        <v>1</v>
      </c>
      <c r="AV4578">
        <v>1</v>
      </c>
      <c r="AW4578">
        <v>1</v>
      </c>
    </row>
    <row r="4579" spans="1:49" x14ac:dyDescent="0.25">
      <c r="A4579" t="str">
        <f>"4575"</f>
        <v>4575</v>
      </c>
      <c r="B4579" t="str">
        <f t="shared" si="264"/>
        <v>1</v>
      </c>
      <c r="C4579" t="str">
        <f t="shared" si="263"/>
        <v>199</v>
      </c>
      <c r="D4579" t="str">
        <f>"4"</f>
        <v>4</v>
      </c>
      <c r="E4579" t="str">
        <f>"1-199-4"</f>
        <v>1-199-4</v>
      </c>
      <c r="F4579" t="s">
        <v>83</v>
      </c>
      <c r="G4579" t="s">
        <v>84</v>
      </c>
      <c r="H4579" t="s">
        <v>85</v>
      </c>
      <c r="AC4579">
        <v>1</v>
      </c>
      <c r="AD4579">
        <v>0</v>
      </c>
      <c r="AE4579">
        <v>0</v>
      </c>
      <c r="AF4579">
        <v>0</v>
      </c>
      <c r="AG4579">
        <v>1</v>
      </c>
      <c r="AJ4579">
        <v>0</v>
      </c>
      <c r="AK4579">
        <v>1</v>
      </c>
      <c r="AL4579">
        <v>0</v>
      </c>
      <c r="AM4579">
        <v>0</v>
      </c>
      <c r="AN4579">
        <v>1</v>
      </c>
      <c r="AO4579">
        <v>1</v>
      </c>
      <c r="AP4579">
        <v>1</v>
      </c>
      <c r="AQ4579">
        <v>1</v>
      </c>
      <c r="AR4579">
        <v>1</v>
      </c>
      <c r="AS4579">
        <v>0</v>
      </c>
      <c r="AT4579">
        <v>1</v>
      </c>
      <c r="AV4579">
        <v>1</v>
      </c>
      <c r="AW4579">
        <v>1</v>
      </c>
    </row>
    <row r="4580" spans="1:49" x14ac:dyDescent="0.25">
      <c r="A4580" t="str">
        <f>"4576"</f>
        <v>4576</v>
      </c>
      <c r="B4580" t="str">
        <f t="shared" si="264"/>
        <v>1</v>
      </c>
      <c r="C4580" t="str">
        <f t="shared" si="263"/>
        <v>199</v>
      </c>
      <c r="D4580" t="str">
        <f>"16"</f>
        <v>16</v>
      </c>
      <c r="E4580" t="str">
        <f>"1-199-16"</f>
        <v>1-199-16</v>
      </c>
      <c r="F4580" t="s">
        <v>83</v>
      </c>
      <c r="G4580" t="s">
        <v>84</v>
      </c>
      <c r="H4580" t="s">
        <v>85</v>
      </c>
      <c r="AC4580">
        <v>1</v>
      </c>
      <c r="AD4580">
        <v>0</v>
      </c>
      <c r="AE4580">
        <v>0</v>
      </c>
      <c r="AF4580">
        <v>0</v>
      </c>
      <c r="AG4580">
        <v>1</v>
      </c>
      <c r="AJ4580">
        <v>0</v>
      </c>
      <c r="AK4580">
        <v>1</v>
      </c>
      <c r="AL4580">
        <v>1</v>
      </c>
      <c r="AM4580">
        <v>0</v>
      </c>
      <c r="AN4580">
        <v>0</v>
      </c>
      <c r="AO4580">
        <v>1</v>
      </c>
      <c r="AP4580">
        <v>1</v>
      </c>
      <c r="AQ4580">
        <v>1</v>
      </c>
      <c r="AR4580">
        <v>1</v>
      </c>
      <c r="AS4580">
        <v>1</v>
      </c>
      <c r="AT4580">
        <v>0</v>
      </c>
      <c r="AV4580">
        <v>1</v>
      </c>
      <c r="AW4580">
        <v>1</v>
      </c>
    </row>
    <row r="4581" spans="1:49" x14ac:dyDescent="0.25">
      <c r="A4581" t="str">
        <f>"4577"</f>
        <v>4577</v>
      </c>
      <c r="B4581" t="str">
        <f t="shared" si="264"/>
        <v>1</v>
      </c>
      <c r="C4581" t="str">
        <f t="shared" si="263"/>
        <v>199</v>
      </c>
      <c r="D4581" t="str">
        <f>"1"</f>
        <v>1</v>
      </c>
      <c r="E4581" t="str">
        <f>"1-199-1"</f>
        <v>1-199-1</v>
      </c>
      <c r="F4581" t="s">
        <v>83</v>
      </c>
      <c r="G4581" t="s">
        <v>86</v>
      </c>
      <c r="H4581" t="s">
        <v>87</v>
      </c>
      <c r="AC4581">
        <v>1</v>
      </c>
      <c r="AD4581">
        <v>0</v>
      </c>
      <c r="AE4581">
        <v>0</v>
      </c>
      <c r="AF4581">
        <v>0</v>
      </c>
      <c r="AH4581">
        <v>0</v>
      </c>
      <c r="AI4581">
        <v>1</v>
      </c>
      <c r="AJ4581">
        <v>0</v>
      </c>
      <c r="AK4581">
        <v>1</v>
      </c>
      <c r="AL4581">
        <v>0</v>
      </c>
      <c r="AM4581">
        <v>0</v>
      </c>
      <c r="AN4581">
        <v>1</v>
      </c>
      <c r="AO4581">
        <v>1</v>
      </c>
      <c r="AP4581">
        <v>1</v>
      </c>
      <c r="AQ4581">
        <v>1</v>
      </c>
      <c r="AU4581">
        <v>1</v>
      </c>
      <c r="AV4581">
        <v>1</v>
      </c>
      <c r="AW4581">
        <v>0</v>
      </c>
    </row>
    <row r="4582" spans="1:49" x14ac:dyDescent="0.25">
      <c r="A4582" t="str">
        <f>"4578"</f>
        <v>4578</v>
      </c>
      <c r="B4582" t="str">
        <f t="shared" si="264"/>
        <v>1</v>
      </c>
      <c r="C4582" t="str">
        <f t="shared" si="263"/>
        <v>199</v>
      </c>
      <c r="D4582" t="str">
        <f>"17"</f>
        <v>17</v>
      </c>
      <c r="E4582" t="str">
        <f>"1-199-17"</f>
        <v>1-199-17</v>
      </c>
      <c r="F4582" t="s">
        <v>83</v>
      </c>
      <c r="G4582" t="s">
        <v>84</v>
      </c>
      <c r="H4582" t="s">
        <v>85</v>
      </c>
      <c r="AC4582">
        <v>1</v>
      </c>
      <c r="AD4582">
        <v>0</v>
      </c>
      <c r="AE4582">
        <v>0</v>
      </c>
      <c r="AF4582">
        <v>0</v>
      </c>
      <c r="AG4582">
        <v>1</v>
      </c>
      <c r="AJ4582">
        <v>1</v>
      </c>
      <c r="AK4582">
        <v>0</v>
      </c>
      <c r="AL4582">
        <v>0</v>
      </c>
      <c r="AM4582">
        <v>0</v>
      </c>
      <c r="AN4582">
        <v>1</v>
      </c>
      <c r="AO4582">
        <v>1</v>
      </c>
      <c r="AP4582">
        <v>1</v>
      </c>
      <c r="AQ4582">
        <v>1</v>
      </c>
      <c r="AR4582">
        <v>1</v>
      </c>
      <c r="AS4582">
        <v>0</v>
      </c>
      <c r="AT4582">
        <v>1</v>
      </c>
      <c r="AV4582">
        <v>1</v>
      </c>
      <c r="AW4582">
        <v>1</v>
      </c>
    </row>
    <row r="4583" spans="1:49" x14ac:dyDescent="0.25">
      <c r="A4583" t="str">
        <f>"4579"</f>
        <v>4579</v>
      </c>
      <c r="B4583" t="str">
        <f t="shared" si="264"/>
        <v>1</v>
      </c>
      <c r="C4583" t="str">
        <f t="shared" si="263"/>
        <v>199</v>
      </c>
      <c r="D4583" t="str">
        <f>"6"</f>
        <v>6</v>
      </c>
      <c r="E4583" t="str">
        <f>"1-199-6"</f>
        <v>1-199-6</v>
      </c>
      <c r="F4583" t="s">
        <v>83</v>
      </c>
      <c r="G4583" t="s">
        <v>84</v>
      </c>
      <c r="H4583" t="s">
        <v>85</v>
      </c>
      <c r="AC4583">
        <v>1</v>
      </c>
      <c r="AD4583">
        <v>0</v>
      </c>
      <c r="AE4583">
        <v>0</v>
      </c>
      <c r="AF4583">
        <v>0</v>
      </c>
      <c r="AG4583">
        <v>1</v>
      </c>
      <c r="AJ4583">
        <v>0</v>
      </c>
      <c r="AK4583">
        <v>1</v>
      </c>
      <c r="AL4583">
        <v>1</v>
      </c>
      <c r="AM4583">
        <v>0</v>
      </c>
      <c r="AN4583">
        <v>0</v>
      </c>
      <c r="AO4583">
        <v>1</v>
      </c>
      <c r="AP4583">
        <v>1</v>
      </c>
      <c r="AQ4583">
        <v>1</v>
      </c>
      <c r="AR4583">
        <v>1</v>
      </c>
      <c r="AS4583">
        <v>0</v>
      </c>
      <c r="AT4583">
        <v>1</v>
      </c>
      <c r="AV4583">
        <v>0</v>
      </c>
      <c r="AW4583">
        <v>1</v>
      </c>
    </row>
    <row r="4584" spans="1:49" x14ac:dyDescent="0.25">
      <c r="A4584" t="str">
        <f>"4580"</f>
        <v>4580</v>
      </c>
      <c r="B4584" t="str">
        <f t="shared" si="264"/>
        <v>1</v>
      </c>
      <c r="C4584" t="str">
        <f t="shared" ref="C4584:C4606" si="265">"200"</f>
        <v>200</v>
      </c>
      <c r="D4584" t="str">
        <f>"19"</f>
        <v>19</v>
      </c>
      <c r="E4584" t="str">
        <f>"1-200-19"</f>
        <v>1-200-19</v>
      </c>
      <c r="F4584" t="s">
        <v>83</v>
      </c>
      <c r="G4584" t="s">
        <v>86</v>
      </c>
      <c r="H4584" t="s">
        <v>93</v>
      </c>
      <c r="I4584">
        <v>1</v>
      </c>
      <c r="K4584">
        <v>1</v>
      </c>
      <c r="L4584">
        <v>0</v>
      </c>
      <c r="M4584">
        <v>0</v>
      </c>
      <c r="N4584">
        <v>1</v>
      </c>
      <c r="O4584">
        <v>1</v>
      </c>
      <c r="P4584">
        <v>1</v>
      </c>
      <c r="Q4584">
        <v>1</v>
      </c>
      <c r="R4584">
        <v>1</v>
      </c>
      <c r="U4584">
        <v>0</v>
      </c>
      <c r="V4584">
        <v>1</v>
      </c>
      <c r="W4584">
        <v>1</v>
      </c>
      <c r="X4584">
        <v>1</v>
      </c>
      <c r="Y4584">
        <v>1</v>
      </c>
      <c r="Z4584">
        <v>1</v>
      </c>
      <c r="AA4584">
        <v>1</v>
      </c>
      <c r="AB4584">
        <v>1</v>
      </c>
    </row>
    <row r="4585" spans="1:49" x14ac:dyDescent="0.25">
      <c r="A4585" t="str">
        <f>"4581"</f>
        <v>4581</v>
      </c>
      <c r="B4585" t="str">
        <f t="shared" si="264"/>
        <v>1</v>
      </c>
      <c r="C4585" t="str">
        <f t="shared" si="265"/>
        <v>200</v>
      </c>
      <c r="D4585" t="str">
        <f>"18"</f>
        <v>18</v>
      </c>
      <c r="E4585" t="str">
        <f>"1-200-18"</f>
        <v>1-200-18</v>
      </c>
      <c r="F4585" t="s">
        <v>83</v>
      </c>
      <c r="G4585" t="s">
        <v>84</v>
      </c>
      <c r="H4585" t="s">
        <v>92</v>
      </c>
      <c r="I4585">
        <v>1</v>
      </c>
      <c r="J4585">
        <v>1</v>
      </c>
      <c r="N4585">
        <v>1</v>
      </c>
      <c r="O4585">
        <v>1</v>
      </c>
      <c r="P4585">
        <v>1</v>
      </c>
      <c r="Q4585">
        <v>1</v>
      </c>
      <c r="R4585">
        <v>1</v>
      </c>
      <c r="S4585">
        <v>1</v>
      </c>
      <c r="T4585">
        <v>1</v>
      </c>
      <c r="W4585">
        <v>1</v>
      </c>
      <c r="X4585">
        <v>1</v>
      </c>
      <c r="Y4585">
        <v>1</v>
      </c>
      <c r="Z4585">
        <v>1</v>
      </c>
      <c r="AA4585">
        <v>1</v>
      </c>
      <c r="AB4585">
        <v>1</v>
      </c>
    </row>
    <row r="4586" spans="1:49" x14ac:dyDescent="0.25">
      <c r="A4586" t="str">
        <f>"4582"</f>
        <v>4582</v>
      </c>
      <c r="B4586" t="str">
        <f t="shared" si="264"/>
        <v>1</v>
      </c>
      <c r="C4586" t="str">
        <f t="shared" si="265"/>
        <v>200</v>
      </c>
      <c r="D4586" t="str">
        <f>"15"</f>
        <v>15</v>
      </c>
      <c r="E4586" t="str">
        <f>"1-200-15"</f>
        <v>1-200-15</v>
      </c>
      <c r="F4586" t="s">
        <v>83</v>
      </c>
      <c r="G4586" t="s">
        <v>84</v>
      </c>
      <c r="H4586" t="s">
        <v>92</v>
      </c>
      <c r="I4586">
        <v>1</v>
      </c>
      <c r="J4586">
        <v>1</v>
      </c>
      <c r="N4586">
        <v>1</v>
      </c>
      <c r="O4586">
        <v>1</v>
      </c>
      <c r="P4586">
        <v>1</v>
      </c>
      <c r="Q4586">
        <v>1</v>
      </c>
      <c r="R4586">
        <v>1</v>
      </c>
      <c r="S4586">
        <v>1</v>
      </c>
      <c r="T4586">
        <v>1</v>
      </c>
      <c r="W4586">
        <v>1</v>
      </c>
      <c r="X4586">
        <v>1</v>
      </c>
      <c r="Y4586">
        <v>1</v>
      </c>
      <c r="Z4586">
        <v>1</v>
      </c>
      <c r="AA4586">
        <v>1</v>
      </c>
      <c r="AB4586">
        <v>1</v>
      </c>
    </row>
    <row r="4587" spans="1:49" x14ac:dyDescent="0.25">
      <c r="A4587" t="str">
        <f>"4583"</f>
        <v>4583</v>
      </c>
      <c r="B4587" t="str">
        <f t="shared" si="264"/>
        <v>1</v>
      </c>
      <c r="C4587" t="str">
        <f t="shared" si="265"/>
        <v>200</v>
      </c>
      <c r="D4587" t="str">
        <f>"8"</f>
        <v>8</v>
      </c>
      <c r="E4587" t="str">
        <f>"1-200-8"</f>
        <v>1-200-8</v>
      </c>
      <c r="F4587" t="s">
        <v>83</v>
      </c>
      <c r="G4587" t="s">
        <v>84</v>
      </c>
      <c r="H4587" t="s">
        <v>92</v>
      </c>
      <c r="I4587">
        <v>1</v>
      </c>
      <c r="J4587">
        <v>1</v>
      </c>
      <c r="N4587">
        <v>1</v>
      </c>
      <c r="O4587">
        <v>1</v>
      </c>
      <c r="P4587">
        <v>1</v>
      </c>
      <c r="Q4587">
        <v>1</v>
      </c>
      <c r="R4587">
        <v>1</v>
      </c>
      <c r="S4587">
        <v>1</v>
      </c>
      <c r="T4587">
        <v>1</v>
      </c>
      <c r="W4587">
        <v>1</v>
      </c>
      <c r="X4587">
        <v>1</v>
      </c>
      <c r="Y4587">
        <v>1</v>
      </c>
      <c r="Z4587">
        <v>1</v>
      </c>
      <c r="AA4587">
        <v>1</v>
      </c>
      <c r="AB4587">
        <v>1</v>
      </c>
    </row>
    <row r="4588" spans="1:49" x14ac:dyDescent="0.25">
      <c r="A4588" t="str">
        <f>"4584"</f>
        <v>4584</v>
      </c>
      <c r="B4588" t="str">
        <f t="shared" si="264"/>
        <v>1</v>
      </c>
      <c r="C4588" t="str">
        <f t="shared" si="265"/>
        <v>200</v>
      </c>
      <c r="D4588" t="str">
        <f>"2"</f>
        <v>2</v>
      </c>
      <c r="E4588" t="str">
        <f>"1-200-2"</f>
        <v>1-200-2</v>
      </c>
      <c r="F4588" t="s">
        <v>83</v>
      </c>
      <c r="G4588" t="s">
        <v>84</v>
      </c>
      <c r="H4588" t="s">
        <v>92</v>
      </c>
      <c r="I4588">
        <v>1</v>
      </c>
      <c r="J4588">
        <v>1</v>
      </c>
      <c r="N4588">
        <v>1</v>
      </c>
      <c r="O4588">
        <v>1</v>
      </c>
      <c r="P4588">
        <v>1</v>
      </c>
      <c r="Q4588">
        <v>1</v>
      </c>
      <c r="R4588">
        <v>1</v>
      </c>
      <c r="S4588">
        <v>1</v>
      </c>
      <c r="T4588">
        <v>1</v>
      </c>
      <c r="W4588">
        <v>1</v>
      </c>
      <c r="X4588">
        <v>1</v>
      </c>
      <c r="Y4588">
        <v>1</v>
      </c>
      <c r="Z4588">
        <v>1</v>
      </c>
      <c r="AA4588">
        <v>1</v>
      </c>
      <c r="AB4588">
        <v>1</v>
      </c>
    </row>
    <row r="4589" spans="1:49" x14ac:dyDescent="0.25">
      <c r="A4589" t="str">
        <f>"4585"</f>
        <v>4585</v>
      </c>
      <c r="B4589" t="str">
        <f t="shared" si="264"/>
        <v>1</v>
      </c>
      <c r="C4589" t="str">
        <f t="shared" si="265"/>
        <v>200</v>
      </c>
      <c r="D4589" t="str">
        <f>"16"</f>
        <v>16</v>
      </c>
      <c r="E4589" t="str">
        <f>"1-200-16"</f>
        <v>1-200-16</v>
      </c>
      <c r="F4589" t="s">
        <v>83</v>
      </c>
      <c r="G4589" t="s">
        <v>84</v>
      </c>
      <c r="H4589" t="s">
        <v>92</v>
      </c>
      <c r="I4589">
        <v>1</v>
      </c>
      <c r="J4589">
        <v>1</v>
      </c>
      <c r="N4589">
        <v>1</v>
      </c>
      <c r="O4589">
        <v>1</v>
      </c>
      <c r="P4589">
        <v>1</v>
      </c>
      <c r="Q4589">
        <v>1</v>
      </c>
      <c r="R4589">
        <v>1</v>
      </c>
      <c r="S4589">
        <v>1</v>
      </c>
      <c r="T4589">
        <v>1</v>
      </c>
      <c r="W4589">
        <v>1</v>
      </c>
      <c r="X4589">
        <v>1</v>
      </c>
      <c r="Y4589">
        <v>1</v>
      </c>
      <c r="Z4589">
        <v>1</v>
      </c>
      <c r="AA4589">
        <v>1</v>
      </c>
      <c r="AB4589">
        <v>1</v>
      </c>
    </row>
    <row r="4590" spans="1:49" x14ac:dyDescent="0.25">
      <c r="A4590" t="str">
        <f>"4586"</f>
        <v>4586</v>
      </c>
      <c r="B4590" t="str">
        <f t="shared" si="264"/>
        <v>1</v>
      </c>
      <c r="C4590" t="str">
        <f t="shared" si="265"/>
        <v>200</v>
      </c>
      <c r="D4590" t="str">
        <f>"9"</f>
        <v>9</v>
      </c>
      <c r="E4590" t="str">
        <f>"1-200-9"</f>
        <v>1-200-9</v>
      </c>
      <c r="F4590" t="s">
        <v>83</v>
      </c>
      <c r="G4590" t="s">
        <v>84</v>
      </c>
      <c r="H4590" t="s">
        <v>92</v>
      </c>
      <c r="I4590">
        <v>1</v>
      </c>
      <c r="J4590">
        <v>1</v>
      </c>
      <c r="N4590">
        <v>1</v>
      </c>
      <c r="O4590">
        <v>1</v>
      </c>
      <c r="P4590">
        <v>1</v>
      </c>
      <c r="Q4590">
        <v>1</v>
      </c>
      <c r="R4590">
        <v>1</v>
      </c>
      <c r="S4590">
        <v>1</v>
      </c>
      <c r="T4590">
        <v>1</v>
      </c>
      <c r="W4590">
        <v>1</v>
      </c>
      <c r="X4590">
        <v>1</v>
      </c>
      <c r="Y4590">
        <v>1</v>
      </c>
      <c r="Z4590">
        <v>1</v>
      </c>
      <c r="AA4590">
        <v>1</v>
      </c>
      <c r="AB4590">
        <v>1</v>
      </c>
    </row>
    <row r="4591" spans="1:49" x14ac:dyDescent="0.25">
      <c r="A4591" t="str">
        <f>"4587"</f>
        <v>4587</v>
      </c>
      <c r="B4591" t="str">
        <f t="shared" si="264"/>
        <v>1</v>
      </c>
      <c r="C4591" t="str">
        <f t="shared" si="265"/>
        <v>200</v>
      </c>
      <c r="D4591" t="str">
        <f>"6"</f>
        <v>6</v>
      </c>
      <c r="E4591" t="str">
        <f>"1-200-6"</f>
        <v>1-200-6</v>
      </c>
      <c r="F4591" t="s">
        <v>83</v>
      </c>
      <c r="G4591" t="s">
        <v>84</v>
      </c>
      <c r="H4591" t="s">
        <v>92</v>
      </c>
      <c r="I4591">
        <v>1</v>
      </c>
      <c r="J4591">
        <v>1</v>
      </c>
      <c r="N4591">
        <v>1</v>
      </c>
      <c r="O4591">
        <v>1</v>
      </c>
      <c r="P4591">
        <v>1</v>
      </c>
      <c r="Q4591">
        <v>1</v>
      </c>
      <c r="R4591">
        <v>1</v>
      </c>
      <c r="S4591">
        <v>1</v>
      </c>
      <c r="T4591">
        <v>1</v>
      </c>
      <c r="W4591">
        <v>1</v>
      </c>
      <c r="X4591">
        <v>1</v>
      </c>
      <c r="Y4591">
        <v>1</v>
      </c>
      <c r="Z4591">
        <v>1</v>
      </c>
      <c r="AA4591">
        <v>1</v>
      </c>
      <c r="AB4591">
        <v>1</v>
      </c>
    </row>
    <row r="4592" spans="1:49" x14ac:dyDescent="0.25">
      <c r="A4592" t="str">
        <f>"4588"</f>
        <v>4588</v>
      </c>
      <c r="B4592" t="str">
        <f t="shared" si="264"/>
        <v>1</v>
      </c>
      <c r="C4592" t="str">
        <f t="shared" si="265"/>
        <v>200</v>
      </c>
      <c r="D4592" t="str">
        <f>"22"</f>
        <v>22</v>
      </c>
      <c r="E4592" t="str">
        <f>"1-200-22"</f>
        <v>1-200-22</v>
      </c>
      <c r="F4592" t="s">
        <v>83</v>
      </c>
      <c r="G4592" t="s">
        <v>86</v>
      </c>
      <c r="H4592" t="s">
        <v>93</v>
      </c>
      <c r="I4592">
        <v>1</v>
      </c>
      <c r="K4592">
        <v>1</v>
      </c>
      <c r="L4592">
        <v>0</v>
      </c>
      <c r="M4592">
        <v>0</v>
      </c>
      <c r="N4592">
        <v>1</v>
      </c>
      <c r="O4592">
        <v>0</v>
      </c>
      <c r="P4592">
        <v>0</v>
      </c>
      <c r="Q4592">
        <v>1</v>
      </c>
      <c r="R4592">
        <v>1</v>
      </c>
      <c r="U4592">
        <v>1</v>
      </c>
      <c r="V4592">
        <v>0</v>
      </c>
      <c r="W4592">
        <v>1</v>
      </c>
      <c r="X4592">
        <v>1</v>
      </c>
      <c r="Y4592">
        <v>1</v>
      </c>
      <c r="Z4592">
        <v>1</v>
      </c>
      <c r="AA4592">
        <v>1</v>
      </c>
      <c r="AB4592">
        <v>1</v>
      </c>
    </row>
    <row r="4593" spans="1:28" x14ac:dyDescent="0.25">
      <c r="A4593" t="str">
        <f>"4589"</f>
        <v>4589</v>
      </c>
      <c r="B4593" t="str">
        <f t="shared" si="264"/>
        <v>1</v>
      </c>
      <c r="C4593" t="str">
        <f t="shared" si="265"/>
        <v>200</v>
      </c>
      <c r="D4593" t="str">
        <f>"21"</f>
        <v>21</v>
      </c>
      <c r="E4593" t="str">
        <f>"1-200-21"</f>
        <v>1-200-21</v>
      </c>
      <c r="F4593" t="s">
        <v>83</v>
      </c>
      <c r="G4593" t="s">
        <v>86</v>
      </c>
      <c r="H4593" t="s">
        <v>93</v>
      </c>
      <c r="I4593">
        <v>0</v>
      </c>
      <c r="K4593">
        <v>1</v>
      </c>
      <c r="L4593">
        <v>0</v>
      </c>
      <c r="M4593">
        <v>0</v>
      </c>
      <c r="N4593">
        <v>1</v>
      </c>
      <c r="O4593">
        <v>1</v>
      </c>
      <c r="P4593">
        <v>0</v>
      </c>
      <c r="Q4593">
        <v>0</v>
      </c>
      <c r="R4593">
        <v>0</v>
      </c>
      <c r="U4593">
        <v>0</v>
      </c>
      <c r="V4593">
        <v>0</v>
      </c>
      <c r="W4593">
        <v>0</v>
      </c>
      <c r="X4593">
        <v>0</v>
      </c>
      <c r="Y4593">
        <v>0</v>
      </c>
      <c r="Z4593">
        <v>0</v>
      </c>
      <c r="AA4593">
        <v>0</v>
      </c>
      <c r="AB4593">
        <v>0</v>
      </c>
    </row>
    <row r="4594" spans="1:28" x14ac:dyDescent="0.25">
      <c r="A4594" t="str">
        <f>"4590"</f>
        <v>4590</v>
      </c>
      <c r="B4594" t="str">
        <f t="shared" si="264"/>
        <v>1</v>
      </c>
      <c r="C4594" t="str">
        <f t="shared" si="265"/>
        <v>200</v>
      </c>
      <c r="D4594" t="str">
        <f>"17"</f>
        <v>17</v>
      </c>
      <c r="E4594" t="str">
        <f>"1-200-17"</f>
        <v>1-200-17</v>
      </c>
      <c r="F4594" t="s">
        <v>83</v>
      </c>
      <c r="G4594" t="s">
        <v>84</v>
      </c>
      <c r="H4594" t="s">
        <v>92</v>
      </c>
      <c r="I4594">
        <v>1</v>
      </c>
      <c r="J4594">
        <v>0</v>
      </c>
      <c r="N4594">
        <v>1</v>
      </c>
      <c r="O4594">
        <v>1</v>
      </c>
      <c r="P4594">
        <v>1</v>
      </c>
      <c r="Q4594">
        <v>1</v>
      </c>
      <c r="R4594">
        <v>1</v>
      </c>
      <c r="S4594">
        <v>1</v>
      </c>
      <c r="T4594">
        <v>1</v>
      </c>
      <c r="W4594">
        <v>1</v>
      </c>
      <c r="X4594">
        <v>1</v>
      </c>
      <c r="Y4594">
        <v>1</v>
      </c>
      <c r="Z4594">
        <v>1</v>
      </c>
      <c r="AA4594">
        <v>1</v>
      </c>
      <c r="AB4594">
        <v>1</v>
      </c>
    </row>
    <row r="4595" spans="1:28" x14ac:dyDescent="0.25">
      <c r="A4595" t="str">
        <f>"4591"</f>
        <v>4591</v>
      </c>
      <c r="B4595" t="str">
        <f t="shared" si="264"/>
        <v>1</v>
      </c>
      <c r="C4595" t="str">
        <f t="shared" si="265"/>
        <v>200</v>
      </c>
      <c r="D4595" t="str">
        <f>"10"</f>
        <v>10</v>
      </c>
      <c r="E4595" t="str">
        <f>"1-200-10"</f>
        <v>1-200-10</v>
      </c>
      <c r="F4595" t="s">
        <v>83</v>
      </c>
      <c r="G4595" t="s">
        <v>86</v>
      </c>
      <c r="H4595" t="s">
        <v>93</v>
      </c>
      <c r="I4595">
        <v>1</v>
      </c>
      <c r="K4595">
        <v>0</v>
      </c>
      <c r="L4595">
        <v>0</v>
      </c>
      <c r="M4595">
        <v>1</v>
      </c>
      <c r="N4595">
        <v>1</v>
      </c>
      <c r="O4595">
        <v>1</v>
      </c>
      <c r="P4595">
        <v>1</v>
      </c>
      <c r="Q4595">
        <v>1</v>
      </c>
      <c r="R4595">
        <v>1</v>
      </c>
      <c r="U4595">
        <v>0</v>
      </c>
      <c r="V4595">
        <v>1</v>
      </c>
      <c r="W4595">
        <v>1</v>
      </c>
      <c r="X4595">
        <v>1</v>
      </c>
      <c r="Y4595">
        <v>1</v>
      </c>
      <c r="Z4595">
        <v>1</v>
      </c>
      <c r="AA4595">
        <v>1</v>
      </c>
      <c r="AB4595">
        <v>1</v>
      </c>
    </row>
    <row r="4596" spans="1:28" x14ac:dyDescent="0.25">
      <c r="A4596" t="str">
        <f>"4592"</f>
        <v>4592</v>
      </c>
      <c r="B4596" t="str">
        <f t="shared" si="264"/>
        <v>1</v>
      </c>
      <c r="C4596" t="str">
        <f t="shared" si="265"/>
        <v>200</v>
      </c>
      <c r="D4596" t="str">
        <f>"1"</f>
        <v>1</v>
      </c>
      <c r="E4596" t="str">
        <f>"1-200-1"</f>
        <v>1-200-1</v>
      </c>
      <c r="F4596" t="s">
        <v>83</v>
      </c>
      <c r="G4596" t="s">
        <v>86</v>
      </c>
      <c r="H4596" t="s">
        <v>93</v>
      </c>
      <c r="I4596">
        <v>1</v>
      </c>
      <c r="K4596">
        <v>0</v>
      </c>
      <c r="L4596">
        <v>0</v>
      </c>
      <c r="M4596">
        <v>1</v>
      </c>
      <c r="N4596">
        <v>1</v>
      </c>
      <c r="O4596">
        <v>1</v>
      </c>
      <c r="P4596">
        <v>1</v>
      </c>
      <c r="Q4596">
        <v>1</v>
      </c>
      <c r="R4596">
        <v>1</v>
      </c>
      <c r="U4596">
        <v>1</v>
      </c>
      <c r="V4596">
        <v>0</v>
      </c>
      <c r="W4596">
        <v>1</v>
      </c>
      <c r="X4596">
        <v>1</v>
      </c>
      <c r="Y4596">
        <v>1</v>
      </c>
      <c r="Z4596">
        <v>1</v>
      </c>
      <c r="AA4596">
        <v>1</v>
      </c>
      <c r="AB4596">
        <v>1</v>
      </c>
    </row>
    <row r="4597" spans="1:28" x14ac:dyDescent="0.25">
      <c r="A4597" t="str">
        <f>"4593"</f>
        <v>4593</v>
      </c>
      <c r="B4597" t="str">
        <f t="shared" si="264"/>
        <v>1</v>
      </c>
      <c r="C4597" t="str">
        <f t="shared" si="265"/>
        <v>200</v>
      </c>
      <c r="D4597" t="str">
        <f>"23"</f>
        <v>23</v>
      </c>
      <c r="E4597" t="str">
        <f>"1-200-23"</f>
        <v>1-200-23</v>
      </c>
      <c r="F4597" t="s">
        <v>83</v>
      </c>
      <c r="G4597" t="s">
        <v>86</v>
      </c>
      <c r="H4597" t="s">
        <v>93</v>
      </c>
      <c r="I4597">
        <v>1</v>
      </c>
      <c r="K4597">
        <v>0</v>
      </c>
      <c r="L4597">
        <v>0</v>
      </c>
      <c r="M4597">
        <v>1</v>
      </c>
      <c r="N4597">
        <v>1</v>
      </c>
      <c r="O4597">
        <v>1</v>
      </c>
      <c r="P4597">
        <v>1</v>
      </c>
      <c r="Q4597">
        <v>1</v>
      </c>
      <c r="R4597">
        <v>1</v>
      </c>
      <c r="U4597">
        <v>0</v>
      </c>
      <c r="V4597">
        <v>1</v>
      </c>
      <c r="W4597">
        <v>1</v>
      </c>
      <c r="X4597">
        <v>1</v>
      </c>
      <c r="Y4597">
        <v>1</v>
      </c>
      <c r="Z4597">
        <v>1</v>
      </c>
      <c r="AA4597">
        <v>1</v>
      </c>
      <c r="AB4597">
        <v>1</v>
      </c>
    </row>
    <row r="4598" spans="1:28" x14ac:dyDescent="0.25">
      <c r="A4598" t="str">
        <f>"4594"</f>
        <v>4594</v>
      </c>
      <c r="B4598" t="str">
        <f t="shared" si="264"/>
        <v>1</v>
      </c>
      <c r="C4598" t="str">
        <f t="shared" si="265"/>
        <v>200</v>
      </c>
      <c r="D4598" t="str">
        <f>"11"</f>
        <v>11</v>
      </c>
      <c r="E4598" t="str">
        <f>"1-200-11"</f>
        <v>1-200-11</v>
      </c>
      <c r="F4598" t="s">
        <v>83</v>
      </c>
      <c r="G4598" t="s">
        <v>86</v>
      </c>
      <c r="H4598" t="s">
        <v>93</v>
      </c>
      <c r="I4598">
        <v>1</v>
      </c>
      <c r="K4598">
        <v>0</v>
      </c>
      <c r="L4598">
        <v>0</v>
      </c>
      <c r="M4598">
        <v>1</v>
      </c>
      <c r="N4598">
        <v>1</v>
      </c>
      <c r="O4598">
        <v>1</v>
      </c>
      <c r="P4598">
        <v>1</v>
      </c>
      <c r="Q4598">
        <v>1</v>
      </c>
      <c r="R4598">
        <v>1</v>
      </c>
      <c r="U4598">
        <v>0</v>
      </c>
      <c r="V4598">
        <v>1</v>
      </c>
      <c r="W4598">
        <v>1</v>
      </c>
      <c r="X4598">
        <v>1</v>
      </c>
      <c r="Y4598">
        <v>1</v>
      </c>
      <c r="Z4598">
        <v>1</v>
      </c>
      <c r="AA4598">
        <v>1</v>
      </c>
      <c r="AB4598">
        <v>1</v>
      </c>
    </row>
    <row r="4599" spans="1:28" x14ac:dyDescent="0.25">
      <c r="A4599" t="str">
        <f>"4595"</f>
        <v>4595</v>
      </c>
      <c r="B4599" t="str">
        <f t="shared" si="264"/>
        <v>1</v>
      </c>
      <c r="C4599" t="str">
        <f t="shared" si="265"/>
        <v>200</v>
      </c>
      <c r="D4599" t="str">
        <f>"5"</f>
        <v>5</v>
      </c>
      <c r="E4599" t="str">
        <f>"1-200-5"</f>
        <v>1-200-5</v>
      </c>
      <c r="F4599" t="s">
        <v>83</v>
      </c>
      <c r="G4599" t="s">
        <v>84</v>
      </c>
      <c r="H4599" t="s">
        <v>92</v>
      </c>
      <c r="I4599">
        <v>1</v>
      </c>
      <c r="J4599">
        <v>1</v>
      </c>
      <c r="N4599">
        <v>1</v>
      </c>
      <c r="O4599">
        <v>1</v>
      </c>
      <c r="P4599">
        <v>1</v>
      </c>
      <c r="Q4599">
        <v>1</v>
      </c>
      <c r="R4599">
        <v>1</v>
      </c>
      <c r="S4599">
        <v>1</v>
      </c>
      <c r="T4599">
        <v>1</v>
      </c>
      <c r="W4599">
        <v>1</v>
      </c>
      <c r="X4599">
        <v>1</v>
      </c>
      <c r="Y4599">
        <v>1</v>
      </c>
      <c r="Z4599">
        <v>1</v>
      </c>
      <c r="AA4599">
        <v>1</v>
      </c>
      <c r="AB4599">
        <v>1</v>
      </c>
    </row>
    <row r="4600" spans="1:28" x14ac:dyDescent="0.25">
      <c r="A4600" t="str">
        <f>"4596"</f>
        <v>4596</v>
      </c>
      <c r="B4600" t="str">
        <f t="shared" si="264"/>
        <v>1</v>
      </c>
      <c r="C4600" t="str">
        <f t="shared" si="265"/>
        <v>200</v>
      </c>
      <c r="D4600" t="str">
        <f>"12"</f>
        <v>12</v>
      </c>
      <c r="E4600" t="str">
        <f>"1-200-12"</f>
        <v>1-200-12</v>
      </c>
      <c r="F4600" t="s">
        <v>83</v>
      </c>
      <c r="G4600" t="s">
        <v>86</v>
      </c>
      <c r="H4600" t="s">
        <v>93</v>
      </c>
      <c r="I4600">
        <v>1</v>
      </c>
      <c r="K4600">
        <v>0</v>
      </c>
      <c r="L4600">
        <v>0</v>
      </c>
      <c r="M4600">
        <v>1</v>
      </c>
      <c r="N4600">
        <v>1</v>
      </c>
      <c r="O4600">
        <v>1</v>
      </c>
      <c r="P4600">
        <v>1</v>
      </c>
      <c r="Q4600">
        <v>1</v>
      </c>
      <c r="R4600">
        <v>1</v>
      </c>
      <c r="U4600">
        <v>0</v>
      </c>
      <c r="V4600">
        <v>1</v>
      </c>
      <c r="W4600">
        <v>1</v>
      </c>
      <c r="X4600">
        <v>1</v>
      </c>
      <c r="Y4600">
        <v>1</v>
      </c>
      <c r="Z4600">
        <v>1</v>
      </c>
      <c r="AA4600">
        <v>1</v>
      </c>
      <c r="AB4600">
        <v>1</v>
      </c>
    </row>
    <row r="4601" spans="1:28" x14ac:dyDescent="0.25">
      <c r="A4601" t="str">
        <f>"4597"</f>
        <v>4597</v>
      </c>
      <c r="B4601" t="str">
        <f t="shared" si="264"/>
        <v>1</v>
      </c>
      <c r="C4601" t="str">
        <f t="shared" si="265"/>
        <v>200</v>
      </c>
      <c r="D4601" t="str">
        <f>"4"</f>
        <v>4</v>
      </c>
      <c r="E4601" t="str">
        <f>"1-200-4"</f>
        <v>1-200-4</v>
      </c>
      <c r="F4601" t="s">
        <v>83</v>
      </c>
      <c r="G4601" t="s">
        <v>84</v>
      </c>
      <c r="H4601" t="s">
        <v>92</v>
      </c>
      <c r="I4601">
        <v>1</v>
      </c>
      <c r="J4601">
        <v>1</v>
      </c>
      <c r="N4601">
        <v>1</v>
      </c>
      <c r="O4601">
        <v>1</v>
      </c>
      <c r="P4601">
        <v>1</v>
      </c>
      <c r="Q4601">
        <v>1</v>
      </c>
      <c r="R4601">
        <v>1</v>
      </c>
      <c r="S4601">
        <v>1</v>
      </c>
      <c r="T4601">
        <v>1</v>
      </c>
      <c r="W4601">
        <v>1</v>
      </c>
      <c r="X4601">
        <v>1</v>
      </c>
      <c r="Y4601">
        <v>1</v>
      </c>
      <c r="Z4601">
        <v>1</v>
      </c>
      <c r="AA4601">
        <v>1</v>
      </c>
      <c r="AB4601">
        <v>1</v>
      </c>
    </row>
    <row r="4602" spans="1:28" x14ac:dyDescent="0.25">
      <c r="A4602" t="str">
        <f>"4598"</f>
        <v>4598</v>
      </c>
      <c r="B4602" t="str">
        <f t="shared" si="264"/>
        <v>1</v>
      </c>
      <c r="C4602" t="str">
        <f t="shared" si="265"/>
        <v>200</v>
      </c>
      <c r="D4602" t="str">
        <f>"20"</f>
        <v>20</v>
      </c>
      <c r="E4602" t="str">
        <f>"1-200-20"</f>
        <v>1-200-20</v>
      </c>
      <c r="F4602" t="s">
        <v>83</v>
      </c>
      <c r="G4602" t="s">
        <v>86</v>
      </c>
      <c r="H4602" t="s">
        <v>93</v>
      </c>
      <c r="I4602">
        <v>1</v>
      </c>
      <c r="K4602">
        <v>0</v>
      </c>
      <c r="L4602">
        <v>0</v>
      </c>
      <c r="M4602">
        <v>1</v>
      </c>
      <c r="N4602">
        <v>1</v>
      </c>
      <c r="O4602">
        <v>1</v>
      </c>
      <c r="P4602">
        <v>1</v>
      </c>
      <c r="Q4602">
        <v>1</v>
      </c>
      <c r="R4602">
        <v>1</v>
      </c>
      <c r="U4602">
        <v>0</v>
      </c>
      <c r="V4602">
        <v>1</v>
      </c>
      <c r="W4602">
        <v>1</v>
      </c>
      <c r="X4602">
        <v>1</v>
      </c>
      <c r="Y4602">
        <v>1</v>
      </c>
      <c r="Z4602">
        <v>1</v>
      </c>
      <c r="AA4602">
        <v>1</v>
      </c>
      <c r="AB4602">
        <v>1</v>
      </c>
    </row>
    <row r="4603" spans="1:28" x14ac:dyDescent="0.25">
      <c r="A4603" t="str">
        <f>"4599"</f>
        <v>4599</v>
      </c>
      <c r="B4603" t="str">
        <f t="shared" si="264"/>
        <v>1</v>
      </c>
      <c r="C4603" t="str">
        <f t="shared" si="265"/>
        <v>200</v>
      </c>
      <c r="D4603" t="str">
        <f>"13"</f>
        <v>13</v>
      </c>
      <c r="E4603" t="str">
        <f>"1-200-13"</f>
        <v>1-200-13</v>
      </c>
      <c r="F4603" t="s">
        <v>83</v>
      </c>
      <c r="G4603" t="s">
        <v>84</v>
      </c>
      <c r="H4603" t="s">
        <v>92</v>
      </c>
      <c r="I4603">
        <v>1</v>
      </c>
      <c r="J4603">
        <v>1</v>
      </c>
      <c r="N4603">
        <v>1</v>
      </c>
      <c r="O4603">
        <v>1</v>
      </c>
      <c r="P4603">
        <v>1</v>
      </c>
      <c r="Q4603">
        <v>1</v>
      </c>
      <c r="R4603">
        <v>1</v>
      </c>
      <c r="S4603">
        <v>1</v>
      </c>
      <c r="T4603">
        <v>1</v>
      </c>
      <c r="W4603">
        <v>1</v>
      </c>
      <c r="X4603">
        <v>1</v>
      </c>
      <c r="Y4603">
        <v>1</v>
      </c>
      <c r="Z4603">
        <v>1</v>
      </c>
      <c r="AA4603">
        <v>1</v>
      </c>
      <c r="AB4603">
        <v>1</v>
      </c>
    </row>
    <row r="4604" spans="1:28" x14ac:dyDescent="0.25">
      <c r="A4604" t="str">
        <f>"4600"</f>
        <v>4600</v>
      </c>
      <c r="B4604" t="str">
        <f t="shared" si="264"/>
        <v>1</v>
      </c>
      <c r="C4604" t="str">
        <f t="shared" si="265"/>
        <v>200</v>
      </c>
      <c r="D4604" t="str">
        <f>"3"</f>
        <v>3</v>
      </c>
      <c r="E4604" t="str">
        <f>"1-200-3"</f>
        <v>1-200-3</v>
      </c>
      <c r="F4604" t="s">
        <v>83</v>
      </c>
      <c r="G4604" t="s">
        <v>84</v>
      </c>
      <c r="H4604" t="s">
        <v>92</v>
      </c>
      <c r="I4604">
        <v>1</v>
      </c>
      <c r="J4604">
        <v>1</v>
      </c>
      <c r="N4604">
        <v>1</v>
      </c>
      <c r="O4604">
        <v>1</v>
      </c>
      <c r="P4604">
        <v>0</v>
      </c>
      <c r="Q4604">
        <v>0</v>
      </c>
      <c r="R4604">
        <v>0</v>
      </c>
      <c r="S4604">
        <v>0</v>
      </c>
      <c r="T4604">
        <v>0</v>
      </c>
      <c r="W4604">
        <v>1</v>
      </c>
      <c r="X4604">
        <v>0</v>
      </c>
      <c r="Y4604">
        <v>0</v>
      </c>
      <c r="Z4604">
        <v>0</v>
      </c>
      <c r="AA4604">
        <v>0</v>
      </c>
      <c r="AB4604">
        <v>1</v>
      </c>
    </row>
    <row r="4605" spans="1:28" x14ac:dyDescent="0.25">
      <c r="A4605" t="str">
        <f>"4601"</f>
        <v>4601</v>
      </c>
      <c r="B4605" t="str">
        <f t="shared" si="264"/>
        <v>1</v>
      </c>
      <c r="C4605" t="str">
        <f t="shared" si="265"/>
        <v>200</v>
      </c>
      <c r="D4605" t="str">
        <f>"14"</f>
        <v>14</v>
      </c>
      <c r="E4605" t="str">
        <f>"1-200-14"</f>
        <v>1-200-14</v>
      </c>
      <c r="F4605" t="s">
        <v>83</v>
      </c>
      <c r="G4605" t="s">
        <v>86</v>
      </c>
      <c r="H4605" t="s">
        <v>93</v>
      </c>
      <c r="I4605">
        <v>1</v>
      </c>
      <c r="K4605">
        <v>0</v>
      </c>
      <c r="L4605">
        <v>0</v>
      </c>
      <c r="M4605">
        <v>1</v>
      </c>
      <c r="N4605">
        <v>1</v>
      </c>
      <c r="O4605">
        <v>1</v>
      </c>
      <c r="P4605">
        <v>1</v>
      </c>
      <c r="Q4605">
        <v>1</v>
      </c>
      <c r="R4605">
        <v>1</v>
      </c>
      <c r="U4605">
        <v>0</v>
      </c>
      <c r="V4605">
        <v>1</v>
      </c>
      <c r="W4605">
        <v>1</v>
      </c>
      <c r="X4605">
        <v>1</v>
      </c>
      <c r="Y4605">
        <v>1</v>
      </c>
      <c r="Z4605">
        <v>1</v>
      </c>
      <c r="AA4605">
        <v>1</v>
      </c>
      <c r="AB4605">
        <v>1</v>
      </c>
    </row>
    <row r="4606" spans="1:28" x14ac:dyDescent="0.25">
      <c r="A4606" t="str">
        <f>"4602"</f>
        <v>4602</v>
      </c>
      <c r="B4606" t="str">
        <f t="shared" si="264"/>
        <v>1</v>
      </c>
      <c r="C4606" t="str">
        <f t="shared" si="265"/>
        <v>200</v>
      </c>
      <c r="D4606" t="str">
        <f>"7"</f>
        <v>7</v>
      </c>
      <c r="E4606" t="str">
        <f>"1-200-7"</f>
        <v>1-200-7</v>
      </c>
      <c r="F4606" t="s">
        <v>83</v>
      </c>
      <c r="G4606" t="s">
        <v>84</v>
      </c>
      <c r="H4606" t="s">
        <v>92</v>
      </c>
      <c r="I4606">
        <v>1</v>
      </c>
      <c r="J4606">
        <v>1</v>
      </c>
      <c r="N4606">
        <v>1</v>
      </c>
      <c r="O4606">
        <v>1</v>
      </c>
      <c r="P4606">
        <v>1</v>
      </c>
      <c r="Q4606">
        <v>1</v>
      </c>
      <c r="R4606">
        <v>1</v>
      </c>
      <c r="S4606">
        <v>1</v>
      </c>
      <c r="T4606">
        <v>1</v>
      </c>
      <c r="W4606">
        <v>1</v>
      </c>
      <c r="X4606">
        <v>1</v>
      </c>
      <c r="Y4606">
        <v>1</v>
      </c>
      <c r="Z4606">
        <v>1</v>
      </c>
      <c r="AA4606">
        <v>1</v>
      </c>
      <c r="AB4606">
        <v>1</v>
      </c>
    </row>
    <row r="4607" spans="1:28" x14ac:dyDescent="0.25">
      <c r="A4607" t="str">
        <f>"4603"</f>
        <v>4603</v>
      </c>
      <c r="B4607" t="str">
        <f t="shared" si="264"/>
        <v>1</v>
      </c>
      <c r="C4607" t="str">
        <f t="shared" ref="C4607:C4631" si="266">"201"</f>
        <v>201</v>
      </c>
      <c r="D4607" t="str">
        <f>"22"</f>
        <v>22</v>
      </c>
      <c r="E4607" t="str">
        <f>"1-201-22"</f>
        <v>1-201-22</v>
      </c>
      <c r="F4607" t="s">
        <v>83</v>
      </c>
      <c r="G4607" t="s">
        <v>84</v>
      </c>
      <c r="H4607" t="s">
        <v>92</v>
      </c>
      <c r="I4607">
        <v>1</v>
      </c>
      <c r="J4607">
        <v>1</v>
      </c>
      <c r="N4607">
        <v>1</v>
      </c>
      <c r="O4607">
        <v>1</v>
      </c>
      <c r="P4607">
        <v>1</v>
      </c>
      <c r="Q4607">
        <v>1</v>
      </c>
      <c r="R4607">
        <v>1</v>
      </c>
      <c r="S4607">
        <v>1</v>
      </c>
      <c r="T4607">
        <v>1</v>
      </c>
      <c r="W4607">
        <v>1</v>
      </c>
      <c r="X4607">
        <v>1</v>
      </c>
      <c r="Y4607">
        <v>1</v>
      </c>
      <c r="Z4607">
        <v>1</v>
      </c>
      <c r="AA4607">
        <v>1</v>
      </c>
      <c r="AB4607">
        <v>1</v>
      </c>
    </row>
    <row r="4608" spans="1:28" x14ac:dyDescent="0.25">
      <c r="A4608" t="str">
        <f>"4604"</f>
        <v>4604</v>
      </c>
      <c r="B4608" t="str">
        <f t="shared" si="264"/>
        <v>1</v>
      </c>
      <c r="C4608" t="str">
        <f t="shared" si="266"/>
        <v>201</v>
      </c>
      <c r="D4608" t="str">
        <f>"21"</f>
        <v>21</v>
      </c>
      <c r="E4608" t="str">
        <f>"1-201-21"</f>
        <v>1-201-21</v>
      </c>
      <c r="F4608" t="s">
        <v>83</v>
      </c>
      <c r="G4608" t="s">
        <v>84</v>
      </c>
      <c r="H4608" t="s">
        <v>92</v>
      </c>
      <c r="I4608">
        <v>1</v>
      </c>
      <c r="J4608">
        <v>1</v>
      </c>
      <c r="N4608">
        <v>1</v>
      </c>
      <c r="O4608">
        <v>1</v>
      </c>
      <c r="P4608">
        <v>1</v>
      </c>
      <c r="Q4608">
        <v>1</v>
      </c>
      <c r="R4608">
        <v>1</v>
      </c>
      <c r="S4608">
        <v>1</v>
      </c>
      <c r="T4608">
        <v>1</v>
      </c>
      <c r="W4608">
        <v>1</v>
      </c>
      <c r="X4608">
        <v>1</v>
      </c>
      <c r="Y4608">
        <v>1</v>
      </c>
      <c r="Z4608">
        <v>1</v>
      </c>
      <c r="AA4608">
        <v>1</v>
      </c>
      <c r="AB4608">
        <v>1</v>
      </c>
    </row>
    <row r="4609" spans="1:28" x14ac:dyDescent="0.25">
      <c r="A4609" t="str">
        <f>"4605"</f>
        <v>4605</v>
      </c>
      <c r="B4609" t="str">
        <f t="shared" si="264"/>
        <v>1</v>
      </c>
      <c r="C4609" t="str">
        <f t="shared" si="266"/>
        <v>201</v>
      </c>
      <c r="D4609" t="str">
        <f>"14"</f>
        <v>14</v>
      </c>
      <c r="E4609" t="str">
        <f>"1-201-14"</f>
        <v>1-201-14</v>
      </c>
      <c r="F4609" t="s">
        <v>83</v>
      </c>
      <c r="G4609" t="s">
        <v>84</v>
      </c>
      <c r="H4609" t="s">
        <v>92</v>
      </c>
      <c r="I4609">
        <v>1</v>
      </c>
      <c r="J4609">
        <v>1</v>
      </c>
      <c r="N4609">
        <v>1</v>
      </c>
      <c r="O4609">
        <v>1</v>
      </c>
      <c r="P4609">
        <v>1</v>
      </c>
      <c r="Q4609">
        <v>1</v>
      </c>
      <c r="R4609">
        <v>1</v>
      </c>
      <c r="S4609">
        <v>1</v>
      </c>
      <c r="T4609">
        <v>1</v>
      </c>
      <c r="W4609">
        <v>1</v>
      </c>
      <c r="X4609">
        <v>1</v>
      </c>
      <c r="Y4609">
        <v>1</v>
      </c>
      <c r="Z4609">
        <v>1</v>
      </c>
      <c r="AA4609">
        <v>1</v>
      </c>
      <c r="AB4609">
        <v>1</v>
      </c>
    </row>
    <row r="4610" spans="1:28" x14ac:dyDescent="0.25">
      <c r="A4610" t="str">
        <f>"4606"</f>
        <v>4606</v>
      </c>
      <c r="B4610" t="str">
        <f t="shared" si="264"/>
        <v>1</v>
      </c>
      <c r="C4610" t="str">
        <f t="shared" si="266"/>
        <v>201</v>
      </c>
      <c r="D4610" t="str">
        <f>"8"</f>
        <v>8</v>
      </c>
      <c r="E4610" t="str">
        <f>"1-201-8"</f>
        <v>1-201-8</v>
      </c>
      <c r="F4610" t="s">
        <v>83</v>
      </c>
      <c r="G4610" t="s">
        <v>84</v>
      </c>
      <c r="H4610" t="s">
        <v>92</v>
      </c>
      <c r="I4610">
        <v>1</v>
      </c>
      <c r="J4610">
        <v>1</v>
      </c>
      <c r="N4610">
        <v>1</v>
      </c>
      <c r="O4610">
        <v>1</v>
      </c>
      <c r="P4610">
        <v>1</v>
      </c>
      <c r="Q4610">
        <v>1</v>
      </c>
      <c r="R4610">
        <v>1</v>
      </c>
      <c r="S4610">
        <v>1</v>
      </c>
      <c r="T4610">
        <v>1</v>
      </c>
      <c r="W4610">
        <v>1</v>
      </c>
      <c r="X4610">
        <v>1</v>
      </c>
      <c r="Y4610">
        <v>1</v>
      </c>
      <c r="Z4610">
        <v>1</v>
      </c>
      <c r="AA4610">
        <v>1</v>
      </c>
      <c r="AB4610">
        <v>1</v>
      </c>
    </row>
    <row r="4611" spans="1:28" x14ac:dyDescent="0.25">
      <c r="A4611" t="str">
        <f>"4607"</f>
        <v>4607</v>
      </c>
      <c r="B4611" t="str">
        <f t="shared" si="264"/>
        <v>1</v>
      </c>
      <c r="C4611" t="str">
        <f t="shared" si="266"/>
        <v>201</v>
      </c>
      <c r="D4611" t="str">
        <f>"1"</f>
        <v>1</v>
      </c>
      <c r="E4611" t="str">
        <f>"1-201-1"</f>
        <v>1-201-1</v>
      </c>
      <c r="F4611" t="s">
        <v>83</v>
      </c>
      <c r="G4611" t="s">
        <v>84</v>
      </c>
      <c r="H4611" t="s">
        <v>92</v>
      </c>
      <c r="I4611">
        <v>1</v>
      </c>
      <c r="J4611">
        <v>1</v>
      </c>
      <c r="N4611">
        <v>1</v>
      </c>
      <c r="O4611">
        <v>1</v>
      </c>
      <c r="P4611">
        <v>1</v>
      </c>
      <c r="Q4611">
        <v>1</v>
      </c>
      <c r="R4611">
        <v>0</v>
      </c>
      <c r="S4611">
        <v>1</v>
      </c>
      <c r="T4611">
        <v>1</v>
      </c>
      <c r="W4611">
        <v>1</v>
      </c>
      <c r="X4611">
        <v>1</v>
      </c>
      <c r="Y4611">
        <v>1</v>
      </c>
      <c r="Z4611">
        <v>1</v>
      </c>
      <c r="AA4611">
        <v>0</v>
      </c>
      <c r="AB4611">
        <v>1</v>
      </c>
    </row>
    <row r="4612" spans="1:28" x14ac:dyDescent="0.25">
      <c r="A4612" t="str">
        <f>"4608"</f>
        <v>4608</v>
      </c>
      <c r="B4612" t="str">
        <f t="shared" si="264"/>
        <v>1</v>
      </c>
      <c r="C4612" t="str">
        <f t="shared" si="266"/>
        <v>201</v>
      </c>
      <c r="D4612" t="str">
        <f>"25"</f>
        <v>25</v>
      </c>
      <c r="E4612" t="str">
        <f>"1-201-25"</f>
        <v>1-201-25</v>
      </c>
      <c r="F4612" t="s">
        <v>83</v>
      </c>
      <c r="G4612" t="s">
        <v>84</v>
      </c>
      <c r="H4612" t="s">
        <v>92</v>
      </c>
      <c r="I4612">
        <v>1</v>
      </c>
      <c r="J4612">
        <v>1</v>
      </c>
      <c r="N4612">
        <v>1</v>
      </c>
      <c r="O4612">
        <v>1</v>
      </c>
      <c r="P4612">
        <v>1</v>
      </c>
      <c r="Q4612">
        <v>1</v>
      </c>
      <c r="R4612">
        <v>1</v>
      </c>
      <c r="S4612">
        <v>1</v>
      </c>
      <c r="T4612">
        <v>1</v>
      </c>
      <c r="W4612">
        <v>1</v>
      </c>
      <c r="X4612">
        <v>1</v>
      </c>
      <c r="Y4612">
        <v>1</v>
      </c>
      <c r="Z4612">
        <v>1</v>
      </c>
      <c r="AA4612">
        <v>1</v>
      </c>
      <c r="AB4612">
        <v>1</v>
      </c>
    </row>
    <row r="4613" spans="1:28" x14ac:dyDescent="0.25">
      <c r="A4613" t="str">
        <f>"4609"</f>
        <v>4609</v>
      </c>
      <c r="B4613" t="str">
        <f t="shared" si="264"/>
        <v>1</v>
      </c>
      <c r="C4613" t="str">
        <f t="shared" si="266"/>
        <v>201</v>
      </c>
      <c r="D4613" t="str">
        <f>"16"</f>
        <v>16</v>
      </c>
      <c r="E4613" t="str">
        <f>"1-201-16"</f>
        <v>1-201-16</v>
      </c>
      <c r="F4613" t="s">
        <v>83</v>
      </c>
      <c r="G4613" t="s">
        <v>84</v>
      </c>
      <c r="H4613" t="s">
        <v>92</v>
      </c>
      <c r="I4613">
        <v>1</v>
      </c>
      <c r="J4613">
        <v>1</v>
      </c>
      <c r="N4613">
        <v>1</v>
      </c>
      <c r="O4613">
        <v>1</v>
      </c>
      <c r="P4613">
        <v>1</v>
      </c>
      <c r="Q4613">
        <v>1</v>
      </c>
      <c r="R4613">
        <v>1</v>
      </c>
      <c r="S4613">
        <v>1</v>
      </c>
      <c r="T4613">
        <v>1</v>
      </c>
      <c r="W4613">
        <v>1</v>
      </c>
      <c r="X4613">
        <v>1</v>
      </c>
      <c r="Y4613">
        <v>1</v>
      </c>
      <c r="Z4613">
        <v>1</v>
      </c>
      <c r="AA4613">
        <v>1</v>
      </c>
      <c r="AB4613">
        <v>1</v>
      </c>
    </row>
    <row r="4614" spans="1:28" x14ac:dyDescent="0.25">
      <c r="A4614" t="str">
        <f>"4610"</f>
        <v>4610</v>
      </c>
      <c r="B4614" t="str">
        <f t="shared" si="264"/>
        <v>1</v>
      </c>
      <c r="C4614" t="str">
        <f t="shared" si="266"/>
        <v>201</v>
      </c>
      <c r="D4614" t="str">
        <f>"9"</f>
        <v>9</v>
      </c>
      <c r="E4614" t="str">
        <f>"1-201-9"</f>
        <v>1-201-9</v>
      </c>
      <c r="F4614" t="s">
        <v>83</v>
      </c>
      <c r="G4614" t="s">
        <v>84</v>
      </c>
      <c r="H4614" t="s">
        <v>92</v>
      </c>
      <c r="I4614">
        <v>1</v>
      </c>
      <c r="J4614">
        <v>1</v>
      </c>
      <c r="N4614">
        <v>1</v>
      </c>
      <c r="O4614">
        <v>1</v>
      </c>
      <c r="P4614">
        <v>1</v>
      </c>
      <c r="Q4614">
        <v>1</v>
      </c>
      <c r="R4614">
        <v>1</v>
      </c>
      <c r="S4614">
        <v>1</v>
      </c>
      <c r="T4614">
        <v>1</v>
      </c>
      <c r="W4614">
        <v>1</v>
      </c>
      <c r="X4614">
        <v>1</v>
      </c>
      <c r="Y4614">
        <v>1</v>
      </c>
      <c r="Z4614">
        <v>1</v>
      </c>
      <c r="AA4614">
        <v>1</v>
      </c>
      <c r="AB4614">
        <v>1</v>
      </c>
    </row>
    <row r="4615" spans="1:28" x14ac:dyDescent="0.25">
      <c r="A4615" t="str">
        <f>"4611"</f>
        <v>4611</v>
      </c>
      <c r="B4615" t="str">
        <f t="shared" si="264"/>
        <v>1</v>
      </c>
      <c r="C4615" t="str">
        <f t="shared" si="266"/>
        <v>201</v>
      </c>
      <c r="D4615" t="str">
        <f>"2"</f>
        <v>2</v>
      </c>
      <c r="E4615" t="str">
        <f>"1-201-2"</f>
        <v>1-201-2</v>
      </c>
      <c r="F4615" t="s">
        <v>83</v>
      </c>
      <c r="G4615" t="s">
        <v>84</v>
      </c>
      <c r="H4615" t="s">
        <v>92</v>
      </c>
      <c r="I4615">
        <v>1</v>
      </c>
      <c r="J4615">
        <v>1</v>
      </c>
      <c r="N4615">
        <v>1</v>
      </c>
      <c r="O4615">
        <v>1</v>
      </c>
      <c r="P4615">
        <v>1</v>
      </c>
      <c r="Q4615">
        <v>1</v>
      </c>
      <c r="R4615">
        <v>0</v>
      </c>
      <c r="S4615">
        <v>1</v>
      </c>
      <c r="T4615">
        <v>1</v>
      </c>
      <c r="W4615">
        <v>1</v>
      </c>
      <c r="X4615">
        <v>1</v>
      </c>
      <c r="Y4615">
        <v>1</v>
      </c>
      <c r="Z4615">
        <v>1</v>
      </c>
      <c r="AA4615">
        <v>0</v>
      </c>
      <c r="AB4615">
        <v>1</v>
      </c>
    </row>
    <row r="4616" spans="1:28" x14ac:dyDescent="0.25">
      <c r="A4616" t="str">
        <f>"4612"</f>
        <v>4612</v>
      </c>
      <c r="B4616" t="str">
        <f t="shared" si="264"/>
        <v>1</v>
      </c>
      <c r="C4616" t="str">
        <f t="shared" si="266"/>
        <v>201</v>
      </c>
      <c r="D4616" t="str">
        <f>"24"</f>
        <v>24</v>
      </c>
      <c r="E4616" t="str">
        <f>"1-201-24"</f>
        <v>1-201-24</v>
      </c>
      <c r="F4616" t="s">
        <v>83</v>
      </c>
      <c r="G4616" t="s">
        <v>84</v>
      </c>
      <c r="H4616" t="s">
        <v>92</v>
      </c>
      <c r="I4616">
        <v>1</v>
      </c>
      <c r="J4616">
        <v>1</v>
      </c>
      <c r="N4616">
        <v>1</v>
      </c>
      <c r="O4616">
        <v>1</v>
      </c>
      <c r="P4616">
        <v>1</v>
      </c>
      <c r="Q4616">
        <v>1</v>
      </c>
      <c r="R4616">
        <v>1</v>
      </c>
      <c r="S4616">
        <v>1</v>
      </c>
      <c r="T4616">
        <v>1</v>
      </c>
      <c r="W4616">
        <v>1</v>
      </c>
      <c r="X4616">
        <v>1</v>
      </c>
      <c r="Y4616">
        <v>1</v>
      </c>
      <c r="Z4616">
        <v>1</v>
      </c>
      <c r="AA4616">
        <v>1</v>
      </c>
      <c r="AB4616">
        <v>1</v>
      </c>
    </row>
    <row r="4617" spans="1:28" x14ac:dyDescent="0.25">
      <c r="A4617" t="str">
        <f>"4613"</f>
        <v>4613</v>
      </c>
      <c r="B4617" t="str">
        <f t="shared" si="264"/>
        <v>1</v>
      </c>
      <c r="C4617" t="str">
        <f t="shared" si="266"/>
        <v>201</v>
      </c>
      <c r="D4617" t="str">
        <f>"23"</f>
        <v>23</v>
      </c>
      <c r="E4617" t="str">
        <f>"1-201-23"</f>
        <v>1-201-23</v>
      </c>
      <c r="F4617" t="s">
        <v>83</v>
      </c>
      <c r="G4617" t="s">
        <v>84</v>
      </c>
      <c r="H4617" t="s">
        <v>92</v>
      </c>
      <c r="I4617">
        <v>1</v>
      </c>
      <c r="J4617">
        <v>1</v>
      </c>
      <c r="N4617">
        <v>1</v>
      </c>
      <c r="O4617">
        <v>1</v>
      </c>
      <c r="P4617">
        <v>1</v>
      </c>
      <c r="Q4617">
        <v>1</v>
      </c>
      <c r="R4617">
        <v>1</v>
      </c>
      <c r="S4617">
        <v>1</v>
      </c>
      <c r="T4617">
        <v>1</v>
      </c>
      <c r="W4617">
        <v>1</v>
      </c>
      <c r="X4617">
        <v>1</v>
      </c>
      <c r="Y4617">
        <v>1</v>
      </c>
      <c r="Z4617">
        <v>1</v>
      </c>
      <c r="AA4617">
        <v>1</v>
      </c>
      <c r="AB4617">
        <v>1</v>
      </c>
    </row>
    <row r="4618" spans="1:28" x14ac:dyDescent="0.25">
      <c r="A4618" t="str">
        <f>"4614"</f>
        <v>4614</v>
      </c>
      <c r="B4618" t="str">
        <f t="shared" si="264"/>
        <v>1</v>
      </c>
      <c r="C4618" t="str">
        <f t="shared" si="266"/>
        <v>201</v>
      </c>
      <c r="D4618" t="str">
        <f>"17"</f>
        <v>17</v>
      </c>
      <c r="E4618" t="str">
        <f>"1-201-17"</f>
        <v>1-201-17</v>
      </c>
      <c r="F4618" t="s">
        <v>83</v>
      </c>
      <c r="G4618" t="s">
        <v>84</v>
      </c>
      <c r="H4618" t="s">
        <v>92</v>
      </c>
      <c r="I4618">
        <v>1</v>
      </c>
      <c r="J4618">
        <v>1</v>
      </c>
      <c r="N4618">
        <v>1</v>
      </c>
      <c r="O4618">
        <v>0</v>
      </c>
      <c r="P4618">
        <v>0</v>
      </c>
      <c r="Q4618">
        <v>0</v>
      </c>
      <c r="R4618">
        <v>1</v>
      </c>
      <c r="S4618">
        <v>1</v>
      </c>
      <c r="T4618">
        <v>1</v>
      </c>
      <c r="W4618">
        <v>1</v>
      </c>
      <c r="X4618">
        <v>1</v>
      </c>
      <c r="Y4618">
        <v>1</v>
      </c>
      <c r="Z4618">
        <v>1</v>
      </c>
      <c r="AA4618">
        <v>1</v>
      </c>
      <c r="AB4618">
        <v>1</v>
      </c>
    </row>
    <row r="4619" spans="1:28" x14ac:dyDescent="0.25">
      <c r="A4619" t="str">
        <f>"4615"</f>
        <v>4615</v>
      </c>
      <c r="B4619" t="str">
        <f t="shared" si="264"/>
        <v>1</v>
      </c>
      <c r="C4619" t="str">
        <f t="shared" si="266"/>
        <v>201</v>
      </c>
      <c r="D4619" t="str">
        <f>"10"</f>
        <v>10</v>
      </c>
      <c r="E4619" t="str">
        <f>"1-201-10"</f>
        <v>1-201-10</v>
      </c>
      <c r="F4619" t="s">
        <v>83</v>
      </c>
      <c r="G4619" t="s">
        <v>84</v>
      </c>
      <c r="H4619" t="s">
        <v>92</v>
      </c>
      <c r="I4619">
        <v>1</v>
      </c>
      <c r="J4619">
        <v>1</v>
      </c>
      <c r="N4619">
        <v>1</v>
      </c>
      <c r="O4619">
        <v>1</v>
      </c>
      <c r="P4619">
        <v>1</v>
      </c>
      <c r="Q4619">
        <v>1</v>
      </c>
      <c r="R4619">
        <v>1</v>
      </c>
      <c r="S4619">
        <v>1</v>
      </c>
      <c r="T4619">
        <v>1</v>
      </c>
      <c r="W4619">
        <v>1</v>
      </c>
      <c r="X4619">
        <v>1</v>
      </c>
      <c r="Y4619">
        <v>1</v>
      </c>
      <c r="Z4619">
        <v>1</v>
      </c>
      <c r="AA4619">
        <v>1</v>
      </c>
      <c r="AB4619">
        <v>1</v>
      </c>
    </row>
    <row r="4620" spans="1:28" x14ac:dyDescent="0.25">
      <c r="A4620" t="str">
        <f>"4616"</f>
        <v>4616</v>
      </c>
      <c r="B4620" t="str">
        <f t="shared" si="264"/>
        <v>1</v>
      </c>
      <c r="C4620" t="str">
        <f t="shared" si="266"/>
        <v>201</v>
      </c>
      <c r="D4620" t="str">
        <f>"6"</f>
        <v>6</v>
      </c>
      <c r="E4620" t="str">
        <f>"1-201-6"</f>
        <v>1-201-6</v>
      </c>
      <c r="F4620" t="s">
        <v>83</v>
      </c>
      <c r="G4620" t="s">
        <v>84</v>
      </c>
      <c r="H4620" t="s">
        <v>92</v>
      </c>
      <c r="I4620">
        <v>1</v>
      </c>
      <c r="J4620">
        <v>1</v>
      </c>
      <c r="N4620">
        <v>1</v>
      </c>
      <c r="O4620">
        <v>1</v>
      </c>
      <c r="P4620">
        <v>1</v>
      </c>
      <c r="Q4620">
        <v>1</v>
      </c>
      <c r="R4620">
        <v>1</v>
      </c>
      <c r="S4620">
        <v>1</v>
      </c>
      <c r="T4620">
        <v>1</v>
      </c>
      <c r="W4620">
        <v>1</v>
      </c>
      <c r="X4620">
        <v>1</v>
      </c>
      <c r="Y4620">
        <v>1</v>
      </c>
      <c r="Z4620">
        <v>1</v>
      </c>
      <c r="AA4620">
        <v>1</v>
      </c>
      <c r="AB4620">
        <v>1</v>
      </c>
    </row>
    <row r="4621" spans="1:28" x14ac:dyDescent="0.25">
      <c r="A4621" t="str">
        <f>"4617"</f>
        <v>4617</v>
      </c>
      <c r="B4621" t="str">
        <f t="shared" si="264"/>
        <v>1</v>
      </c>
      <c r="C4621" t="str">
        <f t="shared" si="266"/>
        <v>201</v>
      </c>
      <c r="D4621" t="str">
        <f>"20"</f>
        <v>20</v>
      </c>
      <c r="E4621" t="str">
        <f>"1-201-20"</f>
        <v>1-201-20</v>
      </c>
      <c r="F4621" t="s">
        <v>83</v>
      </c>
      <c r="G4621" t="s">
        <v>84</v>
      </c>
      <c r="H4621" t="s">
        <v>92</v>
      </c>
      <c r="I4621">
        <v>1</v>
      </c>
      <c r="J4621">
        <v>0</v>
      </c>
      <c r="N4621">
        <v>1</v>
      </c>
      <c r="O4621">
        <v>0</v>
      </c>
      <c r="P4621">
        <v>1</v>
      </c>
      <c r="Q4621">
        <v>0</v>
      </c>
      <c r="R4621">
        <v>1</v>
      </c>
      <c r="S4621">
        <v>1</v>
      </c>
      <c r="T4621">
        <v>1</v>
      </c>
      <c r="W4621">
        <v>0</v>
      </c>
      <c r="X4621">
        <v>1</v>
      </c>
      <c r="Y4621">
        <v>1</v>
      </c>
      <c r="Z4621">
        <v>1</v>
      </c>
      <c r="AA4621">
        <v>1</v>
      </c>
      <c r="AB4621">
        <v>1</v>
      </c>
    </row>
    <row r="4622" spans="1:28" x14ac:dyDescent="0.25">
      <c r="A4622" t="str">
        <f>"4618"</f>
        <v>4618</v>
      </c>
      <c r="B4622" t="str">
        <f t="shared" si="264"/>
        <v>1</v>
      </c>
      <c r="C4622" t="str">
        <f t="shared" si="266"/>
        <v>201</v>
      </c>
      <c r="D4622" t="str">
        <f>"12"</f>
        <v>12</v>
      </c>
      <c r="E4622" t="str">
        <f>"1-201-12"</f>
        <v>1-201-12</v>
      </c>
      <c r="F4622" t="s">
        <v>83</v>
      </c>
      <c r="G4622" t="s">
        <v>84</v>
      </c>
      <c r="H4622" t="s">
        <v>92</v>
      </c>
      <c r="I4622">
        <v>1</v>
      </c>
      <c r="J4622">
        <v>1</v>
      </c>
      <c r="N4622">
        <v>1</v>
      </c>
      <c r="O4622">
        <v>1</v>
      </c>
      <c r="P4622">
        <v>1</v>
      </c>
      <c r="Q4622">
        <v>1</v>
      </c>
      <c r="R4622">
        <v>1</v>
      </c>
      <c r="S4622">
        <v>1</v>
      </c>
      <c r="T4622">
        <v>1</v>
      </c>
      <c r="W4622">
        <v>1</v>
      </c>
      <c r="X4622">
        <v>1</v>
      </c>
      <c r="Y4622">
        <v>1</v>
      </c>
      <c r="Z4622">
        <v>1</v>
      </c>
      <c r="AA4622">
        <v>1</v>
      </c>
      <c r="AB4622">
        <v>1</v>
      </c>
    </row>
    <row r="4623" spans="1:28" x14ac:dyDescent="0.25">
      <c r="A4623" t="str">
        <f>"4619"</f>
        <v>4619</v>
      </c>
      <c r="B4623" t="str">
        <f t="shared" si="264"/>
        <v>1</v>
      </c>
      <c r="C4623" t="str">
        <f t="shared" si="266"/>
        <v>201</v>
      </c>
      <c r="D4623" t="str">
        <f>"3"</f>
        <v>3</v>
      </c>
      <c r="E4623" t="str">
        <f>"1-201-3"</f>
        <v>1-201-3</v>
      </c>
      <c r="F4623" t="s">
        <v>83</v>
      </c>
      <c r="G4623" t="s">
        <v>84</v>
      </c>
      <c r="H4623" t="s">
        <v>92</v>
      </c>
      <c r="I4623">
        <v>1</v>
      </c>
      <c r="J4623">
        <v>1</v>
      </c>
      <c r="N4623">
        <v>1</v>
      </c>
      <c r="O4623">
        <v>1</v>
      </c>
      <c r="P4623">
        <v>1</v>
      </c>
      <c r="Q4623">
        <v>1</v>
      </c>
      <c r="R4623">
        <v>1</v>
      </c>
      <c r="S4623">
        <v>1</v>
      </c>
      <c r="T4623">
        <v>1</v>
      </c>
      <c r="W4623">
        <v>1</v>
      </c>
      <c r="X4623">
        <v>1</v>
      </c>
      <c r="Y4623">
        <v>1</v>
      </c>
      <c r="Z4623">
        <v>1</v>
      </c>
      <c r="AA4623">
        <v>1</v>
      </c>
      <c r="AB4623">
        <v>1</v>
      </c>
    </row>
    <row r="4624" spans="1:28" x14ac:dyDescent="0.25">
      <c r="A4624" t="str">
        <f>"4620"</f>
        <v>4620</v>
      </c>
      <c r="B4624" t="str">
        <f t="shared" si="264"/>
        <v>1</v>
      </c>
      <c r="C4624" t="str">
        <f t="shared" si="266"/>
        <v>201</v>
      </c>
      <c r="D4624" t="str">
        <f>"13"</f>
        <v>13</v>
      </c>
      <c r="E4624" t="str">
        <f>"1-201-13"</f>
        <v>1-201-13</v>
      </c>
      <c r="F4624" t="s">
        <v>83</v>
      </c>
      <c r="G4624" t="s">
        <v>84</v>
      </c>
      <c r="H4624" t="s">
        <v>92</v>
      </c>
      <c r="I4624">
        <v>1</v>
      </c>
      <c r="J4624">
        <v>1</v>
      </c>
      <c r="N4624">
        <v>1</v>
      </c>
      <c r="O4624">
        <v>1</v>
      </c>
      <c r="P4624">
        <v>1</v>
      </c>
      <c r="Q4624">
        <v>1</v>
      </c>
      <c r="R4624">
        <v>1</v>
      </c>
      <c r="S4624">
        <v>1</v>
      </c>
      <c r="T4624">
        <v>1</v>
      </c>
      <c r="W4624">
        <v>1</v>
      </c>
      <c r="X4624">
        <v>1</v>
      </c>
      <c r="Y4624">
        <v>1</v>
      </c>
      <c r="Z4624">
        <v>1</v>
      </c>
      <c r="AA4624">
        <v>1</v>
      </c>
      <c r="AB4624">
        <v>1</v>
      </c>
    </row>
    <row r="4625" spans="1:49" x14ac:dyDescent="0.25">
      <c r="A4625" t="str">
        <f>"4621"</f>
        <v>4621</v>
      </c>
      <c r="B4625" t="str">
        <f t="shared" si="264"/>
        <v>1</v>
      </c>
      <c r="C4625" t="str">
        <f t="shared" si="266"/>
        <v>201</v>
      </c>
      <c r="D4625" t="str">
        <f>"5"</f>
        <v>5</v>
      </c>
      <c r="E4625" t="str">
        <f>"1-201-5"</f>
        <v>1-201-5</v>
      </c>
      <c r="F4625" t="s">
        <v>83</v>
      </c>
      <c r="G4625" t="s">
        <v>86</v>
      </c>
      <c r="H4625" t="s">
        <v>93</v>
      </c>
      <c r="I4625">
        <v>1</v>
      </c>
      <c r="K4625">
        <v>0</v>
      </c>
      <c r="L4625">
        <v>1</v>
      </c>
      <c r="M4625">
        <v>0</v>
      </c>
      <c r="N4625">
        <v>1</v>
      </c>
      <c r="O4625">
        <v>1</v>
      </c>
      <c r="P4625">
        <v>1</v>
      </c>
      <c r="Q4625">
        <v>1</v>
      </c>
      <c r="R4625">
        <v>1</v>
      </c>
      <c r="U4625">
        <v>1</v>
      </c>
      <c r="V4625">
        <v>0</v>
      </c>
      <c r="W4625">
        <v>1</v>
      </c>
      <c r="X4625">
        <v>1</v>
      </c>
      <c r="Y4625">
        <v>1</v>
      </c>
      <c r="Z4625">
        <v>1</v>
      </c>
      <c r="AA4625">
        <v>1</v>
      </c>
      <c r="AB4625">
        <v>1</v>
      </c>
    </row>
    <row r="4626" spans="1:49" x14ac:dyDescent="0.25">
      <c r="A4626" t="str">
        <f>"4622"</f>
        <v>4622</v>
      </c>
      <c r="B4626" t="str">
        <f t="shared" si="264"/>
        <v>1</v>
      </c>
      <c r="C4626" t="str">
        <f t="shared" si="266"/>
        <v>201</v>
      </c>
      <c r="D4626" t="str">
        <f>"18"</f>
        <v>18</v>
      </c>
      <c r="E4626" t="str">
        <f>"1-201-18"</f>
        <v>1-201-18</v>
      </c>
      <c r="F4626" t="s">
        <v>83</v>
      </c>
      <c r="G4626" t="s">
        <v>84</v>
      </c>
      <c r="H4626" t="s">
        <v>92</v>
      </c>
      <c r="I4626">
        <v>1</v>
      </c>
      <c r="J4626">
        <v>1</v>
      </c>
      <c r="N4626">
        <v>1</v>
      </c>
      <c r="O4626">
        <v>1</v>
      </c>
      <c r="P4626">
        <v>1</v>
      </c>
      <c r="Q4626">
        <v>1</v>
      </c>
      <c r="R4626">
        <v>1</v>
      </c>
      <c r="S4626">
        <v>1</v>
      </c>
      <c r="T4626">
        <v>1</v>
      </c>
      <c r="W4626">
        <v>1</v>
      </c>
      <c r="X4626">
        <v>1</v>
      </c>
      <c r="Y4626">
        <v>1</v>
      </c>
      <c r="Z4626">
        <v>1</v>
      </c>
      <c r="AA4626">
        <v>1</v>
      </c>
      <c r="AB4626">
        <v>1</v>
      </c>
    </row>
    <row r="4627" spans="1:49" x14ac:dyDescent="0.25">
      <c r="A4627" t="str">
        <f>"4623"</f>
        <v>4623</v>
      </c>
      <c r="B4627" t="str">
        <f t="shared" si="264"/>
        <v>1</v>
      </c>
      <c r="C4627" t="str">
        <f t="shared" si="266"/>
        <v>201</v>
      </c>
      <c r="D4627" t="str">
        <f>"7"</f>
        <v>7</v>
      </c>
      <c r="E4627" t="str">
        <f>"1-201-7"</f>
        <v>1-201-7</v>
      </c>
      <c r="F4627" t="s">
        <v>83</v>
      </c>
      <c r="G4627" t="s">
        <v>84</v>
      </c>
      <c r="H4627" t="s">
        <v>92</v>
      </c>
      <c r="I4627">
        <v>1</v>
      </c>
      <c r="J4627">
        <v>1</v>
      </c>
      <c r="N4627">
        <v>1</v>
      </c>
      <c r="O4627">
        <v>1</v>
      </c>
      <c r="P4627">
        <v>1</v>
      </c>
      <c r="Q4627">
        <v>1</v>
      </c>
      <c r="R4627">
        <v>1</v>
      </c>
      <c r="S4627">
        <v>1</v>
      </c>
      <c r="T4627">
        <v>1</v>
      </c>
      <c r="W4627">
        <v>1</v>
      </c>
      <c r="X4627">
        <v>1</v>
      </c>
      <c r="Y4627">
        <v>1</v>
      </c>
      <c r="Z4627">
        <v>1</v>
      </c>
      <c r="AA4627">
        <v>1</v>
      </c>
      <c r="AB4627">
        <v>1</v>
      </c>
    </row>
    <row r="4628" spans="1:49" x14ac:dyDescent="0.25">
      <c r="A4628" t="str">
        <f>"4624"</f>
        <v>4624</v>
      </c>
      <c r="B4628" t="str">
        <f t="shared" si="264"/>
        <v>1</v>
      </c>
      <c r="C4628" t="str">
        <f t="shared" si="266"/>
        <v>201</v>
      </c>
      <c r="D4628" t="str">
        <f>"19"</f>
        <v>19</v>
      </c>
      <c r="E4628" t="str">
        <f>"1-201-19"</f>
        <v>1-201-19</v>
      </c>
      <c r="F4628" t="s">
        <v>83</v>
      </c>
      <c r="G4628" t="s">
        <v>84</v>
      </c>
      <c r="H4628" t="s">
        <v>92</v>
      </c>
      <c r="I4628">
        <v>1</v>
      </c>
      <c r="J4628">
        <v>1</v>
      </c>
      <c r="N4628">
        <v>1</v>
      </c>
      <c r="O4628">
        <v>1</v>
      </c>
      <c r="P4628">
        <v>1</v>
      </c>
      <c r="Q4628">
        <v>1</v>
      </c>
      <c r="R4628">
        <v>1</v>
      </c>
      <c r="S4628">
        <v>1</v>
      </c>
      <c r="T4628">
        <v>1</v>
      </c>
      <c r="W4628">
        <v>1</v>
      </c>
      <c r="X4628">
        <v>1</v>
      </c>
      <c r="Y4628">
        <v>1</v>
      </c>
      <c r="Z4628">
        <v>1</v>
      </c>
      <c r="AA4628">
        <v>1</v>
      </c>
      <c r="AB4628">
        <v>1</v>
      </c>
    </row>
    <row r="4629" spans="1:49" x14ac:dyDescent="0.25">
      <c r="A4629" t="str">
        <f>"4625"</f>
        <v>4625</v>
      </c>
      <c r="B4629" t="str">
        <f t="shared" si="264"/>
        <v>1</v>
      </c>
      <c r="C4629" t="str">
        <f t="shared" si="266"/>
        <v>201</v>
      </c>
      <c r="D4629" t="str">
        <f>"4"</f>
        <v>4</v>
      </c>
      <c r="E4629" t="str">
        <f>"1-201-4"</f>
        <v>1-201-4</v>
      </c>
      <c r="F4629" t="s">
        <v>83</v>
      </c>
      <c r="G4629" t="s">
        <v>84</v>
      </c>
      <c r="H4629" t="s">
        <v>92</v>
      </c>
      <c r="I4629">
        <v>1</v>
      </c>
      <c r="J4629">
        <v>1</v>
      </c>
      <c r="N4629">
        <v>1</v>
      </c>
      <c r="O4629">
        <v>1</v>
      </c>
      <c r="P4629">
        <v>1</v>
      </c>
      <c r="Q4629">
        <v>1</v>
      </c>
      <c r="R4629">
        <v>1</v>
      </c>
      <c r="S4629">
        <v>1</v>
      </c>
      <c r="T4629">
        <v>1</v>
      </c>
      <c r="W4629">
        <v>1</v>
      </c>
      <c r="X4629">
        <v>1</v>
      </c>
      <c r="Y4629">
        <v>1</v>
      </c>
      <c r="Z4629">
        <v>1</v>
      </c>
      <c r="AA4629">
        <v>1</v>
      </c>
      <c r="AB4629">
        <v>1</v>
      </c>
    </row>
    <row r="4630" spans="1:49" x14ac:dyDescent="0.25">
      <c r="A4630" t="str">
        <f>"4626"</f>
        <v>4626</v>
      </c>
      <c r="B4630" t="str">
        <f t="shared" si="264"/>
        <v>1</v>
      </c>
      <c r="C4630" t="str">
        <f t="shared" si="266"/>
        <v>201</v>
      </c>
      <c r="D4630" t="str">
        <f>"15"</f>
        <v>15</v>
      </c>
      <c r="E4630" t="str">
        <f>"1-201-15"</f>
        <v>1-201-15</v>
      </c>
      <c r="F4630" t="s">
        <v>83</v>
      </c>
      <c r="G4630" t="s">
        <v>84</v>
      </c>
      <c r="H4630" t="s">
        <v>92</v>
      </c>
      <c r="I4630">
        <v>0</v>
      </c>
      <c r="J4630">
        <v>0</v>
      </c>
      <c r="N4630">
        <v>0</v>
      </c>
      <c r="O4630">
        <v>0</v>
      </c>
      <c r="P4630">
        <v>0</v>
      </c>
      <c r="Q4630">
        <v>0</v>
      </c>
      <c r="R4630">
        <v>0</v>
      </c>
      <c r="S4630">
        <v>0</v>
      </c>
      <c r="T4630">
        <v>0</v>
      </c>
      <c r="W4630">
        <v>0</v>
      </c>
      <c r="X4630">
        <v>0</v>
      </c>
      <c r="Y4630">
        <v>0</v>
      </c>
      <c r="Z4630">
        <v>0</v>
      </c>
      <c r="AA4630">
        <v>0</v>
      </c>
      <c r="AB4630">
        <v>0</v>
      </c>
    </row>
    <row r="4631" spans="1:49" x14ac:dyDescent="0.25">
      <c r="A4631" t="str">
        <f>"4627"</f>
        <v>4627</v>
      </c>
      <c r="B4631" t="str">
        <f t="shared" si="264"/>
        <v>1</v>
      </c>
      <c r="C4631" t="str">
        <f t="shared" si="266"/>
        <v>201</v>
      </c>
      <c r="D4631" t="str">
        <f>"11"</f>
        <v>11</v>
      </c>
      <c r="E4631" t="str">
        <f>"1-201-11"</f>
        <v>1-201-11</v>
      </c>
      <c r="F4631" t="s">
        <v>83</v>
      </c>
      <c r="G4631" t="s">
        <v>84</v>
      </c>
      <c r="H4631" t="s">
        <v>92</v>
      </c>
      <c r="I4631">
        <v>0</v>
      </c>
      <c r="J4631">
        <v>0</v>
      </c>
      <c r="N4631">
        <v>0</v>
      </c>
      <c r="O4631">
        <v>0</v>
      </c>
      <c r="P4631">
        <v>0</v>
      </c>
      <c r="Q4631">
        <v>0</v>
      </c>
      <c r="R4631">
        <v>0</v>
      </c>
      <c r="S4631">
        <v>0</v>
      </c>
      <c r="T4631">
        <v>0</v>
      </c>
      <c r="W4631">
        <v>0</v>
      </c>
      <c r="X4631">
        <v>0</v>
      </c>
      <c r="Y4631">
        <v>0</v>
      </c>
      <c r="Z4631">
        <v>0</v>
      </c>
      <c r="AA4631">
        <v>0</v>
      </c>
      <c r="AB4631">
        <v>0</v>
      </c>
    </row>
    <row r="4632" spans="1:49" x14ac:dyDescent="0.25">
      <c r="A4632" t="str">
        <f>"4628"</f>
        <v>4628</v>
      </c>
      <c r="B4632" t="str">
        <f t="shared" si="264"/>
        <v>1</v>
      </c>
      <c r="C4632" t="str">
        <f t="shared" ref="C4632:C4647" si="267">"202"</f>
        <v>202</v>
      </c>
      <c r="D4632" t="str">
        <f>"15"</f>
        <v>15</v>
      </c>
      <c r="E4632" t="str">
        <f>"1-202-15"</f>
        <v>1-202-15</v>
      </c>
      <c r="F4632" t="s">
        <v>83</v>
      </c>
      <c r="G4632" t="s">
        <v>84</v>
      </c>
      <c r="H4632" t="s">
        <v>85</v>
      </c>
      <c r="AC4632">
        <v>0</v>
      </c>
      <c r="AD4632">
        <v>1</v>
      </c>
      <c r="AE4632">
        <v>0</v>
      </c>
      <c r="AF4632">
        <v>0</v>
      </c>
      <c r="AG4632">
        <v>0</v>
      </c>
      <c r="AJ4632">
        <v>0</v>
      </c>
      <c r="AK4632">
        <v>1</v>
      </c>
      <c r="AL4632">
        <v>1</v>
      </c>
      <c r="AM4632">
        <v>0</v>
      </c>
      <c r="AN4632">
        <v>0</v>
      </c>
      <c r="AO4632">
        <v>0</v>
      </c>
      <c r="AP4632">
        <v>0</v>
      </c>
      <c r="AQ4632">
        <v>0</v>
      </c>
      <c r="AR4632">
        <v>0</v>
      </c>
      <c r="AS4632">
        <v>0</v>
      </c>
      <c r="AT4632">
        <v>1</v>
      </c>
      <c r="AV4632">
        <v>0</v>
      </c>
      <c r="AW4632">
        <v>0</v>
      </c>
    </row>
    <row r="4633" spans="1:49" x14ac:dyDescent="0.25">
      <c r="A4633" t="str">
        <f>"4629"</f>
        <v>4629</v>
      </c>
      <c r="B4633" t="str">
        <f t="shared" si="264"/>
        <v>1</v>
      </c>
      <c r="C4633" t="str">
        <f t="shared" si="267"/>
        <v>202</v>
      </c>
      <c r="D4633" t="str">
        <f>"8"</f>
        <v>8</v>
      </c>
      <c r="E4633" t="str">
        <f>"1-202-8"</f>
        <v>1-202-8</v>
      </c>
      <c r="F4633" t="s">
        <v>83</v>
      </c>
      <c r="G4633" t="s">
        <v>84</v>
      </c>
      <c r="H4633" t="s">
        <v>85</v>
      </c>
      <c r="AC4633">
        <v>1</v>
      </c>
      <c r="AD4633">
        <v>0</v>
      </c>
      <c r="AE4633">
        <v>0</v>
      </c>
      <c r="AF4633">
        <v>0</v>
      </c>
      <c r="AG4633">
        <v>1</v>
      </c>
      <c r="AJ4633">
        <v>1</v>
      </c>
      <c r="AK4633">
        <v>0</v>
      </c>
      <c r="AL4633">
        <v>1</v>
      </c>
      <c r="AM4633">
        <v>0</v>
      </c>
      <c r="AN4633">
        <v>0</v>
      </c>
      <c r="AO4633">
        <v>1</v>
      </c>
      <c r="AP4633">
        <v>1</v>
      </c>
      <c r="AQ4633">
        <v>1</v>
      </c>
      <c r="AR4633">
        <v>1</v>
      </c>
      <c r="AS4633">
        <v>0</v>
      </c>
      <c r="AT4633">
        <v>1</v>
      </c>
      <c r="AV4633">
        <v>1</v>
      </c>
      <c r="AW4633">
        <v>1</v>
      </c>
    </row>
    <row r="4634" spans="1:49" x14ac:dyDescent="0.25">
      <c r="A4634" t="str">
        <f>"4630"</f>
        <v>4630</v>
      </c>
      <c r="B4634" t="str">
        <f t="shared" si="264"/>
        <v>1</v>
      </c>
      <c r="C4634" t="str">
        <f t="shared" si="267"/>
        <v>202</v>
      </c>
      <c r="D4634" t="str">
        <f>"3"</f>
        <v>3</v>
      </c>
      <c r="E4634" t="str">
        <f>"1-202-3"</f>
        <v>1-202-3</v>
      </c>
      <c r="F4634" t="s">
        <v>83</v>
      </c>
      <c r="G4634" t="s">
        <v>84</v>
      </c>
      <c r="H4634" t="s">
        <v>85</v>
      </c>
      <c r="AC4634">
        <v>0</v>
      </c>
      <c r="AD4634">
        <v>1</v>
      </c>
      <c r="AE4634">
        <v>0</v>
      </c>
      <c r="AF4634">
        <v>0</v>
      </c>
      <c r="AG4634">
        <v>0</v>
      </c>
      <c r="AJ4634">
        <v>0</v>
      </c>
      <c r="AK4634">
        <v>1</v>
      </c>
      <c r="AL4634">
        <v>1</v>
      </c>
      <c r="AM4634">
        <v>0</v>
      </c>
      <c r="AN4634">
        <v>0</v>
      </c>
      <c r="AO4634">
        <v>0</v>
      </c>
      <c r="AP4634">
        <v>0</v>
      </c>
      <c r="AQ4634">
        <v>0</v>
      </c>
      <c r="AR4634">
        <v>1</v>
      </c>
      <c r="AS4634">
        <v>1</v>
      </c>
      <c r="AT4634">
        <v>0</v>
      </c>
      <c r="AV4634">
        <v>0</v>
      </c>
      <c r="AW4634">
        <v>0</v>
      </c>
    </row>
    <row r="4635" spans="1:49" x14ac:dyDescent="0.25">
      <c r="A4635" t="str">
        <f>"4631"</f>
        <v>4631</v>
      </c>
      <c r="B4635" t="str">
        <f t="shared" si="264"/>
        <v>1</v>
      </c>
      <c r="C4635" t="str">
        <f t="shared" si="267"/>
        <v>202</v>
      </c>
      <c r="D4635" t="str">
        <f>"16"</f>
        <v>16</v>
      </c>
      <c r="E4635" t="str">
        <f>"1-202-16"</f>
        <v>1-202-16</v>
      </c>
      <c r="F4635" t="s">
        <v>83</v>
      </c>
      <c r="G4635" t="s">
        <v>84</v>
      </c>
      <c r="H4635" t="s">
        <v>85</v>
      </c>
      <c r="AC4635">
        <v>0</v>
      </c>
      <c r="AD4635">
        <v>1</v>
      </c>
      <c r="AE4635">
        <v>0</v>
      </c>
      <c r="AF4635">
        <v>0</v>
      </c>
      <c r="AG4635">
        <v>1</v>
      </c>
      <c r="AJ4635">
        <v>0</v>
      </c>
      <c r="AK4635">
        <v>1</v>
      </c>
      <c r="AL4635">
        <v>0</v>
      </c>
      <c r="AM4635">
        <v>1</v>
      </c>
      <c r="AN4635">
        <v>0</v>
      </c>
      <c r="AO4635">
        <v>1</v>
      </c>
      <c r="AP4635">
        <v>1</v>
      </c>
      <c r="AQ4635">
        <v>1</v>
      </c>
      <c r="AR4635">
        <v>1</v>
      </c>
      <c r="AS4635">
        <v>0</v>
      </c>
      <c r="AT4635">
        <v>1</v>
      </c>
      <c r="AV4635">
        <v>1</v>
      </c>
      <c r="AW4635">
        <v>1</v>
      </c>
    </row>
    <row r="4636" spans="1:49" x14ac:dyDescent="0.25">
      <c r="A4636" t="str">
        <f>"4632"</f>
        <v>4632</v>
      </c>
      <c r="B4636" t="str">
        <f t="shared" si="264"/>
        <v>1</v>
      </c>
      <c r="C4636" t="str">
        <f t="shared" si="267"/>
        <v>202</v>
      </c>
      <c r="D4636" t="str">
        <f>"9"</f>
        <v>9</v>
      </c>
      <c r="E4636" t="str">
        <f>"1-202-9"</f>
        <v>1-202-9</v>
      </c>
      <c r="F4636" t="s">
        <v>83</v>
      </c>
      <c r="G4636" t="s">
        <v>84</v>
      </c>
      <c r="H4636" t="s">
        <v>85</v>
      </c>
      <c r="AC4636">
        <v>0</v>
      </c>
      <c r="AD4636">
        <v>1</v>
      </c>
      <c r="AE4636">
        <v>0</v>
      </c>
      <c r="AF4636">
        <v>0</v>
      </c>
      <c r="AG4636">
        <v>0</v>
      </c>
      <c r="AJ4636">
        <v>0</v>
      </c>
      <c r="AK4636">
        <v>1</v>
      </c>
      <c r="AL4636">
        <v>0</v>
      </c>
      <c r="AM4636">
        <v>0</v>
      </c>
      <c r="AN4636">
        <v>1</v>
      </c>
      <c r="AO4636">
        <v>0</v>
      </c>
      <c r="AP4636">
        <v>0</v>
      </c>
      <c r="AQ4636">
        <v>0</v>
      </c>
      <c r="AR4636">
        <v>0</v>
      </c>
      <c r="AS4636">
        <v>1</v>
      </c>
      <c r="AT4636">
        <v>0</v>
      </c>
      <c r="AV4636">
        <v>0</v>
      </c>
      <c r="AW4636">
        <v>1</v>
      </c>
    </row>
    <row r="4637" spans="1:49" x14ac:dyDescent="0.25">
      <c r="A4637" t="str">
        <f>"4633"</f>
        <v>4633</v>
      </c>
      <c r="B4637" t="str">
        <f t="shared" si="264"/>
        <v>1</v>
      </c>
      <c r="C4637" t="str">
        <f t="shared" si="267"/>
        <v>202</v>
      </c>
      <c r="D4637" t="str">
        <f>"7"</f>
        <v>7</v>
      </c>
      <c r="E4637" t="str">
        <f>"1-202-7"</f>
        <v>1-202-7</v>
      </c>
      <c r="F4637" t="s">
        <v>83</v>
      </c>
      <c r="G4637" t="s">
        <v>84</v>
      </c>
      <c r="H4637" t="s">
        <v>85</v>
      </c>
      <c r="AC4637">
        <v>0</v>
      </c>
      <c r="AD4637">
        <v>0</v>
      </c>
      <c r="AE4637">
        <v>0</v>
      </c>
      <c r="AF4637">
        <v>0</v>
      </c>
      <c r="AG4637">
        <v>0</v>
      </c>
      <c r="AJ4637">
        <v>0</v>
      </c>
      <c r="AK4637">
        <v>0</v>
      </c>
      <c r="AL4637">
        <v>0</v>
      </c>
      <c r="AM4637">
        <v>0</v>
      </c>
      <c r="AN4637">
        <v>0</v>
      </c>
      <c r="AO4637">
        <v>1</v>
      </c>
      <c r="AP4637">
        <v>1</v>
      </c>
      <c r="AQ4637">
        <v>0</v>
      </c>
      <c r="AR4637">
        <v>0</v>
      </c>
      <c r="AS4637">
        <v>0</v>
      </c>
      <c r="AT4637">
        <v>0</v>
      </c>
      <c r="AV4637">
        <v>1</v>
      </c>
      <c r="AW4637">
        <v>1</v>
      </c>
    </row>
    <row r="4638" spans="1:49" x14ac:dyDescent="0.25">
      <c r="A4638" t="str">
        <f>"4634"</f>
        <v>4634</v>
      </c>
      <c r="B4638" t="str">
        <f t="shared" ref="B4638:B4701" si="268">"1"</f>
        <v>1</v>
      </c>
      <c r="C4638" t="str">
        <f t="shared" si="267"/>
        <v>202</v>
      </c>
      <c r="D4638" t="str">
        <f>"10"</f>
        <v>10</v>
      </c>
      <c r="E4638" t="str">
        <f>"1-202-10"</f>
        <v>1-202-10</v>
      </c>
      <c r="F4638" t="s">
        <v>83</v>
      </c>
      <c r="G4638" t="s">
        <v>84</v>
      </c>
      <c r="H4638" t="s">
        <v>85</v>
      </c>
      <c r="AC4638">
        <v>1</v>
      </c>
      <c r="AD4638">
        <v>0</v>
      </c>
      <c r="AE4638">
        <v>0</v>
      </c>
      <c r="AF4638">
        <v>0</v>
      </c>
      <c r="AG4638">
        <v>1</v>
      </c>
      <c r="AJ4638">
        <v>1</v>
      </c>
      <c r="AK4638">
        <v>0</v>
      </c>
      <c r="AL4638">
        <v>0</v>
      </c>
      <c r="AM4638">
        <v>1</v>
      </c>
      <c r="AN4638">
        <v>0</v>
      </c>
      <c r="AO4638">
        <v>1</v>
      </c>
      <c r="AP4638">
        <v>1</v>
      </c>
      <c r="AQ4638">
        <v>1</v>
      </c>
      <c r="AR4638">
        <v>1</v>
      </c>
      <c r="AS4638">
        <v>0</v>
      </c>
      <c r="AT4638">
        <v>1</v>
      </c>
      <c r="AV4638">
        <v>1</v>
      </c>
      <c r="AW4638">
        <v>1</v>
      </c>
    </row>
    <row r="4639" spans="1:49" x14ac:dyDescent="0.25">
      <c r="A4639" t="str">
        <f>"4635"</f>
        <v>4635</v>
      </c>
      <c r="B4639" t="str">
        <f t="shared" si="268"/>
        <v>1</v>
      </c>
      <c r="C4639" t="str">
        <f t="shared" si="267"/>
        <v>202</v>
      </c>
      <c r="D4639" t="str">
        <f>"4"</f>
        <v>4</v>
      </c>
      <c r="E4639" t="str">
        <f>"1-202-4"</f>
        <v>1-202-4</v>
      </c>
      <c r="F4639" t="s">
        <v>83</v>
      </c>
      <c r="G4639" t="s">
        <v>84</v>
      </c>
      <c r="H4639" t="s">
        <v>85</v>
      </c>
      <c r="AC4639">
        <v>0</v>
      </c>
      <c r="AD4639">
        <v>1</v>
      </c>
      <c r="AE4639">
        <v>0</v>
      </c>
      <c r="AF4639">
        <v>0</v>
      </c>
      <c r="AG4639">
        <v>1</v>
      </c>
      <c r="AJ4639">
        <v>0</v>
      </c>
      <c r="AK4639">
        <v>1</v>
      </c>
      <c r="AL4639">
        <v>0</v>
      </c>
      <c r="AM4639">
        <v>0</v>
      </c>
      <c r="AN4639">
        <v>1</v>
      </c>
      <c r="AO4639">
        <v>1</v>
      </c>
      <c r="AP4639">
        <v>1</v>
      </c>
      <c r="AQ4639">
        <v>1</v>
      </c>
      <c r="AR4639">
        <v>1</v>
      </c>
      <c r="AS4639">
        <v>0</v>
      </c>
      <c r="AT4639">
        <v>1</v>
      </c>
      <c r="AV4639">
        <v>1</v>
      </c>
      <c r="AW4639">
        <v>1</v>
      </c>
    </row>
    <row r="4640" spans="1:49" x14ac:dyDescent="0.25">
      <c r="A4640" t="str">
        <f>"4636"</f>
        <v>4636</v>
      </c>
      <c r="B4640" t="str">
        <f t="shared" si="268"/>
        <v>1</v>
      </c>
      <c r="C4640" t="str">
        <f t="shared" si="267"/>
        <v>202</v>
      </c>
      <c r="D4640" t="str">
        <f>"11"</f>
        <v>11</v>
      </c>
      <c r="E4640" t="str">
        <f>"1-202-11"</f>
        <v>1-202-11</v>
      </c>
      <c r="F4640" t="s">
        <v>83</v>
      </c>
      <c r="G4640" t="s">
        <v>84</v>
      </c>
      <c r="H4640" t="s">
        <v>85</v>
      </c>
      <c r="AC4640">
        <v>0</v>
      </c>
      <c r="AD4640">
        <v>1</v>
      </c>
      <c r="AE4640">
        <v>0</v>
      </c>
      <c r="AF4640">
        <v>0</v>
      </c>
      <c r="AG4640">
        <v>1</v>
      </c>
      <c r="AJ4640">
        <v>0</v>
      </c>
      <c r="AK4640">
        <v>1</v>
      </c>
      <c r="AL4640">
        <v>0</v>
      </c>
      <c r="AM4640">
        <v>0</v>
      </c>
      <c r="AN4640">
        <v>1</v>
      </c>
      <c r="AO4640">
        <v>1</v>
      </c>
      <c r="AP4640">
        <v>1</v>
      </c>
      <c r="AQ4640">
        <v>1</v>
      </c>
      <c r="AR4640">
        <v>1</v>
      </c>
      <c r="AS4640">
        <v>1</v>
      </c>
      <c r="AT4640">
        <v>0</v>
      </c>
      <c r="AV4640">
        <v>1</v>
      </c>
      <c r="AW4640">
        <v>1</v>
      </c>
    </row>
    <row r="4641" spans="1:49" x14ac:dyDescent="0.25">
      <c r="A4641" t="str">
        <f>"4637"</f>
        <v>4637</v>
      </c>
      <c r="B4641" t="str">
        <f t="shared" si="268"/>
        <v>1</v>
      </c>
      <c r="C4641" t="str">
        <f t="shared" si="267"/>
        <v>202</v>
      </c>
      <c r="D4641" t="str">
        <f>"6"</f>
        <v>6</v>
      </c>
      <c r="E4641" t="str">
        <f>"1-202-6"</f>
        <v>1-202-6</v>
      </c>
      <c r="F4641" t="s">
        <v>83</v>
      </c>
      <c r="G4641" t="s">
        <v>84</v>
      </c>
      <c r="H4641" t="s">
        <v>85</v>
      </c>
      <c r="AC4641">
        <v>0</v>
      </c>
      <c r="AD4641">
        <v>1</v>
      </c>
      <c r="AE4641">
        <v>0</v>
      </c>
      <c r="AF4641">
        <v>0</v>
      </c>
      <c r="AG4641">
        <v>0</v>
      </c>
      <c r="AJ4641">
        <v>0</v>
      </c>
      <c r="AK4641">
        <v>1</v>
      </c>
      <c r="AL4641">
        <v>1</v>
      </c>
      <c r="AM4641">
        <v>0</v>
      </c>
      <c r="AN4641">
        <v>0</v>
      </c>
      <c r="AO4641">
        <v>0</v>
      </c>
      <c r="AP4641">
        <v>0</v>
      </c>
      <c r="AQ4641">
        <v>0</v>
      </c>
      <c r="AR4641">
        <v>0</v>
      </c>
      <c r="AS4641">
        <v>0</v>
      </c>
      <c r="AT4641">
        <v>1</v>
      </c>
      <c r="AV4641">
        <v>0</v>
      </c>
      <c r="AW4641">
        <v>0</v>
      </c>
    </row>
    <row r="4642" spans="1:49" x14ac:dyDescent="0.25">
      <c r="A4642" t="str">
        <f>"4638"</f>
        <v>4638</v>
      </c>
      <c r="B4642" t="str">
        <f t="shared" si="268"/>
        <v>1</v>
      </c>
      <c r="C4642" t="str">
        <f t="shared" si="267"/>
        <v>202</v>
      </c>
      <c r="D4642" t="str">
        <f>"12"</f>
        <v>12</v>
      </c>
      <c r="E4642" t="str">
        <f>"1-202-12"</f>
        <v>1-202-12</v>
      </c>
      <c r="F4642" t="s">
        <v>83</v>
      </c>
      <c r="G4642" t="s">
        <v>84</v>
      </c>
      <c r="H4642" t="s">
        <v>85</v>
      </c>
      <c r="AC4642">
        <v>0</v>
      </c>
      <c r="AD4642">
        <v>1</v>
      </c>
      <c r="AE4642">
        <v>0</v>
      </c>
      <c r="AF4642">
        <v>0</v>
      </c>
      <c r="AG4642">
        <v>0</v>
      </c>
      <c r="AJ4642">
        <v>0</v>
      </c>
      <c r="AK4642">
        <v>1</v>
      </c>
      <c r="AL4642">
        <v>0</v>
      </c>
      <c r="AM4642">
        <v>0</v>
      </c>
      <c r="AN4642">
        <v>1</v>
      </c>
      <c r="AO4642">
        <v>1</v>
      </c>
      <c r="AP4642">
        <v>1</v>
      </c>
      <c r="AQ4642">
        <v>1</v>
      </c>
      <c r="AR4642">
        <v>1</v>
      </c>
      <c r="AS4642">
        <v>0</v>
      </c>
      <c r="AT4642">
        <v>1</v>
      </c>
      <c r="AV4642">
        <v>1</v>
      </c>
      <c r="AW4642">
        <v>1</v>
      </c>
    </row>
    <row r="4643" spans="1:49" x14ac:dyDescent="0.25">
      <c r="A4643" t="str">
        <f>"4639"</f>
        <v>4639</v>
      </c>
      <c r="B4643" t="str">
        <f t="shared" si="268"/>
        <v>1</v>
      </c>
      <c r="C4643" t="str">
        <f t="shared" si="267"/>
        <v>202</v>
      </c>
      <c r="D4643" t="str">
        <f>"2"</f>
        <v>2</v>
      </c>
      <c r="E4643" t="str">
        <f>"1-202-2"</f>
        <v>1-202-2</v>
      </c>
      <c r="F4643" t="s">
        <v>83</v>
      </c>
      <c r="G4643" t="s">
        <v>84</v>
      </c>
      <c r="H4643" t="s">
        <v>85</v>
      </c>
      <c r="AC4643">
        <v>0</v>
      </c>
      <c r="AD4643">
        <v>1</v>
      </c>
      <c r="AE4643">
        <v>0</v>
      </c>
      <c r="AF4643">
        <v>0</v>
      </c>
      <c r="AG4643">
        <v>1</v>
      </c>
      <c r="AJ4643">
        <v>0</v>
      </c>
      <c r="AK4643">
        <v>1</v>
      </c>
      <c r="AL4643">
        <v>0</v>
      </c>
      <c r="AM4643">
        <v>0</v>
      </c>
      <c r="AN4643">
        <v>1</v>
      </c>
      <c r="AO4643">
        <v>1</v>
      </c>
      <c r="AP4643">
        <v>1</v>
      </c>
      <c r="AQ4643">
        <v>1</v>
      </c>
      <c r="AR4643">
        <v>1</v>
      </c>
      <c r="AS4643">
        <v>0</v>
      </c>
      <c r="AT4643">
        <v>1</v>
      </c>
      <c r="AV4643">
        <v>1</v>
      </c>
      <c r="AW4643">
        <v>1</v>
      </c>
    </row>
    <row r="4644" spans="1:49" x14ac:dyDescent="0.25">
      <c r="A4644" t="str">
        <f>"4640"</f>
        <v>4640</v>
      </c>
      <c r="B4644" t="str">
        <f t="shared" si="268"/>
        <v>1</v>
      </c>
      <c r="C4644" t="str">
        <f t="shared" si="267"/>
        <v>202</v>
      </c>
      <c r="D4644" t="str">
        <f>"13"</f>
        <v>13</v>
      </c>
      <c r="E4644" t="str">
        <f>"1-202-13"</f>
        <v>1-202-13</v>
      </c>
      <c r="F4644" t="s">
        <v>83</v>
      </c>
      <c r="G4644" t="s">
        <v>84</v>
      </c>
      <c r="H4644" t="s">
        <v>85</v>
      </c>
      <c r="AC4644">
        <v>0</v>
      </c>
      <c r="AD4644">
        <v>1</v>
      </c>
      <c r="AE4644">
        <v>0</v>
      </c>
      <c r="AF4644">
        <v>0</v>
      </c>
      <c r="AG4644">
        <v>1</v>
      </c>
      <c r="AJ4644">
        <v>1</v>
      </c>
      <c r="AK4644">
        <v>0</v>
      </c>
      <c r="AL4644">
        <v>1</v>
      </c>
      <c r="AM4644">
        <v>0</v>
      </c>
      <c r="AN4644">
        <v>0</v>
      </c>
      <c r="AO4644">
        <v>1</v>
      </c>
      <c r="AP4644">
        <v>1</v>
      </c>
      <c r="AQ4644">
        <v>1</v>
      </c>
      <c r="AR4644">
        <v>1</v>
      </c>
      <c r="AS4644">
        <v>0</v>
      </c>
      <c r="AT4644">
        <v>1</v>
      </c>
      <c r="AV4644">
        <v>1</v>
      </c>
      <c r="AW4644">
        <v>1</v>
      </c>
    </row>
    <row r="4645" spans="1:49" x14ac:dyDescent="0.25">
      <c r="A4645" t="str">
        <f>"4641"</f>
        <v>4641</v>
      </c>
      <c r="B4645" t="str">
        <f t="shared" si="268"/>
        <v>1</v>
      </c>
      <c r="C4645" t="str">
        <f t="shared" si="267"/>
        <v>202</v>
      </c>
      <c r="D4645" t="str">
        <f>"5"</f>
        <v>5</v>
      </c>
      <c r="E4645" t="str">
        <f>"1-202-5"</f>
        <v>1-202-5</v>
      </c>
      <c r="F4645" t="s">
        <v>83</v>
      </c>
      <c r="G4645" t="s">
        <v>84</v>
      </c>
      <c r="H4645" t="s">
        <v>85</v>
      </c>
      <c r="AC4645">
        <v>0</v>
      </c>
      <c r="AD4645">
        <v>1</v>
      </c>
      <c r="AE4645">
        <v>0</v>
      </c>
      <c r="AF4645">
        <v>0</v>
      </c>
      <c r="AG4645">
        <v>1</v>
      </c>
      <c r="AJ4645">
        <v>0</v>
      </c>
      <c r="AK4645">
        <v>1</v>
      </c>
      <c r="AL4645">
        <v>0</v>
      </c>
      <c r="AM4645">
        <v>0</v>
      </c>
      <c r="AN4645">
        <v>1</v>
      </c>
      <c r="AO4645">
        <v>1</v>
      </c>
      <c r="AP4645">
        <v>1</v>
      </c>
      <c r="AQ4645">
        <v>1</v>
      </c>
      <c r="AR4645">
        <v>1</v>
      </c>
      <c r="AS4645">
        <v>1</v>
      </c>
      <c r="AT4645">
        <v>0</v>
      </c>
      <c r="AV4645">
        <v>1</v>
      </c>
      <c r="AW4645">
        <v>1</v>
      </c>
    </row>
    <row r="4646" spans="1:49" x14ac:dyDescent="0.25">
      <c r="A4646" t="str">
        <f>"4642"</f>
        <v>4642</v>
      </c>
      <c r="B4646" t="str">
        <f t="shared" si="268"/>
        <v>1</v>
      </c>
      <c r="C4646" t="str">
        <f t="shared" si="267"/>
        <v>202</v>
      </c>
      <c r="D4646" t="str">
        <f>"14"</f>
        <v>14</v>
      </c>
      <c r="E4646" t="str">
        <f>"1-202-14"</f>
        <v>1-202-14</v>
      </c>
      <c r="F4646" t="s">
        <v>83</v>
      </c>
      <c r="G4646" t="s">
        <v>84</v>
      </c>
      <c r="H4646" t="s">
        <v>85</v>
      </c>
      <c r="AC4646">
        <v>0</v>
      </c>
      <c r="AD4646">
        <v>1</v>
      </c>
      <c r="AE4646">
        <v>0</v>
      </c>
      <c r="AF4646">
        <v>0</v>
      </c>
      <c r="AG4646">
        <v>0</v>
      </c>
      <c r="AJ4646">
        <v>0</v>
      </c>
      <c r="AK4646">
        <v>1</v>
      </c>
      <c r="AL4646">
        <v>0</v>
      </c>
      <c r="AM4646">
        <v>0</v>
      </c>
      <c r="AN4646">
        <v>1</v>
      </c>
      <c r="AO4646">
        <v>0</v>
      </c>
      <c r="AP4646">
        <v>0</v>
      </c>
      <c r="AQ4646">
        <v>0</v>
      </c>
      <c r="AR4646">
        <v>0</v>
      </c>
      <c r="AS4646">
        <v>1</v>
      </c>
      <c r="AT4646">
        <v>0</v>
      </c>
      <c r="AV4646">
        <v>0</v>
      </c>
      <c r="AW4646">
        <v>1</v>
      </c>
    </row>
    <row r="4647" spans="1:49" x14ac:dyDescent="0.25">
      <c r="A4647" t="str">
        <f>"4643"</f>
        <v>4643</v>
      </c>
      <c r="B4647" t="str">
        <f t="shared" si="268"/>
        <v>1</v>
      </c>
      <c r="C4647" t="str">
        <f t="shared" si="267"/>
        <v>202</v>
      </c>
      <c r="D4647" t="str">
        <f>"1"</f>
        <v>1</v>
      </c>
      <c r="E4647" t="str">
        <f>"1-202-1"</f>
        <v>1-202-1</v>
      </c>
      <c r="F4647" t="s">
        <v>83</v>
      </c>
      <c r="G4647" t="s">
        <v>86</v>
      </c>
      <c r="H4647" t="s">
        <v>87</v>
      </c>
      <c r="AC4647">
        <v>0</v>
      </c>
      <c r="AD4647">
        <v>1</v>
      </c>
      <c r="AE4647">
        <v>0</v>
      </c>
      <c r="AF4647">
        <v>0</v>
      </c>
      <c r="AH4647">
        <v>1</v>
      </c>
      <c r="AI4647">
        <v>0</v>
      </c>
      <c r="AJ4647">
        <v>1</v>
      </c>
      <c r="AK4647">
        <v>0</v>
      </c>
      <c r="AL4647">
        <v>0</v>
      </c>
      <c r="AM4647">
        <v>0</v>
      </c>
      <c r="AN4647">
        <v>1</v>
      </c>
      <c r="AO4647">
        <v>1</v>
      </c>
      <c r="AP4647">
        <v>1</v>
      </c>
      <c r="AQ4647">
        <v>1</v>
      </c>
      <c r="AU4647">
        <v>1</v>
      </c>
      <c r="AV4647">
        <v>1</v>
      </c>
      <c r="AW4647">
        <v>1</v>
      </c>
    </row>
    <row r="4648" spans="1:49" x14ac:dyDescent="0.25">
      <c r="A4648" t="str">
        <f>"4644"</f>
        <v>4644</v>
      </c>
      <c r="B4648" t="str">
        <f t="shared" si="268"/>
        <v>1</v>
      </c>
      <c r="C4648" t="str">
        <f t="shared" ref="C4648:C4672" si="269">"203"</f>
        <v>203</v>
      </c>
      <c r="D4648" t="str">
        <f>"21"</f>
        <v>21</v>
      </c>
      <c r="E4648" t="str">
        <f>"1-203-21"</f>
        <v>1-203-21</v>
      </c>
      <c r="F4648" t="s">
        <v>83</v>
      </c>
      <c r="G4648" t="s">
        <v>84</v>
      </c>
      <c r="H4648" t="s">
        <v>85</v>
      </c>
      <c r="AC4648">
        <v>0</v>
      </c>
      <c r="AD4648">
        <v>1</v>
      </c>
      <c r="AE4648">
        <v>0</v>
      </c>
      <c r="AF4648">
        <v>0</v>
      </c>
      <c r="AG4648">
        <v>0</v>
      </c>
      <c r="AJ4648">
        <v>0</v>
      </c>
      <c r="AK4648">
        <v>1</v>
      </c>
      <c r="AL4648">
        <v>0</v>
      </c>
      <c r="AM4648">
        <v>0</v>
      </c>
      <c r="AN4648">
        <v>1</v>
      </c>
      <c r="AO4648">
        <v>0</v>
      </c>
      <c r="AP4648">
        <v>0</v>
      </c>
      <c r="AQ4648">
        <v>0</v>
      </c>
      <c r="AR4648">
        <v>1</v>
      </c>
      <c r="AS4648">
        <v>1</v>
      </c>
      <c r="AT4648">
        <v>0</v>
      </c>
      <c r="AV4648">
        <v>1</v>
      </c>
      <c r="AW4648">
        <v>1</v>
      </c>
    </row>
    <row r="4649" spans="1:49" x14ac:dyDescent="0.25">
      <c r="A4649" t="str">
        <f>"4645"</f>
        <v>4645</v>
      </c>
      <c r="B4649" t="str">
        <f t="shared" si="268"/>
        <v>1</v>
      </c>
      <c r="C4649" t="str">
        <f t="shared" si="269"/>
        <v>203</v>
      </c>
      <c r="D4649" t="str">
        <f>"20"</f>
        <v>20</v>
      </c>
      <c r="E4649" t="str">
        <f>"1-203-20"</f>
        <v>1-203-20</v>
      </c>
      <c r="F4649" t="s">
        <v>83</v>
      </c>
      <c r="G4649" t="s">
        <v>84</v>
      </c>
      <c r="H4649" t="s">
        <v>85</v>
      </c>
      <c r="AC4649">
        <v>0</v>
      </c>
      <c r="AD4649">
        <v>1</v>
      </c>
      <c r="AE4649">
        <v>0</v>
      </c>
      <c r="AF4649">
        <v>0</v>
      </c>
      <c r="AG4649">
        <v>0</v>
      </c>
      <c r="AJ4649">
        <v>1</v>
      </c>
      <c r="AK4649">
        <v>0</v>
      </c>
      <c r="AL4649">
        <v>0</v>
      </c>
      <c r="AM4649">
        <v>1</v>
      </c>
      <c r="AN4649">
        <v>0</v>
      </c>
      <c r="AO4649">
        <v>0</v>
      </c>
      <c r="AP4649">
        <v>0</v>
      </c>
      <c r="AQ4649">
        <v>0</v>
      </c>
      <c r="AR4649">
        <v>0</v>
      </c>
      <c r="AS4649">
        <v>1</v>
      </c>
      <c r="AT4649">
        <v>0</v>
      </c>
      <c r="AV4649">
        <v>0</v>
      </c>
      <c r="AW4649">
        <v>1</v>
      </c>
    </row>
    <row r="4650" spans="1:49" x14ac:dyDescent="0.25">
      <c r="A4650" t="str">
        <f>"4646"</f>
        <v>4646</v>
      </c>
      <c r="B4650" t="str">
        <f t="shared" si="268"/>
        <v>1</v>
      </c>
      <c r="C4650" t="str">
        <f t="shared" si="269"/>
        <v>203</v>
      </c>
      <c r="D4650" t="str">
        <f>"13"</f>
        <v>13</v>
      </c>
      <c r="E4650" t="str">
        <f>"1-203-13"</f>
        <v>1-203-13</v>
      </c>
      <c r="F4650" t="s">
        <v>83</v>
      </c>
      <c r="G4650" t="s">
        <v>84</v>
      </c>
      <c r="H4650" t="s">
        <v>85</v>
      </c>
      <c r="AC4650">
        <v>0</v>
      </c>
      <c r="AD4650">
        <v>1</v>
      </c>
      <c r="AE4650">
        <v>0</v>
      </c>
      <c r="AF4650">
        <v>0</v>
      </c>
      <c r="AG4650">
        <v>1</v>
      </c>
      <c r="AJ4650">
        <v>0</v>
      </c>
      <c r="AK4650">
        <v>1</v>
      </c>
      <c r="AL4650">
        <v>0</v>
      </c>
      <c r="AM4650">
        <v>1</v>
      </c>
      <c r="AN4650">
        <v>0</v>
      </c>
      <c r="AO4650">
        <v>1</v>
      </c>
      <c r="AP4650">
        <v>1</v>
      </c>
      <c r="AQ4650">
        <v>1</v>
      </c>
      <c r="AR4650">
        <v>1</v>
      </c>
      <c r="AS4650">
        <v>1</v>
      </c>
      <c r="AT4650">
        <v>0</v>
      </c>
      <c r="AV4650">
        <v>1</v>
      </c>
      <c r="AW4650">
        <v>1</v>
      </c>
    </row>
    <row r="4651" spans="1:49" x14ac:dyDescent="0.25">
      <c r="A4651" t="str">
        <f>"4647"</f>
        <v>4647</v>
      </c>
      <c r="B4651" t="str">
        <f t="shared" si="268"/>
        <v>1</v>
      </c>
      <c r="C4651" t="str">
        <f t="shared" si="269"/>
        <v>203</v>
      </c>
      <c r="D4651" t="str">
        <f>"8"</f>
        <v>8</v>
      </c>
      <c r="E4651" t="str">
        <f>"1-203-8"</f>
        <v>1-203-8</v>
      </c>
      <c r="F4651" t="s">
        <v>83</v>
      </c>
      <c r="G4651" t="s">
        <v>84</v>
      </c>
      <c r="H4651" t="s">
        <v>85</v>
      </c>
      <c r="AC4651">
        <v>1</v>
      </c>
      <c r="AD4651">
        <v>0</v>
      </c>
      <c r="AE4651">
        <v>0</v>
      </c>
      <c r="AF4651">
        <v>0</v>
      </c>
      <c r="AG4651">
        <v>1</v>
      </c>
      <c r="AJ4651">
        <v>1</v>
      </c>
      <c r="AK4651">
        <v>0</v>
      </c>
      <c r="AL4651">
        <v>0</v>
      </c>
      <c r="AM4651">
        <v>1</v>
      </c>
      <c r="AN4651">
        <v>0</v>
      </c>
      <c r="AO4651">
        <v>1</v>
      </c>
      <c r="AP4651">
        <v>1</v>
      </c>
      <c r="AQ4651">
        <v>1</v>
      </c>
      <c r="AR4651">
        <v>1</v>
      </c>
      <c r="AS4651">
        <v>0</v>
      </c>
      <c r="AT4651">
        <v>1</v>
      </c>
      <c r="AV4651">
        <v>1</v>
      </c>
      <c r="AW4651">
        <v>1</v>
      </c>
    </row>
    <row r="4652" spans="1:49" x14ac:dyDescent="0.25">
      <c r="A4652" t="str">
        <f>"4648"</f>
        <v>4648</v>
      </c>
      <c r="B4652" t="str">
        <f t="shared" si="268"/>
        <v>1</v>
      </c>
      <c r="C4652" t="str">
        <f t="shared" si="269"/>
        <v>203</v>
      </c>
      <c r="D4652" t="str">
        <f>"1"</f>
        <v>1</v>
      </c>
      <c r="E4652" t="str">
        <f>"1-203-1"</f>
        <v>1-203-1</v>
      </c>
      <c r="F4652" t="s">
        <v>83</v>
      </c>
      <c r="G4652" t="s">
        <v>84</v>
      </c>
      <c r="H4652" t="s">
        <v>85</v>
      </c>
      <c r="AC4652">
        <v>1</v>
      </c>
      <c r="AD4652">
        <v>0</v>
      </c>
      <c r="AE4652">
        <v>0</v>
      </c>
      <c r="AF4652">
        <v>0</v>
      </c>
      <c r="AG4652">
        <v>0</v>
      </c>
      <c r="AJ4652">
        <v>0</v>
      </c>
      <c r="AK4652">
        <v>1</v>
      </c>
      <c r="AL4652">
        <v>0</v>
      </c>
      <c r="AM4652">
        <v>1</v>
      </c>
      <c r="AN4652">
        <v>0</v>
      </c>
      <c r="AO4652">
        <v>0</v>
      </c>
      <c r="AP4652">
        <v>0</v>
      </c>
      <c r="AQ4652">
        <v>0</v>
      </c>
      <c r="AR4652">
        <v>1</v>
      </c>
      <c r="AS4652">
        <v>1</v>
      </c>
      <c r="AT4652">
        <v>0</v>
      </c>
      <c r="AV4652">
        <v>0</v>
      </c>
      <c r="AW4652">
        <v>1</v>
      </c>
    </row>
    <row r="4653" spans="1:49" x14ac:dyDescent="0.25">
      <c r="A4653" t="str">
        <f>"4649"</f>
        <v>4649</v>
      </c>
      <c r="B4653" t="str">
        <f t="shared" si="268"/>
        <v>1</v>
      </c>
      <c r="C4653" t="str">
        <f t="shared" si="269"/>
        <v>203</v>
      </c>
      <c r="D4653" t="str">
        <f>"23"</f>
        <v>23</v>
      </c>
      <c r="E4653" t="str">
        <f>"1-203-23"</f>
        <v>1-203-23</v>
      </c>
      <c r="F4653" t="s">
        <v>83</v>
      </c>
      <c r="G4653" t="s">
        <v>88</v>
      </c>
      <c r="H4653" t="s">
        <v>89</v>
      </c>
      <c r="AC4653">
        <v>1</v>
      </c>
      <c r="AD4653">
        <v>0</v>
      </c>
      <c r="AE4653">
        <v>0</v>
      </c>
      <c r="AF4653">
        <v>0</v>
      </c>
      <c r="AH4653">
        <v>1</v>
      </c>
      <c r="AI4653">
        <v>0</v>
      </c>
      <c r="AJ4653">
        <v>1</v>
      </c>
      <c r="AK4653">
        <v>0</v>
      </c>
      <c r="AL4653">
        <v>1</v>
      </c>
      <c r="AM4653">
        <v>0</v>
      </c>
      <c r="AN4653">
        <v>0</v>
      </c>
      <c r="AO4653">
        <v>1</v>
      </c>
      <c r="AP4653">
        <v>1</v>
      </c>
      <c r="AQ4653">
        <v>1</v>
      </c>
      <c r="AR4653">
        <v>1</v>
      </c>
      <c r="AS4653">
        <v>0</v>
      </c>
      <c r="AT4653">
        <v>1</v>
      </c>
      <c r="AV4653">
        <v>1</v>
      </c>
      <c r="AW4653">
        <v>1</v>
      </c>
    </row>
    <row r="4654" spans="1:49" x14ac:dyDescent="0.25">
      <c r="A4654" t="str">
        <f>"4650"</f>
        <v>4650</v>
      </c>
      <c r="B4654" t="str">
        <f t="shared" si="268"/>
        <v>1</v>
      </c>
      <c r="C4654" t="str">
        <f t="shared" si="269"/>
        <v>203</v>
      </c>
      <c r="D4654" t="str">
        <f>"22"</f>
        <v>22</v>
      </c>
      <c r="E4654" t="str">
        <f>"1-203-22"</f>
        <v>1-203-22</v>
      </c>
      <c r="F4654" t="s">
        <v>83</v>
      </c>
      <c r="G4654" t="s">
        <v>84</v>
      </c>
      <c r="H4654" t="s">
        <v>85</v>
      </c>
      <c r="AC4654">
        <v>1</v>
      </c>
      <c r="AD4654">
        <v>0</v>
      </c>
      <c r="AE4654">
        <v>0</v>
      </c>
      <c r="AF4654">
        <v>0</v>
      </c>
      <c r="AG4654">
        <v>1</v>
      </c>
      <c r="AJ4654">
        <v>1</v>
      </c>
      <c r="AK4654">
        <v>0</v>
      </c>
      <c r="AL4654">
        <v>0</v>
      </c>
      <c r="AM4654">
        <v>0</v>
      </c>
      <c r="AN4654">
        <v>1</v>
      </c>
      <c r="AO4654">
        <v>1</v>
      </c>
      <c r="AP4654">
        <v>1</v>
      </c>
      <c r="AQ4654">
        <v>1</v>
      </c>
      <c r="AR4654">
        <v>1</v>
      </c>
      <c r="AS4654">
        <v>1</v>
      </c>
      <c r="AT4654">
        <v>0</v>
      </c>
      <c r="AV4654">
        <v>1</v>
      </c>
      <c r="AW4654">
        <v>1</v>
      </c>
    </row>
    <row r="4655" spans="1:49" x14ac:dyDescent="0.25">
      <c r="A4655" t="str">
        <f>"4651"</f>
        <v>4651</v>
      </c>
      <c r="B4655" t="str">
        <f t="shared" si="268"/>
        <v>1</v>
      </c>
      <c r="C4655" t="str">
        <f t="shared" si="269"/>
        <v>203</v>
      </c>
      <c r="D4655" t="str">
        <f>"14"</f>
        <v>14</v>
      </c>
      <c r="E4655" t="str">
        <f>"1-203-14"</f>
        <v>1-203-14</v>
      </c>
      <c r="F4655" t="s">
        <v>83</v>
      </c>
      <c r="G4655" t="s">
        <v>84</v>
      </c>
      <c r="H4655" t="s">
        <v>85</v>
      </c>
      <c r="AC4655">
        <v>1</v>
      </c>
      <c r="AD4655">
        <v>0</v>
      </c>
      <c r="AE4655">
        <v>0</v>
      </c>
      <c r="AF4655">
        <v>0</v>
      </c>
      <c r="AG4655">
        <v>1</v>
      </c>
      <c r="AJ4655">
        <v>1</v>
      </c>
      <c r="AK4655">
        <v>0</v>
      </c>
      <c r="AL4655">
        <v>0</v>
      </c>
      <c r="AM4655">
        <v>1</v>
      </c>
      <c r="AN4655">
        <v>0</v>
      </c>
      <c r="AO4655">
        <v>1</v>
      </c>
      <c r="AP4655">
        <v>1</v>
      </c>
      <c r="AQ4655">
        <v>1</v>
      </c>
      <c r="AR4655">
        <v>1</v>
      </c>
      <c r="AS4655">
        <v>0</v>
      </c>
      <c r="AT4655">
        <v>0</v>
      </c>
      <c r="AV4655">
        <v>1</v>
      </c>
      <c r="AW4655">
        <v>1</v>
      </c>
    </row>
    <row r="4656" spans="1:49" x14ac:dyDescent="0.25">
      <c r="A4656" t="str">
        <f>"4652"</f>
        <v>4652</v>
      </c>
      <c r="B4656" t="str">
        <f t="shared" si="268"/>
        <v>1</v>
      </c>
      <c r="C4656" t="str">
        <f t="shared" si="269"/>
        <v>203</v>
      </c>
      <c r="D4656" t="str">
        <f>"9"</f>
        <v>9</v>
      </c>
      <c r="E4656" t="str">
        <f>"1-203-9"</f>
        <v>1-203-9</v>
      </c>
      <c r="F4656" t="s">
        <v>83</v>
      </c>
      <c r="G4656" t="s">
        <v>84</v>
      </c>
      <c r="H4656" t="s">
        <v>85</v>
      </c>
      <c r="AC4656">
        <v>0</v>
      </c>
      <c r="AD4656">
        <v>1</v>
      </c>
      <c r="AE4656">
        <v>0</v>
      </c>
      <c r="AF4656">
        <v>0</v>
      </c>
      <c r="AG4656">
        <v>1</v>
      </c>
      <c r="AJ4656">
        <v>0</v>
      </c>
      <c r="AK4656">
        <v>1</v>
      </c>
      <c r="AL4656">
        <v>0</v>
      </c>
      <c r="AM4656">
        <v>0</v>
      </c>
      <c r="AN4656">
        <v>1</v>
      </c>
      <c r="AO4656">
        <v>1</v>
      </c>
      <c r="AP4656">
        <v>1</v>
      </c>
      <c r="AQ4656">
        <v>1</v>
      </c>
      <c r="AR4656">
        <v>1</v>
      </c>
      <c r="AS4656">
        <v>0</v>
      </c>
      <c r="AT4656">
        <v>1</v>
      </c>
      <c r="AV4656">
        <v>1</v>
      </c>
      <c r="AW4656">
        <v>1</v>
      </c>
    </row>
    <row r="4657" spans="1:49" x14ac:dyDescent="0.25">
      <c r="A4657" t="str">
        <f>"4653"</f>
        <v>4653</v>
      </c>
      <c r="B4657" t="str">
        <f t="shared" si="268"/>
        <v>1</v>
      </c>
      <c r="C4657" t="str">
        <f t="shared" si="269"/>
        <v>203</v>
      </c>
      <c r="D4657" t="str">
        <f>"5"</f>
        <v>5</v>
      </c>
      <c r="E4657" t="str">
        <f>"1-203-5"</f>
        <v>1-203-5</v>
      </c>
      <c r="F4657" t="s">
        <v>83</v>
      </c>
      <c r="G4657" t="s">
        <v>84</v>
      </c>
      <c r="H4657" t="s">
        <v>85</v>
      </c>
      <c r="AC4657">
        <v>0</v>
      </c>
      <c r="AD4657">
        <v>1</v>
      </c>
      <c r="AE4657">
        <v>0</v>
      </c>
      <c r="AF4657">
        <v>0</v>
      </c>
      <c r="AG4657">
        <v>1</v>
      </c>
      <c r="AJ4657">
        <v>0</v>
      </c>
      <c r="AK4657">
        <v>1</v>
      </c>
      <c r="AL4657">
        <v>0</v>
      </c>
      <c r="AM4657">
        <v>1</v>
      </c>
      <c r="AN4657">
        <v>0</v>
      </c>
      <c r="AO4657">
        <v>1</v>
      </c>
      <c r="AP4657">
        <v>1</v>
      </c>
      <c r="AQ4657">
        <v>1</v>
      </c>
      <c r="AR4657">
        <v>1</v>
      </c>
      <c r="AS4657">
        <v>0</v>
      </c>
      <c r="AT4657">
        <v>1</v>
      </c>
      <c r="AV4657">
        <v>1</v>
      </c>
      <c r="AW4657">
        <v>1</v>
      </c>
    </row>
    <row r="4658" spans="1:49" x14ac:dyDescent="0.25">
      <c r="A4658" t="str">
        <f>"4654"</f>
        <v>4654</v>
      </c>
      <c r="B4658" t="str">
        <f t="shared" si="268"/>
        <v>1</v>
      </c>
      <c r="C4658" t="str">
        <f t="shared" si="269"/>
        <v>203</v>
      </c>
      <c r="D4658" t="str">
        <f>"16"</f>
        <v>16</v>
      </c>
      <c r="E4658" t="str">
        <f>"1-203-16"</f>
        <v>1-203-16</v>
      </c>
      <c r="F4658" t="s">
        <v>83</v>
      </c>
      <c r="G4658" t="s">
        <v>84</v>
      </c>
      <c r="H4658" t="s">
        <v>85</v>
      </c>
      <c r="AC4658">
        <v>0</v>
      </c>
      <c r="AD4658">
        <v>1</v>
      </c>
      <c r="AE4658">
        <v>0</v>
      </c>
      <c r="AF4658">
        <v>0</v>
      </c>
      <c r="AG4658">
        <v>1</v>
      </c>
      <c r="AJ4658">
        <v>0</v>
      </c>
      <c r="AK4658">
        <v>1</v>
      </c>
      <c r="AL4658">
        <v>0</v>
      </c>
      <c r="AM4658">
        <v>0</v>
      </c>
      <c r="AN4658">
        <v>1</v>
      </c>
      <c r="AO4658">
        <v>1</v>
      </c>
      <c r="AP4658">
        <v>1</v>
      </c>
      <c r="AQ4658">
        <v>1</v>
      </c>
      <c r="AR4658">
        <v>1</v>
      </c>
      <c r="AS4658">
        <v>0</v>
      </c>
      <c r="AT4658">
        <v>1</v>
      </c>
      <c r="AV4658">
        <v>1</v>
      </c>
      <c r="AW4658">
        <v>1</v>
      </c>
    </row>
    <row r="4659" spans="1:49" x14ac:dyDescent="0.25">
      <c r="A4659" t="str">
        <f>"4655"</f>
        <v>4655</v>
      </c>
      <c r="B4659" t="str">
        <f t="shared" si="268"/>
        <v>1</v>
      </c>
      <c r="C4659" t="str">
        <f t="shared" si="269"/>
        <v>203</v>
      </c>
      <c r="D4659" t="str">
        <f>"10"</f>
        <v>10</v>
      </c>
      <c r="E4659" t="str">
        <f>"1-203-10"</f>
        <v>1-203-10</v>
      </c>
      <c r="F4659" t="s">
        <v>83</v>
      </c>
      <c r="G4659" t="s">
        <v>84</v>
      </c>
      <c r="H4659" t="s">
        <v>85</v>
      </c>
      <c r="AC4659">
        <v>0</v>
      </c>
      <c r="AD4659">
        <v>1</v>
      </c>
      <c r="AE4659">
        <v>0</v>
      </c>
      <c r="AF4659">
        <v>0</v>
      </c>
      <c r="AG4659">
        <v>1</v>
      </c>
      <c r="AJ4659">
        <v>0</v>
      </c>
      <c r="AK4659">
        <v>1</v>
      </c>
      <c r="AL4659">
        <v>0</v>
      </c>
      <c r="AM4659">
        <v>0</v>
      </c>
      <c r="AN4659">
        <v>1</v>
      </c>
      <c r="AO4659">
        <v>1</v>
      </c>
      <c r="AP4659">
        <v>1</v>
      </c>
      <c r="AQ4659">
        <v>1</v>
      </c>
      <c r="AR4659">
        <v>1</v>
      </c>
      <c r="AS4659">
        <v>0</v>
      </c>
      <c r="AT4659">
        <v>1</v>
      </c>
      <c r="AV4659">
        <v>1</v>
      </c>
      <c r="AW4659">
        <v>1</v>
      </c>
    </row>
    <row r="4660" spans="1:49" x14ac:dyDescent="0.25">
      <c r="A4660" t="str">
        <f>"4656"</f>
        <v>4656</v>
      </c>
      <c r="B4660" t="str">
        <f t="shared" si="268"/>
        <v>1</v>
      </c>
      <c r="C4660" t="str">
        <f t="shared" si="269"/>
        <v>203</v>
      </c>
      <c r="D4660" t="str">
        <f>"6"</f>
        <v>6</v>
      </c>
      <c r="E4660" t="str">
        <f>"1-203-6"</f>
        <v>1-203-6</v>
      </c>
      <c r="F4660" t="s">
        <v>83</v>
      </c>
      <c r="G4660" t="s">
        <v>84</v>
      </c>
      <c r="H4660" t="s">
        <v>85</v>
      </c>
      <c r="AC4660">
        <v>0</v>
      </c>
      <c r="AD4660">
        <v>0</v>
      </c>
      <c r="AE4660">
        <v>0</v>
      </c>
      <c r="AF4660">
        <v>0</v>
      </c>
      <c r="AG4660">
        <v>1</v>
      </c>
      <c r="AJ4660">
        <v>1</v>
      </c>
      <c r="AK4660">
        <v>0</v>
      </c>
      <c r="AL4660">
        <v>0</v>
      </c>
      <c r="AM4660">
        <v>0</v>
      </c>
      <c r="AN4660">
        <v>1</v>
      </c>
      <c r="AO4660">
        <v>1</v>
      </c>
      <c r="AP4660">
        <v>1</v>
      </c>
      <c r="AQ4660">
        <v>1</v>
      </c>
      <c r="AR4660">
        <v>1</v>
      </c>
      <c r="AS4660">
        <v>1</v>
      </c>
      <c r="AT4660">
        <v>0</v>
      </c>
      <c r="AV4660">
        <v>1</v>
      </c>
      <c r="AW4660">
        <v>1</v>
      </c>
    </row>
    <row r="4661" spans="1:49" x14ac:dyDescent="0.25">
      <c r="A4661" t="str">
        <f>"4657"</f>
        <v>4657</v>
      </c>
      <c r="B4661" t="str">
        <f t="shared" si="268"/>
        <v>1</v>
      </c>
      <c r="C4661" t="str">
        <f t="shared" si="269"/>
        <v>203</v>
      </c>
      <c r="D4661" t="str">
        <f>"17"</f>
        <v>17</v>
      </c>
      <c r="E4661" t="str">
        <f>"1-203-17"</f>
        <v>1-203-17</v>
      </c>
      <c r="F4661" t="s">
        <v>83</v>
      </c>
      <c r="G4661" t="s">
        <v>84</v>
      </c>
      <c r="H4661" t="s">
        <v>85</v>
      </c>
      <c r="AC4661">
        <v>0</v>
      </c>
      <c r="AD4661">
        <v>1</v>
      </c>
      <c r="AE4661">
        <v>0</v>
      </c>
      <c r="AF4661">
        <v>0</v>
      </c>
      <c r="AG4661">
        <v>1</v>
      </c>
      <c r="AJ4661">
        <v>0</v>
      </c>
      <c r="AK4661">
        <v>1</v>
      </c>
      <c r="AL4661">
        <v>0</v>
      </c>
      <c r="AM4661">
        <v>0</v>
      </c>
      <c r="AN4661">
        <v>1</v>
      </c>
      <c r="AO4661">
        <v>1</v>
      </c>
      <c r="AP4661">
        <v>1</v>
      </c>
      <c r="AQ4661">
        <v>1</v>
      </c>
      <c r="AR4661">
        <v>1</v>
      </c>
      <c r="AS4661">
        <v>0</v>
      </c>
      <c r="AT4661">
        <v>1</v>
      </c>
      <c r="AV4661">
        <v>1</v>
      </c>
      <c r="AW4661">
        <v>1</v>
      </c>
    </row>
    <row r="4662" spans="1:49" x14ac:dyDescent="0.25">
      <c r="A4662" t="str">
        <f>"4658"</f>
        <v>4658</v>
      </c>
      <c r="B4662" t="str">
        <f t="shared" si="268"/>
        <v>1</v>
      </c>
      <c r="C4662" t="str">
        <f t="shared" si="269"/>
        <v>203</v>
      </c>
      <c r="D4662" t="str">
        <f>"11"</f>
        <v>11</v>
      </c>
      <c r="E4662" t="str">
        <f>"1-203-11"</f>
        <v>1-203-11</v>
      </c>
      <c r="F4662" t="s">
        <v>83</v>
      </c>
      <c r="G4662" t="s">
        <v>84</v>
      </c>
      <c r="H4662" t="s">
        <v>85</v>
      </c>
      <c r="AC4662">
        <v>1</v>
      </c>
      <c r="AD4662">
        <v>0</v>
      </c>
      <c r="AE4662">
        <v>0</v>
      </c>
      <c r="AF4662">
        <v>0</v>
      </c>
      <c r="AG4662">
        <v>1</v>
      </c>
      <c r="AJ4662">
        <v>1</v>
      </c>
      <c r="AK4662">
        <v>0</v>
      </c>
      <c r="AL4662">
        <v>0</v>
      </c>
      <c r="AM4662">
        <v>1</v>
      </c>
      <c r="AN4662">
        <v>0</v>
      </c>
      <c r="AO4662">
        <v>1</v>
      </c>
      <c r="AP4662">
        <v>1</v>
      </c>
      <c r="AQ4662">
        <v>1</v>
      </c>
      <c r="AR4662">
        <v>1</v>
      </c>
      <c r="AS4662">
        <v>0</v>
      </c>
      <c r="AT4662">
        <v>1</v>
      </c>
      <c r="AV4662">
        <v>1</v>
      </c>
      <c r="AW4662">
        <v>1</v>
      </c>
    </row>
    <row r="4663" spans="1:49" x14ac:dyDescent="0.25">
      <c r="A4663" t="str">
        <f>"4659"</f>
        <v>4659</v>
      </c>
      <c r="B4663" t="str">
        <f t="shared" si="268"/>
        <v>1</v>
      </c>
      <c r="C4663" t="str">
        <f t="shared" si="269"/>
        <v>203</v>
      </c>
      <c r="D4663" t="str">
        <f>"7"</f>
        <v>7</v>
      </c>
      <c r="E4663" t="str">
        <f>"1-203-7"</f>
        <v>1-203-7</v>
      </c>
      <c r="F4663" t="s">
        <v>83</v>
      </c>
      <c r="G4663" t="s">
        <v>84</v>
      </c>
      <c r="H4663" t="s">
        <v>85</v>
      </c>
      <c r="AC4663">
        <v>1</v>
      </c>
      <c r="AD4663">
        <v>0</v>
      </c>
      <c r="AE4663">
        <v>0</v>
      </c>
      <c r="AF4663">
        <v>0</v>
      </c>
      <c r="AG4663">
        <v>0</v>
      </c>
      <c r="AJ4663">
        <v>1</v>
      </c>
      <c r="AK4663">
        <v>0</v>
      </c>
      <c r="AL4663">
        <v>1</v>
      </c>
      <c r="AM4663">
        <v>0</v>
      </c>
      <c r="AN4663">
        <v>0</v>
      </c>
      <c r="AO4663">
        <v>0</v>
      </c>
      <c r="AP4663">
        <v>0</v>
      </c>
      <c r="AQ4663">
        <v>0</v>
      </c>
      <c r="AR4663">
        <v>0</v>
      </c>
      <c r="AS4663">
        <v>1</v>
      </c>
      <c r="AT4663">
        <v>0</v>
      </c>
      <c r="AV4663">
        <v>1</v>
      </c>
      <c r="AW4663">
        <v>0</v>
      </c>
    </row>
    <row r="4664" spans="1:49" x14ac:dyDescent="0.25">
      <c r="A4664" t="str">
        <f>"4660"</f>
        <v>4660</v>
      </c>
      <c r="B4664" t="str">
        <f t="shared" si="268"/>
        <v>1</v>
      </c>
      <c r="C4664" t="str">
        <f t="shared" si="269"/>
        <v>203</v>
      </c>
      <c r="D4664" t="str">
        <f>"25"</f>
        <v>25</v>
      </c>
      <c r="E4664" t="str">
        <f>"1-203-25"</f>
        <v>1-203-25</v>
      </c>
      <c r="F4664" t="s">
        <v>83</v>
      </c>
      <c r="G4664" t="s">
        <v>84</v>
      </c>
      <c r="H4664" t="s">
        <v>85</v>
      </c>
      <c r="AC4664">
        <v>0</v>
      </c>
      <c r="AD4664">
        <v>1</v>
      </c>
      <c r="AE4664">
        <v>0</v>
      </c>
      <c r="AF4664">
        <v>0</v>
      </c>
      <c r="AG4664">
        <v>1</v>
      </c>
      <c r="AJ4664">
        <v>1</v>
      </c>
      <c r="AK4664">
        <v>0</v>
      </c>
      <c r="AL4664">
        <v>0</v>
      </c>
      <c r="AM4664">
        <v>0</v>
      </c>
      <c r="AN4664">
        <v>1</v>
      </c>
      <c r="AO4664">
        <v>1</v>
      </c>
      <c r="AP4664">
        <v>1</v>
      </c>
      <c r="AQ4664">
        <v>0</v>
      </c>
      <c r="AR4664">
        <v>1</v>
      </c>
      <c r="AS4664">
        <v>0</v>
      </c>
      <c r="AT4664">
        <v>1</v>
      </c>
      <c r="AV4664">
        <v>1</v>
      </c>
      <c r="AW4664">
        <v>1</v>
      </c>
    </row>
    <row r="4665" spans="1:49" x14ac:dyDescent="0.25">
      <c r="A4665" t="str">
        <f>"4661"</f>
        <v>4661</v>
      </c>
      <c r="B4665" t="str">
        <f t="shared" si="268"/>
        <v>1</v>
      </c>
      <c r="C4665" t="str">
        <f t="shared" si="269"/>
        <v>203</v>
      </c>
      <c r="D4665" t="str">
        <f>"24"</f>
        <v>24</v>
      </c>
      <c r="E4665" t="str">
        <f>"1-203-24"</f>
        <v>1-203-24</v>
      </c>
      <c r="F4665" t="s">
        <v>83</v>
      </c>
      <c r="G4665" t="s">
        <v>84</v>
      </c>
      <c r="H4665" t="s">
        <v>85</v>
      </c>
      <c r="AC4665">
        <v>0</v>
      </c>
      <c r="AD4665">
        <v>1</v>
      </c>
      <c r="AE4665">
        <v>0</v>
      </c>
      <c r="AF4665">
        <v>0</v>
      </c>
      <c r="AG4665">
        <v>1</v>
      </c>
      <c r="AJ4665">
        <v>0</v>
      </c>
      <c r="AK4665">
        <v>1</v>
      </c>
      <c r="AL4665">
        <v>0</v>
      </c>
      <c r="AM4665">
        <v>0</v>
      </c>
      <c r="AN4665">
        <v>1</v>
      </c>
      <c r="AO4665">
        <v>1</v>
      </c>
      <c r="AP4665">
        <v>1</v>
      </c>
      <c r="AQ4665">
        <v>1</v>
      </c>
      <c r="AR4665">
        <v>1</v>
      </c>
      <c r="AS4665">
        <v>0</v>
      </c>
      <c r="AT4665">
        <v>1</v>
      </c>
      <c r="AV4665">
        <v>1</v>
      </c>
      <c r="AW4665">
        <v>1</v>
      </c>
    </row>
    <row r="4666" spans="1:49" x14ac:dyDescent="0.25">
      <c r="A4666" t="str">
        <f>"4662"</f>
        <v>4662</v>
      </c>
      <c r="B4666" t="str">
        <f t="shared" si="268"/>
        <v>1</v>
      </c>
      <c r="C4666" t="str">
        <f t="shared" si="269"/>
        <v>203</v>
      </c>
      <c r="D4666" t="str">
        <f>"15"</f>
        <v>15</v>
      </c>
      <c r="E4666" t="str">
        <f>"1-203-15"</f>
        <v>1-203-15</v>
      </c>
      <c r="F4666" t="s">
        <v>83</v>
      </c>
      <c r="G4666" t="s">
        <v>84</v>
      </c>
      <c r="H4666" t="s">
        <v>85</v>
      </c>
      <c r="AC4666">
        <v>1</v>
      </c>
      <c r="AD4666">
        <v>0</v>
      </c>
      <c r="AE4666">
        <v>0</v>
      </c>
      <c r="AF4666">
        <v>0</v>
      </c>
      <c r="AG4666">
        <v>1</v>
      </c>
      <c r="AJ4666">
        <v>0</v>
      </c>
      <c r="AK4666">
        <v>1</v>
      </c>
      <c r="AL4666">
        <v>0</v>
      </c>
      <c r="AM4666">
        <v>0</v>
      </c>
      <c r="AN4666">
        <v>1</v>
      </c>
      <c r="AO4666">
        <v>1</v>
      </c>
      <c r="AP4666">
        <v>1</v>
      </c>
      <c r="AQ4666">
        <v>1</v>
      </c>
      <c r="AR4666">
        <v>1</v>
      </c>
      <c r="AS4666">
        <v>0</v>
      </c>
      <c r="AT4666">
        <v>1</v>
      </c>
      <c r="AV4666">
        <v>1</v>
      </c>
      <c r="AW4666">
        <v>1</v>
      </c>
    </row>
    <row r="4667" spans="1:49" x14ac:dyDescent="0.25">
      <c r="A4667" t="str">
        <f>"4663"</f>
        <v>4663</v>
      </c>
      <c r="B4667" t="str">
        <f t="shared" si="268"/>
        <v>1</v>
      </c>
      <c r="C4667" t="str">
        <f t="shared" si="269"/>
        <v>203</v>
      </c>
      <c r="D4667" t="str">
        <f>"12"</f>
        <v>12</v>
      </c>
      <c r="E4667" t="str">
        <f>"1-203-12"</f>
        <v>1-203-12</v>
      </c>
      <c r="F4667" t="s">
        <v>83</v>
      </c>
      <c r="G4667" t="s">
        <v>84</v>
      </c>
      <c r="H4667" t="s">
        <v>85</v>
      </c>
      <c r="AC4667">
        <v>1</v>
      </c>
      <c r="AD4667">
        <v>0</v>
      </c>
      <c r="AE4667">
        <v>0</v>
      </c>
      <c r="AF4667">
        <v>0</v>
      </c>
      <c r="AG4667">
        <v>1</v>
      </c>
      <c r="AJ4667">
        <v>1</v>
      </c>
      <c r="AK4667">
        <v>0</v>
      </c>
      <c r="AL4667">
        <v>1</v>
      </c>
      <c r="AM4667">
        <v>0</v>
      </c>
      <c r="AN4667">
        <v>0</v>
      </c>
      <c r="AO4667">
        <v>1</v>
      </c>
      <c r="AP4667">
        <v>1</v>
      </c>
      <c r="AQ4667">
        <v>1</v>
      </c>
      <c r="AR4667">
        <v>1</v>
      </c>
      <c r="AS4667">
        <v>1</v>
      </c>
      <c r="AT4667">
        <v>0</v>
      </c>
      <c r="AV4667">
        <v>1</v>
      </c>
      <c r="AW4667">
        <v>1</v>
      </c>
    </row>
    <row r="4668" spans="1:49" x14ac:dyDescent="0.25">
      <c r="A4668" t="str">
        <f>"4664"</f>
        <v>4664</v>
      </c>
      <c r="B4668" t="str">
        <f t="shared" si="268"/>
        <v>1</v>
      </c>
      <c r="C4668" t="str">
        <f t="shared" si="269"/>
        <v>203</v>
      </c>
      <c r="D4668" t="str">
        <f>"2"</f>
        <v>2</v>
      </c>
      <c r="E4668" t="str">
        <f>"1-203-2"</f>
        <v>1-203-2</v>
      </c>
      <c r="F4668" t="s">
        <v>83</v>
      </c>
      <c r="G4668" t="s">
        <v>84</v>
      </c>
      <c r="H4668" t="s">
        <v>85</v>
      </c>
      <c r="AC4668">
        <v>1</v>
      </c>
      <c r="AD4668">
        <v>0</v>
      </c>
      <c r="AE4668">
        <v>0</v>
      </c>
      <c r="AF4668">
        <v>0</v>
      </c>
      <c r="AG4668">
        <v>1</v>
      </c>
      <c r="AJ4668">
        <v>1</v>
      </c>
      <c r="AK4668">
        <v>0</v>
      </c>
      <c r="AL4668">
        <v>0</v>
      </c>
      <c r="AM4668">
        <v>1</v>
      </c>
      <c r="AN4668">
        <v>0</v>
      </c>
      <c r="AO4668">
        <v>1</v>
      </c>
      <c r="AP4668">
        <v>1</v>
      </c>
      <c r="AQ4668">
        <v>1</v>
      </c>
      <c r="AR4668">
        <v>1</v>
      </c>
      <c r="AS4668">
        <v>0</v>
      </c>
      <c r="AT4668">
        <v>1</v>
      </c>
      <c r="AV4668">
        <v>1</v>
      </c>
      <c r="AW4668">
        <v>1</v>
      </c>
    </row>
    <row r="4669" spans="1:49" s="2" customFormat="1" x14ac:dyDescent="0.25">
      <c r="A4669" s="3" t="str">
        <f>"4665"</f>
        <v>4665</v>
      </c>
      <c r="B4669" s="3" t="str">
        <f t="shared" si="268"/>
        <v>1</v>
      </c>
      <c r="C4669" s="3" t="str">
        <f t="shared" si="269"/>
        <v>203</v>
      </c>
      <c r="D4669" s="3" t="str">
        <f>"18"</f>
        <v>18</v>
      </c>
      <c r="E4669" s="3" t="str">
        <f>"1-203-18"</f>
        <v>1-203-18</v>
      </c>
      <c r="F4669" s="3" t="s">
        <v>83</v>
      </c>
      <c r="G4669" s="4" t="s">
        <v>96</v>
      </c>
      <c r="I4669" s="4"/>
    </row>
    <row r="4670" spans="1:49" x14ac:dyDescent="0.25">
      <c r="A4670" t="str">
        <f>"4666"</f>
        <v>4666</v>
      </c>
      <c r="B4670" t="str">
        <f t="shared" si="268"/>
        <v>1</v>
      </c>
      <c r="C4670" t="str">
        <f t="shared" si="269"/>
        <v>203</v>
      </c>
      <c r="D4670" t="str">
        <f>"4"</f>
        <v>4</v>
      </c>
      <c r="E4670" t="str">
        <f>"1-203-4"</f>
        <v>1-203-4</v>
      </c>
      <c r="F4670" t="s">
        <v>83</v>
      </c>
      <c r="G4670" t="s">
        <v>84</v>
      </c>
      <c r="H4670" t="s">
        <v>85</v>
      </c>
      <c r="AC4670">
        <v>0</v>
      </c>
      <c r="AD4670">
        <v>1</v>
      </c>
      <c r="AE4670">
        <v>0</v>
      </c>
      <c r="AF4670">
        <v>0</v>
      </c>
      <c r="AG4670">
        <v>1</v>
      </c>
      <c r="AJ4670">
        <v>0</v>
      </c>
      <c r="AK4670">
        <v>1</v>
      </c>
      <c r="AL4670">
        <v>0</v>
      </c>
      <c r="AM4670">
        <v>1</v>
      </c>
      <c r="AN4670">
        <v>0</v>
      </c>
      <c r="AO4670">
        <v>1</v>
      </c>
      <c r="AP4670">
        <v>1</v>
      </c>
      <c r="AQ4670">
        <v>1</v>
      </c>
      <c r="AR4670">
        <v>1</v>
      </c>
      <c r="AS4670">
        <v>0</v>
      </c>
      <c r="AT4670">
        <v>1</v>
      </c>
      <c r="AV4670">
        <v>1</v>
      </c>
      <c r="AW4670">
        <v>1</v>
      </c>
    </row>
    <row r="4671" spans="1:49" x14ac:dyDescent="0.25">
      <c r="A4671" t="str">
        <f>"4667"</f>
        <v>4667</v>
      </c>
      <c r="B4671" t="str">
        <f t="shared" si="268"/>
        <v>1</v>
      </c>
      <c r="C4671" t="str">
        <f t="shared" si="269"/>
        <v>203</v>
      </c>
      <c r="D4671" t="str">
        <f>"19"</f>
        <v>19</v>
      </c>
      <c r="E4671" t="str">
        <f>"1-203-19"</f>
        <v>1-203-19</v>
      </c>
      <c r="F4671" t="s">
        <v>83</v>
      </c>
      <c r="G4671" t="s">
        <v>84</v>
      </c>
      <c r="H4671" t="s">
        <v>85</v>
      </c>
      <c r="AC4671">
        <v>1</v>
      </c>
      <c r="AD4671">
        <v>0</v>
      </c>
      <c r="AE4671">
        <v>0</v>
      </c>
      <c r="AF4671">
        <v>0</v>
      </c>
      <c r="AG4671">
        <v>0</v>
      </c>
      <c r="AJ4671">
        <v>1</v>
      </c>
      <c r="AK4671">
        <v>0</v>
      </c>
      <c r="AL4671">
        <v>0</v>
      </c>
      <c r="AM4671">
        <v>1</v>
      </c>
      <c r="AN4671">
        <v>0</v>
      </c>
      <c r="AO4671">
        <v>0</v>
      </c>
      <c r="AP4671">
        <v>0</v>
      </c>
      <c r="AQ4671">
        <v>0</v>
      </c>
      <c r="AR4671">
        <v>0</v>
      </c>
      <c r="AS4671">
        <v>0</v>
      </c>
      <c r="AT4671">
        <v>0</v>
      </c>
      <c r="AV4671">
        <v>0</v>
      </c>
      <c r="AW4671">
        <v>0</v>
      </c>
    </row>
    <row r="4672" spans="1:49" x14ac:dyDescent="0.25">
      <c r="A4672" t="str">
        <f>"4668"</f>
        <v>4668</v>
      </c>
      <c r="B4672" t="str">
        <f t="shared" si="268"/>
        <v>1</v>
      </c>
      <c r="C4672" t="str">
        <f t="shared" si="269"/>
        <v>203</v>
      </c>
      <c r="D4672" t="str">
        <f>"3"</f>
        <v>3</v>
      </c>
      <c r="E4672" t="str">
        <f>"1-203-3"</f>
        <v>1-203-3</v>
      </c>
      <c r="F4672" t="s">
        <v>83</v>
      </c>
      <c r="G4672" t="s">
        <v>84</v>
      </c>
      <c r="H4672" t="s">
        <v>85</v>
      </c>
      <c r="AC4672">
        <v>0</v>
      </c>
      <c r="AD4672">
        <v>1</v>
      </c>
      <c r="AE4672">
        <v>0</v>
      </c>
      <c r="AF4672">
        <v>0</v>
      </c>
      <c r="AG4672">
        <v>0</v>
      </c>
      <c r="AJ4672">
        <v>0</v>
      </c>
      <c r="AK4672">
        <v>1</v>
      </c>
      <c r="AL4672">
        <v>0</v>
      </c>
      <c r="AM4672">
        <v>0</v>
      </c>
      <c r="AN4672">
        <v>1</v>
      </c>
      <c r="AO4672">
        <v>0</v>
      </c>
      <c r="AP4672">
        <v>0</v>
      </c>
      <c r="AQ4672">
        <v>0</v>
      </c>
      <c r="AR4672">
        <v>0</v>
      </c>
      <c r="AS4672">
        <v>1</v>
      </c>
      <c r="AT4672">
        <v>0</v>
      </c>
      <c r="AV4672">
        <v>0</v>
      </c>
      <c r="AW4672">
        <v>0</v>
      </c>
    </row>
    <row r="4673" spans="1:28" x14ac:dyDescent="0.25">
      <c r="A4673" t="str">
        <f>"4669"</f>
        <v>4669</v>
      </c>
      <c r="B4673" t="str">
        <f t="shared" si="268"/>
        <v>1</v>
      </c>
      <c r="C4673" t="str">
        <f t="shared" ref="C4673:C4695" si="270">"204"</f>
        <v>204</v>
      </c>
      <c r="D4673" t="str">
        <f>"19"</f>
        <v>19</v>
      </c>
      <c r="E4673" t="str">
        <f>"1-204-19"</f>
        <v>1-204-19</v>
      </c>
      <c r="F4673" t="s">
        <v>83</v>
      </c>
      <c r="G4673" t="s">
        <v>84</v>
      </c>
      <c r="H4673" t="s">
        <v>92</v>
      </c>
      <c r="I4673">
        <v>1</v>
      </c>
      <c r="J4673">
        <v>1</v>
      </c>
      <c r="N4673">
        <v>1</v>
      </c>
      <c r="O4673">
        <v>0</v>
      </c>
      <c r="P4673">
        <v>0</v>
      </c>
      <c r="Q4673">
        <v>0</v>
      </c>
      <c r="R4673">
        <v>1</v>
      </c>
      <c r="S4673">
        <v>1</v>
      </c>
      <c r="T4673">
        <v>1</v>
      </c>
      <c r="W4673">
        <v>1</v>
      </c>
      <c r="X4673">
        <v>1</v>
      </c>
      <c r="Y4673">
        <v>1</v>
      </c>
      <c r="Z4673">
        <v>1</v>
      </c>
      <c r="AA4673">
        <v>1</v>
      </c>
      <c r="AB4673">
        <v>1</v>
      </c>
    </row>
    <row r="4674" spans="1:28" x14ac:dyDescent="0.25">
      <c r="A4674" t="str">
        <f>"4670"</f>
        <v>4670</v>
      </c>
      <c r="B4674" t="str">
        <f t="shared" si="268"/>
        <v>1</v>
      </c>
      <c r="C4674" t="str">
        <f t="shared" si="270"/>
        <v>204</v>
      </c>
      <c r="D4674" t="str">
        <f>"18"</f>
        <v>18</v>
      </c>
      <c r="E4674" t="str">
        <f>"1-204-18"</f>
        <v>1-204-18</v>
      </c>
      <c r="F4674" t="s">
        <v>83</v>
      </c>
      <c r="G4674" t="s">
        <v>84</v>
      </c>
      <c r="H4674" t="s">
        <v>92</v>
      </c>
      <c r="I4674">
        <v>1</v>
      </c>
      <c r="J4674">
        <v>1</v>
      </c>
      <c r="N4674">
        <v>1</v>
      </c>
      <c r="O4674">
        <v>0</v>
      </c>
      <c r="P4674">
        <v>0</v>
      </c>
      <c r="Q4674">
        <v>0</v>
      </c>
      <c r="R4674">
        <v>0</v>
      </c>
      <c r="S4674">
        <v>0</v>
      </c>
      <c r="T4674">
        <v>0</v>
      </c>
      <c r="W4674">
        <v>1</v>
      </c>
      <c r="X4674">
        <v>0</v>
      </c>
      <c r="Y4674">
        <v>0</v>
      </c>
      <c r="Z4674">
        <v>0</v>
      </c>
      <c r="AA4674">
        <v>0</v>
      </c>
      <c r="AB4674">
        <v>0</v>
      </c>
    </row>
    <row r="4675" spans="1:28" x14ac:dyDescent="0.25">
      <c r="A4675" t="str">
        <f>"4671"</f>
        <v>4671</v>
      </c>
      <c r="B4675" t="str">
        <f t="shared" si="268"/>
        <v>1</v>
      </c>
      <c r="C4675" t="str">
        <f t="shared" si="270"/>
        <v>204</v>
      </c>
      <c r="D4675" t="str">
        <f>"13"</f>
        <v>13</v>
      </c>
      <c r="E4675" t="str">
        <f>"1-204-13"</f>
        <v>1-204-13</v>
      </c>
      <c r="F4675" t="s">
        <v>83</v>
      </c>
      <c r="G4675" t="s">
        <v>84</v>
      </c>
      <c r="H4675" t="s">
        <v>92</v>
      </c>
      <c r="I4675">
        <v>1</v>
      </c>
      <c r="J4675">
        <v>1</v>
      </c>
      <c r="N4675">
        <v>1</v>
      </c>
      <c r="O4675">
        <v>1</v>
      </c>
      <c r="P4675">
        <v>1</v>
      </c>
      <c r="Q4675">
        <v>1</v>
      </c>
      <c r="R4675">
        <v>1</v>
      </c>
      <c r="S4675">
        <v>1</v>
      </c>
      <c r="T4675">
        <v>1</v>
      </c>
      <c r="W4675">
        <v>1</v>
      </c>
      <c r="X4675">
        <v>1</v>
      </c>
      <c r="Y4675">
        <v>1</v>
      </c>
      <c r="Z4675">
        <v>1</v>
      </c>
      <c r="AA4675">
        <v>1</v>
      </c>
      <c r="AB4675">
        <v>1</v>
      </c>
    </row>
    <row r="4676" spans="1:28" x14ac:dyDescent="0.25">
      <c r="A4676" t="str">
        <f>"4672"</f>
        <v>4672</v>
      </c>
      <c r="B4676" t="str">
        <f t="shared" si="268"/>
        <v>1</v>
      </c>
      <c r="C4676" t="str">
        <f t="shared" si="270"/>
        <v>204</v>
      </c>
      <c r="D4676" t="str">
        <f>"8"</f>
        <v>8</v>
      </c>
      <c r="E4676" t="str">
        <f>"1-204-8"</f>
        <v>1-204-8</v>
      </c>
      <c r="F4676" t="s">
        <v>83</v>
      </c>
      <c r="G4676" t="s">
        <v>84</v>
      </c>
      <c r="H4676" t="s">
        <v>92</v>
      </c>
      <c r="I4676">
        <v>1</v>
      </c>
      <c r="J4676">
        <v>1</v>
      </c>
      <c r="N4676">
        <v>1</v>
      </c>
      <c r="O4676">
        <v>1</v>
      </c>
      <c r="P4676">
        <v>1</v>
      </c>
      <c r="Q4676">
        <v>1</v>
      </c>
      <c r="R4676">
        <v>1</v>
      </c>
      <c r="S4676">
        <v>1</v>
      </c>
      <c r="T4676">
        <v>1</v>
      </c>
      <c r="W4676">
        <v>1</v>
      </c>
      <c r="X4676">
        <v>1</v>
      </c>
      <c r="Y4676">
        <v>1</v>
      </c>
      <c r="Z4676">
        <v>1</v>
      </c>
      <c r="AA4676">
        <v>1</v>
      </c>
      <c r="AB4676">
        <v>1</v>
      </c>
    </row>
    <row r="4677" spans="1:28" x14ac:dyDescent="0.25">
      <c r="A4677" t="str">
        <f>"4673"</f>
        <v>4673</v>
      </c>
      <c r="B4677" t="str">
        <f t="shared" si="268"/>
        <v>1</v>
      </c>
      <c r="C4677" t="str">
        <f t="shared" si="270"/>
        <v>204</v>
      </c>
      <c r="D4677" t="str">
        <f>"1"</f>
        <v>1</v>
      </c>
      <c r="E4677" t="str">
        <f>"1-204-1"</f>
        <v>1-204-1</v>
      </c>
      <c r="F4677" t="s">
        <v>83</v>
      </c>
      <c r="G4677" t="s">
        <v>84</v>
      </c>
      <c r="H4677" t="s">
        <v>92</v>
      </c>
      <c r="I4677">
        <v>1</v>
      </c>
      <c r="J4677">
        <v>1</v>
      </c>
      <c r="N4677">
        <v>1</v>
      </c>
      <c r="O4677">
        <v>1</v>
      </c>
      <c r="P4677">
        <v>1</v>
      </c>
      <c r="Q4677">
        <v>1</v>
      </c>
      <c r="R4677">
        <v>1</v>
      </c>
      <c r="S4677">
        <v>1</v>
      </c>
      <c r="T4677">
        <v>1</v>
      </c>
      <c r="W4677">
        <v>1</v>
      </c>
      <c r="X4677">
        <v>1</v>
      </c>
      <c r="Y4677">
        <v>1</v>
      </c>
      <c r="Z4677">
        <v>1</v>
      </c>
      <c r="AA4677">
        <v>1</v>
      </c>
      <c r="AB4677">
        <v>1</v>
      </c>
    </row>
    <row r="4678" spans="1:28" x14ac:dyDescent="0.25">
      <c r="A4678" t="str">
        <f>"4674"</f>
        <v>4674</v>
      </c>
      <c r="B4678" t="str">
        <f t="shared" si="268"/>
        <v>1</v>
      </c>
      <c r="C4678" t="str">
        <f t="shared" si="270"/>
        <v>204</v>
      </c>
      <c r="D4678" t="str">
        <f>"16"</f>
        <v>16</v>
      </c>
      <c r="E4678" t="str">
        <f>"1-204-16"</f>
        <v>1-204-16</v>
      </c>
      <c r="F4678" t="s">
        <v>83</v>
      </c>
      <c r="G4678" t="s">
        <v>84</v>
      </c>
      <c r="H4678" t="s">
        <v>92</v>
      </c>
      <c r="I4678">
        <v>1</v>
      </c>
      <c r="J4678">
        <v>1</v>
      </c>
      <c r="N4678">
        <v>1</v>
      </c>
      <c r="O4678">
        <v>1</v>
      </c>
      <c r="P4678">
        <v>1</v>
      </c>
      <c r="Q4678">
        <v>1</v>
      </c>
      <c r="R4678">
        <v>1</v>
      </c>
      <c r="S4678">
        <v>1</v>
      </c>
      <c r="T4678">
        <v>1</v>
      </c>
      <c r="W4678">
        <v>1</v>
      </c>
      <c r="X4678">
        <v>1</v>
      </c>
      <c r="Y4678">
        <v>1</v>
      </c>
      <c r="Z4678">
        <v>1</v>
      </c>
      <c r="AA4678">
        <v>1</v>
      </c>
      <c r="AB4678">
        <v>1</v>
      </c>
    </row>
    <row r="4679" spans="1:28" x14ac:dyDescent="0.25">
      <c r="A4679" t="str">
        <f>"4675"</f>
        <v>4675</v>
      </c>
      <c r="B4679" t="str">
        <f t="shared" si="268"/>
        <v>1</v>
      </c>
      <c r="C4679" t="str">
        <f t="shared" si="270"/>
        <v>204</v>
      </c>
      <c r="D4679" t="str">
        <f>"9"</f>
        <v>9</v>
      </c>
      <c r="E4679" t="str">
        <f>"1-204-9"</f>
        <v>1-204-9</v>
      </c>
      <c r="F4679" t="s">
        <v>83</v>
      </c>
      <c r="G4679" t="s">
        <v>84</v>
      </c>
      <c r="H4679" t="s">
        <v>92</v>
      </c>
      <c r="I4679">
        <v>1</v>
      </c>
      <c r="J4679">
        <v>1</v>
      </c>
      <c r="N4679">
        <v>1</v>
      </c>
      <c r="O4679">
        <v>1</v>
      </c>
      <c r="P4679">
        <v>1</v>
      </c>
      <c r="Q4679">
        <v>1</v>
      </c>
      <c r="R4679">
        <v>1</v>
      </c>
      <c r="S4679">
        <v>1</v>
      </c>
      <c r="T4679">
        <v>1</v>
      </c>
      <c r="W4679">
        <v>0</v>
      </c>
      <c r="X4679">
        <v>1</v>
      </c>
      <c r="Y4679">
        <v>1</v>
      </c>
      <c r="Z4679">
        <v>1</v>
      </c>
      <c r="AA4679">
        <v>1</v>
      </c>
      <c r="AB4679">
        <v>1</v>
      </c>
    </row>
    <row r="4680" spans="1:28" x14ac:dyDescent="0.25">
      <c r="A4680" t="str">
        <f>"4676"</f>
        <v>4676</v>
      </c>
      <c r="B4680" t="str">
        <f t="shared" si="268"/>
        <v>1</v>
      </c>
      <c r="C4680" t="str">
        <f t="shared" si="270"/>
        <v>204</v>
      </c>
      <c r="D4680" t="str">
        <f>"5"</f>
        <v>5</v>
      </c>
      <c r="E4680" t="str">
        <f>"1-204-5"</f>
        <v>1-204-5</v>
      </c>
      <c r="F4680" t="s">
        <v>83</v>
      </c>
      <c r="G4680" t="s">
        <v>84</v>
      </c>
      <c r="H4680" t="s">
        <v>92</v>
      </c>
      <c r="I4680">
        <v>1</v>
      </c>
      <c r="J4680">
        <v>1</v>
      </c>
      <c r="N4680">
        <v>1</v>
      </c>
      <c r="O4680">
        <v>1</v>
      </c>
      <c r="P4680">
        <v>1</v>
      </c>
      <c r="Q4680">
        <v>1</v>
      </c>
      <c r="R4680">
        <v>1</v>
      </c>
      <c r="S4680">
        <v>1</v>
      </c>
      <c r="T4680">
        <v>1</v>
      </c>
      <c r="W4680">
        <v>1</v>
      </c>
      <c r="X4680">
        <v>1</v>
      </c>
      <c r="Y4680">
        <v>1</v>
      </c>
      <c r="Z4680">
        <v>1</v>
      </c>
      <c r="AA4680">
        <v>0</v>
      </c>
      <c r="AB4680">
        <v>1</v>
      </c>
    </row>
    <row r="4681" spans="1:28" x14ac:dyDescent="0.25">
      <c r="A4681" t="str">
        <f>"4677"</f>
        <v>4677</v>
      </c>
      <c r="B4681" t="str">
        <f t="shared" si="268"/>
        <v>1</v>
      </c>
      <c r="C4681" t="str">
        <f t="shared" si="270"/>
        <v>204</v>
      </c>
      <c r="D4681" t="str">
        <f>"17"</f>
        <v>17</v>
      </c>
      <c r="E4681" t="str">
        <f>"1-204-17"</f>
        <v>1-204-17</v>
      </c>
      <c r="F4681" t="s">
        <v>83</v>
      </c>
      <c r="G4681" t="s">
        <v>84</v>
      </c>
      <c r="H4681" t="s">
        <v>92</v>
      </c>
      <c r="I4681">
        <v>1</v>
      </c>
      <c r="J4681">
        <v>1</v>
      </c>
      <c r="N4681">
        <v>1</v>
      </c>
      <c r="O4681">
        <v>1</v>
      </c>
      <c r="P4681">
        <v>1</v>
      </c>
      <c r="Q4681">
        <v>1</v>
      </c>
      <c r="R4681">
        <v>1</v>
      </c>
      <c r="S4681">
        <v>1</v>
      </c>
      <c r="T4681">
        <v>1</v>
      </c>
      <c r="W4681">
        <v>1</v>
      </c>
      <c r="X4681">
        <v>1</v>
      </c>
      <c r="Y4681">
        <v>1</v>
      </c>
      <c r="Z4681">
        <v>1</v>
      </c>
      <c r="AA4681">
        <v>1</v>
      </c>
      <c r="AB4681">
        <v>1</v>
      </c>
    </row>
    <row r="4682" spans="1:28" x14ac:dyDescent="0.25">
      <c r="A4682" t="str">
        <f>"4678"</f>
        <v>4678</v>
      </c>
      <c r="B4682" t="str">
        <f t="shared" si="268"/>
        <v>1</v>
      </c>
      <c r="C4682" t="str">
        <f t="shared" si="270"/>
        <v>204</v>
      </c>
      <c r="D4682" t="str">
        <f>"10"</f>
        <v>10</v>
      </c>
      <c r="E4682" t="str">
        <f>"1-204-10"</f>
        <v>1-204-10</v>
      </c>
      <c r="F4682" t="s">
        <v>83</v>
      </c>
      <c r="G4682" t="s">
        <v>84</v>
      </c>
      <c r="H4682" t="s">
        <v>92</v>
      </c>
      <c r="I4682">
        <v>1</v>
      </c>
      <c r="J4682">
        <v>1</v>
      </c>
      <c r="N4682">
        <v>1</v>
      </c>
      <c r="O4682">
        <v>1</v>
      </c>
      <c r="P4682">
        <v>1</v>
      </c>
      <c r="Q4682">
        <v>1</v>
      </c>
      <c r="R4682">
        <v>1</v>
      </c>
      <c r="S4682">
        <v>1</v>
      </c>
      <c r="T4682">
        <v>1</v>
      </c>
      <c r="W4682">
        <v>1</v>
      </c>
      <c r="X4682">
        <v>1</v>
      </c>
      <c r="Y4682">
        <v>1</v>
      </c>
      <c r="Z4682">
        <v>1</v>
      </c>
      <c r="AA4682">
        <v>1</v>
      </c>
      <c r="AB4682">
        <v>1</v>
      </c>
    </row>
    <row r="4683" spans="1:28" x14ac:dyDescent="0.25">
      <c r="A4683" t="str">
        <f>"4679"</f>
        <v>4679</v>
      </c>
      <c r="B4683" t="str">
        <f t="shared" si="268"/>
        <v>1</v>
      </c>
      <c r="C4683" t="str">
        <f t="shared" si="270"/>
        <v>204</v>
      </c>
      <c r="D4683" t="str">
        <f>"2"</f>
        <v>2</v>
      </c>
      <c r="E4683" t="str">
        <f>"1-204-2"</f>
        <v>1-204-2</v>
      </c>
      <c r="F4683" t="s">
        <v>83</v>
      </c>
      <c r="G4683" t="s">
        <v>84</v>
      </c>
      <c r="H4683" t="s">
        <v>92</v>
      </c>
      <c r="I4683">
        <v>1</v>
      </c>
      <c r="J4683">
        <v>0</v>
      </c>
      <c r="N4683">
        <v>1</v>
      </c>
      <c r="O4683">
        <v>0</v>
      </c>
      <c r="P4683">
        <v>0</v>
      </c>
      <c r="Q4683">
        <v>0</v>
      </c>
      <c r="R4683">
        <v>1</v>
      </c>
      <c r="S4683">
        <v>0</v>
      </c>
      <c r="T4683">
        <v>0</v>
      </c>
      <c r="W4683">
        <v>0</v>
      </c>
      <c r="X4683">
        <v>1</v>
      </c>
      <c r="Y4683">
        <v>0</v>
      </c>
      <c r="Z4683">
        <v>0</v>
      </c>
      <c r="AA4683">
        <v>1</v>
      </c>
      <c r="AB4683">
        <v>0</v>
      </c>
    </row>
    <row r="4684" spans="1:28" x14ac:dyDescent="0.25">
      <c r="A4684" t="str">
        <f>"4680"</f>
        <v>4680</v>
      </c>
      <c r="B4684" t="str">
        <f t="shared" si="268"/>
        <v>1</v>
      </c>
      <c r="C4684" t="str">
        <f t="shared" si="270"/>
        <v>204</v>
      </c>
      <c r="D4684" t="str">
        <f>"15"</f>
        <v>15</v>
      </c>
      <c r="E4684" t="str">
        <f>"1-204-15"</f>
        <v>1-204-15</v>
      </c>
      <c r="F4684" t="s">
        <v>83</v>
      </c>
      <c r="G4684" t="s">
        <v>84</v>
      </c>
      <c r="H4684" t="s">
        <v>92</v>
      </c>
      <c r="I4684">
        <v>1</v>
      </c>
      <c r="J4684">
        <v>1</v>
      </c>
      <c r="N4684">
        <v>1</v>
      </c>
      <c r="O4684">
        <v>1</v>
      </c>
      <c r="P4684">
        <v>1</v>
      </c>
      <c r="Q4684">
        <v>1</v>
      </c>
      <c r="R4684">
        <v>1</v>
      </c>
      <c r="S4684">
        <v>1</v>
      </c>
      <c r="T4684">
        <v>1</v>
      </c>
      <c r="W4684">
        <v>1</v>
      </c>
      <c r="X4684">
        <v>1</v>
      </c>
      <c r="Y4684">
        <v>1</v>
      </c>
      <c r="Z4684">
        <v>1</v>
      </c>
      <c r="AA4684">
        <v>1</v>
      </c>
      <c r="AB4684">
        <v>1</v>
      </c>
    </row>
    <row r="4685" spans="1:28" x14ac:dyDescent="0.25">
      <c r="A4685" t="str">
        <f>"4681"</f>
        <v>4681</v>
      </c>
      <c r="B4685" t="str">
        <f t="shared" si="268"/>
        <v>1</v>
      </c>
      <c r="C4685" t="str">
        <f t="shared" si="270"/>
        <v>204</v>
      </c>
      <c r="D4685" t="str">
        <f>"11"</f>
        <v>11</v>
      </c>
      <c r="E4685" t="str">
        <f>"1-204-11"</f>
        <v>1-204-11</v>
      </c>
      <c r="F4685" t="s">
        <v>83</v>
      </c>
      <c r="G4685" t="s">
        <v>84</v>
      </c>
      <c r="H4685" t="s">
        <v>92</v>
      </c>
      <c r="I4685">
        <v>1</v>
      </c>
      <c r="J4685">
        <v>1</v>
      </c>
      <c r="N4685">
        <v>1</v>
      </c>
      <c r="O4685">
        <v>1</v>
      </c>
      <c r="P4685">
        <v>1</v>
      </c>
      <c r="Q4685">
        <v>1</v>
      </c>
      <c r="R4685">
        <v>1</v>
      </c>
      <c r="S4685">
        <v>1</v>
      </c>
      <c r="T4685">
        <v>1</v>
      </c>
      <c r="W4685">
        <v>1</v>
      </c>
      <c r="X4685">
        <v>1</v>
      </c>
      <c r="Y4685">
        <v>1</v>
      </c>
      <c r="Z4685">
        <v>1</v>
      </c>
      <c r="AA4685">
        <v>1</v>
      </c>
      <c r="AB4685">
        <v>1</v>
      </c>
    </row>
    <row r="4686" spans="1:28" x14ac:dyDescent="0.25">
      <c r="A4686" t="str">
        <f>"4682"</f>
        <v>4682</v>
      </c>
      <c r="B4686" t="str">
        <f t="shared" si="268"/>
        <v>1</v>
      </c>
      <c r="C4686" t="str">
        <f t="shared" si="270"/>
        <v>204</v>
      </c>
      <c r="D4686" t="str">
        <f>"6"</f>
        <v>6</v>
      </c>
      <c r="E4686" t="str">
        <f>"1-204-6"</f>
        <v>1-204-6</v>
      </c>
      <c r="F4686" t="s">
        <v>83</v>
      </c>
      <c r="G4686" t="s">
        <v>84</v>
      </c>
      <c r="H4686" t="s">
        <v>92</v>
      </c>
      <c r="I4686">
        <v>1</v>
      </c>
      <c r="J4686">
        <v>1</v>
      </c>
      <c r="N4686">
        <v>1</v>
      </c>
      <c r="O4686">
        <v>1</v>
      </c>
      <c r="P4686">
        <v>1</v>
      </c>
      <c r="Q4686">
        <v>1</v>
      </c>
      <c r="R4686">
        <v>1</v>
      </c>
      <c r="S4686">
        <v>1</v>
      </c>
      <c r="T4686">
        <v>1</v>
      </c>
      <c r="W4686">
        <v>1</v>
      </c>
      <c r="X4686">
        <v>1</v>
      </c>
      <c r="Y4686">
        <v>1</v>
      </c>
      <c r="Z4686">
        <v>1</v>
      </c>
      <c r="AA4686">
        <v>1</v>
      </c>
      <c r="AB4686">
        <v>1</v>
      </c>
    </row>
    <row r="4687" spans="1:28" x14ac:dyDescent="0.25">
      <c r="A4687" t="str">
        <f>"4683"</f>
        <v>4683</v>
      </c>
      <c r="B4687" t="str">
        <f t="shared" si="268"/>
        <v>1</v>
      </c>
      <c r="C4687" t="str">
        <f t="shared" si="270"/>
        <v>204</v>
      </c>
      <c r="D4687" t="str">
        <f>"23"</f>
        <v>23</v>
      </c>
      <c r="E4687" t="str">
        <f>"1-204-23"</f>
        <v>1-204-23</v>
      </c>
      <c r="F4687" t="s">
        <v>83</v>
      </c>
      <c r="G4687" t="s">
        <v>86</v>
      </c>
      <c r="H4687" t="s">
        <v>93</v>
      </c>
      <c r="I4687">
        <v>1</v>
      </c>
      <c r="K4687">
        <v>0</v>
      </c>
      <c r="L4687">
        <v>1</v>
      </c>
      <c r="M4687">
        <v>0</v>
      </c>
      <c r="N4687">
        <v>1</v>
      </c>
      <c r="O4687">
        <v>1</v>
      </c>
      <c r="P4687">
        <v>1</v>
      </c>
      <c r="Q4687">
        <v>1</v>
      </c>
      <c r="R4687">
        <v>1</v>
      </c>
      <c r="U4687">
        <v>1</v>
      </c>
      <c r="V4687">
        <v>0</v>
      </c>
      <c r="W4687">
        <v>1</v>
      </c>
      <c r="X4687">
        <v>1</v>
      </c>
      <c r="Y4687">
        <v>1</v>
      </c>
      <c r="Z4687">
        <v>1</v>
      </c>
      <c r="AA4687">
        <v>1</v>
      </c>
      <c r="AB4687">
        <v>1</v>
      </c>
    </row>
    <row r="4688" spans="1:28" x14ac:dyDescent="0.25">
      <c r="A4688" t="str">
        <f>"4684"</f>
        <v>4684</v>
      </c>
      <c r="B4688" t="str">
        <f t="shared" si="268"/>
        <v>1</v>
      </c>
      <c r="C4688" t="str">
        <f t="shared" si="270"/>
        <v>204</v>
      </c>
      <c r="D4688" t="str">
        <f>"22"</f>
        <v>22</v>
      </c>
      <c r="E4688" t="str">
        <f>"1-204-22"</f>
        <v>1-204-22</v>
      </c>
      <c r="F4688" t="s">
        <v>83</v>
      </c>
      <c r="G4688" t="s">
        <v>84</v>
      </c>
      <c r="H4688" t="s">
        <v>92</v>
      </c>
      <c r="I4688">
        <v>1</v>
      </c>
      <c r="J4688">
        <v>1</v>
      </c>
      <c r="N4688">
        <v>1</v>
      </c>
      <c r="O4688">
        <v>1</v>
      </c>
      <c r="P4688">
        <v>1</v>
      </c>
      <c r="Q4688">
        <v>1</v>
      </c>
      <c r="R4688">
        <v>1</v>
      </c>
      <c r="S4688">
        <v>1</v>
      </c>
      <c r="T4688">
        <v>1</v>
      </c>
      <c r="W4688">
        <v>1</v>
      </c>
      <c r="X4688">
        <v>1</v>
      </c>
      <c r="Y4688">
        <v>1</v>
      </c>
      <c r="Z4688">
        <v>1</v>
      </c>
      <c r="AA4688">
        <v>1</v>
      </c>
      <c r="AB4688">
        <v>1</v>
      </c>
    </row>
    <row r="4689" spans="1:28" x14ac:dyDescent="0.25">
      <c r="A4689" t="str">
        <f>"4685"</f>
        <v>4685</v>
      </c>
      <c r="B4689" t="str">
        <f t="shared" si="268"/>
        <v>1</v>
      </c>
      <c r="C4689" t="str">
        <f t="shared" si="270"/>
        <v>204</v>
      </c>
      <c r="D4689" t="str">
        <f>"14"</f>
        <v>14</v>
      </c>
      <c r="E4689" t="str">
        <f>"1-204-14"</f>
        <v>1-204-14</v>
      </c>
      <c r="F4689" t="s">
        <v>83</v>
      </c>
      <c r="G4689" t="s">
        <v>84</v>
      </c>
      <c r="H4689" t="s">
        <v>92</v>
      </c>
      <c r="I4689">
        <v>1</v>
      </c>
      <c r="J4689">
        <v>1</v>
      </c>
      <c r="N4689">
        <v>1</v>
      </c>
      <c r="O4689">
        <v>1</v>
      </c>
      <c r="P4689">
        <v>1</v>
      </c>
      <c r="Q4689">
        <v>1</v>
      </c>
      <c r="R4689">
        <v>1</v>
      </c>
      <c r="S4689">
        <v>1</v>
      </c>
      <c r="T4689">
        <v>1</v>
      </c>
      <c r="W4689">
        <v>1</v>
      </c>
      <c r="X4689">
        <v>1</v>
      </c>
      <c r="Y4689">
        <v>1</v>
      </c>
      <c r="Z4689">
        <v>1</v>
      </c>
      <c r="AA4689">
        <v>1</v>
      </c>
      <c r="AB4689">
        <v>1</v>
      </c>
    </row>
    <row r="4690" spans="1:28" x14ac:dyDescent="0.25">
      <c r="A4690" t="str">
        <f>"4686"</f>
        <v>4686</v>
      </c>
      <c r="B4690" t="str">
        <f t="shared" si="268"/>
        <v>1</v>
      </c>
      <c r="C4690" t="str">
        <f t="shared" si="270"/>
        <v>204</v>
      </c>
      <c r="D4690" t="str">
        <f>"12"</f>
        <v>12</v>
      </c>
      <c r="E4690" t="str">
        <f>"1-204-12"</f>
        <v>1-204-12</v>
      </c>
      <c r="F4690" t="s">
        <v>83</v>
      </c>
      <c r="G4690" t="s">
        <v>84</v>
      </c>
      <c r="H4690" t="s">
        <v>92</v>
      </c>
      <c r="I4690">
        <v>1</v>
      </c>
      <c r="J4690">
        <v>1</v>
      </c>
      <c r="N4690">
        <v>1</v>
      </c>
      <c r="O4690">
        <v>1</v>
      </c>
      <c r="P4690">
        <v>1</v>
      </c>
      <c r="Q4690">
        <v>1</v>
      </c>
      <c r="R4690">
        <v>1</v>
      </c>
      <c r="S4690">
        <v>1</v>
      </c>
      <c r="T4690">
        <v>1</v>
      </c>
      <c r="W4690">
        <v>0</v>
      </c>
      <c r="X4690">
        <v>1</v>
      </c>
      <c r="Y4690">
        <v>1</v>
      </c>
      <c r="Z4690">
        <v>1</v>
      </c>
      <c r="AA4690">
        <v>1</v>
      </c>
      <c r="AB4690">
        <v>1</v>
      </c>
    </row>
    <row r="4691" spans="1:28" x14ac:dyDescent="0.25">
      <c r="A4691" t="str">
        <f>"4687"</f>
        <v>4687</v>
      </c>
      <c r="B4691" t="str">
        <f t="shared" si="268"/>
        <v>1</v>
      </c>
      <c r="C4691" t="str">
        <f t="shared" si="270"/>
        <v>204</v>
      </c>
      <c r="D4691" t="str">
        <f>"4"</f>
        <v>4</v>
      </c>
      <c r="E4691" t="str">
        <f>"1-204-4"</f>
        <v>1-204-4</v>
      </c>
      <c r="F4691" t="s">
        <v>83</v>
      </c>
      <c r="G4691" t="s">
        <v>86</v>
      </c>
      <c r="H4691" t="s">
        <v>93</v>
      </c>
      <c r="I4691">
        <v>1</v>
      </c>
      <c r="K4691">
        <v>0</v>
      </c>
      <c r="L4691">
        <v>0</v>
      </c>
      <c r="M4691">
        <v>1</v>
      </c>
      <c r="N4691">
        <v>1</v>
      </c>
      <c r="O4691">
        <v>1</v>
      </c>
      <c r="P4691">
        <v>1</v>
      </c>
      <c r="Q4691">
        <v>1</v>
      </c>
      <c r="R4691">
        <v>1</v>
      </c>
      <c r="U4691">
        <v>0</v>
      </c>
      <c r="V4691">
        <v>1</v>
      </c>
      <c r="W4691">
        <v>1</v>
      </c>
      <c r="X4691">
        <v>1</v>
      </c>
      <c r="Y4691">
        <v>1</v>
      </c>
      <c r="Z4691">
        <v>1</v>
      </c>
      <c r="AA4691">
        <v>1</v>
      </c>
      <c r="AB4691">
        <v>1</v>
      </c>
    </row>
    <row r="4692" spans="1:28" x14ac:dyDescent="0.25">
      <c r="A4692" t="str">
        <f>"4688"</f>
        <v>4688</v>
      </c>
      <c r="B4692" t="str">
        <f t="shared" si="268"/>
        <v>1</v>
      </c>
      <c r="C4692" t="str">
        <f t="shared" si="270"/>
        <v>204</v>
      </c>
      <c r="D4692" t="str">
        <f>"20"</f>
        <v>20</v>
      </c>
      <c r="E4692" t="str">
        <f>"1-204-20"</f>
        <v>1-204-20</v>
      </c>
      <c r="F4692" t="s">
        <v>83</v>
      </c>
      <c r="G4692" t="s">
        <v>84</v>
      </c>
      <c r="H4692" t="s">
        <v>92</v>
      </c>
      <c r="I4692">
        <v>1</v>
      </c>
      <c r="J4692">
        <v>1</v>
      </c>
      <c r="N4692">
        <v>1</v>
      </c>
      <c r="O4692">
        <v>1</v>
      </c>
      <c r="P4692">
        <v>1</v>
      </c>
      <c r="Q4692">
        <v>1</v>
      </c>
      <c r="R4692">
        <v>1</v>
      </c>
      <c r="S4692">
        <v>1</v>
      </c>
      <c r="T4692">
        <v>1</v>
      </c>
      <c r="W4692">
        <v>1</v>
      </c>
      <c r="X4692">
        <v>1</v>
      </c>
      <c r="Y4692">
        <v>1</v>
      </c>
      <c r="Z4692">
        <v>1</v>
      </c>
      <c r="AA4692">
        <v>1</v>
      </c>
      <c r="AB4692">
        <v>1</v>
      </c>
    </row>
    <row r="4693" spans="1:28" x14ac:dyDescent="0.25">
      <c r="A4693" t="str">
        <f>"4689"</f>
        <v>4689</v>
      </c>
      <c r="B4693" t="str">
        <f t="shared" si="268"/>
        <v>1</v>
      </c>
      <c r="C4693" t="str">
        <f t="shared" si="270"/>
        <v>204</v>
      </c>
      <c r="D4693" t="str">
        <f>"7"</f>
        <v>7</v>
      </c>
      <c r="E4693" t="str">
        <f>"1-204-7"</f>
        <v>1-204-7</v>
      </c>
      <c r="F4693" t="s">
        <v>83</v>
      </c>
      <c r="G4693" t="s">
        <v>84</v>
      </c>
      <c r="H4693" t="s">
        <v>92</v>
      </c>
      <c r="I4693">
        <v>1</v>
      </c>
      <c r="J4693">
        <v>1</v>
      </c>
      <c r="N4693">
        <v>1</v>
      </c>
      <c r="O4693">
        <v>1</v>
      </c>
      <c r="P4693">
        <v>1</v>
      </c>
      <c r="Q4693">
        <v>1</v>
      </c>
      <c r="R4693">
        <v>1</v>
      </c>
      <c r="S4693">
        <v>1</v>
      </c>
      <c r="T4693">
        <v>1</v>
      </c>
      <c r="W4693">
        <v>1</v>
      </c>
      <c r="X4693">
        <v>1</v>
      </c>
      <c r="Y4693">
        <v>1</v>
      </c>
      <c r="Z4693">
        <v>1</v>
      </c>
      <c r="AA4693">
        <v>1</v>
      </c>
      <c r="AB4693">
        <v>1</v>
      </c>
    </row>
    <row r="4694" spans="1:28" x14ac:dyDescent="0.25">
      <c r="A4694" t="str">
        <f>"4690"</f>
        <v>4690</v>
      </c>
      <c r="B4694" t="str">
        <f t="shared" si="268"/>
        <v>1</v>
      </c>
      <c r="C4694" t="str">
        <f t="shared" si="270"/>
        <v>204</v>
      </c>
      <c r="D4694" t="str">
        <f>"21"</f>
        <v>21</v>
      </c>
      <c r="E4694" t="str">
        <f>"1-204-21"</f>
        <v>1-204-21</v>
      </c>
      <c r="F4694" t="s">
        <v>83</v>
      </c>
      <c r="G4694" t="s">
        <v>84</v>
      </c>
      <c r="H4694" t="s">
        <v>92</v>
      </c>
      <c r="I4694">
        <v>1</v>
      </c>
      <c r="J4694">
        <v>1</v>
      </c>
      <c r="N4694">
        <v>1</v>
      </c>
      <c r="O4694">
        <v>1</v>
      </c>
      <c r="P4694">
        <v>1</v>
      </c>
      <c r="Q4694">
        <v>1</v>
      </c>
      <c r="R4694">
        <v>1</v>
      </c>
      <c r="S4694">
        <v>1</v>
      </c>
      <c r="T4694">
        <v>1</v>
      </c>
      <c r="W4694">
        <v>1</v>
      </c>
      <c r="X4694">
        <v>1</v>
      </c>
      <c r="Y4694">
        <v>1</v>
      </c>
      <c r="Z4694">
        <v>1</v>
      </c>
      <c r="AA4694">
        <v>1</v>
      </c>
      <c r="AB4694">
        <v>1</v>
      </c>
    </row>
    <row r="4695" spans="1:28" x14ac:dyDescent="0.25">
      <c r="A4695" t="str">
        <f>"4691"</f>
        <v>4691</v>
      </c>
      <c r="B4695" t="str">
        <f t="shared" si="268"/>
        <v>1</v>
      </c>
      <c r="C4695" t="str">
        <f t="shared" si="270"/>
        <v>204</v>
      </c>
      <c r="D4695" t="str">
        <f>"3"</f>
        <v>3</v>
      </c>
      <c r="E4695" t="str">
        <f>"1-204-3"</f>
        <v>1-204-3</v>
      </c>
      <c r="F4695" t="s">
        <v>83</v>
      </c>
      <c r="G4695" t="s">
        <v>84</v>
      </c>
      <c r="H4695" t="s">
        <v>92</v>
      </c>
      <c r="I4695">
        <v>1</v>
      </c>
      <c r="J4695">
        <v>1</v>
      </c>
      <c r="N4695">
        <v>1</v>
      </c>
      <c r="O4695">
        <v>1</v>
      </c>
      <c r="P4695">
        <v>1</v>
      </c>
      <c r="Q4695">
        <v>1</v>
      </c>
      <c r="R4695">
        <v>1</v>
      </c>
      <c r="S4695">
        <v>1</v>
      </c>
      <c r="T4695">
        <v>1</v>
      </c>
      <c r="W4695">
        <v>1</v>
      </c>
      <c r="X4695">
        <v>1</v>
      </c>
      <c r="Y4695">
        <v>1</v>
      </c>
      <c r="Z4695">
        <v>1</v>
      </c>
      <c r="AA4695">
        <v>1</v>
      </c>
      <c r="AB4695">
        <v>1</v>
      </c>
    </row>
    <row r="4696" spans="1:28" x14ac:dyDescent="0.25">
      <c r="A4696" t="str">
        <f>"4692"</f>
        <v>4692</v>
      </c>
      <c r="B4696" t="str">
        <f t="shared" si="268"/>
        <v>1</v>
      </c>
      <c r="C4696" t="str">
        <f t="shared" ref="C4696:C4720" si="271">"205"</f>
        <v>205</v>
      </c>
      <c r="D4696" t="str">
        <f>"21"</f>
        <v>21</v>
      </c>
      <c r="E4696" t="str">
        <f>"1-205-21"</f>
        <v>1-205-21</v>
      </c>
      <c r="F4696" t="s">
        <v>83</v>
      </c>
      <c r="G4696" t="s">
        <v>86</v>
      </c>
      <c r="H4696" t="s">
        <v>93</v>
      </c>
      <c r="I4696">
        <v>1</v>
      </c>
      <c r="K4696">
        <v>0</v>
      </c>
      <c r="L4696">
        <v>1</v>
      </c>
      <c r="M4696">
        <v>0</v>
      </c>
      <c r="N4696">
        <v>1</v>
      </c>
      <c r="O4696">
        <v>1</v>
      </c>
      <c r="P4696">
        <v>1</v>
      </c>
      <c r="Q4696">
        <v>1</v>
      </c>
      <c r="R4696">
        <v>1</v>
      </c>
      <c r="U4696">
        <v>0</v>
      </c>
      <c r="V4696">
        <v>1</v>
      </c>
      <c r="W4696">
        <v>1</v>
      </c>
      <c r="X4696">
        <v>1</v>
      </c>
      <c r="Y4696">
        <v>1</v>
      </c>
      <c r="Z4696">
        <v>1</v>
      </c>
      <c r="AA4696">
        <v>1</v>
      </c>
      <c r="AB4696">
        <v>1</v>
      </c>
    </row>
    <row r="4697" spans="1:28" x14ac:dyDescent="0.25">
      <c r="A4697" t="str">
        <f>"4693"</f>
        <v>4693</v>
      </c>
      <c r="B4697" t="str">
        <f t="shared" si="268"/>
        <v>1</v>
      </c>
      <c r="C4697" t="str">
        <f t="shared" si="271"/>
        <v>205</v>
      </c>
      <c r="D4697" t="str">
        <f>"20"</f>
        <v>20</v>
      </c>
      <c r="E4697" t="str">
        <f>"1-205-20"</f>
        <v>1-205-20</v>
      </c>
      <c r="F4697" t="s">
        <v>83</v>
      </c>
      <c r="G4697" t="s">
        <v>84</v>
      </c>
      <c r="H4697" t="s">
        <v>92</v>
      </c>
      <c r="I4697">
        <v>1</v>
      </c>
      <c r="J4697">
        <v>1</v>
      </c>
      <c r="N4697">
        <v>1</v>
      </c>
      <c r="O4697">
        <v>1</v>
      </c>
      <c r="P4697">
        <v>1</v>
      </c>
      <c r="Q4697">
        <v>1</v>
      </c>
      <c r="R4697">
        <v>1</v>
      </c>
      <c r="S4697">
        <v>1</v>
      </c>
      <c r="T4697">
        <v>1</v>
      </c>
      <c r="W4697">
        <v>1</v>
      </c>
      <c r="X4697">
        <v>1</v>
      </c>
      <c r="Y4697">
        <v>1</v>
      </c>
      <c r="Z4697">
        <v>1</v>
      </c>
      <c r="AA4697">
        <v>1</v>
      </c>
      <c r="AB4697">
        <v>1</v>
      </c>
    </row>
    <row r="4698" spans="1:28" x14ac:dyDescent="0.25">
      <c r="A4698" t="str">
        <f>"4694"</f>
        <v>4694</v>
      </c>
      <c r="B4698" t="str">
        <f t="shared" si="268"/>
        <v>1</v>
      </c>
      <c r="C4698" t="str">
        <f t="shared" si="271"/>
        <v>205</v>
      </c>
      <c r="D4698" t="str">
        <f>"13"</f>
        <v>13</v>
      </c>
      <c r="E4698" t="str">
        <f>"1-205-13"</f>
        <v>1-205-13</v>
      </c>
      <c r="F4698" t="s">
        <v>83</v>
      </c>
      <c r="G4698" t="s">
        <v>86</v>
      </c>
      <c r="H4698" t="s">
        <v>93</v>
      </c>
      <c r="I4698">
        <v>1</v>
      </c>
      <c r="K4698">
        <v>0</v>
      </c>
      <c r="L4698">
        <v>0</v>
      </c>
      <c r="M4698">
        <v>1</v>
      </c>
      <c r="N4698">
        <v>1</v>
      </c>
      <c r="O4698">
        <v>1</v>
      </c>
      <c r="P4698">
        <v>1</v>
      </c>
      <c r="Q4698">
        <v>1</v>
      </c>
      <c r="R4698">
        <v>1</v>
      </c>
      <c r="U4698">
        <v>0</v>
      </c>
      <c r="V4698">
        <v>1</v>
      </c>
      <c r="W4698">
        <v>1</v>
      </c>
      <c r="X4698">
        <v>1</v>
      </c>
      <c r="Y4698">
        <v>1</v>
      </c>
      <c r="Z4698">
        <v>1</v>
      </c>
      <c r="AA4698">
        <v>1</v>
      </c>
      <c r="AB4698">
        <v>1</v>
      </c>
    </row>
    <row r="4699" spans="1:28" x14ac:dyDescent="0.25">
      <c r="A4699" t="str">
        <f>"4695"</f>
        <v>4695</v>
      </c>
      <c r="B4699" t="str">
        <f t="shared" si="268"/>
        <v>1</v>
      </c>
      <c r="C4699" t="str">
        <f t="shared" si="271"/>
        <v>205</v>
      </c>
      <c r="D4699" t="str">
        <f>"8"</f>
        <v>8</v>
      </c>
      <c r="E4699" t="str">
        <f>"1-205-8"</f>
        <v>1-205-8</v>
      </c>
      <c r="F4699" t="s">
        <v>83</v>
      </c>
      <c r="G4699" t="s">
        <v>86</v>
      </c>
      <c r="H4699" t="s">
        <v>93</v>
      </c>
      <c r="I4699">
        <v>1</v>
      </c>
      <c r="K4699">
        <v>0</v>
      </c>
      <c r="L4699">
        <v>1</v>
      </c>
      <c r="M4699">
        <v>0</v>
      </c>
      <c r="N4699">
        <v>1</v>
      </c>
      <c r="O4699">
        <v>1</v>
      </c>
      <c r="P4699">
        <v>1</v>
      </c>
      <c r="Q4699">
        <v>1</v>
      </c>
      <c r="R4699">
        <v>1</v>
      </c>
      <c r="U4699">
        <v>1</v>
      </c>
      <c r="V4699">
        <v>0</v>
      </c>
      <c r="W4699">
        <v>1</v>
      </c>
      <c r="X4699">
        <v>1</v>
      </c>
      <c r="Y4699">
        <v>1</v>
      </c>
      <c r="Z4699">
        <v>0</v>
      </c>
      <c r="AA4699">
        <v>1</v>
      </c>
      <c r="AB4699">
        <v>1</v>
      </c>
    </row>
    <row r="4700" spans="1:28" x14ac:dyDescent="0.25">
      <c r="A4700" t="str">
        <f>"4696"</f>
        <v>4696</v>
      </c>
      <c r="B4700" t="str">
        <f t="shared" si="268"/>
        <v>1</v>
      </c>
      <c r="C4700" t="str">
        <f t="shared" si="271"/>
        <v>205</v>
      </c>
      <c r="D4700" t="str">
        <f>"1"</f>
        <v>1</v>
      </c>
      <c r="E4700" t="str">
        <f>"1-205-1"</f>
        <v>1-205-1</v>
      </c>
      <c r="F4700" t="s">
        <v>83</v>
      </c>
      <c r="G4700" t="s">
        <v>86</v>
      </c>
      <c r="H4700" t="s">
        <v>93</v>
      </c>
      <c r="I4700">
        <v>1</v>
      </c>
      <c r="K4700">
        <v>0</v>
      </c>
      <c r="L4700">
        <v>0</v>
      </c>
      <c r="M4700">
        <v>1</v>
      </c>
      <c r="N4700">
        <v>1</v>
      </c>
      <c r="O4700">
        <v>1</v>
      </c>
      <c r="P4700">
        <v>1</v>
      </c>
      <c r="Q4700">
        <v>1</v>
      </c>
      <c r="R4700">
        <v>1</v>
      </c>
      <c r="U4700">
        <v>0</v>
      </c>
      <c r="V4700">
        <v>1</v>
      </c>
      <c r="W4700">
        <v>1</v>
      </c>
      <c r="X4700">
        <v>1</v>
      </c>
      <c r="Y4700">
        <v>1</v>
      </c>
      <c r="Z4700">
        <v>1</v>
      </c>
      <c r="AA4700">
        <v>1</v>
      </c>
      <c r="AB4700">
        <v>1</v>
      </c>
    </row>
    <row r="4701" spans="1:28" x14ac:dyDescent="0.25">
      <c r="A4701" t="str">
        <f>"4697"</f>
        <v>4697</v>
      </c>
      <c r="B4701" t="str">
        <f t="shared" si="268"/>
        <v>1</v>
      </c>
      <c r="C4701" t="str">
        <f t="shared" si="271"/>
        <v>205</v>
      </c>
      <c r="D4701" t="str">
        <f>"25"</f>
        <v>25</v>
      </c>
      <c r="E4701" t="str">
        <f>"1-205-25"</f>
        <v>1-205-25</v>
      </c>
      <c r="F4701" t="s">
        <v>83</v>
      </c>
      <c r="G4701" t="s">
        <v>84</v>
      </c>
      <c r="H4701" t="s">
        <v>92</v>
      </c>
      <c r="I4701">
        <v>1</v>
      </c>
      <c r="J4701">
        <v>0</v>
      </c>
      <c r="N4701">
        <v>1</v>
      </c>
      <c r="O4701">
        <v>0</v>
      </c>
      <c r="P4701">
        <v>0</v>
      </c>
      <c r="Q4701">
        <v>0</v>
      </c>
      <c r="R4701">
        <v>1</v>
      </c>
      <c r="S4701">
        <v>0</v>
      </c>
      <c r="T4701">
        <v>0</v>
      </c>
      <c r="W4701">
        <v>0</v>
      </c>
      <c r="X4701">
        <v>1</v>
      </c>
      <c r="Y4701">
        <v>0</v>
      </c>
      <c r="Z4701">
        <v>0</v>
      </c>
      <c r="AA4701">
        <v>1</v>
      </c>
      <c r="AB4701">
        <v>0</v>
      </c>
    </row>
    <row r="4702" spans="1:28" x14ac:dyDescent="0.25">
      <c r="A4702" t="str">
        <f>"4698"</f>
        <v>4698</v>
      </c>
      <c r="B4702" t="str">
        <f t="shared" ref="B4702:B4765" si="272">"1"</f>
        <v>1</v>
      </c>
      <c r="C4702" t="str">
        <f t="shared" si="271"/>
        <v>205</v>
      </c>
      <c r="D4702" t="str">
        <f>"24"</f>
        <v>24</v>
      </c>
      <c r="E4702" t="str">
        <f>"1-205-24"</f>
        <v>1-205-24</v>
      </c>
      <c r="F4702" t="s">
        <v>83</v>
      </c>
      <c r="G4702" t="s">
        <v>84</v>
      </c>
      <c r="H4702" t="s">
        <v>92</v>
      </c>
      <c r="I4702">
        <v>1</v>
      </c>
      <c r="J4702">
        <v>1</v>
      </c>
      <c r="N4702">
        <v>1</v>
      </c>
      <c r="O4702">
        <v>1</v>
      </c>
      <c r="P4702">
        <v>1</v>
      </c>
      <c r="Q4702">
        <v>1</v>
      </c>
      <c r="R4702">
        <v>1</v>
      </c>
      <c r="S4702">
        <v>1</v>
      </c>
      <c r="T4702">
        <v>1</v>
      </c>
      <c r="W4702">
        <v>1</v>
      </c>
      <c r="X4702">
        <v>1</v>
      </c>
      <c r="Y4702">
        <v>1</v>
      </c>
      <c r="Z4702">
        <v>1</v>
      </c>
      <c r="AA4702">
        <v>1</v>
      </c>
      <c r="AB4702">
        <v>1</v>
      </c>
    </row>
    <row r="4703" spans="1:28" x14ac:dyDescent="0.25">
      <c r="A4703" t="str">
        <f>"4699"</f>
        <v>4699</v>
      </c>
      <c r="B4703" t="str">
        <f t="shared" si="272"/>
        <v>1</v>
      </c>
      <c r="C4703" t="str">
        <f t="shared" si="271"/>
        <v>205</v>
      </c>
      <c r="D4703" t="str">
        <f>"15"</f>
        <v>15</v>
      </c>
      <c r="E4703" t="str">
        <f>"1-205-15"</f>
        <v>1-205-15</v>
      </c>
      <c r="F4703" t="s">
        <v>83</v>
      </c>
      <c r="G4703" t="s">
        <v>84</v>
      </c>
      <c r="H4703" t="s">
        <v>92</v>
      </c>
      <c r="I4703">
        <v>1</v>
      </c>
      <c r="J4703">
        <v>1</v>
      </c>
      <c r="N4703">
        <v>1</v>
      </c>
      <c r="O4703">
        <v>1</v>
      </c>
      <c r="P4703">
        <v>1</v>
      </c>
      <c r="Q4703">
        <v>1</v>
      </c>
      <c r="R4703">
        <v>1</v>
      </c>
      <c r="S4703">
        <v>1</v>
      </c>
      <c r="T4703">
        <v>1</v>
      </c>
      <c r="W4703">
        <v>1</v>
      </c>
      <c r="X4703">
        <v>1</v>
      </c>
      <c r="Y4703">
        <v>1</v>
      </c>
      <c r="Z4703">
        <v>1</v>
      </c>
      <c r="AA4703">
        <v>1</v>
      </c>
      <c r="AB4703">
        <v>1</v>
      </c>
    </row>
    <row r="4704" spans="1:28" x14ac:dyDescent="0.25">
      <c r="A4704" t="str">
        <f>"4700"</f>
        <v>4700</v>
      </c>
      <c r="B4704" t="str">
        <f t="shared" si="272"/>
        <v>1</v>
      </c>
      <c r="C4704" t="str">
        <f t="shared" si="271"/>
        <v>205</v>
      </c>
      <c r="D4704" t="str">
        <f>"9"</f>
        <v>9</v>
      </c>
      <c r="E4704" t="str">
        <f>"1-205-9"</f>
        <v>1-205-9</v>
      </c>
      <c r="F4704" t="s">
        <v>83</v>
      </c>
      <c r="G4704" t="s">
        <v>86</v>
      </c>
      <c r="H4704" t="s">
        <v>93</v>
      </c>
      <c r="I4704">
        <v>1</v>
      </c>
      <c r="K4704">
        <v>0</v>
      </c>
      <c r="L4704">
        <v>0</v>
      </c>
      <c r="M4704">
        <v>1</v>
      </c>
      <c r="N4704">
        <v>1</v>
      </c>
      <c r="O4704">
        <v>1</v>
      </c>
      <c r="P4704">
        <v>1</v>
      </c>
      <c r="Q4704">
        <v>1</v>
      </c>
      <c r="R4704">
        <v>0</v>
      </c>
      <c r="U4704">
        <v>1</v>
      </c>
      <c r="V4704">
        <v>0</v>
      </c>
      <c r="W4704">
        <v>0</v>
      </c>
      <c r="X4704">
        <v>0</v>
      </c>
      <c r="Y4704">
        <v>0</v>
      </c>
      <c r="Z4704">
        <v>0</v>
      </c>
      <c r="AA4704">
        <v>0</v>
      </c>
      <c r="AB4704">
        <v>0</v>
      </c>
    </row>
    <row r="4705" spans="1:28" x14ac:dyDescent="0.25">
      <c r="A4705" t="str">
        <f>"4701"</f>
        <v>4701</v>
      </c>
      <c r="B4705" t="str">
        <f t="shared" si="272"/>
        <v>1</v>
      </c>
      <c r="C4705" t="str">
        <f t="shared" si="271"/>
        <v>205</v>
      </c>
      <c r="D4705" t="str">
        <f>"6"</f>
        <v>6</v>
      </c>
      <c r="E4705" t="str">
        <f>"1-205-6"</f>
        <v>1-205-6</v>
      </c>
      <c r="F4705" t="s">
        <v>83</v>
      </c>
      <c r="G4705" t="s">
        <v>86</v>
      </c>
      <c r="H4705" t="s">
        <v>93</v>
      </c>
      <c r="I4705">
        <v>1</v>
      </c>
      <c r="K4705">
        <v>0</v>
      </c>
      <c r="L4705">
        <v>0</v>
      </c>
      <c r="M4705">
        <v>1</v>
      </c>
      <c r="N4705">
        <v>1</v>
      </c>
      <c r="O4705">
        <v>1</v>
      </c>
      <c r="P4705">
        <v>1</v>
      </c>
      <c r="Q4705">
        <v>1</v>
      </c>
      <c r="R4705">
        <v>1</v>
      </c>
      <c r="U4705">
        <v>1</v>
      </c>
      <c r="V4705">
        <v>0</v>
      </c>
      <c r="W4705">
        <v>1</v>
      </c>
      <c r="X4705">
        <v>1</v>
      </c>
      <c r="Y4705">
        <v>1</v>
      </c>
      <c r="Z4705">
        <v>1</v>
      </c>
      <c r="AA4705">
        <v>1</v>
      </c>
      <c r="AB4705">
        <v>1</v>
      </c>
    </row>
    <row r="4706" spans="1:28" x14ac:dyDescent="0.25">
      <c r="A4706" t="str">
        <f>"4702"</f>
        <v>4702</v>
      </c>
      <c r="B4706" t="str">
        <f t="shared" si="272"/>
        <v>1</v>
      </c>
      <c r="C4706" t="str">
        <f t="shared" si="271"/>
        <v>205</v>
      </c>
      <c r="D4706" t="str">
        <f>"23"</f>
        <v>23</v>
      </c>
      <c r="E4706" t="str">
        <f>"1-205-23"</f>
        <v>1-205-23</v>
      </c>
      <c r="F4706" t="s">
        <v>83</v>
      </c>
      <c r="G4706" t="s">
        <v>86</v>
      </c>
      <c r="H4706" t="s">
        <v>93</v>
      </c>
      <c r="I4706">
        <v>1</v>
      </c>
      <c r="K4706">
        <v>1</v>
      </c>
      <c r="L4706">
        <v>0</v>
      </c>
      <c r="M4706">
        <v>0</v>
      </c>
      <c r="N4706">
        <v>1</v>
      </c>
      <c r="O4706">
        <v>1</v>
      </c>
      <c r="P4706">
        <v>1</v>
      </c>
      <c r="Q4706">
        <v>1</v>
      </c>
      <c r="R4706">
        <v>1</v>
      </c>
      <c r="U4706">
        <v>1</v>
      </c>
      <c r="V4706">
        <v>0</v>
      </c>
      <c r="W4706">
        <v>1</v>
      </c>
      <c r="X4706">
        <v>1</v>
      </c>
      <c r="Y4706">
        <v>1</v>
      </c>
      <c r="Z4706">
        <v>1</v>
      </c>
      <c r="AA4706">
        <v>1</v>
      </c>
      <c r="AB4706">
        <v>1</v>
      </c>
    </row>
    <row r="4707" spans="1:28" x14ac:dyDescent="0.25">
      <c r="A4707" t="str">
        <f>"4703"</f>
        <v>4703</v>
      </c>
      <c r="B4707" t="str">
        <f t="shared" si="272"/>
        <v>1</v>
      </c>
      <c r="C4707" t="str">
        <f t="shared" si="271"/>
        <v>205</v>
      </c>
      <c r="D4707" t="str">
        <f>"22"</f>
        <v>22</v>
      </c>
      <c r="E4707" t="str">
        <f>"1-205-22"</f>
        <v>1-205-22</v>
      </c>
      <c r="F4707" t="s">
        <v>83</v>
      </c>
      <c r="G4707" t="s">
        <v>86</v>
      </c>
      <c r="H4707" t="s">
        <v>93</v>
      </c>
      <c r="I4707">
        <v>1</v>
      </c>
      <c r="K4707">
        <v>1</v>
      </c>
      <c r="L4707">
        <v>0</v>
      </c>
      <c r="M4707">
        <v>0</v>
      </c>
      <c r="N4707">
        <v>1</v>
      </c>
      <c r="O4707">
        <v>1</v>
      </c>
      <c r="P4707">
        <v>1</v>
      </c>
      <c r="Q4707">
        <v>1</v>
      </c>
      <c r="R4707">
        <v>1</v>
      </c>
      <c r="U4707">
        <v>0</v>
      </c>
      <c r="V4707">
        <v>1</v>
      </c>
      <c r="W4707">
        <v>1</v>
      </c>
      <c r="X4707">
        <v>1</v>
      </c>
      <c r="Y4707">
        <v>1</v>
      </c>
      <c r="Z4707">
        <v>1</v>
      </c>
      <c r="AA4707">
        <v>1</v>
      </c>
      <c r="AB4707">
        <v>1</v>
      </c>
    </row>
    <row r="4708" spans="1:28" x14ac:dyDescent="0.25">
      <c r="A4708" t="str">
        <f>"4704"</f>
        <v>4704</v>
      </c>
      <c r="B4708" t="str">
        <f t="shared" si="272"/>
        <v>1</v>
      </c>
      <c r="C4708" t="str">
        <f t="shared" si="271"/>
        <v>205</v>
      </c>
      <c r="D4708" t="str">
        <f>"14"</f>
        <v>14</v>
      </c>
      <c r="E4708" t="str">
        <f>"1-205-14"</f>
        <v>1-205-14</v>
      </c>
      <c r="F4708" t="s">
        <v>83</v>
      </c>
      <c r="G4708" t="s">
        <v>86</v>
      </c>
      <c r="H4708" t="s">
        <v>93</v>
      </c>
      <c r="I4708">
        <v>0</v>
      </c>
      <c r="K4708">
        <v>1</v>
      </c>
      <c r="L4708">
        <v>0</v>
      </c>
      <c r="M4708">
        <v>0</v>
      </c>
      <c r="N4708">
        <v>0</v>
      </c>
      <c r="O4708">
        <v>0</v>
      </c>
      <c r="P4708">
        <v>0</v>
      </c>
      <c r="Q4708">
        <v>0</v>
      </c>
      <c r="R4708">
        <v>0</v>
      </c>
      <c r="U4708">
        <v>0</v>
      </c>
      <c r="V4708">
        <v>1</v>
      </c>
      <c r="W4708">
        <v>0</v>
      </c>
      <c r="X4708">
        <v>0</v>
      </c>
      <c r="Y4708">
        <v>0</v>
      </c>
      <c r="Z4708">
        <v>0</v>
      </c>
      <c r="AA4708">
        <v>0</v>
      </c>
      <c r="AB4708">
        <v>0</v>
      </c>
    </row>
    <row r="4709" spans="1:28" x14ac:dyDescent="0.25">
      <c r="A4709" t="str">
        <f>"4705"</f>
        <v>4705</v>
      </c>
      <c r="B4709" t="str">
        <f t="shared" si="272"/>
        <v>1</v>
      </c>
      <c r="C4709" t="str">
        <f t="shared" si="271"/>
        <v>205</v>
      </c>
      <c r="D4709" t="str">
        <f>"10"</f>
        <v>10</v>
      </c>
      <c r="E4709" t="str">
        <f>"1-205-10"</f>
        <v>1-205-10</v>
      </c>
      <c r="F4709" t="s">
        <v>83</v>
      </c>
      <c r="G4709" t="s">
        <v>86</v>
      </c>
      <c r="H4709" t="s">
        <v>93</v>
      </c>
      <c r="I4709">
        <v>1</v>
      </c>
      <c r="K4709">
        <v>0</v>
      </c>
      <c r="L4709">
        <v>1</v>
      </c>
      <c r="M4709">
        <v>0</v>
      </c>
      <c r="N4709">
        <v>1</v>
      </c>
      <c r="O4709">
        <v>1</v>
      </c>
      <c r="P4709">
        <v>1</v>
      </c>
      <c r="Q4709">
        <v>1</v>
      </c>
      <c r="R4709">
        <v>1</v>
      </c>
      <c r="U4709">
        <v>0</v>
      </c>
      <c r="V4709">
        <v>1</v>
      </c>
      <c r="W4709">
        <v>1</v>
      </c>
      <c r="X4709">
        <v>1</v>
      </c>
      <c r="Y4709">
        <v>1</v>
      </c>
      <c r="Z4709">
        <v>1</v>
      </c>
      <c r="AA4709">
        <v>1</v>
      </c>
      <c r="AB4709">
        <v>1</v>
      </c>
    </row>
    <row r="4710" spans="1:28" x14ac:dyDescent="0.25">
      <c r="A4710" t="str">
        <f>"4706"</f>
        <v>4706</v>
      </c>
      <c r="B4710" t="str">
        <f t="shared" si="272"/>
        <v>1</v>
      </c>
      <c r="C4710" t="str">
        <f t="shared" si="271"/>
        <v>205</v>
      </c>
      <c r="D4710" t="str">
        <f>"3"</f>
        <v>3</v>
      </c>
      <c r="E4710" t="str">
        <f>"1-205-3"</f>
        <v>1-205-3</v>
      </c>
      <c r="F4710" t="s">
        <v>83</v>
      </c>
      <c r="G4710" t="s">
        <v>86</v>
      </c>
      <c r="H4710" t="s">
        <v>93</v>
      </c>
      <c r="I4710">
        <v>1</v>
      </c>
      <c r="K4710">
        <v>0</v>
      </c>
      <c r="L4710">
        <v>1</v>
      </c>
      <c r="M4710">
        <v>0</v>
      </c>
      <c r="N4710">
        <v>1</v>
      </c>
      <c r="O4710">
        <v>1</v>
      </c>
      <c r="P4710">
        <v>1</v>
      </c>
      <c r="Q4710">
        <v>1</v>
      </c>
      <c r="R4710">
        <v>1</v>
      </c>
      <c r="U4710">
        <v>0</v>
      </c>
      <c r="V4710">
        <v>1</v>
      </c>
      <c r="W4710">
        <v>1</v>
      </c>
      <c r="X4710">
        <v>1</v>
      </c>
      <c r="Y4710">
        <v>1</v>
      </c>
      <c r="Z4710">
        <v>1</v>
      </c>
      <c r="AA4710">
        <v>1</v>
      </c>
      <c r="AB4710">
        <v>1</v>
      </c>
    </row>
    <row r="4711" spans="1:28" x14ac:dyDescent="0.25">
      <c r="A4711" t="str">
        <f>"4707"</f>
        <v>4707</v>
      </c>
      <c r="B4711" t="str">
        <f t="shared" si="272"/>
        <v>1</v>
      </c>
      <c r="C4711" t="str">
        <f t="shared" si="271"/>
        <v>205</v>
      </c>
      <c r="D4711" t="str">
        <f>"16"</f>
        <v>16</v>
      </c>
      <c r="E4711" t="str">
        <f>"1-205-16"</f>
        <v>1-205-16</v>
      </c>
      <c r="F4711" t="s">
        <v>83</v>
      </c>
      <c r="G4711" t="s">
        <v>84</v>
      </c>
      <c r="H4711" t="s">
        <v>92</v>
      </c>
      <c r="I4711">
        <v>1</v>
      </c>
      <c r="J4711">
        <v>0</v>
      </c>
      <c r="N4711">
        <v>1</v>
      </c>
      <c r="O4711">
        <v>0</v>
      </c>
      <c r="P4711">
        <v>0</v>
      </c>
      <c r="Q4711">
        <v>0</v>
      </c>
      <c r="R4711">
        <v>0</v>
      </c>
      <c r="S4711">
        <v>0</v>
      </c>
      <c r="T4711">
        <v>0</v>
      </c>
      <c r="W4711">
        <v>0</v>
      </c>
      <c r="X4711">
        <v>0</v>
      </c>
      <c r="Y4711">
        <v>1</v>
      </c>
      <c r="Z4711">
        <v>0</v>
      </c>
      <c r="AA4711">
        <v>0</v>
      </c>
      <c r="AB4711">
        <v>0</v>
      </c>
    </row>
    <row r="4712" spans="1:28" x14ac:dyDescent="0.25">
      <c r="A4712" t="str">
        <f>"4708"</f>
        <v>4708</v>
      </c>
      <c r="B4712" t="str">
        <f t="shared" si="272"/>
        <v>1</v>
      </c>
      <c r="C4712" t="str">
        <f t="shared" si="271"/>
        <v>205</v>
      </c>
      <c r="D4712" t="str">
        <f>"11"</f>
        <v>11</v>
      </c>
      <c r="E4712" t="str">
        <f>"1-205-11"</f>
        <v>1-205-11</v>
      </c>
      <c r="F4712" t="s">
        <v>83</v>
      </c>
      <c r="G4712" t="s">
        <v>86</v>
      </c>
      <c r="H4712" t="s">
        <v>93</v>
      </c>
      <c r="I4712">
        <v>1</v>
      </c>
      <c r="K4712">
        <v>0</v>
      </c>
      <c r="L4712">
        <v>0</v>
      </c>
      <c r="M4712">
        <v>1</v>
      </c>
      <c r="N4712">
        <v>1</v>
      </c>
      <c r="O4712">
        <v>1</v>
      </c>
      <c r="P4712">
        <v>1</v>
      </c>
      <c r="Q4712">
        <v>1</v>
      </c>
      <c r="R4712">
        <v>0</v>
      </c>
      <c r="U4712">
        <v>0</v>
      </c>
      <c r="V4712">
        <v>0</v>
      </c>
      <c r="W4712">
        <v>1</v>
      </c>
      <c r="X4712">
        <v>1</v>
      </c>
      <c r="Y4712">
        <v>1</v>
      </c>
      <c r="Z4712">
        <v>0</v>
      </c>
      <c r="AA4712">
        <v>0</v>
      </c>
      <c r="AB4712">
        <v>0</v>
      </c>
    </row>
    <row r="4713" spans="1:28" x14ac:dyDescent="0.25">
      <c r="A4713" t="str">
        <f>"4709"</f>
        <v>4709</v>
      </c>
      <c r="B4713" t="str">
        <f t="shared" si="272"/>
        <v>1</v>
      </c>
      <c r="C4713" t="str">
        <f t="shared" si="271"/>
        <v>205</v>
      </c>
      <c r="D4713" t="str">
        <f>"5"</f>
        <v>5</v>
      </c>
      <c r="E4713" t="str">
        <f>"1-205-5"</f>
        <v>1-205-5</v>
      </c>
      <c r="F4713" t="s">
        <v>83</v>
      </c>
      <c r="G4713" t="s">
        <v>86</v>
      </c>
      <c r="H4713" t="s">
        <v>93</v>
      </c>
      <c r="I4713">
        <v>1</v>
      </c>
      <c r="K4713">
        <v>0</v>
      </c>
      <c r="L4713">
        <v>0</v>
      </c>
      <c r="M4713">
        <v>1</v>
      </c>
      <c r="N4713">
        <v>1</v>
      </c>
      <c r="O4713">
        <v>1</v>
      </c>
      <c r="P4713">
        <v>1</v>
      </c>
      <c r="Q4713">
        <v>1</v>
      </c>
      <c r="R4713">
        <v>1</v>
      </c>
      <c r="U4713">
        <v>1</v>
      </c>
      <c r="V4713">
        <v>0</v>
      </c>
      <c r="W4713">
        <v>1</v>
      </c>
      <c r="X4713">
        <v>1</v>
      </c>
      <c r="Y4713">
        <v>1</v>
      </c>
      <c r="Z4713">
        <v>1</v>
      </c>
      <c r="AA4713">
        <v>1</v>
      </c>
      <c r="AB4713">
        <v>1</v>
      </c>
    </row>
    <row r="4714" spans="1:28" x14ac:dyDescent="0.25">
      <c r="A4714" t="str">
        <f>"4710"</f>
        <v>4710</v>
      </c>
      <c r="B4714" t="str">
        <f t="shared" si="272"/>
        <v>1</v>
      </c>
      <c r="C4714" t="str">
        <f t="shared" si="271"/>
        <v>205</v>
      </c>
      <c r="D4714" t="str">
        <f>"17"</f>
        <v>17</v>
      </c>
      <c r="E4714" t="str">
        <f>"1-205-17"</f>
        <v>1-205-17</v>
      </c>
      <c r="F4714" t="s">
        <v>83</v>
      </c>
      <c r="G4714" t="s">
        <v>84</v>
      </c>
      <c r="H4714" t="s">
        <v>92</v>
      </c>
      <c r="I4714">
        <v>1</v>
      </c>
      <c r="J4714">
        <v>1</v>
      </c>
      <c r="N4714">
        <v>1</v>
      </c>
      <c r="O4714">
        <v>1</v>
      </c>
      <c r="P4714">
        <v>1</v>
      </c>
      <c r="Q4714">
        <v>1</v>
      </c>
      <c r="R4714">
        <v>1</v>
      </c>
      <c r="S4714">
        <v>1</v>
      </c>
      <c r="T4714">
        <v>1</v>
      </c>
      <c r="W4714">
        <v>1</v>
      </c>
      <c r="X4714">
        <v>1</v>
      </c>
      <c r="Y4714">
        <v>1</v>
      </c>
      <c r="Z4714">
        <v>1</v>
      </c>
      <c r="AA4714">
        <v>1</v>
      </c>
      <c r="AB4714">
        <v>1</v>
      </c>
    </row>
    <row r="4715" spans="1:28" x14ac:dyDescent="0.25">
      <c r="A4715" t="str">
        <f>"4711"</f>
        <v>4711</v>
      </c>
      <c r="B4715" t="str">
        <f t="shared" si="272"/>
        <v>1</v>
      </c>
      <c r="C4715" t="str">
        <f t="shared" si="271"/>
        <v>205</v>
      </c>
      <c r="D4715" t="str">
        <f>"12"</f>
        <v>12</v>
      </c>
      <c r="E4715" t="str">
        <f>"1-205-12"</f>
        <v>1-205-12</v>
      </c>
      <c r="F4715" t="s">
        <v>83</v>
      </c>
      <c r="G4715" t="s">
        <v>86</v>
      </c>
      <c r="H4715" t="s">
        <v>93</v>
      </c>
      <c r="I4715">
        <v>1</v>
      </c>
      <c r="K4715">
        <v>0</v>
      </c>
      <c r="L4715">
        <v>0</v>
      </c>
      <c r="M4715">
        <v>1</v>
      </c>
      <c r="N4715">
        <v>1</v>
      </c>
      <c r="O4715">
        <v>1</v>
      </c>
      <c r="P4715">
        <v>1</v>
      </c>
      <c r="Q4715">
        <v>1</v>
      </c>
      <c r="R4715">
        <v>1</v>
      </c>
      <c r="U4715">
        <v>0</v>
      </c>
      <c r="V4715">
        <v>1</v>
      </c>
      <c r="W4715">
        <v>1</v>
      </c>
      <c r="X4715">
        <v>1</v>
      </c>
      <c r="Y4715">
        <v>1</v>
      </c>
      <c r="Z4715">
        <v>1</v>
      </c>
      <c r="AA4715">
        <v>1</v>
      </c>
      <c r="AB4715">
        <v>1</v>
      </c>
    </row>
    <row r="4716" spans="1:28" x14ac:dyDescent="0.25">
      <c r="A4716" t="str">
        <f>"4712"</f>
        <v>4712</v>
      </c>
      <c r="B4716" t="str">
        <f t="shared" si="272"/>
        <v>1</v>
      </c>
      <c r="C4716" t="str">
        <f t="shared" si="271"/>
        <v>205</v>
      </c>
      <c r="D4716" t="str">
        <f>"4"</f>
        <v>4</v>
      </c>
      <c r="E4716" t="str">
        <f>"1-205-4"</f>
        <v>1-205-4</v>
      </c>
      <c r="F4716" t="s">
        <v>83</v>
      </c>
      <c r="G4716" t="s">
        <v>86</v>
      </c>
      <c r="H4716" t="s">
        <v>93</v>
      </c>
      <c r="I4716">
        <v>1</v>
      </c>
      <c r="K4716">
        <v>1</v>
      </c>
      <c r="L4716">
        <v>0</v>
      </c>
      <c r="M4716">
        <v>0</v>
      </c>
      <c r="N4716">
        <v>1</v>
      </c>
      <c r="O4716">
        <v>1</v>
      </c>
      <c r="P4716">
        <v>1</v>
      </c>
      <c r="Q4716">
        <v>1</v>
      </c>
      <c r="R4716">
        <v>1</v>
      </c>
      <c r="U4716">
        <v>0</v>
      </c>
      <c r="V4716">
        <v>1</v>
      </c>
      <c r="W4716">
        <v>1</v>
      </c>
      <c r="X4716">
        <v>1</v>
      </c>
      <c r="Y4716">
        <v>1</v>
      </c>
      <c r="Z4716">
        <v>1</v>
      </c>
      <c r="AA4716">
        <v>1</v>
      </c>
      <c r="AB4716">
        <v>1</v>
      </c>
    </row>
    <row r="4717" spans="1:28" x14ac:dyDescent="0.25">
      <c r="A4717" t="str">
        <f>"4713"</f>
        <v>4713</v>
      </c>
      <c r="B4717" t="str">
        <f t="shared" si="272"/>
        <v>1</v>
      </c>
      <c r="C4717" t="str">
        <f t="shared" si="271"/>
        <v>205</v>
      </c>
      <c r="D4717" t="str">
        <f>"18"</f>
        <v>18</v>
      </c>
      <c r="E4717" t="str">
        <f>"1-205-18"</f>
        <v>1-205-18</v>
      </c>
      <c r="F4717" t="s">
        <v>83</v>
      </c>
      <c r="G4717" t="s">
        <v>84</v>
      </c>
      <c r="H4717" t="s">
        <v>92</v>
      </c>
      <c r="I4717">
        <v>1</v>
      </c>
      <c r="J4717">
        <v>0</v>
      </c>
      <c r="N4717">
        <v>1</v>
      </c>
      <c r="O4717">
        <v>0</v>
      </c>
      <c r="P4717">
        <v>0</v>
      </c>
      <c r="Q4717">
        <v>0</v>
      </c>
      <c r="R4717">
        <v>0</v>
      </c>
      <c r="S4717">
        <v>1</v>
      </c>
      <c r="T4717">
        <v>0</v>
      </c>
      <c r="W4717">
        <v>0</v>
      </c>
      <c r="X4717">
        <v>0</v>
      </c>
      <c r="Y4717">
        <v>0</v>
      </c>
      <c r="Z4717">
        <v>0</v>
      </c>
      <c r="AA4717">
        <v>0</v>
      </c>
      <c r="AB4717">
        <v>0</v>
      </c>
    </row>
    <row r="4718" spans="1:28" x14ac:dyDescent="0.25">
      <c r="A4718" t="str">
        <f>"4714"</f>
        <v>4714</v>
      </c>
      <c r="B4718" t="str">
        <f t="shared" si="272"/>
        <v>1</v>
      </c>
      <c r="C4718" t="str">
        <f t="shared" si="271"/>
        <v>205</v>
      </c>
      <c r="D4718" t="str">
        <f>"2"</f>
        <v>2</v>
      </c>
      <c r="E4718" t="str">
        <f>"1-205-2"</f>
        <v>1-205-2</v>
      </c>
      <c r="F4718" t="s">
        <v>83</v>
      </c>
      <c r="G4718" t="s">
        <v>86</v>
      </c>
      <c r="H4718" t="s">
        <v>93</v>
      </c>
      <c r="I4718">
        <v>1</v>
      </c>
      <c r="K4718">
        <v>0</v>
      </c>
      <c r="L4718">
        <v>0</v>
      </c>
      <c r="M4718">
        <v>0</v>
      </c>
      <c r="N4718">
        <v>1</v>
      </c>
      <c r="O4718">
        <v>1</v>
      </c>
      <c r="P4718">
        <v>0</v>
      </c>
      <c r="Q4718">
        <v>0</v>
      </c>
      <c r="R4718">
        <v>0</v>
      </c>
      <c r="U4718">
        <v>0</v>
      </c>
      <c r="V4718">
        <v>1</v>
      </c>
      <c r="W4718">
        <v>0</v>
      </c>
      <c r="X4718">
        <v>0</v>
      </c>
      <c r="Y4718">
        <v>0</v>
      </c>
      <c r="Z4718">
        <v>0</v>
      </c>
      <c r="AA4718">
        <v>0</v>
      </c>
      <c r="AB4718">
        <v>0</v>
      </c>
    </row>
    <row r="4719" spans="1:28" x14ac:dyDescent="0.25">
      <c r="A4719" t="str">
        <f>"4715"</f>
        <v>4715</v>
      </c>
      <c r="B4719" t="str">
        <f t="shared" si="272"/>
        <v>1</v>
      </c>
      <c r="C4719" t="str">
        <f t="shared" si="271"/>
        <v>205</v>
      </c>
      <c r="D4719" t="str">
        <f>"19"</f>
        <v>19</v>
      </c>
      <c r="E4719" t="str">
        <f>"1-205-19"</f>
        <v>1-205-19</v>
      </c>
      <c r="F4719" t="s">
        <v>83</v>
      </c>
      <c r="G4719" t="s">
        <v>84</v>
      </c>
      <c r="H4719" t="s">
        <v>92</v>
      </c>
      <c r="I4719">
        <v>1</v>
      </c>
      <c r="J4719">
        <v>1</v>
      </c>
      <c r="N4719">
        <v>1</v>
      </c>
      <c r="O4719">
        <v>1</v>
      </c>
      <c r="P4719">
        <v>1</v>
      </c>
      <c r="Q4719">
        <v>1</v>
      </c>
      <c r="R4719">
        <v>1</v>
      </c>
      <c r="S4719">
        <v>1</v>
      </c>
      <c r="T4719">
        <v>1</v>
      </c>
      <c r="W4719">
        <v>1</v>
      </c>
      <c r="X4719">
        <v>1</v>
      </c>
      <c r="Y4719">
        <v>1</v>
      </c>
      <c r="Z4719">
        <v>1</v>
      </c>
      <c r="AA4719">
        <v>1</v>
      </c>
      <c r="AB4719">
        <v>1</v>
      </c>
    </row>
    <row r="4720" spans="1:28" x14ac:dyDescent="0.25">
      <c r="A4720" t="str">
        <f>"4716"</f>
        <v>4716</v>
      </c>
      <c r="B4720" t="str">
        <f t="shared" si="272"/>
        <v>1</v>
      </c>
      <c r="C4720" t="str">
        <f t="shared" si="271"/>
        <v>205</v>
      </c>
      <c r="D4720" t="str">
        <f>"7"</f>
        <v>7</v>
      </c>
      <c r="E4720" t="str">
        <f>"1-205-7"</f>
        <v>1-205-7</v>
      </c>
      <c r="F4720" t="s">
        <v>83</v>
      </c>
      <c r="G4720" t="s">
        <v>86</v>
      </c>
      <c r="H4720" t="s">
        <v>93</v>
      </c>
      <c r="I4720">
        <v>1</v>
      </c>
      <c r="K4720">
        <v>0</v>
      </c>
      <c r="L4720">
        <v>0</v>
      </c>
      <c r="M4720">
        <v>1</v>
      </c>
      <c r="N4720">
        <v>1</v>
      </c>
      <c r="O4720">
        <v>1</v>
      </c>
      <c r="P4720">
        <v>1</v>
      </c>
      <c r="Q4720">
        <v>1</v>
      </c>
      <c r="R4720">
        <v>1</v>
      </c>
      <c r="U4720">
        <v>0</v>
      </c>
      <c r="V4720">
        <v>1</v>
      </c>
      <c r="W4720">
        <v>1</v>
      </c>
      <c r="X4720">
        <v>1</v>
      </c>
      <c r="Y4720">
        <v>1</v>
      </c>
      <c r="Z4720">
        <v>1</v>
      </c>
      <c r="AA4720">
        <v>1</v>
      </c>
      <c r="AB4720">
        <v>1</v>
      </c>
    </row>
    <row r="4721" spans="1:49" x14ac:dyDescent="0.25">
      <c r="A4721" t="str">
        <f>"4717"</f>
        <v>4717</v>
      </c>
      <c r="B4721" t="str">
        <f t="shared" si="272"/>
        <v>1</v>
      </c>
      <c r="C4721" t="str">
        <f t="shared" ref="C4721:C4744" si="273">"206"</f>
        <v>206</v>
      </c>
      <c r="D4721" t="str">
        <f>"18"</f>
        <v>18</v>
      </c>
      <c r="E4721" t="str">
        <f>"1-206-18"</f>
        <v>1-206-18</v>
      </c>
      <c r="F4721" t="s">
        <v>83</v>
      </c>
      <c r="G4721" t="s">
        <v>84</v>
      </c>
      <c r="H4721" t="s">
        <v>85</v>
      </c>
      <c r="AC4721">
        <v>1</v>
      </c>
      <c r="AD4721">
        <v>0</v>
      </c>
      <c r="AE4721">
        <v>0</v>
      </c>
      <c r="AF4721">
        <v>0</v>
      </c>
      <c r="AG4721">
        <v>1</v>
      </c>
      <c r="AJ4721">
        <v>1</v>
      </c>
      <c r="AK4721">
        <v>0</v>
      </c>
      <c r="AL4721">
        <v>1</v>
      </c>
      <c r="AM4721">
        <v>0</v>
      </c>
      <c r="AN4721">
        <v>0</v>
      </c>
      <c r="AO4721">
        <v>1</v>
      </c>
      <c r="AP4721">
        <v>1</v>
      </c>
      <c r="AQ4721">
        <v>1</v>
      </c>
      <c r="AR4721">
        <v>1</v>
      </c>
      <c r="AS4721">
        <v>1</v>
      </c>
      <c r="AT4721">
        <v>0</v>
      </c>
      <c r="AV4721">
        <v>1</v>
      </c>
      <c r="AW4721">
        <v>1</v>
      </c>
    </row>
    <row r="4722" spans="1:49" x14ac:dyDescent="0.25">
      <c r="A4722" t="str">
        <f>"4718"</f>
        <v>4718</v>
      </c>
      <c r="B4722" t="str">
        <f t="shared" si="272"/>
        <v>1</v>
      </c>
      <c r="C4722" t="str">
        <f t="shared" si="273"/>
        <v>206</v>
      </c>
      <c r="D4722" t="str">
        <f>"17"</f>
        <v>17</v>
      </c>
      <c r="E4722" t="str">
        <f>"1-206-17"</f>
        <v>1-206-17</v>
      </c>
      <c r="F4722" t="s">
        <v>83</v>
      </c>
      <c r="G4722" t="s">
        <v>84</v>
      </c>
      <c r="H4722" t="s">
        <v>85</v>
      </c>
      <c r="AC4722">
        <v>0</v>
      </c>
      <c r="AD4722">
        <v>1</v>
      </c>
      <c r="AE4722">
        <v>0</v>
      </c>
      <c r="AF4722">
        <v>0</v>
      </c>
      <c r="AG4722">
        <v>1</v>
      </c>
      <c r="AJ4722">
        <v>1</v>
      </c>
      <c r="AK4722">
        <v>0</v>
      </c>
      <c r="AL4722">
        <v>0</v>
      </c>
      <c r="AM4722">
        <v>0</v>
      </c>
      <c r="AN4722">
        <v>1</v>
      </c>
      <c r="AO4722">
        <v>1</v>
      </c>
      <c r="AP4722">
        <v>1</v>
      </c>
      <c r="AQ4722">
        <v>1</v>
      </c>
      <c r="AR4722">
        <v>1</v>
      </c>
      <c r="AS4722">
        <v>0</v>
      </c>
      <c r="AT4722">
        <v>1</v>
      </c>
      <c r="AV4722">
        <v>1</v>
      </c>
      <c r="AW4722">
        <v>1</v>
      </c>
    </row>
    <row r="4723" spans="1:49" x14ac:dyDescent="0.25">
      <c r="A4723" t="str">
        <f>"4719"</f>
        <v>4719</v>
      </c>
      <c r="B4723" t="str">
        <f t="shared" si="272"/>
        <v>1</v>
      </c>
      <c r="C4723" t="str">
        <f t="shared" si="273"/>
        <v>206</v>
      </c>
      <c r="D4723" t="str">
        <f>"13"</f>
        <v>13</v>
      </c>
      <c r="E4723" t="str">
        <f>"1-206-13"</f>
        <v>1-206-13</v>
      </c>
      <c r="F4723" t="s">
        <v>83</v>
      </c>
      <c r="G4723" t="s">
        <v>84</v>
      </c>
      <c r="H4723" t="s">
        <v>85</v>
      </c>
      <c r="AC4723">
        <v>1</v>
      </c>
      <c r="AD4723">
        <v>0</v>
      </c>
      <c r="AE4723">
        <v>0</v>
      </c>
      <c r="AF4723">
        <v>0</v>
      </c>
      <c r="AG4723">
        <v>0</v>
      </c>
      <c r="AJ4723">
        <v>1</v>
      </c>
      <c r="AK4723">
        <v>0</v>
      </c>
      <c r="AL4723">
        <v>1</v>
      </c>
      <c r="AM4723">
        <v>0</v>
      </c>
      <c r="AN4723">
        <v>0</v>
      </c>
      <c r="AO4723">
        <v>1</v>
      </c>
      <c r="AP4723">
        <v>1</v>
      </c>
      <c r="AQ4723">
        <v>1</v>
      </c>
      <c r="AR4723">
        <v>1</v>
      </c>
      <c r="AS4723">
        <v>1</v>
      </c>
      <c r="AT4723">
        <v>0</v>
      </c>
      <c r="AV4723">
        <v>1</v>
      </c>
      <c r="AW4723">
        <v>1</v>
      </c>
    </row>
    <row r="4724" spans="1:49" x14ac:dyDescent="0.25">
      <c r="A4724" t="str">
        <f>"4720"</f>
        <v>4720</v>
      </c>
      <c r="B4724" t="str">
        <f t="shared" si="272"/>
        <v>1</v>
      </c>
      <c r="C4724" t="str">
        <f t="shared" si="273"/>
        <v>206</v>
      </c>
      <c r="D4724" t="str">
        <f>"8"</f>
        <v>8</v>
      </c>
      <c r="E4724" t="str">
        <f>"1-206-8"</f>
        <v>1-206-8</v>
      </c>
      <c r="F4724" t="s">
        <v>83</v>
      </c>
      <c r="G4724" t="s">
        <v>84</v>
      </c>
      <c r="H4724" t="s">
        <v>85</v>
      </c>
      <c r="AC4724">
        <v>1</v>
      </c>
      <c r="AD4724">
        <v>0</v>
      </c>
      <c r="AE4724">
        <v>0</v>
      </c>
      <c r="AF4724">
        <v>0</v>
      </c>
      <c r="AG4724">
        <v>1</v>
      </c>
      <c r="AJ4724">
        <v>0</v>
      </c>
      <c r="AK4724">
        <v>1</v>
      </c>
      <c r="AL4724">
        <v>1</v>
      </c>
      <c r="AM4724">
        <v>0</v>
      </c>
      <c r="AN4724">
        <v>0</v>
      </c>
      <c r="AO4724">
        <v>1</v>
      </c>
      <c r="AP4724">
        <v>1</v>
      </c>
      <c r="AQ4724">
        <v>1</v>
      </c>
      <c r="AR4724">
        <v>1</v>
      </c>
      <c r="AS4724">
        <v>1</v>
      </c>
      <c r="AT4724">
        <v>0</v>
      </c>
      <c r="AV4724">
        <v>1</v>
      </c>
      <c r="AW4724">
        <v>1</v>
      </c>
    </row>
    <row r="4725" spans="1:49" x14ac:dyDescent="0.25">
      <c r="A4725" t="str">
        <f>"4721"</f>
        <v>4721</v>
      </c>
      <c r="B4725" t="str">
        <f t="shared" si="272"/>
        <v>1</v>
      </c>
      <c r="C4725" t="str">
        <f t="shared" si="273"/>
        <v>206</v>
      </c>
      <c r="D4725" t="str">
        <f>"1"</f>
        <v>1</v>
      </c>
      <c r="E4725" t="str">
        <f>"1-206-1"</f>
        <v>1-206-1</v>
      </c>
      <c r="F4725" t="s">
        <v>83</v>
      </c>
      <c r="G4725" t="s">
        <v>84</v>
      </c>
      <c r="H4725" t="s">
        <v>85</v>
      </c>
      <c r="AC4725">
        <v>0</v>
      </c>
      <c r="AD4725">
        <v>1</v>
      </c>
      <c r="AE4725">
        <v>0</v>
      </c>
      <c r="AF4725">
        <v>0</v>
      </c>
      <c r="AG4725">
        <v>1</v>
      </c>
      <c r="AJ4725">
        <v>0</v>
      </c>
      <c r="AK4725">
        <v>1</v>
      </c>
      <c r="AL4725">
        <v>0</v>
      </c>
      <c r="AM4725">
        <v>0</v>
      </c>
      <c r="AN4725">
        <v>1</v>
      </c>
      <c r="AO4725">
        <v>1</v>
      </c>
      <c r="AP4725">
        <v>1</v>
      </c>
      <c r="AQ4725">
        <v>1</v>
      </c>
      <c r="AR4725">
        <v>1</v>
      </c>
      <c r="AS4725">
        <v>0</v>
      </c>
      <c r="AT4725">
        <v>1</v>
      </c>
      <c r="AV4725">
        <v>1</v>
      </c>
      <c r="AW4725">
        <v>1</v>
      </c>
    </row>
    <row r="4726" spans="1:49" x14ac:dyDescent="0.25">
      <c r="A4726" t="str">
        <f>"4722"</f>
        <v>4722</v>
      </c>
      <c r="B4726" t="str">
        <f t="shared" si="272"/>
        <v>1</v>
      </c>
      <c r="C4726" t="str">
        <f t="shared" si="273"/>
        <v>206</v>
      </c>
      <c r="D4726" t="str">
        <f>"23"</f>
        <v>23</v>
      </c>
      <c r="E4726" t="str">
        <f>"1-206-23"</f>
        <v>1-206-23</v>
      </c>
      <c r="F4726" t="s">
        <v>83</v>
      </c>
      <c r="G4726" t="s">
        <v>84</v>
      </c>
      <c r="H4726" t="s">
        <v>85</v>
      </c>
      <c r="AC4726">
        <v>0</v>
      </c>
      <c r="AD4726">
        <v>1</v>
      </c>
      <c r="AE4726">
        <v>0</v>
      </c>
      <c r="AF4726">
        <v>0</v>
      </c>
      <c r="AG4726">
        <v>1</v>
      </c>
      <c r="AJ4726">
        <v>1</v>
      </c>
      <c r="AK4726">
        <v>0</v>
      </c>
      <c r="AL4726">
        <v>0</v>
      </c>
      <c r="AM4726">
        <v>1</v>
      </c>
      <c r="AN4726">
        <v>0</v>
      </c>
      <c r="AO4726">
        <v>1</v>
      </c>
      <c r="AP4726">
        <v>1</v>
      </c>
      <c r="AQ4726">
        <v>1</v>
      </c>
      <c r="AR4726">
        <v>1</v>
      </c>
      <c r="AS4726">
        <v>1</v>
      </c>
      <c r="AT4726">
        <v>0</v>
      </c>
      <c r="AV4726">
        <v>1</v>
      </c>
      <c r="AW4726">
        <v>1</v>
      </c>
    </row>
    <row r="4727" spans="1:49" x14ac:dyDescent="0.25">
      <c r="A4727" t="str">
        <f>"4723"</f>
        <v>4723</v>
      </c>
      <c r="B4727" t="str">
        <f t="shared" si="272"/>
        <v>1</v>
      </c>
      <c r="C4727" t="str">
        <f t="shared" si="273"/>
        <v>206</v>
      </c>
      <c r="D4727" t="str">
        <f>"22"</f>
        <v>22</v>
      </c>
      <c r="E4727" t="str">
        <f>"1-206-22"</f>
        <v>1-206-22</v>
      </c>
      <c r="F4727" t="s">
        <v>83</v>
      </c>
      <c r="G4727" t="s">
        <v>84</v>
      </c>
      <c r="H4727" t="s">
        <v>85</v>
      </c>
      <c r="AC4727">
        <v>0</v>
      </c>
      <c r="AD4727">
        <v>1</v>
      </c>
      <c r="AE4727">
        <v>0</v>
      </c>
      <c r="AF4727">
        <v>0</v>
      </c>
      <c r="AG4727">
        <v>0</v>
      </c>
      <c r="AJ4727">
        <v>0</v>
      </c>
      <c r="AK4727">
        <v>1</v>
      </c>
      <c r="AL4727">
        <v>0</v>
      </c>
      <c r="AM4727">
        <v>0</v>
      </c>
      <c r="AN4727">
        <v>1</v>
      </c>
      <c r="AO4727">
        <v>1</v>
      </c>
      <c r="AP4727">
        <v>1</v>
      </c>
      <c r="AQ4727">
        <v>1</v>
      </c>
      <c r="AR4727">
        <v>1</v>
      </c>
      <c r="AS4727">
        <v>1</v>
      </c>
      <c r="AT4727">
        <v>0</v>
      </c>
      <c r="AV4727">
        <v>1</v>
      </c>
      <c r="AW4727">
        <v>1</v>
      </c>
    </row>
    <row r="4728" spans="1:49" x14ac:dyDescent="0.25">
      <c r="A4728" t="str">
        <f>"4724"</f>
        <v>4724</v>
      </c>
      <c r="B4728" t="str">
        <f t="shared" si="272"/>
        <v>1</v>
      </c>
      <c r="C4728" t="str">
        <f t="shared" si="273"/>
        <v>206</v>
      </c>
      <c r="D4728" t="str">
        <f>"14"</f>
        <v>14</v>
      </c>
      <c r="E4728" t="str">
        <f>"1-206-14"</f>
        <v>1-206-14</v>
      </c>
      <c r="F4728" t="s">
        <v>83</v>
      </c>
      <c r="G4728" t="s">
        <v>84</v>
      </c>
      <c r="H4728" t="s">
        <v>85</v>
      </c>
      <c r="AC4728">
        <v>1</v>
      </c>
      <c r="AD4728">
        <v>0</v>
      </c>
      <c r="AE4728">
        <v>0</v>
      </c>
      <c r="AF4728">
        <v>0</v>
      </c>
      <c r="AG4728">
        <v>1</v>
      </c>
      <c r="AJ4728">
        <v>1</v>
      </c>
      <c r="AK4728">
        <v>0</v>
      </c>
      <c r="AL4728">
        <v>1</v>
      </c>
      <c r="AM4728">
        <v>0</v>
      </c>
      <c r="AN4728">
        <v>0</v>
      </c>
      <c r="AO4728">
        <v>1</v>
      </c>
      <c r="AP4728">
        <v>1</v>
      </c>
      <c r="AQ4728">
        <v>1</v>
      </c>
      <c r="AR4728">
        <v>1</v>
      </c>
      <c r="AS4728">
        <v>1</v>
      </c>
      <c r="AT4728">
        <v>0</v>
      </c>
      <c r="AV4728">
        <v>1</v>
      </c>
      <c r="AW4728">
        <v>1</v>
      </c>
    </row>
    <row r="4729" spans="1:49" x14ac:dyDescent="0.25">
      <c r="A4729" t="str">
        <f>"4725"</f>
        <v>4725</v>
      </c>
      <c r="B4729" t="str">
        <f t="shared" si="272"/>
        <v>1</v>
      </c>
      <c r="C4729" t="str">
        <f t="shared" si="273"/>
        <v>206</v>
      </c>
      <c r="D4729" t="str">
        <f>"9"</f>
        <v>9</v>
      </c>
      <c r="E4729" t="str">
        <f>"1-206-9"</f>
        <v>1-206-9</v>
      </c>
      <c r="F4729" t="s">
        <v>83</v>
      </c>
      <c r="G4729" t="s">
        <v>84</v>
      </c>
      <c r="H4729" t="s">
        <v>85</v>
      </c>
      <c r="AC4729">
        <v>0</v>
      </c>
      <c r="AD4729">
        <v>1</v>
      </c>
      <c r="AE4729">
        <v>0</v>
      </c>
      <c r="AF4729">
        <v>0</v>
      </c>
      <c r="AG4729">
        <v>0</v>
      </c>
      <c r="AJ4729">
        <v>0</v>
      </c>
      <c r="AK4729">
        <v>1</v>
      </c>
      <c r="AL4729">
        <v>1</v>
      </c>
      <c r="AM4729">
        <v>0</v>
      </c>
      <c r="AN4729">
        <v>0</v>
      </c>
      <c r="AO4729">
        <v>0</v>
      </c>
      <c r="AP4729">
        <v>0</v>
      </c>
      <c r="AQ4729">
        <v>1</v>
      </c>
      <c r="AR4729">
        <v>1</v>
      </c>
      <c r="AS4729">
        <v>0</v>
      </c>
      <c r="AT4729">
        <v>0</v>
      </c>
      <c r="AV4729">
        <v>1</v>
      </c>
      <c r="AW4729">
        <v>1</v>
      </c>
    </row>
    <row r="4730" spans="1:49" x14ac:dyDescent="0.25">
      <c r="A4730" t="str">
        <f>"4726"</f>
        <v>4726</v>
      </c>
      <c r="B4730" t="str">
        <f t="shared" si="272"/>
        <v>1</v>
      </c>
      <c r="C4730" t="str">
        <f t="shared" si="273"/>
        <v>206</v>
      </c>
      <c r="D4730" t="str">
        <f>"4"</f>
        <v>4</v>
      </c>
      <c r="E4730" t="str">
        <f>"1-206-4"</f>
        <v>1-206-4</v>
      </c>
      <c r="F4730" t="s">
        <v>83</v>
      </c>
      <c r="G4730" t="s">
        <v>84</v>
      </c>
      <c r="H4730" t="s">
        <v>85</v>
      </c>
      <c r="AC4730">
        <v>1</v>
      </c>
      <c r="AD4730">
        <v>0</v>
      </c>
      <c r="AE4730">
        <v>0</v>
      </c>
      <c r="AF4730">
        <v>0</v>
      </c>
      <c r="AG4730">
        <v>0</v>
      </c>
      <c r="AJ4730">
        <v>0</v>
      </c>
      <c r="AK4730">
        <v>1</v>
      </c>
      <c r="AL4730">
        <v>0</v>
      </c>
      <c r="AM4730">
        <v>1</v>
      </c>
      <c r="AN4730">
        <v>0</v>
      </c>
      <c r="AO4730">
        <v>0</v>
      </c>
      <c r="AP4730">
        <v>0</v>
      </c>
      <c r="AQ4730">
        <v>0</v>
      </c>
      <c r="AR4730">
        <v>0</v>
      </c>
      <c r="AS4730">
        <v>0</v>
      </c>
      <c r="AT4730">
        <v>1</v>
      </c>
      <c r="AV4730">
        <v>0</v>
      </c>
      <c r="AW4730">
        <v>1</v>
      </c>
    </row>
    <row r="4731" spans="1:49" x14ac:dyDescent="0.25">
      <c r="A4731" t="str">
        <f>"4727"</f>
        <v>4727</v>
      </c>
      <c r="B4731" t="str">
        <f t="shared" si="272"/>
        <v>1</v>
      </c>
      <c r="C4731" t="str">
        <f t="shared" si="273"/>
        <v>206</v>
      </c>
      <c r="D4731" t="str">
        <f>"24"</f>
        <v>24</v>
      </c>
      <c r="E4731" t="str">
        <f>"1-206-24"</f>
        <v>1-206-24</v>
      </c>
      <c r="F4731" t="s">
        <v>83</v>
      </c>
      <c r="G4731" t="s">
        <v>84</v>
      </c>
      <c r="H4731" t="s">
        <v>85</v>
      </c>
      <c r="AC4731">
        <v>1</v>
      </c>
      <c r="AD4731">
        <v>0</v>
      </c>
      <c r="AE4731">
        <v>0</v>
      </c>
      <c r="AF4731">
        <v>0</v>
      </c>
      <c r="AG4731">
        <v>1</v>
      </c>
      <c r="AJ4731">
        <v>1</v>
      </c>
      <c r="AK4731">
        <v>0</v>
      </c>
      <c r="AL4731">
        <v>1</v>
      </c>
      <c r="AM4731">
        <v>0</v>
      </c>
      <c r="AN4731">
        <v>0</v>
      </c>
      <c r="AO4731">
        <v>1</v>
      </c>
      <c r="AP4731">
        <v>1</v>
      </c>
      <c r="AQ4731">
        <v>1</v>
      </c>
      <c r="AR4731">
        <v>1</v>
      </c>
      <c r="AS4731">
        <v>1</v>
      </c>
      <c r="AT4731">
        <v>0</v>
      </c>
      <c r="AV4731">
        <v>1</v>
      </c>
      <c r="AW4731">
        <v>1</v>
      </c>
    </row>
    <row r="4732" spans="1:49" x14ac:dyDescent="0.25">
      <c r="A4732" t="str">
        <f>"4728"</f>
        <v>4728</v>
      </c>
      <c r="B4732" t="str">
        <f t="shared" si="272"/>
        <v>1</v>
      </c>
      <c r="C4732" t="str">
        <f t="shared" si="273"/>
        <v>206</v>
      </c>
      <c r="D4732" t="str">
        <f>"16"</f>
        <v>16</v>
      </c>
      <c r="E4732" t="str">
        <f>"1-206-16"</f>
        <v>1-206-16</v>
      </c>
      <c r="F4732" t="s">
        <v>83</v>
      </c>
      <c r="G4732" t="s">
        <v>84</v>
      </c>
      <c r="H4732" t="s">
        <v>85</v>
      </c>
      <c r="AC4732">
        <v>0</v>
      </c>
      <c r="AD4732">
        <v>1</v>
      </c>
      <c r="AE4732">
        <v>0</v>
      </c>
      <c r="AF4732">
        <v>0</v>
      </c>
      <c r="AG4732">
        <v>1</v>
      </c>
      <c r="AJ4732">
        <v>1</v>
      </c>
      <c r="AK4732">
        <v>0</v>
      </c>
      <c r="AL4732">
        <v>0</v>
      </c>
      <c r="AM4732">
        <v>0</v>
      </c>
      <c r="AN4732">
        <v>1</v>
      </c>
      <c r="AO4732">
        <v>1</v>
      </c>
      <c r="AP4732">
        <v>1</v>
      </c>
      <c r="AQ4732">
        <v>1</v>
      </c>
      <c r="AR4732">
        <v>1</v>
      </c>
      <c r="AS4732">
        <v>0</v>
      </c>
      <c r="AT4732">
        <v>1</v>
      </c>
      <c r="AV4732">
        <v>1</v>
      </c>
      <c r="AW4732">
        <v>1</v>
      </c>
    </row>
    <row r="4733" spans="1:49" x14ac:dyDescent="0.25">
      <c r="A4733" t="str">
        <f>"4729"</f>
        <v>4729</v>
      </c>
      <c r="B4733" t="str">
        <f t="shared" si="272"/>
        <v>1</v>
      </c>
      <c r="C4733" t="str">
        <f t="shared" si="273"/>
        <v>206</v>
      </c>
      <c r="D4733" t="str">
        <f>"10"</f>
        <v>10</v>
      </c>
      <c r="E4733" t="str">
        <f>"1-206-10"</f>
        <v>1-206-10</v>
      </c>
      <c r="F4733" t="s">
        <v>83</v>
      </c>
      <c r="G4733" t="s">
        <v>84</v>
      </c>
      <c r="H4733" t="s">
        <v>85</v>
      </c>
      <c r="AC4733">
        <v>1</v>
      </c>
      <c r="AD4733">
        <v>0</v>
      </c>
      <c r="AE4733">
        <v>0</v>
      </c>
      <c r="AF4733">
        <v>0</v>
      </c>
      <c r="AG4733">
        <v>1</v>
      </c>
      <c r="AJ4733">
        <v>0</v>
      </c>
      <c r="AK4733">
        <v>1</v>
      </c>
      <c r="AL4733">
        <v>0</v>
      </c>
      <c r="AM4733">
        <v>0</v>
      </c>
      <c r="AN4733">
        <v>1</v>
      </c>
      <c r="AO4733">
        <v>1</v>
      </c>
      <c r="AP4733">
        <v>1</v>
      </c>
      <c r="AQ4733">
        <v>1</v>
      </c>
      <c r="AR4733">
        <v>1</v>
      </c>
      <c r="AS4733">
        <v>0</v>
      </c>
      <c r="AT4733">
        <v>1</v>
      </c>
      <c r="AV4733">
        <v>1</v>
      </c>
      <c r="AW4733">
        <v>1</v>
      </c>
    </row>
    <row r="4734" spans="1:49" x14ac:dyDescent="0.25">
      <c r="A4734" t="str">
        <f>"4730"</f>
        <v>4730</v>
      </c>
      <c r="B4734" t="str">
        <f t="shared" si="272"/>
        <v>1</v>
      </c>
      <c r="C4734" t="str">
        <f t="shared" si="273"/>
        <v>206</v>
      </c>
      <c r="D4734" t="str">
        <f>"5"</f>
        <v>5</v>
      </c>
      <c r="E4734" t="str">
        <f>"1-206-5"</f>
        <v>1-206-5</v>
      </c>
      <c r="F4734" t="s">
        <v>83</v>
      </c>
      <c r="G4734" t="s">
        <v>84</v>
      </c>
      <c r="H4734" t="s">
        <v>85</v>
      </c>
      <c r="AC4734">
        <v>1</v>
      </c>
      <c r="AD4734">
        <v>0</v>
      </c>
      <c r="AE4734">
        <v>0</v>
      </c>
      <c r="AF4734">
        <v>0</v>
      </c>
      <c r="AG4734">
        <v>1</v>
      </c>
      <c r="AJ4734">
        <v>0</v>
      </c>
      <c r="AK4734">
        <v>1</v>
      </c>
      <c r="AL4734">
        <v>1</v>
      </c>
      <c r="AM4734">
        <v>0</v>
      </c>
      <c r="AN4734">
        <v>0</v>
      </c>
      <c r="AO4734">
        <v>1</v>
      </c>
      <c r="AP4734">
        <v>1</v>
      </c>
      <c r="AQ4734">
        <v>1</v>
      </c>
      <c r="AR4734">
        <v>1</v>
      </c>
      <c r="AS4734">
        <v>1</v>
      </c>
      <c r="AT4734">
        <v>0</v>
      </c>
      <c r="AV4734">
        <v>1</v>
      </c>
      <c r="AW4734">
        <v>1</v>
      </c>
    </row>
    <row r="4735" spans="1:49" x14ac:dyDescent="0.25">
      <c r="A4735" t="str">
        <f>"4731"</f>
        <v>4731</v>
      </c>
      <c r="B4735" t="str">
        <f t="shared" si="272"/>
        <v>1</v>
      </c>
      <c r="C4735" t="str">
        <f t="shared" si="273"/>
        <v>206</v>
      </c>
      <c r="D4735" t="str">
        <f>"20"</f>
        <v>20</v>
      </c>
      <c r="E4735" t="str">
        <f>"1-206-20"</f>
        <v>1-206-20</v>
      </c>
      <c r="F4735" t="s">
        <v>83</v>
      </c>
      <c r="G4735" t="s">
        <v>84</v>
      </c>
      <c r="H4735" t="s">
        <v>85</v>
      </c>
      <c r="AC4735">
        <v>0</v>
      </c>
      <c r="AD4735">
        <v>1</v>
      </c>
      <c r="AE4735">
        <v>0</v>
      </c>
      <c r="AF4735">
        <v>0</v>
      </c>
      <c r="AG4735">
        <v>1</v>
      </c>
      <c r="AJ4735">
        <v>1</v>
      </c>
      <c r="AK4735">
        <v>0</v>
      </c>
      <c r="AL4735">
        <v>0</v>
      </c>
      <c r="AM4735">
        <v>0</v>
      </c>
      <c r="AN4735">
        <v>1</v>
      </c>
      <c r="AO4735">
        <v>1</v>
      </c>
      <c r="AP4735">
        <v>1</v>
      </c>
      <c r="AQ4735">
        <v>1</v>
      </c>
      <c r="AR4735">
        <v>1</v>
      </c>
      <c r="AS4735">
        <v>0</v>
      </c>
      <c r="AT4735">
        <v>1</v>
      </c>
      <c r="AV4735">
        <v>1</v>
      </c>
      <c r="AW4735">
        <v>1</v>
      </c>
    </row>
    <row r="4736" spans="1:49" x14ac:dyDescent="0.25">
      <c r="A4736" t="str">
        <f>"4732"</f>
        <v>4732</v>
      </c>
      <c r="B4736" t="str">
        <f t="shared" si="272"/>
        <v>1</v>
      </c>
      <c r="C4736" t="str">
        <f t="shared" si="273"/>
        <v>206</v>
      </c>
      <c r="D4736" t="str">
        <f>"11"</f>
        <v>11</v>
      </c>
      <c r="E4736" t="str">
        <f>"1-206-11"</f>
        <v>1-206-11</v>
      </c>
      <c r="F4736" t="s">
        <v>83</v>
      </c>
      <c r="G4736" t="s">
        <v>84</v>
      </c>
      <c r="H4736" t="s">
        <v>85</v>
      </c>
      <c r="AC4736">
        <v>1</v>
      </c>
      <c r="AD4736">
        <v>0</v>
      </c>
      <c r="AE4736">
        <v>0</v>
      </c>
      <c r="AF4736">
        <v>0</v>
      </c>
      <c r="AG4736">
        <v>1</v>
      </c>
      <c r="AJ4736">
        <v>1</v>
      </c>
      <c r="AK4736">
        <v>0</v>
      </c>
      <c r="AL4736">
        <v>1</v>
      </c>
      <c r="AM4736">
        <v>0</v>
      </c>
      <c r="AN4736">
        <v>0</v>
      </c>
      <c r="AO4736">
        <v>1</v>
      </c>
      <c r="AP4736">
        <v>1</v>
      </c>
      <c r="AQ4736">
        <v>1</v>
      </c>
      <c r="AR4736">
        <v>1</v>
      </c>
      <c r="AS4736">
        <v>0</v>
      </c>
      <c r="AT4736">
        <v>1</v>
      </c>
      <c r="AV4736">
        <v>1</v>
      </c>
      <c r="AW4736">
        <v>1</v>
      </c>
    </row>
    <row r="4737" spans="1:49" x14ac:dyDescent="0.25">
      <c r="A4737" t="str">
        <f>"4733"</f>
        <v>4733</v>
      </c>
      <c r="B4737" t="str">
        <f t="shared" si="272"/>
        <v>1</v>
      </c>
      <c r="C4737" t="str">
        <f t="shared" si="273"/>
        <v>206</v>
      </c>
      <c r="D4737" t="str">
        <f>"6"</f>
        <v>6</v>
      </c>
      <c r="E4737" t="str">
        <f>"1-206-6"</f>
        <v>1-206-6</v>
      </c>
      <c r="F4737" t="s">
        <v>83</v>
      </c>
      <c r="G4737" t="s">
        <v>84</v>
      </c>
      <c r="H4737" t="s">
        <v>85</v>
      </c>
      <c r="AC4737">
        <v>1</v>
      </c>
      <c r="AD4737">
        <v>0</v>
      </c>
      <c r="AE4737">
        <v>0</v>
      </c>
      <c r="AF4737">
        <v>0</v>
      </c>
      <c r="AG4737">
        <v>1</v>
      </c>
      <c r="AJ4737">
        <v>0</v>
      </c>
      <c r="AK4737">
        <v>1</v>
      </c>
      <c r="AL4737">
        <v>1</v>
      </c>
      <c r="AM4737">
        <v>0</v>
      </c>
      <c r="AN4737">
        <v>0</v>
      </c>
      <c r="AO4737">
        <v>1</v>
      </c>
      <c r="AP4737">
        <v>1</v>
      </c>
      <c r="AQ4737">
        <v>1</v>
      </c>
      <c r="AR4737">
        <v>1</v>
      </c>
      <c r="AS4737">
        <v>0</v>
      </c>
      <c r="AT4737">
        <v>1</v>
      </c>
      <c r="AV4737">
        <v>1</v>
      </c>
      <c r="AW4737">
        <v>1</v>
      </c>
    </row>
    <row r="4738" spans="1:49" x14ac:dyDescent="0.25">
      <c r="A4738" t="str">
        <f>"4734"</f>
        <v>4734</v>
      </c>
      <c r="B4738" t="str">
        <f t="shared" si="272"/>
        <v>1</v>
      </c>
      <c r="C4738" t="str">
        <f t="shared" si="273"/>
        <v>206</v>
      </c>
      <c r="D4738" t="str">
        <f>"15"</f>
        <v>15</v>
      </c>
      <c r="E4738" t="str">
        <f>"1-206-15"</f>
        <v>1-206-15</v>
      </c>
      <c r="F4738" t="s">
        <v>83</v>
      </c>
      <c r="G4738" t="s">
        <v>84</v>
      </c>
      <c r="H4738" t="s">
        <v>85</v>
      </c>
      <c r="AC4738">
        <v>1</v>
      </c>
      <c r="AD4738">
        <v>0</v>
      </c>
      <c r="AE4738">
        <v>0</v>
      </c>
      <c r="AF4738">
        <v>0</v>
      </c>
      <c r="AG4738">
        <v>1</v>
      </c>
      <c r="AJ4738">
        <v>1</v>
      </c>
      <c r="AK4738">
        <v>0</v>
      </c>
      <c r="AL4738">
        <v>1</v>
      </c>
      <c r="AM4738">
        <v>0</v>
      </c>
      <c r="AN4738">
        <v>0</v>
      </c>
      <c r="AO4738">
        <v>1</v>
      </c>
      <c r="AP4738">
        <v>1</v>
      </c>
      <c r="AQ4738">
        <v>1</v>
      </c>
      <c r="AR4738">
        <v>1</v>
      </c>
      <c r="AS4738">
        <v>1</v>
      </c>
      <c r="AT4738">
        <v>0</v>
      </c>
      <c r="AV4738">
        <v>1</v>
      </c>
      <c r="AW4738">
        <v>1</v>
      </c>
    </row>
    <row r="4739" spans="1:49" x14ac:dyDescent="0.25">
      <c r="A4739" t="str">
        <f>"4735"</f>
        <v>4735</v>
      </c>
      <c r="B4739" t="str">
        <f t="shared" si="272"/>
        <v>1</v>
      </c>
      <c r="C4739" t="str">
        <f t="shared" si="273"/>
        <v>206</v>
      </c>
      <c r="D4739" t="str">
        <f>"12"</f>
        <v>12</v>
      </c>
      <c r="E4739" t="str">
        <f>"1-206-12"</f>
        <v>1-206-12</v>
      </c>
      <c r="F4739" t="s">
        <v>83</v>
      </c>
      <c r="G4739" t="s">
        <v>84</v>
      </c>
      <c r="H4739" t="s">
        <v>85</v>
      </c>
      <c r="AC4739">
        <v>1</v>
      </c>
      <c r="AD4739">
        <v>0</v>
      </c>
      <c r="AE4739">
        <v>0</v>
      </c>
      <c r="AF4739">
        <v>0</v>
      </c>
      <c r="AG4739">
        <v>1</v>
      </c>
      <c r="AJ4739">
        <v>1</v>
      </c>
      <c r="AK4739">
        <v>0</v>
      </c>
      <c r="AL4739">
        <v>1</v>
      </c>
      <c r="AM4739">
        <v>0</v>
      </c>
      <c r="AN4739">
        <v>0</v>
      </c>
      <c r="AO4739">
        <v>1</v>
      </c>
      <c r="AP4739">
        <v>1</v>
      </c>
      <c r="AQ4739">
        <v>1</v>
      </c>
      <c r="AR4739">
        <v>1</v>
      </c>
      <c r="AS4739">
        <v>0</v>
      </c>
      <c r="AT4739">
        <v>1</v>
      </c>
      <c r="AV4739">
        <v>1</v>
      </c>
      <c r="AW4739">
        <v>1</v>
      </c>
    </row>
    <row r="4740" spans="1:49" x14ac:dyDescent="0.25">
      <c r="A4740" t="str">
        <f>"4736"</f>
        <v>4736</v>
      </c>
      <c r="B4740" t="str">
        <f t="shared" si="272"/>
        <v>1</v>
      </c>
      <c r="C4740" t="str">
        <f t="shared" si="273"/>
        <v>206</v>
      </c>
      <c r="D4740" t="str">
        <f>"3"</f>
        <v>3</v>
      </c>
      <c r="E4740" t="str">
        <f>"1-206-3"</f>
        <v>1-206-3</v>
      </c>
      <c r="F4740" t="s">
        <v>83</v>
      </c>
      <c r="G4740" t="s">
        <v>84</v>
      </c>
      <c r="H4740" t="s">
        <v>85</v>
      </c>
      <c r="AC4740">
        <v>0</v>
      </c>
      <c r="AD4740">
        <v>1</v>
      </c>
      <c r="AE4740">
        <v>0</v>
      </c>
      <c r="AF4740">
        <v>0</v>
      </c>
      <c r="AG4740">
        <v>1</v>
      </c>
      <c r="AJ4740">
        <v>1</v>
      </c>
      <c r="AK4740">
        <v>0</v>
      </c>
      <c r="AL4740">
        <v>0</v>
      </c>
      <c r="AM4740">
        <v>1</v>
      </c>
      <c r="AN4740">
        <v>0</v>
      </c>
      <c r="AO4740">
        <v>1</v>
      </c>
      <c r="AP4740">
        <v>1</v>
      </c>
      <c r="AQ4740">
        <v>1</v>
      </c>
      <c r="AR4740">
        <v>1</v>
      </c>
      <c r="AS4740">
        <v>0</v>
      </c>
      <c r="AT4740">
        <v>1</v>
      </c>
      <c r="AV4740">
        <v>1</v>
      </c>
      <c r="AW4740">
        <v>1</v>
      </c>
    </row>
    <row r="4741" spans="1:49" x14ac:dyDescent="0.25">
      <c r="A4741" t="str">
        <f>"4737"</f>
        <v>4737</v>
      </c>
      <c r="B4741" t="str">
        <f t="shared" si="272"/>
        <v>1</v>
      </c>
      <c r="C4741" t="str">
        <f t="shared" si="273"/>
        <v>206</v>
      </c>
      <c r="D4741" t="str">
        <f>"19"</f>
        <v>19</v>
      </c>
      <c r="E4741" t="str">
        <f>"1-206-19"</f>
        <v>1-206-19</v>
      </c>
      <c r="F4741" t="s">
        <v>83</v>
      </c>
      <c r="G4741" t="s">
        <v>84</v>
      </c>
      <c r="H4741" t="s">
        <v>85</v>
      </c>
      <c r="AC4741">
        <v>0</v>
      </c>
      <c r="AD4741">
        <v>1</v>
      </c>
      <c r="AE4741">
        <v>0</v>
      </c>
      <c r="AF4741">
        <v>0</v>
      </c>
      <c r="AG4741">
        <v>1</v>
      </c>
      <c r="AJ4741">
        <v>0</v>
      </c>
      <c r="AK4741">
        <v>1</v>
      </c>
      <c r="AL4741">
        <v>0</v>
      </c>
      <c r="AM4741">
        <v>0</v>
      </c>
      <c r="AN4741">
        <v>1</v>
      </c>
      <c r="AO4741">
        <v>1</v>
      </c>
      <c r="AP4741">
        <v>1</v>
      </c>
      <c r="AQ4741">
        <v>1</v>
      </c>
      <c r="AR4741">
        <v>1</v>
      </c>
      <c r="AS4741">
        <v>0</v>
      </c>
      <c r="AT4741">
        <v>0</v>
      </c>
      <c r="AV4741">
        <v>1</v>
      </c>
      <c r="AW4741">
        <v>1</v>
      </c>
    </row>
    <row r="4742" spans="1:49" x14ac:dyDescent="0.25">
      <c r="A4742" t="str">
        <f>"4738"</f>
        <v>4738</v>
      </c>
      <c r="B4742" t="str">
        <f t="shared" si="272"/>
        <v>1</v>
      </c>
      <c r="C4742" t="str">
        <f t="shared" si="273"/>
        <v>206</v>
      </c>
      <c r="D4742" t="str">
        <f>"2"</f>
        <v>2</v>
      </c>
      <c r="E4742" t="str">
        <f>"1-206-2"</f>
        <v>1-206-2</v>
      </c>
      <c r="F4742" t="s">
        <v>83</v>
      </c>
      <c r="G4742" t="s">
        <v>84</v>
      </c>
      <c r="H4742" t="s">
        <v>85</v>
      </c>
      <c r="AC4742">
        <v>1</v>
      </c>
      <c r="AD4742">
        <v>0</v>
      </c>
      <c r="AE4742">
        <v>0</v>
      </c>
      <c r="AF4742">
        <v>0</v>
      </c>
      <c r="AG4742">
        <v>0</v>
      </c>
      <c r="AJ4742">
        <v>0</v>
      </c>
      <c r="AK4742">
        <v>1</v>
      </c>
      <c r="AL4742">
        <v>0</v>
      </c>
      <c r="AM4742">
        <v>1</v>
      </c>
      <c r="AN4742">
        <v>0</v>
      </c>
      <c r="AO4742">
        <v>0</v>
      </c>
      <c r="AP4742">
        <v>0</v>
      </c>
      <c r="AQ4742">
        <v>0</v>
      </c>
      <c r="AR4742">
        <v>0</v>
      </c>
      <c r="AS4742">
        <v>0</v>
      </c>
      <c r="AT4742">
        <v>1</v>
      </c>
      <c r="AV4742">
        <v>0</v>
      </c>
      <c r="AW4742">
        <v>1</v>
      </c>
    </row>
    <row r="4743" spans="1:49" x14ac:dyDescent="0.25">
      <c r="A4743" t="str">
        <f>"4739"</f>
        <v>4739</v>
      </c>
      <c r="B4743" t="str">
        <f t="shared" si="272"/>
        <v>1</v>
      </c>
      <c r="C4743" t="str">
        <f t="shared" si="273"/>
        <v>206</v>
      </c>
      <c r="D4743" t="str">
        <f>"21"</f>
        <v>21</v>
      </c>
      <c r="E4743" t="str">
        <f>"1-206-21"</f>
        <v>1-206-21</v>
      </c>
      <c r="F4743" t="s">
        <v>83</v>
      </c>
      <c r="G4743" t="s">
        <v>84</v>
      </c>
      <c r="H4743" t="s">
        <v>85</v>
      </c>
      <c r="AC4743">
        <v>0</v>
      </c>
      <c r="AD4743">
        <v>1</v>
      </c>
      <c r="AE4743">
        <v>0</v>
      </c>
      <c r="AF4743">
        <v>0</v>
      </c>
      <c r="AG4743">
        <v>1</v>
      </c>
      <c r="AJ4743">
        <v>0</v>
      </c>
      <c r="AK4743">
        <v>1</v>
      </c>
      <c r="AL4743">
        <v>1</v>
      </c>
      <c r="AM4743">
        <v>0</v>
      </c>
      <c r="AN4743">
        <v>0</v>
      </c>
      <c r="AO4743">
        <v>1</v>
      </c>
      <c r="AP4743">
        <v>1</v>
      </c>
      <c r="AQ4743">
        <v>1</v>
      </c>
      <c r="AR4743">
        <v>1</v>
      </c>
      <c r="AS4743">
        <v>0</v>
      </c>
      <c r="AT4743">
        <v>1</v>
      </c>
      <c r="AV4743">
        <v>1</v>
      </c>
      <c r="AW4743">
        <v>1</v>
      </c>
    </row>
    <row r="4744" spans="1:49" x14ac:dyDescent="0.25">
      <c r="A4744" t="str">
        <f>"4740"</f>
        <v>4740</v>
      </c>
      <c r="B4744" t="str">
        <f t="shared" si="272"/>
        <v>1</v>
      </c>
      <c r="C4744" t="str">
        <f t="shared" si="273"/>
        <v>206</v>
      </c>
      <c r="D4744" t="str">
        <f>"7"</f>
        <v>7</v>
      </c>
      <c r="E4744" t="str">
        <f>"1-206-7"</f>
        <v>1-206-7</v>
      </c>
      <c r="F4744" t="s">
        <v>83</v>
      </c>
      <c r="G4744" t="s">
        <v>84</v>
      </c>
      <c r="H4744" t="s">
        <v>85</v>
      </c>
      <c r="AC4744">
        <v>0</v>
      </c>
      <c r="AD4744">
        <v>1</v>
      </c>
      <c r="AE4744">
        <v>0</v>
      </c>
      <c r="AF4744">
        <v>0</v>
      </c>
      <c r="AG4744">
        <v>1</v>
      </c>
      <c r="AJ4744">
        <v>0</v>
      </c>
      <c r="AK4744">
        <v>1</v>
      </c>
      <c r="AL4744">
        <v>0</v>
      </c>
      <c r="AM4744">
        <v>0</v>
      </c>
      <c r="AN4744">
        <v>1</v>
      </c>
      <c r="AO4744">
        <v>1</v>
      </c>
      <c r="AP4744">
        <v>1</v>
      </c>
      <c r="AQ4744">
        <v>1</v>
      </c>
      <c r="AR4744">
        <v>1</v>
      </c>
      <c r="AS4744">
        <v>0</v>
      </c>
      <c r="AT4744">
        <v>1</v>
      </c>
      <c r="AV4744">
        <v>1</v>
      </c>
      <c r="AW4744">
        <v>0</v>
      </c>
    </row>
    <row r="4745" spans="1:49" x14ac:dyDescent="0.25">
      <c r="A4745" t="str">
        <f>"4741"</f>
        <v>4741</v>
      </c>
      <c r="B4745" t="str">
        <f t="shared" si="272"/>
        <v>1</v>
      </c>
      <c r="C4745" t="str">
        <f t="shared" ref="C4745:C4769" si="274">"207"</f>
        <v>207</v>
      </c>
      <c r="D4745" t="str">
        <f>"20"</f>
        <v>20</v>
      </c>
      <c r="E4745" t="str">
        <f>"1-207-20"</f>
        <v>1-207-20</v>
      </c>
      <c r="F4745" t="s">
        <v>83</v>
      </c>
      <c r="G4745" t="s">
        <v>84</v>
      </c>
      <c r="H4745" t="s">
        <v>85</v>
      </c>
      <c r="AC4745">
        <v>0</v>
      </c>
      <c r="AD4745">
        <v>1</v>
      </c>
      <c r="AE4745">
        <v>0</v>
      </c>
      <c r="AF4745">
        <v>0</v>
      </c>
      <c r="AG4745">
        <v>1</v>
      </c>
      <c r="AJ4745">
        <v>0</v>
      </c>
      <c r="AK4745">
        <v>1</v>
      </c>
      <c r="AL4745">
        <v>0</v>
      </c>
      <c r="AM4745">
        <v>0</v>
      </c>
      <c r="AN4745">
        <v>1</v>
      </c>
      <c r="AO4745">
        <v>1</v>
      </c>
      <c r="AP4745">
        <v>1</v>
      </c>
      <c r="AQ4745">
        <v>1</v>
      </c>
      <c r="AR4745">
        <v>1</v>
      </c>
      <c r="AS4745">
        <v>1</v>
      </c>
      <c r="AT4745">
        <v>0</v>
      </c>
      <c r="AV4745">
        <v>1</v>
      </c>
      <c r="AW4745">
        <v>1</v>
      </c>
    </row>
    <row r="4746" spans="1:49" x14ac:dyDescent="0.25">
      <c r="A4746" t="str">
        <f>"4742"</f>
        <v>4742</v>
      </c>
      <c r="B4746" t="str">
        <f t="shared" si="272"/>
        <v>1</v>
      </c>
      <c r="C4746" t="str">
        <f t="shared" si="274"/>
        <v>207</v>
      </c>
      <c r="D4746" t="str">
        <f>"19"</f>
        <v>19</v>
      </c>
      <c r="E4746" t="str">
        <f>"1-207-19"</f>
        <v>1-207-19</v>
      </c>
      <c r="F4746" t="s">
        <v>83</v>
      </c>
      <c r="G4746" t="s">
        <v>84</v>
      </c>
      <c r="H4746" t="s">
        <v>85</v>
      </c>
      <c r="AC4746">
        <v>0</v>
      </c>
      <c r="AD4746">
        <v>1</v>
      </c>
      <c r="AE4746">
        <v>0</v>
      </c>
      <c r="AF4746">
        <v>0</v>
      </c>
      <c r="AG4746">
        <v>0</v>
      </c>
      <c r="AJ4746">
        <v>0</v>
      </c>
      <c r="AK4746">
        <v>1</v>
      </c>
      <c r="AL4746">
        <v>1</v>
      </c>
      <c r="AM4746">
        <v>0</v>
      </c>
      <c r="AN4746">
        <v>0</v>
      </c>
      <c r="AO4746">
        <v>1</v>
      </c>
      <c r="AP4746">
        <v>1</v>
      </c>
      <c r="AQ4746">
        <v>1</v>
      </c>
      <c r="AR4746">
        <v>1</v>
      </c>
      <c r="AS4746">
        <v>0</v>
      </c>
      <c r="AT4746">
        <v>1</v>
      </c>
      <c r="AV4746">
        <v>1</v>
      </c>
      <c r="AW4746">
        <v>1</v>
      </c>
    </row>
    <row r="4747" spans="1:49" x14ac:dyDescent="0.25">
      <c r="A4747" t="str">
        <f>"4743"</f>
        <v>4743</v>
      </c>
      <c r="B4747" t="str">
        <f t="shared" si="272"/>
        <v>1</v>
      </c>
      <c r="C4747" t="str">
        <f t="shared" si="274"/>
        <v>207</v>
      </c>
      <c r="D4747" t="str">
        <f>"13"</f>
        <v>13</v>
      </c>
      <c r="E4747" t="str">
        <f>"1-207-13"</f>
        <v>1-207-13</v>
      </c>
      <c r="F4747" t="s">
        <v>83</v>
      </c>
      <c r="G4747" t="s">
        <v>84</v>
      </c>
      <c r="H4747" t="s">
        <v>85</v>
      </c>
      <c r="AC4747">
        <v>0</v>
      </c>
      <c r="AD4747">
        <v>1</v>
      </c>
      <c r="AE4747">
        <v>0</v>
      </c>
      <c r="AF4747">
        <v>0</v>
      </c>
      <c r="AG4747">
        <v>0</v>
      </c>
      <c r="AJ4747">
        <v>0</v>
      </c>
      <c r="AK4747">
        <v>1</v>
      </c>
      <c r="AL4747">
        <v>0</v>
      </c>
      <c r="AM4747">
        <v>0</v>
      </c>
      <c r="AN4747">
        <v>1</v>
      </c>
      <c r="AO4747">
        <v>0</v>
      </c>
      <c r="AP4747">
        <v>0</v>
      </c>
      <c r="AQ4747">
        <v>0</v>
      </c>
      <c r="AR4747">
        <v>0</v>
      </c>
      <c r="AS4747">
        <v>0</v>
      </c>
      <c r="AT4747">
        <v>1</v>
      </c>
      <c r="AV4747">
        <v>0</v>
      </c>
      <c r="AW4747">
        <v>1</v>
      </c>
    </row>
    <row r="4748" spans="1:49" x14ac:dyDescent="0.25">
      <c r="A4748" t="str">
        <f>"4744"</f>
        <v>4744</v>
      </c>
      <c r="B4748" t="str">
        <f t="shared" si="272"/>
        <v>1</v>
      </c>
      <c r="C4748" t="str">
        <f t="shared" si="274"/>
        <v>207</v>
      </c>
      <c r="D4748" t="str">
        <f>"8"</f>
        <v>8</v>
      </c>
      <c r="E4748" t="str">
        <f>"1-207-8"</f>
        <v>1-207-8</v>
      </c>
      <c r="F4748" t="s">
        <v>83</v>
      </c>
      <c r="G4748" t="s">
        <v>84</v>
      </c>
      <c r="H4748" t="s">
        <v>85</v>
      </c>
      <c r="AC4748">
        <v>0</v>
      </c>
      <c r="AD4748">
        <v>1</v>
      </c>
      <c r="AE4748">
        <v>0</v>
      </c>
      <c r="AF4748">
        <v>0</v>
      </c>
      <c r="AG4748">
        <v>1</v>
      </c>
      <c r="AJ4748">
        <v>0</v>
      </c>
      <c r="AK4748">
        <v>1</v>
      </c>
      <c r="AL4748">
        <v>0</v>
      </c>
      <c r="AM4748">
        <v>0</v>
      </c>
      <c r="AN4748">
        <v>1</v>
      </c>
      <c r="AO4748">
        <v>1</v>
      </c>
      <c r="AP4748">
        <v>1</v>
      </c>
      <c r="AQ4748">
        <v>1</v>
      </c>
      <c r="AR4748">
        <v>1</v>
      </c>
      <c r="AS4748">
        <v>1</v>
      </c>
      <c r="AT4748">
        <v>0</v>
      </c>
      <c r="AV4748">
        <v>1</v>
      </c>
      <c r="AW4748">
        <v>1</v>
      </c>
    </row>
    <row r="4749" spans="1:49" x14ac:dyDescent="0.25">
      <c r="A4749" t="str">
        <f>"4745"</f>
        <v>4745</v>
      </c>
      <c r="B4749" t="str">
        <f t="shared" si="272"/>
        <v>1</v>
      </c>
      <c r="C4749" t="str">
        <f t="shared" si="274"/>
        <v>207</v>
      </c>
      <c r="D4749" t="str">
        <f>"1"</f>
        <v>1</v>
      </c>
      <c r="E4749" t="str">
        <f>"1-207-1"</f>
        <v>1-207-1</v>
      </c>
      <c r="F4749" t="s">
        <v>83</v>
      </c>
      <c r="G4749" t="s">
        <v>84</v>
      </c>
      <c r="H4749" t="s">
        <v>85</v>
      </c>
      <c r="AC4749">
        <v>0</v>
      </c>
      <c r="AD4749">
        <v>1</v>
      </c>
      <c r="AE4749">
        <v>0</v>
      </c>
      <c r="AF4749">
        <v>0</v>
      </c>
      <c r="AG4749">
        <v>1</v>
      </c>
      <c r="AJ4749">
        <v>0</v>
      </c>
      <c r="AK4749">
        <v>1</v>
      </c>
      <c r="AL4749">
        <v>0</v>
      </c>
      <c r="AM4749">
        <v>0</v>
      </c>
      <c r="AN4749">
        <v>1</v>
      </c>
      <c r="AO4749">
        <v>1</v>
      </c>
      <c r="AP4749">
        <v>1</v>
      </c>
      <c r="AQ4749">
        <v>1</v>
      </c>
      <c r="AR4749">
        <v>1</v>
      </c>
      <c r="AS4749">
        <v>0</v>
      </c>
      <c r="AT4749">
        <v>0</v>
      </c>
      <c r="AV4749">
        <v>1</v>
      </c>
      <c r="AW4749">
        <v>1</v>
      </c>
    </row>
    <row r="4750" spans="1:49" x14ac:dyDescent="0.25">
      <c r="A4750" t="str">
        <f>"4746"</f>
        <v>4746</v>
      </c>
      <c r="B4750" t="str">
        <f t="shared" si="272"/>
        <v>1</v>
      </c>
      <c r="C4750" t="str">
        <f t="shared" si="274"/>
        <v>207</v>
      </c>
      <c r="D4750" t="str">
        <f>"25"</f>
        <v>25</v>
      </c>
      <c r="E4750" t="str">
        <f>"1-207-25"</f>
        <v>1-207-25</v>
      </c>
      <c r="F4750" t="s">
        <v>83</v>
      </c>
      <c r="G4750" t="s">
        <v>84</v>
      </c>
      <c r="H4750" t="s">
        <v>85</v>
      </c>
      <c r="AC4750">
        <v>0</v>
      </c>
      <c r="AD4750">
        <v>1</v>
      </c>
      <c r="AE4750">
        <v>0</v>
      </c>
      <c r="AF4750">
        <v>0</v>
      </c>
      <c r="AG4750">
        <v>1</v>
      </c>
      <c r="AJ4750">
        <v>1</v>
      </c>
      <c r="AK4750">
        <v>0</v>
      </c>
      <c r="AL4750">
        <v>1</v>
      </c>
      <c r="AM4750">
        <v>0</v>
      </c>
      <c r="AN4750">
        <v>0</v>
      </c>
      <c r="AO4750">
        <v>1</v>
      </c>
      <c r="AP4750">
        <v>1</v>
      </c>
      <c r="AQ4750">
        <v>1</v>
      </c>
      <c r="AR4750">
        <v>1</v>
      </c>
      <c r="AS4750">
        <v>1</v>
      </c>
      <c r="AT4750">
        <v>0</v>
      </c>
      <c r="AV4750">
        <v>1</v>
      </c>
      <c r="AW4750">
        <v>1</v>
      </c>
    </row>
    <row r="4751" spans="1:49" x14ac:dyDescent="0.25">
      <c r="A4751" t="str">
        <f>"4747"</f>
        <v>4747</v>
      </c>
      <c r="B4751" t="str">
        <f t="shared" si="272"/>
        <v>1</v>
      </c>
      <c r="C4751" t="str">
        <f t="shared" si="274"/>
        <v>207</v>
      </c>
      <c r="D4751" t="str">
        <f>"24"</f>
        <v>24</v>
      </c>
      <c r="E4751" t="str">
        <f>"1-207-24"</f>
        <v>1-207-24</v>
      </c>
      <c r="F4751" t="s">
        <v>83</v>
      </c>
      <c r="G4751" t="s">
        <v>84</v>
      </c>
      <c r="H4751" t="s">
        <v>85</v>
      </c>
      <c r="AC4751">
        <v>0</v>
      </c>
      <c r="AD4751">
        <v>1</v>
      </c>
      <c r="AE4751">
        <v>0</v>
      </c>
      <c r="AF4751">
        <v>0</v>
      </c>
      <c r="AG4751">
        <v>0</v>
      </c>
      <c r="AJ4751">
        <v>0</v>
      </c>
      <c r="AK4751">
        <v>1</v>
      </c>
      <c r="AL4751">
        <v>0</v>
      </c>
      <c r="AM4751">
        <v>0</v>
      </c>
      <c r="AN4751">
        <v>1</v>
      </c>
      <c r="AO4751">
        <v>1</v>
      </c>
      <c r="AP4751">
        <v>1</v>
      </c>
      <c r="AQ4751">
        <v>1</v>
      </c>
      <c r="AR4751">
        <v>1</v>
      </c>
      <c r="AS4751">
        <v>0</v>
      </c>
      <c r="AT4751">
        <v>0</v>
      </c>
      <c r="AV4751">
        <v>1</v>
      </c>
      <c r="AW4751">
        <v>1</v>
      </c>
    </row>
    <row r="4752" spans="1:49" x14ac:dyDescent="0.25">
      <c r="A4752" t="str">
        <f>"4748"</f>
        <v>4748</v>
      </c>
      <c r="B4752" t="str">
        <f t="shared" si="272"/>
        <v>1</v>
      </c>
      <c r="C4752" t="str">
        <f t="shared" si="274"/>
        <v>207</v>
      </c>
      <c r="D4752" t="str">
        <f>"15"</f>
        <v>15</v>
      </c>
      <c r="E4752" t="str">
        <f>"1-207-15"</f>
        <v>1-207-15</v>
      </c>
      <c r="F4752" t="s">
        <v>83</v>
      </c>
      <c r="G4752" t="s">
        <v>84</v>
      </c>
      <c r="H4752" t="s">
        <v>85</v>
      </c>
      <c r="AC4752">
        <v>1</v>
      </c>
      <c r="AD4752">
        <v>0</v>
      </c>
      <c r="AE4752">
        <v>0</v>
      </c>
      <c r="AF4752">
        <v>0</v>
      </c>
      <c r="AG4752">
        <v>1</v>
      </c>
      <c r="AJ4752">
        <v>1</v>
      </c>
      <c r="AK4752">
        <v>0</v>
      </c>
      <c r="AL4752">
        <v>0</v>
      </c>
      <c r="AM4752">
        <v>1</v>
      </c>
      <c r="AN4752">
        <v>0</v>
      </c>
      <c r="AO4752">
        <v>1</v>
      </c>
      <c r="AP4752">
        <v>1</v>
      </c>
      <c r="AQ4752">
        <v>1</v>
      </c>
      <c r="AR4752">
        <v>1</v>
      </c>
      <c r="AS4752">
        <v>0</v>
      </c>
      <c r="AT4752">
        <v>1</v>
      </c>
      <c r="AV4752">
        <v>1</v>
      </c>
      <c r="AW4752">
        <v>1</v>
      </c>
    </row>
    <row r="4753" spans="1:49" x14ac:dyDescent="0.25">
      <c r="A4753" t="str">
        <f>"4749"</f>
        <v>4749</v>
      </c>
      <c r="B4753" t="str">
        <f t="shared" si="272"/>
        <v>1</v>
      </c>
      <c r="C4753" t="str">
        <f t="shared" si="274"/>
        <v>207</v>
      </c>
      <c r="D4753" t="str">
        <f>"9"</f>
        <v>9</v>
      </c>
      <c r="E4753" t="str">
        <f>"1-207-9"</f>
        <v>1-207-9</v>
      </c>
      <c r="F4753" t="s">
        <v>83</v>
      </c>
      <c r="G4753" t="s">
        <v>84</v>
      </c>
      <c r="H4753" t="s">
        <v>85</v>
      </c>
      <c r="AC4753">
        <v>0</v>
      </c>
      <c r="AD4753">
        <v>1</v>
      </c>
      <c r="AE4753">
        <v>0</v>
      </c>
      <c r="AF4753">
        <v>0</v>
      </c>
      <c r="AG4753">
        <v>0</v>
      </c>
      <c r="AJ4753">
        <v>0</v>
      </c>
      <c r="AK4753">
        <v>1</v>
      </c>
      <c r="AL4753">
        <v>0</v>
      </c>
      <c r="AM4753">
        <v>0</v>
      </c>
      <c r="AN4753">
        <v>1</v>
      </c>
      <c r="AO4753">
        <v>0</v>
      </c>
      <c r="AP4753">
        <v>1</v>
      </c>
      <c r="AQ4753">
        <v>1</v>
      </c>
      <c r="AR4753">
        <v>1</v>
      </c>
      <c r="AS4753">
        <v>1</v>
      </c>
      <c r="AT4753">
        <v>0</v>
      </c>
      <c r="AV4753">
        <v>1</v>
      </c>
      <c r="AW4753">
        <v>1</v>
      </c>
    </row>
    <row r="4754" spans="1:49" x14ac:dyDescent="0.25">
      <c r="A4754" t="str">
        <f>"4750"</f>
        <v>4750</v>
      </c>
      <c r="B4754" t="str">
        <f t="shared" si="272"/>
        <v>1</v>
      </c>
      <c r="C4754" t="str">
        <f t="shared" si="274"/>
        <v>207</v>
      </c>
      <c r="D4754" t="str">
        <f>"6"</f>
        <v>6</v>
      </c>
      <c r="E4754" t="str">
        <f>"1-207-6"</f>
        <v>1-207-6</v>
      </c>
      <c r="F4754" t="s">
        <v>83</v>
      </c>
      <c r="G4754" t="s">
        <v>84</v>
      </c>
      <c r="H4754" t="s">
        <v>85</v>
      </c>
      <c r="AC4754">
        <v>1</v>
      </c>
      <c r="AD4754">
        <v>0</v>
      </c>
      <c r="AE4754">
        <v>0</v>
      </c>
      <c r="AF4754">
        <v>0</v>
      </c>
      <c r="AG4754">
        <v>1</v>
      </c>
      <c r="AJ4754">
        <v>0</v>
      </c>
      <c r="AK4754">
        <v>1</v>
      </c>
      <c r="AL4754">
        <v>0</v>
      </c>
      <c r="AM4754">
        <v>0</v>
      </c>
      <c r="AN4754">
        <v>1</v>
      </c>
      <c r="AO4754">
        <v>1</v>
      </c>
      <c r="AP4754">
        <v>1</v>
      </c>
      <c r="AQ4754">
        <v>1</v>
      </c>
      <c r="AR4754">
        <v>1</v>
      </c>
      <c r="AS4754">
        <v>1</v>
      </c>
      <c r="AT4754">
        <v>0</v>
      </c>
      <c r="AV4754">
        <v>1</v>
      </c>
      <c r="AW4754">
        <v>1</v>
      </c>
    </row>
    <row r="4755" spans="1:49" x14ac:dyDescent="0.25">
      <c r="A4755" t="str">
        <f>"4751"</f>
        <v>4751</v>
      </c>
      <c r="B4755" t="str">
        <f t="shared" si="272"/>
        <v>1</v>
      </c>
      <c r="C4755" t="str">
        <f t="shared" si="274"/>
        <v>207</v>
      </c>
      <c r="D4755" t="str">
        <f>"23"</f>
        <v>23</v>
      </c>
      <c r="E4755" t="str">
        <f>"1-207-23"</f>
        <v>1-207-23</v>
      </c>
      <c r="F4755" t="s">
        <v>83</v>
      </c>
      <c r="G4755" t="s">
        <v>84</v>
      </c>
      <c r="H4755" t="s">
        <v>85</v>
      </c>
      <c r="AC4755">
        <v>0</v>
      </c>
      <c r="AD4755">
        <v>0</v>
      </c>
      <c r="AE4755">
        <v>0</v>
      </c>
      <c r="AF4755">
        <v>0</v>
      </c>
      <c r="AG4755">
        <v>0</v>
      </c>
      <c r="AJ4755">
        <v>0</v>
      </c>
      <c r="AK4755">
        <v>1</v>
      </c>
      <c r="AL4755">
        <v>0</v>
      </c>
      <c r="AM4755">
        <v>0</v>
      </c>
      <c r="AN4755">
        <v>1</v>
      </c>
      <c r="AO4755">
        <v>0</v>
      </c>
      <c r="AP4755">
        <v>1</v>
      </c>
      <c r="AQ4755">
        <v>1</v>
      </c>
      <c r="AR4755">
        <v>1</v>
      </c>
      <c r="AS4755">
        <v>0</v>
      </c>
      <c r="AT4755">
        <v>0</v>
      </c>
      <c r="AV4755">
        <v>0</v>
      </c>
      <c r="AW4755">
        <v>1</v>
      </c>
    </row>
    <row r="4756" spans="1:49" x14ac:dyDescent="0.25">
      <c r="A4756" t="str">
        <f>"4752"</f>
        <v>4752</v>
      </c>
      <c r="B4756" t="str">
        <f t="shared" si="272"/>
        <v>1</v>
      </c>
      <c r="C4756" t="str">
        <f t="shared" si="274"/>
        <v>207</v>
      </c>
      <c r="D4756" t="str">
        <f>"22"</f>
        <v>22</v>
      </c>
      <c r="E4756" t="str">
        <f>"1-207-22"</f>
        <v>1-207-22</v>
      </c>
      <c r="F4756" t="s">
        <v>83</v>
      </c>
      <c r="G4756" t="s">
        <v>84</v>
      </c>
      <c r="H4756" t="s">
        <v>85</v>
      </c>
      <c r="AC4756">
        <v>0</v>
      </c>
      <c r="AD4756">
        <v>1</v>
      </c>
      <c r="AE4756">
        <v>0</v>
      </c>
      <c r="AF4756">
        <v>0</v>
      </c>
      <c r="AG4756">
        <v>0</v>
      </c>
      <c r="AJ4756">
        <v>0</v>
      </c>
      <c r="AK4756">
        <v>1</v>
      </c>
      <c r="AL4756">
        <v>0</v>
      </c>
      <c r="AM4756">
        <v>0</v>
      </c>
      <c r="AN4756">
        <v>1</v>
      </c>
      <c r="AO4756">
        <v>1</v>
      </c>
      <c r="AP4756">
        <v>1</v>
      </c>
      <c r="AQ4756">
        <v>1</v>
      </c>
      <c r="AR4756">
        <v>1</v>
      </c>
      <c r="AS4756">
        <v>1</v>
      </c>
      <c r="AT4756">
        <v>0</v>
      </c>
      <c r="AV4756">
        <v>1</v>
      </c>
      <c r="AW4756">
        <v>1</v>
      </c>
    </row>
    <row r="4757" spans="1:49" x14ac:dyDescent="0.25">
      <c r="A4757" t="str">
        <f>"4753"</f>
        <v>4753</v>
      </c>
      <c r="B4757" t="str">
        <f t="shared" si="272"/>
        <v>1</v>
      </c>
      <c r="C4757" t="str">
        <f t="shared" si="274"/>
        <v>207</v>
      </c>
      <c r="D4757" t="str">
        <f>"14"</f>
        <v>14</v>
      </c>
      <c r="E4757" t="str">
        <f>"1-207-14"</f>
        <v>1-207-14</v>
      </c>
      <c r="F4757" t="s">
        <v>83</v>
      </c>
      <c r="G4757" t="s">
        <v>84</v>
      </c>
      <c r="H4757" t="s">
        <v>85</v>
      </c>
      <c r="AC4757">
        <v>0</v>
      </c>
      <c r="AD4757">
        <v>1</v>
      </c>
      <c r="AE4757">
        <v>0</v>
      </c>
      <c r="AF4757">
        <v>0</v>
      </c>
      <c r="AG4757">
        <v>0</v>
      </c>
      <c r="AJ4757">
        <v>0</v>
      </c>
      <c r="AK4757">
        <v>1</v>
      </c>
      <c r="AL4757">
        <v>0</v>
      </c>
      <c r="AM4757">
        <v>0</v>
      </c>
      <c r="AN4757">
        <v>1</v>
      </c>
      <c r="AO4757">
        <v>1</v>
      </c>
      <c r="AP4757">
        <v>1</v>
      </c>
      <c r="AQ4757">
        <v>1</v>
      </c>
      <c r="AR4757">
        <v>1</v>
      </c>
      <c r="AS4757">
        <v>0</v>
      </c>
      <c r="AT4757">
        <v>1</v>
      </c>
      <c r="AV4757">
        <v>1</v>
      </c>
      <c r="AW4757">
        <v>0</v>
      </c>
    </row>
    <row r="4758" spans="1:49" x14ac:dyDescent="0.25">
      <c r="A4758" t="str">
        <f>"4754"</f>
        <v>4754</v>
      </c>
      <c r="B4758" t="str">
        <f t="shared" si="272"/>
        <v>1</v>
      </c>
      <c r="C4758" t="str">
        <f t="shared" si="274"/>
        <v>207</v>
      </c>
      <c r="D4758" t="str">
        <f>"10"</f>
        <v>10</v>
      </c>
      <c r="E4758" t="str">
        <f>"1-207-10"</f>
        <v>1-207-10</v>
      </c>
      <c r="F4758" t="s">
        <v>83</v>
      </c>
      <c r="G4758" t="s">
        <v>84</v>
      </c>
      <c r="H4758" t="s">
        <v>85</v>
      </c>
      <c r="AC4758">
        <v>0</v>
      </c>
      <c r="AD4758">
        <v>1</v>
      </c>
      <c r="AE4758">
        <v>0</v>
      </c>
      <c r="AF4758">
        <v>0</v>
      </c>
      <c r="AG4758">
        <v>1</v>
      </c>
      <c r="AJ4758">
        <v>0</v>
      </c>
      <c r="AK4758">
        <v>1</v>
      </c>
      <c r="AL4758">
        <v>0</v>
      </c>
      <c r="AM4758">
        <v>1</v>
      </c>
      <c r="AN4758">
        <v>0</v>
      </c>
      <c r="AO4758">
        <v>1</v>
      </c>
      <c r="AP4758">
        <v>1</v>
      </c>
      <c r="AQ4758">
        <v>1</v>
      </c>
      <c r="AR4758">
        <v>1</v>
      </c>
      <c r="AS4758">
        <v>0</v>
      </c>
      <c r="AT4758">
        <v>1</v>
      </c>
      <c r="AV4758">
        <v>1</v>
      </c>
      <c r="AW4758">
        <v>1</v>
      </c>
    </row>
    <row r="4759" spans="1:49" x14ac:dyDescent="0.25">
      <c r="A4759" t="str">
        <f>"4755"</f>
        <v>4755</v>
      </c>
      <c r="B4759" t="str">
        <f t="shared" si="272"/>
        <v>1</v>
      </c>
      <c r="C4759" t="str">
        <f t="shared" si="274"/>
        <v>207</v>
      </c>
      <c r="D4759" t="str">
        <f>"4"</f>
        <v>4</v>
      </c>
      <c r="E4759" t="str">
        <f>"1-207-4"</f>
        <v>1-207-4</v>
      </c>
      <c r="F4759" t="s">
        <v>83</v>
      </c>
      <c r="G4759" t="s">
        <v>84</v>
      </c>
      <c r="H4759" t="s">
        <v>85</v>
      </c>
      <c r="AC4759">
        <v>0</v>
      </c>
      <c r="AD4759">
        <v>0</v>
      </c>
      <c r="AE4759">
        <v>0</v>
      </c>
      <c r="AF4759">
        <v>0</v>
      </c>
      <c r="AG4759">
        <v>0</v>
      </c>
      <c r="AJ4759">
        <v>0</v>
      </c>
      <c r="AK4759">
        <v>1</v>
      </c>
      <c r="AL4759">
        <v>0</v>
      </c>
      <c r="AM4759">
        <v>0</v>
      </c>
      <c r="AN4759">
        <v>0</v>
      </c>
      <c r="AO4759">
        <v>0</v>
      </c>
      <c r="AP4759">
        <v>0</v>
      </c>
      <c r="AQ4759">
        <v>0</v>
      </c>
      <c r="AR4759">
        <v>0</v>
      </c>
      <c r="AS4759">
        <v>0</v>
      </c>
      <c r="AT4759">
        <v>0</v>
      </c>
      <c r="AV4759">
        <v>0</v>
      </c>
      <c r="AW4759">
        <v>0</v>
      </c>
    </row>
    <row r="4760" spans="1:49" x14ac:dyDescent="0.25">
      <c r="A4760" t="str">
        <f>"4756"</f>
        <v>4756</v>
      </c>
      <c r="B4760" t="str">
        <f t="shared" si="272"/>
        <v>1</v>
      </c>
      <c r="C4760" t="str">
        <f t="shared" si="274"/>
        <v>207</v>
      </c>
      <c r="D4760" t="str">
        <f>"16"</f>
        <v>16</v>
      </c>
      <c r="E4760" t="str">
        <f>"1-207-16"</f>
        <v>1-207-16</v>
      </c>
      <c r="F4760" t="s">
        <v>83</v>
      </c>
      <c r="G4760" t="s">
        <v>84</v>
      </c>
      <c r="H4760" t="s">
        <v>85</v>
      </c>
      <c r="AC4760">
        <v>1</v>
      </c>
      <c r="AD4760">
        <v>0</v>
      </c>
      <c r="AE4760">
        <v>0</v>
      </c>
      <c r="AF4760">
        <v>0</v>
      </c>
      <c r="AG4760">
        <v>1</v>
      </c>
      <c r="AJ4760">
        <v>0</v>
      </c>
      <c r="AK4760">
        <v>1</v>
      </c>
      <c r="AL4760">
        <v>0</v>
      </c>
      <c r="AM4760">
        <v>1</v>
      </c>
      <c r="AN4760">
        <v>0</v>
      </c>
      <c r="AO4760">
        <v>1</v>
      </c>
      <c r="AP4760">
        <v>1</v>
      </c>
      <c r="AQ4760">
        <v>1</v>
      </c>
      <c r="AR4760">
        <v>1</v>
      </c>
      <c r="AS4760">
        <v>1</v>
      </c>
      <c r="AT4760">
        <v>0</v>
      </c>
      <c r="AV4760">
        <v>1</v>
      </c>
      <c r="AW4760">
        <v>1</v>
      </c>
    </row>
    <row r="4761" spans="1:49" x14ac:dyDescent="0.25">
      <c r="A4761" t="str">
        <f>"4757"</f>
        <v>4757</v>
      </c>
      <c r="B4761" t="str">
        <f t="shared" si="272"/>
        <v>1</v>
      </c>
      <c r="C4761" t="str">
        <f t="shared" si="274"/>
        <v>207</v>
      </c>
      <c r="D4761" t="str">
        <f>"11"</f>
        <v>11</v>
      </c>
      <c r="E4761" t="str">
        <f>"1-207-11"</f>
        <v>1-207-11</v>
      </c>
      <c r="F4761" t="s">
        <v>83</v>
      </c>
      <c r="G4761" t="s">
        <v>84</v>
      </c>
      <c r="H4761" t="s">
        <v>85</v>
      </c>
      <c r="AC4761">
        <v>0</v>
      </c>
      <c r="AD4761">
        <v>1</v>
      </c>
      <c r="AE4761">
        <v>0</v>
      </c>
      <c r="AF4761">
        <v>0</v>
      </c>
      <c r="AG4761">
        <v>1</v>
      </c>
      <c r="AJ4761">
        <v>0</v>
      </c>
      <c r="AK4761">
        <v>1</v>
      </c>
      <c r="AL4761">
        <v>0</v>
      </c>
      <c r="AM4761">
        <v>1</v>
      </c>
      <c r="AN4761">
        <v>0</v>
      </c>
      <c r="AO4761">
        <v>1</v>
      </c>
      <c r="AP4761">
        <v>1</v>
      </c>
      <c r="AQ4761">
        <v>1</v>
      </c>
      <c r="AR4761">
        <v>1</v>
      </c>
      <c r="AS4761">
        <v>0</v>
      </c>
      <c r="AT4761">
        <v>1</v>
      </c>
      <c r="AV4761">
        <v>1</v>
      </c>
      <c r="AW4761">
        <v>1</v>
      </c>
    </row>
    <row r="4762" spans="1:49" x14ac:dyDescent="0.25">
      <c r="A4762" t="str">
        <f>"4758"</f>
        <v>4758</v>
      </c>
      <c r="B4762" t="str">
        <f t="shared" si="272"/>
        <v>1</v>
      </c>
      <c r="C4762" t="str">
        <f t="shared" si="274"/>
        <v>207</v>
      </c>
      <c r="D4762" t="str">
        <f>"7"</f>
        <v>7</v>
      </c>
      <c r="E4762" t="str">
        <f>"1-207-7"</f>
        <v>1-207-7</v>
      </c>
      <c r="F4762" t="s">
        <v>83</v>
      </c>
      <c r="G4762" t="s">
        <v>84</v>
      </c>
      <c r="H4762" t="s">
        <v>85</v>
      </c>
      <c r="AC4762">
        <v>0</v>
      </c>
      <c r="AD4762">
        <v>1</v>
      </c>
      <c r="AE4762">
        <v>0</v>
      </c>
      <c r="AF4762">
        <v>0</v>
      </c>
      <c r="AG4762">
        <v>1</v>
      </c>
      <c r="AJ4762">
        <v>0</v>
      </c>
      <c r="AK4762">
        <v>1</v>
      </c>
      <c r="AL4762">
        <v>0</v>
      </c>
      <c r="AM4762">
        <v>0</v>
      </c>
      <c r="AN4762">
        <v>1</v>
      </c>
      <c r="AO4762">
        <v>1</v>
      </c>
      <c r="AP4762">
        <v>1</v>
      </c>
      <c r="AQ4762">
        <v>1</v>
      </c>
      <c r="AR4762">
        <v>1</v>
      </c>
      <c r="AS4762">
        <v>1</v>
      </c>
      <c r="AT4762">
        <v>0</v>
      </c>
      <c r="AV4762">
        <v>1</v>
      </c>
      <c r="AW4762">
        <v>1</v>
      </c>
    </row>
    <row r="4763" spans="1:49" x14ac:dyDescent="0.25">
      <c r="A4763" t="str">
        <f>"4759"</f>
        <v>4759</v>
      </c>
      <c r="B4763" t="str">
        <f t="shared" si="272"/>
        <v>1</v>
      </c>
      <c r="C4763" t="str">
        <f t="shared" si="274"/>
        <v>207</v>
      </c>
      <c r="D4763" t="str">
        <f>"17"</f>
        <v>17</v>
      </c>
      <c r="E4763" t="str">
        <f>"1-207-17"</f>
        <v>1-207-17</v>
      </c>
      <c r="F4763" t="s">
        <v>83</v>
      </c>
      <c r="G4763" t="s">
        <v>84</v>
      </c>
      <c r="H4763" t="s">
        <v>85</v>
      </c>
      <c r="AC4763">
        <v>0</v>
      </c>
      <c r="AD4763">
        <v>1</v>
      </c>
      <c r="AE4763">
        <v>0</v>
      </c>
      <c r="AF4763">
        <v>0</v>
      </c>
      <c r="AG4763">
        <v>1</v>
      </c>
      <c r="AJ4763">
        <v>1</v>
      </c>
      <c r="AK4763">
        <v>0</v>
      </c>
      <c r="AL4763">
        <v>0</v>
      </c>
      <c r="AM4763">
        <v>1</v>
      </c>
      <c r="AN4763">
        <v>0</v>
      </c>
      <c r="AO4763">
        <v>0</v>
      </c>
      <c r="AP4763">
        <v>1</v>
      </c>
      <c r="AQ4763">
        <v>0</v>
      </c>
      <c r="AR4763">
        <v>0</v>
      </c>
      <c r="AS4763">
        <v>0</v>
      </c>
      <c r="AT4763">
        <v>0</v>
      </c>
      <c r="AV4763">
        <v>0</v>
      </c>
      <c r="AW4763">
        <v>1</v>
      </c>
    </row>
    <row r="4764" spans="1:49" x14ac:dyDescent="0.25">
      <c r="A4764" t="str">
        <f>"4760"</f>
        <v>4760</v>
      </c>
      <c r="B4764" t="str">
        <f t="shared" si="272"/>
        <v>1</v>
      </c>
      <c r="C4764" t="str">
        <f t="shared" si="274"/>
        <v>207</v>
      </c>
      <c r="D4764" t="str">
        <f>"12"</f>
        <v>12</v>
      </c>
      <c r="E4764" t="str">
        <f>"1-207-12"</f>
        <v>1-207-12</v>
      </c>
      <c r="F4764" t="s">
        <v>83</v>
      </c>
      <c r="G4764" t="s">
        <v>84</v>
      </c>
      <c r="H4764" t="s">
        <v>85</v>
      </c>
      <c r="AC4764">
        <v>0</v>
      </c>
      <c r="AD4764">
        <v>1</v>
      </c>
      <c r="AE4764">
        <v>0</v>
      </c>
      <c r="AF4764">
        <v>0</v>
      </c>
      <c r="AG4764">
        <v>0</v>
      </c>
      <c r="AJ4764">
        <v>0</v>
      </c>
      <c r="AK4764">
        <v>1</v>
      </c>
      <c r="AL4764">
        <v>0</v>
      </c>
      <c r="AM4764">
        <v>0</v>
      </c>
      <c r="AN4764">
        <v>1</v>
      </c>
      <c r="AO4764">
        <v>0</v>
      </c>
      <c r="AP4764">
        <v>0</v>
      </c>
      <c r="AQ4764">
        <v>0</v>
      </c>
      <c r="AR4764">
        <v>0</v>
      </c>
      <c r="AS4764">
        <v>0</v>
      </c>
      <c r="AT4764">
        <v>1</v>
      </c>
      <c r="AV4764">
        <v>0</v>
      </c>
      <c r="AW4764">
        <v>0</v>
      </c>
    </row>
    <row r="4765" spans="1:49" x14ac:dyDescent="0.25">
      <c r="A4765" t="str">
        <f>"4761"</f>
        <v>4761</v>
      </c>
      <c r="B4765" t="str">
        <f t="shared" si="272"/>
        <v>1</v>
      </c>
      <c r="C4765" t="str">
        <f t="shared" si="274"/>
        <v>207</v>
      </c>
      <c r="D4765" t="str">
        <f>"2"</f>
        <v>2</v>
      </c>
      <c r="E4765" t="str">
        <f>"1-207-2"</f>
        <v>1-207-2</v>
      </c>
      <c r="F4765" t="s">
        <v>83</v>
      </c>
      <c r="G4765" t="s">
        <v>84</v>
      </c>
      <c r="H4765" t="s">
        <v>85</v>
      </c>
      <c r="AC4765">
        <v>0</v>
      </c>
      <c r="AD4765">
        <v>1</v>
      </c>
      <c r="AE4765">
        <v>0</v>
      </c>
      <c r="AF4765">
        <v>0</v>
      </c>
      <c r="AG4765">
        <v>1</v>
      </c>
      <c r="AJ4765">
        <v>1</v>
      </c>
      <c r="AK4765">
        <v>0</v>
      </c>
      <c r="AL4765">
        <v>1</v>
      </c>
      <c r="AM4765">
        <v>0</v>
      </c>
      <c r="AN4765">
        <v>0</v>
      </c>
      <c r="AO4765">
        <v>1</v>
      </c>
      <c r="AP4765">
        <v>1</v>
      </c>
      <c r="AQ4765">
        <v>1</v>
      </c>
      <c r="AR4765">
        <v>1</v>
      </c>
      <c r="AS4765">
        <v>1</v>
      </c>
      <c r="AT4765">
        <v>0</v>
      </c>
      <c r="AV4765">
        <v>1</v>
      </c>
      <c r="AW4765">
        <v>1</v>
      </c>
    </row>
    <row r="4766" spans="1:49" x14ac:dyDescent="0.25">
      <c r="A4766" t="str">
        <f>"4762"</f>
        <v>4762</v>
      </c>
      <c r="B4766" t="str">
        <f t="shared" ref="B4766:B4829" si="275">"1"</f>
        <v>1</v>
      </c>
      <c r="C4766" t="str">
        <f t="shared" si="274"/>
        <v>207</v>
      </c>
      <c r="D4766" t="str">
        <f>"3"</f>
        <v>3</v>
      </c>
      <c r="E4766" t="str">
        <f>"1-207-3"</f>
        <v>1-207-3</v>
      </c>
      <c r="F4766" t="s">
        <v>83</v>
      </c>
      <c r="G4766" t="s">
        <v>84</v>
      </c>
      <c r="H4766" t="s">
        <v>85</v>
      </c>
      <c r="AC4766">
        <v>0</v>
      </c>
      <c r="AD4766">
        <v>0</v>
      </c>
      <c r="AE4766">
        <v>0</v>
      </c>
      <c r="AF4766">
        <v>0</v>
      </c>
      <c r="AG4766">
        <v>0</v>
      </c>
      <c r="AJ4766">
        <v>0</v>
      </c>
      <c r="AK4766">
        <v>1</v>
      </c>
      <c r="AL4766">
        <v>0</v>
      </c>
      <c r="AM4766">
        <v>0</v>
      </c>
      <c r="AN4766">
        <v>0</v>
      </c>
      <c r="AO4766">
        <v>0</v>
      </c>
      <c r="AP4766">
        <v>0</v>
      </c>
      <c r="AQ4766">
        <v>0</v>
      </c>
      <c r="AR4766">
        <v>0</v>
      </c>
      <c r="AS4766">
        <v>0</v>
      </c>
      <c r="AT4766">
        <v>0</v>
      </c>
      <c r="AV4766">
        <v>0</v>
      </c>
      <c r="AW4766">
        <v>0</v>
      </c>
    </row>
    <row r="4767" spans="1:49" x14ac:dyDescent="0.25">
      <c r="A4767" t="str">
        <f>"4763"</f>
        <v>4763</v>
      </c>
      <c r="B4767" t="str">
        <f t="shared" si="275"/>
        <v>1</v>
      </c>
      <c r="C4767" t="str">
        <f t="shared" si="274"/>
        <v>207</v>
      </c>
      <c r="D4767" t="str">
        <f>"21"</f>
        <v>21</v>
      </c>
      <c r="E4767" t="str">
        <f>"1-207-21"</f>
        <v>1-207-21</v>
      </c>
      <c r="F4767" t="s">
        <v>83</v>
      </c>
      <c r="G4767" t="s">
        <v>84</v>
      </c>
      <c r="H4767" t="s">
        <v>85</v>
      </c>
      <c r="AC4767">
        <v>0</v>
      </c>
      <c r="AD4767">
        <v>1</v>
      </c>
      <c r="AE4767">
        <v>0</v>
      </c>
      <c r="AF4767">
        <v>0</v>
      </c>
      <c r="AG4767">
        <v>1</v>
      </c>
      <c r="AJ4767">
        <v>0</v>
      </c>
      <c r="AK4767">
        <v>1</v>
      </c>
      <c r="AL4767">
        <v>0</v>
      </c>
      <c r="AM4767">
        <v>0</v>
      </c>
      <c r="AN4767">
        <v>1</v>
      </c>
      <c r="AO4767">
        <v>1</v>
      </c>
      <c r="AP4767">
        <v>1</v>
      </c>
      <c r="AQ4767">
        <v>1</v>
      </c>
      <c r="AR4767">
        <v>1</v>
      </c>
      <c r="AS4767">
        <v>0</v>
      </c>
      <c r="AT4767">
        <v>1</v>
      </c>
      <c r="AV4767">
        <v>1</v>
      </c>
      <c r="AW4767">
        <v>1</v>
      </c>
    </row>
    <row r="4768" spans="1:49" x14ac:dyDescent="0.25">
      <c r="A4768" t="str">
        <f>"4764"</f>
        <v>4764</v>
      </c>
      <c r="B4768" t="str">
        <f t="shared" si="275"/>
        <v>1</v>
      </c>
      <c r="C4768" t="str">
        <f t="shared" si="274"/>
        <v>207</v>
      </c>
      <c r="D4768" t="str">
        <f>"5"</f>
        <v>5</v>
      </c>
      <c r="E4768" t="str">
        <f>"1-207-5"</f>
        <v>1-207-5</v>
      </c>
      <c r="F4768" t="s">
        <v>83</v>
      </c>
      <c r="G4768" t="s">
        <v>84</v>
      </c>
      <c r="H4768" t="s">
        <v>85</v>
      </c>
      <c r="AC4768">
        <v>0</v>
      </c>
      <c r="AD4768">
        <v>0</v>
      </c>
      <c r="AE4768">
        <v>0</v>
      </c>
      <c r="AF4768">
        <v>0</v>
      </c>
      <c r="AG4768">
        <v>0</v>
      </c>
      <c r="AJ4768">
        <v>0</v>
      </c>
      <c r="AK4768">
        <v>1</v>
      </c>
      <c r="AL4768">
        <v>0</v>
      </c>
      <c r="AM4768">
        <v>0</v>
      </c>
      <c r="AN4768">
        <v>0</v>
      </c>
      <c r="AO4768">
        <v>0</v>
      </c>
      <c r="AP4768">
        <v>0</v>
      </c>
      <c r="AQ4768">
        <v>0</v>
      </c>
      <c r="AR4768">
        <v>0</v>
      </c>
      <c r="AS4768">
        <v>0</v>
      </c>
      <c r="AT4768">
        <v>0</v>
      </c>
      <c r="AV4768">
        <v>0</v>
      </c>
      <c r="AW4768">
        <v>0</v>
      </c>
    </row>
    <row r="4769" spans="1:49" x14ac:dyDescent="0.25">
      <c r="A4769" t="str">
        <f>"4765"</f>
        <v>4765</v>
      </c>
      <c r="B4769" t="str">
        <f t="shared" si="275"/>
        <v>1</v>
      </c>
      <c r="C4769" t="str">
        <f t="shared" si="274"/>
        <v>207</v>
      </c>
      <c r="D4769" t="str">
        <f>"18"</f>
        <v>18</v>
      </c>
      <c r="E4769" t="str">
        <f>"1-207-18"</f>
        <v>1-207-18</v>
      </c>
      <c r="F4769" t="s">
        <v>83</v>
      </c>
      <c r="G4769" t="s">
        <v>84</v>
      </c>
      <c r="H4769" t="s">
        <v>85</v>
      </c>
      <c r="AC4769">
        <v>0</v>
      </c>
      <c r="AD4769">
        <v>1</v>
      </c>
      <c r="AE4769">
        <v>0</v>
      </c>
      <c r="AF4769">
        <v>0</v>
      </c>
      <c r="AG4769">
        <v>1</v>
      </c>
      <c r="AJ4769">
        <v>0</v>
      </c>
      <c r="AK4769">
        <v>1</v>
      </c>
      <c r="AL4769">
        <v>0</v>
      </c>
      <c r="AM4769">
        <v>1</v>
      </c>
      <c r="AN4769">
        <v>0</v>
      </c>
      <c r="AO4769">
        <v>1</v>
      </c>
      <c r="AP4769">
        <v>1</v>
      </c>
      <c r="AQ4769">
        <v>1</v>
      </c>
      <c r="AR4769">
        <v>1</v>
      </c>
      <c r="AS4769">
        <v>1</v>
      </c>
      <c r="AT4769">
        <v>0</v>
      </c>
      <c r="AV4769">
        <v>1</v>
      </c>
      <c r="AW4769">
        <v>1</v>
      </c>
    </row>
    <row r="4770" spans="1:49" x14ac:dyDescent="0.25">
      <c r="A4770" t="str">
        <f>"4766"</f>
        <v>4766</v>
      </c>
      <c r="B4770" t="str">
        <f t="shared" si="275"/>
        <v>1</v>
      </c>
      <c r="C4770" t="str">
        <f t="shared" ref="C4770:C4794" si="276">"208"</f>
        <v>208</v>
      </c>
      <c r="D4770" t="str">
        <f>"20"</f>
        <v>20</v>
      </c>
      <c r="E4770" t="str">
        <f>"1-208-20"</f>
        <v>1-208-20</v>
      </c>
      <c r="F4770" t="s">
        <v>83</v>
      </c>
      <c r="G4770" t="s">
        <v>86</v>
      </c>
      <c r="H4770" t="s">
        <v>93</v>
      </c>
      <c r="I4770">
        <v>1</v>
      </c>
      <c r="K4770">
        <v>0</v>
      </c>
      <c r="L4770">
        <v>0</v>
      </c>
      <c r="M4770">
        <v>1</v>
      </c>
      <c r="N4770">
        <v>1</v>
      </c>
      <c r="O4770">
        <v>1</v>
      </c>
      <c r="P4770">
        <v>1</v>
      </c>
      <c r="Q4770">
        <v>1</v>
      </c>
      <c r="R4770">
        <v>1</v>
      </c>
      <c r="U4770">
        <v>0</v>
      </c>
      <c r="V4770">
        <v>1</v>
      </c>
      <c r="W4770">
        <v>1</v>
      </c>
      <c r="X4770">
        <v>1</v>
      </c>
      <c r="Y4770">
        <v>1</v>
      </c>
      <c r="Z4770">
        <v>1</v>
      </c>
      <c r="AA4770">
        <v>1</v>
      </c>
      <c r="AB4770">
        <v>1</v>
      </c>
    </row>
    <row r="4771" spans="1:49" x14ac:dyDescent="0.25">
      <c r="A4771" t="str">
        <f>"4767"</f>
        <v>4767</v>
      </c>
      <c r="B4771" t="str">
        <f t="shared" si="275"/>
        <v>1</v>
      </c>
      <c r="C4771" t="str">
        <f t="shared" si="276"/>
        <v>208</v>
      </c>
      <c r="D4771" t="str">
        <f>"15"</f>
        <v>15</v>
      </c>
      <c r="E4771" t="str">
        <f>"1-208-15"</f>
        <v>1-208-15</v>
      </c>
      <c r="F4771" t="s">
        <v>83</v>
      </c>
      <c r="G4771" t="s">
        <v>84</v>
      </c>
      <c r="H4771" t="s">
        <v>85</v>
      </c>
      <c r="AC4771">
        <v>1</v>
      </c>
      <c r="AD4771">
        <v>0</v>
      </c>
      <c r="AE4771">
        <v>0</v>
      </c>
      <c r="AF4771">
        <v>0</v>
      </c>
      <c r="AG4771">
        <v>1</v>
      </c>
      <c r="AJ4771">
        <v>1</v>
      </c>
      <c r="AK4771">
        <v>0</v>
      </c>
      <c r="AL4771">
        <v>0</v>
      </c>
      <c r="AM4771">
        <v>0</v>
      </c>
      <c r="AN4771">
        <v>1</v>
      </c>
      <c r="AO4771">
        <v>0</v>
      </c>
      <c r="AP4771">
        <v>0</v>
      </c>
      <c r="AQ4771">
        <v>0</v>
      </c>
      <c r="AR4771">
        <v>0</v>
      </c>
      <c r="AS4771">
        <v>1</v>
      </c>
      <c r="AT4771">
        <v>0</v>
      </c>
      <c r="AV4771">
        <v>0</v>
      </c>
      <c r="AW4771">
        <v>0</v>
      </c>
    </row>
    <row r="4772" spans="1:49" x14ac:dyDescent="0.25">
      <c r="A4772" t="str">
        <f>"4768"</f>
        <v>4768</v>
      </c>
      <c r="B4772" t="str">
        <f t="shared" si="275"/>
        <v>1</v>
      </c>
      <c r="C4772" t="str">
        <f t="shared" si="276"/>
        <v>208</v>
      </c>
      <c r="D4772" t="str">
        <f>"14"</f>
        <v>14</v>
      </c>
      <c r="E4772" t="str">
        <f>"1-208-14"</f>
        <v>1-208-14</v>
      </c>
      <c r="F4772" t="s">
        <v>83</v>
      </c>
      <c r="G4772" t="s">
        <v>86</v>
      </c>
      <c r="H4772" t="s">
        <v>87</v>
      </c>
      <c r="AC4772">
        <v>1</v>
      </c>
      <c r="AD4772">
        <v>0</v>
      </c>
      <c r="AE4772">
        <v>0</v>
      </c>
      <c r="AF4772">
        <v>0</v>
      </c>
      <c r="AH4772">
        <v>1</v>
      </c>
      <c r="AI4772">
        <v>0</v>
      </c>
      <c r="AJ4772">
        <v>0</v>
      </c>
      <c r="AK4772">
        <v>1</v>
      </c>
      <c r="AL4772">
        <v>0</v>
      </c>
      <c r="AM4772">
        <v>1</v>
      </c>
      <c r="AN4772">
        <v>0</v>
      </c>
      <c r="AO4772">
        <v>1</v>
      </c>
      <c r="AP4772">
        <v>1</v>
      </c>
      <c r="AQ4772">
        <v>1</v>
      </c>
      <c r="AU4772">
        <v>1</v>
      </c>
      <c r="AV4772">
        <v>1</v>
      </c>
      <c r="AW4772">
        <v>1</v>
      </c>
    </row>
    <row r="4773" spans="1:49" x14ac:dyDescent="0.25">
      <c r="A4773" t="str">
        <f>"4769"</f>
        <v>4769</v>
      </c>
      <c r="B4773" t="str">
        <f t="shared" si="275"/>
        <v>1</v>
      </c>
      <c r="C4773" t="str">
        <f t="shared" si="276"/>
        <v>208</v>
      </c>
      <c r="D4773" t="str">
        <f>"11"</f>
        <v>11</v>
      </c>
      <c r="E4773" t="str">
        <f>"1-208-11"</f>
        <v>1-208-11</v>
      </c>
      <c r="F4773" t="s">
        <v>83</v>
      </c>
      <c r="G4773" t="s">
        <v>84</v>
      </c>
      <c r="H4773" t="s">
        <v>92</v>
      </c>
      <c r="I4773">
        <v>1</v>
      </c>
      <c r="J4773">
        <v>1</v>
      </c>
      <c r="N4773">
        <v>1</v>
      </c>
      <c r="O4773">
        <v>0</v>
      </c>
      <c r="P4773">
        <v>0</v>
      </c>
      <c r="Q4773">
        <v>0</v>
      </c>
      <c r="R4773">
        <v>0</v>
      </c>
      <c r="S4773">
        <v>0</v>
      </c>
      <c r="T4773">
        <v>0</v>
      </c>
      <c r="W4773">
        <v>0</v>
      </c>
      <c r="X4773">
        <v>1</v>
      </c>
      <c r="Y4773">
        <v>1</v>
      </c>
      <c r="Z4773">
        <v>0</v>
      </c>
      <c r="AA4773">
        <v>0</v>
      </c>
      <c r="AB4773">
        <v>0</v>
      </c>
    </row>
    <row r="4774" spans="1:49" x14ac:dyDescent="0.25">
      <c r="A4774" t="str">
        <f>"4770"</f>
        <v>4770</v>
      </c>
      <c r="B4774" t="str">
        <f t="shared" si="275"/>
        <v>1</v>
      </c>
      <c r="C4774" t="str">
        <f t="shared" si="276"/>
        <v>208</v>
      </c>
      <c r="D4774" t="str">
        <f>"8"</f>
        <v>8</v>
      </c>
      <c r="E4774" t="str">
        <f>"1-208-8"</f>
        <v>1-208-8</v>
      </c>
      <c r="F4774" t="s">
        <v>83</v>
      </c>
      <c r="G4774" t="s">
        <v>84</v>
      </c>
      <c r="H4774" t="s">
        <v>92</v>
      </c>
      <c r="I4774">
        <v>1</v>
      </c>
      <c r="J4774">
        <v>1</v>
      </c>
      <c r="N4774">
        <v>1</v>
      </c>
      <c r="O4774">
        <v>0</v>
      </c>
      <c r="P4774">
        <v>0</v>
      </c>
      <c r="Q4774">
        <v>0</v>
      </c>
      <c r="R4774">
        <v>0</v>
      </c>
      <c r="S4774">
        <v>0</v>
      </c>
      <c r="T4774">
        <v>0</v>
      </c>
      <c r="W4774">
        <v>1</v>
      </c>
      <c r="X4774">
        <v>1</v>
      </c>
      <c r="Y4774">
        <v>1</v>
      </c>
      <c r="Z4774">
        <v>1</v>
      </c>
      <c r="AA4774">
        <v>0</v>
      </c>
      <c r="AB4774">
        <v>1</v>
      </c>
    </row>
    <row r="4775" spans="1:49" x14ac:dyDescent="0.25">
      <c r="A4775" t="str">
        <f>"4771"</f>
        <v>4771</v>
      </c>
      <c r="B4775" t="str">
        <f t="shared" si="275"/>
        <v>1</v>
      </c>
      <c r="C4775" t="str">
        <f t="shared" si="276"/>
        <v>208</v>
      </c>
      <c r="D4775" t="str">
        <f>"3"</f>
        <v>3</v>
      </c>
      <c r="E4775" t="str">
        <f>"1-208-3"</f>
        <v>1-208-3</v>
      </c>
      <c r="F4775" t="s">
        <v>83</v>
      </c>
      <c r="G4775" t="s">
        <v>84</v>
      </c>
      <c r="H4775" t="s">
        <v>85</v>
      </c>
      <c r="AC4775">
        <v>1</v>
      </c>
      <c r="AD4775">
        <v>0</v>
      </c>
      <c r="AE4775">
        <v>0</v>
      </c>
      <c r="AF4775">
        <v>0</v>
      </c>
      <c r="AG4775">
        <v>1</v>
      </c>
      <c r="AJ4775">
        <v>1</v>
      </c>
      <c r="AK4775">
        <v>0</v>
      </c>
      <c r="AL4775">
        <v>0</v>
      </c>
      <c r="AM4775">
        <v>1</v>
      </c>
      <c r="AN4775">
        <v>0</v>
      </c>
      <c r="AO4775">
        <v>1</v>
      </c>
      <c r="AP4775">
        <v>1</v>
      </c>
      <c r="AQ4775">
        <v>1</v>
      </c>
      <c r="AR4775">
        <v>1</v>
      </c>
      <c r="AS4775">
        <v>0</v>
      </c>
      <c r="AT4775">
        <v>1</v>
      </c>
      <c r="AV4775">
        <v>1</v>
      </c>
      <c r="AW4775">
        <v>1</v>
      </c>
    </row>
    <row r="4776" spans="1:49" x14ac:dyDescent="0.25">
      <c r="A4776" t="str">
        <f>"4772"</f>
        <v>4772</v>
      </c>
      <c r="B4776" t="str">
        <f t="shared" si="275"/>
        <v>1</v>
      </c>
      <c r="C4776" t="str">
        <f t="shared" si="276"/>
        <v>208</v>
      </c>
      <c r="D4776" t="str">
        <f>"16"</f>
        <v>16</v>
      </c>
      <c r="E4776" t="str">
        <f>"1-208-16"</f>
        <v>1-208-16</v>
      </c>
      <c r="F4776" t="s">
        <v>83</v>
      </c>
      <c r="G4776" t="s">
        <v>84</v>
      </c>
      <c r="H4776" t="s">
        <v>92</v>
      </c>
      <c r="I4776">
        <v>1</v>
      </c>
      <c r="J4776">
        <v>1</v>
      </c>
      <c r="N4776">
        <v>1</v>
      </c>
      <c r="O4776">
        <v>1</v>
      </c>
      <c r="P4776">
        <v>1</v>
      </c>
      <c r="Q4776">
        <v>1</v>
      </c>
      <c r="R4776">
        <v>1</v>
      </c>
      <c r="S4776">
        <v>1</v>
      </c>
      <c r="T4776">
        <v>1</v>
      </c>
      <c r="W4776">
        <v>1</v>
      </c>
      <c r="X4776">
        <v>1</v>
      </c>
      <c r="Y4776">
        <v>1</v>
      </c>
      <c r="Z4776">
        <v>1</v>
      </c>
      <c r="AA4776">
        <v>1</v>
      </c>
      <c r="AB4776">
        <v>1</v>
      </c>
    </row>
    <row r="4777" spans="1:49" x14ac:dyDescent="0.25">
      <c r="A4777" t="str">
        <f>"4773"</f>
        <v>4773</v>
      </c>
      <c r="B4777" t="str">
        <f t="shared" si="275"/>
        <v>1</v>
      </c>
      <c r="C4777" t="str">
        <f t="shared" si="276"/>
        <v>208</v>
      </c>
      <c r="D4777" t="str">
        <f>"9"</f>
        <v>9</v>
      </c>
      <c r="E4777" t="str">
        <f>"1-208-9"</f>
        <v>1-208-9</v>
      </c>
      <c r="F4777" t="s">
        <v>83</v>
      </c>
      <c r="G4777" t="s">
        <v>86</v>
      </c>
      <c r="H4777" t="s">
        <v>87</v>
      </c>
      <c r="AC4777">
        <v>0</v>
      </c>
      <c r="AD4777">
        <v>0</v>
      </c>
      <c r="AE4777">
        <v>0</v>
      </c>
      <c r="AF4777">
        <v>0</v>
      </c>
      <c r="AH4777">
        <v>0</v>
      </c>
      <c r="AI4777">
        <v>1</v>
      </c>
      <c r="AJ4777">
        <v>0</v>
      </c>
      <c r="AK4777">
        <v>0</v>
      </c>
      <c r="AL4777">
        <v>0</v>
      </c>
      <c r="AM4777">
        <v>0</v>
      </c>
      <c r="AN4777">
        <v>1</v>
      </c>
      <c r="AO4777">
        <v>0</v>
      </c>
      <c r="AP4777">
        <v>0</v>
      </c>
      <c r="AQ4777">
        <v>0</v>
      </c>
      <c r="AU4777">
        <v>0</v>
      </c>
      <c r="AV4777">
        <v>0</v>
      </c>
      <c r="AW4777">
        <v>0</v>
      </c>
    </row>
    <row r="4778" spans="1:49" x14ac:dyDescent="0.25">
      <c r="A4778" t="str">
        <f>"4774"</f>
        <v>4774</v>
      </c>
      <c r="B4778" t="str">
        <f t="shared" si="275"/>
        <v>1</v>
      </c>
      <c r="C4778" t="str">
        <f t="shared" si="276"/>
        <v>208</v>
      </c>
      <c r="D4778" t="str">
        <f>"5"</f>
        <v>5</v>
      </c>
      <c r="E4778" t="str">
        <f>"1-208-5"</f>
        <v>1-208-5</v>
      </c>
      <c r="F4778" t="s">
        <v>83</v>
      </c>
      <c r="G4778" t="s">
        <v>86</v>
      </c>
      <c r="H4778" t="s">
        <v>87</v>
      </c>
      <c r="AC4778">
        <v>1</v>
      </c>
      <c r="AD4778">
        <v>0</v>
      </c>
      <c r="AE4778">
        <v>0</v>
      </c>
      <c r="AF4778">
        <v>0</v>
      </c>
      <c r="AH4778">
        <v>0</v>
      </c>
      <c r="AI4778">
        <v>1</v>
      </c>
      <c r="AJ4778">
        <v>0</v>
      </c>
      <c r="AK4778">
        <v>1</v>
      </c>
      <c r="AL4778">
        <v>0</v>
      </c>
      <c r="AM4778">
        <v>0</v>
      </c>
      <c r="AN4778">
        <v>1</v>
      </c>
      <c r="AO4778">
        <v>0</v>
      </c>
      <c r="AP4778">
        <v>0</v>
      </c>
      <c r="AQ4778">
        <v>0</v>
      </c>
      <c r="AU4778">
        <v>0</v>
      </c>
      <c r="AV4778">
        <v>0</v>
      </c>
      <c r="AW4778">
        <v>0</v>
      </c>
    </row>
    <row r="4779" spans="1:49" x14ac:dyDescent="0.25">
      <c r="A4779" t="str">
        <f>"4775"</f>
        <v>4775</v>
      </c>
      <c r="B4779" t="str">
        <f t="shared" si="275"/>
        <v>1</v>
      </c>
      <c r="C4779" t="str">
        <f t="shared" si="276"/>
        <v>208</v>
      </c>
      <c r="D4779" t="str">
        <f>"25"</f>
        <v>25</v>
      </c>
      <c r="E4779" t="str">
        <f>"1-208-25"</f>
        <v>1-208-25</v>
      </c>
      <c r="F4779" t="s">
        <v>83</v>
      </c>
      <c r="G4779" t="s">
        <v>84</v>
      </c>
      <c r="H4779" t="s">
        <v>85</v>
      </c>
      <c r="AC4779">
        <v>1</v>
      </c>
      <c r="AD4779">
        <v>0</v>
      </c>
      <c r="AE4779">
        <v>0</v>
      </c>
      <c r="AF4779">
        <v>0</v>
      </c>
      <c r="AG4779">
        <v>0</v>
      </c>
      <c r="AJ4779">
        <v>0</v>
      </c>
      <c r="AK4779">
        <v>1</v>
      </c>
      <c r="AL4779">
        <v>0</v>
      </c>
      <c r="AM4779">
        <v>0</v>
      </c>
      <c r="AN4779">
        <v>0</v>
      </c>
      <c r="AO4779">
        <v>0</v>
      </c>
      <c r="AP4779">
        <v>0</v>
      </c>
      <c r="AQ4779">
        <v>0</v>
      </c>
      <c r="AR4779">
        <v>0</v>
      </c>
      <c r="AS4779">
        <v>0</v>
      </c>
      <c r="AT4779">
        <v>0</v>
      </c>
      <c r="AV4779">
        <v>0</v>
      </c>
      <c r="AW4779">
        <v>1</v>
      </c>
    </row>
    <row r="4780" spans="1:49" x14ac:dyDescent="0.25">
      <c r="A4780" t="str">
        <f>"4776"</f>
        <v>4776</v>
      </c>
      <c r="B4780" t="str">
        <f t="shared" si="275"/>
        <v>1</v>
      </c>
      <c r="C4780" t="str">
        <f t="shared" si="276"/>
        <v>208</v>
      </c>
      <c r="D4780" t="str">
        <f>"24"</f>
        <v>24</v>
      </c>
      <c r="E4780" t="str">
        <f>"1-208-24"</f>
        <v>1-208-24</v>
      </c>
      <c r="F4780" t="s">
        <v>83</v>
      </c>
      <c r="G4780" t="s">
        <v>84</v>
      </c>
      <c r="H4780" t="s">
        <v>85</v>
      </c>
      <c r="AC4780">
        <v>0</v>
      </c>
      <c r="AD4780">
        <v>1</v>
      </c>
      <c r="AE4780">
        <v>0</v>
      </c>
      <c r="AF4780">
        <v>0</v>
      </c>
      <c r="AG4780">
        <v>0</v>
      </c>
      <c r="AJ4780">
        <v>0</v>
      </c>
      <c r="AK4780">
        <v>1</v>
      </c>
      <c r="AL4780">
        <v>0</v>
      </c>
      <c r="AM4780">
        <v>0</v>
      </c>
      <c r="AN4780">
        <v>1</v>
      </c>
      <c r="AO4780">
        <v>0</v>
      </c>
      <c r="AP4780">
        <v>0</v>
      </c>
      <c r="AQ4780">
        <v>0</v>
      </c>
      <c r="AR4780">
        <v>0</v>
      </c>
      <c r="AS4780">
        <v>0</v>
      </c>
      <c r="AT4780">
        <v>0</v>
      </c>
      <c r="AV4780">
        <v>0</v>
      </c>
      <c r="AW4780">
        <v>1</v>
      </c>
    </row>
    <row r="4781" spans="1:49" x14ac:dyDescent="0.25">
      <c r="A4781" t="str">
        <f>"4777"</f>
        <v>4777</v>
      </c>
      <c r="B4781" t="str">
        <f t="shared" si="275"/>
        <v>1</v>
      </c>
      <c r="C4781" t="str">
        <f t="shared" si="276"/>
        <v>208</v>
      </c>
      <c r="D4781" t="str">
        <f>"17"</f>
        <v>17</v>
      </c>
      <c r="E4781" t="str">
        <f>"1-208-17"</f>
        <v>1-208-17</v>
      </c>
      <c r="F4781" t="s">
        <v>83</v>
      </c>
      <c r="G4781" t="s">
        <v>84</v>
      </c>
      <c r="H4781" t="s">
        <v>85</v>
      </c>
      <c r="AC4781">
        <v>1</v>
      </c>
      <c r="AD4781">
        <v>0</v>
      </c>
      <c r="AE4781">
        <v>0</v>
      </c>
      <c r="AF4781">
        <v>0</v>
      </c>
      <c r="AG4781">
        <v>1</v>
      </c>
      <c r="AJ4781">
        <v>0</v>
      </c>
      <c r="AK4781">
        <v>1</v>
      </c>
      <c r="AL4781">
        <v>1</v>
      </c>
      <c r="AM4781">
        <v>0</v>
      </c>
      <c r="AN4781">
        <v>0</v>
      </c>
      <c r="AO4781">
        <v>1</v>
      </c>
      <c r="AP4781">
        <v>1</v>
      </c>
      <c r="AQ4781">
        <v>1</v>
      </c>
      <c r="AR4781">
        <v>1</v>
      </c>
      <c r="AS4781">
        <v>0</v>
      </c>
      <c r="AT4781">
        <v>1</v>
      </c>
      <c r="AV4781">
        <v>0</v>
      </c>
      <c r="AW4781">
        <v>0</v>
      </c>
    </row>
    <row r="4782" spans="1:49" x14ac:dyDescent="0.25">
      <c r="A4782" t="str">
        <f>"4778"</f>
        <v>4778</v>
      </c>
      <c r="B4782" t="str">
        <f t="shared" si="275"/>
        <v>1</v>
      </c>
      <c r="C4782" t="str">
        <f t="shared" si="276"/>
        <v>208</v>
      </c>
      <c r="D4782" t="str">
        <f>"10"</f>
        <v>10</v>
      </c>
      <c r="E4782" t="str">
        <f>"1-208-10"</f>
        <v>1-208-10</v>
      </c>
      <c r="F4782" t="s">
        <v>83</v>
      </c>
      <c r="G4782" t="s">
        <v>84</v>
      </c>
      <c r="H4782" t="s">
        <v>92</v>
      </c>
      <c r="I4782">
        <v>1</v>
      </c>
      <c r="J4782">
        <v>1</v>
      </c>
      <c r="N4782">
        <v>1</v>
      </c>
      <c r="O4782">
        <v>1</v>
      </c>
      <c r="P4782">
        <v>1</v>
      </c>
      <c r="Q4782">
        <v>1</v>
      </c>
      <c r="R4782">
        <v>1</v>
      </c>
      <c r="S4782">
        <v>1</v>
      </c>
      <c r="T4782">
        <v>1</v>
      </c>
      <c r="W4782">
        <v>1</v>
      </c>
      <c r="X4782">
        <v>1</v>
      </c>
      <c r="Y4782">
        <v>1</v>
      </c>
      <c r="Z4782">
        <v>1</v>
      </c>
      <c r="AA4782">
        <v>1</v>
      </c>
      <c r="AB4782">
        <v>1</v>
      </c>
    </row>
    <row r="4783" spans="1:49" x14ac:dyDescent="0.25">
      <c r="A4783" t="str">
        <f>"4779"</f>
        <v>4779</v>
      </c>
      <c r="B4783" t="str">
        <f t="shared" si="275"/>
        <v>1</v>
      </c>
      <c r="C4783" t="str">
        <f t="shared" si="276"/>
        <v>208</v>
      </c>
      <c r="D4783" t="str">
        <f>"4"</f>
        <v>4</v>
      </c>
      <c r="E4783" t="str">
        <f>"1-208-4"</f>
        <v>1-208-4</v>
      </c>
      <c r="F4783" t="s">
        <v>83</v>
      </c>
      <c r="G4783" t="s">
        <v>86</v>
      </c>
      <c r="H4783" t="s">
        <v>93</v>
      </c>
      <c r="I4783">
        <v>1</v>
      </c>
      <c r="K4783">
        <v>0</v>
      </c>
      <c r="L4783">
        <v>0</v>
      </c>
      <c r="M4783">
        <v>1</v>
      </c>
      <c r="N4783">
        <v>1</v>
      </c>
      <c r="O4783">
        <v>1</v>
      </c>
      <c r="P4783">
        <v>1</v>
      </c>
      <c r="Q4783">
        <v>1</v>
      </c>
      <c r="R4783">
        <v>1</v>
      </c>
      <c r="U4783">
        <v>0</v>
      </c>
      <c r="V4783">
        <v>0</v>
      </c>
      <c r="W4783">
        <v>0</v>
      </c>
      <c r="X4783">
        <v>1</v>
      </c>
      <c r="Y4783">
        <v>1</v>
      </c>
      <c r="Z4783">
        <v>1</v>
      </c>
      <c r="AA4783">
        <v>1</v>
      </c>
      <c r="AB4783">
        <v>1</v>
      </c>
    </row>
    <row r="4784" spans="1:49" x14ac:dyDescent="0.25">
      <c r="A4784" t="str">
        <f>"4780"</f>
        <v>4780</v>
      </c>
      <c r="B4784" t="str">
        <f t="shared" si="275"/>
        <v>1</v>
      </c>
      <c r="C4784" t="str">
        <f t="shared" si="276"/>
        <v>208</v>
      </c>
      <c r="D4784" t="str">
        <f>"23"</f>
        <v>23</v>
      </c>
      <c r="E4784" t="str">
        <f>"1-208-23"</f>
        <v>1-208-23</v>
      </c>
      <c r="F4784" t="s">
        <v>83</v>
      </c>
      <c r="G4784" t="s">
        <v>84</v>
      </c>
      <c r="H4784" t="s">
        <v>92</v>
      </c>
      <c r="I4784">
        <v>1</v>
      </c>
      <c r="J4784">
        <v>0</v>
      </c>
      <c r="N4784">
        <v>1</v>
      </c>
      <c r="O4784">
        <v>0</v>
      </c>
      <c r="P4784">
        <v>0</v>
      </c>
      <c r="Q4784">
        <v>0</v>
      </c>
      <c r="R4784">
        <v>1</v>
      </c>
      <c r="S4784">
        <v>1</v>
      </c>
      <c r="T4784">
        <v>1</v>
      </c>
      <c r="W4784">
        <v>1</v>
      </c>
      <c r="X4784">
        <v>1</v>
      </c>
      <c r="Y4784">
        <v>1</v>
      </c>
      <c r="Z4784">
        <v>1</v>
      </c>
      <c r="AA4784">
        <v>1</v>
      </c>
      <c r="AB4784">
        <v>1</v>
      </c>
    </row>
    <row r="4785" spans="1:49" x14ac:dyDescent="0.25">
      <c r="A4785" t="str">
        <f>"4781"</f>
        <v>4781</v>
      </c>
      <c r="B4785" t="str">
        <f t="shared" si="275"/>
        <v>1</v>
      </c>
      <c r="C4785" t="str">
        <f t="shared" si="276"/>
        <v>208</v>
      </c>
      <c r="D4785" t="str">
        <f>"12"</f>
        <v>12</v>
      </c>
      <c r="E4785" t="str">
        <f>"1-208-12"</f>
        <v>1-208-12</v>
      </c>
      <c r="F4785" t="s">
        <v>83</v>
      </c>
      <c r="G4785" t="s">
        <v>84</v>
      </c>
      <c r="H4785" t="s">
        <v>85</v>
      </c>
      <c r="AC4785">
        <v>1</v>
      </c>
      <c r="AD4785">
        <v>0</v>
      </c>
      <c r="AE4785">
        <v>0</v>
      </c>
      <c r="AF4785">
        <v>0</v>
      </c>
      <c r="AG4785">
        <v>1</v>
      </c>
      <c r="AJ4785">
        <v>0</v>
      </c>
      <c r="AK4785">
        <v>1</v>
      </c>
      <c r="AL4785">
        <v>1</v>
      </c>
      <c r="AM4785">
        <v>0</v>
      </c>
      <c r="AN4785">
        <v>0</v>
      </c>
      <c r="AO4785">
        <v>1</v>
      </c>
      <c r="AP4785">
        <v>1</v>
      </c>
      <c r="AQ4785">
        <v>1</v>
      </c>
      <c r="AR4785">
        <v>1</v>
      </c>
      <c r="AS4785">
        <v>0</v>
      </c>
      <c r="AT4785">
        <v>1</v>
      </c>
      <c r="AV4785">
        <v>1</v>
      </c>
      <c r="AW4785">
        <v>1</v>
      </c>
    </row>
    <row r="4786" spans="1:49" x14ac:dyDescent="0.25">
      <c r="A4786" t="str">
        <f>"4782"</f>
        <v>4782</v>
      </c>
      <c r="B4786" t="str">
        <f t="shared" si="275"/>
        <v>1</v>
      </c>
      <c r="C4786" t="str">
        <f t="shared" si="276"/>
        <v>208</v>
      </c>
      <c r="D4786" t="str">
        <f>"1"</f>
        <v>1</v>
      </c>
      <c r="E4786" t="str">
        <f>"1-208-1"</f>
        <v>1-208-1</v>
      </c>
      <c r="F4786" t="s">
        <v>83</v>
      </c>
      <c r="G4786" t="s">
        <v>84</v>
      </c>
      <c r="H4786" t="s">
        <v>85</v>
      </c>
      <c r="AC4786">
        <v>0</v>
      </c>
      <c r="AD4786">
        <v>1</v>
      </c>
      <c r="AE4786">
        <v>0</v>
      </c>
      <c r="AF4786">
        <v>0</v>
      </c>
      <c r="AG4786">
        <v>0</v>
      </c>
      <c r="AJ4786">
        <v>1</v>
      </c>
      <c r="AK4786">
        <v>0</v>
      </c>
      <c r="AL4786">
        <v>0</v>
      </c>
      <c r="AM4786">
        <v>0</v>
      </c>
      <c r="AN4786">
        <v>0</v>
      </c>
      <c r="AO4786">
        <v>0</v>
      </c>
      <c r="AP4786">
        <v>0</v>
      </c>
      <c r="AQ4786">
        <v>0</v>
      </c>
      <c r="AR4786">
        <v>0</v>
      </c>
      <c r="AS4786">
        <v>0</v>
      </c>
      <c r="AT4786">
        <v>1</v>
      </c>
      <c r="AV4786">
        <v>0</v>
      </c>
      <c r="AW4786">
        <v>0</v>
      </c>
    </row>
    <row r="4787" spans="1:49" x14ac:dyDescent="0.25">
      <c r="A4787" t="str">
        <f>"4783"</f>
        <v>4783</v>
      </c>
      <c r="B4787" t="str">
        <f t="shared" si="275"/>
        <v>1</v>
      </c>
      <c r="C4787" t="str">
        <f t="shared" si="276"/>
        <v>208</v>
      </c>
      <c r="D4787" t="str">
        <f>"22"</f>
        <v>22</v>
      </c>
      <c r="E4787" t="str">
        <f>"1-208-22"</f>
        <v>1-208-22</v>
      </c>
      <c r="F4787" t="s">
        <v>83</v>
      </c>
      <c r="G4787" t="s">
        <v>84</v>
      </c>
      <c r="H4787" t="s">
        <v>85</v>
      </c>
      <c r="AC4787">
        <v>0</v>
      </c>
      <c r="AD4787">
        <v>1</v>
      </c>
      <c r="AE4787">
        <v>0</v>
      </c>
      <c r="AF4787">
        <v>0</v>
      </c>
      <c r="AG4787">
        <v>1</v>
      </c>
      <c r="AJ4787">
        <v>0</v>
      </c>
      <c r="AK4787">
        <v>1</v>
      </c>
      <c r="AL4787">
        <v>0</v>
      </c>
      <c r="AM4787">
        <v>0</v>
      </c>
      <c r="AN4787">
        <v>1</v>
      </c>
      <c r="AO4787">
        <v>1</v>
      </c>
      <c r="AP4787">
        <v>1</v>
      </c>
      <c r="AQ4787">
        <v>1</v>
      </c>
      <c r="AR4787">
        <v>1</v>
      </c>
      <c r="AS4787">
        <v>0</v>
      </c>
      <c r="AT4787">
        <v>0</v>
      </c>
      <c r="AV4787">
        <v>1</v>
      </c>
      <c r="AW4787">
        <v>1</v>
      </c>
    </row>
    <row r="4788" spans="1:49" x14ac:dyDescent="0.25">
      <c r="A4788" t="str">
        <f>"4784"</f>
        <v>4784</v>
      </c>
      <c r="B4788" t="str">
        <f t="shared" si="275"/>
        <v>1</v>
      </c>
      <c r="C4788" t="str">
        <f t="shared" si="276"/>
        <v>208</v>
      </c>
      <c r="D4788" t="str">
        <f>"13"</f>
        <v>13</v>
      </c>
      <c r="E4788" t="str">
        <f>"1-208-13"</f>
        <v>1-208-13</v>
      </c>
      <c r="F4788" t="s">
        <v>83</v>
      </c>
      <c r="G4788" t="s">
        <v>86</v>
      </c>
      <c r="H4788" t="s">
        <v>93</v>
      </c>
      <c r="I4788">
        <v>1</v>
      </c>
      <c r="K4788">
        <v>0</v>
      </c>
      <c r="L4788">
        <v>0</v>
      </c>
      <c r="M4788">
        <v>1</v>
      </c>
      <c r="N4788">
        <v>1</v>
      </c>
      <c r="O4788">
        <v>1</v>
      </c>
      <c r="P4788">
        <v>1</v>
      </c>
      <c r="Q4788">
        <v>1</v>
      </c>
      <c r="R4788">
        <v>1</v>
      </c>
      <c r="U4788">
        <v>0</v>
      </c>
      <c r="V4788">
        <v>1</v>
      </c>
      <c r="W4788">
        <v>1</v>
      </c>
      <c r="X4788">
        <v>1</v>
      </c>
      <c r="Y4788">
        <v>1</v>
      </c>
      <c r="Z4788">
        <v>1</v>
      </c>
      <c r="AA4788">
        <v>1</v>
      </c>
      <c r="AB4788">
        <v>1</v>
      </c>
    </row>
    <row r="4789" spans="1:49" x14ac:dyDescent="0.25">
      <c r="A4789" t="str">
        <f>"4785"</f>
        <v>4785</v>
      </c>
      <c r="B4789" t="str">
        <f t="shared" si="275"/>
        <v>1</v>
      </c>
      <c r="C4789" t="str">
        <f t="shared" si="276"/>
        <v>208</v>
      </c>
      <c r="D4789" t="str">
        <f>"7"</f>
        <v>7</v>
      </c>
      <c r="E4789" t="str">
        <f>"1-208-7"</f>
        <v>1-208-7</v>
      </c>
      <c r="F4789" t="s">
        <v>83</v>
      </c>
      <c r="G4789" t="s">
        <v>84</v>
      </c>
      <c r="H4789" t="s">
        <v>92</v>
      </c>
      <c r="I4789">
        <v>1</v>
      </c>
      <c r="J4789">
        <v>1</v>
      </c>
      <c r="N4789">
        <v>1</v>
      </c>
      <c r="O4789">
        <v>1</v>
      </c>
      <c r="P4789">
        <v>1</v>
      </c>
      <c r="Q4789">
        <v>1</v>
      </c>
      <c r="R4789">
        <v>1</v>
      </c>
      <c r="S4789">
        <v>1</v>
      </c>
      <c r="T4789">
        <v>1</v>
      </c>
      <c r="W4789">
        <v>1</v>
      </c>
      <c r="X4789">
        <v>1</v>
      </c>
      <c r="Y4789">
        <v>1</v>
      </c>
      <c r="Z4789">
        <v>1</v>
      </c>
      <c r="AA4789">
        <v>1</v>
      </c>
      <c r="AB4789">
        <v>1</v>
      </c>
    </row>
    <row r="4790" spans="1:49" x14ac:dyDescent="0.25">
      <c r="A4790" t="str">
        <f>"4786"</f>
        <v>4786</v>
      </c>
      <c r="B4790" t="str">
        <f t="shared" si="275"/>
        <v>1</v>
      </c>
      <c r="C4790" t="str">
        <f t="shared" si="276"/>
        <v>208</v>
      </c>
      <c r="D4790" t="str">
        <f>"18"</f>
        <v>18</v>
      </c>
      <c r="E4790" t="str">
        <f>"1-208-18"</f>
        <v>1-208-18</v>
      </c>
      <c r="F4790" t="s">
        <v>83</v>
      </c>
      <c r="G4790" t="s">
        <v>86</v>
      </c>
      <c r="H4790" t="s">
        <v>87</v>
      </c>
      <c r="AC4790">
        <v>0</v>
      </c>
      <c r="AD4790">
        <v>0</v>
      </c>
      <c r="AE4790">
        <v>0</v>
      </c>
      <c r="AF4790">
        <v>0</v>
      </c>
      <c r="AH4790">
        <v>0</v>
      </c>
      <c r="AI4790">
        <v>1</v>
      </c>
      <c r="AJ4790">
        <v>0</v>
      </c>
      <c r="AK4790">
        <v>0</v>
      </c>
      <c r="AL4790">
        <v>0</v>
      </c>
      <c r="AM4790">
        <v>0</v>
      </c>
      <c r="AN4790">
        <v>0</v>
      </c>
      <c r="AO4790">
        <v>0</v>
      </c>
      <c r="AP4790">
        <v>0</v>
      </c>
      <c r="AQ4790">
        <v>0</v>
      </c>
      <c r="AU4790">
        <v>0</v>
      </c>
      <c r="AV4790">
        <v>0</v>
      </c>
      <c r="AW4790">
        <v>0</v>
      </c>
    </row>
    <row r="4791" spans="1:49" x14ac:dyDescent="0.25">
      <c r="A4791" t="str">
        <f>"4787"</f>
        <v>4787</v>
      </c>
      <c r="B4791" t="str">
        <f t="shared" si="275"/>
        <v>1</v>
      </c>
      <c r="C4791" t="str">
        <f t="shared" si="276"/>
        <v>208</v>
      </c>
      <c r="D4791" t="str">
        <f>"6"</f>
        <v>6</v>
      </c>
      <c r="E4791" t="str">
        <f>"1-208-6"</f>
        <v>1-208-6</v>
      </c>
      <c r="F4791" t="s">
        <v>83</v>
      </c>
      <c r="G4791" t="s">
        <v>84</v>
      </c>
      <c r="H4791" t="s">
        <v>85</v>
      </c>
      <c r="AC4791">
        <v>0</v>
      </c>
      <c r="AD4791">
        <v>1</v>
      </c>
      <c r="AE4791">
        <v>0</v>
      </c>
      <c r="AF4791">
        <v>0</v>
      </c>
      <c r="AG4791">
        <v>0</v>
      </c>
      <c r="AJ4791">
        <v>0</v>
      </c>
      <c r="AK4791">
        <v>1</v>
      </c>
      <c r="AL4791">
        <v>0</v>
      </c>
      <c r="AM4791">
        <v>0</v>
      </c>
      <c r="AN4791">
        <v>1</v>
      </c>
      <c r="AO4791">
        <v>0</v>
      </c>
      <c r="AP4791">
        <v>0</v>
      </c>
      <c r="AQ4791">
        <v>0</v>
      </c>
      <c r="AR4791">
        <v>0</v>
      </c>
      <c r="AS4791">
        <v>0</v>
      </c>
      <c r="AT4791">
        <v>1</v>
      </c>
      <c r="AV4791">
        <v>0</v>
      </c>
      <c r="AW4791">
        <v>0</v>
      </c>
    </row>
    <row r="4792" spans="1:49" x14ac:dyDescent="0.25">
      <c r="A4792" t="str">
        <f>"4788"</f>
        <v>4788</v>
      </c>
      <c r="B4792" t="str">
        <f t="shared" si="275"/>
        <v>1</v>
      </c>
      <c r="C4792" t="str">
        <f t="shared" si="276"/>
        <v>208</v>
      </c>
      <c r="D4792" t="str">
        <f>"19"</f>
        <v>19</v>
      </c>
      <c r="E4792" t="str">
        <f>"1-208-19"</f>
        <v>1-208-19</v>
      </c>
      <c r="F4792" t="s">
        <v>83</v>
      </c>
      <c r="G4792" t="s">
        <v>84</v>
      </c>
      <c r="H4792" t="s">
        <v>85</v>
      </c>
      <c r="AC4792">
        <v>1</v>
      </c>
      <c r="AD4792">
        <v>0</v>
      </c>
      <c r="AE4792">
        <v>0</v>
      </c>
      <c r="AF4792">
        <v>0</v>
      </c>
      <c r="AG4792">
        <v>1</v>
      </c>
      <c r="AJ4792">
        <v>1</v>
      </c>
      <c r="AK4792">
        <v>0</v>
      </c>
      <c r="AL4792">
        <v>1</v>
      </c>
      <c r="AM4792">
        <v>0</v>
      </c>
      <c r="AN4792">
        <v>0</v>
      </c>
      <c r="AO4792">
        <v>1</v>
      </c>
      <c r="AP4792">
        <v>1</v>
      </c>
      <c r="AQ4792">
        <v>1</v>
      </c>
      <c r="AR4792">
        <v>1</v>
      </c>
      <c r="AS4792">
        <v>0</v>
      </c>
      <c r="AT4792">
        <v>1</v>
      </c>
      <c r="AV4792">
        <v>1</v>
      </c>
      <c r="AW4792">
        <v>1</v>
      </c>
    </row>
    <row r="4793" spans="1:49" x14ac:dyDescent="0.25">
      <c r="A4793" t="str">
        <f>"4789"</f>
        <v>4789</v>
      </c>
      <c r="B4793" t="str">
        <f t="shared" si="275"/>
        <v>1</v>
      </c>
      <c r="C4793" t="str">
        <f t="shared" si="276"/>
        <v>208</v>
      </c>
      <c r="D4793" t="str">
        <f>"2"</f>
        <v>2</v>
      </c>
      <c r="E4793" t="str">
        <f>"1-208-2"</f>
        <v>1-208-2</v>
      </c>
      <c r="F4793" t="s">
        <v>83</v>
      </c>
      <c r="G4793" t="s">
        <v>84</v>
      </c>
      <c r="H4793" t="s">
        <v>85</v>
      </c>
      <c r="AC4793">
        <v>0</v>
      </c>
      <c r="AD4793">
        <v>1</v>
      </c>
      <c r="AE4793">
        <v>0</v>
      </c>
      <c r="AF4793">
        <v>0</v>
      </c>
      <c r="AG4793">
        <v>1</v>
      </c>
      <c r="AJ4793">
        <v>0</v>
      </c>
      <c r="AK4793">
        <v>1</v>
      </c>
      <c r="AL4793">
        <v>1</v>
      </c>
      <c r="AM4793">
        <v>0</v>
      </c>
      <c r="AN4793">
        <v>0</v>
      </c>
      <c r="AO4793">
        <v>1</v>
      </c>
      <c r="AP4793">
        <v>1</v>
      </c>
      <c r="AQ4793">
        <v>1</v>
      </c>
      <c r="AR4793">
        <v>1</v>
      </c>
      <c r="AS4793">
        <v>1</v>
      </c>
      <c r="AT4793">
        <v>0</v>
      </c>
      <c r="AV4793">
        <v>1</v>
      </c>
      <c r="AW4793">
        <v>1</v>
      </c>
    </row>
    <row r="4794" spans="1:49" x14ac:dyDescent="0.25">
      <c r="A4794" t="str">
        <f>"4790"</f>
        <v>4790</v>
      </c>
      <c r="B4794" t="str">
        <f t="shared" si="275"/>
        <v>1</v>
      </c>
      <c r="C4794" t="str">
        <f t="shared" si="276"/>
        <v>208</v>
      </c>
      <c r="D4794" t="str">
        <f>"21"</f>
        <v>21</v>
      </c>
      <c r="E4794" t="str">
        <f>"1-208-21"</f>
        <v>1-208-21</v>
      </c>
      <c r="F4794" t="s">
        <v>83</v>
      </c>
      <c r="G4794" t="s">
        <v>84</v>
      </c>
      <c r="H4794" t="s">
        <v>85</v>
      </c>
      <c r="AC4794">
        <v>0</v>
      </c>
      <c r="AD4794">
        <v>1</v>
      </c>
      <c r="AE4794">
        <v>0</v>
      </c>
      <c r="AF4794">
        <v>0</v>
      </c>
      <c r="AG4794">
        <v>1</v>
      </c>
      <c r="AJ4794">
        <v>0</v>
      </c>
      <c r="AK4794">
        <v>1</v>
      </c>
      <c r="AL4794">
        <v>0</v>
      </c>
      <c r="AM4794">
        <v>0</v>
      </c>
      <c r="AN4794">
        <v>1</v>
      </c>
      <c r="AO4794">
        <v>1</v>
      </c>
      <c r="AP4794">
        <v>1</v>
      </c>
      <c r="AQ4794">
        <v>1</v>
      </c>
      <c r="AR4794">
        <v>1</v>
      </c>
      <c r="AS4794">
        <v>1</v>
      </c>
      <c r="AT4794">
        <v>0</v>
      </c>
      <c r="AV4794">
        <v>1</v>
      </c>
      <c r="AW4794">
        <v>1</v>
      </c>
    </row>
    <row r="4795" spans="1:49" x14ac:dyDescent="0.25">
      <c r="A4795" t="str">
        <f>"4791"</f>
        <v>4791</v>
      </c>
      <c r="B4795" t="str">
        <f t="shared" si="275"/>
        <v>1</v>
      </c>
      <c r="C4795" t="str">
        <f t="shared" ref="C4795:C4818" si="277">"209"</f>
        <v>209</v>
      </c>
      <c r="D4795" t="str">
        <f>"21"</f>
        <v>21</v>
      </c>
      <c r="E4795" t="str">
        <f>"1-209-21"</f>
        <v>1-209-21</v>
      </c>
      <c r="F4795" t="s">
        <v>83</v>
      </c>
      <c r="G4795" t="s">
        <v>84</v>
      </c>
      <c r="H4795" t="s">
        <v>85</v>
      </c>
      <c r="AC4795">
        <v>0</v>
      </c>
      <c r="AD4795">
        <v>1</v>
      </c>
      <c r="AE4795">
        <v>0</v>
      </c>
      <c r="AF4795">
        <v>0</v>
      </c>
      <c r="AG4795">
        <v>1</v>
      </c>
      <c r="AJ4795">
        <v>0</v>
      </c>
      <c r="AK4795">
        <v>1</v>
      </c>
      <c r="AL4795">
        <v>0</v>
      </c>
      <c r="AM4795">
        <v>0</v>
      </c>
      <c r="AN4795">
        <v>1</v>
      </c>
      <c r="AO4795">
        <v>1</v>
      </c>
      <c r="AP4795">
        <v>1</v>
      </c>
      <c r="AQ4795">
        <v>1</v>
      </c>
      <c r="AR4795">
        <v>1</v>
      </c>
      <c r="AS4795">
        <v>0</v>
      </c>
      <c r="AT4795">
        <v>1</v>
      </c>
      <c r="AV4795">
        <v>1</v>
      </c>
      <c r="AW4795">
        <v>1</v>
      </c>
    </row>
    <row r="4796" spans="1:49" x14ac:dyDescent="0.25">
      <c r="A4796" t="str">
        <f>"4792"</f>
        <v>4792</v>
      </c>
      <c r="B4796" t="str">
        <f t="shared" si="275"/>
        <v>1</v>
      </c>
      <c r="C4796" t="str">
        <f t="shared" si="277"/>
        <v>209</v>
      </c>
      <c r="D4796" t="str">
        <f>"20"</f>
        <v>20</v>
      </c>
      <c r="E4796" t="str">
        <f>"1-209-20"</f>
        <v>1-209-20</v>
      </c>
      <c r="F4796" t="s">
        <v>83</v>
      </c>
      <c r="G4796" t="s">
        <v>84</v>
      </c>
      <c r="H4796" t="s">
        <v>92</v>
      </c>
      <c r="I4796">
        <v>0</v>
      </c>
      <c r="J4796">
        <v>0</v>
      </c>
      <c r="N4796">
        <v>1</v>
      </c>
      <c r="O4796">
        <v>0</v>
      </c>
      <c r="P4796">
        <v>0</v>
      </c>
      <c r="Q4796">
        <v>0</v>
      </c>
      <c r="R4796">
        <v>0</v>
      </c>
      <c r="S4796">
        <v>0</v>
      </c>
      <c r="T4796">
        <v>0</v>
      </c>
      <c r="W4796">
        <v>0</v>
      </c>
      <c r="X4796">
        <v>0</v>
      </c>
      <c r="Y4796">
        <v>0</v>
      </c>
      <c r="Z4796">
        <v>0</v>
      </c>
      <c r="AA4796">
        <v>0</v>
      </c>
      <c r="AB4796">
        <v>0</v>
      </c>
    </row>
    <row r="4797" spans="1:49" x14ac:dyDescent="0.25">
      <c r="A4797" t="str">
        <f>"4793"</f>
        <v>4793</v>
      </c>
      <c r="B4797" t="str">
        <f t="shared" si="275"/>
        <v>1</v>
      </c>
      <c r="C4797" t="str">
        <f t="shared" si="277"/>
        <v>209</v>
      </c>
      <c r="D4797" t="str">
        <f>"15"</f>
        <v>15</v>
      </c>
      <c r="E4797" t="str">
        <f>"1-209-15"</f>
        <v>1-209-15</v>
      </c>
      <c r="F4797" t="s">
        <v>83</v>
      </c>
      <c r="G4797" t="s">
        <v>84</v>
      </c>
      <c r="H4797" t="s">
        <v>85</v>
      </c>
      <c r="AC4797">
        <v>1</v>
      </c>
      <c r="AD4797">
        <v>0</v>
      </c>
      <c r="AE4797">
        <v>0</v>
      </c>
      <c r="AF4797">
        <v>0</v>
      </c>
      <c r="AG4797">
        <v>1</v>
      </c>
      <c r="AJ4797">
        <v>1</v>
      </c>
      <c r="AK4797">
        <v>0</v>
      </c>
      <c r="AL4797">
        <v>1</v>
      </c>
      <c r="AM4797">
        <v>0</v>
      </c>
      <c r="AN4797">
        <v>0</v>
      </c>
      <c r="AO4797">
        <v>1</v>
      </c>
      <c r="AP4797">
        <v>1</v>
      </c>
      <c r="AQ4797">
        <v>1</v>
      </c>
      <c r="AR4797">
        <v>1</v>
      </c>
      <c r="AS4797">
        <v>1</v>
      </c>
      <c r="AT4797">
        <v>0</v>
      </c>
      <c r="AV4797">
        <v>1</v>
      </c>
      <c r="AW4797">
        <v>1</v>
      </c>
    </row>
    <row r="4798" spans="1:49" x14ac:dyDescent="0.25">
      <c r="A4798" t="str">
        <f>"4794"</f>
        <v>4794</v>
      </c>
      <c r="B4798" t="str">
        <f t="shared" si="275"/>
        <v>1</v>
      </c>
      <c r="C4798" t="str">
        <f t="shared" si="277"/>
        <v>209</v>
      </c>
      <c r="D4798" t="str">
        <f>"14"</f>
        <v>14</v>
      </c>
      <c r="E4798" t="str">
        <f>"1-209-14"</f>
        <v>1-209-14</v>
      </c>
      <c r="F4798" t="s">
        <v>83</v>
      </c>
      <c r="G4798" t="s">
        <v>84</v>
      </c>
      <c r="H4798" t="s">
        <v>85</v>
      </c>
      <c r="AC4798">
        <v>0</v>
      </c>
      <c r="AD4798">
        <v>1</v>
      </c>
      <c r="AE4798">
        <v>0</v>
      </c>
      <c r="AF4798">
        <v>0</v>
      </c>
      <c r="AG4798">
        <v>1</v>
      </c>
      <c r="AJ4798">
        <v>0</v>
      </c>
      <c r="AK4798">
        <v>1</v>
      </c>
      <c r="AL4798">
        <v>0</v>
      </c>
      <c r="AM4798">
        <v>1</v>
      </c>
      <c r="AN4798">
        <v>0</v>
      </c>
      <c r="AO4798">
        <v>1</v>
      </c>
      <c r="AP4798">
        <v>1</v>
      </c>
      <c r="AQ4798">
        <v>1</v>
      </c>
      <c r="AR4798">
        <v>1</v>
      </c>
      <c r="AS4798">
        <v>0</v>
      </c>
      <c r="AT4798">
        <v>1</v>
      </c>
      <c r="AV4798">
        <v>1</v>
      </c>
      <c r="AW4798">
        <v>1</v>
      </c>
    </row>
    <row r="4799" spans="1:49" x14ac:dyDescent="0.25">
      <c r="A4799" t="str">
        <f>"4795"</f>
        <v>4795</v>
      </c>
      <c r="B4799" t="str">
        <f t="shared" si="275"/>
        <v>1</v>
      </c>
      <c r="C4799" t="str">
        <f t="shared" si="277"/>
        <v>209</v>
      </c>
      <c r="D4799" t="str">
        <f>"11"</f>
        <v>11</v>
      </c>
      <c r="E4799" t="str">
        <f>"1-209-11"</f>
        <v>1-209-11</v>
      </c>
      <c r="F4799" t="s">
        <v>83</v>
      </c>
      <c r="G4799" t="s">
        <v>84</v>
      </c>
      <c r="H4799" t="s">
        <v>85</v>
      </c>
      <c r="AC4799">
        <v>1</v>
      </c>
      <c r="AD4799">
        <v>0</v>
      </c>
      <c r="AE4799">
        <v>0</v>
      </c>
      <c r="AF4799">
        <v>0</v>
      </c>
      <c r="AG4799">
        <v>0</v>
      </c>
      <c r="AJ4799">
        <v>0</v>
      </c>
      <c r="AK4799">
        <v>1</v>
      </c>
      <c r="AL4799">
        <v>1</v>
      </c>
      <c r="AM4799">
        <v>0</v>
      </c>
      <c r="AN4799">
        <v>0</v>
      </c>
      <c r="AO4799">
        <v>0</v>
      </c>
      <c r="AP4799">
        <v>0</v>
      </c>
      <c r="AQ4799">
        <v>0</v>
      </c>
      <c r="AR4799">
        <v>0</v>
      </c>
      <c r="AS4799">
        <v>1</v>
      </c>
      <c r="AT4799">
        <v>0</v>
      </c>
      <c r="AV4799">
        <v>0</v>
      </c>
      <c r="AW4799">
        <v>0</v>
      </c>
    </row>
    <row r="4800" spans="1:49" x14ac:dyDescent="0.25">
      <c r="A4800" t="str">
        <f>"4796"</f>
        <v>4796</v>
      </c>
      <c r="B4800" t="str">
        <f t="shared" si="275"/>
        <v>1</v>
      </c>
      <c r="C4800" t="str">
        <f t="shared" si="277"/>
        <v>209</v>
      </c>
      <c r="D4800" t="str">
        <f>"8"</f>
        <v>8</v>
      </c>
      <c r="E4800" t="str">
        <f>"1-209-8"</f>
        <v>1-209-8</v>
      </c>
      <c r="F4800" t="s">
        <v>83</v>
      </c>
      <c r="G4800" t="s">
        <v>88</v>
      </c>
      <c r="H4800" t="s">
        <v>95</v>
      </c>
      <c r="I4800">
        <v>1</v>
      </c>
      <c r="K4800">
        <v>0</v>
      </c>
      <c r="L4800">
        <v>1</v>
      </c>
      <c r="M4800">
        <v>0</v>
      </c>
      <c r="N4800">
        <v>1</v>
      </c>
      <c r="O4800">
        <v>1</v>
      </c>
      <c r="P4800">
        <v>1</v>
      </c>
      <c r="Q4800">
        <v>1</v>
      </c>
      <c r="R4800">
        <v>1</v>
      </c>
      <c r="S4800">
        <v>1</v>
      </c>
      <c r="T4800">
        <v>1</v>
      </c>
      <c r="W4800">
        <v>1</v>
      </c>
      <c r="X4800">
        <v>1</v>
      </c>
      <c r="Y4800">
        <v>1</v>
      </c>
      <c r="Z4800">
        <v>1</v>
      </c>
      <c r="AA4800">
        <v>1</v>
      </c>
      <c r="AB4800">
        <v>1</v>
      </c>
    </row>
    <row r="4801" spans="1:49" x14ac:dyDescent="0.25">
      <c r="A4801" t="str">
        <f>"4797"</f>
        <v>4797</v>
      </c>
      <c r="B4801" t="str">
        <f t="shared" si="275"/>
        <v>1</v>
      </c>
      <c r="C4801" t="str">
        <f t="shared" si="277"/>
        <v>209</v>
      </c>
      <c r="D4801" t="str">
        <f>"4"</f>
        <v>4</v>
      </c>
      <c r="E4801" t="str">
        <f>"1-209-4"</f>
        <v>1-209-4</v>
      </c>
      <c r="F4801" t="s">
        <v>83</v>
      </c>
      <c r="G4801" t="s">
        <v>84</v>
      </c>
      <c r="H4801" t="s">
        <v>85</v>
      </c>
      <c r="AC4801">
        <v>1</v>
      </c>
      <c r="AD4801">
        <v>0</v>
      </c>
      <c r="AE4801">
        <v>0</v>
      </c>
      <c r="AF4801">
        <v>0</v>
      </c>
      <c r="AG4801">
        <v>1</v>
      </c>
      <c r="AJ4801">
        <v>0</v>
      </c>
      <c r="AK4801">
        <v>1</v>
      </c>
      <c r="AL4801">
        <v>1</v>
      </c>
      <c r="AM4801">
        <v>0</v>
      </c>
      <c r="AN4801">
        <v>0</v>
      </c>
      <c r="AO4801">
        <v>1</v>
      </c>
      <c r="AP4801">
        <v>1</v>
      </c>
      <c r="AQ4801">
        <v>1</v>
      </c>
      <c r="AR4801">
        <v>1</v>
      </c>
      <c r="AS4801">
        <v>0</v>
      </c>
      <c r="AT4801">
        <v>1</v>
      </c>
      <c r="AV4801">
        <v>1</v>
      </c>
      <c r="AW4801">
        <v>1</v>
      </c>
    </row>
    <row r="4802" spans="1:49" x14ac:dyDescent="0.25">
      <c r="A4802" t="str">
        <f>"4798"</f>
        <v>4798</v>
      </c>
      <c r="B4802" t="str">
        <f t="shared" si="275"/>
        <v>1</v>
      </c>
      <c r="C4802" t="str">
        <f t="shared" si="277"/>
        <v>209</v>
      </c>
      <c r="D4802" t="str">
        <f>"18"</f>
        <v>18</v>
      </c>
      <c r="E4802" t="str">
        <f>"1-209-18"</f>
        <v>1-209-18</v>
      </c>
      <c r="F4802" t="s">
        <v>83</v>
      </c>
      <c r="G4802" t="s">
        <v>84</v>
      </c>
      <c r="H4802" t="s">
        <v>85</v>
      </c>
      <c r="AC4802">
        <v>1</v>
      </c>
      <c r="AD4802">
        <v>0</v>
      </c>
      <c r="AE4802">
        <v>0</v>
      </c>
      <c r="AF4802">
        <v>0</v>
      </c>
      <c r="AG4802">
        <v>1</v>
      </c>
      <c r="AJ4802">
        <v>1</v>
      </c>
      <c r="AK4802">
        <v>0</v>
      </c>
      <c r="AL4802">
        <v>0</v>
      </c>
      <c r="AM4802">
        <v>1</v>
      </c>
      <c r="AN4802">
        <v>0</v>
      </c>
      <c r="AO4802">
        <v>1</v>
      </c>
      <c r="AP4802">
        <v>1</v>
      </c>
      <c r="AQ4802">
        <v>1</v>
      </c>
      <c r="AR4802">
        <v>1</v>
      </c>
      <c r="AS4802">
        <v>0</v>
      </c>
      <c r="AT4802">
        <v>1</v>
      </c>
      <c r="AV4802">
        <v>1</v>
      </c>
      <c r="AW4802">
        <v>1</v>
      </c>
    </row>
    <row r="4803" spans="1:49" x14ac:dyDescent="0.25">
      <c r="A4803" t="str">
        <f>"4799"</f>
        <v>4799</v>
      </c>
      <c r="B4803" t="str">
        <f t="shared" si="275"/>
        <v>1</v>
      </c>
      <c r="C4803" t="str">
        <f t="shared" si="277"/>
        <v>209</v>
      </c>
      <c r="D4803" t="str">
        <f>"9"</f>
        <v>9</v>
      </c>
      <c r="E4803" t="str">
        <f>"1-209-9"</f>
        <v>1-209-9</v>
      </c>
      <c r="F4803" t="s">
        <v>83</v>
      </c>
      <c r="G4803" t="s">
        <v>88</v>
      </c>
      <c r="H4803" t="s">
        <v>89</v>
      </c>
      <c r="AC4803">
        <v>1</v>
      </c>
      <c r="AD4803">
        <v>0</v>
      </c>
      <c r="AE4803">
        <v>0</v>
      </c>
      <c r="AF4803">
        <v>0</v>
      </c>
      <c r="AH4803">
        <v>0</v>
      </c>
      <c r="AI4803">
        <v>1</v>
      </c>
      <c r="AJ4803">
        <v>1</v>
      </c>
      <c r="AK4803">
        <v>0</v>
      </c>
      <c r="AL4803">
        <v>0</v>
      </c>
      <c r="AM4803">
        <v>1</v>
      </c>
      <c r="AN4803">
        <v>0</v>
      </c>
      <c r="AO4803">
        <v>0</v>
      </c>
      <c r="AP4803">
        <v>0</v>
      </c>
      <c r="AQ4803">
        <v>0</v>
      </c>
      <c r="AR4803">
        <v>0</v>
      </c>
      <c r="AS4803">
        <v>1</v>
      </c>
      <c r="AT4803">
        <v>0</v>
      </c>
      <c r="AV4803">
        <v>0</v>
      </c>
      <c r="AW4803">
        <v>0</v>
      </c>
    </row>
    <row r="4804" spans="1:49" x14ac:dyDescent="0.25">
      <c r="A4804" t="str">
        <f>"4800"</f>
        <v>4800</v>
      </c>
      <c r="B4804" t="str">
        <f t="shared" si="275"/>
        <v>1</v>
      </c>
      <c r="C4804" t="str">
        <f t="shared" si="277"/>
        <v>209</v>
      </c>
      <c r="D4804" t="str">
        <f>"5"</f>
        <v>5</v>
      </c>
      <c r="E4804" t="str">
        <f>"1-209-5"</f>
        <v>1-209-5</v>
      </c>
      <c r="F4804" t="s">
        <v>83</v>
      </c>
      <c r="G4804" t="s">
        <v>84</v>
      </c>
      <c r="H4804" t="s">
        <v>85</v>
      </c>
      <c r="AC4804">
        <v>1</v>
      </c>
      <c r="AD4804">
        <v>0</v>
      </c>
      <c r="AE4804">
        <v>0</v>
      </c>
      <c r="AF4804">
        <v>0</v>
      </c>
      <c r="AG4804">
        <v>1</v>
      </c>
      <c r="AJ4804">
        <v>0</v>
      </c>
      <c r="AK4804">
        <v>1</v>
      </c>
      <c r="AL4804">
        <v>1</v>
      </c>
      <c r="AM4804">
        <v>0</v>
      </c>
      <c r="AN4804">
        <v>0</v>
      </c>
      <c r="AO4804">
        <v>1</v>
      </c>
      <c r="AP4804">
        <v>1</v>
      </c>
      <c r="AQ4804">
        <v>1</v>
      </c>
      <c r="AR4804">
        <v>1</v>
      </c>
      <c r="AS4804">
        <v>0</v>
      </c>
      <c r="AT4804">
        <v>1</v>
      </c>
      <c r="AV4804">
        <v>1</v>
      </c>
      <c r="AW4804">
        <v>1</v>
      </c>
    </row>
    <row r="4805" spans="1:49" x14ac:dyDescent="0.25">
      <c r="A4805" t="str">
        <f>"4801"</f>
        <v>4801</v>
      </c>
      <c r="B4805" t="str">
        <f t="shared" si="275"/>
        <v>1</v>
      </c>
      <c r="C4805" t="str">
        <f t="shared" si="277"/>
        <v>209</v>
      </c>
      <c r="D4805" t="str">
        <f>"24"</f>
        <v>24</v>
      </c>
      <c r="E4805" t="str">
        <f>"1-209-24"</f>
        <v>1-209-24</v>
      </c>
      <c r="F4805" t="s">
        <v>83</v>
      </c>
      <c r="G4805" t="s">
        <v>84</v>
      </c>
      <c r="H4805" t="s">
        <v>92</v>
      </c>
      <c r="I4805">
        <v>1</v>
      </c>
      <c r="J4805">
        <v>1</v>
      </c>
      <c r="N4805">
        <v>1</v>
      </c>
      <c r="O4805">
        <v>1</v>
      </c>
      <c r="P4805">
        <v>1</v>
      </c>
      <c r="Q4805">
        <v>1</v>
      </c>
      <c r="R4805">
        <v>1</v>
      </c>
      <c r="S4805">
        <v>1</v>
      </c>
      <c r="T4805">
        <v>1</v>
      </c>
      <c r="W4805">
        <v>0</v>
      </c>
      <c r="X4805">
        <v>1</v>
      </c>
      <c r="Y4805">
        <v>1</v>
      </c>
      <c r="Z4805">
        <v>1</v>
      </c>
      <c r="AA4805">
        <v>1</v>
      </c>
      <c r="AB4805">
        <v>1</v>
      </c>
    </row>
    <row r="4806" spans="1:49" x14ac:dyDescent="0.25">
      <c r="A4806" t="str">
        <f>"4802"</f>
        <v>4802</v>
      </c>
      <c r="B4806" t="str">
        <f t="shared" si="275"/>
        <v>1</v>
      </c>
      <c r="C4806" t="str">
        <f t="shared" si="277"/>
        <v>209</v>
      </c>
      <c r="D4806" t="str">
        <f>"16"</f>
        <v>16</v>
      </c>
      <c r="E4806" t="str">
        <f>"1-209-16"</f>
        <v>1-209-16</v>
      </c>
      <c r="F4806" t="s">
        <v>83</v>
      </c>
      <c r="G4806" t="s">
        <v>88</v>
      </c>
      <c r="H4806" t="s">
        <v>89</v>
      </c>
      <c r="AC4806">
        <v>0</v>
      </c>
      <c r="AD4806">
        <v>1</v>
      </c>
      <c r="AE4806">
        <v>0</v>
      </c>
      <c r="AF4806">
        <v>0</v>
      </c>
      <c r="AH4806">
        <v>1</v>
      </c>
      <c r="AI4806">
        <v>0</v>
      </c>
      <c r="AJ4806">
        <v>1</v>
      </c>
      <c r="AK4806">
        <v>0</v>
      </c>
      <c r="AL4806">
        <v>0</v>
      </c>
      <c r="AM4806">
        <v>0</v>
      </c>
      <c r="AN4806">
        <v>1</v>
      </c>
      <c r="AO4806">
        <v>1</v>
      </c>
      <c r="AP4806">
        <v>1</v>
      </c>
      <c r="AQ4806">
        <v>1</v>
      </c>
      <c r="AR4806">
        <v>1</v>
      </c>
      <c r="AS4806">
        <v>1</v>
      </c>
      <c r="AT4806">
        <v>0</v>
      </c>
      <c r="AV4806">
        <v>1</v>
      </c>
      <c r="AW4806">
        <v>1</v>
      </c>
    </row>
    <row r="4807" spans="1:49" x14ac:dyDescent="0.25">
      <c r="A4807" t="str">
        <f>"4803"</f>
        <v>4803</v>
      </c>
      <c r="B4807" t="str">
        <f t="shared" si="275"/>
        <v>1</v>
      </c>
      <c r="C4807" t="str">
        <f t="shared" si="277"/>
        <v>209</v>
      </c>
      <c r="D4807" t="str">
        <f>"10"</f>
        <v>10</v>
      </c>
      <c r="E4807" t="str">
        <f>"1-209-10"</f>
        <v>1-209-10</v>
      </c>
      <c r="F4807" t="s">
        <v>83</v>
      </c>
      <c r="G4807" t="s">
        <v>84</v>
      </c>
      <c r="H4807" t="s">
        <v>85</v>
      </c>
      <c r="AC4807">
        <v>0</v>
      </c>
      <c r="AD4807">
        <v>1</v>
      </c>
      <c r="AE4807">
        <v>0</v>
      </c>
      <c r="AF4807">
        <v>0</v>
      </c>
      <c r="AG4807">
        <v>0</v>
      </c>
      <c r="AJ4807">
        <v>0</v>
      </c>
      <c r="AK4807">
        <v>1</v>
      </c>
      <c r="AL4807">
        <v>0</v>
      </c>
      <c r="AM4807">
        <v>0</v>
      </c>
      <c r="AN4807">
        <v>1</v>
      </c>
      <c r="AO4807">
        <v>0</v>
      </c>
      <c r="AP4807">
        <v>0</v>
      </c>
      <c r="AQ4807">
        <v>0</v>
      </c>
      <c r="AR4807">
        <v>0</v>
      </c>
      <c r="AS4807">
        <v>0</v>
      </c>
      <c r="AT4807">
        <v>0</v>
      </c>
      <c r="AV4807">
        <v>0</v>
      </c>
      <c r="AW4807">
        <v>0</v>
      </c>
    </row>
    <row r="4808" spans="1:49" x14ac:dyDescent="0.25">
      <c r="A4808" t="str">
        <f>"4804"</f>
        <v>4804</v>
      </c>
      <c r="B4808" t="str">
        <f t="shared" si="275"/>
        <v>1</v>
      </c>
      <c r="C4808" t="str">
        <f t="shared" si="277"/>
        <v>209</v>
      </c>
      <c r="D4808" t="str">
        <f>"3"</f>
        <v>3</v>
      </c>
      <c r="E4808" t="str">
        <f>"1-209-3"</f>
        <v>1-209-3</v>
      </c>
      <c r="F4808" t="s">
        <v>83</v>
      </c>
      <c r="G4808" t="s">
        <v>84</v>
      </c>
      <c r="H4808" t="s">
        <v>85</v>
      </c>
      <c r="AC4808">
        <v>1</v>
      </c>
      <c r="AD4808">
        <v>0</v>
      </c>
      <c r="AE4808">
        <v>0</v>
      </c>
      <c r="AF4808">
        <v>0</v>
      </c>
      <c r="AG4808">
        <v>1</v>
      </c>
      <c r="AJ4808">
        <v>0</v>
      </c>
      <c r="AK4808">
        <v>1</v>
      </c>
      <c r="AL4808">
        <v>1</v>
      </c>
      <c r="AM4808">
        <v>0</v>
      </c>
      <c r="AN4808">
        <v>0</v>
      </c>
      <c r="AO4808">
        <v>1</v>
      </c>
      <c r="AP4808">
        <v>1</v>
      </c>
      <c r="AQ4808">
        <v>1</v>
      </c>
      <c r="AR4808">
        <v>1</v>
      </c>
      <c r="AS4808">
        <v>0</v>
      </c>
      <c r="AT4808">
        <v>1</v>
      </c>
      <c r="AV4808">
        <v>1</v>
      </c>
      <c r="AW4808">
        <v>1</v>
      </c>
    </row>
    <row r="4809" spans="1:49" x14ac:dyDescent="0.25">
      <c r="A4809" t="str">
        <f>"4805"</f>
        <v>4805</v>
      </c>
      <c r="B4809" t="str">
        <f t="shared" si="275"/>
        <v>1</v>
      </c>
      <c r="C4809" t="str">
        <f t="shared" si="277"/>
        <v>209</v>
      </c>
      <c r="D4809" t="str">
        <f>"22"</f>
        <v>22</v>
      </c>
      <c r="E4809" t="str">
        <f>"1-209-22"</f>
        <v>1-209-22</v>
      </c>
      <c r="F4809" t="s">
        <v>83</v>
      </c>
      <c r="G4809" t="s">
        <v>84</v>
      </c>
      <c r="H4809" t="s">
        <v>85</v>
      </c>
      <c r="AC4809">
        <v>1</v>
      </c>
      <c r="AD4809">
        <v>0</v>
      </c>
      <c r="AE4809">
        <v>0</v>
      </c>
      <c r="AF4809">
        <v>0</v>
      </c>
      <c r="AG4809">
        <v>1</v>
      </c>
      <c r="AJ4809">
        <v>1</v>
      </c>
      <c r="AK4809">
        <v>0</v>
      </c>
      <c r="AL4809">
        <v>0</v>
      </c>
      <c r="AM4809">
        <v>0</v>
      </c>
      <c r="AN4809">
        <v>1</v>
      </c>
      <c r="AO4809">
        <v>1</v>
      </c>
      <c r="AP4809">
        <v>1</v>
      </c>
      <c r="AQ4809">
        <v>1</v>
      </c>
      <c r="AR4809">
        <v>1</v>
      </c>
      <c r="AS4809">
        <v>0</v>
      </c>
      <c r="AT4809">
        <v>1</v>
      </c>
      <c r="AV4809">
        <v>1</v>
      </c>
      <c r="AW4809">
        <v>1</v>
      </c>
    </row>
    <row r="4810" spans="1:49" x14ac:dyDescent="0.25">
      <c r="A4810" t="str">
        <f>"4806"</f>
        <v>4806</v>
      </c>
      <c r="B4810" t="str">
        <f t="shared" si="275"/>
        <v>1</v>
      </c>
      <c r="C4810" t="str">
        <f t="shared" si="277"/>
        <v>209</v>
      </c>
      <c r="D4810" t="str">
        <f>"12"</f>
        <v>12</v>
      </c>
      <c r="E4810" t="str">
        <f>"1-209-12"</f>
        <v>1-209-12</v>
      </c>
      <c r="F4810" t="s">
        <v>83</v>
      </c>
      <c r="G4810" t="s">
        <v>84</v>
      </c>
      <c r="H4810" t="s">
        <v>85</v>
      </c>
      <c r="AC4810">
        <v>0</v>
      </c>
      <c r="AD4810">
        <v>1</v>
      </c>
      <c r="AE4810">
        <v>0</v>
      </c>
      <c r="AF4810">
        <v>0</v>
      </c>
      <c r="AG4810">
        <v>0</v>
      </c>
      <c r="AJ4810">
        <v>0</v>
      </c>
      <c r="AK4810">
        <v>1</v>
      </c>
      <c r="AL4810">
        <v>0</v>
      </c>
      <c r="AM4810">
        <v>0</v>
      </c>
      <c r="AN4810">
        <v>1</v>
      </c>
      <c r="AO4810">
        <v>0</v>
      </c>
      <c r="AP4810">
        <v>0</v>
      </c>
      <c r="AQ4810">
        <v>0</v>
      </c>
      <c r="AR4810">
        <v>0</v>
      </c>
      <c r="AS4810">
        <v>0</v>
      </c>
      <c r="AT4810">
        <v>0</v>
      </c>
      <c r="AV4810">
        <v>0</v>
      </c>
      <c r="AW4810">
        <v>0</v>
      </c>
    </row>
    <row r="4811" spans="1:49" x14ac:dyDescent="0.25">
      <c r="A4811" t="str">
        <f>"4807"</f>
        <v>4807</v>
      </c>
      <c r="B4811" t="str">
        <f t="shared" si="275"/>
        <v>1</v>
      </c>
      <c r="C4811" t="str">
        <f t="shared" si="277"/>
        <v>209</v>
      </c>
      <c r="D4811" t="str">
        <f>"1"</f>
        <v>1</v>
      </c>
      <c r="E4811" t="str">
        <f>"1-209-1"</f>
        <v>1-209-1</v>
      </c>
      <c r="F4811" t="s">
        <v>83</v>
      </c>
      <c r="G4811" t="s">
        <v>84</v>
      </c>
      <c r="H4811" t="s">
        <v>92</v>
      </c>
      <c r="I4811">
        <v>1</v>
      </c>
      <c r="J4811">
        <v>1</v>
      </c>
      <c r="N4811">
        <v>1</v>
      </c>
      <c r="O4811">
        <v>1</v>
      </c>
      <c r="P4811">
        <v>1</v>
      </c>
      <c r="Q4811">
        <v>1</v>
      </c>
      <c r="R4811">
        <v>1</v>
      </c>
      <c r="S4811">
        <v>1</v>
      </c>
      <c r="T4811">
        <v>1</v>
      </c>
      <c r="W4811">
        <v>1</v>
      </c>
      <c r="X4811">
        <v>1</v>
      </c>
      <c r="Y4811">
        <v>1</v>
      </c>
      <c r="Z4811">
        <v>1</v>
      </c>
      <c r="AA4811">
        <v>1</v>
      </c>
      <c r="AB4811">
        <v>1</v>
      </c>
    </row>
    <row r="4812" spans="1:49" x14ac:dyDescent="0.25">
      <c r="A4812" t="str">
        <f>"4808"</f>
        <v>4808</v>
      </c>
      <c r="B4812" t="str">
        <f t="shared" si="275"/>
        <v>1</v>
      </c>
      <c r="C4812" t="str">
        <f t="shared" si="277"/>
        <v>209</v>
      </c>
      <c r="D4812" t="str">
        <f>"23"</f>
        <v>23</v>
      </c>
      <c r="E4812" t="str">
        <f>"1-209-23"</f>
        <v>1-209-23</v>
      </c>
      <c r="F4812" t="s">
        <v>83</v>
      </c>
      <c r="G4812" t="s">
        <v>84</v>
      </c>
      <c r="H4812" t="s">
        <v>92</v>
      </c>
      <c r="I4812">
        <v>1</v>
      </c>
      <c r="J4812">
        <v>1</v>
      </c>
      <c r="N4812">
        <v>1</v>
      </c>
      <c r="O4812">
        <v>1</v>
      </c>
      <c r="P4812">
        <v>1</v>
      </c>
      <c r="Q4812">
        <v>1</v>
      </c>
      <c r="R4812">
        <v>1</v>
      </c>
      <c r="S4812">
        <v>1</v>
      </c>
      <c r="T4812">
        <v>1</v>
      </c>
      <c r="W4812">
        <v>1</v>
      </c>
      <c r="X4812">
        <v>1</v>
      </c>
      <c r="Y4812">
        <v>1</v>
      </c>
      <c r="Z4812">
        <v>1</v>
      </c>
      <c r="AA4812">
        <v>1</v>
      </c>
      <c r="AB4812">
        <v>1</v>
      </c>
    </row>
    <row r="4813" spans="1:49" x14ac:dyDescent="0.25">
      <c r="A4813" t="str">
        <f>"4809"</f>
        <v>4809</v>
      </c>
      <c r="B4813" t="str">
        <f t="shared" si="275"/>
        <v>1</v>
      </c>
      <c r="C4813" t="str">
        <f t="shared" si="277"/>
        <v>209</v>
      </c>
      <c r="D4813" t="str">
        <f>"13"</f>
        <v>13</v>
      </c>
      <c r="E4813" t="str">
        <f>"1-209-13"</f>
        <v>1-209-13</v>
      </c>
      <c r="F4813" t="s">
        <v>83</v>
      </c>
      <c r="G4813" t="s">
        <v>84</v>
      </c>
      <c r="H4813" t="s">
        <v>92</v>
      </c>
      <c r="I4813">
        <v>1</v>
      </c>
      <c r="J4813">
        <v>1</v>
      </c>
      <c r="N4813">
        <v>1</v>
      </c>
      <c r="O4813">
        <v>1</v>
      </c>
      <c r="P4813">
        <v>1</v>
      </c>
      <c r="Q4813">
        <v>1</v>
      </c>
      <c r="R4813">
        <v>1</v>
      </c>
      <c r="S4813">
        <v>1</v>
      </c>
      <c r="T4813">
        <v>1</v>
      </c>
      <c r="W4813">
        <v>1</v>
      </c>
      <c r="X4813">
        <v>1</v>
      </c>
      <c r="Y4813">
        <v>1</v>
      </c>
      <c r="Z4813">
        <v>1</v>
      </c>
      <c r="AA4813">
        <v>1</v>
      </c>
      <c r="AB4813">
        <v>1</v>
      </c>
    </row>
    <row r="4814" spans="1:49" x14ac:dyDescent="0.25">
      <c r="A4814" t="str">
        <f>"4810"</f>
        <v>4810</v>
      </c>
      <c r="B4814" t="str">
        <f t="shared" si="275"/>
        <v>1</v>
      </c>
      <c r="C4814" t="str">
        <f t="shared" si="277"/>
        <v>209</v>
      </c>
      <c r="D4814" t="str">
        <f>"7"</f>
        <v>7</v>
      </c>
      <c r="E4814" t="str">
        <f>"1-209-7"</f>
        <v>1-209-7</v>
      </c>
      <c r="F4814" t="s">
        <v>83</v>
      </c>
      <c r="G4814" t="s">
        <v>84</v>
      </c>
      <c r="H4814" t="s">
        <v>85</v>
      </c>
      <c r="AC4814">
        <v>0</v>
      </c>
      <c r="AD4814">
        <v>1</v>
      </c>
      <c r="AE4814">
        <v>0</v>
      </c>
      <c r="AF4814">
        <v>0</v>
      </c>
      <c r="AG4814">
        <v>1</v>
      </c>
      <c r="AJ4814">
        <v>0</v>
      </c>
      <c r="AK4814">
        <v>1</v>
      </c>
      <c r="AL4814">
        <v>0</v>
      </c>
      <c r="AM4814">
        <v>0</v>
      </c>
      <c r="AN4814">
        <v>1</v>
      </c>
      <c r="AO4814">
        <v>1</v>
      </c>
      <c r="AP4814">
        <v>1</v>
      </c>
      <c r="AQ4814">
        <v>1</v>
      </c>
      <c r="AR4814">
        <v>1</v>
      </c>
      <c r="AS4814">
        <v>1</v>
      </c>
      <c r="AT4814">
        <v>0</v>
      </c>
      <c r="AV4814">
        <v>1</v>
      </c>
      <c r="AW4814">
        <v>1</v>
      </c>
    </row>
    <row r="4815" spans="1:49" x14ac:dyDescent="0.25">
      <c r="A4815" t="str">
        <f>"4811"</f>
        <v>4811</v>
      </c>
      <c r="B4815" t="str">
        <f t="shared" si="275"/>
        <v>1</v>
      </c>
      <c r="C4815" t="str">
        <f t="shared" si="277"/>
        <v>209</v>
      </c>
      <c r="D4815" t="str">
        <f>"17"</f>
        <v>17</v>
      </c>
      <c r="E4815" t="str">
        <f>"1-209-17"</f>
        <v>1-209-17</v>
      </c>
      <c r="F4815" t="s">
        <v>83</v>
      </c>
      <c r="G4815" t="s">
        <v>84</v>
      </c>
      <c r="H4815" t="s">
        <v>92</v>
      </c>
      <c r="I4815">
        <v>1</v>
      </c>
      <c r="J4815">
        <v>1</v>
      </c>
      <c r="N4815">
        <v>1</v>
      </c>
      <c r="O4815">
        <v>1</v>
      </c>
      <c r="P4815">
        <v>1</v>
      </c>
      <c r="Q4815">
        <v>1</v>
      </c>
      <c r="R4815">
        <v>1</v>
      </c>
      <c r="S4815">
        <v>1</v>
      </c>
      <c r="T4815">
        <v>1</v>
      </c>
      <c r="W4815">
        <v>1</v>
      </c>
      <c r="X4815">
        <v>1</v>
      </c>
      <c r="Y4815">
        <v>1</v>
      </c>
      <c r="Z4815">
        <v>1</v>
      </c>
      <c r="AA4815">
        <v>1</v>
      </c>
      <c r="AB4815">
        <v>0</v>
      </c>
    </row>
    <row r="4816" spans="1:49" x14ac:dyDescent="0.25">
      <c r="A4816" t="str">
        <f>"4812"</f>
        <v>4812</v>
      </c>
      <c r="B4816" t="str">
        <f t="shared" si="275"/>
        <v>1</v>
      </c>
      <c r="C4816" t="str">
        <f t="shared" si="277"/>
        <v>209</v>
      </c>
      <c r="D4816" t="str">
        <f>"6"</f>
        <v>6</v>
      </c>
      <c r="E4816" t="str">
        <f>"1-209-6"</f>
        <v>1-209-6</v>
      </c>
      <c r="F4816" t="s">
        <v>83</v>
      </c>
      <c r="G4816" t="s">
        <v>84</v>
      </c>
      <c r="H4816" t="s">
        <v>92</v>
      </c>
      <c r="I4816">
        <v>1</v>
      </c>
      <c r="J4816">
        <v>1</v>
      </c>
      <c r="N4816">
        <v>1</v>
      </c>
      <c r="O4816">
        <v>1</v>
      </c>
      <c r="P4816">
        <v>1</v>
      </c>
      <c r="Q4816">
        <v>1</v>
      </c>
      <c r="R4816">
        <v>1</v>
      </c>
      <c r="S4816">
        <v>1</v>
      </c>
      <c r="T4816">
        <v>1</v>
      </c>
      <c r="W4816">
        <v>1</v>
      </c>
      <c r="X4816">
        <v>1</v>
      </c>
      <c r="Y4816">
        <v>1</v>
      </c>
      <c r="Z4816">
        <v>1</v>
      </c>
      <c r="AA4816">
        <v>1</v>
      </c>
      <c r="AB4816">
        <v>1</v>
      </c>
    </row>
    <row r="4817" spans="1:49" x14ac:dyDescent="0.25">
      <c r="A4817" t="str">
        <f>"4813"</f>
        <v>4813</v>
      </c>
      <c r="B4817" t="str">
        <f t="shared" si="275"/>
        <v>1</v>
      </c>
      <c r="C4817" t="str">
        <f t="shared" si="277"/>
        <v>209</v>
      </c>
      <c r="D4817" t="str">
        <f>"19"</f>
        <v>19</v>
      </c>
      <c r="E4817" t="str">
        <f>"1-209-19"</f>
        <v>1-209-19</v>
      </c>
      <c r="F4817" t="s">
        <v>83</v>
      </c>
      <c r="G4817" t="s">
        <v>84</v>
      </c>
      <c r="H4817" t="s">
        <v>85</v>
      </c>
      <c r="AC4817">
        <v>0</v>
      </c>
      <c r="AD4817">
        <v>1</v>
      </c>
      <c r="AE4817">
        <v>0</v>
      </c>
      <c r="AF4817">
        <v>0</v>
      </c>
      <c r="AG4817">
        <v>0</v>
      </c>
      <c r="AJ4817">
        <v>0</v>
      </c>
      <c r="AK4817">
        <v>1</v>
      </c>
      <c r="AL4817">
        <v>0</v>
      </c>
      <c r="AM4817">
        <v>0</v>
      </c>
      <c r="AN4817">
        <v>1</v>
      </c>
      <c r="AO4817">
        <v>0</v>
      </c>
      <c r="AP4817">
        <v>0</v>
      </c>
      <c r="AQ4817">
        <v>0</v>
      </c>
      <c r="AR4817">
        <v>0</v>
      </c>
      <c r="AS4817">
        <v>0</v>
      </c>
      <c r="AT4817">
        <v>1</v>
      </c>
      <c r="AV4817">
        <v>0</v>
      </c>
      <c r="AW4817">
        <v>0</v>
      </c>
    </row>
    <row r="4818" spans="1:49" x14ac:dyDescent="0.25">
      <c r="A4818" t="str">
        <f>"4814"</f>
        <v>4814</v>
      </c>
      <c r="B4818" t="str">
        <f t="shared" si="275"/>
        <v>1</v>
      </c>
      <c r="C4818" t="str">
        <f t="shared" si="277"/>
        <v>209</v>
      </c>
      <c r="D4818" t="str">
        <f>"2"</f>
        <v>2</v>
      </c>
      <c r="E4818" t="str">
        <f>"1-209-2"</f>
        <v>1-209-2</v>
      </c>
      <c r="F4818" t="s">
        <v>83</v>
      </c>
      <c r="G4818" t="s">
        <v>84</v>
      </c>
      <c r="H4818" t="s">
        <v>85</v>
      </c>
      <c r="AC4818">
        <v>0</v>
      </c>
      <c r="AD4818">
        <v>1</v>
      </c>
      <c r="AE4818">
        <v>0</v>
      </c>
      <c r="AF4818">
        <v>0</v>
      </c>
      <c r="AG4818">
        <v>1</v>
      </c>
      <c r="AJ4818">
        <v>0</v>
      </c>
      <c r="AK4818">
        <v>0</v>
      </c>
      <c r="AL4818">
        <v>0</v>
      </c>
      <c r="AM4818">
        <v>0</v>
      </c>
      <c r="AN4818">
        <v>1</v>
      </c>
      <c r="AO4818">
        <v>0</v>
      </c>
      <c r="AP4818">
        <v>1</v>
      </c>
      <c r="AQ4818">
        <v>0</v>
      </c>
      <c r="AR4818">
        <v>0</v>
      </c>
      <c r="AS4818">
        <v>0</v>
      </c>
      <c r="AT4818">
        <v>1</v>
      </c>
      <c r="AV4818">
        <v>1</v>
      </c>
      <c r="AW4818">
        <v>1</v>
      </c>
    </row>
    <row r="4819" spans="1:49" x14ac:dyDescent="0.25">
      <c r="A4819" t="str">
        <f>"4815"</f>
        <v>4815</v>
      </c>
      <c r="B4819" t="str">
        <f t="shared" si="275"/>
        <v>1</v>
      </c>
      <c r="C4819" t="str">
        <f t="shared" ref="C4819:C4843" si="278">"210"</f>
        <v>210</v>
      </c>
      <c r="D4819" t="str">
        <f>"23"</f>
        <v>23</v>
      </c>
      <c r="E4819" t="str">
        <f>"1-210-23"</f>
        <v>1-210-23</v>
      </c>
      <c r="F4819" t="s">
        <v>83</v>
      </c>
      <c r="G4819" t="s">
        <v>84</v>
      </c>
      <c r="H4819" t="s">
        <v>92</v>
      </c>
      <c r="I4819">
        <v>1</v>
      </c>
      <c r="J4819">
        <v>1</v>
      </c>
      <c r="N4819">
        <v>1</v>
      </c>
      <c r="O4819">
        <v>1</v>
      </c>
      <c r="P4819">
        <v>1</v>
      </c>
      <c r="Q4819">
        <v>1</v>
      </c>
      <c r="R4819">
        <v>1</v>
      </c>
      <c r="S4819">
        <v>1</v>
      </c>
      <c r="T4819">
        <v>1</v>
      </c>
      <c r="W4819">
        <v>1</v>
      </c>
      <c r="X4819">
        <v>1</v>
      </c>
      <c r="Y4819">
        <v>1</v>
      </c>
      <c r="Z4819">
        <v>1</v>
      </c>
      <c r="AA4819">
        <v>1</v>
      </c>
      <c r="AB4819">
        <v>1</v>
      </c>
    </row>
    <row r="4820" spans="1:49" x14ac:dyDescent="0.25">
      <c r="A4820" t="str">
        <f>"4816"</f>
        <v>4816</v>
      </c>
      <c r="B4820" t="str">
        <f t="shared" si="275"/>
        <v>1</v>
      </c>
      <c r="C4820" t="str">
        <f t="shared" si="278"/>
        <v>210</v>
      </c>
      <c r="D4820" t="str">
        <f>"22"</f>
        <v>22</v>
      </c>
      <c r="E4820" t="str">
        <f>"1-210-22"</f>
        <v>1-210-22</v>
      </c>
      <c r="F4820" t="s">
        <v>83</v>
      </c>
      <c r="G4820" t="s">
        <v>84</v>
      </c>
      <c r="H4820" t="s">
        <v>92</v>
      </c>
      <c r="I4820">
        <v>1</v>
      </c>
      <c r="J4820">
        <v>1</v>
      </c>
      <c r="N4820">
        <v>1</v>
      </c>
      <c r="O4820">
        <v>1</v>
      </c>
      <c r="P4820">
        <v>1</v>
      </c>
      <c r="Q4820">
        <v>1</v>
      </c>
      <c r="R4820">
        <v>1</v>
      </c>
      <c r="S4820">
        <v>1</v>
      </c>
      <c r="T4820">
        <v>1</v>
      </c>
      <c r="W4820">
        <v>1</v>
      </c>
      <c r="X4820">
        <v>1</v>
      </c>
      <c r="Y4820">
        <v>1</v>
      </c>
      <c r="Z4820">
        <v>1</v>
      </c>
      <c r="AA4820">
        <v>1</v>
      </c>
      <c r="AB4820">
        <v>1</v>
      </c>
    </row>
    <row r="4821" spans="1:49" x14ac:dyDescent="0.25">
      <c r="A4821" t="str">
        <f>"4817"</f>
        <v>4817</v>
      </c>
      <c r="B4821" t="str">
        <f t="shared" si="275"/>
        <v>1</v>
      </c>
      <c r="C4821" t="str">
        <f t="shared" si="278"/>
        <v>210</v>
      </c>
      <c r="D4821" t="str">
        <f>"15"</f>
        <v>15</v>
      </c>
      <c r="E4821" t="str">
        <f>"1-210-15"</f>
        <v>1-210-15</v>
      </c>
      <c r="F4821" t="s">
        <v>83</v>
      </c>
      <c r="G4821" t="s">
        <v>84</v>
      </c>
      <c r="H4821" t="s">
        <v>92</v>
      </c>
      <c r="I4821">
        <v>1</v>
      </c>
      <c r="J4821">
        <v>1</v>
      </c>
      <c r="N4821">
        <v>1</v>
      </c>
      <c r="O4821">
        <v>1</v>
      </c>
      <c r="P4821">
        <v>1</v>
      </c>
      <c r="Q4821">
        <v>1</v>
      </c>
      <c r="R4821">
        <v>1</v>
      </c>
      <c r="S4821">
        <v>1</v>
      </c>
      <c r="T4821">
        <v>1</v>
      </c>
      <c r="W4821">
        <v>1</v>
      </c>
      <c r="X4821">
        <v>1</v>
      </c>
      <c r="Y4821">
        <v>1</v>
      </c>
      <c r="Z4821">
        <v>1</v>
      </c>
      <c r="AA4821">
        <v>1</v>
      </c>
      <c r="AB4821">
        <v>1</v>
      </c>
    </row>
    <row r="4822" spans="1:49" x14ac:dyDescent="0.25">
      <c r="A4822" t="str">
        <f>"4818"</f>
        <v>4818</v>
      </c>
      <c r="B4822" t="str">
        <f t="shared" si="275"/>
        <v>1</v>
      </c>
      <c r="C4822" t="str">
        <f t="shared" si="278"/>
        <v>210</v>
      </c>
      <c r="D4822" t="str">
        <f>"8"</f>
        <v>8</v>
      </c>
      <c r="E4822" t="str">
        <f>"1-210-8"</f>
        <v>1-210-8</v>
      </c>
      <c r="F4822" t="s">
        <v>83</v>
      </c>
      <c r="G4822" t="s">
        <v>84</v>
      </c>
      <c r="H4822" t="s">
        <v>92</v>
      </c>
      <c r="I4822">
        <v>1</v>
      </c>
      <c r="J4822">
        <v>1</v>
      </c>
      <c r="N4822">
        <v>1</v>
      </c>
      <c r="O4822">
        <v>1</v>
      </c>
      <c r="P4822">
        <v>1</v>
      </c>
      <c r="Q4822">
        <v>1</v>
      </c>
      <c r="R4822">
        <v>1</v>
      </c>
      <c r="S4822">
        <v>1</v>
      </c>
      <c r="T4822">
        <v>1</v>
      </c>
      <c r="W4822">
        <v>1</v>
      </c>
      <c r="X4822">
        <v>1</v>
      </c>
      <c r="Y4822">
        <v>1</v>
      </c>
      <c r="Z4822">
        <v>1</v>
      </c>
      <c r="AA4822">
        <v>1</v>
      </c>
      <c r="AB4822">
        <v>1</v>
      </c>
    </row>
    <row r="4823" spans="1:49" x14ac:dyDescent="0.25">
      <c r="A4823" t="str">
        <f>"4819"</f>
        <v>4819</v>
      </c>
      <c r="B4823" t="str">
        <f t="shared" si="275"/>
        <v>1</v>
      </c>
      <c r="C4823" t="str">
        <f t="shared" si="278"/>
        <v>210</v>
      </c>
      <c r="D4823" t="str">
        <f>"6"</f>
        <v>6</v>
      </c>
      <c r="E4823" t="str">
        <f>"1-210-6"</f>
        <v>1-210-6</v>
      </c>
      <c r="F4823" t="s">
        <v>83</v>
      </c>
      <c r="G4823" t="s">
        <v>84</v>
      </c>
      <c r="H4823" t="s">
        <v>92</v>
      </c>
      <c r="I4823">
        <v>1</v>
      </c>
      <c r="J4823">
        <v>1</v>
      </c>
      <c r="N4823">
        <v>1</v>
      </c>
      <c r="O4823">
        <v>1</v>
      </c>
      <c r="P4823">
        <v>1</v>
      </c>
      <c r="Q4823">
        <v>1</v>
      </c>
      <c r="R4823">
        <v>1</v>
      </c>
      <c r="S4823">
        <v>1</v>
      </c>
      <c r="T4823">
        <v>1</v>
      </c>
      <c r="W4823">
        <v>1</v>
      </c>
      <c r="X4823">
        <v>1</v>
      </c>
      <c r="Y4823">
        <v>1</v>
      </c>
      <c r="Z4823">
        <v>1</v>
      </c>
      <c r="AA4823">
        <v>1</v>
      </c>
      <c r="AB4823">
        <v>1</v>
      </c>
    </row>
    <row r="4824" spans="1:49" x14ac:dyDescent="0.25">
      <c r="A4824" t="str">
        <f>"4820"</f>
        <v>4820</v>
      </c>
      <c r="B4824" t="str">
        <f t="shared" si="275"/>
        <v>1</v>
      </c>
      <c r="C4824" t="str">
        <f t="shared" si="278"/>
        <v>210</v>
      </c>
      <c r="D4824" t="str">
        <f>"25"</f>
        <v>25</v>
      </c>
      <c r="E4824" t="str">
        <f>"1-210-25"</f>
        <v>1-210-25</v>
      </c>
      <c r="F4824" t="s">
        <v>83</v>
      </c>
      <c r="G4824" t="s">
        <v>84</v>
      </c>
      <c r="H4824" t="s">
        <v>92</v>
      </c>
      <c r="I4824">
        <v>1</v>
      </c>
      <c r="J4824">
        <v>1</v>
      </c>
      <c r="N4824">
        <v>1</v>
      </c>
      <c r="O4824">
        <v>1</v>
      </c>
      <c r="P4824">
        <v>1</v>
      </c>
      <c r="Q4824">
        <v>1</v>
      </c>
      <c r="R4824">
        <v>1</v>
      </c>
      <c r="S4824">
        <v>1</v>
      </c>
      <c r="T4824">
        <v>1</v>
      </c>
      <c r="W4824">
        <v>1</v>
      </c>
      <c r="X4824">
        <v>1</v>
      </c>
      <c r="Y4824">
        <v>1</v>
      </c>
      <c r="Z4824">
        <v>1</v>
      </c>
      <c r="AA4824">
        <v>1</v>
      </c>
      <c r="AB4824">
        <v>1</v>
      </c>
    </row>
    <row r="4825" spans="1:49" x14ac:dyDescent="0.25">
      <c r="A4825" t="str">
        <f>"4821"</f>
        <v>4821</v>
      </c>
      <c r="B4825" t="str">
        <f t="shared" si="275"/>
        <v>1</v>
      </c>
      <c r="C4825" t="str">
        <f t="shared" si="278"/>
        <v>210</v>
      </c>
      <c r="D4825" t="str">
        <f>"24"</f>
        <v>24</v>
      </c>
      <c r="E4825" t="str">
        <f>"1-210-24"</f>
        <v>1-210-24</v>
      </c>
      <c r="F4825" t="s">
        <v>83</v>
      </c>
      <c r="G4825" t="s">
        <v>86</v>
      </c>
      <c r="H4825" t="s">
        <v>93</v>
      </c>
      <c r="I4825">
        <v>1</v>
      </c>
      <c r="K4825">
        <v>0</v>
      </c>
      <c r="L4825">
        <v>0</v>
      </c>
      <c r="M4825">
        <v>1</v>
      </c>
      <c r="N4825">
        <v>1</v>
      </c>
      <c r="O4825">
        <v>1</v>
      </c>
      <c r="P4825">
        <v>1</v>
      </c>
      <c r="Q4825">
        <v>1</v>
      </c>
      <c r="R4825">
        <v>1</v>
      </c>
      <c r="U4825">
        <v>0</v>
      </c>
      <c r="V4825">
        <v>1</v>
      </c>
      <c r="W4825">
        <v>1</v>
      </c>
      <c r="X4825">
        <v>1</v>
      </c>
      <c r="Y4825">
        <v>1</v>
      </c>
      <c r="Z4825">
        <v>1</v>
      </c>
      <c r="AA4825">
        <v>1</v>
      </c>
      <c r="AB4825">
        <v>1</v>
      </c>
    </row>
    <row r="4826" spans="1:49" x14ac:dyDescent="0.25">
      <c r="A4826" t="str">
        <f>"4822"</f>
        <v>4822</v>
      </c>
      <c r="B4826" t="str">
        <f t="shared" si="275"/>
        <v>1</v>
      </c>
      <c r="C4826" t="str">
        <f t="shared" si="278"/>
        <v>210</v>
      </c>
      <c r="D4826" t="str">
        <f>"17"</f>
        <v>17</v>
      </c>
      <c r="E4826" t="str">
        <f>"1-210-17"</f>
        <v>1-210-17</v>
      </c>
      <c r="F4826" t="s">
        <v>83</v>
      </c>
      <c r="G4826" t="s">
        <v>84</v>
      </c>
      <c r="H4826" t="s">
        <v>92</v>
      </c>
      <c r="I4826">
        <v>1</v>
      </c>
      <c r="J4826">
        <v>1</v>
      </c>
      <c r="N4826">
        <v>1</v>
      </c>
      <c r="O4826">
        <v>1</v>
      </c>
      <c r="P4826">
        <v>1</v>
      </c>
      <c r="Q4826">
        <v>1</v>
      </c>
      <c r="R4826">
        <v>1</v>
      </c>
      <c r="S4826">
        <v>1</v>
      </c>
      <c r="T4826">
        <v>1</v>
      </c>
      <c r="W4826">
        <v>1</v>
      </c>
      <c r="X4826">
        <v>1</v>
      </c>
      <c r="Y4826">
        <v>1</v>
      </c>
      <c r="Z4826">
        <v>1</v>
      </c>
      <c r="AA4826">
        <v>1</v>
      </c>
      <c r="AB4826">
        <v>1</v>
      </c>
    </row>
    <row r="4827" spans="1:49" x14ac:dyDescent="0.25">
      <c r="A4827" t="str">
        <f>"4823"</f>
        <v>4823</v>
      </c>
      <c r="B4827" t="str">
        <f t="shared" si="275"/>
        <v>1</v>
      </c>
      <c r="C4827" t="str">
        <f t="shared" si="278"/>
        <v>210</v>
      </c>
      <c r="D4827" t="str">
        <f>"9"</f>
        <v>9</v>
      </c>
      <c r="E4827" t="str">
        <f>"1-210-9"</f>
        <v>1-210-9</v>
      </c>
      <c r="F4827" t="s">
        <v>83</v>
      </c>
      <c r="G4827" t="s">
        <v>84</v>
      </c>
      <c r="H4827" t="s">
        <v>92</v>
      </c>
      <c r="I4827">
        <v>1</v>
      </c>
      <c r="J4827">
        <v>1</v>
      </c>
      <c r="N4827">
        <v>1</v>
      </c>
      <c r="O4827">
        <v>1</v>
      </c>
      <c r="P4827">
        <v>1</v>
      </c>
      <c r="Q4827">
        <v>1</v>
      </c>
      <c r="R4827">
        <v>1</v>
      </c>
      <c r="S4827">
        <v>1</v>
      </c>
      <c r="T4827">
        <v>1</v>
      </c>
      <c r="W4827">
        <v>1</v>
      </c>
      <c r="X4827">
        <v>1</v>
      </c>
      <c r="Y4827">
        <v>1</v>
      </c>
      <c r="Z4827">
        <v>1</v>
      </c>
      <c r="AA4827">
        <v>1</v>
      </c>
      <c r="AB4827">
        <v>1</v>
      </c>
    </row>
    <row r="4828" spans="1:49" x14ac:dyDescent="0.25">
      <c r="A4828" t="str">
        <f>"4824"</f>
        <v>4824</v>
      </c>
      <c r="B4828" t="str">
        <f t="shared" si="275"/>
        <v>1</v>
      </c>
      <c r="C4828" t="str">
        <f t="shared" si="278"/>
        <v>210</v>
      </c>
      <c r="D4828" t="str">
        <f>"5"</f>
        <v>5</v>
      </c>
      <c r="E4828" t="str">
        <f>"1-210-5"</f>
        <v>1-210-5</v>
      </c>
      <c r="F4828" t="s">
        <v>83</v>
      </c>
      <c r="G4828" t="s">
        <v>84</v>
      </c>
      <c r="H4828" t="s">
        <v>92</v>
      </c>
      <c r="I4828">
        <v>1</v>
      </c>
      <c r="J4828">
        <v>1</v>
      </c>
      <c r="N4828">
        <v>1</v>
      </c>
      <c r="O4828">
        <v>1</v>
      </c>
      <c r="P4828">
        <v>1</v>
      </c>
      <c r="Q4828">
        <v>1</v>
      </c>
      <c r="R4828">
        <v>1</v>
      </c>
      <c r="S4828">
        <v>1</v>
      </c>
      <c r="T4828">
        <v>1</v>
      </c>
      <c r="W4828">
        <v>1</v>
      </c>
      <c r="X4828">
        <v>1</v>
      </c>
      <c r="Y4828">
        <v>1</v>
      </c>
      <c r="Z4828">
        <v>1</v>
      </c>
      <c r="AA4828">
        <v>1</v>
      </c>
      <c r="AB4828">
        <v>1</v>
      </c>
    </row>
    <row r="4829" spans="1:49" x14ac:dyDescent="0.25">
      <c r="A4829" t="str">
        <f>"4825"</f>
        <v>4825</v>
      </c>
      <c r="B4829" t="str">
        <f t="shared" si="275"/>
        <v>1</v>
      </c>
      <c r="C4829" t="str">
        <f t="shared" si="278"/>
        <v>210</v>
      </c>
      <c r="D4829" t="str">
        <f>"16"</f>
        <v>16</v>
      </c>
      <c r="E4829" t="str">
        <f>"1-210-16"</f>
        <v>1-210-16</v>
      </c>
      <c r="F4829" t="s">
        <v>83</v>
      </c>
      <c r="G4829" t="s">
        <v>84</v>
      </c>
      <c r="H4829" t="s">
        <v>92</v>
      </c>
      <c r="I4829">
        <v>1</v>
      </c>
      <c r="J4829">
        <v>1</v>
      </c>
      <c r="N4829">
        <v>1</v>
      </c>
      <c r="O4829">
        <v>1</v>
      </c>
      <c r="P4829">
        <v>1</v>
      </c>
      <c r="Q4829">
        <v>1</v>
      </c>
      <c r="R4829">
        <v>1</v>
      </c>
      <c r="S4829">
        <v>1</v>
      </c>
      <c r="T4829">
        <v>1</v>
      </c>
      <c r="W4829">
        <v>1</v>
      </c>
      <c r="X4829">
        <v>1</v>
      </c>
      <c r="Y4829">
        <v>1</v>
      </c>
      <c r="Z4829">
        <v>1</v>
      </c>
      <c r="AA4829">
        <v>1</v>
      </c>
      <c r="AB4829">
        <v>1</v>
      </c>
    </row>
    <row r="4830" spans="1:49" x14ac:dyDescent="0.25">
      <c r="A4830" t="str">
        <f>"4826"</f>
        <v>4826</v>
      </c>
      <c r="B4830" t="str">
        <f t="shared" ref="B4830:B4893" si="279">"1"</f>
        <v>1</v>
      </c>
      <c r="C4830" t="str">
        <f t="shared" si="278"/>
        <v>210</v>
      </c>
      <c r="D4830" t="str">
        <f>"10"</f>
        <v>10</v>
      </c>
      <c r="E4830" t="str">
        <f>"1-210-10"</f>
        <v>1-210-10</v>
      </c>
      <c r="F4830" t="s">
        <v>83</v>
      </c>
      <c r="G4830" t="s">
        <v>84</v>
      </c>
      <c r="H4830" t="s">
        <v>92</v>
      </c>
      <c r="I4830">
        <v>1</v>
      </c>
      <c r="J4830">
        <v>1</v>
      </c>
      <c r="N4830">
        <v>1</v>
      </c>
      <c r="O4830">
        <v>1</v>
      </c>
      <c r="P4830">
        <v>1</v>
      </c>
      <c r="Q4830">
        <v>1</v>
      </c>
      <c r="R4830">
        <v>1</v>
      </c>
      <c r="S4830">
        <v>1</v>
      </c>
      <c r="T4830">
        <v>1</v>
      </c>
      <c r="W4830">
        <v>1</v>
      </c>
      <c r="X4830">
        <v>1</v>
      </c>
      <c r="Y4830">
        <v>1</v>
      </c>
      <c r="Z4830">
        <v>1</v>
      </c>
      <c r="AA4830">
        <v>1</v>
      </c>
      <c r="AB4830">
        <v>1</v>
      </c>
    </row>
    <row r="4831" spans="1:49" x14ac:dyDescent="0.25">
      <c r="A4831" t="str">
        <f>"4827"</f>
        <v>4827</v>
      </c>
      <c r="B4831" t="str">
        <f t="shared" si="279"/>
        <v>1</v>
      </c>
      <c r="C4831" t="str">
        <f t="shared" si="278"/>
        <v>210</v>
      </c>
      <c r="D4831" t="str">
        <f>"3"</f>
        <v>3</v>
      </c>
      <c r="E4831" t="str">
        <f>"1-210-3"</f>
        <v>1-210-3</v>
      </c>
      <c r="F4831" t="s">
        <v>83</v>
      </c>
      <c r="G4831" t="s">
        <v>84</v>
      </c>
      <c r="H4831" t="s">
        <v>92</v>
      </c>
      <c r="I4831">
        <v>1</v>
      </c>
      <c r="J4831">
        <v>1</v>
      </c>
      <c r="N4831">
        <v>1</v>
      </c>
      <c r="O4831">
        <v>1</v>
      </c>
      <c r="P4831">
        <v>1</v>
      </c>
      <c r="Q4831">
        <v>1</v>
      </c>
      <c r="R4831">
        <v>1</v>
      </c>
      <c r="S4831">
        <v>1</v>
      </c>
      <c r="T4831">
        <v>1</v>
      </c>
      <c r="W4831">
        <v>1</v>
      </c>
      <c r="X4831">
        <v>1</v>
      </c>
      <c r="Y4831">
        <v>1</v>
      </c>
      <c r="Z4831">
        <v>1</v>
      </c>
      <c r="AA4831">
        <v>1</v>
      </c>
      <c r="AB4831">
        <v>1</v>
      </c>
    </row>
    <row r="4832" spans="1:49" x14ac:dyDescent="0.25">
      <c r="A4832" t="str">
        <f>"4828"</f>
        <v>4828</v>
      </c>
      <c r="B4832" t="str">
        <f t="shared" si="279"/>
        <v>1</v>
      </c>
      <c r="C4832" t="str">
        <f t="shared" si="278"/>
        <v>210</v>
      </c>
      <c r="D4832" t="str">
        <f>"18"</f>
        <v>18</v>
      </c>
      <c r="E4832" t="str">
        <f>"1-210-18"</f>
        <v>1-210-18</v>
      </c>
      <c r="F4832" t="s">
        <v>83</v>
      </c>
      <c r="G4832" t="s">
        <v>84</v>
      </c>
      <c r="H4832" t="s">
        <v>92</v>
      </c>
      <c r="I4832">
        <v>1</v>
      </c>
      <c r="J4832">
        <v>1</v>
      </c>
      <c r="N4832">
        <v>1</v>
      </c>
      <c r="O4832">
        <v>1</v>
      </c>
      <c r="P4832">
        <v>1</v>
      </c>
      <c r="Q4832">
        <v>1</v>
      </c>
      <c r="R4832">
        <v>1</v>
      </c>
      <c r="S4832">
        <v>1</v>
      </c>
      <c r="T4832">
        <v>1</v>
      </c>
      <c r="W4832">
        <v>1</v>
      </c>
      <c r="X4832">
        <v>1</v>
      </c>
      <c r="Y4832">
        <v>1</v>
      </c>
      <c r="Z4832">
        <v>1</v>
      </c>
      <c r="AA4832">
        <v>1</v>
      </c>
      <c r="AB4832">
        <v>1</v>
      </c>
    </row>
    <row r="4833" spans="1:49" x14ac:dyDescent="0.25">
      <c r="A4833" t="str">
        <f>"4829"</f>
        <v>4829</v>
      </c>
      <c r="B4833" t="str">
        <f t="shared" si="279"/>
        <v>1</v>
      </c>
      <c r="C4833" t="str">
        <f t="shared" si="278"/>
        <v>210</v>
      </c>
      <c r="D4833" t="str">
        <f>"11"</f>
        <v>11</v>
      </c>
      <c r="E4833" t="str">
        <f>"1-210-11"</f>
        <v>1-210-11</v>
      </c>
      <c r="F4833" t="s">
        <v>83</v>
      </c>
      <c r="G4833" t="s">
        <v>84</v>
      </c>
      <c r="H4833" t="s">
        <v>92</v>
      </c>
      <c r="I4833">
        <v>1</v>
      </c>
      <c r="J4833">
        <v>1</v>
      </c>
      <c r="N4833">
        <v>1</v>
      </c>
      <c r="O4833">
        <v>1</v>
      </c>
      <c r="P4833">
        <v>1</v>
      </c>
      <c r="Q4833">
        <v>1</v>
      </c>
      <c r="R4833">
        <v>1</v>
      </c>
      <c r="S4833">
        <v>1</v>
      </c>
      <c r="T4833">
        <v>1</v>
      </c>
      <c r="W4833">
        <v>1</v>
      </c>
      <c r="X4833">
        <v>1</v>
      </c>
      <c r="Y4833">
        <v>1</v>
      </c>
      <c r="Z4833">
        <v>1</v>
      </c>
      <c r="AA4833">
        <v>1</v>
      </c>
      <c r="AB4833">
        <v>1</v>
      </c>
    </row>
    <row r="4834" spans="1:49" x14ac:dyDescent="0.25">
      <c r="A4834" t="str">
        <f>"4830"</f>
        <v>4830</v>
      </c>
      <c r="B4834" t="str">
        <f t="shared" si="279"/>
        <v>1</v>
      </c>
      <c r="C4834" t="str">
        <f t="shared" si="278"/>
        <v>210</v>
      </c>
      <c r="D4834" t="str">
        <f>"4"</f>
        <v>4</v>
      </c>
      <c r="E4834" t="str">
        <f>"1-210-4"</f>
        <v>1-210-4</v>
      </c>
      <c r="F4834" t="s">
        <v>83</v>
      </c>
      <c r="G4834" t="s">
        <v>84</v>
      </c>
      <c r="H4834" t="s">
        <v>92</v>
      </c>
      <c r="I4834">
        <v>1</v>
      </c>
      <c r="J4834">
        <v>1</v>
      </c>
      <c r="N4834">
        <v>1</v>
      </c>
      <c r="O4834">
        <v>1</v>
      </c>
      <c r="P4834">
        <v>1</v>
      </c>
      <c r="Q4834">
        <v>1</v>
      </c>
      <c r="R4834">
        <v>1</v>
      </c>
      <c r="S4834">
        <v>1</v>
      </c>
      <c r="T4834">
        <v>1</v>
      </c>
      <c r="W4834">
        <v>1</v>
      </c>
      <c r="X4834">
        <v>1</v>
      </c>
      <c r="Y4834">
        <v>1</v>
      </c>
      <c r="Z4834">
        <v>1</v>
      </c>
      <c r="AA4834">
        <v>1</v>
      </c>
      <c r="AB4834">
        <v>1</v>
      </c>
    </row>
    <row r="4835" spans="1:49" x14ac:dyDescent="0.25">
      <c r="A4835" t="str">
        <f>"4831"</f>
        <v>4831</v>
      </c>
      <c r="B4835" t="str">
        <f t="shared" si="279"/>
        <v>1</v>
      </c>
      <c r="C4835" t="str">
        <f t="shared" si="278"/>
        <v>210</v>
      </c>
      <c r="D4835" t="str">
        <f>"19"</f>
        <v>19</v>
      </c>
      <c r="E4835" t="str">
        <f>"1-210-19"</f>
        <v>1-210-19</v>
      </c>
      <c r="F4835" t="s">
        <v>83</v>
      </c>
      <c r="G4835" t="s">
        <v>84</v>
      </c>
      <c r="H4835" t="s">
        <v>92</v>
      </c>
      <c r="I4835">
        <v>1</v>
      </c>
      <c r="J4835">
        <v>1</v>
      </c>
      <c r="N4835">
        <v>1</v>
      </c>
      <c r="O4835">
        <v>1</v>
      </c>
      <c r="P4835">
        <v>1</v>
      </c>
      <c r="Q4835">
        <v>1</v>
      </c>
      <c r="R4835">
        <v>1</v>
      </c>
      <c r="S4835">
        <v>1</v>
      </c>
      <c r="T4835">
        <v>1</v>
      </c>
      <c r="W4835">
        <v>1</v>
      </c>
      <c r="X4835">
        <v>1</v>
      </c>
      <c r="Y4835">
        <v>1</v>
      </c>
      <c r="Z4835">
        <v>1</v>
      </c>
      <c r="AA4835">
        <v>1</v>
      </c>
      <c r="AB4835">
        <v>1</v>
      </c>
    </row>
    <row r="4836" spans="1:49" x14ac:dyDescent="0.25">
      <c r="A4836" t="str">
        <f>"4832"</f>
        <v>4832</v>
      </c>
      <c r="B4836" t="str">
        <f t="shared" si="279"/>
        <v>1</v>
      </c>
      <c r="C4836" t="str">
        <f t="shared" si="278"/>
        <v>210</v>
      </c>
      <c r="D4836" t="str">
        <f>"12"</f>
        <v>12</v>
      </c>
      <c r="E4836" t="str">
        <f>"1-210-12"</f>
        <v>1-210-12</v>
      </c>
      <c r="F4836" t="s">
        <v>83</v>
      </c>
      <c r="G4836" t="s">
        <v>84</v>
      </c>
      <c r="H4836" t="s">
        <v>92</v>
      </c>
      <c r="I4836">
        <v>1</v>
      </c>
      <c r="J4836">
        <v>1</v>
      </c>
      <c r="N4836">
        <v>1</v>
      </c>
      <c r="O4836">
        <v>1</v>
      </c>
      <c r="P4836">
        <v>1</v>
      </c>
      <c r="Q4836">
        <v>1</v>
      </c>
      <c r="R4836">
        <v>1</v>
      </c>
      <c r="S4836">
        <v>1</v>
      </c>
      <c r="T4836">
        <v>1</v>
      </c>
      <c r="W4836">
        <v>1</v>
      </c>
      <c r="X4836">
        <v>1</v>
      </c>
      <c r="Y4836">
        <v>1</v>
      </c>
      <c r="Z4836">
        <v>1</v>
      </c>
      <c r="AA4836">
        <v>1</v>
      </c>
      <c r="AB4836">
        <v>1</v>
      </c>
    </row>
    <row r="4837" spans="1:49" x14ac:dyDescent="0.25">
      <c r="A4837" t="str">
        <f>"4833"</f>
        <v>4833</v>
      </c>
      <c r="B4837" t="str">
        <f t="shared" si="279"/>
        <v>1</v>
      </c>
      <c r="C4837" t="str">
        <f t="shared" si="278"/>
        <v>210</v>
      </c>
      <c r="D4837" t="str">
        <f>"2"</f>
        <v>2</v>
      </c>
      <c r="E4837" t="str">
        <f>"1-210-2"</f>
        <v>1-210-2</v>
      </c>
      <c r="F4837" t="s">
        <v>83</v>
      </c>
      <c r="G4837" t="s">
        <v>84</v>
      </c>
      <c r="H4837" t="s">
        <v>92</v>
      </c>
      <c r="I4837">
        <v>1</v>
      </c>
      <c r="J4837">
        <v>1</v>
      </c>
      <c r="N4837">
        <v>1</v>
      </c>
      <c r="O4837">
        <v>1</v>
      </c>
      <c r="P4837">
        <v>1</v>
      </c>
      <c r="Q4837">
        <v>1</v>
      </c>
      <c r="R4837">
        <v>1</v>
      </c>
      <c r="S4837">
        <v>1</v>
      </c>
      <c r="T4837">
        <v>1</v>
      </c>
      <c r="W4837">
        <v>1</v>
      </c>
      <c r="X4837">
        <v>1</v>
      </c>
      <c r="Y4837">
        <v>1</v>
      </c>
      <c r="Z4837">
        <v>1</v>
      </c>
      <c r="AA4837">
        <v>1</v>
      </c>
      <c r="AB4837">
        <v>1</v>
      </c>
    </row>
    <row r="4838" spans="1:49" x14ac:dyDescent="0.25">
      <c r="A4838" t="str">
        <f>"4834"</f>
        <v>4834</v>
      </c>
      <c r="B4838" t="str">
        <f t="shared" si="279"/>
        <v>1</v>
      </c>
      <c r="C4838" t="str">
        <f t="shared" si="278"/>
        <v>210</v>
      </c>
      <c r="D4838" t="str">
        <f>"20"</f>
        <v>20</v>
      </c>
      <c r="E4838" t="str">
        <f>"1-210-20"</f>
        <v>1-210-20</v>
      </c>
      <c r="F4838" t="s">
        <v>83</v>
      </c>
      <c r="G4838" t="s">
        <v>84</v>
      </c>
      <c r="H4838" t="s">
        <v>92</v>
      </c>
      <c r="I4838">
        <v>1</v>
      </c>
      <c r="J4838">
        <v>1</v>
      </c>
      <c r="N4838">
        <v>1</v>
      </c>
      <c r="O4838">
        <v>1</v>
      </c>
      <c r="P4838">
        <v>1</v>
      </c>
      <c r="Q4838">
        <v>1</v>
      </c>
      <c r="R4838">
        <v>1</v>
      </c>
      <c r="S4838">
        <v>1</v>
      </c>
      <c r="T4838">
        <v>1</v>
      </c>
      <c r="W4838">
        <v>1</v>
      </c>
      <c r="X4838">
        <v>1</v>
      </c>
      <c r="Y4838">
        <v>1</v>
      </c>
      <c r="Z4838">
        <v>1</v>
      </c>
      <c r="AA4838">
        <v>1</v>
      </c>
      <c r="AB4838">
        <v>1</v>
      </c>
    </row>
    <row r="4839" spans="1:49" x14ac:dyDescent="0.25">
      <c r="A4839" t="str">
        <f>"4835"</f>
        <v>4835</v>
      </c>
      <c r="B4839" t="str">
        <f t="shared" si="279"/>
        <v>1</v>
      </c>
      <c r="C4839" t="str">
        <f t="shared" si="278"/>
        <v>210</v>
      </c>
      <c r="D4839" t="str">
        <f>"13"</f>
        <v>13</v>
      </c>
      <c r="E4839" t="str">
        <f>"1-210-13"</f>
        <v>1-210-13</v>
      </c>
      <c r="F4839" t="s">
        <v>83</v>
      </c>
      <c r="G4839" t="s">
        <v>84</v>
      </c>
      <c r="H4839" t="s">
        <v>92</v>
      </c>
      <c r="I4839">
        <v>1</v>
      </c>
      <c r="J4839">
        <v>1</v>
      </c>
      <c r="N4839">
        <v>1</v>
      </c>
      <c r="O4839">
        <v>1</v>
      </c>
      <c r="P4839">
        <v>1</v>
      </c>
      <c r="Q4839">
        <v>1</v>
      </c>
      <c r="R4839">
        <v>1</v>
      </c>
      <c r="S4839">
        <v>0</v>
      </c>
      <c r="T4839">
        <v>1</v>
      </c>
      <c r="W4839">
        <v>0</v>
      </c>
      <c r="X4839">
        <v>1</v>
      </c>
      <c r="Y4839">
        <v>1</v>
      </c>
      <c r="Z4839">
        <v>1</v>
      </c>
      <c r="AA4839">
        <v>1</v>
      </c>
      <c r="AB4839">
        <v>1</v>
      </c>
    </row>
    <row r="4840" spans="1:49" x14ac:dyDescent="0.25">
      <c r="A4840" t="str">
        <f>"4836"</f>
        <v>4836</v>
      </c>
      <c r="B4840" t="str">
        <f t="shared" si="279"/>
        <v>1</v>
      </c>
      <c r="C4840" t="str">
        <f t="shared" si="278"/>
        <v>210</v>
      </c>
      <c r="D4840" t="str">
        <f>"1"</f>
        <v>1</v>
      </c>
      <c r="E4840" t="str">
        <f>"1-210-1"</f>
        <v>1-210-1</v>
      </c>
      <c r="F4840" t="s">
        <v>83</v>
      </c>
      <c r="G4840" t="s">
        <v>84</v>
      </c>
      <c r="H4840" t="s">
        <v>92</v>
      </c>
      <c r="I4840">
        <v>1</v>
      </c>
      <c r="J4840">
        <v>1</v>
      </c>
      <c r="N4840">
        <v>1</v>
      </c>
      <c r="O4840">
        <v>1</v>
      </c>
      <c r="P4840">
        <v>1</v>
      </c>
      <c r="Q4840">
        <v>1</v>
      </c>
      <c r="R4840">
        <v>1</v>
      </c>
      <c r="S4840">
        <v>1</v>
      </c>
      <c r="T4840">
        <v>1</v>
      </c>
      <c r="W4840">
        <v>1</v>
      </c>
      <c r="X4840">
        <v>1</v>
      </c>
      <c r="Y4840">
        <v>1</v>
      </c>
      <c r="Z4840">
        <v>1</v>
      </c>
      <c r="AA4840">
        <v>1</v>
      </c>
      <c r="AB4840">
        <v>1</v>
      </c>
    </row>
    <row r="4841" spans="1:49" x14ac:dyDescent="0.25">
      <c r="A4841" t="str">
        <f>"4837"</f>
        <v>4837</v>
      </c>
      <c r="B4841" t="str">
        <f t="shared" si="279"/>
        <v>1</v>
      </c>
      <c r="C4841" t="str">
        <f t="shared" si="278"/>
        <v>210</v>
      </c>
      <c r="D4841" t="str">
        <f>"21"</f>
        <v>21</v>
      </c>
      <c r="E4841" t="str">
        <f>"1-210-21"</f>
        <v>1-210-21</v>
      </c>
      <c r="F4841" t="s">
        <v>83</v>
      </c>
      <c r="G4841" t="s">
        <v>84</v>
      </c>
      <c r="H4841" t="s">
        <v>92</v>
      </c>
      <c r="I4841">
        <v>1</v>
      </c>
      <c r="J4841">
        <v>1</v>
      </c>
      <c r="N4841">
        <v>1</v>
      </c>
      <c r="O4841">
        <v>1</v>
      </c>
      <c r="P4841">
        <v>1</v>
      </c>
      <c r="Q4841">
        <v>1</v>
      </c>
      <c r="R4841">
        <v>1</v>
      </c>
      <c r="S4841">
        <v>1</v>
      </c>
      <c r="T4841">
        <v>1</v>
      </c>
      <c r="W4841">
        <v>1</v>
      </c>
      <c r="X4841">
        <v>1</v>
      </c>
      <c r="Y4841">
        <v>1</v>
      </c>
      <c r="Z4841">
        <v>0</v>
      </c>
      <c r="AA4841">
        <v>0</v>
      </c>
      <c r="AB4841">
        <v>0</v>
      </c>
    </row>
    <row r="4842" spans="1:49" x14ac:dyDescent="0.25">
      <c r="A4842" t="str">
        <f>"4838"</f>
        <v>4838</v>
      </c>
      <c r="B4842" t="str">
        <f t="shared" si="279"/>
        <v>1</v>
      </c>
      <c r="C4842" t="str">
        <f t="shared" si="278"/>
        <v>210</v>
      </c>
      <c r="D4842" t="str">
        <f>"14"</f>
        <v>14</v>
      </c>
      <c r="E4842" t="str">
        <f>"1-210-14"</f>
        <v>1-210-14</v>
      </c>
      <c r="F4842" t="s">
        <v>83</v>
      </c>
      <c r="G4842" t="s">
        <v>84</v>
      </c>
      <c r="H4842" t="s">
        <v>92</v>
      </c>
      <c r="I4842">
        <v>1</v>
      </c>
      <c r="J4842">
        <v>1</v>
      </c>
      <c r="N4842">
        <v>1</v>
      </c>
      <c r="O4842">
        <v>1</v>
      </c>
      <c r="P4842">
        <v>1</v>
      </c>
      <c r="Q4842">
        <v>1</v>
      </c>
      <c r="R4842">
        <v>1</v>
      </c>
      <c r="S4842">
        <v>1</v>
      </c>
      <c r="T4842">
        <v>1</v>
      </c>
      <c r="W4842">
        <v>1</v>
      </c>
      <c r="X4842">
        <v>1</v>
      </c>
      <c r="Y4842">
        <v>1</v>
      </c>
      <c r="Z4842">
        <v>1</v>
      </c>
      <c r="AA4842">
        <v>1</v>
      </c>
      <c r="AB4842">
        <v>1</v>
      </c>
    </row>
    <row r="4843" spans="1:49" x14ac:dyDescent="0.25">
      <c r="A4843" t="str">
        <f>"4839"</f>
        <v>4839</v>
      </c>
      <c r="B4843" t="str">
        <f t="shared" si="279"/>
        <v>1</v>
      </c>
      <c r="C4843" t="str">
        <f t="shared" si="278"/>
        <v>210</v>
      </c>
      <c r="D4843" t="str">
        <f>"7"</f>
        <v>7</v>
      </c>
      <c r="E4843" t="str">
        <f>"1-210-7"</f>
        <v>1-210-7</v>
      </c>
      <c r="F4843" t="s">
        <v>83</v>
      </c>
      <c r="G4843" t="s">
        <v>84</v>
      </c>
      <c r="H4843" t="s">
        <v>92</v>
      </c>
      <c r="I4843">
        <v>1</v>
      </c>
      <c r="J4843">
        <v>1</v>
      </c>
      <c r="N4843">
        <v>1</v>
      </c>
      <c r="O4843">
        <v>1</v>
      </c>
      <c r="P4843">
        <v>1</v>
      </c>
      <c r="Q4843">
        <v>1</v>
      </c>
      <c r="R4843">
        <v>1</v>
      </c>
      <c r="S4843">
        <v>1</v>
      </c>
      <c r="T4843">
        <v>1</v>
      </c>
      <c r="W4843">
        <v>1</v>
      </c>
      <c r="X4843">
        <v>1</v>
      </c>
      <c r="Y4843">
        <v>1</v>
      </c>
      <c r="Z4843">
        <v>1</v>
      </c>
      <c r="AA4843">
        <v>1</v>
      </c>
      <c r="AB4843">
        <v>1</v>
      </c>
    </row>
    <row r="4844" spans="1:49" x14ac:dyDescent="0.25">
      <c r="A4844" t="str">
        <f>"4840"</f>
        <v>4840</v>
      </c>
      <c r="B4844" t="str">
        <f t="shared" si="279"/>
        <v>1</v>
      </c>
      <c r="C4844" t="str">
        <f>"211"</f>
        <v>211</v>
      </c>
      <c r="D4844" t="str">
        <f>"1"</f>
        <v>1</v>
      </c>
      <c r="E4844" t="str">
        <f>"1-211-1"</f>
        <v>1-211-1</v>
      </c>
      <c r="F4844" t="s">
        <v>83</v>
      </c>
      <c r="G4844" t="s">
        <v>84</v>
      </c>
      <c r="H4844" t="s">
        <v>92</v>
      </c>
      <c r="I4844">
        <v>1</v>
      </c>
      <c r="J4844">
        <v>1</v>
      </c>
      <c r="N4844">
        <v>1</v>
      </c>
      <c r="O4844">
        <v>1</v>
      </c>
      <c r="P4844">
        <v>1</v>
      </c>
      <c r="Q4844">
        <v>1</v>
      </c>
      <c r="R4844">
        <v>1</v>
      </c>
      <c r="S4844">
        <v>1</v>
      </c>
      <c r="T4844">
        <v>1</v>
      </c>
      <c r="W4844">
        <v>1</v>
      </c>
      <c r="X4844">
        <v>1</v>
      </c>
      <c r="Y4844">
        <v>1</v>
      </c>
      <c r="Z4844">
        <v>1</v>
      </c>
      <c r="AA4844">
        <v>1</v>
      </c>
      <c r="AB4844">
        <v>1</v>
      </c>
    </row>
    <row r="4845" spans="1:49" x14ac:dyDescent="0.25">
      <c r="A4845" t="str">
        <f>"4841"</f>
        <v>4841</v>
      </c>
      <c r="B4845" t="str">
        <f t="shared" si="279"/>
        <v>1</v>
      </c>
      <c r="C4845" t="str">
        <f>"211"</f>
        <v>211</v>
      </c>
      <c r="D4845" t="str">
        <f>"4"</f>
        <v>4</v>
      </c>
      <c r="E4845" t="str">
        <f>"1-211-4"</f>
        <v>1-211-4</v>
      </c>
      <c r="F4845" t="s">
        <v>83</v>
      </c>
      <c r="G4845" t="s">
        <v>84</v>
      </c>
      <c r="H4845" t="s">
        <v>92</v>
      </c>
      <c r="I4845">
        <v>1</v>
      </c>
      <c r="J4845">
        <v>1</v>
      </c>
      <c r="N4845">
        <v>1</v>
      </c>
      <c r="O4845">
        <v>1</v>
      </c>
      <c r="P4845">
        <v>1</v>
      </c>
      <c r="Q4845">
        <v>1</v>
      </c>
      <c r="R4845">
        <v>1</v>
      </c>
      <c r="S4845">
        <v>1</v>
      </c>
      <c r="T4845">
        <v>1</v>
      </c>
      <c r="W4845">
        <v>1</v>
      </c>
      <c r="X4845">
        <v>1</v>
      </c>
      <c r="Y4845">
        <v>1</v>
      </c>
      <c r="Z4845">
        <v>1</v>
      </c>
      <c r="AA4845">
        <v>1</v>
      </c>
      <c r="AB4845">
        <v>1</v>
      </c>
    </row>
    <row r="4846" spans="1:49" x14ac:dyDescent="0.25">
      <c r="A4846" t="str">
        <f>"4842"</f>
        <v>4842</v>
      </c>
      <c r="B4846" t="str">
        <f t="shared" si="279"/>
        <v>1</v>
      </c>
      <c r="C4846" t="str">
        <f>"211"</f>
        <v>211</v>
      </c>
      <c r="D4846" t="str">
        <f>"2"</f>
        <v>2</v>
      </c>
      <c r="E4846" t="str">
        <f>"1-211-2"</f>
        <v>1-211-2</v>
      </c>
      <c r="F4846" t="s">
        <v>83</v>
      </c>
      <c r="G4846" t="s">
        <v>86</v>
      </c>
      <c r="H4846" t="s">
        <v>93</v>
      </c>
      <c r="I4846">
        <v>1</v>
      </c>
      <c r="K4846">
        <v>0</v>
      </c>
      <c r="L4846">
        <v>0</v>
      </c>
      <c r="M4846">
        <v>1</v>
      </c>
      <c r="N4846">
        <v>1</v>
      </c>
      <c r="O4846">
        <v>1</v>
      </c>
      <c r="P4846">
        <v>1</v>
      </c>
      <c r="Q4846">
        <v>1</v>
      </c>
      <c r="R4846">
        <v>1</v>
      </c>
      <c r="U4846">
        <v>0</v>
      </c>
      <c r="V4846">
        <v>1</v>
      </c>
      <c r="W4846">
        <v>1</v>
      </c>
      <c r="X4846">
        <v>1</v>
      </c>
      <c r="Y4846">
        <v>1</v>
      </c>
      <c r="Z4846">
        <v>1</v>
      </c>
      <c r="AA4846">
        <v>1</v>
      </c>
      <c r="AB4846">
        <v>1</v>
      </c>
    </row>
    <row r="4847" spans="1:49" x14ac:dyDescent="0.25">
      <c r="A4847" t="str">
        <f>"4843"</f>
        <v>4843</v>
      </c>
      <c r="B4847" t="str">
        <f t="shared" si="279"/>
        <v>1</v>
      </c>
      <c r="C4847" t="str">
        <f>"211"</f>
        <v>211</v>
      </c>
      <c r="D4847" t="str">
        <f>"3"</f>
        <v>3</v>
      </c>
      <c r="E4847" t="str">
        <f>"1-211-3"</f>
        <v>1-211-3</v>
      </c>
      <c r="F4847" t="s">
        <v>83</v>
      </c>
      <c r="G4847" t="s">
        <v>86</v>
      </c>
      <c r="H4847" t="s">
        <v>93</v>
      </c>
      <c r="I4847">
        <v>1</v>
      </c>
      <c r="K4847">
        <v>0</v>
      </c>
      <c r="L4847">
        <v>1</v>
      </c>
      <c r="M4847">
        <v>0</v>
      </c>
      <c r="N4847">
        <v>1</v>
      </c>
      <c r="O4847">
        <v>1</v>
      </c>
      <c r="P4847">
        <v>1</v>
      </c>
      <c r="Q4847">
        <v>1</v>
      </c>
      <c r="R4847">
        <v>1</v>
      </c>
      <c r="U4847">
        <v>1</v>
      </c>
      <c r="V4847">
        <v>0</v>
      </c>
      <c r="W4847">
        <v>1</v>
      </c>
      <c r="X4847">
        <v>1</v>
      </c>
      <c r="Y4847">
        <v>1</v>
      </c>
      <c r="Z4847">
        <v>1</v>
      </c>
      <c r="AA4847">
        <v>1</v>
      </c>
      <c r="AB4847">
        <v>1</v>
      </c>
    </row>
    <row r="4848" spans="1:49" x14ac:dyDescent="0.25">
      <c r="A4848" t="str">
        <f>"4844"</f>
        <v>4844</v>
      </c>
      <c r="B4848" t="str">
        <f t="shared" si="279"/>
        <v>1</v>
      </c>
      <c r="C4848" t="str">
        <f t="shared" ref="C4848:C4870" si="280">"212"</f>
        <v>212</v>
      </c>
      <c r="D4848" t="str">
        <f>"23"</f>
        <v>23</v>
      </c>
      <c r="E4848" t="str">
        <f>"1-212-23"</f>
        <v>1-212-23</v>
      </c>
      <c r="F4848" t="s">
        <v>83</v>
      </c>
      <c r="G4848" t="s">
        <v>84</v>
      </c>
      <c r="H4848" t="s">
        <v>85</v>
      </c>
      <c r="AC4848">
        <v>1</v>
      </c>
      <c r="AD4848">
        <v>0</v>
      </c>
      <c r="AE4848">
        <v>0</v>
      </c>
      <c r="AF4848">
        <v>0</v>
      </c>
      <c r="AG4848">
        <v>1</v>
      </c>
      <c r="AJ4848">
        <v>0</v>
      </c>
      <c r="AK4848">
        <v>1</v>
      </c>
      <c r="AL4848">
        <v>1</v>
      </c>
      <c r="AM4848">
        <v>0</v>
      </c>
      <c r="AN4848">
        <v>0</v>
      </c>
      <c r="AO4848">
        <v>1</v>
      </c>
      <c r="AP4848">
        <v>1</v>
      </c>
      <c r="AQ4848">
        <v>1</v>
      </c>
      <c r="AR4848">
        <v>1</v>
      </c>
      <c r="AS4848">
        <v>0</v>
      </c>
      <c r="AT4848">
        <v>1</v>
      </c>
      <c r="AV4848">
        <v>1</v>
      </c>
      <c r="AW4848">
        <v>1</v>
      </c>
    </row>
    <row r="4849" spans="1:49" x14ac:dyDescent="0.25">
      <c r="A4849" t="str">
        <f>"4845"</f>
        <v>4845</v>
      </c>
      <c r="B4849" t="str">
        <f t="shared" si="279"/>
        <v>1</v>
      </c>
      <c r="C4849" t="str">
        <f t="shared" si="280"/>
        <v>212</v>
      </c>
      <c r="D4849" t="str">
        <f>"22"</f>
        <v>22</v>
      </c>
      <c r="E4849" t="str">
        <f>"1-212-22"</f>
        <v>1-212-22</v>
      </c>
      <c r="F4849" t="s">
        <v>83</v>
      </c>
      <c r="G4849" t="s">
        <v>84</v>
      </c>
      <c r="H4849" t="s">
        <v>85</v>
      </c>
      <c r="AC4849">
        <v>1</v>
      </c>
      <c r="AD4849">
        <v>0</v>
      </c>
      <c r="AE4849">
        <v>0</v>
      </c>
      <c r="AF4849">
        <v>0</v>
      </c>
      <c r="AG4849">
        <v>1</v>
      </c>
      <c r="AJ4849">
        <v>1</v>
      </c>
      <c r="AK4849">
        <v>0</v>
      </c>
      <c r="AL4849">
        <v>1</v>
      </c>
      <c r="AM4849">
        <v>0</v>
      </c>
      <c r="AN4849">
        <v>0</v>
      </c>
      <c r="AO4849">
        <v>0</v>
      </c>
      <c r="AP4849">
        <v>0</v>
      </c>
      <c r="AQ4849">
        <v>0</v>
      </c>
      <c r="AR4849">
        <v>0</v>
      </c>
      <c r="AS4849">
        <v>1</v>
      </c>
      <c r="AT4849">
        <v>0</v>
      </c>
      <c r="AV4849">
        <v>1</v>
      </c>
      <c r="AW4849">
        <v>0</v>
      </c>
    </row>
    <row r="4850" spans="1:49" x14ac:dyDescent="0.25">
      <c r="A4850" t="str">
        <f>"4846"</f>
        <v>4846</v>
      </c>
      <c r="B4850" t="str">
        <f t="shared" si="279"/>
        <v>1</v>
      </c>
      <c r="C4850" t="str">
        <f t="shared" si="280"/>
        <v>212</v>
      </c>
      <c r="D4850" t="str">
        <f>"15"</f>
        <v>15</v>
      </c>
      <c r="E4850" t="str">
        <f>"1-212-15"</f>
        <v>1-212-15</v>
      </c>
      <c r="F4850" t="s">
        <v>83</v>
      </c>
      <c r="G4850" t="s">
        <v>84</v>
      </c>
      <c r="H4850" t="s">
        <v>85</v>
      </c>
      <c r="AC4850">
        <v>0</v>
      </c>
      <c r="AD4850">
        <v>1</v>
      </c>
      <c r="AE4850">
        <v>0</v>
      </c>
      <c r="AF4850">
        <v>0</v>
      </c>
      <c r="AG4850">
        <v>1</v>
      </c>
      <c r="AJ4850">
        <v>1</v>
      </c>
      <c r="AK4850">
        <v>0</v>
      </c>
      <c r="AL4850">
        <v>0</v>
      </c>
      <c r="AM4850">
        <v>1</v>
      </c>
      <c r="AN4850">
        <v>0</v>
      </c>
      <c r="AO4850">
        <v>1</v>
      </c>
      <c r="AP4850">
        <v>1</v>
      </c>
      <c r="AQ4850">
        <v>1</v>
      </c>
      <c r="AR4850">
        <v>1</v>
      </c>
      <c r="AS4850">
        <v>0</v>
      </c>
      <c r="AT4850">
        <v>1</v>
      </c>
      <c r="AV4850">
        <v>1</v>
      </c>
      <c r="AW4850">
        <v>1</v>
      </c>
    </row>
    <row r="4851" spans="1:49" x14ac:dyDescent="0.25">
      <c r="A4851" t="str">
        <f>"4847"</f>
        <v>4847</v>
      </c>
      <c r="B4851" t="str">
        <f t="shared" si="279"/>
        <v>1</v>
      </c>
      <c r="C4851" t="str">
        <f t="shared" si="280"/>
        <v>212</v>
      </c>
      <c r="D4851" t="str">
        <f>"8"</f>
        <v>8</v>
      </c>
      <c r="E4851" t="str">
        <f>"1-212-8"</f>
        <v>1-212-8</v>
      </c>
      <c r="F4851" t="s">
        <v>83</v>
      </c>
      <c r="G4851" t="s">
        <v>84</v>
      </c>
      <c r="H4851" t="s">
        <v>85</v>
      </c>
      <c r="AC4851">
        <v>0</v>
      </c>
      <c r="AD4851">
        <v>1</v>
      </c>
      <c r="AE4851">
        <v>0</v>
      </c>
      <c r="AF4851">
        <v>0</v>
      </c>
      <c r="AG4851">
        <v>0</v>
      </c>
      <c r="AJ4851">
        <v>1</v>
      </c>
      <c r="AK4851">
        <v>0</v>
      </c>
      <c r="AL4851">
        <v>0</v>
      </c>
      <c r="AM4851">
        <v>1</v>
      </c>
      <c r="AN4851">
        <v>0</v>
      </c>
      <c r="AO4851">
        <v>1</v>
      </c>
      <c r="AP4851">
        <v>1</v>
      </c>
      <c r="AQ4851">
        <v>1</v>
      </c>
      <c r="AR4851">
        <v>1</v>
      </c>
      <c r="AS4851">
        <v>0</v>
      </c>
      <c r="AT4851">
        <v>1</v>
      </c>
      <c r="AV4851">
        <v>1</v>
      </c>
      <c r="AW4851">
        <v>1</v>
      </c>
    </row>
    <row r="4852" spans="1:49" x14ac:dyDescent="0.25">
      <c r="A4852" t="str">
        <f>"4848"</f>
        <v>4848</v>
      </c>
      <c r="B4852" t="str">
        <f t="shared" si="279"/>
        <v>1</v>
      </c>
      <c r="C4852" t="str">
        <f t="shared" si="280"/>
        <v>212</v>
      </c>
      <c r="D4852" t="str">
        <f>"4"</f>
        <v>4</v>
      </c>
      <c r="E4852" t="str">
        <f>"1-212-4"</f>
        <v>1-212-4</v>
      </c>
      <c r="F4852" t="s">
        <v>83</v>
      </c>
      <c r="G4852" t="s">
        <v>84</v>
      </c>
      <c r="H4852" t="s">
        <v>85</v>
      </c>
      <c r="AC4852">
        <v>1</v>
      </c>
      <c r="AD4852">
        <v>0</v>
      </c>
      <c r="AE4852">
        <v>0</v>
      </c>
      <c r="AF4852">
        <v>0</v>
      </c>
      <c r="AG4852">
        <v>1</v>
      </c>
      <c r="AJ4852">
        <v>0</v>
      </c>
      <c r="AK4852">
        <v>1</v>
      </c>
      <c r="AL4852">
        <v>1</v>
      </c>
      <c r="AM4852">
        <v>0</v>
      </c>
      <c r="AN4852">
        <v>0</v>
      </c>
      <c r="AO4852">
        <v>1</v>
      </c>
      <c r="AP4852">
        <v>1</v>
      </c>
      <c r="AQ4852">
        <v>1</v>
      </c>
      <c r="AR4852">
        <v>1</v>
      </c>
      <c r="AS4852">
        <v>0</v>
      </c>
      <c r="AT4852">
        <v>1</v>
      </c>
      <c r="AV4852">
        <v>1</v>
      </c>
      <c r="AW4852">
        <v>1</v>
      </c>
    </row>
    <row r="4853" spans="1:49" x14ac:dyDescent="0.25">
      <c r="A4853" t="str">
        <f>"4849"</f>
        <v>4849</v>
      </c>
      <c r="B4853" t="str">
        <f t="shared" si="279"/>
        <v>1</v>
      </c>
      <c r="C4853" t="str">
        <f t="shared" si="280"/>
        <v>212</v>
      </c>
      <c r="D4853" t="str">
        <f>"16"</f>
        <v>16</v>
      </c>
      <c r="E4853" t="str">
        <f>"1-212-16"</f>
        <v>1-212-16</v>
      </c>
      <c r="F4853" t="s">
        <v>83</v>
      </c>
      <c r="G4853" t="s">
        <v>84</v>
      </c>
      <c r="H4853" t="s">
        <v>85</v>
      </c>
      <c r="AC4853">
        <v>0</v>
      </c>
      <c r="AD4853">
        <v>1</v>
      </c>
      <c r="AE4853">
        <v>0</v>
      </c>
      <c r="AF4853">
        <v>0</v>
      </c>
      <c r="AG4853">
        <v>0</v>
      </c>
      <c r="AJ4853">
        <v>0</v>
      </c>
      <c r="AK4853">
        <v>1</v>
      </c>
      <c r="AL4853">
        <v>1</v>
      </c>
      <c r="AM4853">
        <v>0</v>
      </c>
      <c r="AN4853">
        <v>0</v>
      </c>
      <c r="AO4853">
        <v>0</v>
      </c>
      <c r="AP4853">
        <v>0</v>
      </c>
      <c r="AQ4853">
        <v>0</v>
      </c>
      <c r="AR4853">
        <v>0</v>
      </c>
      <c r="AS4853">
        <v>1</v>
      </c>
      <c r="AT4853">
        <v>0</v>
      </c>
      <c r="AV4853">
        <v>0</v>
      </c>
      <c r="AW4853">
        <v>0</v>
      </c>
    </row>
    <row r="4854" spans="1:49" x14ac:dyDescent="0.25">
      <c r="A4854" t="str">
        <f>"4850"</f>
        <v>4850</v>
      </c>
      <c r="B4854" t="str">
        <f t="shared" si="279"/>
        <v>1</v>
      </c>
      <c r="C4854" t="str">
        <f t="shared" si="280"/>
        <v>212</v>
      </c>
      <c r="D4854" t="str">
        <f>"9"</f>
        <v>9</v>
      </c>
      <c r="E4854" t="str">
        <f>"1-212-9"</f>
        <v>1-212-9</v>
      </c>
      <c r="F4854" t="s">
        <v>83</v>
      </c>
      <c r="G4854" t="s">
        <v>84</v>
      </c>
      <c r="H4854" t="s">
        <v>85</v>
      </c>
      <c r="AC4854">
        <v>0</v>
      </c>
      <c r="AD4854">
        <v>1</v>
      </c>
      <c r="AE4854">
        <v>0</v>
      </c>
      <c r="AF4854">
        <v>0</v>
      </c>
      <c r="AG4854">
        <v>1</v>
      </c>
      <c r="AJ4854">
        <v>0</v>
      </c>
      <c r="AK4854">
        <v>1</v>
      </c>
      <c r="AL4854">
        <v>0</v>
      </c>
      <c r="AM4854">
        <v>0</v>
      </c>
      <c r="AN4854">
        <v>1</v>
      </c>
      <c r="AO4854">
        <v>1</v>
      </c>
      <c r="AP4854">
        <v>1</v>
      </c>
      <c r="AQ4854">
        <v>1</v>
      </c>
      <c r="AR4854">
        <v>1</v>
      </c>
      <c r="AS4854">
        <v>0</v>
      </c>
      <c r="AT4854">
        <v>1</v>
      </c>
      <c r="AV4854">
        <v>1</v>
      </c>
      <c r="AW4854">
        <v>1</v>
      </c>
    </row>
    <row r="4855" spans="1:49" x14ac:dyDescent="0.25">
      <c r="A4855" t="str">
        <f>"4851"</f>
        <v>4851</v>
      </c>
      <c r="B4855" t="str">
        <f t="shared" si="279"/>
        <v>1</v>
      </c>
      <c r="C4855" t="str">
        <f t="shared" si="280"/>
        <v>212</v>
      </c>
      <c r="D4855" t="str">
        <f>"6"</f>
        <v>6</v>
      </c>
      <c r="E4855" t="str">
        <f>"1-212-6"</f>
        <v>1-212-6</v>
      </c>
      <c r="F4855" t="s">
        <v>83</v>
      </c>
      <c r="G4855" t="s">
        <v>84</v>
      </c>
      <c r="H4855" t="s">
        <v>85</v>
      </c>
      <c r="AC4855">
        <v>0</v>
      </c>
      <c r="AD4855">
        <v>1</v>
      </c>
      <c r="AE4855">
        <v>0</v>
      </c>
      <c r="AF4855">
        <v>0</v>
      </c>
      <c r="AG4855">
        <v>0</v>
      </c>
      <c r="AJ4855">
        <v>0</v>
      </c>
      <c r="AK4855">
        <v>0</v>
      </c>
      <c r="AL4855">
        <v>0</v>
      </c>
      <c r="AM4855">
        <v>0</v>
      </c>
      <c r="AN4855">
        <v>1</v>
      </c>
      <c r="AO4855">
        <v>0</v>
      </c>
      <c r="AP4855">
        <v>0</v>
      </c>
      <c r="AQ4855">
        <v>0</v>
      </c>
      <c r="AR4855">
        <v>0</v>
      </c>
      <c r="AS4855">
        <v>0</v>
      </c>
      <c r="AT4855">
        <v>0</v>
      </c>
      <c r="AV4855">
        <v>0</v>
      </c>
      <c r="AW4855">
        <v>1</v>
      </c>
    </row>
    <row r="4856" spans="1:49" x14ac:dyDescent="0.25">
      <c r="A4856" t="str">
        <f>"4852"</f>
        <v>4852</v>
      </c>
      <c r="B4856" t="str">
        <f t="shared" si="279"/>
        <v>1</v>
      </c>
      <c r="C4856" t="str">
        <f t="shared" si="280"/>
        <v>212</v>
      </c>
      <c r="D4856" t="str">
        <f>"17"</f>
        <v>17</v>
      </c>
      <c r="E4856" t="str">
        <f>"1-212-17"</f>
        <v>1-212-17</v>
      </c>
      <c r="F4856" t="s">
        <v>83</v>
      </c>
      <c r="G4856" t="s">
        <v>84</v>
      </c>
      <c r="H4856" t="s">
        <v>85</v>
      </c>
      <c r="AC4856">
        <v>0</v>
      </c>
      <c r="AD4856">
        <v>1</v>
      </c>
      <c r="AE4856">
        <v>0</v>
      </c>
      <c r="AF4856">
        <v>0</v>
      </c>
      <c r="AG4856">
        <v>1</v>
      </c>
      <c r="AJ4856">
        <v>1</v>
      </c>
      <c r="AK4856">
        <v>0</v>
      </c>
      <c r="AL4856">
        <v>0</v>
      </c>
      <c r="AM4856">
        <v>0</v>
      </c>
      <c r="AN4856">
        <v>1</v>
      </c>
      <c r="AO4856">
        <v>1</v>
      </c>
      <c r="AP4856">
        <v>1</v>
      </c>
      <c r="AQ4856">
        <v>1</v>
      </c>
      <c r="AR4856">
        <v>1</v>
      </c>
      <c r="AS4856">
        <v>1</v>
      </c>
      <c r="AT4856">
        <v>0</v>
      </c>
      <c r="AV4856">
        <v>1</v>
      </c>
      <c r="AW4856">
        <v>1</v>
      </c>
    </row>
    <row r="4857" spans="1:49" x14ac:dyDescent="0.25">
      <c r="A4857" t="str">
        <f>"4853"</f>
        <v>4853</v>
      </c>
      <c r="B4857" t="str">
        <f t="shared" si="279"/>
        <v>1</v>
      </c>
      <c r="C4857" t="str">
        <f t="shared" si="280"/>
        <v>212</v>
      </c>
      <c r="D4857" t="str">
        <f>"10"</f>
        <v>10</v>
      </c>
      <c r="E4857" t="str">
        <f>"1-212-10"</f>
        <v>1-212-10</v>
      </c>
      <c r="F4857" t="s">
        <v>83</v>
      </c>
      <c r="G4857" t="s">
        <v>84</v>
      </c>
      <c r="H4857" t="s">
        <v>85</v>
      </c>
      <c r="AC4857">
        <v>1</v>
      </c>
      <c r="AD4857">
        <v>0</v>
      </c>
      <c r="AE4857">
        <v>0</v>
      </c>
      <c r="AF4857">
        <v>0</v>
      </c>
      <c r="AG4857">
        <v>1</v>
      </c>
      <c r="AJ4857">
        <v>1</v>
      </c>
      <c r="AK4857">
        <v>0</v>
      </c>
      <c r="AL4857">
        <v>1</v>
      </c>
      <c r="AM4857">
        <v>0</v>
      </c>
      <c r="AN4857">
        <v>0</v>
      </c>
      <c r="AO4857">
        <v>1</v>
      </c>
      <c r="AP4857">
        <v>1</v>
      </c>
      <c r="AQ4857">
        <v>1</v>
      </c>
      <c r="AR4857">
        <v>1</v>
      </c>
      <c r="AS4857">
        <v>1</v>
      </c>
      <c r="AT4857">
        <v>0</v>
      </c>
      <c r="AV4857">
        <v>0</v>
      </c>
      <c r="AW4857">
        <v>1</v>
      </c>
    </row>
    <row r="4858" spans="1:49" x14ac:dyDescent="0.25">
      <c r="A4858" t="str">
        <f>"4854"</f>
        <v>4854</v>
      </c>
      <c r="B4858" t="str">
        <f t="shared" si="279"/>
        <v>1</v>
      </c>
      <c r="C4858" t="str">
        <f t="shared" si="280"/>
        <v>212</v>
      </c>
      <c r="D4858" t="str">
        <f>"2"</f>
        <v>2</v>
      </c>
      <c r="E4858" t="str">
        <f>"1-212-2"</f>
        <v>1-212-2</v>
      </c>
      <c r="F4858" t="s">
        <v>83</v>
      </c>
      <c r="G4858" t="s">
        <v>84</v>
      </c>
      <c r="H4858" t="s">
        <v>85</v>
      </c>
      <c r="AC4858">
        <v>0</v>
      </c>
      <c r="AD4858">
        <v>1</v>
      </c>
      <c r="AE4858">
        <v>0</v>
      </c>
      <c r="AF4858">
        <v>0</v>
      </c>
      <c r="AG4858">
        <v>1</v>
      </c>
      <c r="AJ4858">
        <v>0</v>
      </c>
      <c r="AK4858">
        <v>1</v>
      </c>
      <c r="AL4858">
        <v>0</v>
      </c>
      <c r="AM4858">
        <v>0</v>
      </c>
      <c r="AN4858">
        <v>1</v>
      </c>
      <c r="AO4858">
        <v>1</v>
      </c>
      <c r="AP4858">
        <v>1</v>
      </c>
      <c r="AQ4858">
        <v>1</v>
      </c>
      <c r="AR4858">
        <v>1</v>
      </c>
      <c r="AS4858">
        <v>0</v>
      </c>
      <c r="AT4858">
        <v>1</v>
      </c>
      <c r="AV4858">
        <v>1</v>
      </c>
      <c r="AW4858">
        <v>1</v>
      </c>
    </row>
    <row r="4859" spans="1:49" x14ac:dyDescent="0.25">
      <c r="A4859" t="str">
        <f>"4855"</f>
        <v>4855</v>
      </c>
      <c r="B4859" t="str">
        <f t="shared" si="279"/>
        <v>1</v>
      </c>
      <c r="C4859" t="str">
        <f t="shared" si="280"/>
        <v>212</v>
      </c>
      <c r="D4859" t="str">
        <f>"11"</f>
        <v>11</v>
      </c>
      <c r="E4859" t="str">
        <f>"1-212-11"</f>
        <v>1-212-11</v>
      </c>
      <c r="F4859" t="s">
        <v>83</v>
      </c>
      <c r="G4859" t="s">
        <v>84</v>
      </c>
      <c r="H4859" t="s">
        <v>85</v>
      </c>
      <c r="AC4859">
        <v>0</v>
      </c>
      <c r="AD4859">
        <v>1</v>
      </c>
      <c r="AE4859">
        <v>0</v>
      </c>
      <c r="AF4859">
        <v>0</v>
      </c>
      <c r="AG4859">
        <v>0</v>
      </c>
      <c r="AJ4859">
        <v>0</v>
      </c>
      <c r="AK4859">
        <v>1</v>
      </c>
      <c r="AL4859">
        <v>0</v>
      </c>
      <c r="AM4859">
        <v>0</v>
      </c>
      <c r="AN4859">
        <v>1</v>
      </c>
      <c r="AO4859">
        <v>0</v>
      </c>
      <c r="AP4859">
        <v>0</v>
      </c>
      <c r="AQ4859">
        <v>0</v>
      </c>
      <c r="AR4859">
        <v>0</v>
      </c>
      <c r="AS4859">
        <v>0</v>
      </c>
      <c r="AT4859">
        <v>0</v>
      </c>
      <c r="AV4859">
        <v>0</v>
      </c>
      <c r="AW4859">
        <v>1</v>
      </c>
    </row>
    <row r="4860" spans="1:49" x14ac:dyDescent="0.25">
      <c r="A4860" t="str">
        <f>"4856"</f>
        <v>4856</v>
      </c>
      <c r="B4860" t="str">
        <f t="shared" si="279"/>
        <v>1</v>
      </c>
      <c r="C4860" t="str">
        <f t="shared" si="280"/>
        <v>212</v>
      </c>
      <c r="D4860" t="str">
        <f>"5"</f>
        <v>5</v>
      </c>
      <c r="E4860" t="str">
        <f>"1-212-5"</f>
        <v>1-212-5</v>
      </c>
      <c r="F4860" t="s">
        <v>83</v>
      </c>
      <c r="G4860" t="s">
        <v>84</v>
      </c>
      <c r="H4860" t="s">
        <v>85</v>
      </c>
      <c r="AC4860">
        <v>0</v>
      </c>
      <c r="AD4860">
        <v>1</v>
      </c>
      <c r="AE4860">
        <v>0</v>
      </c>
      <c r="AF4860">
        <v>0</v>
      </c>
      <c r="AG4860">
        <v>0</v>
      </c>
      <c r="AJ4860">
        <v>0</v>
      </c>
      <c r="AK4860">
        <v>1</v>
      </c>
      <c r="AL4860">
        <v>0</v>
      </c>
      <c r="AM4860">
        <v>1</v>
      </c>
      <c r="AN4860">
        <v>0</v>
      </c>
      <c r="AO4860">
        <v>0</v>
      </c>
      <c r="AP4860">
        <v>0</v>
      </c>
      <c r="AQ4860">
        <v>0</v>
      </c>
      <c r="AR4860">
        <v>0</v>
      </c>
      <c r="AS4860">
        <v>0</v>
      </c>
      <c r="AT4860">
        <v>0</v>
      </c>
      <c r="AV4860">
        <v>1</v>
      </c>
      <c r="AW4860">
        <v>1</v>
      </c>
    </row>
    <row r="4861" spans="1:49" x14ac:dyDescent="0.25">
      <c r="A4861" t="str">
        <f>"4857"</f>
        <v>4857</v>
      </c>
      <c r="B4861" t="str">
        <f t="shared" si="279"/>
        <v>1</v>
      </c>
      <c r="C4861" t="str">
        <f t="shared" si="280"/>
        <v>212</v>
      </c>
      <c r="D4861" t="str">
        <f>"19"</f>
        <v>19</v>
      </c>
      <c r="E4861" t="str">
        <f>"1-212-19"</f>
        <v>1-212-19</v>
      </c>
      <c r="F4861" t="s">
        <v>83</v>
      </c>
      <c r="G4861" t="s">
        <v>84</v>
      </c>
      <c r="H4861" t="s">
        <v>85</v>
      </c>
      <c r="AC4861">
        <v>1</v>
      </c>
      <c r="AD4861">
        <v>0</v>
      </c>
      <c r="AE4861">
        <v>0</v>
      </c>
      <c r="AF4861">
        <v>0</v>
      </c>
      <c r="AG4861">
        <v>0</v>
      </c>
      <c r="AJ4861">
        <v>1</v>
      </c>
      <c r="AK4861">
        <v>0</v>
      </c>
      <c r="AL4861">
        <v>1</v>
      </c>
      <c r="AM4861">
        <v>0</v>
      </c>
      <c r="AN4861">
        <v>0</v>
      </c>
      <c r="AO4861">
        <v>1</v>
      </c>
      <c r="AP4861">
        <v>1</v>
      </c>
      <c r="AQ4861">
        <v>1</v>
      </c>
      <c r="AR4861">
        <v>0</v>
      </c>
      <c r="AS4861">
        <v>1</v>
      </c>
      <c r="AT4861">
        <v>0</v>
      </c>
      <c r="AV4861">
        <v>1</v>
      </c>
      <c r="AW4861">
        <v>1</v>
      </c>
    </row>
    <row r="4862" spans="1:49" x14ac:dyDescent="0.25">
      <c r="A4862" t="str">
        <f>"4858"</f>
        <v>4858</v>
      </c>
      <c r="B4862" t="str">
        <f t="shared" si="279"/>
        <v>1</v>
      </c>
      <c r="C4862" t="str">
        <f t="shared" si="280"/>
        <v>212</v>
      </c>
      <c r="D4862" t="str">
        <f>"12"</f>
        <v>12</v>
      </c>
      <c r="E4862" t="str">
        <f>"1-212-12"</f>
        <v>1-212-12</v>
      </c>
      <c r="F4862" t="s">
        <v>83</v>
      </c>
      <c r="G4862" t="s">
        <v>84</v>
      </c>
      <c r="H4862" t="s">
        <v>85</v>
      </c>
      <c r="AC4862">
        <v>0</v>
      </c>
      <c r="AD4862">
        <v>1</v>
      </c>
      <c r="AE4862">
        <v>0</v>
      </c>
      <c r="AF4862">
        <v>0</v>
      </c>
      <c r="AG4862">
        <v>0</v>
      </c>
      <c r="AJ4862">
        <v>1</v>
      </c>
      <c r="AK4862">
        <v>0</v>
      </c>
      <c r="AL4862">
        <v>0</v>
      </c>
      <c r="AM4862">
        <v>1</v>
      </c>
      <c r="AN4862">
        <v>0</v>
      </c>
      <c r="AO4862">
        <v>1</v>
      </c>
      <c r="AP4862">
        <v>1</v>
      </c>
      <c r="AQ4862">
        <v>1</v>
      </c>
      <c r="AR4862">
        <v>1</v>
      </c>
      <c r="AS4862">
        <v>0</v>
      </c>
      <c r="AT4862">
        <v>1</v>
      </c>
      <c r="AV4862">
        <v>1</v>
      </c>
      <c r="AW4862">
        <v>0</v>
      </c>
    </row>
    <row r="4863" spans="1:49" x14ac:dyDescent="0.25">
      <c r="A4863" t="str">
        <f>"4859"</f>
        <v>4859</v>
      </c>
      <c r="B4863" t="str">
        <f t="shared" si="279"/>
        <v>1</v>
      </c>
      <c r="C4863" t="str">
        <f t="shared" si="280"/>
        <v>212</v>
      </c>
      <c r="D4863" t="str">
        <f>"3"</f>
        <v>3</v>
      </c>
      <c r="E4863" t="str">
        <f>"1-212-3"</f>
        <v>1-212-3</v>
      </c>
      <c r="F4863" t="s">
        <v>83</v>
      </c>
      <c r="G4863" t="s">
        <v>84</v>
      </c>
      <c r="H4863" t="s">
        <v>85</v>
      </c>
      <c r="AC4863">
        <v>0</v>
      </c>
      <c r="AD4863">
        <v>1</v>
      </c>
      <c r="AE4863">
        <v>0</v>
      </c>
      <c r="AF4863">
        <v>0</v>
      </c>
      <c r="AG4863">
        <v>1</v>
      </c>
      <c r="AJ4863">
        <v>1</v>
      </c>
      <c r="AK4863">
        <v>0</v>
      </c>
      <c r="AL4863">
        <v>0</v>
      </c>
      <c r="AM4863">
        <v>0</v>
      </c>
      <c r="AN4863">
        <v>1</v>
      </c>
      <c r="AO4863">
        <v>1</v>
      </c>
      <c r="AP4863">
        <v>1</v>
      </c>
      <c r="AQ4863">
        <v>1</v>
      </c>
      <c r="AR4863">
        <v>1</v>
      </c>
      <c r="AS4863">
        <v>0</v>
      </c>
      <c r="AT4863">
        <v>1</v>
      </c>
      <c r="AV4863">
        <v>1</v>
      </c>
      <c r="AW4863">
        <v>1</v>
      </c>
    </row>
    <row r="4864" spans="1:49" x14ac:dyDescent="0.25">
      <c r="A4864" t="str">
        <f>"4860"</f>
        <v>4860</v>
      </c>
      <c r="B4864" t="str">
        <f t="shared" si="279"/>
        <v>1</v>
      </c>
      <c r="C4864" t="str">
        <f t="shared" si="280"/>
        <v>212</v>
      </c>
      <c r="D4864" t="str">
        <f>"21"</f>
        <v>21</v>
      </c>
      <c r="E4864" t="str">
        <f>"1-212-21"</f>
        <v>1-212-21</v>
      </c>
      <c r="F4864" t="s">
        <v>83</v>
      </c>
      <c r="G4864" t="s">
        <v>84</v>
      </c>
      <c r="H4864" t="s">
        <v>85</v>
      </c>
      <c r="AC4864">
        <v>1</v>
      </c>
      <c r="AD4864">
        <v>0</v>
      </c>
      <c r="AE4864">
        <v>0</v>
      </c>
      <c r="AF4864">
        <v>0</v>
      </c>
      <c r="AG4864">
        <v>1</v>
      </c>
      <c r="AJ4864">
        <v>1</v>
      </c>
      <c r="AK4864">
        <v>0</v>
      </c>
      <c r="AL4864">
        <v>1</v>
      </c>
      <c r="AM4864">
        <v>0</v>
      </c>
      <c r="AN4864">
        <v>0</v>
      </c>
      <c r="AO4864">
        <v>0</v>
      </c>
      <c r="AP4864">
        <v>0</v>
      </c>
      <c r="AQ4864">
        <v>0</v>
      </c>
      <c r="AR4864">
        <v>0</v>
      </c>
      <c r="AS4864">
        <v>1</v>
      </c>
      <c r="AT4864">
        <v>0</v>
      </c>
      <c r="AV4864">
        <v>1</v>
      </c>
      <c r="AW4864">
        <v>0</v>
      </c>
    </row>
    <row r="4865" spans="1:49" x14ac:dyDescent="0.25">
      <c r="A4865" t="str">
        <f>"4861"</f>
        <v>4861</v>
      </c>
      <c r="B4865" t="str">
        <f t="shared" si="279"/>
        <v>1</v>
      </c>
      <c r="C4865" t="str">
        <f t="shared" si="280"/>
        <v>212</v>
      </c>
      <c r="D4865" t="str">
        <f>"13"</f>
        <v>13</v>
      </c>
      <c r="E4865" t="str">
        <f>"1-212-13"</f>
        <v>1-212-13</v>
      </c>
      <c r="F4865" t="s">
        <v>83</v>
      </c>
      <c r="G4865" t="s">
        <v>84</v>
      </c>
      <c r="H4865" t="s">
        <v>85</v>
      </c>
      <c r="AC4865">
        <v>1</v>
      </c>
      <c r="AD4865">
        <v>0</v>
      </c>
      <c r="AE4865">
        <v>0</v>
      </c>
      <c r="AF4865">
        <v>0</v>
      </c>
      <c r="AG4865">
        <v>1</v>
      </c>
      <c r="AJ4865">
        <v>1</v>
      </c>
      <c r="AK4865">
        <v>0</v>
      </c>
      <c r="AL4865">
        <v>0</v>
      </c>
      <c r="AM4865">
        <v>1</v>
      </c>
      <c r="AN4865">
        <v>0</v>
      </c>
      <c r="AO4865">
        <v>1</v>
      </c>
      <c r="AP4865">
        <v>1</v>
      </c>
      <c r="AQ4865">
        <v>1</v>
      </c>
      <c r="AR4865">
        <v>0</v>
      </c>
      <c r="AS4865">
        <v>0</v>
      </c>
      <c r="AT4865">
        <v>1</v>
      </c>
      <c r="AV4865">
        <v>1</v>
      </c>
      <c r="AW4865">
        <v>1</v>
      </c>
    </row>
    <row r="4866" spans="1:49" x14ac:dyDescent="0.25">
      <c r="A4866" t="str">
        <f>"4862"</f>
        <v>4862</v>
      </c>
      <c r="B4866" t="str">
        <f t="shared" si="279"/>
        <v>1</v>
      </c>
      <c r="C4866" t="str">
        <f t="shared" si="280"/>
        <v>212</v>
      </c>
      <c r="D4866" t="str">
        <f>"1"</f>
        <v>1</v>
      </c>
      <c r="E4866" t="str">
        <f>"1-212-1"</f>
        <v>1-212-1</v>
      </c>
      <c r="F4866" t="s">
        <v>83</v>
      </c>
      <c r="G4866" t="s">
        <v>84</v>
      </c>
      <c r="H4866" t="s">
        <v>85</v>
      </c>
      <c r="AC4866">
        <v>0</v>
      </c>
      <c r="AD4866">
        <v>1</v>
      </c>
      <c r="AE4866">
        <v>0</v>
      </c>
      <c r="AF4866">
        <v>0</v>
      </c>
      <c r="AG4866">
        <v>1</v>
      </c>
      <c r="AJ4866">
        <v>1</v>
      </c>
      <c r="AK4866">
        <v>0</v>
      </c>
      <c r="AL4866">
        <v>0</v>
      </c>
      <c r="AM4866">
        <v>1</v>
      </c>
      <c r="AN4866">
        <v>0</v>
      </c>
      <c r="AO4866">
        <v>0</v>
      </c>
      <c r="AP4866">
        <v>0</v>
      </c>
      <c r="AQ4866">
        <v>0</v>
      </c>
      <c r="AR4866">
        <v>0</v>
      </c>
      <c r="AS4866">
        <v>0</v>
      </c>
      <c r="AT4866">
        <v>1</v>
      </c>
      <c r="AV4866">
        <v>1</v>
      </c>
      <c r="AW4866">
        <v>1</v>
      </c>
    </row>
    <row r="4867" spans="1:49" x14ac:dyDescent="0.25">
      <c r="A4867" t="str">
        <f>"4863"</f>
        <v>4863</v>
      </c>
      <c r="B4867" t="str">
        <f t="shared" si="279"/>
        <v>1</v>
      </c>
      <c r="C4867" t="str">
        <f t="shared" si="280"/>
        <v>212</v>
      </c>
      <c r="D4867" t="str">
        <f>"20"</f>
        <v>20</v>
      </c>
      <c r="E4867" t="str">
        <f>"1-212-20"</f>
        <v>1-212-20</v>
      </c>
      <c r="F4867" t="s">
        <v>83</v>
      </c>
      <c r="G4867" t="s">
        <v>84</v>
      </c>
      <c r="H4867" t="s">
        <v>85</v>
      </c>
      <c r="AC4867">
        <v>1</v>
      </c>
      <c r="AD4867">
        <v>0</v>
      </c>
      <c r="AE4867">
        <v>0</v>
      </c>
      <c r="AF4867">
        <v>0</v>
      </c>
      <c r="AG4867">
        <v>1</v>
      </c>
      <c r="AJ4867">
        <v>0</v>
      </c>
      <c r="AK4867">
        <v>1</v>
      </c>
      <c r="AL4867">
        <v>0</v>
      </c>
      <c r="AM4867">
        <v>1</v>
      </c>
      <c r="AN4867">
        <v>0</v>
      </c>
      <c r="AO4867">
        <v>1</v>
      </c>
      <c r="AP4867">
        <v>1</v>
      </c>
      <c r="AQ4867">
        <v>1</v>
      </c>
      <c r="AR4867">
        <v>1</v>
      </c>
      <c r="AS4867">
        <v>1</v>
      </c>
      <c r="AT4867">
        <v>0</v>
      </c>
      <c r="AV4867">
        <v>1</v>
      </c>
      <c r="AW4867">
        <v>1</v>
      </c>
    </row>
    <row r="4868" spans="1:49" x14ac:dyDescent="0.25">
      <c r="A4868" t="str">
        <f>"4864"</f>
        <v>4864</v>
      </c>
      <c r="B4868" t="str">
        <f t="shared" si="279"/>
        <v>1</v>
      </c>
      <c r="C4868" t="str">
        <f t="shared" si="280"/>
        <v>212</v>
      </c>
      <c r="D4868" t="str">
        <f>"14"</f>
        <v>14</v>
      </c>
      <c r="E4868" t="str">
        <f>"1-212-14"</f>
        <v>1-212-14</v>
      </c>
      <c r="F4868" t="s">
        <v>83</v>
      </c>
      <c r="G4868" t="s">
        <v>84</v>
      </c>
      <c r="H4868" t="s">
        <v>85</v>
      </c>
      <c r="AC4868">
        <v>0</v>
      </c>
      <c r="AD4868">
        <v>1</v>
      </c>
      <c r="AE4868">
        <v>0</v>
      </c>
      <c r="AF4868">
        <v>0</v>
      </c>
      <c r="AG4868">
        <v>1</v>
      </c>
      <c r="AJ4868">
        <v>0</v>
      </c>
      <c r="AK4868">
        <v>1</v>
      </c>
      <c r="AL4868">
        <v>0</v>
      </c>
      <c r="AM4868">
        <v>1</v>
      </c>
      <c r="AN4868">
        <v>0</v>
      </c>
      <c r="AO4868">
        <v>1</v>
      </c>
      <c r="AP4868">
        <v>1</v>
      </c>
      <c r="AQ4868">
        <v>1</v>
      </c>
      <c r="AR4868">
        <v>0</v>
      </c>
      <c r="AS4868">
        <v>0</v>
      </c>
      <c r="AT4868">
        <v>1</v>
      </c>
      <c r="AV4868">
        <v>1</v>
      </c>
      <c r="AW4868">
        <v>1</v>
      </c>
    </row>
    <row r="4869" spans="1:49" x14ac:dyDescent="0.25">
      <c r="A4869" t="str">
        <f>"4865"</f>
        <v>4865</v>
      </c>
      <c r="B4869" t="str">
        <f t="shared" si="279"/>
        <v>1</v>
      </c>
      <c r="C4869" t="str">
        <f t="shared" si="280"/>
        <v>212</v>
      </c>
      <c r="D4869" t="str">
        <f>"7"</f>
        <v>7</v>
      </c>
      <c r="E4869" t="str">
        <f>"1-212-7"</f>
        <v>1-212-7</v>
      </c>
      <c r="F4869" t="s">
        <v>83</v>
      </c>
      <c r="G4869" t="s">
        <v>84</v>
      </c>
      <c r="H4869" t="s">
        <v>85</v>
      </c>
      <c r="AC4869">
        <v>0</v>
      </c>
      <c r="AD4869">
        <v>1</v>
      </c>
      <c r="AE4869">
        <v>0</v>
      </c>
      <c r="AF4869">
        <v>0</v>
      </c>
      <c r="AG4869">
        <v>1</v>
      </c>
      <c r="AJ4869">
        <v>1</v>
      </c>
      <c r="AK4869">
        <v>0</v>
      </c>
      <c r="AL4869">
        <v>1</v>
      </c>
      <c r="AM4869">
        <v>0</v>
      </c>
      <c r="AN4869">
        <v>0</v>
      </c>
      <c r="AO4869">
        <v>1</v>
      </c>
      <c r="AP4869">
        <v>1</v>
      </c>
      <c r="AQ4869">
        <v>1</v>
      </c>
      <c r="AR4869">
        <v>1</v>
      </c>
      <c r="AS4869">
        <v>0</v>
      </c>
      <c r="AT4869">
        <v>1</v>
      </c>
      <c r="AV4869">
        <v>1</v>
      </c>
      <c r="AW4869">
        <v>1</v>
      </c>
    </row>
    <row r="4870" spans="1:49" x14ac:dyDescent="0.25">
      <c r="A4870" t="str">
        <f>"4866"</f>
        <v>4866</v>
      </c>
      <c r="B4870" t="str">
        <f t="shared" si="279"/>
        <v>1</v>
      </c>
      <c r="C4870" t="str">
        <f t="shared" si="280"/>
        <v>212</v>
      </c>
      <c r="D4870" t="str">
        <f>"18"</f>
        <v>18</v>
      </c>
      <c r="E4870" t="str">
        <f>"1-212-18"</f>
        <v>1-212-18</v>
      </c>
      <c r="F4870" t="s">
        <v>83</v>
      </c>
      <c r="G4870" t="s">
        <v>84</v>
      </c>
      <c r="H4870" t="s">
        <v>85</v>
      </c>
      <c r="AC4870">
        <v>1</v>
      </c>
      <c r="AD4870">
        <v>0</v>
      </c>
      <c r="AE4870">
        <v>0</v>
      </c>
      <c r="AF4870">
        <v>0</v>
      </c>
      <c r="AG4870">
        <v>0</v>
      </c>
      <c r="AJ4870">
        <v>1</v>
      </c>
      <c r="AK4870">
        <v>0</v>
      </c>
      <c r="AL4870">
        <v>0</v>
      </c>
      <c r="AM4870">
        <v>0</v>
      </c>
      <c r="AN4870">
        <v>1</v>
      </c>
      <c r="AO4870">
        <v>0</v>
      </c>
      <c r="AP4870">
        <v>0</v>
      </c>
      <c r="AQ4870">
        <v>0</v>
      </c>
      <c r="AR4870">
        <v>1</v>
      </c>
      <c r="AS4870">
        <v>1</v>
      </c>
      <c r="AT4870">
        <v>0</v>
      </c>
      <c r="AV4870">
        <v>1</v>
      </c>
      <c r="AW4870">
        <v>1</v>
      </c>
    </row>
    <row r="4871" spans="1:49" x14ac:dyDescent="0.25">
      <c r="A4871" t="str">
        <f>"4867"</f>
        <v>4867</v>
      </c>
      <c r="B4871" t="str">
        <f t="shared" si="279"/>
        <v>1</v>
      </c>
      <c r="C4871" t="str">
        <f t="shared" ref="C4871:C4895" si="281">"213"</f>
        <v>213</v>
      </c>
      <c r="D4871" t="str">
        <f>"22"</f>
        <v>22</v>
      </c>
      <c r="E4871" t="str">
        <f>"1-213-22"</f>
        <v>1-213-22</v>
      </c>
      <c r="F4871" t="s">
        <v>83</v>
      </c>
      <c r="G4871" t="s">
        <v>86</v>
      </c>
      <c r="H4871" t="s">
        <v>87</v>
      </c>
      <c r="AC4871">
        <v>1</v>
      </c>
      <c r="AD4871">
        <v>0</v>
      </c>
      <c r="AE4871">
        <v>0</v>
      </c>
      <c r="AF4871">
        <v>0</v>
      </c>
      <c r="AH4871">
        <v>1</v>
      </c>
      <c r="AI4871">
        <v>0</v>
      </c>
      <c r="AJ4871">
        <v>1</v>
      </c>
      <c r="AK4871">
        <v>0</v>
      </c>
      <c r="AL4871">
        <v>0</v>
      </c>
      <c r="AM4871">
        <v>0</v>
      </c>
      <c r="AN4871">
        <v>1</v>
      </c>
      <c r="AO4871">
        <v>1</v>
      </c>
      <c r="AP4871">
        <v>1</v>
      </c>
      <c r="AQ4871">
        <v>1</v>
      </c>
      <c r="AU4871">
        <v>0</v>
      </c>
      <c r="AV4871">
        <v>1</v>
      </c>
      <c r="AW4871">
        <v>1</v>
      </c>
    </row>
    <row r="4872" spans="1:49" x14ac:dyDescent="0.25">
      <c r="A4872" t="str">
        <f>"4868"</f>
        <v>4868</v>
      </c>
      <c r="B4872" t="str">
        <f t="shared" si="279"/>
        <v>1</v>
      </c>
      <c r="C4872" t="str">
        <f t="shared" si="281"/>
        <v>213</v>
      </c>
      <c r="D4872" t="str">
        <f>"21"</f>
        <v>21</v>
      </c>
      <c r="E4872" t="str">
        <f>"1-213-21"</f>
        <v>1-213-21</v>
      </c>
      <c r="F4872" t="s">
        <v>83</v>
      </c>
      <c r="G4872" t="s">
        <v>86</v>
      </c>
      <c r="H4872" t="s">
        <v>87</v>
      </c>
      <c r="AC4872">
        <v>0</v>
      </c>
      <c r="AD4872">
        <v>1</v>
      </c>
      <c r="AE4872">
        <v>0</v>
      </c>
      <c r="AF4872">
        <v>0</v>
      </c>
      <c r="AH4872">
        <v>1</v>
      </c>
      <c r="AI4872">
        <v>0</v>
      </c>
      <c r="AJ4872">
        <v>1</v>
      </c>
      <c r="AK4872">
        <v>0</v>
      </c>
      <c r="AL4872">
        <v>1</v>
      </c>
      <c r="AM4872">
        <v>0</v>
      </c>
      <c r="AN4872">
        <v>0</v>
      </c>
      <c r="AO4872">
        <v>0</v>
      </c>
      <c r="AP4872">
        <v>0</v>
      </c>
      <c r="AQ4872">
        <v>0</v>
      </c>
      <c r="AU4872">
        <v>0</v>
      </c>
      <c r="AV4872">
        <v>0</v>
      </c>
      <c r="AW4872">
        <v>0</v>
      </c>
    </row>
    <row r="4873" spans="1:49" x14ac:dyDescent="0.25">
      <c r="A4873" t="str">
        <f>"4869"</f>
        <v>4869</v>
      </c>
      <c r="B4873" t="str">
        <f t="shared" si="279"/>
        <v>1</v>
      </c>
      <c r="C4873" t="str">
        <f t="shared" si="281"/>
        <v>213</v>
      </c>
      <c r="D4873" t="str">
        <f>"16"</f>
        <v>16</v>
      </c>
      <c r="E4873" t="str">
        <f>"1-213-16"</f>
        <v>1-213-16</v>
      </c>
      <c r="F4873" t="s">
        <v>83</v>
      </c>
      <c r="G4873" t="s">
        <v>86</v>
      </c>
      <c r="H4873" t="s">
        <v>87</v>
      </c>
      <c r="AC4873">
        <v>1</v>
      </c>
      <c r="AD4873">
        <v>0</v>
      </c>
      <c r="AE4873">
        <v>0</v>
      </c>
      <c r="AF4873">
        <v>0</v>
      </c>
      <c r="AH4873">
        <v>1</v>
      </c>
      <c r="AI4873">
        <v>0</v>
      </c>
      <c r="AJ4873">
        <v>0</v>
      </c>
      <c r="AK4873">
        <v>1</v>
      </c>
      <c r="AL4873">
        <v>0</v>
      </c>
      <c r="AM4873">
        <v>0</v>
      </c>
      <c r="AN4873">
        <v>1</v>
      </c>
      <c r="AO4873">
        <v>0</v>
      </c>
      <c r="AP4873">
        <v>0</v>
      </c>
      <c r="AQ4873">
        <v>0</v>
      </c>
      <c r="AU4873">
        <v>0</v>
      </c>
      <c r="AV4873">
        <v>0</v>
      </c>
      <c r="AW4873">
        <v>0</v>
      </c>
    </row>
    <row r="4874" spans="1:49" x14ac:dyDescent="0.25">
      <c r="A4874" t="str">
        <f>"4870"</f>
        <v>4870</v>
      </c>
      <c r="B4874" t="str">
        <f t="shared" si="279"/>
        <v>1</v>
      </c>
      <c r="C4874" t="str">
        <f t="shared" si="281"/>
        <v>213</v>
      </c>
      <c r="D4874" t="str">
        <f>"8"</f>
        <v>8</v>
      </c>
      <c r="E4874" t="str">
        <f>"1-213-8"</f>
        <v>1-213-8</v>
      </c>
      <c r="F4874" t="s">
        <v>83</v>
      </c>
      <c r="G4874" t="s">
        <v>84</v>
      </c>
      <c r="H4874" t="s">
        <v>85</v>
      </c>
      <c r="AC4874">
        <v>0</v>
      </c>
      <c r="AD4874">
        <v>1</v>
      </c>
      <c r="AE4874">
        <v>0</v>
      </c>
      <c r="AF4874">
        <v>0</v>
      </c>
      <c r="AG4874">
        <v>1</v>
      </c>
      <c r="AJ4874">
        <v>1</v>
      </c>
      <c r="AK4874">
        <v>0</v>
      </c>
      <c r="AL4874">
        <v>0</v>
      </c>
      <c r="AM4874">
        <v>0</v>
      </c>
      <c r="AN4874">
        <v>1</v>
      </c>
      <c r="AO4874">
        <v>1</v>
      </c>
      <c r="AP4874">
        <v>1</v>
      </c>
      <c r="AQ4874">
        <v>1</v>
      </c>
      <c r="AR4874">
        <v>1</v>
      </c>
      <c r="AS4874">
        <v>1</v>
      </c>
      <c r="AT4874">
        <v>0</v>
      </c>
      <c r="AV4874">
        <v>1</v>
      </c>
      <c r="AW4874">
        <v>1</v>
      </c>
    </row>
    <row r="4875" spans="1:49" x14ac:dyDescent="0.25">
      <c r="A4875" t="str">
        <f>"4871"</f>
        <v>4871</v>
      </c>
      <c r="B4875" t="str">
        <f t="shared" si="279"/>
        <v>1</v>
      </c>
      <c r="C4875" t="str">
        <f t="shared" si="281"/>
        <v>213</v>
      </c>
      <c r="D4875" t="str">
        <f>"6"</f>
        <v>6</v>
      </c>
      <c r="E4875" t="str">
        <f>"1-213-6"</f>
        <v>1-213-6</v>
      </c>
      <c r="F4875" t="s">
        <v>83</v>
      </c>
      <c r="G4875" t="s">
        <v>86</v>
      </c>
      <c r="H4875" t="s">
        <v>87</v>
      </c>
      <c r="AC4875">
        <v>0</v>
      </c>
      <c r="AD4875">
        <v>1</v>
      </c>
      <c r="AE4875">
        <v>0</v>
      </c>
      <c r="AF4875">
        <v>0</v>
      </c>
      <c r="AH4875">
        <v>1</v>
      </c>
      <c r="AI4875">
        <v>0</v>
      </c>
      <c r="AJ4875">
        <v>0</v>
      </c>
      <c r="AK4875">
        <v>0</v>
      </c>
      <c r="AL4875">
        <v>1</v>
      </c>
      <c r="AM4875">
        <v>0</v>
      </c>
      <c r="AN4875">
        <v>0</v>
      </c>
      <c r="AO4875">
        <v>0</v>
      </c>
      <c r="AP4875">
        <v>0</v>
      </c>
      <c r="AQ4875">
        <v>0</v>
      </c>
      <c r="AU4875">
        <v>1</v>
      </c>
      <c r="AV4875">
        <v>0</v>
      </c>
      <c r="AW4875">
        <v>0</v>
      </c>
    </row>
    <row r="4876" spans="1:49" x14ac:dyDescent="0.25">
      <c r="A4876" t="str">
        <f>"4872"</f>
        <v>4872</v>
      </c>
      <c r="B4876" t="str">
        <f t="shared" si="279"/>
        <v>1</v>
      </c>
      <c r="C4876" t="str">
        <f t="shared" si="281"/>
        <v>213</v>
      </c>
      <c r="D4876" t="str">
        <f>"24"</f>
        <v>24</v>
      </c>
      <c r="E4876" t="str">
        <f>"1-213-24"</f>
        <v>1-213-24</v>
      </c>
      <c r="F4876" t="s">
        <v>83</v>
      </c>
      <c r="G4876" t="s">
        <v>86</v>
      </c>
      <c r="H4876" t="s">
        <v>87</v>
      </c>
      <c r="AC4876">
        <v>1</v>
      </c>
      <c r="AD4876">
        <v>0</v>
      </c>
      <c r="AE4876">
        <v>0</v>
      </c>
      <c r="AF4876">
        <v>0</v>
      </c>
      <c r="AH4876">
        <v>1</v>
      </c>
      <c r="AI4876">
        <v>0</v>
      </c>
      <c r="AJ4876">
        <v>1</v>
      </c>
      <c r="AK4876">
        <v>0</v>
      </c>
      <c r="AL4876">
        <v>1</v>
      </c>
      <c r="AM4876">
        <v>0</v>
      </c>
      <c r="AN4876">
        <v>0</v>
      </c>
      <c r="AO4876">
        <v>1</v>
      </c>
      <c r="AP4876">
        <v>1</v>
      </c>
      <c r="AQ4876">
        <v>1</v>
      </c>
      <c r="AU4876">
        <v>1</v>
      </c>
      <c r="AV4876">
        <v>1</v>
      </c>
      <c r="AW4876">
        <v>1</v>
      </c>
    </row>
    <row r="4877" spans="1:49" x14ac:dyDescent="0.25">
      <c r="A4877" t="str">
        <f>"4873"</f>
        <v>4873</v>
      </c>
      <c r="B4877" t="str">
        <f t="shared" si="279"/>
        <v>1</v>
      </c>
      <c r="C4877" t="str">
        <f t="shared" si="281"/>
        <v>213</v>
      </c>
      <c r="D4877" t="str">
        <f>"23"</f>
        <v>23</v>
      </c>
      <c r="E4877" t="str">
        <f>"1-213-23"</f>
        <v>1-213-23</v>
      </c>
      <c r="F4877" t="s">
        <v>83</v>
      </c>
      <c r="G4877" t="s">
        <v>86</v>
      </c>
      <c r="H4877" t="s">
        <v>87</v>
      </c>
      <c r="AC4877">
        <v>1</v>
      </c>
      <c r="AD4877">
        <v>0</v>
      </c>
      <c r="AE4877">
        <v>0</v>
      </c>
      <c r="AF4877">
        <v>0</v>
      </c>
      <c r="AH4877">
        <v>1</v>
      </c>
      <c r="AI4877">
        <v>0</v>
      </c>
      <c r="AJ4877">
        <v>1</v>
      </c>
      <c r="AK4877">
        <v>0</v>
      </c>
      <c r="AL4877">
        <v>0</v>
      </c>
      <c r="AM4877">
        <v>1</v>
      </c>
      <c r="AN4877">
        <v>0</v>
      </c>
      <c r="AO4877">
        <v>1</v>
      </c>
      <c r="AP4877">
        <v>1</v>
      </c>
      <c r="AQ4877">
        <v>1</v>
      </c>
      <c r="AU4877">
        <v>1</v>
      </c>
      <c r="AV4877">
        <v>1</v>
      </c>
      <c r="AW4877">
        <v>1</v>
      </c>
    </row>
    <row r="4878" spans="1:49" x14ac:dyDescent="0.25">
      <c r="A4878" t="str">
        <f>"4874"</f>
        <v>4874</v>
      </c>
      <c r="B4878" t="str">
        <f t="shared" si="279"/>
        <v>1</v>
      </c>
      <c r="C4878" t="str">
        <f t="shared" si="281"/>
        <v>213</v>
      </c>
      <c r="D4878" t="str">
        <f>"15"</f>
        <v>15</v>
      </c>
      <c r="E4878" t="str">
        <f>"1-213-15"</f>
        <v>1-213-15</v>
      </c>
      <c r="F4878" t="s">
        <v>83</v>
      </c>
      <c r="G4878" t="s">
        <v>86</v>
      </c>
      <c r="H4878" t="s">
        <v>87</v>
      </c>
      <c r="AC4878">
        <v>1</v>
      </c>
      <c r="AD4878">
        <v>0</v>
      </c>
      <c r="AE4878">
        <v>0</v>
      </c>
      <c r="AF4878">
        <v>0</v>
      </c>
      <c r="AH4878">
        <v>1</v>
      </c>
      <c r="AI4878">
        <v>0</v>
      </c>
      <c r="AJ4878">
        <v>1</v>
      </c>
      <c r="AK4878">
        <v>0</v>
      </c>
      <c r="AL4878">
        <v>1</v>
      </c>
      <c r="AM4878">
        <v>0</v>
      </c>
      <c r="AN4878">
        <v>0</v>
      </c>
      <c r="AO4878">
        <v>0</v>
      </c>
      <c r="AP4878">
        <v>0</v>
      </c>
      <c r="AQ4878">
        <v>0</v>
      </c>
      <c r="AU4878">
        <v>1</v>
      </c>
      <c r="AV4878">
        <v>0</v>
      </c>
      <c r="AW4878">
        <v>0</v>
      </c>
    </row>
    <row r="4879" spans="1:49" x14ac:dyDescent="0.25">
      <c r="A4879" t="str">
        <f>"4875"</f>
        <v>4875</v>
      </c>
      <c r="B4879" t="str">
        <f t="shared" si="279"/>
        <v>1</v>
      </c>
      <c r="C4879" t="str">
        <f t="shared" si="281"/>
        <v>213</v>
      </c>
      <c r="D4879" t="str">
        <f>"3"</f>
        <v>3</v>
      </c>
      <c r="E4879" t="str">
        <f>"1-213-3"</f>
        <v>1-213-3</v>
      </c>
      <c r="F4879" t="s">
        <v>83</v>
      </c>
      <c r="G4879" t="s">
        <v>86</v>
      </c>
      <c r="H4879" t="s">
        <v>87</v>
      </c>
      <c r="AC4879">
        <v>0</v>
      </c>
      <c r="AD4879">
        <v>0</v>
      </c>
      <c r="AE4879">
        <v>0</v>
      </c>
      <c r="AF4879">
        <v>0</v>
      </c>
      <c r="AH4879">
        <v>0</v>
      </c>
      <c r="AI4879">
        <v>1</v>
      </c>
      <c r="AJ4879">
        <v>0</v>
      </c>
      <c r="AK4879">
        <v>1</v>
      </c>
      <c r="AL4879">
        <v>0</v>
      </c>
      <c r="AM4879">
        <v>0</v>
      </c>
      <c r="AN4879">
        <v>1</v>
      </c>
      <c r="AO4879">
        <v>1</v>
      </c>
      <c r="AP4879">
        <v>1</v>
      </c>
      <c r="AQ4879">
        <v>1</v>
      </c>
      <c r="AU4879">
        <v>1</v>
      </c>
      <c r="AV4879">
        <v>1</v>
      </c>
      <c r="AW4879">
        <v>1</v>
      </c>
    </row>
    <row r="4880" spans="1:49" x14ac:dyDescent="0.25">
      <c r="A4880" t="str">
        <f>"4876"</f>
        <v>4876</v>
      </c>
      <c r="B4880" t="str">
        <f t="shared" si="279"/>
        <v>1</v>
      </c>
      <c r="C4880" t="str">
        <f t="shared" si="281"/>
        <v>213</v>
      </c>
      <c r="D4880" t="str">
        <f>"18"</f>
        <v>18</v>
      </c>
      <c r="E4880" t="str">
        <f>"1-213-18"</f>
        <v>1-213-18</v>
      </c>
      <c r="F4880" t="s">
        <v>83</v>
      </c>
      <c r="G4880" t="s">
        <v>86</v>
      </c>
      <c r="H4880" t="s">
        <v>87</v>
      </c>
      <c r="AC4880">
        <v>1</v>
      </c>
      <c r="AD4880">
        <v>0</v>
      </c>
      <c r="AE4880">
        <v>0</v>
      </c>
      <c r="AF4880">
        <v>0</v>
      </c>
      <c r="AH4880">
        <v>1</v>
      </c>
      <c r="AI4880">
        <v>0</v>
      </c>
      <c r="AJ4880">
        <v>1</v>
      </c>
      <c r="AK4880">
        <v>0</v>
      </c>
      <c r="AL4880">
        <v>1</v>
      </c>
      <c r="AM4880">
        <v>0</v>
      </c>
      <c r="AN4880">
        <v>0</v>
      </c>
      <c r="AO4880">
        <v>1</v>
      </c>
      <c r="AP4880">
        <v>1</v>
      </c>
      <c r="AQ4880">
        <v>1</v>
      </c>
      <c r="AU4880">
        <v>1</v>
      </c>
      <c r="AV4880">
        <v>1</v>
      </c>
      <c r="AW4880">
        <v>1</v>
      </c>
    </row>
    <row r="4881" spans="1:49" x14ac:dyDescent="0.25">
      <c r="A4881" t="str">
        <f>"4877"</f>
        <v>4877</v>
      </c>
      <c r="B4881" t="str">
        <f t="shared" si="279"/>
        <v>1</v>
      </c>
      <c r="C4881" t="str">
        <f t="shared" si="281"/>
        <v>213</v>
      </c>
      <c r="D4881" t="str">
        <f>"10"</f>
        <v>10</v>
      </c>
      <c r="E4881" t="str">
        <f>"1-213-10"</f>
        <v>1-213-10</v>
      </c>
      <c r="F4881" t="s">
        <v>83</v>
      </c>
      <c r="G4881" t="s">
        <v>84</v>
      </c>
      <c r="H4881" t="s">
        <v>85</v>
      </c>
      <c r="AC4881">
        <v>1</v>
      </c>
      <c r="AD4881">
        <v>0</v>
      </c>
      <c r="AE4881">
        <v>0</v>
      </c>
      <c r="AF4881">
        <v>0</v>
      </c>
      <c r="AG4881">
        <v>1</v>
      </c>
      <c r="AJ4881">
        <v>0</v>
      </c>
      <c r="AK4881">
        <v>1</v>
      </c>
      <c r="AL4881">
        <v>1</v>
      </c>
      <c r="AM4881">
        <v>0</v>
      </c>
      <c r="AN4881">
        <v>0</v>
      </c>
      <c r="AO4881">
        <v>1</v>
      </c>
      <c r="AP4881">
        <v>1</v>
      </c>
      <c r="AQ4881">
        <v>0</v>
      </c>
      <c r="AR4881">
        <v>0</v>
      </c>
      <c r="AS4881">
        <v>1</v>
      </c>
      <c r="AT4881">
        <v>0</v>
      </c>
      <c r="AV4881">
        <v>0</v>
      </c>
      <c r="AW4881">
        <v>1</v>
      </c>
    </row>
    <row r="4882" spans="1:49" x14ac:dyDescent="0.25">
      <c r="A4882" t="str">
        <f>"4878"</f>
        <v>4878</v>
      </c>
      <c r="B4882" t="str">
        <f t="shared" si="279"/>
        <v>1</v>
      </c>
      <c r="C4882" t="str">
        <f t="shared" si="281"/>
        <v>213</v>
      </c>
      <c r="D4882" t="str">
        <f>"5"</f>
        <v>5</v>
      </c>
      <c r="E4882" t="str">
        <f>"1-213-5"</f>
        <v>1-213-5</v>
      </c>
      <c r="F4882" t="s">
        <v>83</v>
      </c>
      <c r="G4882" t="s">
        <v>86</v>
      </c>
      <c r="H4882" t="s">
        <v>87</v>
      </c>
      <c r="AC4882">
        <v>1</v>
      </c>
      <c r="AD4882">
        <v>0</v>
      </c>
      <c r="AE4882">
        <v>0</v>
      </c>
      <c r="AF4882">
        <v>0</v>
      </c>
      <c r="AH4882">
        <v>1</v>
      </c>
      <c r="AI4882">
        <v>0</v>
      </c>
      <c r="AJ4882">
        <v>0</v>
      </c>
      <c r="AK4882">
        <v>1</v>
      </c>
      <c r="AL4882">
        <v>1</v>
      </c>
      <c r="AM4882">
        <v>0</v>
      </c>
      <c r="AN4882">
        <v>0</v>
      </c>
      <c r="AO4882">
        <v>1</v>
      </c>
      <c r="AP4882">
        <v>1</v>
      </c>
      <c r="AQ4882">
        <v>1</v>
      </c>
      <c r="AU4882">
        <v>1</v>
      </c>
      <c r="AV4882">
        <v>1</v>
      </c>
      <c r="AW4882">
        <v>1</v>
      </c>
    </row>
    <row r="4883" spans="1:49" x14ac:dyDescent="0.25">
      <c r="A4883" t="str">
        <f>"4879"</f>
        <v>4879</v>
      </c>
      <c r="B4883" t="str">
        <f t="shared" si="279"/>
        <v>1</v>
      </c>
      <c r="C4883" t="str">
        <f t="shared" si="281"/>
        <v>213</v>
      </c>
      <c r="D4883" t="str">
        <f>"25"</f>
        <v>25</v>
      </c>
      <c r="E4883" t="str">
        <f>"1-213-25"</f>
        <v>1-213-25</v>
      </c>
      <c r="F4883" t="s">
        <v>83</v>
      </c>
      <c r="G4883" t="s">
        <v>86</v>
      </c>
      <c r="H4883" t="s">
        <v>87</v>
      </c>
      <c r="AC4883">
        <v>0</v>
      </c>
      <c r="AD4883">
        <v>1</v>
      </c>
      <c r="AE4883">
        <v>0</v>
      </c>
      <c r="AF4883">
        <v>0</v>
      </c>
      <c r="AH4883">
        <v>1</v>
      </c>
      <c r="AI4883">
        <v>0</v>
      </c>
      <c r="AJ4883">
        <v>1</v>
      </c>
      <c r="AK4883">
        <v>0</v>
      </c>
      <c r="AL4883">
        <v>1</v>
      </c>
      <c r="AM4883">
        <v>0</v>
      </c>
      <c r="AN4883">
        <v>0</v>
      </c>
      <c r="AO4883">
        <v>0</v>
      </c>
      <c r="AP4883">
        <v>0</v>
      </c>
      <c r="AQ4883">
        <v>0</v>
      </c>
      <c r="AU4883">
        <v>1</v>
      </c>
      <c r="AV4883">
        <v>0</v>
      </c>
      <c r="AW4883">
        <v>0</v>
      </c>
    </row>
    <row r="4884" spans="1:49" x14ac:dyDescent="0.25">
      <c r="A4884" t="str">
        <f>"4880"</f>
        <v>4880</v>
      </c>
      <c r="B4884" t="str">
        <f t="shared" si="279"/>
        <v>1</v>
      </c>
      <c r="C4884" t="str">
        <f t="shared" si="281"/>
        <v>213</v>
      </c>
      <c r="D4884" t="str">
        <f>"17"</f>
        <v>17</v>
      </c>
      <c r="E4884" t="str">
        <f>"1-213-17"</f>
        <v>1-213-17</v>
      </c>
      <c r="F4884" t="s">
        <v>83</v>
      </c>
      <c r="G4884" t="s">
        <v>86</v>
      </c>
      <c r="H4884" t="s">
        <v>87</v>
      </c>
      <c r="AC4884">
        <v>1</v>
      </c>
      <c r="AD4884">
        <v>0</v>
      </c>
      <c r="AE4884">
        <v>0</v>
      </c>
      <c r="AF4884">
        <v>0</v>
      </c>
      <c r="AH4884">
        <v>1</v>
      </c>
      <c r="AI4884">
        <v>0</v>
      </c>
      <c r="AJ4884">
        <v>1</v>
      </c>
      <c r="AK4884">
        <v>0</v>
      </c>
      <c r="AL4884">
        <v>1</v>
      </c>
      <c r="AM4884">
        <v>0</v>
      </c>
      <c r="AN4884">
        <v>0</v>
      </c>
      <c r="AO4884">
        <v>1</v>
      </c>
      <c r="AP4884">
        <v>1</v>
      </c>
      <c r="AQ4884">
        <v>1</v>
      </c>
      <c r="AU4884">
        <v>1</v>
      </c>
      <c r="AV4884">
        <v>1</v>
      </c>
      <c r="AW4884">
        <v>1</v>
      </c>
    </row>
    <row r="4885" spans="1:49" x14ac:dyDescent="0.25">
      <c r="A4885" t="str">
        <f>"4881"</f>
        <v>4881</v>
      </c>
      <c r="B4885" t="str">
        <f t="shared" si="279"/>
        <v>1</v>
      </c>
      <c r="C4885" t="str">
        <f t="shared" si="281"/>
        <v>213</v>
      </c>
      <c r="D4885" t="str">
        <f>"11"</f>
        <v>11</v>
      </c>
      <c r="E4885" t="str">
        <f>"1-213-11"</f>
        <v>1-213-11</v>
      </c>
      <c r="F4885" t="s">
        <v>83</v>
      </c>
      <c r="G4885" t="s">
        <v>84</v>
      </c>
      <c r="H4885" t="s">
        <v>85</v>
      </c>
      <c r="AC4885">
        <v>1</v>
      </c>
      <c r="AD4885">
        <v>0</v>
      </c>
      <c r="AE4885">
        <v>0</v>
      </c>
      <c r="AF4885">
        <v>0</v>
      </c>
      <c r="AG4885">
        <v>1</v>
      </c>
      <c r="AJ4885">
        <v>1</v>
      </c>
      <c r="AK4885">
        <v>0</v>
      </c>
      <c r="AL4885">
        <v>0</v>
      </c>
      <c r="AM4885">
        <v>1</v>
      </c>
      <c r="AN4885">
        <v>0</v>
      </c>
      <c r="AO4885">
        <v>1</v>
      </c>
      <c r="AP4885">
        <v>1</v>
      </c>
      <c r="AQ4885">
        <v>1</v>
      </c>
      <c r="AR4885">
        <v>1</v>
      </c>
      <c r="AS4885">
        <v>0</v>
      </c>
      <c r="AT4885">
        <v>1</v>
      </c>
      <c r="AV4885">
        <v>1</v>
      </c>
      <c r="AW4885">
        <v>1</v>
      </c>
    </row>
    <row r="4886" spans="1:49" x14ac:dyDescent="0.25">
      <c r="A4886" t="str">
        <f>"4882"</f>
        <v>4882</v>
      </c>
      <c r="B4886" t="str">
        <f t="shared" si="279"/>
        <v>1</v>
      </c>
      <c r="C4886" t="str">
        <f t="shared" si="281"/>
        <v>213</v>
      </c>
      <c r="D4886" t="str">
        <f>"7"</f>
        <v>7</v>
      </c>
      <c r="E4886" t="str">
        <f>"1-213-7"</f>
        <v>1-213-7</v>
      </c>
      <c r="F4886" t="s">
        <v>83</v>
      </c>
      <c r="G4886" t="s">
        <v>84</v>
      </c>
      <c r="H4886" t="s">
        <v>85</v>
      </c>
      <c r="AC4886">
        <v>0</v>
      </c>
      <c r="AD4886">
        <v>1</v>
      </c>
      <c r="AE4886">
        <v>0</v>
      </c>
      <c r="AF4886">
        <v>0</v>
      </c>
      <c r="AG4886">
        <v>1</v>
      </c>
      <c r="AJ4886">
        <v>1</v>
      </c>
      <c r="AK4886">
        <v>0</v>
      </c>
      <c r="AL4886">
        <v>0</v>
      </c>
      <c r="AM4886">
        <v>0</v>
      </c>
      <c r="AN4886">
        <v>1</v>
      </c>
      <c r="AO4886">
        <v>1</v>
      </c>
      <c r="AP4886">
        <v>1</v>
      </c>
      <c r="AQ4886">
        <v>1</v>
      </c>
      <c r="AR4886">
        <v>1</v>
      </c>
      <c r="AS4886">
        <v>1</v>
      </c>
      <c r="AT4886">
        <v>0</v>
      </c>
      <c r="AV4886">
        <v>1</v>
      </c>
      <c r="AW4886">
        <v>1</v>
      </c>
    </row>
    <row r="4887" spans="1:49" x14ac:dyDescent="0.25">
      <c r="A4887" t="str">
        <f>"4883"</f>
        <v>4883</v>
      </c>
      <c r="B4887" t="str">
        <f t="shared" si="279"/>
        <v>1</v>
      </c>
      <c r="C4887" t="str">
        <f t="shared" si="281"/>
        <v>213</v>
      </c>
      <c r="D4887" t="str">
        <f>"19"</f>
        <v>19</v>
      </c>
      <c r="E4887" t="str">
        <f>"1-213-19"</f>
        <v>1-213-19</v>
      </c>
      <c r="F4887" t="s">
        <v>83</v>
      </c>
      <c r="G4887" t="s">
        <v>86</v>
      </c>
      <c r="H4887" t="s">
        <v>87</v>
      </c>
      <c r="AC4887">
        <v>0</v>
      </c>
      <c r="AD4887">
        <v>1</v>
      </c>
      <c r="AE4887">
        <v>0</v>
      </c>
      <c r="AF4887">
        <v>0</v>
      </c>
      <c r="AH4887">
        <v>1</v>
      </c>
      <c r="AI4887">
        <v>0</v>
      </c>
      <c r="AJ4887">
        <v>0</v>
      </c>
      <c r="AK4887">
        <v>1</v>
      </c>
      <c r="AL4887">
        <v>0</v>
      </c>
      <c r="AM4887">
        <v>0</v>
      </c>
      <c r="AN4887">
        <v>1</v>
      </c>
      <c r="AO4887">
        <v>1</v>
      </c>
      <c r="AP4887">
        <v>1</v>
      </c>
      <c r="AQ4887">
        <v>1</v>
      </c>
      <c r="AU4887">
        <v>1</v>
      </c>
      <c r="AV4887">
        <v>1</v>
      </c>
      <c r="AW4887">
        <v>1</v>
      </c>
    </row>
    <row r="4888" spans="1:49" x14ac:dyDescent="0.25">
      <c r="A4888" t="str">
        <f>"4884"</f>
        <v>4884</v>
      </c>
      <c r="B4888" t="str">
        <f t="shared" si="279"/>
        <v>1</v>
      </c>
      <c r="C4888" t="str">
        <f t="shared" si="281"/>
        <v>213</v>
      </c>
      <c r="D4888" t="str">
        <f>"12"</f>
        <v>12</v>
      </c>
      <c r="E4888" t="str">
        <f>"1-213-12"</f>
        <v>1-213-12</v>
      </c>
      <c r="F4888" t="s">
        <v>83</v>
      </c>
      <c r="G4888" t="s">
        <v>86</v>
      </c>
      <c r="H4888" t="s">
        <v>87</v>
      </c>
      <c r="AC4888">
        <v>0</v>
      </c>
      <c r="AD4888">
        <v>1</v>
      </c>
      <c r="AE4888">
        <v>0</v>
      </c>
      <c r="AF4888">
        <v>0</v>
      </c>
      <c r="AH4888">
        <v>0</v>
      </c>
      <c r="AI4888">
        <v>1</v>
      </c>
      <c r="AJ4888">
        <v>0</v>
      </c>
      <c r="AK4888">
        <v>0</v>
      </c>
      <c r="AL4888">
        <v>0</v>
      </c>
      <c r="AM4888">
        <v>0</v>
      </c>
      <c r="AN4888">
        <v>1</v>
      </c>
      <c r="AO4888">
        <v>0</v>
      </c>
      <c r="AP4888">
        <v>0</v>
      </c>
      <c r="AQ4888">
        <v>0</v>
      </c>
      <c r="AU4888">
        <v>0</v>
      </c>
      <c r="AV4888">
        <v>0</v>
      </c>
      <c r="AW4888">
        <v>0</v>
      </c>
    </row>
    <row r="4889" spans="1:49" x14ac:dyDescent="0.25">
      <c r="A4889" t="str">
        <f>"4885"</f>
        <v>4885</v>
      </c>
      <c r="B4889" t="str">
        <f t="shared" si="279"/>
        <v>1</v>
      </c>
      <c r="C4889" t="str">
        <f t="shared" si="281"/>
        <v>213</v>
      </c>
      <c r="D4889" t="str">
        <f>"2"</f>
        <v>2</v>
      </c>
      <c r="E4889" t="str">
        <f>"1-213-2"</f>
        <v>1-213-2</v>
      </c>
      <c r="F4889" t="s">
        <v>83</v>
      </c>
      <c r="G4889" t="s">
        <v>86</v>
      </c>
      <c r="H4889" t="s">
        <v>87</v>
      </c>
      <c r="AC4889">
        <v>0</v>
      </c>
      <c r="AD4889">
        <v>1</v>
      </c>
      <c r="AE4889">
        <v>0</v>
      </c>
      <c r="AF4889">
        <v>0</v>
      </c>
      <c r="AH4889">
        <v>0</v>
      </c>
      <c r="AI4889">
        <v>1</v>
      </c>
      <c r="AJ4889">
        <v>0</v>
      </c>
      <c r="AK4889">
        <v>0</v>
      </c>
      <c r="AL4889">
        <v>0</v>
      </c>
      <c r="AM4889">
        <v>0</v>
      </c>
      <c r="AN4889">
        <v>1</v>
      </c>
      <c r="AO4889">
        <v>0</v>
      </c>
      <c r="AP4889">
        <v>0</v>
      </c>
      <c r="AQ4889">
        <v>0</v>
      </c>
      <c r="AU4889">
        <v>0</v>
      </c>
      <c r="AV4889">
        <v>0</v>
      </c>
      <c r="AW4889">
        <v>0</v>
      </c>
    </row>
    <row r="4890" spans="1:49" x14ac:dyDescent="0.25">
      <c r="A4890" t="str">
        <f>"4886"</f>
        <v>4886</v>
      </c>
      <c r="B4890" t="str">
        <f t="shared" si="279"/>
        <v>1</v>
      </c>
      <c r="C4890" t="str">
        <f t="shared" si="281"/>
        <v>213</v>
      </c>
      <c r="D4890" t="str">
        <f>"20"</f>
        <v>20</v>
      </c>
      <c r="E4890" t="str">
        <f>"1-213-20"</f>
        <v>1-213-20</v>
      </c>
      <c r="F4890" t="s">
        <v>83</v>
      </c>
      <c r="G4890" t="s">
        <v>86</v>
      </c>
      <c r="H4890" t="s">
        <v>87</v>
      </c>
      <c r="AC4890">
        <v>1</v>
      </c>
      <c r="AD4890">
        <v>0</v>
      </c>
      <c r="AE4890">
        <v>0</v>
      </c>
      <c r="AF4890">
        <v>0</v>
      </c>
      <c r="AH4890">
        <v>1</v>
      </c>
      <c r="AI4890">
        <v>0</v>
      </c>
      <c r="AJ4890">
        <v>1</v>
      </c>
      <c r="AK4890">
        <v>0</v>
      </c>
      <c r="AL4890">
        <v>1</v>
      </c>
      <c r="AM4890">
        <v>0</v>
      </c>
      <c r="AN4890">
        <v>0</v>
      </c>
      <c r="AO4890">
        <v>1</v>
      </c>
      <c r="AP4890">
        <v>1</v>
      </c>
      <c r="AQ4890">
        <v>1</v>
      </c>
      <c r="AU4890">
        <v>1</v>
      </c>
      <c r="AV4890">
        <v>1</v>
      </c>
      <c r="AW4890">
        <v>1</v>
      </c>
    </row>
    <row r="4891" spans="1:49" x14ac:dyDescent="0.25">
      <c r="A4891" t="str">
        <f>"4887"</f>
        <v>4887</v>
      </c>
      <c r="B4891" t="str">
        <f t="shared" si="279"/>
        <v>1</v>
      </c>
      <c r="C4891" t="str">
        <f t="shared" si="281"/>
        <v>213</v>
      </c>
      <c r="D4891" t="str">
        <f>"13"</f>
        <v>13</v>
      </c>
      <c r="E4891" t="str">
        <f>"1-213-13"</f>
        <v>1-213-13</v>
      </c>
      <c r="F4891" t="s">
        <v>83</v>
      </c>
      <c r="G4891" t="s">
        <v>86</v>
      </c>
      <c r="H4891" t="s">
        <v>87</v>
      </c>
      <c r="AC4891">
        <v>0</v>
      </c>
      <c r="AD4891">
        <v>1</v>
      </c>
      <c r="AE4891">
        <v>0</v>
      </c>
      <c r="AF4891">
        <v>0</v>
      </c>
      <c r="AH4891">
        <v>0</v>
      </c>
      <c r="AI4891">
        <v>1</v>
      </c>
      <c r="AJ4891">
        <v>0</v>
      </c>
      <c r="AK4891">
        <v>1</v>
      </c>
      <c r="AL4891">
        <v>0</v>
      </c>
      <c r="AM4891">
        <v>1</v>
      </c>
      <c r="AN4891">
        <v>0</v>
      </c>
      <c r="AO4891">
        <v>1</v>
      </c>
      <c r="AP4891">
        <v>1</v>
      </c>
      <c r="AQ4891">
        <v>1</v>
      </c>
      <c r="AU4891">
        <v>1</v>
      </c>
      <c r="AV4891">
        <v>1</v>
      </c>
      <c r="AW4891">
        <v>1</v>
      </c>
    </row>
    <row r="4892" spans="1:49" x14ac:dyDescent="0.25">
      <c r="A4892" t="str">
        <f>"4888"</f>
        <v>4888</v>
      </c>
      <c r="B4892" t="str">
        <f t="shared" si="279"/>
        <v>1</v>
      </c>
      <c r="C4892" t="str">
        <f t="shared" si="281"/>
        <v>213</v>
      </c>
      <c r="D4892" t="str">
        <f>"4"</f>
        <v>4</v>
      </c>
      <c r="E4892" t="str">
        <f>"1-213-4"</f>
        <v>1-213-4</v>
      </c>
      <c r="F4892" t="s">
        <v>83</v>
      </c>
      <c r="G4892" t="s">
        <v>86</v>
      </c>
      <c r="H4892" t="s">
        <v>87</v>
      </c>
      <c r="AC4892">
        <v>1</v>
      </c>
      <c r="AD4892">
        <v>0</v>
      </c>
      <c r="AE4892">
        <v>0</v>
      </c>
      <c r="AF4892">
        <v>0</v>
      </c>
      <c r="AH4892">
        <v>1</v>
      </c>
      <c r="AI4892">
        <v>0</v>
      </c>
      <c r="AJ4892">
        <v>1</v>
      </c>
      <c r="AK4892">
        <v>0</v>
      </c>
      <c r="AL4892">
        <v>0</v>
      </c>
      <c r="AM4892">
        <v>1</v>
      </c>
      <c r="AN4892">
        <v>0</v>
      </c>
      <c r="AO4892">
        <v>1</v>
      </c>
      <c r="AP4892">
        <v>1</v>
      </c>
      <c r="AQ4892">
        <v>1</v>
      </c>
      <c r="AU4892">
        <v>1</v>
      </c>
      <c r="AV4892">
        <v>1</v>
      </c>
      <c r="AW4892">
        <v>1</v>
      </c>
    </row>
    <row r="4893" spans="1:49" x14ac:dyDescent="0.25">
      <c r="A4893" t="str">
        <f>"4889"</f>
        <v>4889</v>
      </c>
      <c r="B4893" t="str">
        <f t="shared" si="279"/>
        <v>1</v>
      </c>
      <c r="C4893" t="str">
        <f t="shared" si="281"/>
        <v>213</v>
      </c>
      <c r="D4893" t="str">
        <f>"14"</f>
        <v>14</v>
      </c>
      <c r="E4893" t="str">
        <f>"1-213-14"</f>
        <v>1-213-14</v>
      </c>
      <c r="F4893" t="s">
        <v>83</v>
      </c>
      <c r="G4893" t="s">
        <v>86</v>
      </c>
      <c r="H4893" t="s">
        <v>87</v>
      </c>
      <c r="AC4893">
        <v>1</v>
      </c>
      <c r="AD4893">
        <v>0</v>
      </c>
      <c r="AE4893">
        <v>0</v>
      </c>
      <c r="AF4893">
        <v>0</v>
      </c>
      <c r="AH4893">
        <v>0</v>
      </c>
      <c r="AI4893">
        <v>1</v>
      </c>
      <c r="AJ4893">
        <v>0</v>
      </c>
      <c r="AK4893">
        <v>1</v>
      </c>
      <c r="AL4893">
        <v>0</v>
      </c>
      <c r="AM4893">
        <v>0</v>
      </c>
      <c r="AN4893">
        <v>1</v>
      </c>
      <c r="AO4893">
        <v>1</v>
      </c>
      <c r="AP4893">
        <v>1</v>
      </c>
      <c r="AQ4893">
        <v>1</v>
      </c>
      <c r="AU4893">
        <v>0</v>
      </c>
      <c r="AV4893">
        <v>1</v>
      </c>
      <c r="AW4893">
        <v>1</v>
      </c>
    </row>
    <row r="4894" spans="1:49" x14ac:dyDescent="0.25">
      <c r="A4894" t="str">
        <f>"4890"</f>
        <v>4890</v>
      </c>
      <c r="B4894" t="str">
        <f t="shared" ref="B4894:B4957" si="282">"1"</f>
        <v>1</v>
      </c>
      <c r="C4894" t="str">
        <f t="shared" si="281"/>
        <v>213</v>
      </c>
      <c r="D4894" t="str">
        <f>"1"</f>
        <v>1</v>
      </c>
      <c r="E4894" t="str">
        <f>"1-213-1"</f>
        <v>1-213-1</v>
      </c>
      <c r="F4894" t="s">
        <v>83</v>
      </c>
      <c r="G4894" t="s">
        <v>86</v>
      </c>
      <c r="H4894" t="s">
        <v>87</v>
      </c>
      <c r="AC4894">
        <v>1</v>
      </c>
      <c r="AD4894">
        <v>0</v>
      </c>
      <c r="AE4894">
        <v>0</v>
      </c>
      <c r="AF4894">
        <v>0</v>
      </c>
      <c r="AH4894">
        <v>1</v>
      </c>
      <c r="AI4894">
        <v>0</v>
      </c>
      <c r="AJ4894">
        <v>0</v>
      </c>
      <c r="AK4894">
        <v>1</v>
      </c>
      <c r="AL4894">
        <v>1</v>
      </c>
      <c r="AM4894">
        <v>0</v>
      </c>
      <c r="AN4894">
        <v>0</v>
      </c>
      <c r="AO4894">
        <v>1</v>
      </c>
      <c r="AP4894">
        <v>1</v>
      </c>
      <c r="AQ4894">
        <v>1</v>
      </c>
      <c r="AU4894">
        <v>1</v>
      </c>
      <c r="AV4894">
        <v>1</v>
      </c>
      <c r="AW4894">
        <v>1</v>
      </c>
    </row>
    <row r="4895" spans="1:49" x14ac:dyDescent="0.25">
      <c r="A4895" t="str">
        <f>"4891"</f>
        <v>4891</v>
      </c>
      <c r="B4895" t="str">
        <f t="shared" si="282"/>
        <v>1</v>
      </c>
      <c r="C4895" t="str">
        <f t="shared" si="281"/>
        <v>213</v>
      </c>
      <c r="D4895" t="str">
        <f>"9"</f>
        <v>9</v>
      </c>
      <c r="E4895" t="str">
        <f>"1-213-9"</f>
        <v>1-213-9</v>
      </c>
      <c r="F4895" t="s">
        <v>83</v>
      </c>
      <c r="G4895" t="s">
        <v>84</v>
      </c>
      <c r="H4895" t="s">
        <v>85</v>
      </c>
      <c r="AC4895">
        <v>0</v>
      </c>
      <c r="AD4895">
        <v>0</v>
      </c>
      <c r="AE4895">
        <v>0</v>
      </c>
      <c r="AF4895">
        <v>1</v>
      </c>
      <c r="AG4895">
        <v>0</v>
      </c>
      <c r="AJ4895">
        <v>1</v>
      </c>
      <c r="AK4895">
        <v>0</v>
      </c>
      <c r="AL4895">
        <v>0</v>
      </c>
      <c r="AM4895">
        <v>0</v>
      </c>
      <c r="AN4895">
        <v>1</v>
      </c>
      <c r="AO4895">
        <v>0</v>
      </c>
      <c r="AP4895">
        <v>0</v>
      </c>
      <c r="AQ4895">
        <v>0</v>
      </c>
      <c r="AR4895">
        <v>0</v>
      </c>
      <c r="AS4895">
        <v>0</v>
      </c>
      <c r="AT4895">
        <v>1</v>
      </c>
      <c r="AV4895">
        <v>0</v>
      </c>
      <c r="AW4895">
        <v>0</v>
      </c>
    </row>
    <row r="4896" spans="1:49" x14ac:dyDescent="0.25">
      <c r="A4896" t="str">
        <f>"4892"</f>
        <v>4892</v>
      </c>
      <c r="B4896" t="str">
        <f t="shared" si="282"/>
        <v>1</v>
      </c>
      <c r="C4896" t="str">
        <f t="shared" ref="C4896:C4918" si="283">"214"</f>
        <v>214</v>
      </c>
      <c r="D4896" t="str">
        <f>"22"</f>
        <v>22</v>
      </c>
      <c r="E4896" t="str">
        <f>"1-214-22"</f>
        <v>1-214-22</v>
      </c>
      <c r="F4896" t="s">
        <v>83</v>
      </c>
      <c r="G4896" t="s">
        <v>86</v>
      </c>
      <c r="H4896" t="s">
        <v>87</v>
      </c>
      <c r="AC4896">
        <v>1</v>
      </c>
      <c r="AD4896">
        <v>0</v>
      </c>
      <c r="AE4896">
        <v>0</v>
      </c>
      <c r="AF4896">
        <v>0</v>
      </c>
      <c r="AH4896">
        <v>0</v>
      </c>
      <c r="AI4896">
        <v>1</v>
      </c>
      <c r="AJ4896">
        <v>0</v>
      </c>
      <c r="AK4896">
        <v>1</v>
      </c>
      <c r="AL4896">
        <v>0</v>
      </c>
      <c r="AM4896">
        <v>1</v>
      </c>
      <c r="AN4896">
        <v>0</v>
      </c>
      <c r="AO4896">
        <v>0</v>
      </c>
      <c r="AP4896">
        <v>0</v>
      </c>
      <c r="AQ4896">
        <v>0</v>
      </c>
      <c r="AU4896">
        <v>0</v>
      </c>
      <c r="AV4896">
        <v>0</v>
      </c>
      <c r="AW4896">
        <v>0</v>
      </c>
    </row>
    <row r="4897" spans="1:49" x14ac:dyDescent="0.25">
      <c r="A4897" t="str">
        <f>"4893"</f>
        <v>4893</v>
      </c>
      <c r="B4897" t="str">
        <f t="shared" si="282"/>
        <v>1</v>
      </c>
      <c r="C4897" t="str">
        <f t="shared" si="283"/>
        <v>214</v>
      </c>
      <c r="D4897" t="str">
        <f>"21"</f>
        <v>21</v>
      </c>
      <c r="E4897" t="str">
        <f>"1-214-21"</f>
        <v>1-214-21</v>
      </c>
      <c r="F4897" t="s">
        <v>83</v>
      </c>
      <c r="G4897" t="s">
        <v>86</v>
      </c>
      <c r="H4897" t="s">
        <v>93</v>
      </c>
      <c r="I4897">
        <v>1</v>
      </c>
      <c r="K4897">
        <v>0</v>
      </c>
      <c r="L4897">
        <v>1</v>
      </c>
      <c r="M4897">
        <v>0</v>
      </c>
      <c r="N4897">
        <v>1</v>
      </c>
      <c r="O4897">
        <v>1</v>
      </c>
      <c r="P4897">
        <v>1</v>
      </c>
      <c r="Q4897">
        <v>1</v>
      </c>
      <c r="R4897">
        <v>1</v>
      </c>
      <c r="U4897">
        <v>1</v>
      </c>
      <c r="V4897">
        <v>0</v>
      </c>
      <c r="W4897">
        <v>1</v>
      </c>
      <c r="X4897">
        <v>0</v>
      </c>
      <c r="Y4897">
        <v>0</v>
      </c>
      <c r="Z4897">
        <v>0</v>
      </c>
      <c r="AA4897">
        <v>0</v>
      </c>
      <c r="AB4897">
        <v>0</v>
      </c>
    </row>
    <row r="4898" spans="1:49" x14ac:dyDescent="0.25">
      <c r="A4898" t="str">
        <f>"4894"</f>
        <v>4894</v>
      </c>
      <c r="B4898" t="str">
        <f t="shared" si="282"/>
        <v>1</v>
      </c>
      <c r="C4898" t="str">
        <f t="shared" si="283"/>
        <v>214</v>
      </c>
      <c r="D4898" t="str">
        <f>"15"</f>
        <v>15</v>
      </c>
      <c r="E4898" t="str">
        <f>"1-214-15"</f>
        <v>1-214-15</v>
      </c>
      <c r="F4898" t="s">
        <v>83</v>
      </c>
      <c r="G4898" t="s">
        <v>86</v>
      </c>
      <c r="H4898" t="s">
        <v>93</v>
      </c>
      <c r="I4898">
        <v>1</v>
      </c>
      <c r="K4898">
        <v>0</v>
      </c>
      <c r="L4898">
        <v>0</v>
      </c>
      <c r="M4898">
        <v>1</v>
      </c>
      <c r="N4898">
        <v>1</v>
      </c>
      <c r="O4898">
        <v>1</v>
      </c>
      <c r="P4898">
        <v>1</v>
      </c>
      <c r="Q4898">
        <v>1</v>
      </c>
      <c r="R4898">
        <v>0</v>
      </c>
      <c r="U4898">
        <v>1</v>
      </c>
      <c r="V4898">
        <v>0</v>
      </c>
      <c r="W4898">
        <v>1</v>
      </c>
      <c r="X4898">
        <v>1</v>
      </c>
      <c r="Y4898">
        <v>1</v>
      </c>
      <c r="Z4898">
        <v>1</v>
      </c>
      <c r="AA4898">
        <v>1</v>
      </c>
      <c r="AB4898">
        <v>1</v>
      </c>
    </row>
    <row r="4899" spans="1:49" x14ac:dyDescent="0.25">
      <c r="A4899" t="str">
        <f>"4895"</f>
        <v>4895</v>
      </c>
      <c r="B4899" t="str">
        <f t="shared" si="282"/>
        <v>1</v>
      </c>
      <c r="C4899" t="str">
        <f t="shared" si="283"/>
        <v>214</v>
      </c>
      <c r="D4899" t="str">
        <f>"14"</f>
        <v>14</v>
      </c>
      <c r="E4899" t="str">
        <f>"1-214-14"</f>
        <v>1-214-14</v>
      </c>
      <c r="F4899" t="s">
        <v>83</v>
      </c>
      <c r="G4899" t="s">
        <v>86</v>
      </c>
      <c r="H4899" t="s">
        <v>93</v>
      </c>
      <c r="I4899">
        <v>1</v>
      </c>
      <c r="K4899">
        <v>0</v>
      </c>
      <c r="L4899">
        <v>0</v>
      </c>
      <c r="M4899">
        <v>1</v>
      </c>
      <c r="N4899">
        <v>1</v>
      </c>
      <c r="O4899">
        <v>1</v>
      </c>
      <c r="P4899">
        <v>1</v>
      </c>
      <c r="Q4899">
        <v>1</v>
      </c>
      <c r="R4899">
        <v>0</v>
      </c>
      <c r="U4899">
        <v>1</v>
      </c>
      <c r="V4899">
        <v>0</v>
      </c>
      <c r="W4899">
        <v>1</v>
      </c>
      <c r="X4899">
        <v>1</v>
      </c>
      <c r="Y4899">
        <v>1</v>
      </c>
      <c r="Z4899">
        <v>1</v>
      </c>
      <c r="AA4899">
        <v>1</v>
      </c>
      <c r="AB4899">
        <v>1</v>
      </c>
    </row>
    <row r="4900" spans="1:49" s="2" customFormat="1" x14ac:dyDescent="0.25">
      <c r="A4900" s="2" t="str">
        <f>"4896"</f>
        <v>4896</v>
      </c>
      <c r="B4900" s="2" t="str">
        <f t="shared" si="282"/>
        <v>1</v>
      </c>
      <c r="C4900" s="2" t="str">
        <f t="shared" si="283"/>
        <v>214</v>
      </c>
      <c r="D4900" s="2" t="str">
        <f>"11"</f>
        <v>11</v>
      </c>
      <c r="E4900" s="2" t="str">
        <f>"1-214-11"</f>
        <v>1-214-11</v>
      </c>
      <c r="F4900" s="2" t="s">
        <v>83</v>
      </c>
      <c r="G4900" s="2" t="s">
        <v>84</v>
      </c>
      <c r="H4900" s="2" t="s">
        <v>85</v>
      </c>
      <c r="AC4900" s="2">
        <v>1</v>
      </c>
      <c r="AD4900" s="2">
        <v>0</v>
      </c>
      <c r="AE4900" s="2">
        <v>0</v>
      </c>
      <c r="AF4900" s="2">
        <v>0</v>
      </c>
      <c r="AG4900" s="2">
        <v>0</v>
      </c>
      <c r="AJ4900" s="2">
        <v>0</v>
      </c>
      <c r="AK4900" s="2">
        <v>1</v>
      </c>
      <c r="AL4900" s="2">
        <v>0</v>
      </c>
      <c r="AM4900" s="2">
        <v>0</v>
      </c>
      <c r="AN4900" s="2">
        <v>1</v>
      </c>
      <c r="AO4900" s="2">
        <v>0</v>
      </c>
      <c r="AP4900" s="2">
        <v>0</v>
      </c>
      <c r="AQ4900" s="2">
        <v>0</v>
      </c>
      <c r="AR4900" s="2">
        <v>0</v>
      </c>
      <c r="AS4900" s="2">
        <v>0</v>
      </c>
      <c r="AT4900" s="2">
        <v>1</v>
      </c>
      <c r="AV4900" s="2">
        <v>0</v>
      </c>
      <c r="AW4900" s="2">
        <v>1</v>
      </c>
    </row>
    <row r="4901" spans="1:49" x14ac:dyDescent="0.25">
      <c r="A4901" t="str">
        <f>"4897"</f>
        <v>4897</v>
      </c>
      <c r="B4901" t="str">
        <f t="shared" si="282"/>
        <v>1</v>
      </c>
      <c r="C4901" t="str">
        <f t="shared" si="283"/>
        <v>214</v>
      </c>
      <c r="D4901" t="str">
        <f>"8"</f>
        <v>8</v>
      </c>
      <c r="E4901" t="str">
        <f>"1-214-8"</f>
        <v>1-214-8</v>
      </c>
      <c r="F4901" t="s">
        <v>83</v>
      </c>
      <c r="G4901" t="s">
        <v>84</v>
      </c>
      <c r="H4901" t="s">
        <v>85</v>
      </c>
      <c r="AC4901">
        <v>1</v>
      </c>
      <c r="AD4901">
        <v>0</v>
      </c>
      <c r="AE4901">
        <v>0</v>
      </c>
      <c r="AF4901">
        <v>0</v>
      </c>
      <c r="AG4901">
        <v>1</v>
      </c>
      <c r="AJ4901">
        <v>1</v>
      </c>
      <c r="AK4901">
        <v>0</v>
      </c>
      <c r="AL4901">
        <v>1</v>
      </c>
      <c r="AM4901">
        <v>0</v>
      </c>
      <c r="AN4901">
        <v>0</v>
      </c>
      <c r="AO4901">
        <v>1</v>
      </c>
      <c r="AP4901">
        <v>1</v>
      </c>
      <c r="AQ4901">
        <v>1</v>
      </c>
      <c r="AR4901">
        <v>1</v>
      </c>
      <c r="AS4901">
        <v>1</v>
      </c>
      <c r="AT4901">
        <v>0</v>
      </c>
      <c r="AV4901">
        <v>1</v>
      </c>
      <c r="AW4901">
        <v>1</v>
      </c>
    </row>
    <row r="4902" spans="1:49" x14ac:dyDescent="0.25">
      <c r="A4902" t="str">
        <f>"4898"</f>
        <v>4898</v>
      </c>
      <c r="B4902" t="str">
        <f t="shared" si="282"/>
        <v>1</v>
      </c>
      <c r="C4902" t="str">
        <f t="shared" si="283"/>
        <v>214</v>
      </c>
      <c r="D4902" t="str">
        <f>"2"</f>
        <v>2</v>
      </c>
      <c r="E4902" t="str">
        <f>"1-214-2"</f>
        <v>1-214-2</v>
      </c>
      <c r="F4902" t="s">
        <v>83</v>
      </c>
      <c r="G4902" t="s">
        <v>84</v>
      </c>
      <c r="H4902" t="s">
        <v>92</v>
      </c>
      <c r="I4902">
        <v>1</v>
      </c>
      <c r="J4902">
        <v>1</v>
      </c>
      <c r="N4902">
        <v>1</v>
      </c>
      <c r="O4902">
        <v>1</v>
      </c>
      <c r="P4902">
        <v>1</v>
      </c>
      <c r="Q4902">
        <v>1</v>
      </c>
      <c r="R4902">
        <v>1</v>
      </c>
      <c r="S4902">
        <v>1</v>
      </c>
      <c r="T4902">
        <v>1</v>
      </c>
      <c r="W4902">
        <v>1</v>
      </c>
      <c r="X4902">
        <v>1</v>
      </c>
      <c r="Y4902">
        <v>1</v>
      </c>
      <c r="Z4902">
        <v>1</v>
      </c>
      <c r="AA4902">
        <v>1</v>
      </c>
      <c r="AB4902">
        <v>1</v>
      </c>
    </row>
    <row r="4903" spans="1:49" x14ac:dyDescent="0.25">
      <c r="A4903" t="str">
        <f>"4899"</f>
        <v>4899</v>
      </c>
      <c r="B4903" t="str">
        <f t="shared" si="282"/>
        <v>1</v>
      </c>
      <c r="C4903" t="str">
        <f t="shared" si="283"/>
        <v>214</v>
      </c>
      <c r="D4903" t="str">
        <f>"23"</f>
        <v>23</v>
      </c>
      <c r="E4903" t="str">
        <f>"1-214-23"</f>
        <v>1-214-23</v>
      </c>
      <c r="F4903" t="s">
        <v>83</v>
      </c>
      <c r="G4903" t="s">
        <v>84</v>
      </c>
      <c r="H4903" t="s">
        <v>85</v>
      </c>
      <c r="AC4903">
        <v>1</v>
      </c>
      <c r="AD4903">
        <v>0</v>
      </c>
      <c r="AE4903">
        <v>0</v>
      </c>
      <c r="AF4903">
        <v>0</v>
      </c>
      <c r="AG4903">
        <v>0</v>
      </c>
      <c r="AJ4903">
        <v>0</v>
      </c>
      <c r="AK4903">
        <v>1</v>
      </c>
      <c r="AL4903">
        <v>1</v>
      </c>
      <c r="AM4903">
        <v>0</v>
      </c>
      <c r="AN4903">
        <v>0</v>
      </c>
      <c r="AO4903">
        <v>0</v>
      </c>
      <c r="AP4903">
        <v>0</v>
      </c>
      <c r="AQ4903">
        <v>0</v>
      </c>
      <c r="AR4903">
        <v>0</v>
      </c>
      <c r="AS4903">
        <v>0</v>
      </c>
      <c r="AT4903">
        <v>1</v>
      </c>
      <c r="AV4903">
        <v>0</v>
      </c>
      <c r="AW4903">
        <v>0</v>
      </c>
    </row>
    <row r="4904" spans="1:49" x14ac:dyDescent="0.25">
      <c r="A4904" t="str">
        <f>"4900"</f>
        <v>4900</v>
      </c>
      <c r="B4904" t="str">
        <f t="shared" si="282"/>
        <v>1</v>
      </c>
      <c r="C4904" t="str">
        <f t="shared" si="283"/>
        <v>214</v>
      </c>
      <c r="D4904" t="str">
        <f>"16"</f>
        <v>16</v>
      </c>
      <c r="E4904" t="str">
        <f>"1-214-16"</f>
        <v>1-214-16</v>
      </c>
      <c r="F4904" t="s">
        <v>83</v>
      </c>
      <c r="G4904" t="s">
        <v>86</v>
      </c>
      <c r="H4904" t="s">
        <v>93</v>
      </c>
      <c r="I4904">
        <v>0</v>
      </c>
      <c r="K4904">
        <v>0</v>
      </c>
      <c r="L4904">
        <v>0</v>
      </c>
      <c r="M4904">
        <v>1</v>
      </c>
      <c r="N4904">
        <v>0</v>
      </c>
      <c r="O4904">
        <v>0</v>
      </c>
      <c r="P4904">
        <v>0</v>
      </c>
      <c r="Q4904">
        <v>0</v>
      </c>
      <c r="R4904">
        <v>0</v>
      </c>
      <c r="U4904">
        <v>0</v>
      </c>
      <c r="V4904">
        <v>1</v>
      </c>
      <c r="W4904">
        <v>0</v>
      </c>
      <c r="X4904">
        <v>0</v>
      </c>
      <c r="Y4904">
        <v>0</v>
      </c>
      <c r="Z4904">
        <v>0</v>
      </c>
      <c r="AA4904">
        <v>0</v>
      </c>
      <c r="AB4904">
        <v>0</v>
      </c>
    </row>
    <row r="4905" spans="1:49" x14ac:dyDescent="0.25">
      <c r="A4905" t="str">
        <f>"4901"</f>
        <v>4901</v>
      </c>
      <c r="B4905" t="str">
        <f t="shared" si="282"/>
        <v>1</v>
      </c>
      <c r="C4905" t="str">
        <f t="shared" si="283"/>
        <v>214</v>
      </c>
      <c r="D4905" t="str">
        <f>"9"</f>
        <v>9</v>
      </c>
      <c r="E4905" t="str">
        <f>"1-214-9"</f>
        <v>1-214-9</v>
      </c>
      <c r="F4905" t="s">
        <v>83</v>
      </c>
      <c r="G4905" t="s">
        <v>84</v>
      </c>
      <c r="H4905" t="s">
        <v>85</v>
      </c>
      <c r="AC4905">
        <v>0</v>
      </c>
      <c r="AD4905">
        <v>1</v>
      </c>
      <c r="AE4905">
        <v>0</v>
      </c>
      <c r="AF4905">
        <v>0</v>
      </c>
      <c r="AG4905">
        <v>1</v>
      </c>
      <c r="AJ4905">
        <v>0</v>
      </c>
      <c r="AK4905">
        <v>1</v>
      </c>
      <c r="AL4905">
        <v>0</v>
      </c>
      <c r="AM4905">
        <v>0</v>
      </c>
      <c r="AN4905">
        <v>1</v>
      </c>
      <c r="AO4905">
        <v>1</v>
      </c>
      <c r="AP4905">
        <v>1</v>
      </c>
      <c r="AQ4905">
        <v>1</v>
      </c>
      <c r="AR4905">
        <v>1</v>
      </c>
      <c r="AS4905">
        <v>0</v>
      </c>
      <c r="AT4905">
        <v>1</v>
      </c>
      <c r="AV4905">
        <v>1</v>
      </c>
      <c r="AW4905">
        <v>1</v>
      </c>
    </row>
    <row r="4906" spans="1:49" x14ac:dyDescent="0.25">
      <c r="A4906" t="str">
        <f>"4902"</f>
        <v>4902</v>
      </c>
      <c r="B4906" t="str">
        <f t="shared" si="282"/>
        <v>1</v>
      </c>
      <c r="C4906" t="str">
        <f t="shared" si="283"/>
        <v>214</v>
      </c>
      <c r="D4906" t="str">
        <f>"4"</f>
        <v>4</v>
      </c>
      <c r="E4906" t="str">
        <f>"1-214-4"</f>
        <v>1-214-4</v>
      </c>
      <c r="F4906" t="s">
        <v>83</v>
      </c>
      <c r="G4906" t="s">
        <v>86</v>
      </c>
      <c r="H4906" t="s">
        <v>87</v>
      </c>
      <c r="AC4906">
        <v>1</v>
      </c>
      <c r="AD4906">
        <v>0</v>
      </c>
      <c r="AE4906">
        <v>0</v>
      </c>
      <c r="AF4906">
        <v>0</v>
      </c>
      <c r="AH4906">
        <v>1</v>
      </c>
      <c r="AI4906">
        <v>0</v>
      </c>
      <c r="AJ4906">
        <v>1</v>
      </c>
      <c r="AK4906">
        <v>0</v>
      </c>
      <c r="AL4906">
        <v>1</v>
      </c>
      <c r="AM4906">
        <v>0</v>
      </c>
      <c r="AN4906">
        <v>0</v>
      </c>
      <c r="AO4906">
        <v>0</v>
      </c>
      <c r="AP4906">
        <v>0</v>
      </c>
      <c r="AQ4906">
        <v>0</v>
      </c>
      <c r="AU4906">
        <v>0</v>
      </c>
      <c r="AV4906">
        <v>0</v>
      </c>
      <c r="AW4906">
        <v>0</v>
      </c>
    </row>
    <row r="4907" spans="1:49" x14ac:dyDescent="0.25">
      <c r="A4907" t="str">
        <f>"4903"</f>
        <v>4903</v>
      </c>
      <c r="B4907" t="str">
        <f t="shared" si="282"/>
        <v>1</v>
      </c>
      <c r="C4907" t="str">
        <f t="shared" si="283"/>
        <v>214</v>
      </c>
      <c r="D4907" t="str">
        <f>"17"</f>
        <v>17</v>
      </c>
      <c r="E4907" t="str">
        <f>"1-214-17"</f>
        <v>1-214-17</v>
      </c>
      <c r="F4907" t="s">
        <v>83</v>
      </c>
      <c r="G4907" t="s">
        <v>86</v>
      </c>
      <c r="H4907" t="s">
        <v>87</v>
      </c>
      <c r="AC4907">
        <v>0</v>
      </c>
      <c r="AD4907">
        <v>0</v>
      </c>
      <c r="AE4907">
        <v>0</v>
      </c>
      <c r="AF4907">
        <v>0</v>
      </c>
      <c r="AH4907">
        <v>0</v>
      </c>
      <c r="AI4907">
        <v>1</v>
      </c>
      <c r="AJ4907">
        <v>1</v>
      </c>
      <c r="AK4907">
        <v>0</v>
      </c>
      <c r="AL4907">
        <v>0</v>
      </c>
      <c r="AM4907">
        <v>0</v>
      </c>
      <c r="AN4907">
        <v>1</v>
      </c>
      <c r="AO4907">
        <v>0</v>
      </c>
      <c r="AP4907">
        <v>0</v>
      </c>
      <c r="AQ4907">
        <v>0</v>
      </c>
      <c r="AU4907">
        <v>0</v>
      </c>
      <c r="AV4907">
        <v>0</v>
      </c>
      <c r="AW4907">
        <v>0</v>
      </c>
    </row>
    <row r="4908" spans="1:49" x14ac:dyDescent="0.25">
      <c r="A4908" t="str">
        <f>"4904"</f>
        <v>4904</v>
      </c>
      <c r="B4908" t="str">
        <f t="shared" si="282"/>
        <v>1</v>
      </c>
      <c r="C4908" t="str">
        <f t="shared" si="283"/>
        <v>214</v>
      </c>
      <c r="D4908" t="str">
        <f>"10"</f>
        <v>10</v>
      </c>
      <c r="E4908" t="str">
        <f>"1-214-10"</f>
        <v>1-214-10</v>
      </c>
      <c r="F4908" t="s">
        <v>83</v>
      </c>
      <c r="G4908" t="s">
        <v>84</v>
      </c>
      <c r="H4908" t="s">
        <v>85</v>
      </c>
      <c r="AC4908">
        <v>0</v>
      </c>
      <c r="AD4908">
        <v>1</v>
      </c>
      <c r="AE4908">
        <v>0</v>
      </c>
      <c r="AF4908">
        <v>0</v>
      </c>
      <c r="AG4908">
        <v>0</v>
      </c>
      <c r="AJ4908">
        <v>0</v>
      </c>
      <c r="AK4908">
        <v>1</v>
      </c>
      <c r="AL4908">
        <v>0</v>
      </c>
      <c r="AM4908">
        <v>1</v>
      </c>
      <c r="AN4908">
        <v>0</v>
      </c>
      <c r="AO4908">
        <v>0</v>
      </c>
      <c r="AP4908">
        <v>0</v>
      </c>
      <c r="AQ4908">
        <v>0</v>
      </c>
      <c r="AR4908">
        <v>0</v>
      </c>
      <c r="AS4908">
        <v>0</v>
      </c>
      <c r="AT4908">
        <v>1</v>
      </c>
      <c r="AV4908">
        <v>0</v>
      </c>
      <c r="AW4908">
        <v>0</v>
      </c>
    </row>
    <row r="4909" spans="1:49" x14ac:dyDescent="0.25">
      <c r="A4909" t="str">
        <f>"4905"</f>
        <v>4905</v>
      </c>
      <c r="B4909" t="str">
        <f t="shared" si="282"/>
        <v>1</v>
      </c>
      <c r="C4909" t="str">
        <f t="shared" si="283"/>
        <v>214</v>
      </c>
      <c r="D4909" t="str">
        <f>"5"</f>
        <v>5</v>
      </c>
      <c r="E4909" t="str">
        <f>"1-214-5"</f>
        <v>1-214-5</v>
      </c>
      <c r="F4909" t="s">
        <v>83</v>
      </c>
      <c r="G4909" t="s">
        <v>86</v>
      </c>
      <c r="H4909" t="s">
        <v>87</v>
      </c>
      <c r="AC4909">
        <v>0</v>
      </c>
      <c r="AD4909">
        <v>1</v>
      </c>
      <c r="AE4909">
        <v>0</v>
      </c>
      <c r="AF4909">
        <v>0</v>
      </c>
      <c r="AH4909">
        <v>0</v>
      </c>
      <c r="AI4909">
        <v>1</v>
      </c>
      <c r="AJ4909">
        <v>0</v>
      </c>
      <c r="AK4909">
        <v>1</v>
      </c>
      <c r="AL4909">
        <v>0</v>
      </c>
      <c r="AM4909">
        <v>1</v>
      </c>
      <c r="AN4909">
        <v>0</v>
      </c>
      <c r="AO4909">
        <v>0</v>
      </c>
      <c r="AP4909">
        <v>0</v>
      </c>
      <c r="AQ4909">
        <v>0</v>
      </c>
      <c r="AU4909">
        <v>0</v>
      </c>
      <c r="AV4909">
        <v>0</v>
      </c>
      <c r="AW4909">
        <v>0</v>
      </c>
    </row>
    <row r="4910" spans="1:49" x14ac:dyDescent="0.25">
      <c r="A4910" t="str">
        <f>"4906"</f>
        <v>4906</v>
      </c>
      <c r="B4910" t="str">
        <f t="shared" si="282"/>
        <v>1</v>
      </c>
      <c r="C4910" t="str">
        <f t="shared" si="283"/>
        <v>214</v>
      </c>
      <c r="D4910" t="str">
        <f>"20"</f>
        <v>20</v>
      </c>
      <c r="E4910" t="str">
        <f>"1-214-20"</f>
        <v>1-214-20</v>
      </c>
      <c r="F4910" t="s">
        <v>83</v>
      </c>
      <c r="G4910" t="s">
        <v>86</v>
      </c>
      <c r="H4910" t="s">
        <v>87</v>
      </c>
      <c r="AC4910">
        <v>0</v>
      </c>
      <c r="AD4910">
        <v>0</v>
      </c>
      <c r="AE4910">
        <v>0</v>
      </c>
      <c r="AF4910">
        <v>0</v>
      </c>
      <c r="AH4910">
        <v>0</v>
      </c>
      <c r="AI4910">
        <v>1</v>
      </c>
      <c r="AJ4910">
        <v>0</v>
      </c>
      <c r="AK4910">
        <v>1</v>
      </c>
      <c r="AL4910">
        <v>1</v>
      </c>
      <c r="AM4910">
        <v>0</v>
      </c>
      <c r="AN4910">
        <v>0</v>
      </c>
      <c r="AO4910">
        <v>0</v>
      </c>
      <c r="AP4910">
        <v>0</v>
      </c>
      <c r="AQ4910">
        <v>0</v>
      </c>
      <c r="AU4910">
        <v>0</v>
      </c>
      <c r="AV4910">
        <v>0</v>
      </c>
      <c r="AW4910">
        <v>0</v>
      </c>
    </row>
    <row r="4911" spans="1:49" x14ac:dyDescent="0.25">
      <c r="A4911" t="str">
        <f>"4907"</f>
        <v>4907</v>
      </c>
      <c r="B4911" t="str">
        <f t="shared" si="282"/>
        <v>1</v>
      </c>
      <c r="C4911" t="str">
        <f t="shared" si="283"/>
        <v>214</v>
      </c>
      <c r="D4911" t="str">
        <f>"12"</f>
        <v>12</v>
      </c>
      <c r="E4911" t="str">
        <f>"1-214-12"</f>
        <v>1-214-12</v>
      </c>
      <c r="F4911" t="s">
        <v>83</v>
      </c>
      <c r="G4911" t="s">
        <v>86</v>
      </c>
      <c r="H4911" t="s">
        <v>87</v>
      </c>
      <c r="AC4911">
        <v>0</v>
      </c>
      <c r="AD4911">
        <v>1</v>
      </c>
      <c r="AE4911">
        <v>0</v>
      </c>
      <c r="AF4911">
        <v>0</v>
      </c>
      <c r="AH4911">
        <v>0</v>
      </c>
      <c r="AI4911">
        <v>1</v>
      </c>
      <c r="AJ4911">
        <v>0</v>
      </c>
      <c r="AK4911">
        <v>1</v>
      </c>
      <c r="AL4911">
        <v>0</v>
      </c>
      <c r="AM4911">
        <v>0</v>
      </c>
      <c r="AN4911">
        <v>1</v>
      </c>
      <c r="AO4911">
        <v>0</v>
      </c>
      <c r="AP4911">
        <v>0</v>
      </c>
      <c r="AQ4911">
        <v>0</v>
      </c>
      <c r="AU4911">
        <v>0</v>
      </c>
      <c r="AV4911">
        <v>0</v>
      </c>
      <c r="AW4911">
        <v>0</v>
      </c>
    </row>
    <row r="4912" spans="1:49" x14ac:dyDescent="0.25">
      <c r="A4912" t="str">
        <f>"4908"</f>
        <v>4908</v>
      </c>
      <c r="B4912" t="str">
        <f t="shared" si="282"/>
        <v>1</v>
      </c>
      <c r="C4912" t="str">
        <f t="shared" si="283"/>
        <v>214</v>
      </c>
      <c r="D4912" t="str">
        <f>"6"</f>
        <v>6</v>
      </c>
      <c r="E4912" t="str">
        <f>"1-214-6"</f>
        <v>1-214-6</v>
      </c>
      <c r="F4912" t="s">
        <v>83</v>
      </c>
      <c r="G4912" t="s">
        <v>84</v>
      </c>
      <c r="H4912" t="s">
        <v>85</v>
      </c>
      <c r="AC4912">
        <v>1</v>
      </c>
      <c r="AD4912">
        <v>0</v>
      </c>
      <c r="AE4912">
        <v>0</v>
      </c>
      <c r="AF4912">
        <v>0</v>
      </c>
      <c r="AG4912">
        <v>0</v>
      </c>
      <c r="AJ4912">
        <v>1</v>
      </c>
      <c r="AK4912">
        <v>0</v>
      </c>
      <c r="AL4912">
        <v>1</v>
      </c>
      <c r="AM4912">
        <v>0</v>
      </c>
      <c r="AN4912">
        <v>0</v>
      </c>
      <c r="AO4912">
        <v>1</v>
      </c>
      <c r="AP4912">
        <v>1</v>
      </c>
      <c r="AQ4912">
        <v>1</v>
      </c>
      <c r="AR4912">
        <v>1</v>
      </c>
      <c r="AS4912">
        <v>1</v>
      </c>
      <c r="AT4912">
        <v>0</v>
      </c>
      <c r="AV4912">
        <v>1</v>
      </c>
      <c r="AW4912">
        <v>1</v>
      </c>
    </row>
    <row r="4913" spans="1:49" x14ac:dyDescent="0.25">
      <c r="A4913" t="str">
        <f>"4909"</f>
        <v>4909</v>
      </c>
      <c r="B4913" t="str">
        <f t="shared" si="282"/>
        <v>1</v>
      </c>
      <c r="C4913" t="str">
        <f t="shared" si="283"/>
        <v>214</v>
      </c>
      <c r="D4913" t="str">
        <f>"13"</f>
        <v>13</v>
      </c>
      <c r="E4913" t="str">
        <f>"1-214-13"</f>
        <v>1-214-13</v>
      </c>
      <c r="F4913" t="s">
        <v>83</v>
      </c>
      <c r="G4913" t="s">
        <v>84</v>
      </c>
      <c r="H4913" t="s">
        <v>85</v>
      </c>
      <c r="AC4913">
        <v>1</v>
      </c>
      <c r="AD4913">
        <v>0</v>
      </c>
      <c r="AE4913">
        <v>0</v>
      </c>
      <c r="AF4913">
        <v>0</v>
      </c>
      <c r="AG4913">
        <v>0</v>
      </c>
      <c r="AJ4913">
        <v>0</v>
      </c>
      <c r="AK4913">
        <v>1</v>
      </c>
      <c r="AL4913">
        <v>0</v>
      </c>
      <c r="AM4913">
        <v>0</v>
      </c>
      <c r="AN4913">
        <v>1</v>
      </c>
      <c r="AO4913">
        <v>1</v>
      </c>
      <c r="AP4913">
        <v>1</v>
      </c>
      <c r="AQ4913">
        <v>0</v>
      </c>
      <c r="AR4913">
        <v>1</v>
      </c>
      <c r="AS4913">
        <v>0</v>
      </c>
      <c r="AT4913">
        <v>1</v>
      </c>
      <c r="AV4913">
        <v>0</v>
      </c>
      <c r="AW4913">
        <v>1</v>
      </c>
    </row>
    <row r="4914" spans="1:49" x14ac:dyDescent="0.25">
      <c r="A4914" t="str">
        <f>"4910"</f>
        <v>4910</v>
      </c>
      <c r="B4914" t="str">
        <f t="shared" si="282"/>
        <v>1</v>
      </c>
      <c r="C4914" t="str">
        <f t="shared" si="283"/>
        <v>214</v>
      </c>
      <c r="D4914" t="str">
        <f>"1"</f>
        <v>1</v>
      </c>
      <c r="E4914" t="str">
        <f>"1-214-1"</f>
        <v>1-214-1</v>
      </c>
      <c r="F4914" t="s">
        <v>83</v>
      </c>
      <c r="G4914" t="s">
        <v>84</v>
      </c>
      <c r="H4914" t="s">
        <v>85</v>
      </c>
      <c r="AC4914">
        <v>1</v>
      </c>
      <c r="AD4914">
        <v>0</v>
      </c>
      <c r="AE4914">
        <v>0</v>
      </c>
      <c r="AF4914">
        <v>0</v>
      </c>
      <c r="AG4914">
        <v>1</v>
      </c>
      <c r="AJ4914">
        <v>0</v>
      </c>
      <c r="AK4914">
        <v>1</v>
      </c>
      <c r="AL4914">
        <v>0</v>
      </c>
      <c r="AM4914">
        <v>1</v>
      </c>
      <c r="AN4914">
        <v>0</v>
      </c>
      <c r="AO4914">
        <v>1</v>
      </c>
      <c r="AP4914">
        <v>1</v>
      </c>
      <c r="AQ4914">
        <v>1</v>
      </c>
      <c r="AR4914">
        <v>1</v>
      </c>
      <c r="AS4914">
        <v>0</v>
      </c>
      <c r="AT4914">
        <v>1</v>
      </c>
      <c r="AV4914">
        <v>1</v>
      </c>
      <c r="AW4914">
        <v>1</v>
      </c>
    </row>
    <row r="4915" spans="1:49" x14ac:dyDescent="0.25">
      <c r="A4915" t="str">
        <f>"4911"</f>
        <v>4911</v>
      </c>
      <c r="B4915" t="str">
        <f t="shared" si="282"/>
        <v>1</v>
      </c>
      <c r="C4915" t="str">
        <f t="shared" si="283"/>
        <v>214</v>
      </c>
      <c r="D4915" t="str">
        <f>"18"</f>
        <v>18</v>
      </c>
      <c r="E4915" t="str">
        <f>"1-214-18"</f>
        <v>1-214-18</v>
      </c>
      <c r="F4915" t="s">
        <v>83</v>
      </c>
      <c r="G4915" t="s">
        <v>86</v>
      </c>
      <c r="H4915" t="s">
        <v>87</v>
      </c>
      <c r="AC4915">
        <v>0</v>
      </c>
      <c r="AD4915">
        <v>1</v>
      </c>
      <c r="AE4915">
        <v>0</v>
      </c>
      <c r="AF4915">
        <v>0</v>
      </c>
      <c r="AH4915">
        <v>0</v>
      </c>
      <c r="AI4915">
        <v>1</v>
      </c>
      <c r="AJ4915">
        <v>0</v>
      </c>
      <c r="AK4915">
        <v>1</v>
      </c>
      <c r="AL4915">
        <v>0</v>
      </c>
      <c r="AM4915">
        <v>0</v>
      </c>
      <c r="AN4915">
        <v>1</v>
      </c>
      <c r="AO4915">
        <v>0</v>
      </c>
      <c r="AP4915">
        <v>0</v>
      </c>
      <c r="AQ4915">
        <v>0</v>
      </c>
      <c r="AU4915">
        <v>0</v>
      </c>
      <c r="AV4915">
        <v>0</v>
      </c>
      <c r="AW4915">
        <v>0</v>
      </c>
    </row>
    <row r="4916" spans="1:49" x14ac:dyDescent="0.25">
      <c r="A4916" t="str">
        <f>"4912"</f>
        <v>4912</v>
      </c>
      <c r="B4916" t="str">
        <f t="shared" si="282"/>
        <v>1</v>
      </c>
      <c r="C4916" t="str">
        <f t="shared" si="283"/>
        <v>214</v>
      </c>
      <c r="D4916" t="str">
        <f>"7"</f>
        <v>7</v>
      </c>
      <c r="E4916" t="str">
        <f>"1-214-7"</f>
        <v>1-214-7</v>
      </c>
      <c r="F4916" t="s">
        <v>83</v>
      </c>
      <c r="G4916" t="s">
        <v>84</v>
      </c>
      <c r="H4916" t="s">
        <v>85</v>
      </c>
      <c r="AC4916">
        <v>0</v>
      </c>
      <c r="AD4916">
        <v>1</v>
      </c>
      <c r="AE4916">
        <v>0</v>
      </c>
      <c r="AF4916">
        <v>0</v>
      </c>
      <c r="AG4916">
        <v>1</v>
      </c>
      <c r="AJ4916">
        <v>1</v>
      </c>
      <c r="AK4916">
        <v>0</v>
      </c>
      <c r="AL4916">
        <v>0</v>
      </c>
      <c r="AM4916">
        <v>1</v>
      </c>
      <c r="AN4916">
        <v>0</v>
      </c>
      <c r="AO4916">
        <v>1</v>
      </c>
      <c r="AP4916">
        <v>1</v>
      </c>
      <c r="AQ4916">
        <v>1</v>
      </c>
      <c r="AR4916">
        <v>1</v>
      </c>
      <c r="AS4916">
        <v>1</v>
      </c>
      <c r="AT4916">
        <v>0</v>
      </c>
      <c r="AV4916">
        <v>1</v>
      </c>
      <c r="AW4916">
        <v>1</v>
      </c>
    </row>
    <row r="4917" spans="1:49" x14ac:dyDescent="0.25">
      <c r="A4917" t="str">
        <f>"4913"</f>
        <v>4913</v>
      </c>
      <c r="B4917" t="str">
        <f t="shared" si="282"/>
        <v>1</v>
      </c>
      <c r="C4917" t="str">
        <f t="shared" si="283"/>
        <v>214</v>
      </c>
      <c r="D4917" t="str">
        <f>"19"</f>
        <v>19</v>
      </c>
      <c r="E4917" t="str">
        <f>"1-214-19"</f>
        <v>1-214-19</v>
      </c>
      <c r="F4917" t="s">
        <v>83</v>
      </c>
      <c r="G4917" t="s">
        <v>86</v>
      </c>
      <c r="H4917" t="s">
        <v>93</v>
      </c>
      <c r="I4917">
        <v>1</v>
      </c>
      <c r="K4917">
        <v>0</v>
      </c>
      <c r="L4917">
        <v>0</v>
      </c>
      <c r="M4917">
        <v>1</v>
      </c>
      <c r="N4917">
        <v>1</v>
      </c>
      <c r="O4917">
        <v>1</v>
      </c>
      <c r="P4917">
        <v>1</v>
      </c>
      <c r="Q4917">
        <v>1</v>
      </c>
      <c r="R4917">
        <v>1</v>
      </c>
      <c r="U4917">
        <v>0</v>
      </c>
      <c r="V4917">
        <v>1</v>
      </c>
      <c r="W4917">
        <v>1</v>
      </c>
      <c r="X4917">
        <v>1</v>
      </c>
      <c r="Y4917">
        <v>1</v>
      </c>
      <c r="Z4917">
        <v>0</v>
      </c>
      <c r="AA4917">
        <v>0</v>
      </c>
      <c r="AB4917">
        <v>0</v>
      </c>
    </row>
    <row r="4918" spans="1:49" x14ac:dyDescent="0.25">
      <c r="A4918" t="str">
        <f>"4914"</f>
        <v>4914</v>
      </c>
      <c r="B4918" t="str">
        <f t="shared" si="282"/>
        <v>1</v>
      </c>
      <c r="C4918" t="str">
        <f t="shared" si="283"/>
        <v>214</v>
      </c>
      <c r="D4918" t="str">
        <f>"3"</f>
        <v>3</v>
      </c>
      <c r="E4918" t="str">
        <f>"1-214-3"</f>
        <v>1-214-3</v>
      </c>
      <c r="F4918" t="s">
        <v>83</v>
      </c>
      <c r="G4918" t="s">
        <v>86</v>
      </c>
      <c r="H4918" t="s">
        <v>87</v>
      </c>
      <c r="AC4918">
        <v>0</v>
      </c>
      <c r="AD4918">
        <v>1</v>
      </c>
      <c r="AE4918">
        <v>0</v>
      </c>
      <c r="AF4918">
        <v>0</v>
      </c>
      <c r="AH4918">
        <v>0</v>
      </c>
      <c r="AI4918">
        <v>1</v>
      </c>
      <c r="AJ4918">
        <v>1</v>
      </c>
      <c r="AK4918">
        <v>0</v>
      </c>
      <c r="AL4918">
        <v>0</v>
      </c>
      <c r="AM4918">
        <v>0</v>
      </c>
      <c r="AN4918">
        <v>1</v>
      </c>
      <c r="AO4918">
        <v>0</v>
      </c>
      <c r="AP4918">
        <v>0</v>
      </c>
      <c r="AQ4918">
        <v>0</v>
      </c>
      <c r="AU4918">
        <v>0</v>
      </c>
      <c r="AV4918">
        <v>0</v>
      </c>
      <c r="AW4918">
        <v>0</v>
      </c>
    </row>
    <row r="4919" spans="1:49" x14ac:dyDescent="0.25">
      <c r="A4919" t="str">
        <f>"4915"</f>
        <v>4915</v>
      </c>
      <c r="B4919" t="str">
        <f t="shared" si="282"/>
        <v>1</v>
      </c>
      <c r="C4919" t="str">
        <f t="shared" ref="C4919:C4943" si="284">"215"</f>
        <v>215</v>
      </c>
      <c r="D4919" t="str">
        <f>"23"</f>
        <v>23</v>
      </c>
      <c r="E4919" t="str">
        <f>"1-215-23"</f>
        <v>1-215-23</v>
      </c>
      <c r="F4919" t="s">
        <v>83</v>
      </c>
      <c r="G4919" t="s">
        <v>84</v>
      </c>
      <c r="H4919" t="s">
        <v>92</v>
      </c>
      <c r="I4919">
        <v>1</v>
      </c>
      <c r="J4919">
        <v>1</v>
      </c>
      <c r="N4919">
        <v>1</v>
      </c>
      <c r="O4919">
        <v>1</v>
      </c>
      <c r="P4919">
        <v>0</v>
      </c>
      <c r="Q4919">
        <v>0</v>
      </c>
      <c r="R4919">
        <v>0</v>
      </c>
      <c r="S4919">
        <v>1</v>
      </c>
      <c r="T4919">
        <v>1</v>
      </c>
      <c r="W4919">
        <v>1</v>
      </c>
      <c r="X4919">
        <v>1</v>
      </c>
      <c r="Y4919">
        <v>1</v>
      </c>
      <c r="Z4919">
        <v>0</v>
      </c>
      <c r="AA4919">
        <v>0</v>
      </c>
      <c r="AB4919">
        <v>0</v>
      </c>
    </row>
    <row r="4920" spans="1:49" x14ac:dyDescent="0.25">
      <c r="A4920" t="str">
        <f>"4916"</f>
        <v>4916</v>
      </c>
      <c r="B4920" t="str">
        <f t="shared" si="282"/>
        <v>1</v>
      </c>
      <c r="C4920" t="str">
        <f t="shared" si="284"/>
        <v>215</v>
      </c>
      <c r="D4920" t="str">
        <f>"22"</f>
        <v>22</v>
      </c>
      <c r="E4920" t="str">
        <f>"1-215-22"</f>
        <v>1-215-22</v>
      </c>
      <c r="F4920" t="s">
        <v>83</v>
      </c>
      <c r="G4920" t="s">
        <v>84</v>
      </c>
      <c r="H4920" t="s">
        <v>85</v>
      </c>
      <c r="AC4920">
        <v>1</v>
      </c>
      <c r="AD4920">
        <v>0</v>
      </c>
      <c r="AE4920">
        <v>0</v>
      </c>
      <c r="AF4920">
        <v>0</v>
      </c>
      <c r="AG4920">
        <v>0</v>
      </c>
      <c r="AJ4920">
        <v>0</v>
      </c>
      <c r="AK4920">
        <v>1</v>
      </c>
      <c r="AL4920">
        <v>0</v>
      </c>
      <c r="AM4920">
        <v>0</v>
      </c>
      <c r="AN4920">
        <v>0</v>
      </c>
      <c r="AO4920">
        <v>0</v>
      </c>
      <c r="AP4920">
        <v>0</v>
      </c>
      <c r="AQ4920">
        <v>0</v>
      </c>
      <c r="AR4920">
        <v>1</v>
      </c>
      <c r="AS4920">
        <v>1</v>
      </c>
      <c r="AT4920">
        <v>0</v>
      </c>
      <c r="AV4920">
        <v>0</v>
      </c>
      <c r="AW4920">
        <v>1</v>
      </c>
    </row>
    <row r="4921" spans="1:49" x14ac:dyDescent="0.25">
      <c r="A4921" t="str">
        <f>"4917"</f>
        <v>4917</v>
      </c>
      <c r="B4921" t="str">
        <f t="shared" si="282"/>
        <v>1</v>
      </c>
      <c r="C4921" t="str">
        <f t="shared" si="284"/>
        <v>215</v>
      </c>
      <c r="D4921" t="str">
        <f>"15"</f>
        <v>15</v>
      </c>
      <c r="E4921" t="str">
        <f>"1-215-15"</f>
        <v>1-215-15</v>
      </c>
      <c r="F4921" t="s">
        <v>83</v>
      </c>
      <c r="G4921" t="s">
        <v>84</v>
      </c>
      <c r="H4921" t="s">
        <v>92</v>
      </c>
      <c r="I4921">
        <v>1</v>
      </c>
      <c r="J4921">
        <v>1</v>
      </c>
      <c r="N4921">
        <v>1</v>
      </c>
      <c r="O4921">
        <v>1</v>
      </c>
      <c r="P4921">
        <v>1</v>
      </c>
      <c r="Q4921">
        <v>1</v>
      </c>
      <c r="R4921">
        <v>1</v>
      </c>
      <c r="S4921">
        <v>1</v>
      </c>
      <c r="T4921">
        <v>1</v>
      </c>
      <c r="W4921">
        <v>1</v>
      </c>
      <c r="X4921">
        <v>1</v>
      </c>
      <c r="Y4921">
        <v>1</v>
      </c>
      <c r="Z4921">
        <v>1</v>
      </c>
      <c r="AA4921">
        <v>1</v>
      </c>
      <c r="AB4921">
        <v>1</v>
      </c>
    </row>
    <row r="4922" spans="1:49" x14ac:dyDescent="0.25">
      <c r="A4922" t="str">
        <f>"4918"</f>
        <v>4918</v>
      </c>
      <c r="B4922" t="str">
        <f t="shared" si="282"/>
        <v>1</v>
      </c>
      <c r="C4922" t="str">
        <f t="shared" si="284"/>
        <v>215</v>
      </c>
      <c r="D4922" t="str">
        <f>"8"</f>
        <v>8</v>
      </c>
      <c r="E4922" t="str">
        <f>"1-215-8"</f>
        <v>1-215-8</v>
      </c>
      <c r="F4922" t="s">
        <v>83</v>
      </c>
      <c r="G4922" t="s">
        <v>84</v>
      </c>
      <c r="H4922" t="s">
        <v>85</v>
      </c>
      <c r="AC4922">
        <v>0</v>
      </c>
      <c r="AD4922">
        <v>1</v>
      </c>
      <c r="AE4922">
        <v>0</v>
      </c>
      <c r="AF4922">
        <v>0</v>
      </c>
      <c r="AG4922">
        <v>0</v>
      </c>
      <c r="AJ4922">
        <v>0</v>
      </c>
      <c r="AK4922">
        <v>0</v>
      </c>
      <c r="AL4922">
        <v>0</v>
      </c>
      <c r="AM4922">
        <v>0</v>
      </c>
      <c r="AN4922">
        <v>1</v>
      </c>
      <c r="AO4922">
        <v>0</v>
      </c>
      <c r="AP4922">
        <v>0</v>
      </c>
      <c r="AQ4922">
        <v>0</v>
      </c>
      <c r="AR4922">
        <v>0</v>
      </c>
      <c r="AS4922">
        <v>0</v>
      </c>
      <c r="AT4922">
        <v>0</v>
      </c>
      <c r="AV4922">
        <v>0</v>
      </c>
      <c r="AW4922">
        <v>1</v>
      </c>
    </row>
    <row r="4923" spans="1:49" x14ac:dyDescent="0.25">
      <c r="A4923" t="str">
        <f>"4919"</f>
        <v>4919</v>
      </c>
      <c r="B4923" t="str">
        <f t="shared" si="282"/>
        <v>1</v>
      </c>
      <c r="C4923" t="str">
        <f t="shared" si="284"/>
        <v>215</v>
      </c>
      <c r="D4923" t="str">
        <f>"2"</f>
        <v>2</v>
      </c>
      <c r="E4923" t="str">
        <f>"1-215-2"</f>
        <v>1-215-2</v>
      </c>
      <c r="F4923" t="s">
        <v>83</v>
      </c>
      <c r="G4923" t="s">
        <v>88</v>
      </c>
      <c r="H4923" t="s">
        <v>89</v>
      </c>
      <c r="AC4923">
        <v>0</v>
      </c>
      <c r="AD4923">
        <v>1</v>
      </c>
      <c r="AE4923">
        <v>0</v>
      </c>
      <c r="AF4923">
        <v>0</v>
      </c>
      <c r="AH4923">
        <v>0</v>
      </c>
      <c r="AI4923">
        <v>1</v>
      </c>
      <c r="AJ4923">
        <v>0</v>
      </c>
      <c r="AK4923">
        <v>0</v>
      </c>
      <c r="AL4923">
        <v>0</v>
      </c>
      <c r="AM4923">
        <v>1</v>
      </c>
      <c r="AN4923">
        <v>0</v>
      </c>
      <c r="AO4923">
        <v>0</v>
      </c>
      <c r="AP4923">
        <v>0</v>
      </c>
      <c r="AQ4923">
        <v>0</v>
      </c>
      <c r="AR4923">
        <v>1</v>
      </c>
      <c r="AS4923">
        <v>0</v>
      </c>
      <c r="AT4923">
        <v>0</v>
      </c>
      <c r="AV4923">
        <v>0</v>
      </c>
      <c r="AW4923">
        <v>1</v>
      </c>
    </row>
    <row r="4924" spans="1:49" x14ac:dyDescent="0.25">
      <c r="A4924" t="str">
        <f>"4920"</f>
        <v>4920</v>
      </c>
      <c r="B4924" t="str">
        <f t="shared" si="282"/>
        <v>1</v>
      </c>
      <c r="C4924" t="str">
        <f t="shared" si="284"/>
        <v>215</v>
      </c>
      <c r="D4924" t="str">
        <f>"25"</f>
        <v>25</v>
      </c>
      <c r="E4924" t="str">
        <f>"1-215-25"</f>
        <v>1-215-25</v>
      </c>
      <c r="F4924" t="s">
        <v>83</v>
      </c>
      <c r="G4924" t="s">
        <v>84</v>
      </c>
      <c r="H4924" t="s">
        <v>85</v>
      </c>
      <c r="AC4924">
        <v>1</v>
      </c>
      <c r="AD4924">
        <v>0</v>
      </c>
      <c r="AE4924">
        <v>0</v>
      </c>
      <c r="AF4924">
        <v>0</v>
      </c>
      <c r="AG4924">
        <v>0</v>
      </c>
      <c r="AJ4924">
        <v>1</v>
      </c>
      <c r="AK4924">
        <v>0</v>
      </c>
      <c r="AL4924">
        <v>1</v>
      </c>
      <c r="AM4924">
        <v>0</v>
      </c>
      <c r="AN4924">
        <v>0</v>
      </c>
      <c r="AO4924">
        <v>0</v>
      </c>
      <c r="AP4924">
        <v>0</v>
      </c>
      <c r="AQ4924">
        <v>0</v>
      </c>
      <c r="AR4924">
        <v>0</v>
      </c>
      <c r="AS4924">
        <v>0</v>
      </c>
      <c r="AT4924">
        <v>1</v>
      </c>
      <c r="AV4924">
        <v>0</v>
      </c>
      <c r="AW4924">
        <v>0</v>
      </c>
    </row>
    <row r="4925" spans="1:49" x14ac:dyDescent="0.25">
      <c r="A4925" t="str">
        <f>"4921"</f>
        <v>4921</v>
      </c>
      <c r="B4925" t="str">
        <f t="shared" si="282"/>
        <v>1</v>
      </c>
      <c r="C4925" t="str">
        <f t="shared" si="284"/>
        <v>215</v>
      </c>
      <c r="D4925" t="str">
        <f>"24"</f>
        <v>24</v>
      </c>
      <c r="E4925" t="str">
        <f>"1-215-24"</f>
        <v>1-215-24</v>
      </c>
      <c r="F4925" t="s">
        <v>83</v>
      </c>
      <c r="G4925" t="s">
        <v>84</v>
      </c>
      <c r="H4925" t="s">
        <v>92</v>
      </c>
      <c r="I4925">
        <v>0</v>
      </c>
      <c r="J4925">
        <v>1</v>
      </c>
      <c r="N4925">
        <v>1</v>
      </c>
      <c r="O4925">
        <v>1</v>
      </c>
      <c r="P4925">
        <v>1</v>
      </c>
      <c r="Q4925">
        <v>1</v>
      </c>
      <c r="R4925">
        <v>1</v>
      </c>
      <c r="S4925">
        <v>1</v>
      </c>
      <c r="T4925">
        <v>1</v>
      </c>
      <c r="W4925">
        <v>1</v>
      </c>
      <c r="X4925">
        <v>1</v>
      </c>
      <c r="Y4925">
        <v>1</v>
      </c>
      <c r="Z4925">
        <v>1</v>
      </c>
      <c r="AA4925">
        <v>1</v>
      </c>
      <c r="AB4925">
        <v>1</v>
      </c>
    </row>
    <row r="4926" spans="1:49" x14ac:dyDescent="0.25">
      <c r="A4926" t="str">
        <f>"4922"</f>
        <v>4922</v>
      </c>
      <c r="B4926" t="str">
        <f t="shared" si="282"/>
        <v>1</v>
      </c>
      <c r="C4926" t="str">
        <f t="shared" si="284"/>
        <v>215</v>
      </c>
      <c r="D4926" t="str">
        <f>"16"</f>
        <v>16</v>
      </c>
      <c r="E4926" t="str">
        <f>"1-215-16"</f>
        <v>1-215-16</v>
      </c>
      <c r="F4926" t="s">
        <v>83</v>
      </c>
      <c r="G4926" t="s">
        <v>84</v>
      </c>
      <c r="H4926" t="s">
        <v>92</v>
      </c>
      <c r="I4926">
        <v>1</v>
      </c>
      <c r="J4926">
        <v>0</v>
      </c>
      <c r="N4926">
        <v>1</v>
      </c>
      <c r="O4926">
        <v>1</v>
      </c>
      <c r="P4926">
        <v>1</v>
      </c>
      <c r="Q4926">
        <v>1</v>
      </c>
      <c r="R4926">
        <v>1</v>
      </c>
      <c r="S4926">
        <v>1</v>
      </c>
      <c r="T4926">
        <v>1</v>
      </c>
      <c r="W4926">
        <v>1</v>
      </c>
      <c r="X4926">
        <v>1</v>
      </c>
      <c r="Y4926">
        <v>1</v>
      </c>
      <c r="Z4926">
        <v>1</v>
      </c>
      <c r="AA4926">
        <v>1</v>
      </c>
      <c r="AB4926">
        <v>1</v>
      </c>
    </row>
    <row r="4927" spans="1:49" x14ac:dyDescent="0.25">
      <c r="A4927" t="str">
        <f>"4923"</f>
        <v>4923</v>
      </c>
      <c r="B4927" t="str">
        <f t="shared" si="282"/>
        <v>1</v>
      </c>
      <c r="C4927" t="str">
        <f t="shared" si="284"/>
        <v>215</v>
      </c>
      <c r="D4927" t="str">
        <f>"9"</f>
        <v>9</v>
      </c>
      <c r="E4927" t="str">
        <f>"1-215-9"</f>
        <v>1-215-9</v>
      </c>
      <c r="F4927" t="s">
        <v>83</v>
      </c>
      <c r="G4927" t="s">
        <v>84</v>
      </c>
      <c r="H4927" t="s">
        <v>85</v>
      </c>
      <c r="AC4927">
        <v>1</v>
      </c>
      <c r="AD4927">
        <v>0</v>
      </c>
      <c r="AE4927">
        <v>0</v>
      </c>
      <c r="AF4927">
        <v>0</v>
      </c>
      <c r="AG4927">
        <v>1</v>
      </c>
      <c r="AJ4927">
        <v>0</v>
      </c>
      <c r="AK4927">
        <v>1</v>
      </c>
      <c r="AL4927">
        <v>0</v>
      </c>
      <c r="AM4927">
        <v>1</v>
      </c>
      <c r="AN4927">
        <v>0</v>
      </c>
      <c r="AO4927">
        <v>1</v>
      </c>
      <c r="AP4927">
        <v>1</v>
      </c>
      <c r="AQ4927">
        <v>1</v>
      </c>
      <c r="AR4927">
        <v>1</v>
      </c>
      <c r="AS4927">
        <v>1</v>
      </c>
      <c r="AT4927">
        <v>0</v>
      </c>
      <c r="AV4927">
        <v>1</v>
      </c>
      <c r="AW4927">
        <v>1</v>
      </c>
    </row>
    <row r="4928" spans="1:49" x14ac:dyDescent="0.25">
      <c r="A4928" t="str">
        <f>"4924"</f>
        <v>4924</v>
      </c>
      <c r="B4928" t="str">
        <f t="shared" si="282"/>
        <v>1</v>
      </c>
      <c r="C4928" t="str">
        <f t="shared" si="284"/>
        <v>215</v>
      </c>
      <c r="D4928" t="str">
        <f>"5"</f>
        <v>5</v>
      </c>
      <c r="E4928" t="str">
        <f>"1-215-5"</f>
        <v>1-215-5</v>
      </c>
      <c r="F4928" t="s">
        <v>83</v>
      </c>
      <c r="G4928" t="s">
        <v>84</v>
      </c>
      <c r="H4928" t="s">
        <v>85</v>
      </c>
      <c r="AC4928">
        <v>0</v>
      </c>
      <c r="AD4928">
        <v>0</v>
      </c>
      <c r="AE4928">
        <v>0</v>
      </c>
      <c r="AF4928">
        <v>0</v>
      </c>
      <c r="AG4928">
        <v>0</v>
      </c>
      <c r="AJ4928">
        <v>0</v>
      </c>
      <c r="AK4928">
        <v>0</v>
      </c>
      <c r="AL4928">
        <v>0</v>
      </c>
      <c r="AM4928">
        <v>0</v>
      </c>
      <c r="AN4928">
        <v>0</v>
      </c>
      <c r="AO4928">
        <v>0</v>
      </c>
      <c r="AP4928">
        <v>0</v>
      </c>
      <c r="AQ4928">
        <v>0</v>
      </c>
      <c r="AR4928">
        <v>0</v>
      </c>
      <c r="AS4928">
        <v>0</v>
      </c>
      <c r="AT4928">
        <v>1</v>
      </c>
      <c r="AV4928">
        <v>0</v>
      </c>
      <c r="AW4928">
        <v>0</v>
      </c>
    </row>
    <row r="4929" spans="1:49" x14ac:dyDescent="0.25">
      <c r="A4929" t="str">
        <f>"4925"</f>
        <v>4925</v>
      </c>
      <c r="B4929" t="str">
        <f t="shared" si="282"/>
        <v>1</v>
      </c>
      <c r="C4929" t="str">
        <f t="shared" si="284"/>
        <v>215</v>
      </c>
      <c r="D4929" t="str">
        <f>"21"</f>
        <v>21</v>
      </c>
      <c r="E4929" t="str">
        <f>"1-215-21"</f>
        <v>1-215-21</v>
      </c>
      <c r="F4929" t="s">
        <v>83</v>
      </c>
      <c r="G4929" t="s">
        <v>84</v>
      </c>
      <c r="H4929" t="s">
        <v>85</v>
      </c>
      <c r="AC4929">
        <v>1</v>
      </c>
      <c r="AD4929">
        <v>0</v>
      </c>
      <c r="AE4929">
        <v>0</v>
      </c>
      <c r="AF4929">
        <v>0</v>
      </c>
      <c r="AG4929">
        <v>0</v>
      </c>
      <c r="AJ4929">
        <v>1</v>
      </c>
      <c r="AK4929">
        <v>0</v>
      </c>
      <c r="AL4929">
        <v>1</v>
      </c>
      <c r="AM4929">
        <v>0</v>
      </c>
      <c r="AN4929">
        <v>0</v>
      </c>
      <c r="AO4929">
        <v>1</v>
      </c>
      <c r="AP4929">
        <v>1</v>
      </c>
      <c r="AQ4929">
        <v>1</v>
      </c>
      <c r="AR4929">
        <v>1</v>
      </c>
      <c r="AS4929">
        <v>0</v>
      </c>
      <c r="AT4929">
        <v>1</v>
      </c>
      <c r="AV4929">
        <v>0</v>
      </c>
      <c r="AW4929">
        <v>0</v>
      </c>
    </row>
    <row r="4930" spans="1:49" x14ac:dyDescent="0.25">
      <c r="A4930" t="str">
        <f>"4926"</f>
        <v>4926</v>
      </c>
      <c r="B4930" t="str">
        <f t="shared" si="282"/>
        <v>1</v>
      </c>
      <c r="C4930" t="str">
        <f t="shared" si="284"/>
        <v>215</v>
      </c>
      <c r="D4930" t="str">
        <f>"10"</f>
        <v>10</v>
      </c>
      <c r="E4930" t="str">
        <f>"1-215-10"</f>
        <v>1-215-10</v>
      </c>
      <c r="F4930" t="s">
        <v>83</v>
      </c>
      <c r="G4930" t="s">
        <v>84</v>
      </c>
      <c r="H4930" t="s">
        <v>92</v>
      </c>
      <c r="I4930">
        <v>1</v>
      </c>
      <c r="J4930">
        <v>1</v>
      </c>
      <c r="N4930">
        <v>1</v>
      </c>
      <c r="O4930">
        <v>1</v>
      </c>
      <c r="P4930">
        <v>1</v>
      </c>
      <c r="Q4930">
        <v>1</v>
      </c>
      <c r="R4930">
        <v>1</v>
      </c>
      <c r="S4930">
        <v>1</v>
      </c>
      <c r="T4930">
        <v>1</v>
      </c>
      <c r="W4930">
        <v>1</v>
      </c>
      <c r="X4930">
        <v>1</v>
      </c>
      <c r="Y4930">
        <v>1</v>
      </c>
      <c r="Z4930">
        <v>1</v>
      </c>
      <c r="AA4930">
        <v>1</v>
      </c>
      <c r="AB4930">
        <v>1</v>
      </c>
    </row>
    <row r="4931" spans="1:49" x14ac:dyDescent="0.25">
      <c r="A4931" t="str">
        <f>"4927"</f>
        <v>4927</v>
      </c>
      <c r="B4931" t="str">
        <f t="shared" si="282"/>
        <v>1</v>
      </c>
      <c r="C4931" t="str">
        <f t="shared" si="284"/>
        <v>215</v>
      </c>
      <c r="D4931" t="str">
        <f>"7"</f>
        <v>7</v>
      </c>
      <c r="E4931" t="str">
        <f>"1-215-7"</f>
        <v>1-215-7</v>
      </c>
      <c r="F4931" t="s">
        <v>83</v>
      </c>
      <c r="G4931" t="s">
        <v>84</v>
      </c>
      <c r="H4931" t="s">
        <v>92</v>
      </c>
      <c r="I4931">
        <v>1</v>
      </c>
      <c r="J4931">
        <v>1</v>
      </c>
      <c r="N4931">
        <v>1</v>
      </c>
      <c r="O4931">
        <v>1</v>
      </c>
      <c r="P4931">
        <v>1</v>
      </c>
      <c r="Q4931">
        <v>1</v>
      </c>
      <c r="R4931">
        <v>1</v>
      </c>
      <c r="S4931">
        <v>1</v>
      </c>
      <c r="T4931">
        <v>1</v>
      </c>
      <c r="W4931">
        <v>1</v>
      </c>
      <c r="X4931">
        <v>1</v>
      </c>
      <c r="Y4931">
        <v>1</v>
      </c>
      <c r="Z4931">
        <v>1</v>
      </c>
      <c r="AA4931">
        <v>1</v>
      </c>
      <c r="AB4931">
        <v>1</v>
      </c>
    </row>
    <row r="4932" spans="1:49" x14ac:dyDescent="0.25">
      <c r="A4932" t="str">
        <f>"4928"</f>
        <v>4928</v>
      </c>
      <c r="B4932" t="str">
        <f t="shared" si="282"/>
        <v>1</v>
      </c>
      <c r="C4932" t="str">
        <f t="shared" si="284"/>
        <v>215</v>
      </c>
      <c r="D4932" t="str">
        <f>"19"</f>
        <v>19</v>
      </c>
      <c r="E4932" t="str">
        <f>"1-215-19"</f>
        <v>1-215-19</v>
      </c>
      <c r="F4932" t="s">
        <v>83</v>
      </c>
      <c r="G4932" t="s">
        <v>88</v>
      </c>
      <c r="H4932" t="s">
        <v>89</v>
      </c>
      <c r="AC4932">
        <v>0</v>
      </c>
      <c r="AD4932">
        <v>1</v>
      </c>
      <c r="AE4932">
        <v>0</v>
      </c>
      <c r="AF4932">
        <v>0</v>
      </c>
      <c r="AH4932">
        <v>0</v>
      </c>
      <c r="AI4932">
        <v>1</v>
      </c>
      <c r="AJ4932">
        <v>1</v>
      </c>
      <c r="AK4932">
        <v>0</v>
      </c>
      <c r="AL4932">
        <v>0</v>
      </c>
      <c r="AM4932">
        <v>0</v>
      </c>
      <c r="AN4932">
        <v>1</v>
      </c>
      <c r="AO4932">
        <v>0</v>
      </c>
      <c r="AP4932">
        <v>0</v>
      </c>
      <c r="AQ4932">
        <v>0</v>
      </c>
      <c r="AR4932">
        <v>0</v>
      </c>
      <c r="AS4932">
        <v>1</v>
      </c>
      <c r="AT4932">
        <v>0</v>
      </c>
      <c r="AV4932">
        <v>0</v>
      </c>
      <c r="AW4932">
        <v>0</v>
      </c>
    </row>
    <row r="4933" spans="1:49" x14ac:dyDescent="0.25">
      <c r="A4933" t="str">
        <f>"4929"</f>
        <v>4929</v>
      </c>
      <c r="B4933" t="str">
        <f t="shared" si="282"/>
        <v>1</v>
      </c>
      <c r="C4933" t="str">
        <f t="shared" si="284"/>
        <v>215</v>
      </c>
      <c r="D4933" t="str">
        <f>"11"</f>
        <v>11</v>
      </c>
      <c r="E4933" t="str">
        <f>"1-215-11"</f>
        <v>1-215-11</v>
      </c>
      <c r="F4933" t="s">
        <v>83</v>
      </c>
      <c r="G4933" t="s">
        <v>84</v>
      </c>
      <c r="H4933" t="s">
        <v>92</v>
      </c>
      <c r="I4933">
        <v>1</v>
      </c>
      <c r="J4933">
        <v>1</v>
      </c>
      <c r="N4933">
        <v>1</v>
      </c>
      <c r="O4933">
        <v>1</v>
      </c>
      <c r="P4933">
        <v>1</v>
      </c>
      <c r="Q4933">
        <v>1</v>
      </c>
      <c r="R4933">
        <v>1</v>
      </c>
      <c r="S4933">
        <v>1</v>
      </c>
      <c r="T4933">
        <v>1</v>
      </c>
      <c r="W4933">
        <v>1</v>
      </c>
      <c r="X4933">
        <v>1</v>
      </c>
      <c r="Y4933">
        <v>1</v>
      </c>
      <c r="Z4933">
        <v>1</v>
      </c>
      <c r="AA4933">
        <v>1</v>
      </c>
      <c r="AB4933">
        <v>1</v>
      </c>
    </row>
    <row r="4934" spans="1:49" x14ac:dyDescent="0.25">
      <c r="A4934" t="str">
        <f>"4930"</f>
        <v>4930</v>
      </c>
      <c r="B4934" t="str">
        <f t="shared" si="282"/>
        <v>1</v>
      </c>
      <c r="C4934" t="str">
        <f t="shared" si="284"/>
        <v>215</v>
      </c>
      <c r="D4934" t="str">
        <f>"1"</f>
        <v>1</v>
      </c>
      <c r="E4934" t="str">
        <f>"1-215-1"</f>
        <v>1-215-1</v>
      </c>
      <c r="F4934" t="s">
        <v>83</v>
      </c>
      <c r="G4934" t="s">
        <v>84</v>
      </c>
      <c r="H4934" t="s">
        <v>92</v>
      </c>
      <c r="I4934">
        <v>1</v>
      </c>
      <c r="J4934">
        <v>1</v>
      </c>
      <c r="N4934">
        <v>1</v>
      </c>
      <c r="O4934">
        <v>1</v>
      </c>
      <c r="P4934">
        <v>1</v>
      </c>
      <c r="Q4934">
        <v>1</v>
      </c>
      <c r="R4934">
        <v>1</v>
      </c>
      <c r="S4934">
        <v>1</v>
      </c>
      <c r="T4934">
        <v>1</v>
      </c>
      <c r="W4934">
        <v>1</v>
      </c>
      <c r="X4934">
        <v>1</v>
      </c>
      <c r="Y4934">
        <v>1</v>
      </c>
      <c r="Z4934">
        <v>1</v>
      </c>
      <c r="AA4934">
        <v>1</v>
      </c>
      <c r="AB4934">
        <v>1</v>
      </c>
    </row>
    <row r="4935" spans="1:49" x14ac:dyDescent="0.25">
      <c r="A4935" t="str">
        <f>"4931"</f>
        <v>4931</v>
      </c>
      <c r="B4935" t="str">
        <f t="shared" si="282"/>
        <v>1</v>
      </c>
      <c r="C4935" t="str">
        <f t="shared" si="284"/>
        <v>215</v>
      </c>
      <c r="D4935" t="str">
        <f>"18"</f>
        <v>18</v>
      </c>
      <c r="E4935" t="str">
        <f>"1-215-18"</f>
        <v>1-215-18</v>
      </c>
      <c r="F4935" t="s">
        <v>83</v>
      </c>
      <c r="G4935" t="s">
        <v>84</v>
      </c>
      <c r="H4935" t="s">
        <v>85</v>
      </c>
      <c r="AC4935">
        <v>1</v>
      </c>
      <c r="AD4935">
        <v>0</v>
      </c>
      <c r="AE4935">
        <v>0</v>
      </c>
      <c r="AF4935">
        <v>0</v>
      </c>
      <c r="AG4935">
        <v>0</v>
      </c>
      <c r="AJ4935">
        <v>1</v>
      </c>
      <c r="AK4935">
        <v>0</v>
      </c>
      <c r="AL4935">
        <v>0</v>
      </c>
      <c r="AM4935">
        <v>0</v>
      </c>
      <c r="AN4935">
        <v>1</v>
      </c>
      <c r="AO4935">
        <v>0</v>
      </c>
      <c r="AP4935">
        <v>0</v>
      </c>
      <c r="AQ4935">
        <v>0</v>
      </c>
      <c r="AR4935">
        <v>0</v>
      </c>
      <c r="AS4935">
        <v>1</v>
      </c>
      <c r="AT4935">
        <v>0</v>
      </c>
      <c r="AV4935">
        <v>0</v>
      </c>
      <c r="AW4935">
        <v>0</v>
      </c>
    </row>
    <row r="4936" spans="1:49" x14ac:dyDescent="0.25">
      <c r="A4936" t="str">
        <f>"4932"</f>
        <v>4932</v>
      </c>
      <c r="B4936" t="str">
        <f t="shared" si="282"/>
        <v>1</v>
      </c>
      <c r="C4936" t="str">
        <f t="shared" si="284"/>
        <v>215</v>
      </c>
      <c r="D4936" t="str">
        <f>"12"</f>
        <v>12</v>
      </c>
      <c r="E4936" t="str">
        <f>"1-215-12"</f>
        <v>1-215-12</v>
      </c>
      <c r="F4936" t="s">
        <v>83</v>
      </c>
      <c r="G4936" t="s">
        <v>84</v>
      </c>
      <c r="H4936" t="s">
        <v>92</v>
      </c>
      <c r="I4936">
        <v>1</v>
      </c>
      <c r="J4936">
        <v>1</v>
      </c>
      <c r="N4936">
        <v>1</v>
      </c>
      <c r="O4936">
        <v>1</v>
      </c>
      <c r="P4936">
        <v>1</v>
      </c>
      <c r="Q4936">
        <v>1</v>
      </c>
      <c r="R4936">
        <v>1</v>
      </c>
      <c r="S4936">
        <v>1</v>
      </c>
      <c r="T4936">
        <v>1</v>
      </c>
      <c r="W4936">
        <v>1</v>
      </c>
      <c r="X4936">
        <v>1</v>
      </c>
      <c r="Y4936">
        <v>1</v>
      </c>
      <c r="Z4936">
        <v>1</v>
      </c>
      <c r="AA4936">
        <v>1</v>
      </c>
      <c r="AB4936">
        <v>1</v>
      </c>
    </row>
    <row r="4937" spans="1:49" x14ac:dyDescent="0.25">
      <c r="A4937" t="str">
        <f>"4933"</f>
        <v>4933</v>
      </c>
      <c r="B4937" t="str">
        <f t="shared" si="282"/>
        <v>1</v>
      </c>
      <c r="C4937" t="str">
        <f t="shared" si="284"/>
        <v>215</v>
      </c>
      <c r="D4937" t="str">
        <f>"6"</f>
        <v>6</v>
      </c>
      <c r="E4937" t="str">
        <f>"1-215-6"</f>
        <v>1-215-6</v>
      </c>
      <c r="F4937" t="s">
        <v>83</v>
      </c>
      <c r="G4937" t="s">
        <v>84</v>
      </c>
      <c r="H4937" t="s">
        <v>85</v>
      </c>
      <c r="AC4937">
        <v>1</v>
      </c>
      <c r="AD4937">
        <v>0</v>
      </c>
      <c r="AE4937">
        <v>0</v>
      </c>
      <c r="AF4937">
        <v>0</v>
      </c>
      <c r="AG4937">
        <v>0</v>
      </c>
      <c r="AJ4937">
        <v>1</v>
      </c>
      <c r="AK4937">
        <v>0</v>
      </c>
      <c r="AL4937">
        <v>1</v>
      </c>
      <c r="AM4937">
        <v>0</v>
      </c>
      <c r="AN4937">
        <v>0</v>
      </c>
      <c r="AO4937">
        <v>0</v>
      </c>
      <c r="AP4937">
        <v>0</v>
      </c>
      <c r="AQ4937">
        <v>0</v>
      </c>
      <c r="AR4937">
        <v>0</v>
      </c>
      <c r="AS4937">
        <v>0</v>
      </c>
      <c r="AT4937">
        <v>1</v>
      </c>
      <c r="AV4937">
        <v>0</v>
      </c>
      <c r="AW4937">
        <v>0</v>
      </c>
    </row>
    <row r="4938" spans="1:49" x14ac:dyDescent="0.25">
      <c r="A4938" t="str">
        <f>"4934"</f>
        <v>4934</v>
      </c>
      <c r="B4938" t="str">
        <f t="shared" si="282"/>
        <v>1</v>
      </c>
      <c r="C4938" t="str">
        <f t="shared" si="284"/>
        <v>215</v>
      </c>
      <c r="D4938" t="str">
        <f>"17"</f>
        <v>17</v>
      </c>
      <c r="E4938" t="str">
        <f>"1-215-17"</f>
        <v>1-215-17</v>
      </c>
      <c r="F4938" t="s">
        <v>83</v>
      </c>
      <c r="G4938" t="s">
        <v>84</v>
      </c>
      <c r="H4938" t="s">
        <v>92</v>
      </c>
      <c r="I4938">
        <v>1</v>
      </c>
      <c r="J4938">
        <v>1</v>
      </c>
      <c r="N4938">
        <v>1</v>
      </c>
      <c r="O4938">
        <v>1</v>
      </c>
      <c r="P4938">
        <v>1</v>
      </c>
      <c r="Q4938">
        <v>1</v>
      </c>
      <c r="R4938">
        <v>1</v>
      </c>
      <c r="S4938">
        <v>1</v>
      </c>
      <c r="T4938">
        <v>1</v>
      </c>
      <c r="W4938">
        <v>1</v>
      </c>
      <c r="X4938">
        <v>1</v>
      </c>
      <c r="Y4938">
        <v>1</v>
      </c>
      <c r="Z4938">
        <v>1</v>
      </c>
      <c r="AA4938">
        <v>1</v>
      </c>
      <c r="AB4938">
        <v>1</v>
      </c>
    </row>
    <row r="4939" spans="1:49" x14ac:dyDescent="0.25">
      <c r="A4939" t="str">
        <f>"4935"</f>
        <v>4935</v>
      </c>
      <c r="B4939" t="str">
        <f t="shared" si="282"/>
        <v>1</v>
      </c>
      <c r="C4939" t="str">
        <f t="shared" si="284"/>
        <v>215</v>
      </c>
      <c r="D4939" t="str">
        <f>"13"</f>
        <v>13</v>
      </c>
      <c r="E4939" t="str">
        <f>"1-215-13"</f>
        <v>1-215-13</v>
      </c>
      <c r="F4939" t="s">
        <v>83</v>
      </c>
      <c r="G4939" t="s">
        <v>84</v>
      </c>
      <c r="H4939" t="s">
        <v>85</v>
      </c>
      <c r="AC4939">
        <v>0</v>
      </c>
      <c r="AD4939">
        <v>1</v>
      </c>
      <c r="AE4939">
        <v>0</v>
      </c>
      <c r="AF4939">
        <v>0</v>
      </c>
      <c r="AG4939">
        <v>0</v>
      </c>
      <c r="AJ4939">
        <v>0</v>
      </c>
      <c r="AK4939">
        <v>1</v>
      </c>
      <c r="AL4939">
        <v>0</v>
      </c>
      <c r="AM4939">
        <v>1</v>
      </c>
      <c r="AN4939">
        <v>0</v>
      </c>
      <c r="AO4939">
        <v>0</v>
      </c>
      <c r="AP4939">
        <v>0</v>
      </c>
      <c r="AQ4939">
        <v>0</v>
      </c>
      <c r="AR4939">
        <v>0</v>
      </c>
      <c r="AS4939">
        <v>0</v>
      </c>
      <c r="AT4939">
        <v>1</v>
      </c>
      <c r="AV4939">
        <v>0</v>
      </c>
      <c r="AW4939">
        <v>0</v>
      </c>
    </row>
    <row r="4940" spans="1:49" x14ac:dyDescent="0.25">
      <c r="A4940" t="str">
        <f>"4936"</f>
        <v>4936</v>
      </c>
      <c r="B4940" t="str">
        <f t="shared" si="282"/>
        <v>1</v>
      </c>
      <c r="C4940" t="str">
        <f t="shared" si="284"/>
        <v>215</v>
      </c>
      <c r="D4940" t="str">
        <f>"3"</f>
        <v>3</v>
      </c>
      <c r="E4940" t="str">
        <f>"1-215-3"</f>
        <v>1-215-3</v>
      </c>
      <c r="F4940" t="s">
        <v>83</v>
      </c>
      <c r="G4940" t="s">
        <v>84</v>
      </c>
      <c r="H4940" t="s">
        <v>92</v>
      </c>
      <c r="I4940">
        <v>1</v>
      </c>
      <c r="J4940">
        <v>1</v>
      </c>
      <c r="N4940">
        <v>1</v>
      </c>
      <c r="O4940">
        <v>1</v>
      </c>
      <c r="P4940">
        <v>1</v>
      </c>
      <c r="Q4940">
        <v>1</v>
      </c>
      <c r="R4940">
        <v>1</v>
      </c>
      <c r="S4940">
        <v>1</v>
      </c>
      <c r="T4940">
        <v>1</v>
      </c>
      <c r="W4940">
        <v>1</v>
      </c>
      <c r="X4940">
        <v>1</v>
      </c>
      <c r="Y4940">
        <v>1</v>
      </c>
      <c r="Z4940">
        <v>1</v>
      </c>
      <c r="AA4940">
        <v>1</v>
      </c>
      <c r="AB4940">
        <v>1</v>
      </c>
    </row>
    <row r="4941" spans="1:49" x14ac:dyDescent="0.25">
      <c r="A4941" t="str">
        <f>"4937"</f>
        <v>4937</v>
      </c>
      <c r="B4941" t="str">
        <f t="shared" si="282"/>
        <v>1</v>
      </c>
      <c r="C4941" t="str">
        <f t="shared" si="284"/>
        <v>215</v>
      </c>
      <c r="D4941" t="str">
        <f>"20"</f>
        <v>20</v>
      </c>
      <c r="E4941" t="str">
        <f>"1-215-20"</f>
        <v>1-215-20</v>
      </c>
      <c r="F4941" t="s">
        <v>83</v>
      </c>
      <c r="G4941" t="s">
        <v>84</v>
      </c>
      <c r="H4941" t="s">
        <v>92</v>
      </c>
      <c r="I4941">
        <v>1</v>
      </c>
      <c r="J4941">
        <v>1</v>
      </c>
      <c r="N4941">
        <v>1</v>
      </c>
      <c r="O4941">
        <v>1</v>
      </c>
      <c r="P4941">
        <v>1</v>
      </c>
      <c r="Q4941">
        <v>1</v>
      </c>
      <c r="R4941">
        <v>1</v>
      </c>
      <c r="S4941">
        <v>1</v>
      </c>
      <c r="T4941">
        <v>1</v>
      </c>
      <c r="W4941">
        <v>1</v>
      </c>
      <c r="X4941">
        <v>1</v>
      </c>
      <c r="Y4941">
        <v>1</v>
      </c>
      <c r="Z4941">
        <v>1</v>
      </c>
      <c r="AA4941">
        <v>1</v>
      </c>
      <c r="AB4941">
        <v>1</v>
      </c>
    </row>
    <row r="4942" spans="1:49" x14ac:dyDescent="0.25">
      <c r="A4942" t="str">
        <f>"4938"</f>
        <v>4938</v>
      </c>
      <c r="B4942" t="str">
        <f t="shared" si="282"/>
        <v>1</v>
      </c>
      <c r="C4942" t="str">
        <f t="shared" si="284"/>
        <v>215</v>
      </c>
      <c r="D4942" t="str">
        <f>"14"</f>
        <v>14</v>
      </c>
      <c r="E4942" t="str">
        <f>"1-215-14"</f>
        <v>1-215-14</v>
      </c>
      <c r="F4942" t="s">
        <v>83</v>
      </c>
      <c r="G4942" t="s">
        <v>88</v>
      </c>
      <c r="H4942" t="s">
        <v>89</v>
      </c>
      <c r="AC4942">
        <v>0</v>
      </c>
      <c r="AD4942">
        <v>0</v>
      </c>
      <c r="AE4942">
        <v>0</v>
      </c>
      <c r="AF4942">
        <v>0</v>
      </c>
      <c r="AH4942">
        <v>0</v>
      </c>
      <c r="AI4942">
        <v>1</v>
      </c>
      <c r="AJ4942">
        <v>0</v>
      </c>
      <c r="AK4942">
        <v>1</v>
      </c>
      <c r="AL4942">
        <v>0</v>
      </c>
      <c r="AM4942">
        <v>0</v>
      </c>
      <c r="AN4942">
        <v>1</v>
      </c>
      <c r="AO4942">
        <v>1</v>
      </c>
      <c r="AP4942">
        <v>1</v>
      </c>
      <c r="AQ4942">
        <v>1</v>
      </c>
      <c r="AR4942">
        <v>1</v>
      </c>
      <c r="AS4942">
        <v>0</v>
      </c>
      <c r="AT4942">
        <v>1</v>
      </c>
      <c r="AV4942">
        <v>1</v>
      </c>
      <c r="AW4942">
        <v>1</v>
      </c>
    </row>
    <row r="4943" spans="1:49" x14ac:dyDescent="0.25">
      <c r="A4943" t="str">
        <f>"4939"</f>
        <v>4939</v>
      </c>
      <c r="B4943" t="str">
        <f t="shared" si="282"/>
        <v>1</v>
      </c>
      <c r="C4943" t="str">
        <f t="shared" si="284"/>
        <v>215</v>
      </c>
      <c r="D4943" t="str">
        <f>"4"</f>
        <v>4</v>
      </c>
      <c r="E4943" t="str">
        <f>"1-215-4"</f>
        <v>1-215-4</v>
      </c>
      <c r="F4943" t="s">
        <v>83</v>
      </c>
      <c r="G4943" t="s">
        <v>84</v>
      </c>
      <c r="H4943" t="s">
        <v>92</v>
      </c>
      <c r="I4943">
        <v>1</v>
      </c>
      <c r="J4943">
        <v>1</v>
      </c>
      <c r="N4943">
        <v>1</v>
      </c>
      <c r="O4943">
        <v>1</v>
      </c>
      <c r="P4943">
        <v>1</v>
      </c>
      <c r="Q4943">
        <v>1</v>
      </c>
      <c r="R4943">
        <v>1</v>
      </c>
      <c r="S4943">
        <v>1</v>
      </c>
      <c r="T4943">
        <v>1</v>
      </c>
      <c r="W4943">
        <v>1</v>
      </c>
      <c r="X4943">
        <v>1</v>
      </c>
      <c r="Y4943">
        <v>1</v>
      </c>
      <c r="Z4943">
        <v>1</v>
      </c>
      <c r="AA4943">
        <v>1</v>
      </c>
      <c r="AB4943">
        <v>1</v>
      </c>
    </row>
    <row r="4944" spans="1:49" x14ac:dyDescent="0.25">
      <c r="A4944" t="str">
        <f>"4940"</f>
        <v>4940</v>
      </c>
      <c r="B4944" t="str">
        <f t="shared" si="282"/>
        <v>1</v>
      </c>
      <c r="C4944" t="str">
        <f t="shared" ref="C4944:C4968" si="285">"216"</f>
        <v>216</v>
      </c>
      <c r="D4944" t="str">
        <f>"23"</f>
        <v>23</v>
      </c>
      <c r="E4944" t="str">
        <f>"1-216-23"</f>
        <v>1-216-23</v>
      </c>
      <c r="F4944" t="s">
        <v>83</v>
      </c>
      <c r="G4944" t="s">
        <v>86</v>
      </c>
      <c r="H4944" t="s">
        <v>93</v>
      </c>
      <c r="I4944">
        <v>1</v>
      </c>
      <c r="K4944">
        <v>0</v>
      </c>
      <c r="L4944">
        <v>0</v>
      </c>
      <c r="M4944">
        <v>1</v>
      </c>
      <c r="N4944">
        <v>1</v>
      </c>
      <c r="O4944">
        <v>1</v>
      </c>
      <c r="P4944">
        <v>1</v>
      </c>
      <c r="Q4944">
        <v>1</v>
      </c>
      <c r="R4944">
        <v>1</v>
      </c>
      <c r="U4944">
        <v>1</v>
      </c>
      <c r="V4944">
        <v>0</v>
      </c>
      <c r="W4944">
        <v>1</v>
      </c>
      <c r="X4944">
        <v>1</v>
      </c>
      <c r="Y4944">
        <v>1</v>
      </c>
      <c r="Z4944">
        <v>1</v>
      </c>
      <c r="AA4944">
        <v>1</v>
      </c>
      <c r="AB4944">
        <v>1</v>
      </c>
    </row>
    <row r="4945" spans="1:28" x14ac:dyDescent="0.25">
      <c r="A4945" t="str">
        <f>"4941"</f>
        <v>4941</v>
      </c>
      <c r="B4945" t="str">
        <f t="shared" si="282"/>
        <v>1</v>
      </c>
      <c r="C4945" t="str">
        <f t="shared" si="285"/>
        <v>216</v>
      </c>
      <c r="D4945" t="str">
        <f>"22"</f>
        <v>22</v>
      </c>
      <c r="E4945" t="str">
        <f>"1-216-22"</f>
        <v>1-216-22</v>
      </c>
      <c r="F4945" t="s">
        <v>83</v>
      </c>
      <c r="G4945" t="s">
        <v>86</v>
      </c>
      <c r="H4945" t="s">
        <v>93</v>
      </c>
      <c r="I4945">
        <v>1</v>
      </c>
      <c r="K4945">
        <v>1</v>
      </c>
      <c r="L4945">
        <v>0</v>
      </c>
      <c r="M4945">
        <v>0</v>
      </c>
      <c r="N4945">
        <v>1</v>
      </c>
      <c r="O4945">
        <v>1</v>
      </c>
      <c r="P4945">
        <v>1</v>
      </c>
      <c r="Q4945">
        <v>1</v>
      </c>
      <c r="R4945">
        <v>1</v>
      </c>
      <c r="U4945">
        <v>0</v>
      </c>
      <c r="V4945">
        <v>1</v>
      </c>
      <c r="W4945">
        <v>1</v>
      </c>
      <c r="X4945">
        <v>1</v>
      </c>
      <c r="Y4945">
        <v>1</v>
      </c>
      <c r="Z4945">
        <v>1</v>
      </c>
      <c r="AA4945">
        <v>1</v>
      </c>
      <c r="AB4945">
        <v>1</v>
      </c>
    </row>
    <row r="4946" spans="1:28" x14ac:dyDescent="0.25">
      <c r="A4946" t="str">
        <f>"4942"</f>
        <v>4942</v>
      </c>
      <c r="B4946" t="str">
        <f t="shared" si="282"/>
        <v>1</v>
      </c>
      <c r="C4946" t="str">
        <f t="shared" si="285"/>
        <v>216</v>
      </c>
      <c r="D4946" t="str">
        <f>"15"</f>
        <v>15</v>
      </c>
      <c r="E4946" t="str">
        <f>"1-216-15"</f>
        <v>1-216-15</v>
      </c>
      <c r="F4946" t="s">
        <v>83</v>
      </c>
      <c r="G4946" t="s">
        <v>86</v>
      </c>
      <c r="H4946" t="s">
        <v>93</v>
      </c>
      <c r="I4946">
        <v>1</v>
      </c>
      <c r="K4946">
        <v>1</v>
      </c>
      <c r="L4946">
        <v>0</v>
      </c>
      <c r="M4946">
        <v>0</v>
      </c>
      <c r="N4946">
        <v>1</v>
      </c>
      <c r="O4946">
        <v>0</v>
      </c>
      <c r="P4946">
        <v>0</v>
      </c>
      <c r="Q4946">
        <v>0</v>
      </c>
      <c r="R4946">
        <v>0</v>
      </c>
      <c r="U4946">
        <v>1</v>
      </c>
      <c r="V4946">
        <v>0</v>
      </c>
      <c r="W4946">
        <v>0</v>
      </c>
      <c r="X4946">
        <v>0</v>
      </c>
      <c r="Y4946">
        <v>0</v>
      </c>
      <c r="Z4946">
        <v>0</v>
      </c>
      <c r="AA4946">
        <v>0</v>
      </c>
      <c r="AB4946">
        <v>0</v>
      </c>
    </row>
    <row r="4947" spans="1:28" x14ac:dyDescent="0.25">
      <c r="A4947" t="str">
        <f>"4943"</f>
        <v>4943</v>
      </c>
      <c r="B4947" t="str">
        <f t="shared" si="282"/>
        <v>1</v>
      </c>
      <c r="C4947" t="str">
        <f t="shared" si="285"/>
        <v>216</v>
      </c>
      <c r="D4947" t="str">
        <f>"14"</f>
        <v>14</v>
      </c>
      <c r="E4947" t="str">
        <f>"1-216-14"</f>
        <v>1-216-14</v>
      </c>
      <c r="F4947" t="s">
        <v>83</v>
      </c>
      <c r="G4947" t="s">
        <v>86</v>
      </c>
      <c r="H4947" t="s">
        <v>93</v>
      </c>
      <c r="I4947">
        <v>1</v>
      </c>
      <c r="K4947">
        <v>0</v>
      </c>
      <c r="L4947">
        <v>1</v>
      </c>
      <c r="M4947">
        <v>0</v>
      </c>
      <c r="N4947">
        <v>1</v>
      </c>
      <c r="O4947">
        <v>1</v>
      </c>
      <c r="P4947">
        <v>1</v>
      </c>
      <c r="Q4947">
        <v>1</v>
      </c>
      <c r="R4947">
        <v>1</v>
      </c>
      <c r="U4947">
        <v>1</v>
      </c>
      <c r="V4947">
        <v>0</v>
      </c>
      <c r="W4947">
        <v>1</v>
      </c>
      <c r="X4947">
        <v>1</v>
      </c>
      <c r="Y4947">
        <v>1</v>
      </c>
      <c r="Z4947">
        <v>1</v>
      </c>
      <c r="AA4947">
        <v>1</v>
      </c>
      <c r="AB4947">
        <v>1</v>
      </c>
    </row>
    <row r="4948" spans="1:28" x14ac:dyDescent="0.25">
      <c r="A4948" t="str">
        <f>"4944"</f>
        <v>4944</v>
      </c>
      <c r="B4948" t="str">
        <f t="shared" si="282"/>
        <v>1</v>
      </c>
      <c r="C4948" t="str">
        <f t="shared" si="285"/>
        <v>216</v>
      </c>
      <c r="D4948" t="str">
        <f>"11"</f>
        <v>11</v>
      </c>
      <c r="E4948" t="str">
        <f>"1-216-11"</f>
        <v>1-216-11</v>
      </c>
      <c r="F4948" t="s">
        <v>83</v>
      </c>
      <c r="G4948" t="s">
        <v>86</v>
      </c>
      <c r="H4948" t="s">
        <v>93</v>
      </c>
      <c r="I4948">
        <v>1</v>
      </c>
      <c r="K4948">
        <v>0</v>
      </c>
      <c r="L4948">
        <v>0</v>
      </c>
      <c r="M4948">
        <v>1</v>
      </c>
      <c r="N4948">
        <v>1</v>
      </c>
      <c r="O4948">
        <v>1</v>
      </c>
      <c r="P4948">
        <v>1</v>
      </c>
      <c r="Q4948">
        <v>1</v>
      </c>
      <c r="R4948">
        <v>1</v>
      </c>
      <c r="U4948">
        <v>1</v>
      </c>
      <c r="V4948">
        <v>0</v>
      </c>
      <c r="W4948">
        <v>1</v>
      </c>
      <c r="X4948">
        <v>1</v>
      </c>
      <c r="Y4948">
        <v>1</v>
      </c>
      <c r="Z4948">
        <v>1</v>
      </c>
      <c r="AA4948">
        <v>1</v>
      </c>
      <c r="AB4948">
        <v>1</v>
      </c>
    </row>
    <row r="4949" spans="1:28" x14ac:dyDescent="0.25">
      <c r="A4949" t="str">
        <f>"4945"</f>
        <v>4945</v>
      </c>
      <c r="B4949" t="str">
        <f t="shared" si="282"/>
        <v>1</v>
      </c>
      <c r="C4949" t="str">
        <f t="shared" si="285"/>
        <v>216</v>
      </c>
      <c r="D4949" t="str">
        <f>"8"</f>
        <v>8</v>
      </c>
      <c r="E4949" t="str">
        <f>"1-216-8"</f>
        <v>1-216-8</v>
      </c>
      <c r="F4949" t="s">
        <v>83</v>
      </c>
      <c r="G4949" t="s">
        <v>86</v>
      </c>
      <c r="H4949" t="s">
        <v>93</v>
      </c>
      <c r="I4949">
        <v>1</v>
      </c>
      <c r="K4949">
        <v>1</v>
      </c>
      <c r="L4949">
        <v>0</v>
      </c>
      <c r="M4949">
        <v>0</v>
      </c>
      <c r="N4949">
        <v>1</v>
      </c>
      <c r="O4949">
        <v>1</v>
      </c>
      <c r="P4949">
        <v>1</v>
      </c>
      <c r="Q4949">
        <v>1</v>
      </c>
      <c r="R4949">
        <v>1</v>
      </c>
      <c r="U4949">
        <v>0</v>
      </c>
      <c r="V4949">
        <v>1</v>
      </c>
      <c r="W4949">
        <v>1</v>
      </c>
      <c r="X4949">
        <v>1</v>
      </c>
      <c r="Y4949">
        <v>1</v>
      </c>
      <c r="Z4949">
        <v>1</v>
      </c>
      <c r="AA4949">
        <v>1</v>
      </c>
      <c r="AB4949">
        <v>1</v>
      </c>
    </row>
    <row r="4950" spans="1:28" x14ac:dyDescent="0.25">
      <c r="A4950" t="str">
        <f>"4946"</f>
        <v>4946</v>
      </c>
      <c r="B4950" t="str">
        <f t="shared" si="282"/>
        <v>1</v>
      </c>
      <c r="C4950" t="str">
        <f t="shared" si="285"/>
        <v>216</v>
      </c>
      <c r="D4950" t="str">
        <f>"1"</f>
        <v>1</v>
      </c>
      <c r="E4950" t="str">
        <f>"1-216-1"</f>
        <v>1-216-1</v>
      </c>
      <c r="F4950" t="s">
        <v>83</v>
      </c>
      <c r="G4950" t="s">
        <v>86</v>
      </c>
      <c r="H4950" t="s">
        <v>93</v>
      </c>
      <c r="I4950">
        <v>1</v>
      </c>
      <c r="K4950">
        <v>0</v>
      </c>
      <c r="L4950">
        <v>0</v>
      </c>
      <c r="M4950">
        <v>1</v>
      </c>
      <c r="N4950">
        <v>1</v>
      </c>
      <c r="O4950">
        <v>1</v>
      </c>
      <c r="P4950">
        <v>1</v>
      </c>
      <c r="Q4950">
        <v>1</v>
      </c>
      <c r="R4950">
        <v>1</v>
      </c>
      <c r="U4950">
        <v>0</v>
      </c>
      <c r="V4950">
        <v>1</v>
      </c>
      <c r="W4950">
        <v>1</v>
      </c>
      <c r="X4950">
        <v>1</v>
      </c>
      <c r="Y4950">
        <v>1</v>
      </c>
      <c r="Z4950">
        <v>1</v>
      </c>
      <c r="AA4950">
        <v>1</v>
      </c>
      <c r="AB4950">
        <v>1</v>
      </c>
    </row>
    <row r="4951" spans="1:28" x14ac:dyDescent="0.25">
      <c r="A4951" t="str">
        <f>"4947"</f>
        <v>4947</v>
      </c>
      <c r="B4951" t="str">
        <f t="shared" si="282"/>
        <v>1</v>
      </c>
      <c r="C4951" t="str">
        <f t="shared" si="285"/>
        <v>216</v>
      </c>
      <c r="D4951" t="str">
        <f>"25"</f>
        <v>25</v>
      </c>
      <c r="E4951" t="str">
        <f>"1-216-25"</f>
        <v>1-216-25</v>
      </c>
      <c r="F4951" t="s">
        <v>83</v>
      </c>
      <c r="G4951" t="s">
        <v>86</v>
      </c>
      <c r="H4951" t="s">
        <v>93</v>
      </c>
      <c r="I4951">
        <v>1</v>
      </c>
      <c r="K4951">
        <v>0</v>
      </c>
      <c r="L4951">
        <v>0</v>
      </c>
      <c r="M4951">
        <v>1</v>
      </c>
      <c r="N4951">
        <v>1</v>
      </c>
      <c r="O4951">
        <v>1</v>
      </c>
      <c r="P4951">
        <v>1</v>
      </c>
      <c r="Q4951">
        <v>1</v>
      </c>
      <c r="R4951">
        <v>0</v>
      </c>
      <c r="U4951">
        <v>0</v>
      </c>
      <c r="V4951">
        <v>1</v>
      </c>
      <c r="W4951">
        <v>1</v>
      </c>
      <c r="X4951">
        <v>1</v>
      </c>
      <c r="Y4951">
        <v>1</v>
      </c>
      <c r="Z4951">
        <v>1</v>
      </c>
      <c r="AA4951">
        <v>1</v>
      </c>
      <c r="AB4951">
        <v>1</v>
      </c>
    </row>
    <row r="4952" spans="1:28" x14ac:dyDescent="0.25">
      <c r="A4952" t="str">
        <f>"4948"</f>
        <v>4948</v>
      </c>
      <c r="B4952" t="str">
        <f t="shared" si="282"/>
        <v>1</v>
      </c>
      <c r="C4952" t="str">
        <f t="shared" si="285"/>
        <v>216</v>
      </c>
      <c r="D4952" t="str">
        <f>"24"</f>
        <v>24</v>
      </c>
      <c r="E4952" t="str">
        <f>"1-216-24"</f>
        <v>1-216-24</v>
      </c>
      <c r="F4952" t="s">
        <v>83</v>
      </c>
      <c r="G4952" t="s">
        <v>86</v>
      </c>
      <c r="H4952" t="s">
        <v>93</v>
      </c>
      <c r="I4952">
        <v>0</v>
      </c>
      <c r="K4952">
        <v>0</v>
      </c>
      <c r="L4952">
        <v>0</v>
      </c>
      <c r="M4952">
        <v>1</v>
      </c>
      <c r="N4952">
        <v>1</v>
      </c>
      <c r="O4952">
        <v>0</v>
      </c>
      <c r="P4952">
        <v>0</v>
      </c>
      <c r="Q4952">
        <v>0</v>
      </c>
      <c r="R4952">
        <v>0</v>
      </c>
      <c r="U4952">
        <v>0</v>
      </c>
      <c r="V4952">
        <v>0</v>
      </c>
      <c r="W4952">
        <v>0</v>
      </c>
      <c r="X4952">
        <v>0</v>
      </c>
      <c r="Y4952">
        <v>0</v>
      </c>
      <c r="Z4952">
        <v>0</v>
      </c>
      <c r="AA4952">
        <v>0</v>
      </c>
      <c r="AB4952">
        <v>0</v>
      </c>
    </row>
    <row r="4953" spans="1:28" x14ac:dyDescent="0.25">
      <c r="A4953" t="str">
        <f>"4949"</f>
        <v>4949</v>
      </c>
      <c r="B4953" t="str">
        <f t="shared" si="282"/>
        <v>1</v>
      </c>
      <c r="C4953" t="str">
        <f t="shared" si="285"/>
        <v>216</v>
      </c>
      <c r="D4953" t="str">
        <f>"16"</f>
        <v>16</v>
      </c>
      <c r="E4953" t="str">
        <f>"1-216-16"</f>
        <v>1-216-16</v>
      </c>
      <c r="F4953" t="s">
        <v>83</v>
      </c>
      <c r="G4953" t="s">
        <v>86</v>
      </c>
      <c r="H4953" t="s">
        <v>93</v>
      </c>
      <c r="I4953">
        <v>1</v>
      </c>
      <c r="K4953">
        <v>0</v>
      </c>
      <c r="L4953">
        <v>0</v>
      </c>
      <c r="M4953">
        <v>1</v>
      </c>
      <c r="N4953">
        <v>1</v>
      </c>
      <c r="O4953">
        <v>1</v>
      </c>
      <c r="P4953">
        <v>1</v>
      </c>
      <c r="Q4953">
        <v>1</v>
      </c>
      <c r="R4953">
        <v>1</v>
      </c>
      <c r="U4953">
        <v>1</v>
      </c>
      <c r="V4953">
        <v>0</v>
      </c>
      <c r="W4953">
        <v>1</v>
      </c>
      <c r="X4953">
        <v>1</v>
      </c>
      <c r="Y4953">
        <v>1</v>
      </c>
      <c r="Z4953">
        <v>1</v>
      </c>
      <c r="AA4953">
        <v>1</v>
      </c>
      <c r="AB4953">
        <v>1</v>
      </c>
    </row>
    <row r="4954" spans="1:28" x14ac:dyDescent="0.25">
      <c r="A4954" t="str">
        <f>"4950"</f>
        <v>4950</v>
      </c>
      <c r="B4954" t="str">
        <f t="shared" si="282"/>
        <v>1</v>
      </c>
      <c r="C4954" t="str">
        <f t="shared" si="285"/>
        <v>216</v>
      </c>
      <c r="D4954" t="str">
        <f>"9"</f>
        <v>9</v>
      </c>
      <c r="E4954" t="str">
        <f>"1-216-9"</f>
        <v>1-216-9</v>
      </c>
      <c r="F4954" t="s">
        <v>83</v>
      </c>
      <c r="G4954" t="s">
        <v>86</v>
      </c>
      <c r="H4954" t="s">
        <v>93</v>
      </c>
      <c r="I4954">
        <v>1</v>
      </c>
      <c r="K4954">
        <v>0</v>
      </c>
      <c r="L4954">
        <v>0</v>
      </c>
      <c r="M4954">
        <v>1</v>
      </c>
      <c r="N4954">
        <v>1</v>
      </c>
      <c r="O4954">
        <v>1</v>
      </c>
      <c r="P4954">
        <v>1</v>
      </c>
      <c r="Q4954">
        <v>1</v>
      </c>
      <c r="R4954">
        <v>1</v>
      </c>
      <c r="U4954">
        <v>0</v>
      </c>
      <c r="V4954">
        <v>1</v>
      </c>
      <c r="W4954">
        <v>1</v>
      </c>
      <c r="X4954">
        <v>1</v>
      </c>
      <c r="Y4954">
        <v>1</v>
      </c>
      <c r="Z4954">
        <v>1</v>
      </c>
      <c r="AA4954">
        <v>1</v>
      </c>
      <c r="AB4954">
        <v>1</v>
      </c>
    </row>
    <row r="4955" spans="1:28" x14ac:dyDescent="0.25">
      <c r="A4955" t="str">
        <f>"4951"</f>
        <v>4951</v>
      </c>
      <c r="B4955" t="str">
        <f t="shared" si="282"/>
        <v>1</v>
      </c>
      <c r="C4955" t="str">
        <f t="shared" si="285"/>
        <v>216</v>
      </c>
      <c r="D4955" t="str">
        <f>"5"</f>
        <v>5</v>
      </c>
      <c r="E4955" t="str">
        <f>"1-216-5"</f>
        <v>1-216-5</v>
      </c>
      <c r="F4955" t="s">
        <v>83</v>
      </c>
      <c r="G4955" t="s">
        <v>86</v>
      </c>
      <c r="H4955" t="s">
        <v>93</v>
      </c>
      <c r="I4955">
        <v>1</v>
      </c>
      <c r="K4955">
        <v>0</v>
      </c>
      <c r="L4955">
        <v>0</v>
      </c>
      <c r="M4955">
        <v>1</v>
      </c>
      <c r="N4955">
        <v>1</v>
      </c>
      <c r="O4955">
        <v>1</v>
      </c>
      <c r="P4955">
        <v>1</v>
      </c>
      <c r="Q4955">
        <v>1</v>
      </c>
      <c r="R4955">
        <v>1</v>
      </c>
      <c r="U4955">
        <v>0</v>
      </c>
      <c r="V4955">
        <v>1</v>
      </c>
      <c r="W4955">
        <v>1</v>
      </c>
      <c r="X4955">
        <v>1</v>
      </c>
      <c r="Y4955">
        <v>1</v>
      </c>
      <c r="Z4955">
        <v>1</v>
      </c>
      <c r="AA4955">
        <v>1</v>
      </c>
      <c r="AB4955">
        <v>1</v>
      </c>
    </row>
    <row r="4956" spans="1:28" x14ac:dyDescent="0.25">
      <c r="A4956" t="str">
        <f>"4952"</f>
        <v>4952</v>
      </c>
      <c r="B4956" t="str">
        <f t="shared" si="282"/>
        <v>1</v>
      </c>
      <c r="C4956" t="str">
        <f t="shared" si="285"/>
        <v>216</v>
      </c>
      <c r="D4956" t="str">
        <f>"17"</f>
        <v>17</v>
      </c>
      <c r="E4956" t="str">
        <f>"1-216-17"</f>
        <v>1-216-17</v>
      </c>
      <c r="F4956" t="s">
        <v>83</v>
      </c>
      <c r="G4956" t="s">
        <v>86</v>
      </c>
      <c r="H4956" t="s">
        <v>93</v>
      </c>
      <c r="I4956">
        <v>1</v>
      </c>
      <c r="K4956">
        <v>0</v>
      </c>
      <c r="L4956">
        <v>1</v>
      </c>
      <c r="M4956">
        <v>0</v>
      </c>
      <c r="N4956">
        <v>1</v>
      </c>
      <c r="O4956">
        <v>1</v>
      </c>
      <c r="P4956">
        <v>1</v>
      </c>
      <c r="Q4956">
        <v>1</v>
      </c>
      <c r="R4956">
        <v>1</v>
      </c>
      <c r="U4956">
        <v>1</v>
      </c>
      <c r="V4956">
        <v>0</v>
      </c>
      <c r="W4956">
        <v>1</v>
      </c>
      <c r="X4956">
        <v>1</v>
      </c>
      <c r="Y4956">
        <v>1</v>
      </c>
      <c r="Z4956">
        <v>1</v>
      </c>
      <c r="AA4956">
        <v>1</v>
      </c>
      <c r="AB4956">
        <v>1</v>
      </c>
    </row>
    <row r="4957" spans="1:28" x14ac:dyDescent="0.25">
      <c r="A4957" t="str">
        <f>"4953"</f>
        <v>4953</v>
      </c>
      <c r="B4957" t="str">
        <f t="shared" si="282"/>
        <v>1</v>
      </c>
      <c r="C4957" t="str">
        <f t="shared" si="285"/>
        <v>216</v>
      </c>
      <c r="D4957" t="str">
        <f>"10"</f>
        <v>10</v>
      </c>
      <c r="E4957" t="str">
        <f>"1-216-10"</f>
        <v>1-216-10</v>
      </c>
      <c r="F4957" t="s">
        <v>83</v>
      </c>
      <c r="G4957" t="s">
        <v>86</v>
      </c>
      <c r="H4957" t="s">
        <v>93</v>
      </c>
      <c r="I4957">
        <v>1</v>
      </c>
      <c r="K4957">
        <v>0</v>
      </c>
      <c r="L4957">
        <v>0</v>
      </c>
      <c r="M4957">
        <v>1</v>
      </c>
      <c r="N4957">
        <v>1</v>
      </c>
      <c r="O4957">
        <v>0</v>
      </c>
      <c r="P4957">
        <v>0</v>
      </c>
      <c r="Q4957">
        <v>0</v>
      </c>
      <c r="R4957">
        <v>0</v>
      </c>
      <c r="U4957">
        <v>0</v>
      </c>
      <c r="V4957">
        <v>1</v>
      </c>
      <c r="W4957">
        <v>0</v>
      </c>
      <c r="X4957">
        <v>0</v>
      </c>
      <c r="Y4957">
        <v>0</v>
      </c>
      <c r="Z4957">
        <v>0</v>
      </c>
      <c r="AA4957">
        <v>0</v>
      </c>
      <c r="AB4957">
        <v>0</v>
      </c>
    </row>
    <row r="4958" spans="1:28" x14ac:dyDescent="0.25">
      <c r="A4958" t="str">
        <f>"4954"</f>
        <v>4954</v>
      </c>
      <c r="B4958" t="str">
        <f t="shared" ref="B4958:B5021" si="286">"1"</f>
        <v>1</v>
      </c>
      <c r="C4958" t="str">
        <f t="shared" si="285"/>
        <v>216</v>
      </c>
      <c r="D4958" t="str">
        <f>"6"</f>
        <v>6</v>
      </c>
      <c r="E4958" t="str">
        <f>"1-216-6"</f>
        <v>1-216-6</v>
      </c>
      <c r="F4958" t="s">
        <v>83</v>
      </c>
      <c r="G4958" t="s">
        <v>86</v>
      </c>
      <c r="H4958" t="s">
        <v>93</v>
      </c>
      <c r="I4958">
        <v>1</v>
      </c>
      <c r="K4958">
        <v>0</v>
      </c>
      <c r="L4958">
        <v>0</v>
      </c>
      <c r="M4958">
        <v>1</v>
      </c>
      <c r="N4958">
        <v>1</v>
      </c>
      <c r="O4958">
        <v>1</v>
      </c>
      <c r="P4958">
        <v>1</v>
      </c>
      <c r="Q4958">
        <v>1</v>
      </c>
      <c r="R4958">
        <v>1</v>
      </c>
      <c r="U4958">
        <v>1</v>
      </c>
      <c r="V4958">
        <v>0</v>
      </c>
      <c r="W4958">
        <v>1</v>
      </c>
      <c r="X4958">
        <v>1</v>
      </c>
      <c r="Y4958">
        <v>1</v>
      </c>
      <c r="Z4958">
        <v>1</v>
      </c>
      <c r="AA4958">
        <v>1</v>
      </c>
      <c r="AB4958">
        <v>1</v>
      </c>
    </row>
    <row r="4959" spans="1:28" x14ac:dyDescent="0.25">
      <c r="A4959" t="str">
        <f>"4955"</f>
        <v>4955</v>
      </c>
      <c r="B4959" t="str">
        <f t="shared" si="286"/>
        <v>1</v>
      </c>
      <c r="C4959" t="str">
        <f t="shared" si="285"/>
        <v>216</v>
      </c>
      <c r="D4959" t="str">
        <f>"20"</f>
        <v>20</v>
      </c>
      <c r="E4959" t="str">
        <f>"1-216-20"</f>
        <v>1-216-20</v>
      </c>
      <c r="F4959" t="s">
        <v>83</v>
      </c>
      <c r="G4959" t="s">
        <v>86</v>
      </c>
      <c r="H4959" t="s">
        <v>93</v>
      </c>
      <c r="I4959">
        <v>1</v>
      </c>
      <c r="K4959">
        <v>0</v>
      </c>
      <c r="L4959">
        <v>0</v>
      </c>
      <c r="M4959">
        <v>1</v>
      </c>
      <c r="N4959">
        <v>1</v>
      </c>
      <c r="O4959">
        <v>1</v>
      </c>
      <c r="P4959">
        <v>1</v>
      </c>
      <c r="Q4959">
        <v>1</v>
      </c>
      <c r="R4959">
        <v>1</v>
      </c>
      <c r="U4959">
        <v>0</v>
      </c>
      <c r="V4959">
        <v>1</v>
      </c>
      <c r="W4959">
        <v>1</v>
      </c>
      <c r="X4959">
        <v>1</v>
      </c>
      <c r="Y4959">
        <v>1</v>
      </c>
      <c r="Z4959">
        <v>1</v>
      </c>
      <c r="AA4959">
        <v>1</v>
      </c>
      <c r="AB4959">
        <v>1</v>
      </c>
    </row>
    <row r="4960" spans="1:28" x14ac:dyDescent="0.25">
      <c r="A4960" t="str">
        <f>"4956"</f>
        <v>4956</v>
      </c>
      <c r="B4960" t="str">
        <f t="shared" si="286"/>
        <v>1</v>
      </c>
      <c r="C4960" t="str">
        <f t="shared" si="285"/>
        <v>216</v>
      </c>
      <c r="D4960" t="str">
        <f>"12"</f>
        <v>12</v>
      </c>
      <c r="E4960" t="str">
        <f>"1-216-12"</f>
        <v>1-216-12</v>
      </c>
      <c r="F4960" t="s">
        <v>83</v>
      </c>
      <c r="G4960" t="s">
        <v>86</v>
      </c>
      <c r="H4960" t="s">
        <v>93</v>
      </c>
      <c r="I4960">
        <v>1</v>
      </c>
      <c r="K4960">
        <v>0</v>
      </c>
      <c r="L4960">
        <v>0</v>
      </c>
      <c r="M4960">
        <v>1</v>
      </c>
      <c r="N4960">
        <v>1</v>
      </c>
      <c r="O4960">
        <v>0</v>
      </c>
      <c r="P4960">
        <v>0</v>
      </c>
      <c r="Q4960">
        <v>0</v>
      </c>
      <c r="R4960">
        <v>0</v>
      </c>
      <c r="U4960">
        <v>1</v>
      </c>
      <c r="V4960">
        <v>0</v>
      </c>
      <c r="W4960">
        <v>0</v>
      </c>
      <c r="X4960">
        <v>0</v>
      </c>
      <c r="Y4960">
        <v>0</v>
      </c>
      <c r="Z4960">
        <v>0</v>
      </c>
      <c r="AA4960">
        <v>0</v>
      </c>
      <c r="AB4960">
        <v>0</v>
      </c>
    </row>
    <row r="4961" spans="1:28" x14ac:dyDescent="0.25">
      <c r="A4961" t="str">
        <f>"4957"</f>
        <v>4957</v>
      </c>
      <c r="B4961" t="str">
        <f t="shared" si="286"/>
        <v>1</v>
      </c>
      <c r="C4961" t="str">
        <f t="shared" si="285"/>
        <v>216</v>
      </c>
      <c r="D4961" t="str">
        <f>"2"</f>
        <v>2</v>
      </c>
      <c r="E4961" t="str">
        <f>"1-216-2"</f>
        <v>1-216-2</v>
      </c>
      <c r="F4961" t="s">
        <v>83</v>
      </c>
      <c r="G4961" t="s">
        <v>86</v>
      </c>
      <c r="H4961" t="s">
        <v>93</v>
      </c>
      <c r="I4961">
        <v>1</v>
      </c>
      <c r="K4961">
        <v>1</v>
      </c>
      <c r="L4961">
        <v>0</v>
      </c>
      <c r="M4961">
        <v>0</v>
      </c>
      <c r="N4961">
        <v>1</v>
      </c>
      <c r="O4961">
        <v>1</v>
      </c>
      <c r="P4961">
        <v>1</v>
      </c>
      <c r="Q4961">
        <v>1</v>
      </c>
      <c r="R4961">
        <v>1</v>
      </c>
      <c r="U4961">
        <v>1</v>
      </c>
      <c r="V4961">
        <v>0</v>
      </c>
      <c r="W4961">
        <v>1</v>
      </c>
      <c r="X4961">
        <v>1</v>
      </c>
      <c r="Y4961">
        <v>1</v>
      </c>
      <c r="Z4961">
        <v>1</v>
      </c>
      <c r="AA4961">
        <v>1</v>
      </c>
      <c r="AB4961">
        <v>1</v>
      </c>
    </row>
    <row r="4962" spans="1:28" x14ac:dyDescent="0.25">
      <c r="A4962" t="str">
        <f>"4958"</f>
        <v>4958</v>
      </c>
      <c r="B4962" t="str">
        <f t="shared" si="286"/>
        <v>1</v>
      </c>
      <c r="C4962" t="str">
        <f t="shared" si="285"/>
        <v>216</v>
      </c>
      <c r="D4962" t="str">
        <f>"21"</f>
        <v>21</v>
      </c>
      <c r="E4962" t="str">
        <f>"1-216-21"</f>
        <v>1-216-21</v>
      </c>
      <c r="F4962" t="s">
        <v>83</v>
      </c>
      <c r="G4962" t="s">
        <v>86</v>
      </c>
      <c r="H4962" t="s">
        <v>93</v>
      </c>
      <c r="I4962">
        <v>1</v>
      </c>
      <c r="K4962">
        <v>0</v>
      </c>
      <c r="L4962">
        <v>1</v>
      </c>
      <c r="M4962">
        <v>0</v>
      </c>
      <c r="N4962">
        <v>1</v>
      </c>
      <c r="O4962">
        <v>1</v>
      </c>
      <c r="P4962">
        <v>1</v>
      </c>
      <c r="Q4962">
        <v>1</v>
      </c>
      <c r="R4962">
        <v>1</v>
      </c>
      <c r="U4962">
        <v>0</v>
      </c>
      <c r="V4962">
        <v>1</v>
      </c>
      <c r="W4962">
        <v>1</v>
      </c>
      <c r="X4962">
        <v>1</v>
      </c>
      <c r="Y4962">
        <v>1</v>
      </c>
      <c r="Z4962">
        <v>1</v>
      </c>
      <c r="AA4962">
        <v>1</v>
      </c>
      <c r="AB4962">
        <v>1</v>
      </c>
    </row>
    <row r="4963" spans="1:28" x14ac:dyDescent="0.25">
      <c r="A4963" t="str">
        <f>"4959"</f>
        <v>4959</v>
      </c>
      <c r="B4963" t="str">
        <f t="shared" si="286"/>
        <v>1</v>
      </c>
      <c r="C4963" t="str">
        <f t="shared" si="285"/>
        <v>216</v>
      </c>
      <c r="D4963" t="str">
        <f>"13"</f>
        <v>13</v>
      </c>
      <c r="E4963" t="str">
        <f>"1-216-13"</f>
        <v>1-216-13</v>
      </c>
      <c r="F4963" t="s">
        <v>83</v>
      </c>
      <c r="G4963" t="s">
        <v>86</v>
      </c>
      <c r="H4963" t="s">
        <v>93</v>
      </c>
      <c r="I4963">
        <v>1</v>
      </c>
      <c r="K4963">
        <v>0</v>
      </c>
      <c r="L4963">
        <v>0</v>
      </c>
      <c r="M4963">
        <v>1</v>
      </c>
      <c r="N4963">
        <v>1</v>
      </c>
      <c r="O4963">
        <v>1</v>
      </c>
      <c r="P4963">
        <v>1</v>
      </c>
      <c r="Q4963">
        <v>1</v>
      </c>
      <c r="R4963">
        <v>1</v>
      </c>
      <c r="U4963">
        <v>1</v>
      </c>
      <c r="V4963">
        <v>0</v>
      </c>
      <c r="W4963">
        <v>1</v>
      </c>
      <c r="X4963">
        <v>1</v>
      </c>
      <c r="Y4963">
        <v>1</v>
      </c>
      <c r="Z4963">
        <v>1</v>
      </c>
      <c r="AA4963">
        <v>1</v>
      </c>
      <c r="AB4963">
        <v>1</v>
      </c>
    </row>
    <row r="4964" spans="1:28" x14ac:dyDescent="0.25">
      <c r="A4964" t="str">
        <f>"4960"</f>
        <v>4960</v>
      </c>
      <c r="B4964" t="str">
        <f t="shared" si="286"/>
        <v>1</v>
      </c>
      <c r="C4964" t="str">
        <f t="shared" si="285"/>
        <v>216</v>
      </c>
      <c r="D4964" t="str">
        <f>"7"</f>
        <v>7</v>
      </c>
      <c r="E4964" t="str">
        <f>"1-216-7"</f>
        <v>1-216-7</v>
      </c>
      <c r="F4964" t="s">
        <v>83</v>
      </c>
      <c r="G4964" t="s">
        <v>86</v>
      </c>
      <c r="H4964" t="s">
        <v>93</v>
      </c>
      <c r="I4964">
        <v>1</v>
      </c>
      <c r="K4964">
        <v>0</v>
      </c>
      <c r="L4964">
        <v>0</v>
      </c>
      <c r="M4964">
        <v>1</v>
      </c>
      <c r="N4964">
        <v>1</v>
      </c>
      <c r="O4964">
        <v>1</v>
      </c>
      <c r="P4964">
        <v>1</v>
      </c>
      <c r="Q4964">
        <v>1</v>
      </c>
      <c r="R4964">
        <v>1</v>
      </c>
      <c r="U4964">
        <v>1</v>
      </c>
      <c r="V4964">
        <v>0</v>
      </c>
      <c r="W4964">
        <v>1</v>
      </c>
      <c r="X4964">
        <v>1</v>
      </c>
      <c r="Y4964">
        <v>1</v>
      </c>
      <c r="Z4964">
        <v>1</v>
      </c>
      <c r="AA4964">
        <v>1</v>
      </c>
      <c r="AB4964">
        <v>1</v>
      </c>
    </row>
    <row r="4965" spans="1:28" x14ac:dyDescent="0.25">
      <c r="A4965" t="str">
        <f>"4961"</f>
        <v>4961</v>
      </c>
      <c r="B4965" t="str">
        <f t="shared" si="286"/>
        <v>1</v>
      </c>
      <c r="C4965" t="str">
        <f t="shared" si="285"/>
        <v>216</v>
      </c>
      <c r="D4965" t="str">
        <f>"18"</f>
        <v>18</v>
      </c>
      <c r="E4965" t="str">
        <f>"1-216-18"</f>
        <v>1-216-18</v>
      </c>
      <c r="F4965" t="s">
        <v>83</v>
      </c>
      <c r="G4965" t="s">
        <v>86</v>
      </c>
      <c r="H4965" t="s">
        <v>93</v>
      </c>
      <c r="I4965">
        <v>1</v>
      </c>
      <c r="K4965">
        <v>0</v>
      </c>
      <c r="L4965">
        <v>1</v>
      </c>
      <c r="M4965">
        <v>0</v>
      </c>
      <c r="N4965">
        <v>1</v>
      </c>
      <c r="O4965">
        <v>1</v>
      </c>
      <c r="P4965">
        <v>1</v>
      </c>
      <c r="Q4965">
        <v>1</v>
      </c>
      <c r="R4965">
        <v>1</v>
      </c>
      <c r="U4965">
        <v>1</v>
      </c>
      <c r="V4965">
        <v>0</v>
      </c>
      <c r="W4965">
        <v>0</v>
      </c>
      <c r="X4965">
        <v>0</v>
      </c>
      <c r="Y4965">
        <v>0</v>
      </c>
      <c r="Z4965">
        <v>0</v>
      </c>
      <c r="AA4965">
        <v>0</v>
      </c>
      <c r="AB4965">
        <v>0</v>
      </c>
    </row>
    <row r="4966" spans="1:28" x14ac:dyDescent="0.25">
      <c r="A4966" t="str">
        <f>"4962"</f>
        <v>4962</v>
      </c>
      <c r="B4966" t="str">
        <f t="shared" si="286"/>
        <v>1</v>
      </c>
      <c r="C4966" t="str">
        <f t="shared" si="285"/>
        <v>216</v>
      </c>
      <c r="D4966" t="str">
        <f>"4"</f>
        <v>4</v>
      </c>
      <c r="E4966" t="str">
        <f>"1-216-4"</f>
        <v>1-216-4</v>
      </c>
      <c r="F4966" t="s">
        <v>83</v>
      </c>
      <c r="G4966" t="s">
        <v>86</v>
      </c>
      <c r="H4966" t="s">
        <v>93</v>
      </c>
      <c r="I4966">
        <v>1</v>
      </c>
      <c r="K4966">
        <v>0</v>
      </c>
      <c r="L4966">
        <v>0</v>
      </c>
      <c r="M4966">
        <v>1</v>
      </c>
      <c r="N4966">
        <v>1</v>
      </c>
      <c r="O4966">
        <v>1</v>
      </c>
      <c r="P4966">
        <v>1</v>
      </c>
      <c r="Q4966">
        <v>1</v>
      </c>
      <c r="R4966">
        <v>1</v>
      </c>
      <c r="U4966">
        <v>1</v>
      </c>
      <c r="V4966">
        <v>0</v>
      </c>
      <c r="W4966">
        <v>1</v>
      </c>
      <c r="X4966">
        <v>1</v>
      </c>
      <c r="Y4966">
        <v>1</v>
      </c>
      <c r="Z4966">
        <v>1</v>
      </c>
      <c r="AA4966">
        <v>1</v>
      </c>
      <c r="AB4966">
        <v>1</v>
      </c>
    </row>
    <row r="4967" spans="1:28" x14ac:dyDescent="0.25">
      <c r="A4967" t="str">
        <f>"4963"</f>
        <v>4963</v>
      </c>
      <c r="B4967" t="str">
        <f t="shared" si="286"/>
        <v>1</v>
      </c>
      <c r="C4967" t="str">
        <f t="shared" si="285"/>
        <v>216</v>
      </c>
      <c r="D4967" t="str">
        <f>"19"</f>
        <v>19</v>
      </c>
      <c r="E4967" t="str">
        <f>"1-216-19"</f>
        <v>1-216-19</v>
      </c>
      <c r="F4967" t="s">
        <v>83</v>
      </c>
      <c r="G4967" t="s">
        <v>86</v>
      </c>
      <c r="H4967" t="s">
        <v>93</v>
      </c>
      <c r="I4967">
        <v>1</v>
      </c>
      <c r="K4967">
        <v>0</v>
      </c>
      <c r="L4967">
        <v>0</v>
      </c>
      <c r="M4967">
        <v>1</v>
      </c>
      <c r="N4967">
        <v>1</v>
      </c>
      <c r="O4967">
        <v>1</v>
      </c>
      <c r="P4967">
        <v>1</v>
      </c>
      <c r="Q4967">
        <v>1</v>
      </c>
      <c r="R4967">
        <v>1</v>
      </c>
      <c r="U4967">
        <v>0</v>
      </c>
      <c r="V4967">
        <v>1</v>
      </c>
      <c r="W4967">
        <v>1</v>
      </c>
      <c r="X4967">
        <v>1</v>
      </c>
      <c r="Y4967">
        <v>1</v>
      </c>
      <c r="Z4967">
        <v>1</v>
      </c>
      <c r="AA4967">
        <v>1</v>
      </c>
      <c r="AB4967">
        <v>1</v>
      </c>
    </row>
    <row r="4968" spans="1:28" x14ac:dyDescent="0.25">
      <c r="A4968" t="str">
        <f>"4964"</f>
        <v>4964</v>
      </c>
      <c r="B4968" t="str">
        <f t="shared" si="286"/>
        <v>1</v>
      </c>
      <c r="C4968" t="str">
        <f t="shared" si="285"/>
        <v>216</v>
      </c>
      <c r="D4968" t="str">
        <f>"3"</f>
        <v>3</v>
      </c>
      <c r="E4968" t="str">
        <f>"1-216-3"</f>
        <v>1-216-3</v>
      </c>
      <c r="F4968" t="s">
        <v>83</v>
      </c>
      <c r="G4968" t="s">
        <v>86</v>
      </c>
      <c r="H4968" t="s">
        <v>93</v>
      </c>
      <c r="I4968">
        <v>1</v>
      </c>
      <c r="K4968">
        <v>0</v>
      </c>
      <c r="L4968">
        <v>1</v>
      </c>
      <c r="M4968">
        <v>0</v>
      </c>
      <c r="N4968">
        <v>1</v>
      </c>
      <c r="O4968">
        <v>1</v>
      </c>
      <c r="P4968">
        <v>1</v>
      </c>
      <c r="Q4968">
        <v>1</v>
      </c>
      <c r="R4968">
        <v>1</v>
      </c>
      <c r="U4968">
        <v>1</v>
      </c>
      <c r="V4968">
        <v>0</v>
      </c>
      <c r="W4968">
        <v>0</v>
      </c>
      <c r="X4968">
        <v>0</v>
      </c>
      <c r="Y4968">
        <v>0</v>
      </c>
      <c r="Z4968">
        <v>0</v>
      </c>
      <c r="AA4968">
        <v>1</v>
      </c>
      <c r="AB4968">
        <v>1</v>
      </c>
    </row>
    <row r="4969" spans="1:28" x14ac:dyDescent="0.25">
      <c r="A4969" t="str">
        <f>"4965"</f>
        <v>4965</v>
      </c>
      <c r="B4969" t="str">
        <f t="shared" si="286"/>
        <v>1</v>
      </c>
      <c r="C4969" t="str">
        <f t="shared" ref="C4969:C4993" si="287">"217"</f>
        <v>217</v>
      </c>
      <c r="D4969" t="str">
        <f>"23"</f>
        <v>23</v>
      </c>
      <c r="E4969" t="str">
        <f>"1-217-23"</f>
        <v>1-217-23</v>
      </c>
      <c r="F4969" t="s">
        <v>83</v>
      </c>
      <c r="G4969" t="s">
        <v>86</v>
      </c>
      <c r="H4969" t="s">
        <v>93</v>
      </c>
      <c r="I4969">
        <v>1</v>
      </c>
      <c r="K4969">
        <v>0</v>
      </c>
      <c r="L4969">
        <v>0</v>
      </c>
      <c r="M4969">
        <v>1</v>
      </c>
      <c r="N4969">
        <v>1</v>
      </c>
      <c r="O4969">
        <v>1</v>
      </c>
      <c r="P4969">
        <v>1</v>
      </c>
      <c r="Q4969">
        <v>1</v>
      </c>
      <c r="R4969">
        <v>1</v>
      </c>
      <c r="U4969">
        <v>1</v>
      </c>
      <c r="V4969">
        <v>0</v>
      </c>
      <c r="W4969">
        <v>1</v>
      </c>
      <c r="X4969">
        <v>1</v>
      </c>
      <c r="Y4969">
        <v>1</v>
      </c>
      <c r="Z4969">
        <v>1</v>
      </c>
      <c r="AA4969">
        <v>1</v>
      </c>
      <c r="AB4969">
        <v>1</v>
      </c>
    </row>
    <row r="4970" spans="1:28" x14ac:dyDescent="0.25">
      <c r="A4970" t="str">
        <f>"4966"</f>
        <v>4966</v>
      </c>
      <c r="B4970" t="str">
        <f t="shared" si="286"/>
        <v>1</v>
      </c>
      <c r="C4970" t="str">
        <f t="shared" si="287"/>
        <v>217</v>
      </c>
      <c r="D4970" t="str">
        <f>"22"</f>
        <v>22</v>
      </c>
      <c r="E4970" t="str">
        <f>"1-217-22"</f>
        <v>1-217-22</v>
      </c>
      <c r="F4970" t="s">
        <v>83</v>
      </c>
      <c r="G4970" t="s">
        <v>86</v>
      </c>
      <c r="H4970" t="s">
        <v>93</v>
      </c>
      <c r="I4970">
        <v>1</v>
      </c>
      <c r="K4970">
        <v>0</v>
      </c>
      <c r="L4970">
        <v>0</v>
      </c>
      <c r="M4970">
        <v>1</v>
      </c>
      <c r="N4970">
        <v>1</v>
      </c>
      <c r="O4970">
        <v>1</v>
      </c>
      <c r="P4970">
        <v>1</v>
      </c>
      <c r="Q4970">
        <v>1</v>
      </c>
      <c r="R4970">
        <v>1</v>
      </c>
      <c r="U4970">
        <v>1</v>
      </c>
      <c r="V4970">
        <v>0</v>
      </c>
      <c r="W4970">
        <v>1</v>
      </c>
      <c r="X4970">
        <v>1</v>
      </c>
      <c r="Y4970">
        <v>1</v>
      </c>
      <c r="Z4970">
        <v>1</v>
      </c>
      <c r="AA4970">
        <v>1</v>
      </c>
      <c r="AB4970">
        <v>1</v>
      </c>
    </row>
    <row r="4971" spans="1:28" x14ac:dyDescent="0.25">
      <c r="A4971" t="str">
        <f>"4967"</f>
        <v>4967</v>
      </c>
      <c r="B4971" t="str">
        <f t="shared" si="286"/>
        <v>1</v>
      </c>
      <c r="C4971" t="str">
        <f t="shared" si="287"/>
        <v>217</v>
      </c>
      <c r="D4971" t="str">
        <f>"15"</f>
        <v>15</v>
      </c>
      <c r="E4971" t="str">
        <f>"1-217-15"</f>
        <v>1-217-15</v>
      </c>
      <c r="F4971" t="s">
        <v>83</v>
      </c>
      <c r="G4971" t="s">
        <v>84</v>
      </c>
      <c r="H4971" t="s">
        <v>92</v>
      </c>
      <c r="I4971">
        <v>1</v>
      </c>
      <c r="J4971">
        <v>1</v>
      </c>
      <c r="N4971">
        <v>1</v>
      </c>
      <c r="O4971">
        <v>1</v>
      </c>
      <c r="P4971">
        <v>1</v>
      </c>
      <c r="Q4971">
        <v>1</v>
      </c>
      <c r="R4971">
        <v>1</v>
      </c>
      <c r="S4971">
        <v>1</v>
      </c>
      <c r="T4971">
        <v>1</v>
      </c>
      <c r="W4971">
        <v>1</v>
      </c>
      <c r="X4971">
        <v>1</v>
      </c>
      <c r="Y4971">
        <v>1</v>
      </c>
      <c r="Z4971">
        <v>1</v>
      </c>
      <c r="AA4971">
        <v>1</v>
      </c>
      <c r="AB4971">
        <v>1</v>
      </c>
    </row>
    <row r="4972" spans="1:28" x14ac:dyDescent="0.25">
      <c r="A4972" t="str">
        <f>"4968"</f>
        <v>4968</v>
      </c>
      <c r="B4972" t="str">
        <f t="shared" si="286"/>
        <v>1</v>
      </c>
      <c r="C4972" t="str">
        <f t="shared" si="287"/>
        <v>217</v>
      </c>
      <c r="D4972" t="str">
        <f>"9"</f>
        <v>9</v>
      </c>
      <c r="E4972" t="str">
        <f>"1-217-9"</f>
        <v>1-217-9</v>
      </c>
      <c r="F4972" t="s">
        <v>83</v>
      </c>
      <c r="G4972" t="s">
        <v>84</v>
      </c>
      <c r="H4972" t="s">
        <v>92</v>
      </c>
      <c r="I4972">
        <v>1</v>
      </c>
      <c r="J4972">
        <v>1</v>
      </c>
      <c r="N4972">
        <v>1</v>
      </c>
      <c r="O4972">
        <v>1</v>
      </c>
      <c r="P4972">
        <v>1</v>
      </c>
      <c r="Q4972">
        <v>1</v>
      </c>
      <c r="R4972">
        <v>1</v>
      </c>
      <c r="S4972">
        <v>1</v>
      </c>
      <c r="T4972">
        <v>1</v>
      </c>
      <c r="W4972">
        <v>1</v>
      </c>
      <c r="X4972">
        <v>1</v>
      </c>
      <c r="Y4972">
        <v>1</v>
      </c>
      <c r="Z4972">
        <v>1</v>
      </c>
      <c r="AA4972">
        <v>1</v>
      </c>
      <c r="AB4972">
        <v>1</v>
      </c>
    </row>
    <row r="4973" spans="1:28" x14ac:dyDescent="0.25">
      <c r="A4973" t="str">
        <f>"4969"</f>
        <v>4969</v>
      </c>
      <c r="B4973" t="str">
        <f t="shared" si="286"/>
        <v>1</v>
      </c>
      <c r="C4973" t="str">
        <f t="shared" si="287"/>
        <v>217</v>
      </c>
      <c r="D4973" t="str">
        <f>"4"</f>
        <v>4</v>
      </c>
      <c r="E4973" t="str">
        <f>"1-217-4"</f>
        <v>1-217-4</v>
      </c>
      <c r="F4973" t="s">
        <v>83</v>
      </c>
      <c r="G4973" t="s">
        <v>84</v>
      </c>
      <c r="H4973" t="s">
        <v>92</v>
      </c>
      <c r="I4973">
        <v>1</v>
      </c>
      <c r="J4973">
        <v>1</v>
      </c>
      <c r="N4973">
        <v>1</v>
      </c>
      <c r="O4973">
        <v>1</v>
      </c>
      <c r="P4973">
        <v>1</v>
      </c>
      <c r="Q4973">
        <v>1</v>
      </c>
      <c r="R4973">
        <v>1</v>
      </c>
      <c r="S4973">
        <v>1</v>
      </c>
      <c r="T4973">
        <v>1</v>
      </c>
      <c r="W4973">
        <v>1</v>
      </c>
      <c r="X4973">
        <v>1</v>
      </c>
      <c r="Y4973">
        <v>1</v>
      </c>
      <c r="Z4973">
        <v>1</v>
      </c>
      <c r="AA4973">
        <v>1</v>
      </c>
      <c r="AB4973">
        <v>1</v>
      </c>
    </row>
    <row r="4974" spans="1:28" x14ac:dyDescent="0.25">
      <c r="A4974" t="str">
        <f>"4970"</f>
        <v>4970</v>
      </c>
      <c r="B4974" t="str">
        <f t="shared" si="286"/>
        <v>1</v>
      </c>
      <c r="C4974" t="str">
        <f t="shared" si="287"/>
        <v>217</v>
      </c>
      <c r="D4974" t="str">
        <f>"25"</f>
        <v>25</v>
      </c>
      <c r="E4974" t="str">
        <f>"1-217-25"</f>
        <v>1-217-25</v>
      </c>
      <c r="F4974" t="s">
        <v>83</v>
      </c>
      <c r="G4974" t="s">
        <v>86</v>
      </c>
      <c r="H4974" t="s">
        <v>93</v>
      </c>
      <c r="I4974">
        <v>1</v>
      </c>
      <c r="K4974">
        <v>0</v>
      </c>
      <c r="L4974">
        <v>0</v>
      </c>
      <c r="M4974">
        <v>1</v>
      </c>
      <c r="N4974">
        <v>1</v>
      </c>
      <c r="O4974">
        <v>1</v>
      </c>
      <c r="P4974">
        <v>1</v>
      </c>
      <c r="Q4974">
        <v>1</v>
      </c>
      <c r="R4974">
        <v>1</v>
      </c>
      <c r="U4974">
        <v>0</v>
      </c>
      <c r="V4974">
        <v>1</v>
      </c>
      <c r="W4974">
        <v>1</v>
      </c>
      <c r="X4974">
        <v>1</v>
      </c>
      <c r="Y4974">
        <v>1</v>
      </c>
      <c r="Z4974">
        <v>1</v>
      </c>
      <c r="AA4974">
        <v>1</v>
      </c>
      <c r="AB4974">
        <v>1</v>
      </c>
    </row>
    <row r="4975" spans="1:28" x14ac:dyDescent="0.25">
      <c r="A4975" t="str">
        <f>"4971"</f>
        <v>4971</v>
      </c>
      <c r="B4975" t="str">
        <f t="shared" si="286"/>
        <v>1</v>
      </c>
      <c r="C4975" t="str">
        <f t="shared" si="287"/>
        <v>217</v>
      </c>
      <c r="D4975" t="str">
        <f>"24"</f>
        <v>24</v>
      </c>
      <c r="E4975" t="str">
        <f>"1-217-24"</f>
        <v>1-217-24</v>
      </c>
      <c r="F4975" t="s">
        <v>83</v>
      </c>
      <c r="G4975" t="s">
        <v>86</v>
      </c>
      <c r="H4975" t="s">
        <v>93</v>
      </c>
      <c r="I4975">
        <v>1</v>
      </c>
      <c r="K4975">
        <v>1</v>
      </c>
      <c r="L4975">
        <v>0</v>
      </c>
      <c r="M4975">
        <v>0</v>
      </c>
      <c r="N4975">
        <v>1</v>
      </c>
      <c r="O4975">
        <v>1</v>
      </c>
      <c r="P4975">
        <v>1</v>
      </c>
      <c r="Q4975">
        <v>1</v>
      </c>
      <c r="R4975">
        <v>1</v>
      </c>
      <c r="U4975">
        <v>0</v>
      </c>
      <c r="V4975">
        <v>1</v>
      </c>
      <c r="W4975">
        <v>1</v>
      </c>
      <c r="X4975">
        <v>1</v>
      </c>
      <c r="Y4975">
        <v>1</v>
      </c>
      <c r="Z4975">
        <v>1</v>
      </c>
      <c r="AA4975">
        <v>1</v>
      </c>
      <c r="AB4975">
        <v>1</v>
      </c>
    </row>
    <row r="4976" spans="1:28" x14ac:dyDescent="0.25">
      <c r="A4976" t="str">
        <f>"4972"</f>
        <v>4972</v>
      </c>
      <c r="B4976" t="str">
        <f t="shared" si="286"/>
        <v>1</v>
      </c>
      <c r="C4976" t="str">
        <f t="shared" si="287"/>
        <v>217</v>
      </c>
      <c r="D4976" t="str">
        <f>"16"</f>
        <v>16</v>
      </c>
      <c r="E4976" t="str">
        <f>"1-217-16"</f>
        <v>1-217-16</v>
      </c>
      <c r="F4976" t="s">
        <v>83</v>
      </c>
      <c r="G4976" t="s">
        <v>84</v>
      </c>
      <c r="H4976" t="s">
        <v>92</v>
      </c>
      <c r="I4976">
        <v>1</v>
      </c>
      <c r="J4976">
        <v>1</v>
      </c>
      <c r="N4976">
        <v>1</v>
      </c>
      <c r="O4976">
        <v>1</v>
      </c>
      <c r="P4976">
        <v>1</v>
      </c>
      <c r="Q4976">
        <v>1</v>
      </c>
      <c r="R4976">
        <v>1</v>
      </c>
      <c r="S4976">
        <v>1</v>
      </c>
      <c r="T4976">
        <v>1</v>
      </c>
      <c r="W4976">
        <v>1</v>
      </c>
      <c r="X4976">
        <v>1</v>
      </c>
      <c r="Y4976">
        <v>1</v>
      </c>
      <c r="Z4976">
        <v>1</v>
      </c>
      <c r="AA4976">
        <v>1</v>
      </c>
      <c r="AB4976">
        <v>1</v>
      </c>
    </row>
    <row r="4977" spans="1:28" x14ac:dyDescent="0.25">
      <c r="A4977" t="str">
        <f>"4973"</f>
        <v>4973</v>
      </c>
      <c r="B4977" t="str">
        <f t="shared" si="286"/>
        <v>1</v>
      </c>
      <c r="C4977" t="str">
        <f t="shared" si="287"/>
        <v>217</v>
      </c>
      <c r="D4977" t="str">
        <f>"8"</f>
        <v>8</v>
      </c>
      <c r="E4977" t="str">
        <f>"1-217-8"</f>
        <v>1-217-8</v>
      </c>
      <c r="F4977" t="s">
        <v>83</v>
      </c>
      <c r="G4977" t="s">
        <v>84</v>
      </c>
      <c r="H4977" t="s">
        <v>92</v>
      </c>
      <c r="I4977">
        <v>1</v>
      </c>
      <c r="J4977">
        <v>1</v>
      </c>
      <c r="N4977">
        <v>1</v>
      </c>
      <c r="O4977">
        <v>1</v>
      </c>
      <c r="P4977">
        <v>1</v>
      </c>
      <c r="Q4977">
        <v>1</v>
      </c>
      <c r="R4977">
        <v>1</v>
      </c>
      <c r="S4977">
        <v>1</v>
      </c>
      <c r="T4977">
        <v>1</v>
      </c>
      <c r="W4977">
        <v>1</v>
      </c>
      <c r="X4977">
        <v>1</v>
      </c>
      <c r="Y4977">
        <v>1</v>
      </c>
      <c r="Z4977">
        <v>1</v>
      </c>
      <c r="AA4977">
        <v>1</v>
      </c>
      <c r="AB4977">
        <v>1</v>
      </c>
    </row>
    <row r="4978" spans="1:28" x14ac:dyDescent="0.25">
      <c r="A4978" t="str">
        <f>"4974"</f>
        <v>4974</v>
      </c>
      <c r="B4978" t="str">
        <f t="shared" si="286"/>
        <v>1</v>
      </c>
      <c r="C4978" t="str">
        <f t="shared" si="287"/>
        <v>217</v>
      </c>
      <c r="D4978" t="str">
        <f>"2"</f>
        <v>2</v>
      </c>
      <c r="E4978" t="str">
        <f>"1-217-2"</f>
        <v>1-217-2</v>
      </c>
      <c r="F4978" t="s">
        <v>83</v>
      </c>
      <c r="G4978" t="s">
        <v>84</v>
      </c>
      <c r="H4978" t="s">
        <v>92</v>
      </c>
      <c r="I4978">
        <v>1</v>
      </c>
      <c r="J4978">
        <v>1</v>
      </c>
      <c r="N4978">
        <v>1</v>
      </c>
      <c r="O4978">
        <v>1</v>
      </c>
      <c r="P4978">
        <v>1</v>
      </c>
      <c r="Q4978">
        <v>1</v>
      </c>
      <c r="R4978">
        <v>1</v>
      </c>
      <c r="S4978">
        <v>1</v>
      </c>
      <c r="T4978">
        <v>1</v>
      </c>
      <c r="W4978">
        <v>1</v>
      </c>
      <c r="X4978">
        <v>1</v>
      </c>
      <c r="Y4978">
        <v>1</v>
      </c>
      <c r="Z4978">
        <v>1</v>
      </c>
      <c r="AA4978">
        <v>1</v>
      </c>
      <c r="AB4978">
        <v>1</v>
      </c>
    </row>
    <row r="4979" spans="1:28" x14ac:dyDescent="0.25">
      <c r="A4979" t="str">
        <f>"4975"</f>
        <v>4975</v>
      </c>
      <c r="B4979" t="str">
        <f t="shared" si="286"/>
        <v>1</v>
      </c>
      <c r="C4979" t="str">
        <f t="shared" si="287"/>
        <v>217</v>
      </c>
      <c r="D4979" t="str">
        <f>"17"</f>
        <v>17</v>
      </c>
      <c r="E4979" t="str">
        <f>"1-217-17"</f>
        <v>1-217-17</v>
      </c>
      <c r="F4979" t="s">
        <v>83</v>
      </c>
      <c r="G4979" t="s">
        <v>84</v>
      </c>
      <c r="H4979" t="s">
        <v>92</v>
      </c>
      <c r="I4979">
        <v>1</v>
      </c>
      <c r="J4979">
        <v>1</v>
      </c>
      <c r="N4979">
        <v>1</v>
      </c>
      <c r="O4979">
        <v>1</v>
      </c>
      <c r="P4979">
        <v>1</v>
      </c>
      <c r="Q4979">
        <v>1</v>
      </c>
      <c r="R4979">
        <v>1</v>
      </c>
      <c r="S4979">
        <v>1</v>
      </c>
      <c r="T4979">
        <v>0</v>
      </c>
      <c r="W4979">
        <v>1</v>
      </c>
      <c r="X4979">
        <v>1</v>
      </c>
      <c r="Y4979">
        <v>1</v>
      </c>
      <c r="Z4979">
        <v>1</v>
      </c>
      <c r="AA4979">
        <v>1</v>
      </c>
      <c r="AB4979">
        <v>1</v>
      </c>
    </row>
    <row r="4980" spans="1:28" x14ac:dyDescent="0.25">
      <c r="A4980" t="str">
        <f>"4976"</f>
        <v>4976</v>
      </c>
      <c r="B4980" t="str">
        <f t="shared" si="286"/>
        <v>1</v>
      </c>
      <c r="C4980" t="str">
        <f t="shared" si="287"/>
        <v>217</v>
      </c>
      <c r="D4980" t="str">
        <f>"10"</f>
        <v>10</v>
      </c>
      <c r="E4980" t="str">
        <f>"1-217-10"</f>
        <v>1-217-10</v>
      </c>
      <c r="F4980" t="s">
        <v>83</v>
      </c>
      <c r="G4980" t="s">
        <v>84</v>
      </c>
      <c r="H4980" t="s">
        <v>92</v>
      </c>
      <c r="I4980">
        <v>1</v>
      </c>
      <c r="J4980">
        <v>1</v>
      </c>
      <c r="N4980">
        <v>1</v>
      </c>
      <c r="O4980">
        <v>1</v>
      </c>
      <c r="P4980">
        <v>1</v>
      </c>
      <c r="Q4980">
        <v>1</v>
      </c>
      <c r="R4980">
        <v>1</v>
      </c>
      <c r="S4980">
        <v>1</v>
      </c>
      <c r="T4980">
        <v>1</v>
      </c>
      <c r="W4980">
        <v>1</v>
      </c>
      <c r="X4980">
        <v>1</v>
      </c>
      <c r="Y4980">
        <v>1</v>
      </c>
      <c r="Z4980">
        <v>1</v>
      </c>
      <c r="AA4980">
        <v>1</v>
      </c>
      <c r="AB4980">
        <v>1</v>
      </c>
    </row>
    <row r="4981" spans="1:28" x14ac:dyDescent="0.25">
      <c r="A4981" t="str">
        <f>"4977"</f>
        <v>4977</v>
      </c>
      <c r="B4981" t="str">
        <f t="shared" si="286"/>
        <v>1</v>
      </c>
      <c r="C4981" t="str">
        <f t="shared" si="287"/>
        <v>217</v>
      </c>
      <c r="D4981" t="str">
        <f>"5"</f>
        <v>5</v>
      </c>
      <c r="E4981" t="str">
        <f>"1-217-5"</f>
        <v>1-217-5</v>
      </c>
      <c r="F4981" t="s">
        <v>83</v>
      </c>
      <c r="G4981" t="s">
        <v>84</v>
      </c>
      <c r="H4981" t="s">
        <v>92</v>
      </c>
      <c r="I4981">
        <v>1</v>
      </c>
      <c r="J4981">
        <v>1</v>
      </c>
      <c r="N4981">
        <v>1</v>
      </c>
      <c r="O4981">
        <v>1</v>
      </c>
      <c r="P4981">
        <v>1</v>
      </c>
      <c r="Q4981">
        <v>1</v>
      </c>
      <c r="R4981">
        <v>1</v>
      </c>
      <c r="S4981">
        <v>1</v>
      </c>
      <c r="T4981">
        <v>1</v>
      </c>
      <c r="W4981">
        <v>1</v>
      </c>
      <c r="X4981">
        <v>1</v>
      </c>
      <c r="Y4981">
        <v>1</v>
      </c>
      <c r="Z4981">
        <v>1</v>
      </c>
      <c r="AA4981">
        <v>1</v>
      </c>
      <c r="AB4981">
        <v>1</v>
      </c>
    </row>
    <row r="4982" spans="1:28" x14ac:dyDescent="0.25">
      <c r="A4982" t="str">
        <f>"4978"</f>
        <v>4978</v>
      </c>
      <c r="B4982" t="str">
        <f t="shared" si="286"/>
        <v>1</v>
      </c>
      <c r="C4982" t="str">
        <f t="shared" si="287"/>
        <v>217</v>
      </c>
      <c r="D4982" t="str">
        <f>"18"</f>
        <v>18</v>
      </c>
      <c r="E4982" t="str">
        <f>"1-217-18"</f>
        <v>1-217-18</v>
      </c>
      <c r="F4982" t="s">
        <v>83</v>
      </c>
      <c r="G4982" t="s">
        <v>84</v>
      </c>
      <c r="H4982" t="s">
        <v>92</v>
      </c>
      <c r="I4982">
        <v>1</v>
      </c>
      <c r="J4982">
        <v>1</v>
      </c>
      <c r="N4982">
        <v>1</v>
      </c>
      <c r="O4982">
        <v>1</v>
      </c>
      <c r="P4982">
        <v>1</v>
      </c>
      <c r="Q4982">
        <v>1</v>
      </c>
      <c r="R4982">
        <v>1</v>
      </c>
      <c r="S4982">
        <v>1</v>
      </c>
      <c r="T4982">
        <v>1</v>
      </c>
      <c r="W4982">
        <v>1</v>
      </c>
      <c r="X4982">
        <v>1</v>
      </c>
      <c r="Y4982">
        <v>1</v>
      </c>
      <c r="Z4982">
        <v>1</v>
      </c>
      <c r="AA4982">
        <v>1</v>
      </c>
      <c r="AB4982">
        <v>1</v>
      </c>
    </row>
    <row r="4983" spans="1:28" x14ac:dyDescent="0.25">
      <c r="A4983" t="str">
        <f>"4979"</f>
        <v>4979</v>
      </c>
      <c r="B4983" t="str">
        <f t="shared" si="286"/>
        <v>1</v>
      </c>
      <c r="C4983" t="str">
        <f t="shared" si="287"/>
        <v>217</v>
      </c>
      <c r="D4983" t="str">
        <f>"11"</f>
        <v>11</v>
      </c>
      <c r="E4983" t="str">
        <f>"1-217-11"</f>
        <v>1-217-11</v>
      </c>
      <c r="F4983" t="s">
        <v>83</v>
      </c>
      <c r="G4983" t="s">
        <v>84</v>
      </c>
      <c r="H4983" t="s">
        <v>92</v>
      </c>
      <c r="I4983">
        <v>1</v>
      </c>
      <c r="J4983">
        <v>1</v>
      </c>
      <c r="N4983">
        <v>1</v>
      </c>
      <c r="O4983">
        <v>1</v>
      </c>
      <c r="P4983">
        <v>1</v>
      </c>
      <c r="Q4983">
        <v>1</v>
      </c>
      <c r="R4983">
        <v>1</v>
      </c>
      <c r="S4983">
        <v>1</v>
      </c>
      <c r="T4983">
        <v>1</v>
      </c>
      <c r="W4983">
        <v>1</v>
      </c>
      <c r="X4983">
        <v>1</v>
      </c>
      <c r="Y4983">
        <v>1</v>
      </c>
      <c r="Z4983">
        <v>1</v>
      </c>
      <c r="AA4983">
        <v>1</v>
      </c>
      <c r="AB4983">
        <v>1</v>
      </c>
    </row>
    <row r="4984" spans="1:28" x14ac:dyDescent="0.25">
      <c r="A4984" t="str">
        <f>"4980"</f>
        <v>4980</v>
      </c>
      <c r="B4984" t="str">
        <f t="shared" si="286"/>
        <v>1</v>
      </c>
      <c r="C4984" t="str">
        <f t="shared" si="287"/>
        <v>217</v>
      </c>
      <c r="D4984" t="str">
        <f>"6"</f>
        <v>6</v>
      </c>
      <c r="E4984" t="str">
        <f>"1-217-6"</f>
        <v>1-217-6</v>
      </c>
      <c r="F4984" t="s">
        <v>83</v>
      </c>
      <c r="G4984" t="s">
        <v>84</v>
      </c>
      <c r="H4984" t="s">
        <v>92</v>
      </c>
      <c r="I4984">
        <v>1</v>
      </c>
      <c r="J4984">
        <v>1</v>
      </c>
      <c r="N4984">
        <v>1</v>
      </c>
      <c r="O4984">
        <v>1</v>
      </c>
      <c r="P4984">
        <v>1</v>
      </c>
      <c r="Q4984">
        <v>1</v>
      </c>
      <c r="R4984">
        <v>1</v>
      </c>
      <c r="S4984">
        <v>1</v>
      </c>
      <c r="T4984">
        <v>1</v>
      </c>
      <c r="W4984">
        <v>1</v>
      </c>
      <c r="X4984">
        <v>1</v>
      </c>
      <c r="Y4984">
        <v>1</v>
      </c>
      <c r="Z4984">
        <v>1</v>
      </c>
      <c r="AA4984">
        <v>1</v>
      </c>
      <c r="AB4984">
        <v>1</v>
      </c>
    </row>
    <row r="4985" spans="1:28" x14ac:dyDescent="0.25">
      <c r="A4985" t="str">
        <f>"4981"</f>
        <v>4981</v>
      </c>
      <c r="B4985" t="str">
        <f t="shared" si="286"/>
        <v>1</v>
      </c>
      <c r="C4985" t="str">
        <f t="shared" si="287"/>
        <v>217</v>
      </c>
      <c r="D4985" t="str">
        <f>"19"</f>
        <v>19</v>
      </c>
      <c r="E4985" t="str">
        <f>"1-217-19"</f>
        <v>1-217-19</v>
      </c>
      <c r="F4985" t="s">
        <v>83</v>
      </c>
      <c r="G4985" t="s">
        <v>86</v>
      </c>
      <c r="H4985" t="s">
        <v>93</v>
      </c>
      <c r="I4985">
        <v>1</v>
      </c>
      <c r="K4985">
        <v>0</v>
      </c>
      <c r="L4985">
        <v>0</v>
      </c>
      <c r="M4985">
        <v>1</v>
      </c>
      <c r="N4985">
        <v>1</v>
      </c>
      <c r="O4985">
        <v>1</v>
      </c>
      <c r="P4985">
        <v>1</v>
      </c>
      <c r="Q4985">
        <v>1</v>
      </c>
      <c r="R4985">
        <v>1</v>
      </c>
      <c r="U4985">
        <v>1</v>
      </c>
      <c r="V4985">
        <v>0</v>
      </c>
      <c r="W4985">
        <v>0</v>
      </c>
      <c r="X4985">
        <v>1</v>
      </c>
      <c r="Y4985">
        <v>1</v>
      </c>
      <c r="Z4985">
        <v>0</v>
      </c>
      <c r="AA4985">
        <v>0</v>
      </c>
      <c r="AB4985">
        <v>0</v>
      </c>
    </row>
    <row r="4986" spans="1:28" x14ac:dyDescent="0.25">
      <c r="A4986" t="str">
        <f>"4982"</f>
        <v>4982</v>
      </c>
      <c r="B4986" t="str">
        <f t="shared" si="286"/>
        <v>1</v>
      </c>
      <c r="C4986" t="str">
        <f t="shared" si="287"/>
        <v>217</v>
      </c>
      <c r="D4986" t="str">
        <f>"12"</f>
        <v>12</v>
      </c>
      <c r="E4986" t="str">
        <f>"1-217-12"</f>
        <v>1-217-12</v>
      </c>
      <c r="F4986" t="s">
        <v>83</v>
      </c>
      <c r="G4986" t="s">
        <v>84</v>
      </c>
      <c r="H4986" t="s">
        <v>92</v>
      </c>
      <c r="I4986">
        <v>1</v>
      </c>
      <c r="J4986">
        <v>1</v>
      </c>
      <c r="N4986">
        <v>1</v>
      </c>
      <c r="O4986">
        <v>1</v>
      </c>
      <c r="P4986">
        <v>1</v>
      </c>
      <c r="Q4986">
        <v>1</v>
      </c>
      <c r="R4986">
        <v>1</v>
      </c>
      <c r="S4986">
        <v>1</v>
      </c>
      <c r="T4986">
        <v>1</v>
      </c>
      <c r="W4986">
        <v>1</v>
      </c>
      <c r="X4986">
        <v>1</v>
      </c>
      <c r="Y4986">
        <v>1</v>
      </c>
      <c r="Z4986">
        <v>1</v>
      </c>
      <c r="AA4986">
        <v>1</v>
      </c>
      <c r="AB4986">
        <v>1</v>
      </c>
    </row>
    <row r="4987" spans="1:28" x14ac:dyDescent="0.25">
      <c r="A4987" t="str">
        <f>"4983"</f>
        <v>4983</v>
      </c>
      <c r="B4987" t="str">
        <f t="shared" si="286"/>
        <v>1</v>
      </c>
      <c r="C4987" t="str">
        <f t="shared" si="287"/>
        <v>217</v>
      </c>
      <c r="D4987" t="str">
        <f>"1"</f>
        <v>1</v>
      </c>
      <c r="E4987" t="str">
        <f>"1-217-1"</f>
        <v>1-217-1</v>
      </c>
      <c r="F4987" t="s">
        <v>83</v>
      </c>
      <c r="G4987" t="s">
        <v>84</v>
      </c>
      <c r="H4987" t="s">
        <v>92</v>
      </c>
      <c r="I4987">
        <v>1</v>
      </c>
      <c r="J4987">
        <v>1</v>
      </c>
      <c r="N4987">
        <v>1</v>
      </c>
      <c r="O4987">
        <v>1</v>
      </c>
      <c r="P4987">
        <v>1</v>
      </c>
      <c r="Q4987">
        <v>1</v>
      </c>
      <c r="R4987">
        <v>1</v>
      </c>
      <c r="S4987">
        <v>1</v>
      </c>
      <c r="T4987">
        <v>1</v>
      </c>
      <c r="W4987">
        <v>1</v>
      </c>
      <c r="X4987">
        <v>1</v>
      </c>
      <c r="Y4987">
        <v>1</v>
      </c>
      <c r="Z4987">
        <v>1</v>
      </c>
      <c r="AA4987">
        <v>1</v>
      </c>
      <c r="AB4987">
        <v>1</v>
      </c>
    </row>
    <row r="4988" spans="1:28" x14ac:dyDescent="0.25">
      <c r="A4988" t="str">
        <f>"4984"</f>
        <v>4984</v>
      </c>
      <c r="B4988" t="str">
        <f t="shared" si="286"/>
        <v>1</v>
      </c>
      <c r="C4988" t="str">
        <f t="shared" si="287"/>
        <v>217</v>
      </c>
      <c r="D4988" t="str">
        <f>"20"</f>
        <v>20</v>
      </c>
      <c r="E4988" t="str">
        <f>"1-217-20"</f>
        <v>1-217-20</v>
      </c>
      <c r="F4988" t="s">
        <v>83</v>
      </c>
      <c r="G4988" t="s">
        <v>86</v>
      </c>
      <c r="H4988" t="s">
        <v>93</v>
      </c>
      <c r="I4988">
        <v>1</v>
      </c>
      <c r="K4988">
        <v>0</v>
      </c>
      <c r="L4988">
        <v>0</v>
      </c>
      <c r="M4988">
        <v>1</v>
      </c>
      <c r="N4988">
        <v>0</v>
      </c>
      <c r="O4988">
        <v>0</v>
      </c>
      <c r="P4988">
        <v>0</v>
      </c>
      <c r="Q4988">
        <v>0</v>
      </c>
      <c r="R4988">
        <v>0</v>
      </c>
      <c r="U4988">
        <v>0</v>
      </c>
      <c r="V4988">
        <v>1</v>
      </c>
      <c r="W4988">
        <v>0</v>
      </c>
      <c r="X4988">
        <v>0</v>
      </c>
      <c r="Y4988">
        <v>0</v>
      </c>
      <c r="Z4988">
        <v>0</v>
      </c>
      <c r="AA4988">
        <v>0</v>
      </c>
      <c r="AB4988">
        <v>0</v>
      </c>
    </row>
    <row r="4989" spans="1:28" x14ac:dyDescent="0.25">
      <c r="A4989" t="str">
        <f>"4985"</f>
        <v>4985</v>
      </c>
      <c r="B4989" t="str">
        <f t="shared" si="286"/>
        <v>1</v>
      </c>
      <c r="C4989" t="str">
        <f t="shared" si="287"/>
        <v>217</v>
      </c>
      <c r="D4989" t="str">
        <f>"13"</f>
        <v>13</v>
      </c>
      <c r="E4989" t="str">
        <f>"1-217-13"</f>
        <v>1-217-13</v>
      </c>
      <c r="F4989" t="s">
        <v>83</v>
      </c>
      <c r="G4989" t="s">
        <v>84</v>
      </c>
      <c r="H4989" t="s">
        <v>92</v>
      </c>
      <c r="I4989">
        <v>1</v>
      </c>
      <c r="J4989">
        <v>1</v>
      </c>
      <c r="N4989">
        <v>1</v>
      </c>
      <c r="O4989">
        <v>1</v>
      </c>
      <c r="P4989">
        <v>1</v>
      </c>
      <c r="Q4989">
        <v>1</v>
      </c>
      <c r="R4989">
        <v>1</v>
      </c>
      <c r="S4989">
        <v>1</v>
      </c>
      <c r="T4989">
        <v>1</v>
      </c>
      <c r="W4989">
        <v>1</v>
      </c>
      <c r="X4989">
        <v>1</v>
      </c>
      <c r="Y4989">
        <v>1</v>
      </c>
      <c r="Z4989">
        <v>1</v>
      </c>
      <c r="AA4989">
        <v>1</v>
      </c>
      <c r="AB4989">
        <v>1</v>
      </c>
    </row>
    <row r="4990" spans="1:28" x14ac:dyDescent="0.25">
      <c r="A4990" t="str">
        <f>"4986"</f>
        <v>4986</v>
      </c>
      <c r="B4990" t="str">
        <f t="shared" si="286"/>
        <v>1</v>
      </c>
      <c r="C4990" t="str">
        <f t="shared" si="287"/>
        <v>217</v>
      </c>
      <c r="D4990" t="str">
        <f>"7"</f>
        <v>7</v>
      </c>
      <c r="E4990" t="str">
        <f>"1-217-7"</f>
        <v>1-217-7</v>
      </c>
      <c r="F4990" t="s">
        <v>83</v>
      </c>
      <c r="G4990" t="s">
        <v>84</v>
      </c>
      <c r="H4990" t="s">
        <v>92</v>
      </c>
      <c r="I4990">
        <v>1</v>
      </c>
      <c r="J4990">
        <v>1</v>
      </c>
      <c r="N4990">
        <v>1</v>
      </c>
      <c r="O4990">
        <v>1</v>
      </c>
      <c r="P4990">
        <v>1</v>
      </c>
      <c r="Q4990">
        <v>1</v>
      </c>
      <c r="R4990">
        <v>1</v>
      </c>
      <c r="S4990">
        <v>1</v>
      </c>
      <c r="T4990">
        <v>1</v>
      </c>
      <c r="W4990">
        <v>1</v>
      </c>
      <c r="X4990">
        <v>1</v>
      </c>
      <c r="Y4990">
        <v>1</v>
      </c>
      <c r="Z4990">
        <v>1</v>
      </c>
      <c r="AA4990">
        <v>1</v>
      </c>
      <c r="AB4990">
        <v>1</v>
      </c>
    </row>
    <row r="4991" spans="1:28" x14ac:dyDescent="0.25">
      <c r="A4991" t="str">
        <f>"4987"</f>
        <v>4987</v>
      </c>
      <c r="B4991" t="str">
        <f t="shared" si="286"/>
        <v>1</v>
      </c>
      <c r="C4991" t="str">
        <f t="shared" si="287"/>
        <v>217</v>
      </c>
      <c r="D4991" t="str">
        <f>"21"</f>
        <v>21</v>
      </c>
      <c r="E4991" t="str">
        <f>"1-217-21"</f>
        <v>1-217-21</v>
      </c>
      <c r="F4991" t="s">
        <v>83</v>
      </c>
      <c r="G4991" t="s">
        <v>86</v>
      </c>
      <c r="H4991" t="s">
        <v>93</v>
      </c>
      <c r="I4991">
        <v>0</v>
      </c>
      <c r="K4991">
        <v>1</v>
      </c>
      <c r="L4991">
        <v>0</v>
      </c>
      <c r="M4991">
        <v>0</v>
      </c>
      <c r="N4991">
        <v>1</v>
      </c>
      <c r="O4991">
        <v>1</v>
      </c>
      <c r="P4991">
        <v>0</v>
      </c>
      <c r="Q4991">
        <v>0</v>
      </c>
      <c r="R4991">
        <v>0</v>
      </c>
      <c r="U4991">
        <v>0</v>
      </c>
      <c r="V4991">
        <v>0</v>
      </c>
      <c r="W4991">
        <v>0</v>
      </c>
      <c r="X4991">
        <v>0</v>
      </c>
      <c r="Y4991">
        <v>0</v>
      </c>
      <c r="Z4991">
        <v>0</v>
      </c>
      <c r="AA4991">
        <v>0</v>
      </c>
      <c r="AB4991">
        <v>0</v>
      </c>
    </row>
    <row r="4992" spans="1:28" x14ac:dyDescent="0.25">
      <c r="A4992" t="str">
        <f>"4988"</f>
        <v>4988</v>
      </c>
      <c r="B4992" t="str">
        <f t="shared" si="286"/>
        <v>1</v>
      </c>
      <c r="C4992" t="str">
        <f t="shared" si="287"/>
        <v>217</v>
      </c>
      <c r="D4992" t="str">
        <f>"14"</f>
        <v>14</v>
      </c>
      <c r="E4992" t="str">
        <f>"1-217-14"</f>
        <v>1-217-14</v>
      </c>
      <c r="F4992" t="s">
        <v>83</v>
      </c>
      <c r="G4992" t="s">
        <v>84</v>
      </c>
      <c r="H4992" t="s">
        <v>92</v>
      </c>
      <c r="I4992">
        <v>1</v>
      </c>
      <c r="J4992">
        <v>1</v>
      </c>
      <c r="N4992">
        <v>1</v>
      </c>
      <c r="O4992">
        <v>1</v>
      </c>
      <c r="P4992">
        <v>1</v>
      </c>
      <c r="Q4992">
        <v>1</v>
      </c>
      <c r="R4992">
        <v>1</v>
      </c>
      <c r="S4992">
        <v>1</v>
      </c>
      <c r="T4992">
        <v>1</v>
      </c>
      <c r="W4992">
        <v>1</v>
      </c>
      <c r="X4992">
        <v>1</v>
      </c>
      <c r="Y4992">
        <v>1</v>
      </c>
      <c r="Z4992">
        <v>0</v>
      </c>
      <c r="AA4992">
        <v>1</v>
      </c>
      <c r="AB4992">
        <v>1</v>
      </c>
    </row>
    <row r="4993" spans="1:28" x14ac:dyDescent="0.25">
      <c r="A4993" t="str">
        <f>"4989"</f>
        <v>4989</v>
      </c>
      <c r="B4993" t="str">
        <f t="shared" si="286"/>
        <v>1</v>
      </c>
      <c r="C4993" t="str">
        <f t="shared" si="287"/>
        <v>217</v>
      </c>
      <c r="D4993" t="str">
        <f>"3"</f>
        <v>3</v>
      </c>
      <c r="E4993" t="str">
        <f>"1-217-3"</f>
        <v>1-217-3</v>
      </c>
      <c r="F4993" t="s">
        <v>83</v>
      </c>
      <c r="G4993" t="s">
        <v>84</v>
      </c>
      <c r="H4993" t="s">
        <v>92</v>
      </c>
      <c r="I4993">
        <v>1</v>
      </c>
      <c r="J4993">
        <v>1</v>
      </c>
      <c r="N4993">
        <v>1</v>
      </c>
      <c r="O4993">
        <v>1</v>
      </c>
      <c r="P4993">
        <v>1</v>
      </c>
      <c r="Q4993">
        <v>1</v>
      </c>
      <c r="R4993">
        <v>1</v>
      </c>
      <c r="S4993">
        <v>1</v>
      </c>
      <c r="T4993">
        <v>1</v>
      </c>
      <c r="W4993">
        <v>1</v>
      </c>
      <c r="X4993">
        <v>1</v>
      </c>
      <c r="Y4993">
        <v>1</v>
      </c>
      <c r="Z4993">
        <v>1</v>
      </c>
      <c r="AA4993">
        <v>1</v>
      </c>
      <c r="AB4993">
        <v>1</v>
      </c>
    </row>
    <row r="4994" spans="1:28" x14ac:dyDescent="0.25">
      <c r="A4994" t="str">
        <f>"4990"</f>
        <v>4990</v>
      </c>
      <c r="B4994" t="str">
        <f t="shared" si="286"/>
        <v>1</v>
      </c>
      <c r="C4994" t="str">
        <f t="shared" ref="C4994:C5018" si="288">"218"</f>
        <v>218</v>
      </c>
      <c r="D4994" t="str">
        <f>"23"</f>
        <v>23</v>
      </c>
      <c r="E4994" t="str">
        <f>"1-218-23"</f>
        <v>1-218-23</v>
      </c>
      <c r="F4994" t="s">
        <v>83</v>
      </c>
      <c r="G4994" t="s">
        <v>90</v>
      </c>
      <c r="H4994" t="s">
        <v>94</v>
      </c>
      <c r="I4994">
        <v>0</v>
      </c>
      <c r="K4994">
        <v>1</v>
      </c>
      <c r="L4994">
        <v>0</v>
      </c>
      <c r="M4994">
        <v>0</v>
      </c>
      <c r="N4994">
        <v>0</v>
      </c>
      <c r="O4994">
        <v>0</v>
      </c>
      <c r="P4994">
        <v>0</v>
      </c>
      <c r="Q4994">
        <v>0</v>
      </c>
      <c r="R4994">
        <v>0</v>
      </c>
      <c r="S4994">
        <v>0</v>
      </c>
      <c r="U4994">
        <v>0</v>
      </c>
      <c r="V4994">
        <v>1</v>
      </c>
      <c r="W4994">
        <v>0</v>
      </c>
      <c r="X4994">
        <v>0</v>
      </c>
      <c r="Y4994">
        <v>0</v>
      </c>
      <c r="Z4994">
        <v>0</v>
      </c>
      <c r="AA4994">
        <v>0</v>
      </c>
      <c r="AB4994">
        <v>0</v>
      </c>
    </row>
    <row r="4995" spans="1:28" x14ac:dyDescent="0.25">
      <c r="A4995" t="str">
        <f>"4991"</f>
        <v>4991</v>
      </c>
      <c r="B4995" t="str">
        <f t="shared" si="286"/>
        <v>1</v>
      </c>
      <c r="C4995" t="str">
        <f t="shared" si="288"/>
        <v>218</v>
      </c>
      <c r="D4995" t="str">
        <f>"22"</f>
        <v>22</v>
      </c>
      <c r="E4995" t="str">
        <f>"1-218-22"</f>
        <v>1-218-22</v>
      </c>
      <c r="F4995" t="s">
        <v>83</v>
      </c>
      <c r="G4995" t="s">
        <v>86</v>
      </c>
      <c r="H4995" t="s">
        <v>93</v>
      </c>
      <c r="I4995">
        <v>0</v>
      </c>
      <c r="K4995">
        <v>0</v>
      </c>
      <c r="L4995">
        <v>0</v>
      </c>
      <c r="M4995">
        <v>1</v>
      </c>
      <c r="N4995">
        <v>0</v>
      </c>
      <c r="O4995">
        <v>0</v>
      </c>
      <c r="P4995">
        <v>0</v>
      </c>
      <c r="Q4995">
        <v>0</v>
      </c>
      <c r="R4995">
        <v>0</v>
      </c>
      <c r="U4995">
        <v>0</v>
      </c>
      <c r="V4995">
        <v>1</v>
      </c>
      <c r="W4995">
        <v>0</v>
      </c>
      <c r="X4995">
        <v>0</v>
      </c>
      <c r="Y4995">
        <v>0</v>
      </c>
      <c r="Z4995">
        <v>0</v>
      </c>
      <c r="AA4995">
        <v>0</v>
      </c>
      <c r="AB4995">
        <v>0</v>
      </c>
    </row>
    <row r="4996" spans="1:28" x14ac:dyDescent="0.25">
      <c r="A4996" t="str">
        <f>"4992"</f>
        <v>4992</v>
      </c>
      <c r="B4996" t="str">
        <f t="shared" si="286"/>
        <v>1</v>
      </c>
      <c r="C4996" t="str">
        <f t="shared" si="288"/>
        <v>218</v>
      </c>
      <c r="D4996" t="str">
        <f>"16"</f>
        <v>16</v>
      </c>
      <c r="E4996" t="str">
        <f>"1-218-16"</f>
        <v>1-218-16</v>
      </c>
      <c r="F4996" t="s">
        <v>83</v>
      </c>
      <c r="G4996" t="s">
        <v>84</v>
      </c>
      <c r="H4996" t="s">
        <v>92</v>
      </c>
      <c r="I4996">
        <v>1</v>
      </c>
      <c r="J4996">
        <v>1</v>
      </c>
      <c r="N4996">
        <v>1</v>
      </c>
      <c r="O4996">
        <v>1</v>
      </c>
      <c r="P4996">
        <v>1</v>
      </c>
      <c r="Q4996">
        <v>1</v>
      </c>
      <c r="R4996">
        <v>1</v>
      </c>
      <c r="S4996">
        <v>1</v>
      </c>
      <c r="T4996">
        <v>1</v>
      </c>
      <c r="W4996">
        <v>1</v>
      </c>
      <c r="X4996">
        <v>1</v>
      </c>
      <c r="Y4996">
        <v>1</v>
      </c>
      <c r="Z4996">
        <v>1</v>
      </c>
      <c r="AA4996">
        <v>1</v>
      </c>
      <c r="AB4996">
        <v>1</v>
      </c>
    </row>
    <row r="4997" spans="1:28" x14ac:dyDescent="0.25">
      <c r="A4997" t="str">
        <f>"4993"</f>
        <v>4993</v>
      </c>
      <c r="B4997" t="str">
        <f t="shared" si="286"/>
        <v>1</v>
      </c>
      <c r="C4997" t="str">
        <f t="shared" si="288"/>
        <v>218</v>
      </c>
      <c r="D4997" t="str">
        <f>"8"</f>
        <v>8</v>
      </c>
      <c r="E4997" t="str">
        <f>"1-218-8"</f>
        <v>1-218-8</v>
      </c>
      <c r="F4997" t="s">
        <v>83</v>
      </c>
      <c r="G4997" t="s">
        <v>84</v>
      </c>
      <c r="H4997" t="s">
        <v>92</v>
      </c>
      <c r="I4997">
        <v>1</v>
      </c>
      <c r="J4997">
        <v>1</v>
      </c>
      <c r="N4997">
        <v>1</v>
      </c>
      <c r="O4997">
        <v>1</v>
      </c>
      <c r="P4997">
        <v>1</v>
      </c>
      <c r="Q4997">
        <v>1</v>
      </c>
      <c r="R4997">
        <v>1</v>
      </c>
      <c r="S4997">
        <v>1</v>
      </c>
      <c r="T4997">
        <v>1</v>
      </c>
      <c r="W4997">
        <v>1</v>
      </c>
      <c r="X4997">
        <v>1</v>
      </c>
      <c r="Y4997">
        <v>1</v>
      </c>
      <c r="Z4997">
        <v>1</v>
      </c>
      <c r="AA4997">
        <v>1</v>
      </c>
      <c r="AB4997">
        <v>1</v>
      </c>
    </row>
    <row r="4998" spans="1:28" x14ac:dyDescent="0.25">
      <c r="A4998" t="str">
        <f>"4994"</f>
        <v>4994</v>
      </c>
      <c r="B4998" t="str">
        <f t="shared" si="286"/>
        <v>1</v>
      </c>
      <c r="C4998" t="str">
        <f t="shared" si="288"/>
        <v>218</v>
      </c>
      <c r="D4998" t="str">
        <f>"5"</f>
        <v>5</v>
      </c>
      <c r="E4998" t="str">
        <f>"1-218-5"</f>
        <v>1-218-5</v>
      </c>
      <c r="F4998" t="s">
        <v>83</v>
      </c>
      <c r="G4998" t="s">
        <v>84</v>
      </c>
      <c r="H4998" t="s">
        <v>92</v>
      </c>
      <c r="I4998">
        <v>1</v>
      </c>
      <c r="J4998">
        <v>1</v>
      </c>
      <c r="N4998">
        <v>1</v>
      </c>
      <c r="O4998">
        <v>1</v>
      </c>
      <c r="P4998">
        <v>1</v>
      </c>
      <c r="Q4998">
        <v>1</v>
      </c>
      <c r="R4998">
        <v>1</v>
      </c>
      <c r="S4998">
        <v>1</v>
      </c>
      <c r="T4998">
        <v>1</v>
      </c>
      <c r="W4998">
        <v>1</v>
      </c>
      <c r="X4998">
        <v>1</v>
      </c>
      <c r="Y4998">
        <v>1</v>
      </c>
      <c r="Z4998">
        <v>1</v>
      </c>
      <c r="AA4998">
        <v>1</v>
      </c>
      <c r="AB4998">
        <v>1</v>
      </c>
    </row>
    <row r="4999" spans="1:28" x14ac:dyDescent="0.25">
      <c r="A4999" t="str">
        <f>"4995"</f>
        <v>4995</v>
      </c>
      <c r="B4999" t="str">
        <f t="shared" si="286"/>
        <v>1</v>
      </c>
      <c r="C4999" t="str">
        <f t="shared" si="288"/>
        <v>218</v>
      </c>
      <c r="D4999" t="str">
        <f>"25"</f>
        <v>25</v>
      </c>
      <c r="E4999" t="str">
        <f>"1-218-25"</f>
        <v>1-218-25</v>
      </c>
      <c r="F4999" t="s">
        <v>83</v>
      </c>
      <c r="G4999" t="s">
        <v>84</v>
      </c>
      <c r="H4999" t="s">
        <v>92</v>
      </c>
      <c r="I4999">
        <v>1</v>
      </c>
      <c r="J4999">
        <v>0</v>
      </c>
      <c r="N4999">
        <v>1</v>
      </c>
      <c r="O4999">
        <v>0</v>
      </c>
      <c r="P4999">
        <v>0</v>
      </c>
      <c r="Q4999">
        <v>0</v>
      </c>
      <c r="R4999">
        <v>1</v>
      </c>
      <c r="S4999">
        <v>0</v>
      </c>
      <c r="T4999">
        <v>0</v>
      </c>
      <c r="W4999">
        <v>1</v>
      </c>
      <c r="X4999">
        <v>0</v>
      </c>
      <c r="Y4999">
        <v>0</v>
      </c>
      <c r="Z4999">
        <v>0</v>
      </c>
      <c r="AA4999">
        <v>1</v>
      </c>
      <c r="AB4999">
        <v>0</v>
      </c>
    </row>
    <row r="5000" spans="1:28" x14ac:dyDescent="0.25">
      <c r="A5000" t="str">
        <f>"4996"</f>
        <v>4996</v>
      </c>
      <c r="B5000" t="str">
        <f t="shared" si="286"/>
        <v>1</v>
      </c>
      <c r="C5000" t="str">
        <f t="shared" si="288"/>
        <v>218</v>
      </c>
      <c r="D5000" t="str">
        <f>"24"</f>
        <v>24</v>
      </c>
      <c r="E5000" t="str">
        <f>"1-218-24"</f>
        <v>1-218-24</v>
      </c>
      <c r="F5000" t="s">
        <v>83</v>
      </c>
      <c r="G5000" t="s">
        <v>84</v>
      </c>
      <c r="H5000" t="s">
        <v>92</v>
      </c>
      <c r="I5000">
        <v>1</v>
      </c>
      <c r="J5000">
        <v>1</v>
      </c>
      <c r="N5000">
        <v>1</v>
      </c>
      <c r="O5000">
        <v>1</v>
      </c>
      <c r="P5000">
        <v>1</v>
      </c>
      <c r="Q5000">
        <v>1</v>
      </c>
      <c r="R5000">
        <v>1</v>
      </c>
      <c r="S5000">
        <v>1</v>
      </c>
      <c r="T5000">
        <v>1</v>
      </c>
      <c r="W5000">
        <v>0</v>
      </c>
      <c r="X5000">
        <v>1</v>
      </c>
      <c r="Y5000">
        <v>1</v>
      </c>
      <c r="Z5000">
        <v>1</v>
      </c>
      <c r="AA5000">
        <v>1</v>
      </c>
      <c r="AB5000">
        <v>1</v>
      </c>
    </row>
    <row r="5001" spans="1:28" x14ac:dyDescent="0.25">
      <c r="A5001" t="str">
        <f>"4997"</f>
        <v>4997</v>
      </c>
      <c r="B5001" t="str">
        <f t="shared" si="286"/>
        <v>1</v>
      </c>
      <c r="C5001" t="str">
        <f t="shared" si="288"/>
        <v>218</v>
      </c>
      <c r="D5001" t="str">
        <f>"15"</f>
        <v>15</v>
      </c>
      <c r="E5001" t="str">
        <f>"1-218-15"</f>
        <v>1-218-15</v>
      </c>
      <c r="F5001" t="s">
        <v>83</v>
      </c>
      <c r="G5001" t="s">
        <v>86</v>
      </c>
      <c r="H5001" t="s">
        <v>93</v>
      </c>
      <c r="I5001">
        <v>1</v>
      </c>
      <c r="K5001">
        <v>0</v>
      </c>
      <c r="L5001">
        <v>0</v>
      </c>
      <c r="M5001">
        <v>1</v>
      </c>
      <c r="N5001">
        <v>1</v>
      </c>
      <c r="O5001">
        <v>1</v>
      </c>
      <c r="P5001">
        <v>1</v>
      </c>
      <c r="Q5001">
        <v>1</v>
      </c>
      <c r="R5001">
        <v>1</v>
      </c>
      <c r="U5001">
        <v>0</v>
      </c>
      <c r="V5001">
        <v>1</v>
      </c>
      <c r="W5001">
        <v>1</v>
      </c>
      <c r="X5001">
        <v>1</v>
      </c>
      <c r="Y5001">
        <v>1</v>
      </c>
      <c r="Z5001">
        <v>1</v>
      </c>
      <c r="AA5001">
        <v>1</v>
      </c>
      <c r="AB5001">
        <v>1</v>
      </c>
    </row>
    <row r="5002" spans="1:28" x14ac:dyDescent="0.25">
      <c r="A5002" t="str">
        <f>"4998"</f>
        <v>4998</v>
      </c>
      <c r="B5002" t="str">
        <f t="shared" si="286"/>
        <v>1</v>
      </c>
      <c r="C5002" t="str">
        <f t="shared" si="288"/>
        <v>218</v>
      </c>
      <c r="D5002" t="str">
        <f>"9"</f>
        <v>9</v>
      </c>
      <c r="E5002" t="str">
        <f>"1-218-9"</f>
        <v>1-218-9</v>
      </c>
      <c r="F5002" t="s">
        <v>83</v>
      </c>
      <c r="G5002" t="s">
        <v>84</v>
      </c>
      <c r="H5002" t="s">
        <v>92</v>
      </c>
      <c r="I5002">
        <v>1</v>
      </c>
      <c r="J5002">
        <v>1</v>
      </c>
      <c r="N5002">
        <v>1</v>
      </c>
      <c r="O5002">
        <v>1</v>
      </c>
      <c r="P5002">
        <v>1</v>
      </c>
      <c r="Q5002">
        <v>1</v>
      </c>
      <c r="R5002">
        <v>1</v>
      </c>
      <c r="S5002">
        <v>1</v>
      </c>
      <c r="T5002">
        <v>1</v>
      </c>
      <c r="W5002">
        <v>1</v>
      </c>
      <c r="X5002">
        <v>1</v>
      </c>
      <c r="Y5002">
        <v>1</v>
      </c>
      <c r="Z5002">
        <v>1</v>
      </c>
      <c r="AA5002">
        <v>1</v>
      </c>
      <c r="AB5002">
        <v>1</v>
      </c>
    </row>
    <row r="5003" spans="1:28" x14ac:dyDescent="0.25">
      <c r="A5003" t="str">
        <f>"4999"</f>
        <v>4999</v>
      </c>
      <c r="B5003" t="str">
        <f t="shared" si="286"/>
        <v>1</v>
      </c>
      <c r="C5003" t="str">
        <f t="shared" si="288"/>
        <v>218</v>
      </c>
      <c r="D5003" t="str">
        <f>"4"</f>
        <v>4</v>
      </c>
      <c r="E5003" t="str">
        <f>"1-218-4"</f>
        <v>1-218-4</v>
      </c>
      <c r="F5003" t="s">
        <v>83</v>
      </c>
      <c r="G5003" t="s">
        <v>84</v>
      </c>
      <c r="H5003" t="s">
        <v>92</v>
      </c>
      <c r="I5003">
        <v>1</v>
      </c>
      <c r="J5003">
        <v>1</v>
      </c>
      <c r="N5003">
        <v>1</v>
      </c>
      <c r="O5003">
        <v>1</v>
      </c>
      <c r="P5003">
        <v>1</v>
      </c>
      <c r="Q5003">
        <v>1</v>
      </c>
      <c r="R5003">
        <v>1</v>
      </c>
      <c r="S5003">
        <v>1</v>
      </c>
      <c r="T5003">
        <v>1</v>
      </c>
      <c r="W5003">
        <v>1</v>
      </c>
      <c r="X5003">
        <v>1</v>
      </c>
      <c r="Y5003">
        <v>1</v>
      </c>
      <c r="Z5003">
        <v>1</v>
      </c>
      <c r="AA5003">
        <v>1</v>
      </c>
      <c r="AB5003">
        <v>1</v>
      </c>
    </row>
    <row r="5004" spans="1:28" x14ac:dyDescent="0.25">
      <c r="A5004" t="str">
        <f>"5000"</f>
        <v>5000</v>
      </c>
      <c r="B5004" t="str">
        <f t="shared" si="286"/>
        <v>1</v>
      </c>
      <c r="C5004" t="str">
        <f t="shared" si="288"/>
        <v>218</v>
      </c>
      <c r="D5004" t="str">
        <f>"17"</f>
        <v>17</v>
      </c>
      <c r="E5004" t="str">
        <f>"1-218-17"</f>
        <v>1-218-17</v>
      </c>
      <c r="F5004" t="s">
        <v>83</v>
      </c>
      <c r="G5004" t="s">
        <v>86</v>
      </c>
      <c r="H5004" t="s">
        <v>93</v>
      </c>
      <c r="I5004">
        <v>1</v>
      </c>
      <c r="K5004">
        <v>0</v>
      </c>
      <c r="L5004">
        <v>0</v>
      </c>
      <c r="M5004">
        <v>1</v>
      </c>
      <c r="N5004">
        <v>1</v>
      </c>
      <c r="O5004">
        <v>1</v>
      </c>
      <c r="P5004">
        <v>0</v>
      </c>
      <c r="Q5004">
        <v>1</v>
      </c>
      <c r="R5004">
        <v>0</v>
      </c>
      <c r="U5004">
        <v>1</v>
      </c>
      <c r="V5004">
        <v>0</v>
      </c>
      <c r="W5004">
        <v>0</v>
      </c>
      <c r="X5004">
        <v>0</v>
      </c>
      <c r="Y5004">
        <v>0</v>
      </c>
      <c r="Z5004">
        <v>0</v>
      </c>
      <c r="AA5004">
        <v>0</v>
      </c>
      <c r="AB5004">
        <v>0</v>
      </c>
    </row>
    <row r="5005" spans="1:28" x14ac:dyDescent="0.25">
      <c r="A5005" t="str">
        <f>"5001"</f>
        <v>5001</v>
      </c>
      <c r="B5005" t="str">
        <f t="shared" si="286"/>
        <v>1</v>
      </c>
      <c r="C5005" t="str">
        <f t="shared" si="288"/>
        <v>218</v>
      </c>
      <c r="D5005" t="str">
        <f>"10"</f>
        <v>10</v>
      </c>
      <c r="E5005" t="str">
        <f>"1-218-10"</f>
        <v>1-218-10</v>
      </c>
      <c r="F5005" t="s">
        <v>83</v>
      </c>
      <c r="G5005" t="s">
        <v>84</v>
      </c>
      <c r="H5005" t="s">
        <v>92</v>
      </c>
      <c r="I5005">
        <v>1</v>
      </c>
      <c r="J5005">
        <v>1</v>
      </c>
      <c r="N5005">
        <v>1</v>
      </c>
      <c r="O5005">
        <v>1</v>
      </c>
      <c r="P5005">
        <v>1</v>
      </c>
      <c r="Q5005">
        <v>1</v>
      </c>
      <c r="R5005">
        <v>1</v>
      </c>
      <c r="S5005">
        <v>1</v>
      </c>
      <c r="T5005">
        <v>1</v>
      </c>
      <c r="W5005">
        <v>1</v>
      </c>
      <c r="X5005">
        <v>1</v>
      </c>
      <c r="Y5005">
        <v>1</v>
      </c>
      <c r="Z5005">
        <v>1</v>
      </c>
      <c r="AA5005">
        <v>1</v>
      </c>
      <c r="AB5005">
        <v>1</v>
      </c>
    </row>
    <row r="5006" spans="1:28" x14ac:dyDescent="0.25">
      <c r="A5006" t="str">
        <f>"5002"</f>
        <v>5002</v>
      </c>
      <c r="B5006" t="str">
        <f t="shared" si="286"/>
        <v>1</v>
      </c>
      <c r="C5006" t="str">
        <f t="shared" si="288"/>
        <v>218</v>
      </c>
      <c r="D5006" t="str">
        <f>"7"</f>
        <v>7</v>
      </c>
      <c r="E5006" t="str">
        <f>"1-218-7"</f>
        <v>1-218-7</v>
      </c>
      <c r="F5006" t="s">
        <v>83</v>
      </c>
      <c r="G5006" t="s">
        <v>84</v>
      </c>
      <c r="H5006" t="s">
        <v>92</v>
      </c>
      <c r="I5006">
        <v>1</v>
      </c>
      <c r="J5006">
        <v>1</v>
      </c>
      <c r="N5006">
        <v>1</v>
      </c>
      <c r="O5006">
        <v>1</v>
      </c>
      <c r="P5006">
        <v>1</v>
      </c>
      <c r="Q5006">
        <v>1</v>
      </c>
      <c r="R5006">
        <v>1</v>
      </c>
      <c r="S5006">
        <v>1</v>
      </c>
      <c r="T5006">
        <v>1</v>
      </c>
      <c r="W5006">
        <v>1</v>
      </c>
      <c r="X5006">
        <v>1</v>
      </c>
      <c r="Y5006">
        <v>1</v>
      </c>
      <c r="Z5006">
        <v>1</v>
      </c>
      <c r="AA5006">
        <v>1</v>
      </c>
      <c r="AB5006">
        <v>1</v>
      </c>
    </row>
    <row r="5007" spans="1:28" x14ac:dyDescent="0.25">
      <c r="A5007" t="str">
        <f>"5003"</f>
        <v>5003</v>
      </c>
      <c r="B5007" t="str">
        <f t="shared" si="286"/>
        <v>1</v>
      </c>
      <c r="C5007" t="str">
        <f t="shared" si="288"/>
        <v>218</v>
      </c>
      <c r="D5007" t="str">
        <f>"18"</f>
        <v>18</v>
      </c>
      <c r="E5007" t="str">
        <f>"1-218-18"</f>
        <v>1-218-18</v>
      </c>
      <c r="F5007" t="s">
        <v>83</v>
      </c>
      <c r="G5007" t="s">
        <v>86</v>
      </c>
      <c r="H5007" t="s">
        <v>93</v>
      </c>
      <c r="I5007">
        <v>1</v>
      </c>
      <c r="K5007">
        <v>0</v>
      </c>
      <c r="L5007">
        <v>0</v>
      </c>
      <c r="M5007">
        <v>1</v>
      </c>
      <c r="N5007">
        <v>1</v>
      </c>
      <c r="O5007">
        <v>1</v>
      </c>
      <c r="P5007">
        <v>1</v>
      </c>
      <c r="Q5007">
        <v>1</v>
      </c>
      <c r="R5007">
        <v>1</v>
      </c>
      <c r="U5007">
        <v>0</v>
      </c>
      <c r="V5007">
        <v>0</v>
      </c>
      <c r="W5007">
        <v>1</v>
      </c>
      <c r="X5007">
        <v>1</v>
      </c>
      <c r="Y5007">
        <v>1</v>
      </c>
      <c r="Z5007">
        <v>1</v>
      </c>
      <c r="AA5007">
        <v>1</v>
      </c>
      <c r="AB5007">
        <v>1</v>
      </c>
    </row>
    <row r="5008" spans="1:28" x14ac:dyDescent="0.25">
      <c r="A5008" t="str">
        <f>"5004"</f>
        <v>5004</v>
      </c>
      <c r="B5008" t="str">
        <f t="shared" si="286"/>
        <v>1</v>
      </c>
      <c r="C5008" t="str">
        <f t="shared" si="288"/>
        <v>218</v>
      </c>
      <c r="D5008" t="str">
        <f>"11"</f>
        <v>11</v>
      </c>
      <c r="E5008" t="str">
        <f>"1-218-11"</f>
        <v>1-218-11</v>
      </c>
      <c r="F5008" t="s">
        <v>83</v>
      </c>
      <c r="G5008" t="s">
        <v>84</v>
      </c>
      <c r="H5008" t="s">
        <v>92</v>
      </c>
      <c r="I5008">
        <v>1</v>
      </c>
      <c r="J5008">
        <v>0</v>
      </c>
      <c r="N5008">
        <v>1</v>
      </c>
      <c r="O5008">
        <v>1</v>
      </c>
      <c r="P5008">
        <v>1</v>
      </c>
      <c r="Q5008">
        <v>1</v>
      </c>
      <c r="R5008">
        <v>0</v>
      </c>
      <c r="S5008">
        <v>0</v>
      </c>
      <c r="T5008">
        <v>0</v>
      </c>
      <c r="W5008">
        <v>0</v>
      </c>
      <c r="X5008">
        <v>1</v>
      </c>
      <c r="Y5008">
        <v>0</v>
      </c>
      <c r="Z5008">
        <v>1</v>
      </c>
      <c r="AA5008">
        <v>1</v>
      </c>
      <c r="AB5008">
        <v>0</v>
      </c>
    </row>
    <row r="5009" spans="1:28" x14ac:dyDescent="0.25">
      <c r="A5009" t="str">
        <f>"5005"</f>
        <v>5005</v>
      </c>
      <c r="B5009" t="str">
        <f t="shared" si="286"/>
        <v>1</v>
      </c>
      <c r="C5009" t="str">
        <f t="shared" si="288"/>
        <v>218</v>
      </c>
      <c r="D5009" t="str">
        <f>"1"</f>
        <v>1</v>
      </c>
      <c r="E5009" t="str">
        <f>"1-218-1"</f>
        <v>1-218-1</v>
      </c>
      <c r="F5009" t="s">
        <v>83</v>
      </c>
      <c r="G5009" t="s">
        <v>84</v>
      </c>
      <c r="H5009" t="s">
        <v>92</v>
      </c>
      <c r="I5009">
        <v>1</v>
      </c>
      <c r="J5009">
        <v>1</v>
      </c>
      <c r="N5009">
        <v>1</v>
      </c>
      <c r="O5009">
        <v>1</v>
      </c>
      <c r="P5009">
        <v>1</v>
      </c>
      <c r="Q5009">
        <v>1</v>
      </c>
      <c r="R5009">
        <v>1</v>
      </c>
      <c r="S5009">
        <v>1</v>
      </c>
      <c r="T5009">
        <v>1</v>
      </c>
      <c r="W5009">
        <v>1</v>
      </c>
      <c r="X5009">
        <v>1</v>
      </c>
      <c r="Y5009">
        <v>1</v>
      </c>
      <c r="Z5009">
        <v>1</v>
      </c>
      <c r="AA5009">
        <v>1</v>
      </c>
      <c r="AB5009">
        <v>1</v>
      </c>
    </row>
    <row r="5010" spans="1:28" x14ac:dyDescent="0.25">
      <c r="A5010" t="str">
        <f>"5006"</f>
        <v>5006</v>
      </c>
      <c r="B5010" t="str">
        <f t="shared" si="286"/>
        <v>1</v>
      </c>
      <c r="C5010" t="str">
        <f t="shared" si="288"/>
        <v>218</v>
      </c>
      <c r="D5010" t="str">
        <f>"19"</f>
        <v>19</v>
      </c>
      <c r="E5010" t="str">
        <f>"1-218-19"</f>
        <v>1-218-19</v>
      </c>
      <c r="F5010" t="s">
        <v>83</v>
      </c>
      <c r="G5010" t="s">
        <v>86</v>
      </c>
      <c r="H5010" t="s">
        <v>93</v>
      </c>
      <c r="I5010">
        <v>1</v>
      </c>
      <c r="K5010">
        <v>0</v>
      </c>
      <c r="L5010">
        <v>0</v>
      </c>
      <c r="M5010">
        <v>1</v>
      </c>
      <c r="N5010">
        <v>1</v>
      </c>
      <c r="O5010">
        <v>1</v>
      </c>
      <c r="P5010">
        <v>1</v>
      </c>
      <c r="Q5010">
        <v>1</v>
      </c>
      <c r="R5010">
        <v>1</v>
      </c>
      <c r="U5010">
        <v>0</v>
      </c>
      <c r="V5010">
        <v>1</v>
      </c>
      <c r="W5010">
        <v>1</v>
      </c>
      <c r="X5010">
        <v>1</v>
      </c>
      <c r="Y5010">
        <v>1</v>
      </c>
      <c r="Z5010">
        <v>1</v>
      </c>
      <c r="AA5010">
        <v>1</v>
      </c>
      <c r="AB5010">
        <v>1</v>
      </c>
    </row>
    <row r="5011" spans="1:28" x14ac:dyDescent="0.25">
      <c r="A5011" t="str">
        <f>"5007"</f>
        <v>5007</v>
      </c>
      <c r="B5011" t="str">
        <f t="shared" si="286"/>
        <v>1</v>
      </c>
      <c r="C5011" t="str">
        <f t="shared" si="288"/>
        <v>218</v>
      </c>
      <c r="D5011" t="str">
        <f>"12"</f>
        <v>12</v>
      </c>
      <c r="E5011" t="str">
        <f>"1-218-12"</f>
        <v>1-218-12</v>
      </c>
      <c r="F5011" t="s">
        <v>83</v>
      </c>
      <c r="G5011" t="s">
        <v>84</v>
      </c>
      <c r="H5011" t="s">
        <v>92</v>
      </c>
      <c r="I5011">
        <v>1</v>
      </c>
      <c r="J5011">
        <v>1</v>
      </c>
      <c r="N5011">
        <v>1</v>
      </c>
      <c r="O5011">
        <v>1</v>
      </c>
      <c r="P5011">
        <v>1</v>
      </c>
      <c r="Q5011">
        <v>1</v>
      </c>
      <c r="R5011">
        <v>1</v>
      </c>
      <c r="S5011">
        <v>1</v>
      </c>
      <c r="T5011">
        <v>1</v>
      </c>
      <c r="W5011">
        <v>1</v>
      </c>
      <c r="X5011">
        <v>1</v>
      </c>
      <c r="Y5011">
        <v>1</v>
      </c>
      <c r="Z5011">
        <v>1</v>
      </c>
      <c r="AA5011">
        <v>1</v>
      </c>
      <c r="AB5011">
        <v>1</v>
      </c>
    </row>
    <row r="5012" spans="1:28" x14ac:dyDescent="0.25">
      <c r="A5012" t="str">
        <f>"5008"</f>
        <v>5008</v>
      </c>
      <c r="B5012" t="str">
        <f t="shared" si="286"/>
        <v>1</v>
      </c>
      <c r="C5012" t="str">
        <f t="shared" si="288"/>
        <v>218</v>
      </c>
      <c r="D5012" t="str">
        <f>"2"</f>
        <v>2</v>
      </c>
      <c r="E5012" t="str">
        <f>"1-218-2"</f>
        <v>1-218-2</v>
      </c>
      <c r="F5012" t="s">
        <v>83</v>
      </c>
      <c r="G5012" t="s">
        <v>84</v>
      </c>
      <c r="H5012" t="s">
        <v>92</v>
      </c>
      <c r="I5012">
        <v>1</v>
      </c>
      <c r="J5012">
        <v>1</v>
      </c>
      <c r="N5012">
        <v>1</v>
      </c>
      <c r="O5012">
        <v>1</v>
      </c>
      <c r="P5012">
        <v>1</v>
      </c>
      <c r="Q5012">
        <v>1</v>
      </c>
      <c r="R5012">
        <v>1</v>
      </c>
      <c r="S5012">
        <v>1</v>
      </c>
      <c r="T5012">
        <v>1</v>
      </c>
      <c r="W5012">
        <v>1</v>
      </c>
      <c r="X5012">
        <v>1</v>
      </c>
      <c r="Y5012">
        <v>1</v>
      </c>
      <c r="Z5012">
        <v>1</v>
      </c>
      <c r="AA5012">
        <v>1</v>
      </c>
      <c r="AB5012">
        <v>1</v>
      </c>
    </row>
    <row r="5013" spans="1:28" x14ac:dyDescent="0.25">
      <c r="A5013" t="str">
        <f>"5009"</f>
        <v>5009</v>
      </c>
      <c r="B5013" t="str">
        <f t="shared" si="286"/>
        <v>1</v>
      </c>
      <c r="C5013" t="str">
        <f t="shared" si="288"/>
        <v>218</v>
      </c>
      <c r="D5013" t="str">
        <f>"20"</f>
        <v>20</v>
      </c>
      <c r="E5013" t="str">
        <f>"1-218-20"</f>
        <v>1-218-20</v>
      </c>
      <c r="F5013" t="s">
        <v>83</v>
      </c>
      <c r="G5013" t="s">
        <v>86</v>
      </c>
      <c r="H5013" t="s">
        <v>93</v>
      </c>
      <c r="I5013">
        <v>1</v>
      </c>
      <c r="K5013">
        <v>0</v>
      </c>
      <c r="L5013">
        <v>0</v>
      </c>
      <c r="M5013">
        <v>1</v>
      </c>
      <c r="N5013">
        <v>1</v>
      </c>
      <c r="O5013">
        <v>1</v>
      </c>
      <c r="P5013">
        <v>1</v>
      </c>
      <c r="Q5013">
        <v>1</v>
      </c>
      <c r="R5013">
        <v>1</v>
      </c>
      <c r="U5013">
        <v>0</v>
      </c>
      <c r="V5013">
        <v>1</v>
      </c>
      <c r="W5013">
        <v>0</v>
      </c>
      <c r="X5013">
        <v>1</v>
      </c>
      <c r="Y5013">
        <v>1</v>
      </c>
      <c r="Z5013">
        <v>1</v>
      </c>
      <c r="AA5013">
        <v>1</v>
      </c>
      <c r="AB5013">
        <v>1</v>
      </c>
    </row>
    <row r="5014" spans="1:28" x14ac:dyDescent="0.25">
      <c r="A5014" t="str">
        <f>"5010"</f>
        <v>5010</v>
      </c>
      <c r="B5014" t="str">
        <f t="shared" si="286"/>
        <v>1</v>
      </c>
      <c r="C5014" t="str">
        <f t="shared" si="288"/>
        <v>218</v>
      </c>
      <c r="D5014" t="str">
        <f>"13"</f>
        <v>13</v>
      </c>
      <c r="E5014" t="str">
        <f>"1-218-13"</f>
        <v>1-218-13</v>
      </c>
      <c r="F5014" t="s">
        <v>83</v>
      </c>
      <c r="G5014" t="s">
        <v>84</v>
      </c>
      <c r="H5014" t="s">
        <v>92</v>
      </c>
      <c r="I5014">
        <v>1</v>
      </c>
      <c r="J5014">
        <v>1</v>
      </c>
      <c r="N5014">
        <v>1</v>
      </c>
      <c r="O5014">
        <v>1</v>
      </c>
      <c r="P5014">
        <v>1</v>
      </c>
      <c r="Q5014">
        <v>1</v>
      </c>
      <c r="R5014">
        <v>1</v>
      </c>
      <c r="S5014">
        <v>1</v>
      </c>
      <c r="T5014">
        <v>1</v>
      </c>
      <c r="W5014">
        <v>0</v>
      </c>
      <c r="X5014">
        <v>1</v>
      </c>
      <c r="Y5014">
        <v>1</v>
      </c>
      <c r="Z5014">
        <v>1</v>
      </c>
      <c r="AA5014">
        <v>1</v>
      </c>
      <c r="AB5014">
        <v>0</v>
      </c>
    </row>
    <row r="5015" spans="1:28" x14ac:dyDescent="0.25">
      <c r="A5015" t="str">
        <f>"5011"</f>
        <v>5011</v>
      </c>
      <c r="B5015" t="str">
        <f t="shared" si="286"/>
        <v>1</v>
      </c>
      <c r="C5015" t="str">
        <f t="shared" si="288"/>
        <v>218</v>
      </c>
      <c r="D5015" t="str">
        <f>"3"</f>
        <v>3</v>
      </c>
      <c r="E5015" t="str">
        <f>"1-218-3"</f>
        <v>1-218-3</v>
      </c>
      <c r="F5015" t="s">
        <v>83</v>
      </c>
      <c r="G5015" t="s">
        <v>84</v>
      </c>
      <c r="H5015" t="s">
        <v>92</v>
      </c>
      <c r="I5015">
        <v>1</v>
      </c>
      <c r="J5015">
        <v>1</v>
      </c>
      <c r="N5015">
        <v>1</v>
      </c>
      <c r="O5015">
        <v>1</v>
      </c>
      <c r="P5015">
        <v>1</v>
      </c>
      <c r="Q5015">
        <v>1</v>
      </c>
      <c r="R5015">
        <v>1</v>
      </c>
      <c r="S5015">
        <v>1</v>
      </c>
      <c r="T5015">
        <v>1</v>
      </c>
      <c r="W5015">
        <v>1</v>
      </c>
      <c r="X5015">
        <v>1</v>
      </c>
      <c r="Y5015">
        <v>1</v>
      </c>
      <c r="Z5015">
        <v>1</v>
      </c>
      <c r="AA5015">
        <v>1</v>
      </c>
      <c r="AB5015">
        <v>1</v>
      </c>
    </row>
    <row r="5016" spans="1:28" x14ac:dyDescent="0.25">
      <c r="A5016" t="str">
        <f>"5012"</f>
        <v>5012</v>
      </c>
      <c r="B5016" t="str">
        <f t="shared" si="286"/>
        <v>1</v>
      </c>
      <c r="C5016" t="str">
        <f t="shared" si="288"/>
        <v>218</v>
      </c>
      <c r="D5016" t="str">
        <f>"21"</f>
        <v>21</v>
      </c>
      <c r="E5016" t="str">
        <f>"1-218-21"</f>
        <v>1-218-21</v>
      </c>
      <c r="F5016" t="s">
        <v>83</v>
      </c>
      <c r="G5016" t="s">
        <v>86</v>
      </c>
      <c r="H5016" t="s">
        <v>93</v>
      </c>
      <c r="I5016">
        <v>1</v>
      </c>
      <c r="K5016">
        <v>0</v>
      </c>
      <c r="L5016">
        <v>0</v>
      </c>
      <c r="M5016">
        <v>1</v>
      </c>
      <c r="N5016">
        <v>1</v>
      </c>
      <c r="O5016">
        <v>1</v>
      </c>
      <c r="P5016">
        <v>1</v>
      </c>
      <c r="Q5016">
        <v>1</v>
      </c>
      <c r="R5016">
        <v>1</v>
      </c>
      <c r="U5016">
        <v>1</v>
      </c>
      <c r="V5016">
        <v>0</v>
      </c>
      <c r="W5016">
        <v>1</v>
      </c>
      <c r="X5016">
        <v>1</v>
      </c>
      <c r="Y5016">
        <v>1</v>
      </c>
      <c r="Z5016">
        <v>1</v>
      </c>
      <c r="AA5016">
        <v>1</v>
      </c>
      <c r="AB5016">
        <v>1</v>
      </c>
    </row>
    <row r="5017" spans="1:28" x14ac:dyDescent="0.25">
      <c r="A5017" t="str">
        <f>"5013"</f>
        <v>5013</v>
      </c>
      <c r="B5017" t="str">
        <f t="shared" si="286"/>
        <v>1</v>
      </c>
      <c r="C5017" t="str">
        <f t="shared" si="288"/>
        <v>218</v>
      </c>
      <c r="D5017" t="str">
        <f>"14"</f>
        <v>14</v>
      </c>
      <c r="E5017" t="str">
        <f>"1-218-14"</f>
        <v>1-218-14</v>
      </c>
      <c r="F5017" t="s">
        <v>83</v>
      </c>
      <c r="G5017" t="s">
        <v>86</v>
      </c>
      <c r="H5017" t="s">
        <v>93</v>
      </c>
      <c r="I5017">
        <v>1</v>
      </c>
      <c r="K5017">
        <v>0</v>
      </c>
      <c r="L5017">
        <v>0</v>
      </c>
      <c r="M5017">
        <v>1</v>
      </c>
      <c r="N5017">
        <v>1</v>
      </c>
      <c r="O5017">
        <v>1</v>
      </c>
      <c r="P5017">
        <v>1</v>
      </c>
      <c r="Q5017">
        <v>1</v>
      </c>
      <c r="R5017">
        <v>1</v>
      </c>
      <c r="U5017">
        <v>0</v>
      </c>
      <c r="V5017">
        <v>1</v>
      </c>
      <c r="W5017">
        <v>1</v>
      </c>
      <c r="X5017">
        <v>1</v>
      </c>
      <c r="Y5017">
        <v>1</v>
      </c>
      <c r="Z5017">
        <v>1</v>
      </c>
      <c r="AA5017">
        <v>1</v>
      </c>
      <c r="AB5017">
        <v>1</v>
      </c>
    </row>
    <row r="5018" spans="1:28" x14ac:dyDescent="0.25">
      <c r="A5018" t="str">
        <f>"5014"</f>
        <v>5014</v>
      </c>
      <c r="B5018" t="str">
        <f t="shared" si="286"/>
        <v>1</v>
      </c>
      <c r="C5018" t="str">
        <f t="shared" si="288"/>
        <v>218</v>
      </c>
      <c r="D5018" t="str">
        <f>"6"</f>
        <v>6</v>
      </c>
      <c r="E5018" t="str">
        <f>"1-218-6"</f>
        <v>1-218-6</v>
      </c>
      <c r="F5018" t="s">
        <v>83</v>
      </c>
      <c r="G5018" t="s">
        <v>84</v>
      </c>
      <c r="H5018" t="s">
        <v>92</v>
      </c>
      <c r="I5018">
        <v>1</v>
      </c>
      <c r="J5018">
        <v>1</v>
      </c>
      <c r="N5018">
        <v>1</v>
      </c>
      <c r="O5018">
        <v>1</v>
      </c>
      <c r="P5018">
        <v>1</v>
      </c>
      <c r="Q5018">
        <v>1</v>
      </c>
      <c r="R5018">
        <v>1</v>
      </c>
      <c r="S5018">
        <v>1</v>
      </c>
      <c r="T5018">
        <v>1</v>
      </c>
      <c r="W5018">
        <v>1</v>
      </c>
      <c r="X5018">
        <v>1</v>
      </c>
      <c r="Y5018">
        <v>1</v>
      </c>
      <c r="Z5018">
        <v>1</v>
      </c>
      <c r="AA5018">
        <v>1</v>
      </c>
      <c r="AB5018">
        <v>1</v>
      </c>
    </row>
    <row r="5019" spans="1:28" x14ac:dyDescent="0.25">
      <c r="A5019" t="str">
        <f>"5015"</f>
        <v>5015</v>
      </c>
      <c r="B5019" t="str">
        <f t="shared" si="286"/>
        <v>1</v>
      </c>
      <c r="C5019" t="str">
        <f t="shared" ref="C5019:C5043" si="289">"219"</f>
        <v>219</v>
      </c>
      <c r="D5019" t="str">
        <f>"23"</f>
        <v>23</v>
      </c>
      <c r="E5019" t="str">
        <f>"1-219-23"</f>
        <v>1-219-23</v>
      </c>
      <c r="F5019" t="s">
        <v>83</v>
      </c>
      <c r="G5019" t="s">
        <v>84</v>
      </c>
      <c r="H5019" t="s">
        <v>92</v>
      </c>
      <c r="I5019">
        <v>1</v>
      </c>
      <c r="J5019">
        <v>1</v>
      </c>
      <c r="N5019">
        <v>1</v>
      </c>
      <c r="O5019">
        <v>1</v>
      </c>
      <c r="P5019">
        <v>1</v>
      </c>
      <c r="Q5019">
        <v>1</v>
      </c>
      <c r="R5019">
        <v>1</v>
      </c>
      <c r="S5019">
        <v>1</v>
      </c>
      <c r="T5019">
        <v>1</v>
      </c>
      <c r="W5019">
        <v>1</v>
      </c>
      <c r="X5019">
        <v>1</v>
      </c>
      <c r="Y5019">
        <v>1</v>
      </c>
      <c r="Z5019">
        <v>1</v>
      </c>
      <c r="AA5019">
        <v>1</v>
      </c>
      <c r="AB5019">
        <v>1</v>
      </c>
    </row>
    <row r="5020" spans="1:28" x14ac:dyDescent="0.25">
      <c r="A5020" t="str">
        <f>"5016"</f>
        <v>5016</v>
      </c>
      <c r="B5020" t="str">
        <f t="shared" si="286"/>
        <v>1</v>
      </c>
      <c r="C5020" t="str">
        <f t="shared" si="289"/>
        <v>219</v>
      </c>
      <c r="D5020" t="str">
        <f>"22"</f>
        <v>22</v>
      </c>
      <c r="E5020" t="str">
        <f>"1-219-22"</f>
        <v>1-219-22</v>
      </c>
      <c r="F5020" t="s">
        <v>83</v>
      </c>
      <c r="G5020" t="s">
        <v>84</v>
      </c>
      <c r="H5020" t="s">
        <v>92</v>
      </c>
      <c r="I5020">
        <v>1</v>
      </c>
      <c r="J5020">
        <v>1</v>
      </c>
      <c r="N5020">
        <v>1</v>
      </c>
      <c r="O5020">
        <v>1</v>
      </c>
      <c r="P5020">
        <v>1</v>
      </c>
      <c r="Q5020">
        <v>1</v>
      </c>
      <c r="R5020">
        <v>1</v>
      </c>
      <c r="S5020">
        <v>1</v>
      </c>
      <c r="T5020">
        <v>1</v>
      </c>
      <c r="W5020">
        <v>1</v>
      </c>
      <c r="X5020">
        <v>1</v>
      </c>
      <c r="Y5020">
        <v>1</v>
      </c>
      <c r="Z5020">
        <v>1</v>
      </c>
      <c r="AA5020">
        <v>1</v>
      </c>
      <c r="AB5020">
        <v>1</v>
      </c>
    </row>
    <row r="5021" spans="1:28" x14ac:dyDescent="0.25">
      <c r="A5021" t="str">
        <f>"5017"</f>
        <v>5017</v>
      </c>
      <c r="B5021" t="str">
        <f t="shared" si="286"/>
        <v>1</v>
      </c>
      <c r="C5021" t="str">
        <f t="shared" si="289"/>
        <v>219</v>
      </c>
      <c r="D5021" t="str">
        <f>"15"</f>
        <v>15</v>
      </c>
      <c r="E5021" t="str">
        <f>"1-219-15"</f>
        <v>1-219-15</v>
      </c>
      <c r="F5021" t="s">
        <v>83</v>
      </c>
      <c r="G5021" t="s">
        <v>84</v>
      </c>
      <c r="H5021" t="s">
        <v>92</v>
      </c>
      <c r="I5021">
        <v>1</v>
      </c>
      <c r="J5021">
        <v>1</v>
      </c>
      <c r="N5021">
        <v>1</v>
      </c>
      <c r="O5021">
        <v>1</v>
      </c>
      <c r="P5021">
        <v>1</v>
      </c>
      <c r="Q5021">
        <v>1</v>
      </c>
      <c r="R5021">
        <v>1</v>
      </c>
      <c r="S5021">
        <v>1</v>
      </c>
      <c r="T5021">
        <v>1</v>
      </c>
      <c r="W5021">
        <v>1</v>
      </c>
      <c r="X5021">
        <v>1</v>
      </c>
      <c r="Y5021">
        <v>1</v>
      </c>
      <c r="Z5021">
        <v>1</v>
      </c>
      <c r="AA5021">
        <v>1</v>
      </c>
      <c r="AB5021">
        <v>1</v>
      </c>
    </row>
    <row r="5022" spans="1:28" x14ac:dyDescent="0.25">
      <c r="A5022" t="str">
        <f>"5018"</f>
        <v>5018</v>
      </c>
      <c r="B5022" t="str">
        <f t="shared" ref="B5022:B5085" si="290">"1"</f>
        <v>1</v>
      </c>
      <c r="C5022" t="str">
        <f t="shared" si="289"/>
        <v>219</v>
      </c>
      <c r="D5022" t="str">
        <f>"8"</f>
        <v>8</v>
      </c>
      <c r="E5022" t="str">
        <f>"1-219-8"</f>
        <v>1-219-8</v>
      </c>
      <c r="F5022" t="s">
        <v>83</v>
      </c>
      <c r="G5022" t="s">
        <v>84</v>
      </c>
      <c r="H5022" t="s">
        <v>92</v>
      </c>
      <c r="I5022">
        <v>1</v>
      </c>
      <c r="J5022">
        <v>1</v>
      </c>
      <c r="N5022">
        <v>1</v>
      </c>
      <c r="O5022">
        <v>1</v>
      </c>
      <c r="P5022">
        <v>1</v>
      </c>
      <c r="Q5022">
        <v>1</v>
      </c>
      <c r="R5022">
        <v>1</v>
      </c>
      <c r="S5022">
        <v>1</v>
      </c>
      <c r="T5022">
        <v>1</v>
      </c>
      <c r="W5022">
        <v>1</v>
      </c>
      <c r="X5022">
        <v>1</v>
      </c>
      <c r="Y5022">
        <v>1</v>
      </c>
      <c r="Z5022">
        <v>1</v>
      </c>
      <c r="AA5022">
        <v>1</v>
      </c>
      <c r="AB5022">
        <v>1</v>
      </c>
    </row>
    <row r="5023" spans="1:28" x14ac:dyDescent="0.25">
      <c r="A5023" t="str">
        <f>"5019"</f>
        <v>5019</v>
      </c>
      <c r="B5023" t="str">
        <f t="shared" si="290"/>
        <v>1</v>
      </c>
      <c r="C5023" t="str">
        <f t="shared" si="289"/>
        <v>219</v>
      </c>
      <c r="D5023" t="str">
        <f>"3"</f>
        <v>3</v>
      </c>
      <c r="E5023" t="str">
        <f>"1-219-3"</f>
        <v>1-219-3</v>
      </c>
      <c r="F5023" t="s">
        <v>83</v>
      </c>
      <c r="G5023" t="s">
        <v>84</v>
      </c>
      <c r="H5023" t="s">
        <v>92</v>
      </c>
      <c r="I5023">
        <v>1</v>
      </c>
      <c r="J5023">
        <v>1</v>
      </c>
      <c r="N5023">
        <v>1</v>
      </c>
      <c r="O5023">
        <v>1</v>
      </c>
      <c r="P5023">
        <v>1</v>
      </c>
      <c r="Q5023">
        <v>1</v>
      </c>
      <c r="R5023">
        <v>1</v>
      </c>
      <c r="S5023">
        <v>1</v>
      </c>
      <c r="T5023">
        <v>1</v>
      </c>
      <c r="W5023">
        <v>1</v>
      </c>
      <c r="X5023">
        <v>1</v>
      </c>
      <c r="Y5023">
        <v>1</v>
      </c>
      <c r="Z5023">
        <v>1</v>
      </c>
      <c r="AA5023">
        <v>1</v>
      </c>
      <c r="AB5023">
        <v>1</v>
      </c>
    </row>
    <row r="5024" spans="1:28" x14ac:dyDescent="0.25">
      <c r="A5024" t="str">
        <f>"5020"</f>
        <v>5020</v>
      </c>
      <c r="B5024" t="str">
        <f t="shared" si="290"/>
        <v>1</v>
      </c>
      <c r="C5024" t="str">
        <f t="shared" si="289"/>
        <v>219</v>
      </c>
      <c r="D5024" t="str">
        <f>"25"</f>
        <v>25</v>
      </c>
      <c r="E5024" t="str">
        <f>"1-219-25"</f>
        <v>1-219-25</v>
      </c>
      <c r="F5024" t="s">
        <v>83</v>
      </c>
      <c r="G5024" t="s">
        <v>84</v>
      </c>
      <c r="H5024" t="s">
        <v>92</v>
      </c>
      <c r="I5024">
        <v>1</v>
      </c>
      <c r="J5024">
        <v>1</v>
      </c>
      <c r="N5024">
        <v>1</v>
      </c>
      <c r="O5024">
        <v>1</v>
      </c>
      <c r="P5024">
        <v>1</v>
      </c>
      <c r="Q5024">
        <v>1</v>
      </c>
      <c r="R5024">
        <v>1</v>
      </c>
      <c r="S5024">
        <v>1</v>
      </c>
      <c r="T5024">
        <v>1</v>
      </c>
      <c r="W5024">
        <v>1</v>
      </c>
      <c r="X5024">
        <v>1</v>
      </c>
      <c r="Y5024">
        <v>1</v>
      </c>
      <c r="Z5024">
        <v>1</v>
      </c>
      <c r="AA5024">
        <v>1</v>
      </c>
      <c r="AB5024">
        <v>1</v>
      </c>
    </row>
    <row r="5025" spans="1:28" x14ac:dyDescent="0.25">
      <c r="A5025" t="str">
        <f>"5021"</f>
        <v>5021</v>
      </c>
      <c r="B5025" t="str">
        <f t="shared" si="290"/>
        <v>1</v>
      </c>
      <c r="C5025" t="str">
        <f t="shared" si="289"/>
        <v>219</v>
      </c>
      <c r="D5025" t="str">
        <f>"24"</f>
        <v>24</v>
      </c>
      <c r="E5025" t="str">
        <f>"1-219-24"</f>
        <v>1-219-24</v>
      </c>
      <c r="F5025" t="s">
        <v>83</v>
      </c>
      <c r="G5025" t="s">
        <v>84</v>
      </c>
      <c r="H5025" t="s">
        <v>92</v>
      </c>
      <c r="I5025">
        <v>1</v>
      </c>
      <c r="J5025">
        <v>1</v>
      </c>
      <c r="N5025">
        <v>1</v>
      </c>
      <c r="O5025">
        <v>1</v>
      </c>
      <c r="P5025">
        <v>1</v>
      </c>
      <c r="Q5025">
        <v>1</v>
      </c>
      <c r="R5025">
        <v>1</v>
      </c>
      <c r="S5025">
        <v>1</v>
      </c>
      <c r="T5025">
        <v>1</v>
      </c>
      <c r="W5025">
        <v>1</v>
      </c>
      <c r="X5025">
        <v>1</v>
      </c>
      <c r="Y5025">
        <v>1</v>
      </c>
      <c r="Z5025">
        <v>1</v>
      </c>
      <c r="AA5025">
        <v>1</v>
      </c>
      <c r="AB5025">
        <v>1</v>
      </c>
    </row>
    <row r="5026" spans="1:28" x14ac:dyDescent="0.25">
      <c r="A5026" t="str">
        <f>"5022"</f>
        <v>5022</v>
      </c>
      <c r="B5026" t="str">
        <f t="shared" si="290"/>
        <v>1</v>
      </c>
      <c r="C5026" t="str">
        <f t="shared" si="289"/>
        <v>219</v>
      </c>
      <c r="D5026" t="str">
        <f>"16"</f>
        <v>16</v>
      </c>
      <c r="E5026" t="str">
        <f>"1-219-16"</f>
        <v>1-219-16</v>
      </c>
      <c r="F5026" t="s">
        <v>83</v>
      </c>
      <c r="G5026" t="s">
        <v>84</v>
      </c>
      <c r="H5026" t="s">
        <v>92</v>
      </c>
      <c r="I5026">
        <v>1</v>
      </c>
      <c r="J5026">
        <v>1</v>
      </c>
      <c r="N5026">
        <v>1</v>
      </c>
      <c r="O5026">
        <v>1</v>
      </c>
      <c r="P5026">
        <v>1</v>
      </c>
      <c r="Q5026">
        <v>1</v>
      </c>
      <c r="R5026">
        <v>1</v>
      </c>
      <c r="S5026">
        <v>1</v>
      </c>
      <c r="T5026">
        <v>1</v>
      </c>
      <c r="W5026">
        <v>1</v>
      </c>
      <c r="X5026">
        <v>1</v>
      </c>
      <c r="Y5026">
        <v>1</v>
      </c>
      <c r="Z5026">
        <v>1</v>
      </c>
      <c r="AA5026">
        <v>1</v>
      </c>
      <c r="AB5026">
        <v>1</v>
      </c>
    </row>
    <row r="5027" spans="1:28" x14ac:dyDescent="0.25">
      <c r="A5027" t="str">
        <f>"5023"</f>
        <v>5023</v>
      </c>
      <c r="B5027" t="str">
        <f t="shared" si="290"/>
        <v>1</v>
      </c>
      <c r="C5027" t="str">
        <f t="shared" si="289"/>
        <v>219</v>
      </c>
      <c r="D5027" t="str">
        <f>"9"</f>
        <v>9</v>
      </c>
      <c r="E5027" t="str">
        <f>"1-219-9"</f>
        <v>1-219-9</v>
      </c>
      <c r="F5027" t="s">
        <v>83</v>
      </c>
      <c r="G5027" t="s">
        <v>84</v>
      </c>
      <c r="H5027" t="s">
        <v>92</v>
      </c>
      <c r="I5027">
        <v>1</v>
      </c>
      <c r="J5027">
        <v>1</v>
      </c>
      <c r="N5027">
        <v>1</v>
      </c>
      <c r="O5027">
        <v>1</v>
      </c>
      <c r="P5027">
        <v>1</v>
      </c>
      <c r="Q5027">
        <v>1</v>
      </c>
      <c r="R5027">
        <v>1</v>
      </c>
      <c r="S5027">
        <v>1</v>
      </c>
      <c r="T5027">
        <v>1</v>
      </c>
      <c r="W5027">
        <v>1</v>
      </c>
      <c r="X5027">
        <v>1</v>
      </c>
      <c r="Y5027">
        <v>1</v>
      </c>
      <c r="Z5027">
        <v>1</v>
      </c>
      <c r="AA5027">
        <v>1</v>
      </c>
      <c r="AB5027">
        <v>1</v>
      </c>
    </row>
    <row r="5028" spans="1:28" x14ac:dyDescent="0.25">
      <c r="A5028" t="str">
        <f>"5024"</f>
        <v>5024</v>
      </c>
      <c r="B5028" t="str">
        <f t="shared" si="290"/>
        <v>1</v>
      </c>
      <c r="C5028" t="str">
        <f t="shared" si="289"/>
        <v>219</v>
      </c>
      <c r="D5028" t="str">
        <f>"5"</f>
        <v>5</v>
      </c>
      <c r="E5028" t="str">
        <f>"1-219-5"</f>
        <v>1-219-5</v>
      </c>
      <c r="F5028" t="s">
        <v>83</v>
      </c>
      <c r="G5028" t="s">
        <v>84</v>
      </c>
      <c r="H5028" t="s">
        <v>92</v>
      </c>
      <c r="I5028">
        <v>1</v>
      </c>
      <c r="J5028">
        <v>1</v>
      </c>
      <c r="N5028">
        <v>1</v>
      </c>
      <c r="O5028">
        <v>1</v>
      </c>
      <c r="P5028">
        <v>1</v>
      </c>
      <c r="Q5028">
        <v>1</v>
      </c>
      <c r="R5028">
        <v>1</v>
      </c>
      <c r="S5028">
        <v>1</v>
      </c>
      <c r="T5028">
        <v>1</v>
      </c>
      <c r="W5028">
        <v>1</v>
      </c>
      <c r="X5028">
        <v>1</v>
      </c>
      <c r="Y5028">
        <v>1</v>
      </c>
      <c r="Z5028">
        <v>1</v>
      </c>
      <c r="AA5028">
        <v>1</v>
      </c>
      <c r="AB5028">
        <v>1</v>
      </c>
    </row>
    <row r="5029" spans="1:28" x14ac:dyDescent="0.25">
      <c r="A5029" t="str">
        <f>"5025"</f>
        <v>5025</v>
      </c>
      <c r="B5029" t="str">
        <f t="shared" si="290"/>
        <v>1</v>
      </c>
      <c r="C5029" t="str">
        <f t="shared" si="289"/>
        <v>219</v>
      </c>
      <c r="D5029" t="str">
        <f>"17"</f>
        <v>17</v>
      </c>
      <c r="E5029" t="str">
        <f>"1-219-17"</f>
        <v>1-219-17</v>
      </c>
      <c r="F5029" t="s">
        <v>83</v>
      </c>
      <c r="G5029" t="s">
        <v>84</v>
      </c>
      <c r="H5029" t="s">
        <v>92</v>
      </c>
      <c r="I5029">
        <v>1</v>
      </c>
      <c r="J5029">
        <v>1</v>
      </c>
      <c r="N5029">
        <v>1</v>
      </c>
      <c r="O5029">
        <v>1</v>
      </c>
      <c r="P5029">
        <v>1</v>
      </c>
      <c r="Q5029">
        <v>1</v>
      </c>
      <c r="R5029">
        <v>1</v>
      </c>
      <c r="S5029">
        <v>1</v>
      </c>
      <c r="T5029">
        <v>1</v>
      </c>
      <c r="W5029">
        <v>1</v>
      </c>
      <c r="X5029">
        <v>1</v>
      </c>
      <c r="Y5029">
        <v>1</v>
      </c>
      <c r="Z5029">
        <v>1</v>
      </c>
      <c r="AA5029">
        <v>1</v>
      </c>
      <c r="AB5029">
        <v>1</v>
      </c>
    </row>
    <row r="5030" spans="1:28" x14ac:dyDescent="0.25">
      <c r="A5030" t="str">
        <f>"5026"</f>
        <v>5026</v>
      </c>
      <c r="B5030" t="str">
        <f t="shared" si="290"/>
        <v>1</v>
      </c>
      <c r="C5030" t="str">
        <f t="shared" si="289"/>
        <v>219</v>
      </c>
      <c r="D5030" t="str">
        <f>"10"</f>
        <v>10</v>
      </c>
      <c r="E5030" t="str">
        <f>"1-219-10"</f>
        <v>1-219-10</v>
      </c>
      <c r="F5030" t="s">
        <v>83</v>
      </c>
      <c r="G5030" t="s">
        <v>84</v>
      </c>
      <c r="H5030" t="s">
        <v>92</v>
      </c>
      <c r="I5030">
        <v>1</v>
      </c>
      <c r="J5030">
        <v>1</v>
      </c>
      <c r="N5030">
        <v>1</v>
      </c>
      <c r="O5030">
        <v>1</v>
      </c>
      <c r="P5030">
        <v>1</v>
      </c>
      <c r="Q5030">
        <v>1</v>
      </c>
      <c r="R5030">
        <v>1</v>
      </c>
      <c r="S5030">
        <v>1</v>
      </c>
      <c r="T5030">
        <v>1</v>
      </c>
      <c r="W5030">
        <v>1</v>
      </c>
      <c r="X5030">
        <v>1</v>
      </c>
      <c r="Y5030">
        <v>1</v>
      </c>
      <c r="Z5030">
        <v>1</v>
      </c>
      <c r="AA5030">
        <v>1</v>
      </c>
      <c r="AB5030">
        <v>1</v>
      </c>
    </row>
    <row r="5031" spans="1:28" x14ac:dyDescent="0.25">
      <c r="A5031" t="str">
        <f>"5027"</f>
        <v>5027</v>
      </c>
      <c r="B5031" t="str">
        <f t="shared" si="290"/>
        <v>1</v>
      </c>
      <c r="C5031" t="str">
        <f t="shared" si="289"/>
        <v>219</v>
      </c>
      <c r="D5031" t="str">
        <f>"6"</f>
        <v>6</v>
      </c>
      <c r="E5031" t="str">
        <f>"1-219-6"</f>
        <v>1-219-6</v>
      </c>
      <c r="F5031" t="s">
        <v>83</v>
      </c>
      <c r="G5031" t="s">
        <v>84</v>
      </c>
      <c r="H5031" t="s">
        <v>92</v>
      </c>
      <c r="I5031">
        <v>1</v>
      </c>
      <c r="J5031">
        <v>1</v>
      </c>
      <c r="N5031">
        <v>1</v>
      </c>
      <c r="O5031">
        <v>1</v>
      </c>
      <c r="P5031">
        <v>1</v>
      </c>
      <c r="Q5031">
        <v>1</v>
      </c>
      <c r="R5031">
        <v>1</v>
      </c>
      <c r="S5031">
        <v>1</v>
      </c>
      <c r="T5031">
        <v>1</v>
      </c>
      <c r="W5031">
        <v>1</v>
      </c>
      <c r="X5031">
        <v>1</v>
      </c>
      <c r="Y5031">
        <v>1</v>
      </c>
      <c r="Z5031">
        <v>1</v>
      </c>
      <c r="AA5031">
        <v>1</v>
      </c>
      <c r="AB5031">
        <v>1</v>
      </c>
    </row>
    <row r="5032" spans="1:28" x14ac:dyDescent="0.25">
      <c r="A5032" t="str">
        <f>"5028"</f>
        <v>5028</v>
      </c>
      <c r="B5032" t="str">
        <f t="shared" si="290"/>
        <v>1</v>
      </c>
      <c r="C5032" t="str">
        <f t="shared" si="289"/>
        <v>219</v>
      </c>
      <c r="D5032" t="str">
        <f>"18"</f>
        <v>18</v>
      </c>
      <c r="E5032" t="str">
        <f>"1-219-18"</f>
        <v>1-219-18</v>
      </c>
      <c r="F5032" t="s">
        <v>83</v>
      </c>
      <c r="G5032" t="s">
        <v>84</v>
      </c>
      <c r="H5032" t="s">
        <v>92</v>
      </c>
      <c r="I5032">
        <v>1</v>
      </c>
      <c r="J5032">
        <v>1</v>
      </c>
      <c r="N5032">
        <v>1</v>
      </c>
      <c r="O5032">
        <v>1</v>
      </c>
      <c r="P5032">
        <v>1</v>
      </c>
      <c r="Q5032">
        <v>1</v>
      </c>
      <c r="R5032">
        <v>1</v>
      </c>
      <c r="S5032">
        <v>1</v>
      </c>
      <c r="T5032">
        <v>1</v>
      </c>
      <c r="W5032">
        <v>1</v>
      </c>
      <c r="X5032">
        <v>1</v>
      </c>
      <c r="Y5032">
        <v>0</v>
      </c>
      <c r="Z5032">
        <v>1</v>
      </c>
      <c r="AA5032">
        <v>1</v>
      </c>
      <c r="AB5032">
        <v>1</v>
      </c>
    </row>
    <row r="5033" spans="1:28" x14ac:dyDescent="0.25">
      <c r="A5033" t="str">
        <f>"5029"</f>
        <v>5029</v>
      </c>
      <c r="B5033" t="str">
        <f t="shared" si="290"/>
        <v>1</v>
      </c>
      <c r="C5033" t="str">
        <f t="shared" si="289"/>
        <v>219</v>
      </c>
      <c r="D5033" t="str">
        <f>"11"</f>
        <v>11</v>
      </c>
      <c r="E5033" t="str">
        <f>"1-219-11"</f>
        <v>1-219-11</v>
      </c>
      <c r="F5033" t="s">
        <v>83</v>
      </c>
      <c r="G5033" t="s">
        <v>84</v>
      </c>
      <c r="H5033" t="s">
        <v>92</v>
      </c>
      <c r="I5033">
        <v>1</v>
      </c>
      <c r="J5033">
        <v>1</v>
      </c>
      <c r="N5033">
        <v>1</v>
      </c>
      <c r="O5033">
        <v>1</v>
      </c>
      <c r="P5033">
        <v>1</v>
      </c>
      <c r="Q5033">
        <v>1</v>
      </c>
      <c r="R5033">
        <v>1</v>
      </c>
      <c r="S5033">
        <v>1</v>
      </c>
      <c r="T5033">
        <v>1</v>
      </c>
      <c r="W5033">
        <v>1</v>
      </c>
      <c r="X5033">
        <v>1</v>
      </c>
      <c r="Y5033">
        <v>1</v>
      </c>
      <c r="Z5033">
        <v>1</v>
      </c>
      <c r="AA5033">
        <v>1</v>
      </c>
      <c r="AB5033">
        <v>1</v>
      </c>
    </row>
    <row r="5034" spans="1:28" x14ac:dyDescent="0.25">
      <c r="A5034" t="str">
        <f>"5030"</f>
        <v>5030</v>
      </c>
      <c r="B5034" t="str">
        <f t="shared" si="290"/>
        <v>1</v>
      </c>
      <c r="C5034" t="str">
        <f t="shared" si="289"/>
        <v>219</v>
      </c>
      <c r="D5034" t="str">
        <f>"7"</f>
        <v>7</v>
      </c>
      <c r="E5034" t="str">
        <f>"1-219-7"</f>
        <v>1-219-7</v>
      </c>
      <c r="F5034" t="s">
        <v>83</v>
      </c>
      <c r="G5034" t="s">
        <v>84</v>
      </c>
      <c r="H5034" t="s">
        <v>92</v>
      </c>
      <c r="I5034">
        <v>1</v>
      </c>
      <c r="J5034">
        <v>1</v>
      </c>
      <c r="N5034">
        <v>1</v>
      </c>
      <c r="O5034">
        <v>1</v>
      </c>
      <c r="P5034">
        <v>1</v>
      </c>
      <c r="Q5034">
        <v>1</v>
      </c>
      <c r="R5034">
        <v>1</v>
      </c>
      <c r="S5034">
        <v>1</v>
      </c>
      <c r="T5034">
        <v>1</v>
      </c>
      <c r="W5034">
        <v>1</v>
      </c>
      <c r="X5034">
        <v>1</v>
      </c>
      <c r="Y5034">
        <v>1</v>
      </c>
      <c r="Z5034">
        <v>1</v>
      </c>
      <c r="AA5034">
        <v>1</v>
      </c>
      <c r="AB5034">
        <v>1</v>
      </c>
    </row>
    <row r="5035" spans="1:28" x14ac:dyDescent="0.25">
      <c r="A5035" t="str">
        <f>"5031"</f>
        <v>5031</v>
      </c>
      <c r="B5035" t="str">
        <f t="shared" si="290"/>
        <v>1</v>
      </c>
      <c r="C5035" t="str">
        <f t="shared" si="289"/>
        <v>219</v>
      </c>
      <c r="D5035" t="str">
        <f>"19"</f>
        <v>19</v>
      </c>
      <c r="E5035" t="str">
        <f>"1-219-19"</f>
        <v>1-219-19</v>
      </c>
      <c r="F5035" t="s">
        <v>83</v>
      </c>
      <c r="G5035" t="s">
        <v>84</v>
      </c>
      <c r="H5035" t="s">
        <v>92</v>
      </c>
      <c r="I5035">
        <v>1</v>
      </c>
      <c r="J5035">
        <v>1</v>
      </c>
      <c r="N5035">
        <v>1</v>
      </c>
      <c r="O5035">
        <v>1</v>
      </c>
      <c r="P5035">
        <v>1</v>
      </c>
      <c r="Q5035">
        <v>1</v>
      </c>
      <c r="R5035">
        <v>1</v>
      </c>
      <c r="S5035">
        <v>1</v>
      </c>
      <c r="T5035">
        <v>1</v>
      </c>
      <c r="W5035">
        <v>1</v>
      </c>
      <c r="X5035">
        <v>1</v>
      </c>
      <c r="Y5035">
        <v>1</v>
      </c>
      <c r="Z5035">
        <v>1</v>
      </c>
      <c r="AA5035">
        <v>1</v>
      </c>
      <c r="AB5035">
        <v>1</v>
      </c>
    </row>
    <row r="5036" spans="1:28" x14ac:dyDescent="0.25">
      <c r="A5036" t="str">
        <f>"5032"</f>
        <v>5032</v>
      </c>
      <c r="B5036" t="str">
        <f t="shared" si="290"/>
        <v>1</v>
      </c>
      <c r="C5036" t="str">
        <f t="shared" si="289"/>
        <v>219</v>
      </c>
      <c r="D5036" t="str">
        <f>"12"</f>
        <v>12</v>
      </c>
      <c r="E5036" t="str">
        <f>"1-219-12"</f>
        <v>1-219-12</v>
      </c>
      <c r="F5036" t="s">
        <v>83</v>
      </c>
      <c r="G5036" t="s">
        <v>84</v>
      </c>
      <c r="H5036" t="s">
        <v>92</v>
      </c>
      <c r="I5036">
        <v>1</v>
      </c>
      <c r="J5036">
        <v>1</v>
      </c>
      <c r="N5036">
        <v>1</v>
      </c>
      <c r="O5036">
        <v>1</v>
      </c>
      <c r="P5036">
        <v>1</v>
      </c>
      <c r="Q5036">
        <v>1</v>
      </c>
      <c r="R5036">
        <v>1</v>
      </c>
      <c r="S5036">
        <v>1</v>
      </c>
      <c r="T5036">
        <v>1</v>
      </c>
      <c r="W5036">
        <v>1</v>
      </c>
      <c r="X5036">
        <v>1</v>
      </c>
      <c r="Y5036">
        <v>1</v>
      </c>
      <c r="Z5036">
        <v>1</v>
      </c>
      <c r="AA5036">
        <v>1</v>
      </c>
      <c r="AB5036">
        <v>1</v>
      </c>
    </row>
    <row r="5037" spans="1:28" x14ac:dyDescent="0.25">
      <c r="A5037" t="str">
        <f>"5033"</f>
        <v>5033</v>
      </c>
      <c r="B5037" t="str">
        <f t="shared" si="290"/>
        <v>1</v>
      </c>
      <c r="C5037" t="str">
        <f t="shared" si="289"/>
        <v>219</v>
      </c>
      <c r="D5037" t="str">
        <f>"1"</f>
        <v>1</v>
      </c>
      <c r="E5037" t="str">
        <f>"1-219-1"</f>
        <v>1-219-1</v>
      </c>
      <c r="F5037" t="s">
        <v>83</v>
      </c>
      <c r="G5037" t="s">
        <v>84</v>
      </c>
      <c r="H5037" t="s">
        <v>92</v>
      </c>
      <c r="I5037">
        <v>1</v>
      </c>
      <c r="J5037">
        <v>1</v>
      </c>
      <c r="N5037">
        <v>1</v>
      </c>
      <c r="O5037">
        <v>1</v>
      </c>
      <c r="P5037">
        <v>1</v>
      </c>
      <c r="Q5037">
        <v>1</v>
      </c>
      <c r="R5037">
        <v>1</v>
      </c>
      <c r="S5037">
        <v>1</v>
      </c>
      <c r="T5037">
        <v>1</v>
      </c>
      <c r="W5037">
        <v>1</v>
      </c>
      <c r="X5037">
        <v>1</v>
      </c>
      <c r="Y5037">
        <v>1</v>
      </c>
      <c r="Z5037">
        <v>1</v>
      </c>
      <c r="AA5037">
        <v>1</v>
      </c>
      <c r="AB5037">
        <v>1</v>
      </c>
    </row>
    <row r="5038" spans="1:28" x14ac:dyDescent="0.25">
      <c r="A5038" t="str">
        <f>"5034"</f>
        <v>5034</v>
      </c>
      <c r="B5038" t="str">
        <f t="shared" si="290"/>
        <v>1</v>
      </c>
      <c r="C5038" t="str">
        <f t="shared" si="289"/>
        <v>219</v>
      </c>
      <c r="D5038" t="str">
        <f>"20"</f>
        <v>20</v>
      </c>
      <c r="E5038" t="str">
        <f>"1-219-20"</f>
        <v>1-219-20</v>
      </c>
      <c r="F5038" t="s">
        <v>83</v>
      </c>
      <c r="G5038" t="s">
        <v>84</v>
      </c>
      <c r="H5038" t="s">
        <v>92</v>
      </c>
      <c r="I5038">
        <v>1</v>
      </c>
      <c r="J5038">
        <v>1</v>
      </c>
      <c r="N5038">
        <v>1</v>
      </c>
      <c r="O5038">
        <v>1</v>
      </c>
      <c r="P5038">
        <v>1</v>
      </c>
      <c r="Q5038">
        <v>1</v>
      </c>
      <c r="R5038">
        <v>0</v>
      </c>
      <c r="S5038">
        <v>1</v>
      </c>
      <c r="T5038">
        <v>0</v>
      </c>
      <c r="W5038">
        <v>1</v>
      </c>
      <c r="X5038">
        <v>1</v>
      </c>
      <c r="Y5038">
        <v>1</v>
      </c>
      <c r="Z5038">
        <v>1</v>
      </c>
      <c r="AA5038">
        <v>1</v>
      </c>
      <c r="AB5038">
        <v>1</v>
      </c>
    </row>
    <row r="5039" spans="1:28" x14ac:dyDescent="0.25">
      <c r="A5039" t="str">
        <f>"5035"</f>
        <v>5035</v>
      </c>
      <c r="B5039" t="str">
        <f t="shared" si="290"/>
        <v>1</v>
      </c>
      <c r="C5039" t="str">
        <f t="shared" si="289"/>
        <v>219</v>
      </c>
      <c r="D5039" t="str">
        <f>"13"</f>
        <v>13</v>
      </c>
      <c r="E5039" t="str">
        <f>"1-219-13"</f>
        <v>1-219-13</v>
      </c>
      <c r="F5039" t="s">
        <v>83</v>
      </c>
      <c r="G5039" t="s">
        <v>84</v>
      </c>
      <c r="H5039" t="s">
        <v>92</v>
      </c>
      <c r="I5039">
        <v>1</v>
      </c>
      <c r="J5039">
        <v>1</v>
      </c>
      <c r="N5039">
        <v>1</v>
      </c>
      <c r="O5039">
        <v>1</v>
      </c>
      <c r="P5039">
        <v>1</v>
      </c>
      <c r="Q5039">
        <v>1</v>
      </c>
      <c r="R5039">
        <v>1</v>
      </c>
      <c r="S5039">
        <v>1</v>
      </c>
      <c r="T5039">
        <v>1</v>
      </c>
      <c r="W5039">
        <v>1</v>
      </c>
      <c r="X5039">
        <v>1</v>
      </c>
      <c r="Y5039">
        <v>1</v>
      </c>
      <c r="Z5039">
        <v>1</v>
      </c>
      <c r="AA5039">
        <v>1</v>
      </c>
      <c r="AB5039">
        <v>1</v>
      </c>
    </row>
    <row r="5040" spans="1:28" x14ac:dyDescent="0.25">
      <c r="A5040" t="str">
        <f>"5036"</f>
        <v>5036</v>
      </c>
      <c r="B5040" t="str">
        <f t="shared" si="290"/>
        <v>1</v>
      </c>
      <c r="C5040" t="str">
        <f t="shared" si="289"/>
        <v>219</v>
      </c>
      <c r="D5040" t="str">
        <f>"2"</f>
        <v>2</v>
      </c>
      <c r="E5040" t="str">
        <f>"1-219-2"</f>
        <v>1-219-2</v>
      </c>
      <c r="F5040" t="s">
        <v>83</v>
      </c>
      <c r="G5040" t="s">
        <v>84</v>
      </c>
      <c r="H5040" t="s">
        <v>92</v>
      </c>
      <c r="I5040">
        <v>1</v>
      </c>
      <c r="J5040">
        <v>1</v>
      </c>
      <c r="N5040">
        <v>1</v>
      </c>
      <c r="O5040">
        <v>1</v>
      </c>
      <c r="P5040">
        <v>1</v>
      </c>
      <c r="Q5040">
        <v>1</v>
      </c>
      <c r="R5040">
        <v>1</v>
      </c>
      <c r="S5040">
        <v>1</v>
      </c>
      <c r="T5040">
        <v>1</v>
      </c>
      <c r="W5040">
        <v>0</v>
      </c>
      <c r="X5040">
        <v>1</v>
      </c>
      <c r="Y5040">
        <v>1</v>
      </c>
      <c r="Z5040">
        <v>1</v>
      </c>
      <c r="AA5040">
        <v>1</v>
      </c>
      <c r="AB5040">
        <v>1</v>
      </c>
    </row>
    <row r="5041" spans="1:28" x14ac:dyDescent="0.25">
      <c r="A5041" t="str">
        <f>"5037"</f>
        <v>5037</v>
      </c>
      <c r="B5041" t="str">
        <f t="shared" si="290"/>
        <v>1</v>
      </c>
      <c r="C5041" t="str">
        <f t="shared" si="289"/>
        <v>219</v>
      </c>
      <c r="D5041" t="str">
        <f>"21"</f>
        <v>21</v>
      </c>
      <c r="E5041" t="str">
        <f>"1-219-21"</f>
        <v>1-219-21</v>
      </c>
      <c r="F5041" t="s">
        <v>83</v>
      </c>
      <c r="G5041" t="s">
        <v>84</v>
      </c>
      <c r="H5041" t="s">
        <v>92</v>
      </c>
      <c r="I5041">
        <v>1</v>
      </c>
      <c r="J5041">
        <v>1</v>
      </c>
      <c r="N5041">
        <v>1</v>
      </c>
      <c r="O5041">
        <v>1</v>
      </c>
      <c r="P5041">
        <v>1</v>
      </c>
      <c r="Q5041">
        <v>1</v>
      </c>
      <c r="R5041">
        <v>1</v>
      </c>
      <c r="S5041">
        <v>1</v>
      </c>
      <c r="T5041">
        <v>1</v>
      </c>
      <c r="W5041">
        <v>1</v>
      </c>
      <c r="X5041">
        <v>1</v>
      </c>
      <c r="Y5041">
        <v>1</v>
      </c>
      <c r="Z5041">
        <v>1</v>
      </c>
      <c r="AA5041">
        <v>1</v>
      </c>
      <c r="AB5041">
        <v>1</v>
      </c>
    </row>
    <row r="5042" spans="1:28" x14ac:dyDescent="0.25">
      <c r="A5042" t="str">
        <f>"5038"</f>
        <v>5038</v>
      </c>
      <c r="B5042" t="str">
        <f t="shared" si="290"/>
        <v>1</v>
      </c>
      <c r="C5042" t="str">
        <f t="shared" si="289"/>
        <v>219</v>
      </c>
      <c r="D5042" t="str">
        <f>"14"</f>
        <v>14</v>
      </c>
      <c r="E5042" t="str">
        <f>"1-219-14"</f>
        <v>1-219-14</v>
      </c>
      <c r="F5042" t="s">
        <v>83</v>
      </c>
      <c r="G5042" t="s">
        <v>84</v>
      </c>
      <c r="H5042" t="s">
        <v>92</v>
      </c>
      <c r="I5042">
        <v>1</v>
      </c>
      <c r="J5042">
        <v>1</v>
      </c>
      <c r="N5042">
        <v>1</v>
      </c>
      <c r="O5042">
        <v>1</v>
      </c>
      <c r="P5042">
        <v>1</v>
      </c>
      <c r="Q5042">
        <v>1</v>
      </c>
      <c r="R5042">
        <v>0</v>
      </c>
      <c r="S5042">
        <v>1</v>
      </c>
      <c r="T5042">
        <v>0</v>
      </c>
      <c r="W5042">
        <v>1</v>
      </c>
      <c r="X5042">
        <v>1</v>
      </c>
      <c r="Y5042">
        <v>1</v>
      </c>
      <c r="Z5042">
        <v>1</v>
      </c>
      <c r="AA5042">
        <v>0</v>
      </c>
      <c r="AB5042">
        <v>1</v>
      </c>
    </row>
    <row r="5043" spans="1:28" x14ac:dyDescent="0.25">
      <c r="A5043" t="str">
        <f>"5039"</f>
        <v>5039</v>
      </c>
      <c r="B5043" t="str">
        <f t="shared" si="290"/>
        <v>1</v>
      </c>
      <c r="C5043" t="str">
        <f t="shared" si="289"/>
        <v>219</v>
      </c>
      <c r="D5043" t="str">
        <f>"4"</f>
        <v>4</v>
      </c>
      <c r="E5043" t="str">
        <f>"1-219-4"</f>
        <v>1-219-4</v>
      </c>
      <c r="F5043" t="s">
        <v>83</v>
      </c>
      <c r="G5043" t="s">
        <v>84</v>
      </c>
      <c r="H5043" t="s">
        <v>92</v>
      </c>
      <c r="I5043">
        <v>1</v>
      </c>
      <c r="J5043">
        <v>1</v>
      </c>
      <c r="N5043">
        <v>1</v>
      </c>
      <c r="O5043">
        <v>1</v>
      </c>
      <c r="P5043">
        <v>1</v>
      </c>
      <c r="Q5043">
        <v>1</v>
      </c>
      <c r="R5043">
        <v>1</v>
      </c>
      <c r="S5043">
        <v>1</v>
      </c>
      <c r="T5043">
        <v>1</v>
      </c>
      <c r="W5043">
        <v>1</v>
      </c>
      <c r="X5043">
        <v>1</v>
      </c>
      <c r="Y5043">
        <v>1</v>
      </c>
      <c r="Z5043">
        <v>1</v>
      </c>
      <c r="AA5043">
        <v>1</v>
      </c>
      <c r="AB5043">
        <v>1</v>
      </c>
    </row>
    <row r="5044" spans="1:28" x14ac:dyDescent="0.25">
      <c r="A5044" t="str">
        <f>"5040"</f>
        <v>5040</v>
      </c>
      <c r="B5044" t="str">
        <f t="shared" si="290"/>
        <v>1</v>
      </c>
      <c r="C5044" t="str">
        <f t="shared" ref="C5044:C5067" si="291">"220"</f>
        <v>220</v>
      </c>
      <c r="D5044" t="str">
        <f>"23"</f>
        <v>23</v>
      </c>
      <c r="E5044" t="str">
        <f>"1-220-23"</f>
        <v>1-220-23</v>
      </c>
      <c r="F5044" t="s">
        <v>83</v>
      </c>
      <c r="G5044" t="s">
        <v>86</v>
      </c>
      <c r="H5044" t="s">
        <v>93</v>
      </c>
      <c r="I5044">
        <v>1</v>
      </c>
      <c r="K5044">
        <v>0</v>
      </c>
      <c r="L5044">
        <v>0</v>
      </c>
      <c r="M5044">
        <v>1</v>
      </c>
      <c r="N5044">
        <v>1</v>
      </c>
      <c r="O5044">
        <v>1</v>
      </c>
      <c r="P5044">
        <v>1</v>
      </c>
      <c r="Q5044">
        <v>1</v>
      </c>
      <c r="R5044">
        <v>1</v>
      </c>
      <c r="U5044">
        <v>0</v>
      </c>
      <c r="V5044">
        <v>1</v>
      </c>
      <c r="W5044">
        <v>1</v>
      </c>
      <c r="X5044">
        <v>1</v>
      </c>
      <c r="Y5044">
        <v>1</v>
      </c>
      <c r="Z5044">
        <v>1</v>
      </c>
      <c r="AA5044">
        <v>1</v>
      </c>
      <c r="AB5044">
        <v>1</v>
      </c>
    </row>
    <row r="5045" spans="1:28" x14ac:dyDescent="0.25">
      <c r="A5045" t="str">
        <f>"5041"</f>
        <v>5041</v>
      </c>
      <c r="B5045" t="str">
        <f t="shared" si="290"/>
        <v>1</v>
      </c>
      <c r="C5045" t="str">
        <f t="shared" si="291"/>
        <v>220</v>
      </c>
      <c r="D5045" t="str">
        <f>"22"</f>
        <v>22</v>
      </c>
      <c r="E5045" t="str">
        <f>"1-220-22"</f>
        <v>1-220-22</v>
      </c>
      <c r="F5045" t="s">
        <v>83</v>
      </c>
      <c r="G5045" t="s">
        <v>84</v>
      </c>
      <c r="H5045" t="s">
        <v>92</v>
      </c>
      <c r="I5045">
        <v>1</v>
      </c>
      <c r="J5045">
        <v>1</v>
      </c>
      <c r="N5045">
        <v>1</v>
      </c>
      <c r="O5045">
        <v>1</v>
      </c>
      <c r="P5045">
        <v>1</v>
      </c>
      <c r="Q5045">
        <v>1</v>
      </c>
      <c r="R5045">
        <v>1</v>
      </c>
      <c r="S5045">
        <v>1</v>
      </c>
      <c r="T5045">
        <v>1</v>
      </c>
      <c r="W5045">
        <v>1</v>
      </c>
      <c r="X5045">
        <v>1</v>
      </c>
      <c r="Y5045">
        <v>1</v>
      </c>
      <c r="Z5045">
        <v>1</v>
      </c>
      <c r="AA5045">
        <v>1</v>
      </c>
      <c r="AB5045">
        <v>1</v>
      </c>
    </row>
    <row r="5046" spans="1:28" x14ac:dyDescent="0.25">
      <c r="A5046" t="str">
        <f>"5042"</f>
        <v>5042</v>
      </c>
      <c r="B5046" t="str">
        <f t="shared" si="290"/>
        <v>1</v>
      </c>
      <c r="C5046" t="str">
        <f t="shared" si="291"/>
        <v>220</v>
      </c>
      <c r="D5046" t="str">
        <f>"16"</f>
        <v>16</v>
      </c>
      <c r="E5046" t="str">
        <f>"1-220-16"</f>
        <v>1-220-16</v>
      </c>
      <c r="F5046" t="s">
        <v>83</v>
      </c>
      <c r="G5046" t="s">
        <v>84</v>
      </c>
      <c r="H5046" t="s">
        <v>92</v>
      </c>
      <c r="I5046">
        <v>1</v>
      </c>
      <c r="J5046">
        <v>1</v>
      </c>
      <c r="N5046">
        <v>1</v>
      </c>
      <c r="O5046">
        <v>1</v>
      </c>
      <c r="P5046">
        <v>1</v>
      </c>
      <c r="Q5046">
        <v>1</v>
      </c>
      <c r="R5046">
        <v>1</v>
      </c>
      <c r="S5046">
        <v>1</v>
      </c>
      <c r="T5046">
        <v>1</v>
      </c>
      <c r="W5046">
        <v>1</v>
      </c>
      <c r="X5046">
        <v>1</v>
      </c>
      <c r="Y5046">
        <v>1</v>
      </c>
      <c r="Z5046">
        <v>1</v>
      </c>
      <c r="AA5046">
        <v>1</v>
      </c>
      <c r="AB5046">
        <v>1</v>
      </c>
    </row>
    <row r="5047" spans="1:28" x14ac:dyDescent="0.25">
      <c r="A5047" t="str">
        <f>"5043"</f>
        <v>5043</v>
      </c>
      <c r="B5047" t="str">
        <f t="shared" si="290"/>
        <v>1</v>
      </c>
      <c r="C5047" t="str">
        <f t="shared" si="291"/>
        <v>220</v>
      </c>
      <c r="D5047" t="str">
        <f>"8"</f>
        <v>8</v>
      </c>
      <c r="E5047" t="str">
        <f>"1-220-8"</f>
        <v>1-220-8</v>
      </c>
      <c r="F5047" t="s">
        <v>83</v>
      </c>
      <c r="G5047" t="s">
        <v>86</v>
      </c>
      <c r="H5047" t="s">
        <v>93</v>
      </c>
      <c r="I5047">
        <v>0</v>
      </c>
      <c r="K5047">
        <v>0</v>
      </c>
      <c r="L5047">
        <v>0</v>
      </c>
      <c r="M5047">
        <v>1</v>
      </c>
      <c r="N5047">
        <v>0</v>
      </c>
      <c r="O5047">
        <v>0</v>
      </c>
      <c r="P5047">
        <v>0</v>
      </c>
      <c r="Q5047">
        <v>0</v>
      </c>
      <c r="R5047">
        <v>0</v>
      </c>
      <c r="U5047">
        <v>0</v>
      </c>
      <c r="V5047">
        <v>1</v>
      </c>
      <c r="W5047">
        <v>0</v>
      </c>
      <c r="X5047">
        <v>0</v>
      </c>
      <c r="Y5047">
        <v>0</v>
      </c>
      <c r="Z5047">
        <v>0</v>
      </c>
      <c r="AA5047">
        <v>0</v>
      </c>
      <c r="AB5047">
        <v>0</v>
      </c>
    </row>
    <row r="5048" spans="1:28" x14ac:dyDescent="0.25">
      <c r="A5048" t="str">
        <f>"5044"</f>
        <v>5044</v>
      </c>
      <c r="B5048" t="str">
        <f t="shared" si="290"/>
        <v>1</v>
      </c>
      <c r="C5048" t="str">
        <f t="shared" si="291"/>
        <v>220</v>
      </c>
      <c r="D5048" t="str">
        <f>"3"</f>
        <v>3</v>
      </c>
      <c r="E5048" t="str">
        <f>"1-220-3"</f>
        <v>1-220-3</v>
      </c>
      <c r="F5048" t="s">
        <v>83</v>
      </c>
      <c r="G5048" t="s">
        <v>84</v>
      </c>
      <c r="H5048" t="s">
        <v>92</v>
      </c>
      <c r="I5048">
        <v>1</v>
      </c>
      <c r="J5048">
        <v>1</v>
      </c>
      <c r="N5048">
        <v>1</v>
      </c>
      <c r="O5048">
        <v>1</v>
      </c>
      <c r="P5048">
        <v>1</v>
      </c>
      <c r="Q5048">
        <v>1</v>
      </c>
      <c r="R5048">
        <v>1</v>
      </c>
      <c r="S5048">
        <v>1</v>
      </c>
      <c r="T5048">
        <v>1</v>
      </c>
      <c r="W5048">
        <v>1</v>
      </c>
      <c r="X5048">
        <v>1</v>
      </c>
      <c r="Y5048">
        <v>1</v>
      </c>
      <c r="Z5048">
        <v>1</v>
      </c>
      <c r="AA5048">
        <v>1</v>
      </c>
      <c r="AB5048">
        <v>1</v>
      </c>
    </row>
    <row r="5049" spans="1:28" x14ac:dyDescent="0.25">
      <c r="A5049" t="str">
        <f>"5045"</f>
        <v>5045</v>
      </c>
      <c r="B5049" t="str">
        <f t="shared" si="290"/>
        <v>1</v>
      </c>
      <c r="C5049" t="str">
        <f t="shared" si="291"/>
        <v>220</v>
      </c>
      <c r="D5049" t="str">
        <f>"24"</f>
        <v>24</v>
      </c>
      <c r="E5049" t="str">
        <f>"1-220-24"</f>
        <v>1-220-24</v>
      </c>
      <c r="F5049" t="s">
        <v>83</v>
      </c>
      <c r="G5049" t="s">
        <v>84</v>
      </c>
      <c r="H5049" t="s">
        <v>92</v>
      </c>
      <c r="I5049">
        <v>1</v>
      </c>
      <c r="J5049">
        <v>1</v>
      </c>
      <c r="N5049">
        <v>1</v>
      </c>
      <c r="O5049">
        <v>1</v>
      </c>
      <c r="P5049">
        <v>1</v>
      </c>
      <c r="Q5049">
        <v>1</v>
      </c>
      <c r="R5049">
        <v>1</v>
      </c>
      <c r="S5049">
        <v>1</v>
      </c>
      <c r="T5049">
        <v>1</v>
      </c>
      <c r="W5049">
        <v>1</v>
      </c>
      <c r="X5049">
        <v>1</v>
      </c>
      <c r="Y5049">
        <v>1</v>
      </c>
      <c r="Z5049">
        <v>1</v>
      </c>
      <c r="AA5049">
        <v>1</v>
      </c>
      <c r="AB5049">
        <v>1</v>
      </c>
    </row>
    <row r="5050" spans="1:28" x14ac:dyDescent="0.25">
      <c r="A5050" t="str">
        <f>"5046"</f>
        <v>5046</v>
      </c>
      <c r="B5050" t="str">
        <f t="shared" si="290"/>
        <v>1</v>
      </c>
      <c r="C5050" t="str">
        <f t="shared" si="291"/>
        <v>220</v>
      </c>
      <c r="D5050" t="str">
        <f>"15"</f>
        <v>15</v>
      </c>
      <c r="E5050" t="str">
        <f>"1-220-15"</f>
        <v>1-220-15</v>
      </c>
      <c r="F5050" t="s">
        <v>83</v>
      </c>
      <c r="G5050" t="s">
        <v>86</v>
      </c>
      <c r="H5050" t="s">
        <v>93</v>
      </c>
      <c r="I5050">
        <v>1</v>
      </c>
      <c r="K5050">
        <v>0</v>
      </c>
      <c r="L5050">
        <v>0</v>
      </c>
      <c r="M5050">
        <v>1</v>
      </c>
      <c r="N5050">
        <v>1</v>
      </c>
      <c r="O5050">
        <v>1</v>
      </c>
      <c r="P5050">
        <v>1</v>
      </c>
      <c r="Q5050">
        <v>1</v>
      </c>
      <c r="R5050">
        <v>1</v>
      </c>
      <c r="U5050">
        <v>1</v>
      </c>
      <c r="V5050">
        <v>0</v>
      </c>
      <c r="W5050">
        <v>1</v>
      </c>
      <c r="X5050">
        <v>1</v>
      </c>
      <c r="Y5050">
        <v>1</v>
      </c>
      <c r="Z5050">
        <v>1</v>
      </c>
      <c r="AA5050">
        <v>1</v>
      </c>
      <c r="AB5050">
        <v>1</v>
      </c>
    </row>
    <row r="5051" spans="1:28" x14ac:dyDescent="0.25">
      <c r="A5051" t="str">
        <f>"5047"</f>
        <v>5047</v>
      </c>
      <c r="B5051" t="str">
        <f t="shared" si="290"/>
        <v>1</v>
      </c>
      <c r="C5051" t="str">
        <f t="shared" si="291"/>
        <v>220</v>
      </c>
      <c r="D5051" t="str">
        <f>"9"</f>
        <v>9</v>
      </c>
      <c r="E5051" t="str">
        <f>"1-220-9"</f>
        <v>1-220-9</v>
      </c>
      <c r="F5051" t="s">
        <v>83</v>
      </c>
      <c r="G5051" t="s">
        <v>84</v>
      </c>
      <c r="H5051" t="s">
        <v>92</v>
      </c>
      <c r="I5051">
        <v>1</v>
      </c>
      <c r="J5051">
        <v>1</v>
      </c>
      <c r="N5051">
        <v>1</v>
      </c>
      <c r="O5051">
        <v>1</v>
      </c>
      <c r="P5051">
        <v>1</v>
      </c>
      <c r="Q5051">
        <v>1</v>
      </c>
      <c r="R5051">
        <v>1</v>
      </c>
      <c r="S5051">
        <v>1</v>
      </c>
      <c r="T5051">
        <v>1</v>
      </c>
      <c r="W5051">
        <v>1</v>
      </c>
      <c r="X5051">
        <v>1</v>
      </c>
      <c r="Y5051">
        <v>1</v>
      </c>
      <c r="Z5051">
        <v>1</v>
      </c>
      <c r="AA5051">
        <v>1</v>
      </c>
      <c r="AB5051">
        <v>1</v>
      </c>
    </row>
    <row r="5052" spans="1:28" x14ac:dyDescent="0.25">
      <c r="A5052" t="str">
        <f>"5048"</f>
        <v>5048</v>
      </c>
      <c r="B5052" t="str">
        <f t="shared" si="290"/>
        <v>1</v>
      </c>
      <c r="C5052" t="str">
        <f t="shared" si="291"/>
        <v>220</v>
      </c>
      <c r="D5052" t="str">
        <f>"5"</f>
        <v>5</v>
      </c>
      <c r="E5052" t="str">
        <f>"1-220-5"</f>
        <v>1-220-5</v>
      </c>
      <c r="F5052" t="s">
        <v>83</v>
      </c>
      <c r="G5052" t="s">
        <v>86</v>
      </c>
      <c r="H5052" t="s">
        <v>93</v>
      </c>
      <c r="I5052">
        <v>1</v>
      </c>
      <c r="K5052">
        <v>1</v>
      </c>
      <c r="L5052">
        <v>0</v>
      </c>
      <c r="M5052">
        <v>0</v>
      </c>
      <c r="N5052">
        <v>1</v>
      </c>
      <c r="O5052">
        <v>1</v>
      </c>
      <c r="P5052">
        <v>1</v>
      </c>
      <c r="Q5052">
        <v>1</v>
      </c>
      <c r="R5052">
        <v>1</v>
      </c>
      <c r="U5052">
        <v>0</v>
      </c>
      <c r="V5052">
        <v>1</v>
      </c>
      <c r="W5052">
        <v>1</v>
      </c>
      <c r="X5052">
        <v>1</v>
      </c>
      <c r="Y5052">
        <v>1</v>
      </c>
      <c r="Z5052">
        <v>1</v>
      </c>
      <c r="AA5052">
        <v>1</v>
      </c>
      <c r="AB5052">
        <v>1</v>
      </c>
    </row>
    <row r="5053" spans="1:28" x14ac:dyDescent="0.25">
      <c r="A5053" t="str">
        <f>"5049"</f>
        <v>5049</v>
      </c>
      <c r="B5053" t="str">
        <f t="shared" si="290"/>
        <v>1</v>
      </c>
      <c r="C5053" t="str">
        <f t="shared" si="291"/>
        <v>220</v>
      </c>
      <c r="D5053" t="str">
        <f>"18"</f>
        <v>18</v>
      </c>
      <c r="E5053" t="str">
        <f>"1-220-18"</f>
        <v>1-220-18</v>
      </c>
      <c r="F5053" t="s">
        <v>83</v>
      </c>
      <c r="G5053" t="s">
        <v>84</v>
      </c>
      <c r="H5053" t="s">
        <v>92</v>
      </c>
      <c r="I5053">
        <v>1</v>
      </c>
      <c r="J5053">
        <v>1</v>
      </c>
      <c r="N5053">
        <v>1</v>
      </c>
      <c r="O5053">
        <v>1</v>
      </c>
      <c r="P5053">
        <v>1</v>
      </c>
      <c r="Q5053">
        <v>1</v>
      </c>
      <c r="R5053">
        <v>1</v>
      </c>
      <c r="S5053">
        <v>1</v>
      </c>
      <c r="T5053">
        <v>1</v>
      </c>
      <c r="W5053">
        <v>1</v>
      </c>
      <c r="X5053">
        <v>1</v>
      </c>
      <c r="Y5053">
        <v>1</v>
      </c>
      <c r="Z5053">
        <v>1</v>
      </c>
      <c r="AA5053">
        <v>1</v>
      </c>
      <c r="AB5053">
        <v>1</v>
      </c>
    </row>
    <row r="5054" spans="1:28" x14ac:dyDescent="0.25">
      <c r="A5054" t="str">
        <f>"5050"</f>
        <v>5050</v>
      </c>
      <c r="B5054" t="str">
        <f t="shared" si="290"/>
        <v>1</v>
      </c>
      <c r="C5054" t="str">
        <f t="shared" si="291"/>
        <v>220</v>
      </c>
      <c r="D5054" t="str">
        <f>"10"</f>
        <v>10</v>
      </c>
      <c r="E5054" t="str">
        <f>"1-220-10"</f>
        <v>1-220-10</v>
      </c>
      <c r="F5054" t="s">
        <v>83</v>
      </c>
      <c r="G5054" t="s">
        <v>86</v>
      </c>
      <c r="H5054" t="s">
        <v>93</v>
      </c>
      <c r="I5054">
        <v>1</v>
      </c>
      <c r="K5054">
        <v>0</v>
      </c>
      <c r="L5054">
        <v>0</v>
      </c>
      <c r="M5054">
        <v>1</v>
      </c>
      <c r="N5054">
        <v>1</v>
      </c>
      <c r="O5054">
        <v>1</v>
      </c>
      <c r="P5054">
        <v>1</v>
      </c>
      <c r="Q5054">
        <v>1</v>
      </c>
      <c r="R5054">
        <v>1</v>
      </c>
      <c r="U5054">
        <v>0</v>
      </c>
      <c r="V5054">
        <v>1</v>
      </c>
      <c r="W5054">
        <v>0</v>
      </c>
      <c r="X5054">
        <v>1</v>
      </c>
      <c r="Y5054">
        <v>1</v>
      </c>
      <c r="Z5054">
        <v>1</v>
      </c>
      <c r="AA5054">
        <v>1</v>
      </c>
      <c r="AB5054">
        <v>1</v>
      </c>
    </row>
    <row r="5055" spans="1:28" x14ac:dyDescent="0.25">
      <c r="A5055" t="str">
        <f>"5051"</f>
        <v>5051</v>
      </c>
      <c r="B5055" t="str">
        <f t="shared" si="290"/>
        <v>1</v>
      </c>
      <c r="C5055" t="str">
        <f t="shared" si="291"/>
        <v>220</v>
      </c>
      <c r="D5055" t="str">
        <f>"1"</f>
        <v>1</v>
      </c>
      <c r="E5055" t="str">
        <f>"1-220-1"</f>
        <v>1-220-1</v>
      </c>
      <c r="F5055" t="s">
        <v>83</v>
      </c>
      <c r="G5055" t="s">
        <v>86</v>
      </c>
      <c r="H5055" t="s">
        <v>93</v>
      </c>
      <c r="I5055">
        <v>1</v>
      </c>
      <c r="K5055">
        <v>0</v>
      </c>
      <c r="L5055">
        <v>0</v>
      </c>
      <c r="M5055">
        <v>1</v>
      </c>
      <c r="N5055">
        <v>1</v>
      </c>
      <c r="O5055">
        <v>1</v>
      </c>
      <c r="P5055">
        <v>1</v>
      </c>
      <c r="Q5055">
        <v>1</v>
      </c>
      <c r="R5055">
        <v>1</v>
      </c>
      <c r="U5055">
        <v>0</v>
      </c>
      <c r="V5055">
        <v>1</v>
      </c>
      <c r="W5055">
        <v>1</v>
      </c>
      <c r="X5055">
        <v>1</v>
      </c>
      <c r="Y5055">
        <v>1</v>
      </c>
      <c r="Z5055">
        <v>1</v>
      </c>
      <c r="AA5055">
        <v>1</v>
      </c>
      <c r="AB5055">
        <v>1</v>
      </c>
    </row>
    <row r="5056" spans="1:28" x14ac:dyDescent="0.25">
      <c r="A5056" t="str">
        <f>"5052"</f>
        <v>5052</v>
      </c>
      <c r="B5056" t="str">
        <f t="shared" si="290"/>
        <v>1</v>
      </c>
      <c r="C5056" t="str">
        <f t="shared" si="291"/>
        <v>220</v>
      </c>
      <c r="D5056" t="str">
        <f>"19"</f>
        <v>19</v>
      </c>
      <c r="E5056" t="str">
        <f>"1-220-19"</f>
        <v>1-220-19</v>
      </c>
      <c r="F5056" t="s">
        <v>83</v>
      </c>
      <c r="G5056" t="s">
        <v>84</v>
      </c>
      <c r="H5056" t="s">
        <v>92</v>
      </c>
      <c r="I5056">
        <v>0</v>
      </c>
      <c r="J5056">
        <v>1</v>
      </c>
      <c r="N5056">
        <v>1</v>
      </c>
      <c r="O5056">
        <v>0</v>
      </c>
      <c r="P5056">
        <v>0</v>
      </c>
      <c r="Q5056">
        <v>0</v>
      </c>
      <c r="R5056">
        <v>0</v>
      </c>
      <c r="S5056">
        <v>0</v>
      </c>
      <c r="T5056">
        <v>0</v>
      </c>
      <c r="W5056">
        <v>0</v>
      </c>
      <c r="X5056">
        <v>0</v>
      </c>
      <c r="Y5056">
        <v>0</v>
      </c>
      <c r="Z5056">
        <v>0</v>
      </c>
      <c r="AA5056">
        <v>0</v>
      </c>
      <c r="AB5056">
        <v>0</v>
      </c>
    </row>
    <row r="5057" spans="1:28" x14ac:dyDescent="0.25">
      <c r="A5057" t="str">
        <f>"5053"</f>
        <v>5053</v>
      </c>
      <c r="B5057" t="str">
        <f t="shared" si="290"/>
        <v>1</v>
      </c>
      <c r="C5057" t="str">
        <f t="shared" si="291"/>
        <v>220</v>
      </c>
      <c r="D5057" t="str">
        <f>"11"</f>
        <v>11</v>
      </c>
      <c r="E5057" t="str">
        <f>"1-220-11"</f>
        <v>1-220-11</v>
      </c>
      <c r="F5057" t="s">
        <v>83</v>
      </c>
      <c r="G5057" t="s">
        <v>90</v>
      </c>
      <c r="H5057" t="s">
        <v>94</v>
      </c>
      <c r="I5057">
        <v>1</v>
      </c>
      <c r="K5057">
        <v>0</v>
      </c>
      <c r="L5057">
        <v>1</v>
      </c>
      <c r="M5057">
        <v>0</v>
      </c>
      <c r="N5057">
        <v>1</v>
      </c>
      <c r="O5057">
        <v>1</v>
      </c>
      <c r="P5057">
        <v>1</v>
      </c>
      <c r="Q5057">
        <v>1</v>
      </c>
      <c r="R5057">
        <v>1</v>
      </c>
      <c r="S5057">
        <v>1</v>
      </c>
      <c r="U5057">
        <v>0</v>
      </c>
      <c r="V5057">
        <v>1</v>
      </c>
      <c r="W5057">
        <v>1</v>
      </c>
      <c r="X5057">
        <v>1</v>
      </c>
      <c r="Y5057">
        <v>1</v>
      </c>
      <c r="Z5057">
        <v>1</v>
      </c>
      <c r="AA5057">
        <v>1</v>
      </c>
      <c r="AB5057">
        <v>1</v>
      </c>
    </row>
    <row r="5058" spans="1:28" x14ac:dyDescent="0.25">
      <c r="A5058" t="str">
        <f>"5054"</f>
        <v>5054</v>
      </c>
      <c r="B5058" t="str">
        <f t="shared" si="290"/>
        <v>1</v>
      </c>
      <c r="C5058" t="str">
        <f t="shared" si="291"/>
        <v>220</v>
      </c>
      <c r="D5058" t="str">
        <f>"4"</f>
        <v>4</v>
      </c>
      <c r="E5058" t="str">
        <f>"1-220-4"</f>
        <v>1-220-4</v>
      </c>
      <c r="F5058" t="s">
        <v>83</v>
      </c>
      <c r="G5058" t="s">
        <v>86</v>
      </c>
      <c r="H5058" t="s">
        <v>93</v>
      </c>
      <c r="I5058">
        <v>1</v>
      </c>
      <c r="K5058">
        <v>0</v>
      </c>
      <c r="L5058">
        <v>0</v>
      </c>
      <c r="M5058">
        <v>1</v>
      </c>
      <c r="N5058">
        <v>1</v>
      </c>
      <c r="O5058">
        <v>1</v>
      </c>
      <c r="P5058">
        <v>1</v>
      </c>
      <c r="Q5058">
        <v>1</v>
      </c>
      <c r="R5058">
        <v>1</v>
      </c>
      <c r="U5058">
        <v>0</v>
      </c>
      <c r="V5058">
        <v>1</v>
      </c>
      <c r="W5058">
        <v>1</v>
      </c>
      <c r="X5058">
        <v>1</v>
      </c>
      <c r="Y5058">
        <v>1</v>
      </c>
      <c r="Z5058">
        <v>1</v>
      </c>
      <c r="AA5058">
        <v>1</v>
      </c>
      <c r="AB5058">
        <v>1</v>
      </c>
    </row>
    <row r="5059" spans="1:28" x14ac:dyDescent="0.25">
      <c r="A5059" t="str">
        <f>"5055"</f>
        <v>5055</v>
      </c>
      <c r="B5059" t="str">
        <f t="shared" si="290"/>
        <v>1</v>
      </c>
      <c r="C5059" t="str">
        <f t="shared" si="291"/>
        <v>220</v>
      </c>
      <c r="D5059" t="str">
        <f>"17"</f>
        <v>17</v>
      </c>
      <c r="E5059" t="str">
        <f>"1-220-17"</f>
        <v>1-220-17</v>
      </c>
      <c r="F5059" t="s">
        <v>83</v>
      </c>
      <c r="G5059" t="s">
        <v>86</v>
      </c>
      <c r="H5059" t="s">
        <v>93</v>
      </c>
      <c r="I5059">
        <v>1</v>
      </c>
      <c r="K5059">
        <v>0</v>
      </c>
      <c r="L5059">
        <v>0</v>
      </c>
      <c r="M5059">
        <v>0</v>
      </c>
      <c r="N5059">
        <v>1</v>
      </c>
      <c r="O5059">
        <v>1</v>
      </c>
      <c r="P5059">
        <v>1</v>
      </c>
      <c r="Q5059">
        <v>1</v>
      </c>
      <c r="R5059">
        <v>1</v>
      </c>
      <c r="U5059">
        <v>0</v>
      </c>
      <c r="V5059">
        <v>1</v>
      </c>
      <c r="W5059">
        <v>1</v>
      </c>
      <c r="X5059">
        <v>1</v>
      </c>
      <c r="Y5059">
        <v>1</v>
      </c>
      <c r="Z5059">
        <v>1</v>
      </c>
      <c r="AA5059">
        <v>1</v>
      </c>
      <c r="AB5059">
        <v>1</v>
      </c>
    </row>
    <row r="5060" spans="1:28" x14ac:dyDescent="0.25">
      <c r="A5060" t="str">
        <f>"5056"</f>
        <v>5056</v>
      </c>
      <c r="B5060" t="str">
        <f t="shared" si="290"/>
        <v>1</v>
      </c>
      <c r="C5060" t="str">
        <f t="shared" si="291"/>
        <v>220</v>
      </c>
      <c r="D5060" t="str">
        <f>"12"</f>
        <v>12</v>
      </c>
      <c r="E5060" t="str">
        <f>"1-220-12"</f>
        <v>1-220-12</v>
      </c>
      <c r="F5060" t="s">
        <v>83</v>
      </c>
      <c r="G5060" t="s">
        <v>84</v>
      </c>
      <c r="H5060" t="s">
        <v>92</v>
      </c>
      <c r="I5060">
        <v>1</v>
      </c>
      <c r="J5060">
        <v>1</v>
      </c>
      <c r="N5060">
        <v>1</v>
      </c>
      <c r="O5060">
        <v>0</v>
      </c>
      <c r="P5060">
        <v>1</v>
      </c>
      <c r="Q5060">
        <v>1</v>
      </c>
      <c r="R5060">
        <v>1</v>
      </c>
      <c r="S5060">
        <v>1</v>
      </c>
      <c r="T5060">
        <v>1</v>
      </c>
      <c r="W5060">
        <v>1</v>
      </c>
      <c r="X5060">
        <v>1</v>
      </c>
      <c r="Y5060">
        <v>1</v>
      </c>
      <c r="Z5060">
        <v>1</v>
      </c>
      <c r="AA5060">
        <v>1</v>
      </c>
      <c r="AB5060">
        <v>1</v>
      </c>
    </row>
    <row r="5061" spans="1:28" x14ac:dyDescent="0.25">
      <c r="A5061" t="str">
        <f>"5057"</f>
        <v>5057</v>
      </c>
      <c r="B5061" t="str">
        <f t="shared" si="290"/>
        <v>1</v>
      </c>
      <c r="C5061" t="str">
        <f t="shared" si="291"/>
        <v>220</v>
      </c>
      <c r="D5061" t="str">
        <f>"7"</f>
        <v>7</v>
      </c>
      <c r="E5061" t="str">
        <f>"1-220-7"</f>
        <v>1-220-7</v>
      </c>
      <c r="F5061" t="s">
        <v>83</v>
      </c>
      <c r="G5061" t="s">
        <v>84</v>
      </c>
      <c r="H5061" t="s">
        <v>92</v>
      </c>
      <c r="I5061">
        <v>1</v>
      </c>
      <c r="J5061">
        <v>1</v>
      </c>
      <c r="N5061">
        <v>1</v>
      </c>
      <c r="O5061">
        <v>1</v>
      </c>
      <c r="P5061">
        <v>1</v>
      </c>
      <c r="Q5061">
        <v>1</v>
      </c>
      <c r="R5061">
        <v>1</v>
      </c>
      <c r="S5061">
        <v>1</v>
      </c>
      <c r="T5061">
        <v>1</v>
      </c>
      <c r="W5061">
        <v>1</v>
      </c>
      <c r="X5061">
        <v>1</v>
      </c>
      <c r="Y5061">
        <v>1</v>
      </c>
      <c r="Z5061">
        <v>1</v>
      </c>
      <c r="AA5061">
        <v>1</v>
      </c>
      <c r="AB5061">
        <v>1</v>
      </c>
    </row>
    <row r="5062" spans="1:28" x14ac:dyDescent="0.25">
      <c r="A5062" t="str">
        <f>"5058"</f>
        <v>5058</v>
      </c>
      <c r="B5062" t="str">
        <f t="shared" si="290"/>
        <v>1</v>
      </c>
      <c r="C5062" t="str">
        <f t="shared" si="291"/>
        <v>220</v>
      </c>
      <c r="D5062" t="str">
        <f>"20"</f>
        <v>20</v>
      </c>
      <c r="E5062" t="str">
        <f>"1-220-20"</f>
        <v>1-220-20</v>
      </c>
      <c r="F5062" t="s">
        <v>83</v>
      </c>
      <c r="G5062" t="s">
        <v>84</v>
      </c>
      <c r="H5062" t="s">
        <v>92</v>
      </c>
      <c r="I5062">
        <v>1</v>
      </c>
      <c r="J5062">
        <v>1</v>
      </c>
      <c r="N5062">
        <v>1</v>
      </c>
      <c r="O5062">
        <v>1</v>
      </c>
      <c r="P5062">
        <v>1</v>
      </c>
      <c r="Q5062">
        <v>1</v>
      </c>
      <c r="R5062">
        <v>1</v>
      </c>
      <c r="S5062">
        <v>1</v>
      </c>
      <c r="T5062">
        <v>1</v>
      </c>
      <c r="W5062">
        <v>1</v>
      </c>
      <c r="X5062">
        <v>1</v>
      </c>
      <c r="Y5062">
        <v>1</v>
      </c>
      <c r="Z5062">
        <v>1</v>
      </c>
      <c r="AA5062">
        <v>1</v>
      </c>
      <c r="AB5062">
        <v>1</v>
      </c>
    </row>
    <row r="5063" spans="1:28" x14ac:dyDescent="0.25">
      <c r="A5063" t="str">
        <f>"5059"</f>
        <v>5059</v>
      </c>
      <c r="B5063" t="str">
        <f t="shared" si="290"/>
        <v>1</v>
      </c>
      <c r="C5063" t="str">
        <f t="shared" si="291"/>
        <v>220</v>
      </c>
      <c r="D5063" t="str">
        <f>"13"</f>
        <v>13</v>
      </c>
      <c r="E5063" t="str">
        <f>"1-220-13"</f>
        <v>1-220-13</v>
      </c>
      <c r="F5063" t="s">
        <v>83</v>
      </c>
      <c r="G5063" t="s">
        <v>84</v>
      </c>
      <c r="H5063" t="s">
        <v>92</v>
      </c>
      <c r="I5063">
        <v>1</v>
      </c>
      <c r="J5063">
        <v>1</v>
      </c>
      <c r="N5063">
        <v>1</v>
      </c>
      <c r="O5063">
        <v>1</v>
      </c>
      <c r="P5063">
        <v>1</v>
      </c>
      <c r="Q5063">
        <v>1</v>
      </c>
      <c r="R5063">
        <v>1</v>
      </c>
      <c r="S5063">
        <v>1</v>
      </c>
      <c r="T5063">
        <v>1</v>
      </c>
      <c r="W5063">
        <v>1</v>
      </c>
      <c r="X5063">
        <v>1</v>
      </c>
      <c r="Y5063">
        <v>1</v>
      </c>
      <c r="Z5063">
        <v>1</v>
      </c>
      <c r="AA5063">
        <v>1</v>
      </c>
      <c r="AB5063">
        <v>1</v>
      </c>
    </row>
    <row r="5064" spans="1:28" x14ac:dyDescent="0.25">
      <c r="A5064" t="str">
        <f>"5060"</f>
        <v>5060</v>
      </c>
      <c r="B5064" t="str">
        <f t="shared" si="290"/>
        <v>1</v>
      </c>
      <c r="C5064" t="str">
        <f t="shared" si="291"/>
        <v>220</v>
      </c>
      <c r="D5064" t="str">
        <f>"2"</f>
        <v>2</v>
      </c>
      <c r="E5064" t="str">
        <f>"1-220-2"</f>
        <v>1-220-2</v>
      </c>
      <c r="F5064" t="s">
        <v>83</v>
      </c>
      <c r="G5064" t="s">
        <v>84</v>
      </c>
      <c r="H5064" t="s">
        <v>92</v>
      </c>
      <c r="I5064">
        <v>1</v>
      </c>
      <c r="J5064">
        <v>1</v>
      </c>
      <c r="N5064">
        <v>1</v>
      </c>
      <c r="O5064">
        <v>1</v>
      </c>
      <c r="P5064">
        <v>1</v>
      </c>
      <c r="Q5064">
        <v>1</v>
      </c>
      <c r="R5064">
        <v>1</v>
      </c>
      <c r="S5064">
        <v>1</v>
      </c>
      <c r="T5064">
        <v>1</v>
      </c>
      <c r="W5064">
        <v>1</v>
      </c>
      <c r="X5064">
        <v>1</v>
      </c>
      <c r="Y5064">
        <v>1</v>
      </c>
      <c r="Z5064">
        <v>1</v>
      </c>
      <c r="AA5064">
        <v>1</v>
      </c>
      <c r="AB5064">
        <v>1</v>
      </c>
    </row>
    <row r="5065" spans="1:28" x14ac:dyDescent="0.25">
      <c r="A5065" t="str">
        <f>"5061"</f>
        <v>5061</v>
      </c>
      <c r="B5065" t="str">
        <f t="shared" si="290"/>
        <v>1</v>
      </c>
      <c r="C5065" t="str">
        <f t="shared" si="291"/>
        <v>220</v>
      </c>
      <c r="D5065" t="str">
        <f>"21"</f>
        <v>21</v>
      </c>
      <c r="E5065" t="str">
        <f>"1-220-21"</f>
        <v>1-220-21</v>
      </c>
      <c r="F5065" t="s">
        <v>83</v>
      </c>
      <c r="G5065" t="s">
        <v>84</v>
      </c>
      <c r="H5065" t="s">
        <v>92</v>
      </c>
      <c r="I5065">
        <v>1</v>
      </c>
      <c r="J5065">
        <v>1</v>
      </c>
      <c r="N5065">
        <v>1</v>
      </c>
      <c r="O5065">
        <v>1</v>
      </c>
      <c r="P5065">
        <v>1</v>
      </c>
      <c r="Q5065">
        <v>1</v>
      </c>
      <c r="R5065">
        <v>1</v>
      </c>
      <c r="S5065">
        <v>1</v>
      </c>
      <c r="T5065">
        <v>1</v>
      </c>
      <c r="W5065">
        <v>1</v>
      </c>
      <c r="X5065">
        <v>1</v>
      </c>
      <c r="Y5065">
        <v>1</v>
      </c>
      <c r="Z5065">
        <v>1</v>
      </c>
      <c r="AA5065">
        <v>1</v>
      </c>
      <c r="AB5065">
        <v>1</v>
      </c>
    </row>
    <row r="5066" spans="1:28" x14ac:dyDescent="0.25">
      <c r="A5066" t="str">
        <f>"5062"</f>
        <v>5062</v>
      </c>
      <c r="B5066" t="str">
        <f t="shared" si="290"/>
        <v>1</v>
      </c>
      <c r="C5066" t="str">
        <f t="shared" si="291"/>
        <v>220</v>
      </c>
      <c r="D5066" t="str">
        <f>"14"</f>
        <v>14</v>
      </c>
      <c r="E5066" t="str">
        <f>"1-220-14"</f>
        <v>1-220-14</v>
      </c>
      <c r="F5066" t="s">
        <v>83</v>
      </c>
      <c r="G5066" t="s">
        <v>84</v>
      </c>
      <c r="H5066" t="s">
        <v>92</v>
      </c>
      <c r="I5066">
        <v>1</v>
      </c>
      <c r="J5066">
        <v>1</v>
      </c>
      <c r="N5066">
        <v>1</v>
      </c>
      <c r="O5066">
        <v>1</v>
      </c>
      <c r="P5066">
        <v>1</v>
      </c>
      <c r="Q5066">
        <v>1</v>
      </c>
      <c r="R5066">
        <v>1</v>
      </c>
      <c r="S5066">
        <v>1</v>
      </c>
      <c r="T5066">
        <v>1</v>
      </c>
      <c r="W5066">
        <v>1</v>
      </c>
      <c r="X5066">
        <v>1</v>
      </c>
      <c r="Y5066">
        <v>1</v>
      </c>
      <c r="Z5066">
        <v>1</v>
      </c>
      <c r="AA5066">
        <v>1</v>
      </c>
      <c r="AB5066">
        <v>1</v>
      </c>
    </row>
    <row r="5067" spans="1:28" x14ac:dyDescent="0.25">
      <c r="A5067" t="str">
        <f>"5063"</f>
        <v>5063</v>
      </c>
      <c r="B5067" t="str">
        <f t="shared" si="290"/>
        <v>1</v>
      </c>
      <c r="C5067" t="str">
        <f t="shared" si="291"/>
        <v>220</v>
      </c>
      <c r="D5067" t="str">
        <f>"6"</f>
        <v>6</v>
      </c>
      <c r="E5067" t="str">
        <f>"1-220-6"</f>
        <v>1-220-6</v>
      </c>
      <c r="F5067" t="s">
        <v>83</v>
      </c>
      <c r="G5067" t="s">
        <v>86</v>
      </c>
      <c r="H5067" t="s">
        <v>93</v>
      </c>
      <c r="I5067">
        <v>1</v>
      </c>
      <c r="K5067">
        <v>1</v>
      </c>
      <c r="L5067">
        <v>0</v>
      </c>
      <c r="M5067">
        <v>0</v>
      </c>
      <c r="N5067">
        <v>1</v>
      </c>
      <c r="O5067">
        <v>1</v>
      </c>
      <c r="P5067">
        <v>1</v>
      </c>
      <c r="Q5067">
        <v>1</v>
      </c>
      <c r="R5067">
        <v>1</v>
      </c>
      <c r="U5067">
        <v>0</v>
      </c>
      <c r="V5067">
        <v>1</v>
      </c>
      <c r="W5067">
        <v>1</v>
      </c>
      <c r="X5067">
        <v>1</v>
      </c>
      <c r="Y5067">
        <v>1</v>
      </c>
      <c r="Z5067">
        <v>1</v>
      </c>
      <c r="AA5067">
        <v>1</v>
      </c>
      <c r="AB5067">
        <v>1</v>
      </c>
    </row>
    <row r="5068" spans="1:28" x14ac:dyDescent="0.25">
      <c r="A5068" t="str">
        <f>"5064"</f>
        <v>5064</v>
      </c>
      <c r="B5068" t="str">
        <f t="shared" si="290"/>
        <v>1</v>
      </c>
      <c r="C5068" t="str">
        <f t="shared" ref="C5068:C5092" si="292">"221"</f>
        <v>221</v>
      </c>
      <c r="D5068" t="str">
        <f>"25"</f>
        <v>25</v>
      </c>
      <c r="E5068" t="str">
        <f>"1-221-25"</f>
        <v>1-221-25</v>
      </c>
      <c r="F5068" t="s">
        <v>83</v>
      </c>
      <c r="G5068" t="s">
        <v>84</v>
      </c>
      <c r="H5068" t="s">
        <v>92</v>
      </c>
      <c r="I5068">
        <v>1</v>
      </c>
      <c r="J5068">
        <v>1</v>
      </c>
      <c r="N5068">
        <v>1</v>
      </c>
      <c r="O5068">
        <v>1</v>
      </c>
      <c r="P5068">
        <v>1</v>
      </c>
      <c r="Q5068">
        <v>1</v>
      </c>
      <c r="R5068">
        <v>1</v>
      </c>
      <c r="S5068">
        <v>1</v>
      </c>
      <c r="T5068">
        <v>1</v>
      </c>
      <c r="W5068">
        <v>1</v>
      </c>
      <c r="X5068">
        <v>1</v>
      </c>
      <c r="Y5068">
        <v>1</v>
      </c>
      <c r="Z5068">
        <v>1</v>
      </c>
      <c r="AA5068">
        <v>1</v>
      </c>
      <c r="AB5068">
        <v>1</v>
      </c>
    </row>
    <row r="5069" spans="1:28" x14ac:dyDescent="0.25">
      <c r="A5069" t="str">
        <f>"5065"</f>
        <v>5065</v>
      </c>
      <c r="B5069" t="str">
        <f t="shared" si="290"/>
        <v>1</v>
      </c>
      <c r="C5069" t="str">
        <f t="shared" si="292"/>
        <v>221</v>
      </c>
      <c r="D5069" t="str">
        <f>"24"</f>
        <v>24</v>
      </c>
      <c r="E5069" t="str">
        <f>"1-221-24"</f>
        <v>1-221-24</v>
      </c>
      <c r="F5069" t="s">
        <v>83</v>
      </c>
      <c r="G5069" t="s">
        <v>84</v>
      </c>
      <c r="H5069" t="s">
        <v>92</v>
      </c>
      <c r="I5069">
        <v>1</v>
      </c>
      <c r="J5069">
        <v>1</v>
      </c>
      <c r="N5069">
        <v>1</v>
      </c>
      <c r="O5069">
        <v>1</v>
      </c>
      <c r="P5069">
        <v>1</v>
      </c>
      <c r="Q5069">
        <v>1</v>
      </c>
      <c r="R5069">
        <v>1</v>
      </c>
      <c r="S5069">
        <v>1</v>
      </c>
      <c r="T5069">
        <v>1</v>
      </c>
      <c r="W5069">
        <v>1</v>
      </c>
      <c r="X5069">
        <v>1</v>
      </c>
      <c r="Y5069">
        <v>1</v>
      </c>
      <c r="Z5069">
        <v>1</v>
      </c>
      <c r="AA5069">
        <v>1</v>
      </c>
      <c r="AB5069">
        <v>1</v>
      </c>
    </row>
    <row r="5070" spans="1:28" x14ac:dyDescent="0.25">
      <c r="A5070" t="str">
        <f>"5066"</f>
        <v>5066</v>
      </c>
      <c r="B5070" t="str">
        <f t="shared" si="290"/>
        <v>1</v>
      </c>
      <c r="C5070" t="str">
        <f t="shared" si="292"/>
        <v>221</v>
      </c>
      <c r="D5070" t="str">
        <f>"16"</f>
        <v>16</v>
      </c>
      <c r="E5070" t="str">
        <f>"1-221-16"</f>
        <v>1-221-16</v>
      </c>
      <c r="F5070" t="s">
        <v>83</v>
      </c>
      <c r="G5070" t="s">
        <v>84</v>
      </c>
      <c r="H5070" t="s">
        <v>92</v>
      </c>
      <c r="I5070">
        <v>1</v>
      </c>
      <c r="J5070">
        <v>1</v>
      </c>
      <c r="N5070">
        <v>1</v>
      </c>
      <c r="O5070">
        <v>1</v>
      </c>
      <c r="P5070">
        <v>1</v>
      </c>
      <c r="Q5070">
        <v>1</v>
      </c>
      <c r="R5070">
        <v>1</v>
      </c>
      <c r="S5070">
        <v>1</v>
      </c>
      <c r="T5070">
        <v>1</v>
      </c>
      <c r="W5070">
        <v>1</v>
      </c>
      <c r="X5070">
        <v>1</v>
      </c>
      <c r="Y5070">
        <v>1</v>
      </c>
      <c r="Z5070">
        <v>1</v>
      </c>
      <c r="AA5070">
        <v>1</v>
      </c>
      <c r="AB5070">
        <v>1</v>
      </c>
    </row>
    <row r="5071" spans="1:28" x14ac:dyDescent="0.25">
      <c r="A5071" t="str">
        <f>"5067"</f>
        <v>5067</v>
      </c>
      <c r="B5071" t="str">
        <f t="shared" si="290"/>
        <v>1</v>
      </c>
      <c r="C5071" t="str">
        <f t="shared" si="292"/>
        <v>221</v>
      </c>
      <c r="D5071" t="str">
        <f>"8"</f>
        <v>8</v>
      </c>
      <c r="E5071" t="str">
        <f>"1-221-8"</f>
        <v>1-221-8</v>
      </c>
      <c r="F5071" t="s">
        <v>83</v>
      </c>
      <c r="G5071" t="s">
        <v>84</v>
      </c>
      <c r="H5071" t="s">
        <v>92</v>
      </c>
      <c r="I5071">
        <v>1</v>
      </c>
      <c r="J5071">
        <v>1</v>
      </c>
      <c r="N5071">
        <v>1</v>
      </c>
      <c r="O5071">
        <v>1</v>
      </c>
      <c r="P5071">
        <v>1</v>
      </c>
      <c r="Q5071">
        <v>1</v>
      </c>
      <c r="R5071">
        <v>1</v>
      </c>
      <c r="S5071">
        <v>1</v>
      </c>
      <c r="T5071">
        <v>1</v>
      </c>
      <c r="W5071">
        <v>1</v>
      </c>
      <c r="X5071">
        <v>1</v>
      </c>
      <c r="Y5071">
        <v>1</v>
      </c>
      <c r="Z5071">
        <v>1</v>
      </c>
      <c r="AA5071">
        <v>1</v>
      </c>
      <c r="AB5071">
        <v>1</v>
      </c>
    </row>
    <row r="5072" spans="1:28" x14ac:dyDescent="0.25">
      <c r="A5072" t="str">
        <f>"5068"</f>
        <v>5068</v>
      </c>
      <c r="B5072" t="str">
        <f t="shared" si="290"/>
        <v>1</v>
      </c>
      <c r="C5072" t="str">
        <f t="shared" si="292"/>
        <v>221</v>
      </c>
      <c r="D5072" t="str">
        <f>"6"</f>
        <v>6</v>
      </c>
      <c r="E5072" t="str">
        <f>"1-221-6"</f>
        <v>1-221-6</v>
      </c>
      <c r="F5072" t="s">
        <v>83</v>
      </c>
      <c r="G5072" t="s">
        <v>84</v>
      </c>
      <c r="H5072" t="s">
        <v>92</v>
      </c>
      <c r="I5072">
        <v>1</v>
      </c>
      <c r="J5072">
        <v>1</v>
      </c>
      <c r="N5072">
        <v>1</v>
      </c>
      <c r="O5072">
        <v>1</v>
      </c>
      <c r="P5072">
        <v>1</v>
      </c>
      <c r="Q5072">
        <v>1</v>
      </c>
      <c r="R5072">
        <v>1</v>
      </c>
      <c r="S5072">
        <v>1</v>
      </c>
      <c r="T5072">
        <v>1</v>
      </c>
      <c r="W5072">
        <v>1</v>
      </c>
      <c r="X5072">
        <v>1</v>
      </c>
      <c r="Y5072">
        <v>1</v>
      </c>
      <c r="Z5072">
        <v>1</v>
      </c>
      <c r="AA5072">
        <v>1</v>
      </c>
      <c r="AB5072">
        <v>1</v>
      </c>
    </row>
    <row r="5073" spans="1:28" x14ac:dyDescent="0.25">
      <c r="A5073" t="str">
        <f>"5069"</f>
        <v>5069</v>
      </c>
      <c r="B5073" t="str">
        <f t="shared" si="290"/>
        <v>1</v>
      </c>
      <c r="C5073" t="str">
        <f t="shared" si="292"/>
        <v>221</v>
      </c>
      <c r="D5073" t="str">
        <f>"23"</f>
        <v>23</v>
      </c>
      <c r="E5073" t="str">
        <f>"1-221-23"</f>
        <v>1-221-23</v>
      </c>
      <c r="F5073" t="s">
        <v>83</v>
      </c>
      <c r="G5073" t="s">
        <v>84</v>
      </c>
      <c r="H5073" t="s">
        <v>92</v>
      </c>
      <c r="I5073">
        <v>1</v>
      </c>
      <c r="J5073">
        <v>1</v>
      </c>
      <c r="N5073">
        <v>1</v>
      </c>
      <c r="O5073">
        <v>1</v>
      </c>
      <c r="P5073">
        <v>1</v>
      </c>
      <c r="Q5073">
        <v>1</v>
      </c>
      <c r="R5073">
        <v>1</v>
      </c>
      <c r="S5073">
        <v>1</v>
      </c>
      <c r="T5073">
        <v>1</v>
      </c>
      <c r="W5073">
        <v>1</v>
      </c>
      <c r="X5073">
        <v>1</v>
      </c>
      <c r="Y5073">
        <v>1</v>
      </c>
      <c r="Z5073">
        <v>1</v>
      </c>
      <c r="AA5073">
        <v>1</v>
      </c>
      <c r="AB5073">
        <v>1</v>
      </c>
    </row>
    <row r="5074" spans="1:28" x14ac:dyDescent="0.25">
      <c r="A5074" t="str">
        <f>"5070"</f>
        <v>5070</v>
      </c>
      <c r="B5074" t="str">
        <f t="shared" si="290"/>
        <v>1</v>
      </c>
      <c r="C5074" t="str">
        <f t="shared" si="292"/>
        <v>221</v>
      </c>
      <c r="D5074" t="str">
        <f>"22"</f>
        <v>22</v>
      </c>
      <c r="E5074" t="str">
        <f>"1-221-22"</f>
        <v>1-221-22</v>
      </c>
      <c r="F5074" t="s">
        <v>83</v>
      </c>
      <c r="G5074" t="s">
        <v>84</v>
      </c>
      <c r="H5074" t="s">
        <v>92</v>
      </c>
      <c r="I5074">
        <v>1</v>
      </c>
      <c r="J5074">
        <v>1</v>
      </c>
      <c r="N5074">
        <v>1</v>
      </c>
      <c r="O5074">
        <v>1</v>
      </c>
      <c r="P5074">
        <v>0</v>
      </c>
      <c r="Q5074">
        <v>1</v>
      </c>
      <c r="R5074">
        <v>0</v>
      </c>
      <c r="S5074">
        <v>1</v>
      </c>
      <c r="T5074">
        <v>0</v>
      </c>
      <c r="W5074">
        <v>0</v>
      </c>
      <c r="X5074">
        <v>0</v>
      </c>
      <c r="Y5074">
        <v>0</v>
      </c>
      <c r="Z5074">
        <v>0</v>
      </c>
      <c r="AA5074">
        <v>0</v>
      </c>
      <c r="AB5074">
        <v>0</v>
      </c>
    </row>
    <row r="5075" spans="1:28" x14ac:dyDescent="0.25">
      <c r="A5075" t="str">
        <f>"5071"</f>
        <v>5071</v>
      </c>
      <c r="B5075" t="str">
        <f t="shared" si="290"/>
        <v>1</v>
      </c>
      <c r="C5075" t="str">
        <f t="shared" si="292"/>
        <v>221</v>
      </c>
      <c r="D5075" t="str">
        <f>"15"</f>
        <v>15</v>
      </c>
      <c r="E5075" t="str">
        <f>"1-221-15"</f>
        <v>1-221-15</v>
      </c>
      <c r="F5075" t="s">
        <v>83</v>
      </c>
      <c r="G5075" t="s">
        <v>84</v>
      </c>
      <c r="H5075" t="s">
        <v>92</v>
      </c>
      <c r="I5075">
        <v>1</v>
      </c>
      <c r="J5075">
        <v>0</v>
      </c>
      <c r="N5075">
        <v>1</v>
      </c>
      <c r="O5075">
        <v>1</v>
      </c>
      <c r="P5075">
        <v>0</v>
      </c>
      <c r="Q5075">
        <v>0</v>
      </c>
      <c r="R5075">
        <v>0</v>
      </c>
      <c r="S5075">
        <v>0</v>
      </c>
      <c r="T5075">
        <v>0</v>
      </c>
      <c r="W5075">
        <v>0</v>
      </c>
      <c r="X5075">
        <v>1</v>
      </c>
      <c r="Y5075">
        <v>1</v>
      </c>
      <c r="Z5075">
        <v>0</v>
      </c>
      <c r="AA5075">
        <v>0</v>
      </c>
      <c r="AB5075">
        <v>1</v>
      </c>
    </row>
    <row r="5076" spans="1:28" x14ac:dyDescent="0.25">
      <c r="A5076" t="str">
        <f>"5072"</f>
        <v>5072</v>
      </c>
      <c r="B5076" t="str">
        <f t="shared" si="290"/>
        <v>1</v>
      </c>
      <c r="C5076" t="str">
        <f t="shared" si="292"/>
        <v>221</v>
      </c>
      <c r="D5076" t="str">
        <f>"9"</f>
        <v>9</v>
      </c>
      <c r="E5076" t="str">
        <f>"1-221-9"</f>
        <v>1-221-9</v>
      </c>
      <c r="F5076" t="s">
        <v>83</v>
      </c>
      <c r="G5076" t="s">
        <v>84</v>
      </c>
      <c r="H5076" t="s">
        <v>92</v>
      </c>
      <c r="I5076">
        <v>1</v>
      </c>
      <c r="J5076">
        <v>1</v>
      </c>
      <c r="N5076">
        <v>1</v>
      </c>
      <c r="O5076">
        <v>1</v>
      </c>
      <c r="P5076">
        <v>1</v>
      </c>
      <c r="Q5076">
        <v>1</v>
      </c>
      <c r="R5076">
        <v>1</v>
      </c>
      <c r="S5076">
        <v>1</v>
      </c>
      <c r="T5076">
        <v>1</v>
      </c>
      <c r="W5076">
        <v>1</v>
      </c>
      <c r="X5076">
        <v>1</v>
      </c>
      <c r="Y5076">
        <v>1</v>
      </c>
      <c r="Z5076">
        <v>1</v>
      </c>
      <c r="AA5076">
        <v>1</v>
      </c>
      <c r="AB5076">
        <v>1</v>
      </c>
    </row>
    <row r="5077" spans="1:28" x14ac:dyDescent="0.25">
      <c r="A5077" t="str">
        <f>"5073"</f>
        <v>5073</v>
      </c>
      <c r="B5077" t="str">
        <f t="shared" si="290"/>
        <v>1</v>
      </c>
      <c r="C5077" t="str">
        <f t="shared" si="292"/>
        <v>221</v>
      </c>
      <c r="D5077" t="str">
        <f>"4"</f>
        <v>4</v>
      </c>
      <c r="E5077" t="str">
        <f>"1-221-4"</f>
        <v>1-221-4</v>
      </c>
      <c r="F5077" t="s">
        <v>83</v>
      </c>
      <c r="G5077" t="s">
        <v>84</v>
      </c>
      <c r="H5077" t="s">
        <v>92</v>
      </c>
      <c r="I5077">
        <v>1</v>
      </c>
      <c r="J5077">
        <v>1</v>
      </c>
      <c r="N5077">
        <v>1</v>
      </c>
      <c r="O5077">
        <v>1</v>
      </c>
      <c r="P5077">
        <v>1</v>
      </c>
      <c r="Q5077">
        <v>1</v>
      </c>
      <c r="R5077">
        <v>1</v>
      </c>
      <c r="S5077">
        <v>1</v>
      </c>
      <c r="T5077">
        <v>1</v>
      </c>
      <c r="W5077">
        <v>1</v>
      </c>
      <c r="X5077">
        <v>1</v>
      </c>
      <c r="Y5077">
        <v>1</v>
      </c>
      <c r="Z5077">
        <v>1</v>
      </c>
      <c r="AA5077">
        <v>1</v>
      </c>
      <c r="AB5077">
        <v>1</v>
      </c>
    </row>
    <row r="5078" spans="1:28" x14ac:dyDescent="0.25">
      <c r="A5078" t="str">
        <f>"5074"</f>
        <v>5074</v>
      </c>
      <c r="B5078" t="str">
        <f t="shared" si="290"/>
        <v>1</v>
      </c>
      <c r="C5078" t="str">
        <f t="shared" si="292"/>
        <v>221</v>
      </c>
      <c r="D5078" t="str">
        <f>"18"</f>
        <v>18</v>
      </c>
      <c r="E5078" t="str">
        <f>"1-221-18"</f>
        <v>1-221-18</v>
      </c>
      <c r="F5078" t="s">
        <v>83</v>
      </c>
      <c r="G5078" t="s">
        <v>84</v>
      </c>
      <c r="H5078" t="s">
        <v>92</v>
      </c>
      <c r="I5078">
        <v>1</v>
      </c>
      <c r="J5078">
        <v>1</v>
      </c>
      <c r="N5078">
        <v>1</v>
      </c>
      <c r="O5078">
        <v>1</v>
      </c>
      <c r="P5078">
        <v>1</v>
      </c>
      <c r="Q5078">
        <v>1</v>
      </c>
      <c r="R5078">
        <v>1</v>
      </c>
      <c r="S5078">
        <v>1</v>
      </c>
      <c r="T5078">
        <v>1</v>
      </c>
      <c r="W5078">
        <v>1</v>
      </c>
      <c r="X5078">
        <v>1</v>
      </c>
      <c r="Y5078">
        <v>1</v>
      </c>
      <c r="Z5078">
        <v>1</v>
      </c>
      <c r="AA5078">
        <v>1</v>
      </c>
      <c r="AB5078">
        <v>1</v>
      </c>
    </row>
    <row r="5079" spans="1:28" x14ac:dyDescent="0.25">
      <c r="A5079" t="str">
        <f>"5075"</f>
        <v>5075</v>
      </c>
      <c r="B5079" t="str">
        <f t="shared" si="290"/>
        <v>1</v>
      </c>
      <c r="C5079" t="str">
        <f t="shared" si="292"/>
        <v>221</v>
      </c>
      <c r="D5079" t="str">
        <f>"10"</f>
        <v>10</v>
      </c>
      <c r="E5079" t="str">
        <f>"1-221-10"</f>
        <v>1-221-10</v>
      </c>
      <c r="F5079" t="s">
        <v>83</v>
      </c>
      <c r="G5079" t="s">
        <v>88</v>
      </c>
      <c r="H5079" t="s">
        <v>95</v>
      </c>
      <c r="I5079">
        <v>1</v>
      </c>
      <c r="K5079">
        <v>0</v>
      </c>
      <c r="L5079">
        <v>0</v>
      </c>
      <c r="M5079">
        <v>0</v>
      </c>
      <c r="N5079">
        <v>1</v>
      </c>
      <c r="O5079">
        <v>1</v>
      </c>
      <c r="P5079">
        <v>1</v>
      </c>
      <c r="Q5079">
        <v>1</v>
      </c>
      <c r="R5079">
        <v>1</v>
      </c>
      <c r="S5079">
        <v>1</v>
      </c>
      <c r="T5079">
        <v>1</v>
      </c>
      <c r="W5079">
        <v>1</v>
      </c>
      <c r="X5079">
        <v>1</v>
      </c>
      <c r="Y5079">
        <v>1</v>
      </c>
      <c r="Z5079">
        <v>1</v>
      </c>
      <c r="AA5079">
        <v>1</v>
      </c>
      <c r="AB5079">
        <v>1</v>
      </c>
    </row>
    <row r="5080" spans="1:28" x14ac:dyDescent="0.25">
      <c r="A5080" t="str">
        <f>"5076"</f>
        <v>5076</v>
      </c>
      <c r="B5080" t="str">
        <f t="shared" si="290"/>
        <v>1</v>
      </c>
      <c r="C5080" t="str">
        <f t="shared" si="292"/>
        <v>221</v>
      </c>
      <c r="D5080" t="str">
        <f>"1"</f>
        <v>1</v>
      </c>
      <c r="E5080" t="str">
        <f>"1-221-1"</f>
        <v>1-221-1</v>
      </c>
      <c r="F5080" t="s">
        <v>83</v>
      </c>
      <c r="G5080" t="s">
        <v>84</v>
      </c>
      <c r="H5080" t="s">
        <v>92</v>
      </c>
      <c r="I5080">
        <v>1</v>
      </c>
      <c r="J5080">
        <v>1</v>
      </c>
      <c r="N5080">
        <v>1</v>
      </c>
      <c r="O5080">
        <v>1</v>
      </c>
      <c r="P5080">
        <v>1</v>
      </c>
      <c r="Q5080">
        <v>1</v>
      </c>
      <c r="R5080">
        <v>1</v>
      </c>
      <c r="S5080">
        <v>1</v>
      </c>
      <c r="T5080">
        <v>1</v>
      </c>
      <c r="W5080">
        <v>1</v>
      </c>
      <c r="X5080">
        <v>1</v>
      </c>
      <c r="Y5080">
        <v>0</v>
      </c>
      <c r="Z5080">
        <v>1</v>
      </c>
      <c r="AA5080">
        <v>1</v>
      </c>
      <c r="AB5080">
        <v>1</v>
      </c>
    </row>
    <row r="5081" spans="1:28" x14ac:dyDescent="0.25">
      <c r="A5081" t="str">
        <f>"5077"</f>
        <v>5077</v>
      </c>
      <c r="B5081" t="str">
        <f t="shared" si="290"/>
        <v>1</v>
      </c>
      <c r="C5081" t="str">
        <f t="shared" si="292"/>
        <v>221</v>
      </c>
      <c r="D5081" t="str">
        <f>"17"</f>
        <v>17</v>
      </c>
      <c r="E5081" t="str">
        <f>"1-221-17"</f>
        <v>1-221-17</v>
      </c>
      <c r="F5081" t="s">
        <v>83</v>
      </c>
      <c r="G5081" t="s">
        <v>84</v>
      </c>
      <c r="H5081" t="s">
        <v>92</v>
      </c>
      <c r="I5081">
        <v>1</v>
      </c>
      <c r="J5081">
        <v>1</v>
      </c>
      <c r="N5081">
        <v>1</v>
      </c>
      <c r="O5081">
        <v>1</v>
      </c>
      <c r="P5081">
        <v>0</v>
      </c>
      <c r="Q5081">
        <v>0</v>
      </c>
      <c r="R5081">
        <v>0</v>
      </c>
      <c r="S5081">
        <v>1</v>
      </c>
      <c r="T5081">
        <v>0</v>
      </c>
      <c r="W5081">
        <v>1</v>
      </c>
      <c r="X5081">
        <v>1</v>
      </c>
      <c r="Y5081">
        <v>1</v>
      </c>
      <c r="Z5081">
        <v>0</v>
      </c>
      <c r="AA5081">
        <v>0</v>
      </c>
      <c r="AB5081">
        <v>1</v>
      </c>
    </row>
    <row r="5082" spans="1:28" x14ac:dyDescent="0.25">
      <c r="A5082" t="str">
        <f>"5078"</f>
        <v>5078</v>
      </c>
      <c r="B5082" t="str">
        <f t="shared" si="290"/>
        <v>1</v>
      </c>
      <c r="C5082" t="str">
        <f t="shared" si="292"/>
        <v>221</v>
      </c>
      <c r="D5082" t="str">
        <f>"11"</f>
        <v>11</v>
      </c>
      <c r="E5082" t="str">
        <f>"1-221-11"</f>
        <v>1-221-11</v>
      </c>
      <c r="F5082" t="s">
        <v>83</v>
      </c>
      <c r="G5082" t="s">
        <v>84</v>
      </c>
      <c r="H5082" t="s">
        <v>92</v>
      </c>
      <c r="I5082">
        <v>1</v>
      </c>
      <c r="J5082">
        <v>1</v>
      </c>
      <c r="N5082">
        <v>1</v>
      </c>
      <c r="O5082">
        <v>1</v>
      </c>
      <c r="P5082">
        <v>1</v>
      </c>
      <c r="Q5082">
        <v>1</v>
      </c>
      <c r="R5082">
        <v>1</v>
      </c>
      <c r="S5082">
        <v>1</v>
      </c>
      <c r="T5082">
        <v>1</v>
      </c>
      <c r="W5082">
        <v>1</v>
      </c>
      <c r="X5082">
        <v>1</v>
      </c>
      <c r="Y5082">
        <v>1</v>
      </c>
      <c r="Z5082">
        <v>1</v>
      </c>
      <c r="AA5082">
        <v>1</v>
      </c>
      <c r="AB5082">
        <v>1</v>
      </c>
    </row>
    <row r="5083" spans="1:28" x14ac:dyDescent="0.25">
      <c r="A5083" t="str">
        <f>"5079"</f>
        <v>5079</v>
      </c>
      <c r="B5083" t="str">
        <f t="shared" si="290"/>
        <v>1</v>
      </c>
      <c r="C5083" t="str">
        <f t="shared" si="292"/>
        <v>221</v>
      </c>
      <c r="D5083" t="str">
        <f>"7"</f>
        <v>7</v>
      </c>
      <c r="E5083" t="str">
        <f>"1-221-7"</f>
        <v>1-221-7</v>
      </c>
      <c r="F5083" t="s">
        <v>83</v>
      </c>
      <c r="G5083" t="s">
        <v>84</v>
      </c>
      <c r="H5083" t="s">
        <v>92</v>
      </c>
      <c r="I5083">
        <v>1</v>
      </c>
      <c r="J5083">
        <v>1</v>
      </c>
      <c r="N5083">
        <v>1</v>
      </c>
      <c r="O5083">
        <v>1</v>
      </c>
      <c r="P5083">
        <v>1</v>
      </c>
      <c r="Q5083">
        <v>1</v>
      </c>
      <c r="R5083">
        <v>1</v>
      </c>
      <c r="S5083">
        <v>1</v>
      </c>
      <c r="T5083">
        <v>1</v>
      </c>
      <c r="W5083">
        <v>1</v>
      </c>
      <c r="X5083">
        <v>1</v>
      </c>
      <c r="Y5083">
        <v>1</v>
      </c>
      <c r="Z5083">
        <v>1</v>
      </c>
      <c r="AA5083">
        <v>1</v>
      </c>
      <c r="AB5083">
        <v>1</v>
      </c>
    </row>
    <row r="5084" spans="1:28" x14ac:dyDescent="0.25">
      <c r="A5084" t="str">
        <f>"5080"</f>
        <v>5080</v>
      </c>
      <c r="B5084" t="str">
        <f t="shared" si="290"/>
        <v>1</v>
      </c>
      <c r="C5084" t="str">
        <f t="shared" si="292"/>
        <v>221</v>
      </c>
      <c r="D5084" t="str">
        <f>"20"</f>
        <v>20</v>
      </c>
      <c r="E5084" t="str">
        <f>"1-221-20"</f>
        <v>1-221-20</v>
      </c>
      <c r="F5084" t="s">
        <v>83</v>
      </c>
      <c r="G5084" t="s">
        <v>84</v>
      </c>
      <c r="H5084" t="s">
        <v>92</v>
      </c>
      <c r="I5084">
        <v>1</v>
      </c>
      <c r="J5084">
        <v>1</v>
      </c>
      <c r="N5084">
        <v>1</v>
      </c>
      <c r="O5084">
        <v>1</v>
      </c>
      <c r="P5084">
        <v>1</v>
      </c>
      <c r="Q5084">
        <v>1</v>
      </c>
      <c r="R5084">
        <v>1</v>
      </c>
      <c r="S5084">
        <v>1</v>
      </c>
      <c r="T5084">
        <v>1</v>
      </c>
      <c r="W5084">
        <v>1</v>
      </c>
      <c r="X5084">
        <v>1</v>
      </c>
      <c r="Y5084">
        <v>1</v>
      </c>
      <c r="Z5084">
        <v>1</v>
      </c>
      <c r="AA5084">
        <v>1</v>
      </c>
      <c r="AB5084">
        <v>1</v>
      </c>
    </row>
    <row r="5085" spans="1:28" x14ac:dyDescent="0.25">
      <c r="A5085" t="str">
        <f>"5081"</f>
        <v>5081</v>
      </c>
      <c r="B5085" t="str">
        <f t="shared" si="290"/>
        <v>1</v>
      </c>
      <c r="C5085" t="str">
        <f t="shared" si="292"/>
        <v>221</v>
      </c>
      <c r="D5085" t="str">
        <f>"12"</f>
        <v>12</v>
      </c>
      <c r="E5085" t="str">
        <f>"1-221-12"</f>
        <v>1-221-12</v>
      </c>
      <c r="F5085" t="s">
        <v>83</v>
      </c>
      <c r="G5085" t="s">
        <v>84</v>
      </c>
      <c r="H5085" t="s">
        <v>92</v>
      </c>
      <c r="I5085">
        <v>1</v>
      </c>
      <c r="J5085">
        <v>1</v>
      </c>
      <c r="N5085">
        <v>1</v>
      </c>
      <c r="O5085">
        <v>1</v>
      </c>
      <c r="P5085">
        <v>1</v>
      </c>
      <c r="Q5085">
        <v>1</v>
      </c>
      <c r="R5085">
        <v>1</v>
      </c>
      <c r="S5085">
        <v>1</v>
      </c>
      <c r="T5085">
        <v>1</v>
      </c>
      <c r="W5085">
        <v>1</v>
      </c>
      <c r="X5085">
        <v>1</v>
      </c>
      <c r="Y5085">
        <v>1</v>
      </c>
      <c r="Z5085">
        <v>1</v>
      </c>
      <c r="AA5085">
        <v>1</v>
      </c>
      <c r="AB5085">
        <v>1</v>
      </c>
    </row>
    <row r="5086" spans="1:28" x14ac:dyDescent="0.25">
      <c r="A5086" t="str">
        <f>"5082"</f>
        <v>5082</v>
      </c>
      <c r="B5086" t="str">
        <f t="shared" ref="B5086:B5149" si="293">"1"</f>
        <v>1</v>
      </c>
      <c r="C5086" t="str">
        <f t="shared" si="292"/>
        <v>221</v>
      </c>
      <c r="D5086" t="str">
        <f>"3"</f>
        <v>3</v>
      </c>
      <c r="E5086" t="str">
        <f>"1-221-3"</f>
        <v>1-221-3</v>
      </c>
      <c r="F5086" t="s">
        <v>83</v>
      </c>
      <c r="G5086" t="s">
        <v>84</v>
      </c>
      <c r="H5086" t="s">
        <v>92</v>
      </c>
      <c r="I5086">
        <v>1</v>
      </c>
      <c r="J5086">
        <v>1</v>
      </c>
      <c r="N5086">
        <v>1</v>
      </c>
      <c r="O5086">
        <v>1</v>
      </c>
      <c r="P5086">
        <v>1</v>
      </c>
      <c r="Q5086">
        <v>1</v>
      </c>
      <c r="R5086">
        <v>1</v>
      </c>
      <c r="S5086">
        <v>1</v>
      </c>
      <c r="T5086">
        <v>1</v>
      </c>
      <c r="W5086">
        <v>1</v>
      </c>
      <c r="X5086">
        <v>1</v>
      </c>
      <c r="Y5086">
        <v>1</v>
      </c>
      <c r="Z5086">
        <v>1</v>
      </c>
      <c r="AA5086">
        <v>1</v>
      </c>
      <c r="AB5086">
        <v>1</v>
      </c>
    </row>
    <row r="5087" spans="1:28" x14ac:dyDescent="0.25">
      <c r="A5087" t="str">
        <f>"5083"</f>
        <v>5083</v>
      </c>
      <c r="B5087" t="str">
        <f t="shared" si="293"/>
        <v>1</v>
      </c>
      <c r="C5087" t="str">
        <f t="shared" si="292"/>
        <v>221</v>
      </c>
      <c r="D5087" t="str">
        <f>"21"</f>
        <v>21</v>
      </c>
      <c r="E5087" t="str">
        <f>"1-221-21"</f>
        <v>1-221-21</v>
      </c>
      <c r="F5087" t="s">
        <v>83</v>
      </c>
      <c r="G5087" t="s">
        <v>84</v>
      </c>
      <c r="H5087" t="s">
        <v>92</v>
      </c>
      <c r="I5087">
        <v>1</v>
      </c>
      <c r="J5087">
        <v>1</v>
      </c>
      <c r="N5087">
        <v>1</v>
      </c>
      <c r="O5087">
        <v>1</v>
      </c>
      <c r="P5087">
        <v>1</v>
      </c>
      <c r="Q5087">
        <v>1</v>
      </c>
      <c r="R5087">
        <v>1</v>
      </c>
      <c r="S5087">
        <v>1</v>
      </c>
      <c r="T5087">
        <v>1</v>
      </c>
      <c r="W5087">
        <v>1</v>
      </c>
      <c r="X5087">
        <v>1</v>
      </c>
      <c r="Y5087">
        <v>1</v>
      </c>
      <c r="Z5087">
        <v>1</v>
      </c>
      <c r="AA5087">
        <v>1</v>
      </c>
      <c r="AB5087">
        <v>1</v>
      </c>
    </row>
    <row r="5088" spans="1:28" x14ac:dyDescent="0.25">
      <c r="A5088" t="str">
        <f>"5084"</f>
        <v>5084</v>
      </c>
      <c r="B5088" t="str">
        <f t="shared" si="293"/>
        <v>1</v>
      </c>
      <c r="C5088" t="str">
        <f t="shared" si="292"/>
        <v>221</v>
      </c>
      <c r="D5088" t="str">
        <f>"13"</f>
        <v>13</v>
      </c>
      <c r="E5088" t="str">
        <f>"1-221-13"</f>
        <v>1-221-13</v>
      </c>
      <c r="F5088" t="s">
        <v>83</v>
      </c>
      <c r="G5088" t="s">
        <v>84</v>
      </c>
      <c r="H5088" t="s">
        <v>92</v>
      </c>
      <c r="I5088">
        <v>1</v>
      </c>
      <c r="J5088">
        <v>1</v>
      </c>
      <c r="N5088">
        <v>1</v>
      </c>
      <c r="O5088">
        <v>1</v>
      </c>
      <c r="P5088">
        <v>1</v>
      </c>
      <c r="Q5088">
        <v>1</v>
      </c>
      <c r="R5088">
        <v>1</v>
      </c>
      <c r="S5088">
        <v>1</v>
      </c>
      <c r="T5088">
        <v>1</v>
      </c>
      <c r="W5088">
        <v>1</v>
      </c>
      <c r="X5088">
        <v>1</v>
      </c>
      <c r="Y5088">
        <v>1</v>
      </c>
      <c r="Z5088">
        <v>1</v>
      </c>
      <c r="AA5088">
        <v>1</v>
      </c>
      <c r="AB5088">
        <v>1</v>
      </c>
    </row>
    <row r="5089" spans="1:28" x14ac:dyDescent="0.25">
      <c r="A5089" t="str">
        <f>"5085"</f>
        <v>5085</v>
      </c>
      <c r="B5089" t="str">
        <f t="shared" si="293"/>
        <v>1</v>
      </c>
      <c r="C5089" t="str">
        <f t="shared" si="292"/>
        <v>221</v>
      </c>
      <c r="D5089" t="str">
        <f>"5"</f>
        <v>5</v>
      </c>
      <c r="E5089" t="str">
        <f>"1-221-5"</f>
        <v>1-221-5</v>
      </c>
      <c r="F5089" t="s">
        <v>83</v>
      </c>
      <c r="G5089" t="s">
        <v>84</v>
      </c>
      <c r="H5089" t="s">
        <v>92</v>
      </c>
      <c r="I5089">
        <v>1</v>
      </c>
      <c r="J5089">
        <v>1</v>
      </c>
      <c r="N5089">
        <v>1</v>
      </c>
      <c r="O5089">
        <v>1</v>
      </c>
      <c r="P5089">
        <v>1</v>
      </c>
      <c r="Q5089">
        <v>1</v>
      </c>
      <c r="R5089">
        <v>1</v>
      </c>
      <c r="S5089">
        <v>1</v>
      </c>
      <c r="T5089">
        <v>1</v>
      </c>
      <c r="W5089">
        <v>1</v>
      </c>
      <c r="X5089">
        <v>1</v>
      </c>
      <c r="Y5089">
        <v>1</v>
      </c>
      <c r="Z5089">
        <v>1</v>
      </c>
      <c r="AA5089">
        <v>1</v>
      </c>
      <c r="AB5089">
        <v>1</v>
      </c>
    </row>
    <row r="5090" spans="1:28" x14ac:dyDescent="0.25">
      <c r="A5090" t="str">
        <f>"5086"</f>
        <v>5086</v>
      </c>
      <c r="B5090" t="str">
        <f t="shared" si="293"/>
        <v>1</v>
      </c>
      <c r="C5090" t="str">
        <f t="shared" si="292"/>
        <v>221</v>
      </c>
      <c r="D5090" t="str">
        <f>"19"</f>
        <v>19</v>
      </c>
      <c r="E5090" t="str">
        <f>"1-221-19"</f>
        <v>1-221-19</v>
      </c>
      <c r="F5090" t="s">
        <v>83</v>
      </c>
      <c r="G5090" t="s">
        <v>84</v>
      </c>
      <c r="H5090" t="s">
        <v>92</v>
      </c>
      <c r="I5090">
        <v>1</v>
      </c>
      <c r="J5090">
        <v>0</v>
      </c>
      <c r="N5090">
        <v>1</v>
      </c>
      <c r="O5090">
        <v>0</v>
      </c>
      <c r="P5090">
        <v>0</v>
      </c>
      <c r="Q5090">
        <v>0</v>
      </c>
      <c r="R5090">
        <v>0</v>
      </c>
      <c r="S5090">
        <v>0</v>
      </c>
      <c r="T5090">
        <v>0</v>
      </c>
      <c r="W5090">
        <v>1</v>
      </c>
      <c r="X5090">
        <v>0</v>
      </c>
      <c r="Y5090">
        <v>1</v>
      </c>
      <c r="Z5090">
        <v>1</v>
      </c>
      <c r="AA5090">
        <v>0</v>
      </c>
      <c r="AB5090">
        <v>1</v>
      </c>
    </row>
    <row r="5091" spans="1:28" x14ac:dyDescent="0.25">
      <c r="A5091" t="str">
        <f>"5087"</f>
        <v>5087</v>
      </c>
      <c r="B5091" t="str">
        <f t="shared" si="293"/>
        <v>1</v>
      </c>
      <c r="C5091" t="str">
        <f t="shared" si="292"/>
        <v>221</v>
      </c>
      <c r="D5091" t="str">
        <f>"14"</f>
        <v>14</v>
      </c>
      <c r="E5091" t="str">
        <f>"1-221-14"</f>
        <v>1-221-14</v>
      </c>
      <c r="F5091" t="s">
        <v>83</v>
      </c>
      <c r="G5091" t="s">
        <v>84</v>
      </c>
      <c r="H5091" t="s">
        <v>92</v>
      </c>
      <c r="I5091">
        <v>1</v>
      </c>
      <c r="J5091">
        <v>1</v>
      </c>
      <c r="N5091">
        <v>1</v>
      </c>
      <c r="O5091">
        <v>1</v>
      </c>
      <c r="P5091">
        <v>1</v>
      </c>
      <c r="Q5091">
        <v>1</v>
      </c>
      <c r="R5091">
        <v>1</v>
      </c>
      <c r="S5091">
        <v>1</v>
      </c>
      <c r="T5091">
        <v>1</v>
      </c>
      <c r="W5091">
        <v>1</v>
      </c>
      <c r="X5091">
        <v>1</v>
      </c>
      <c r="Y5091">
        <v>1</v>
      </c>
      <c r="Z5091">
        <v>1</v>
      </c>
      <c r="AA5091">
        <v>1</v>
      </c>
      <c r="AB5091">
        <v>1</v>
      </c>
    </row>
    <row r="5092" spans="1:28" x14ac:dyDescent="0.25">
      <c r="A5092" t="str">
        <f>"5088"</f>
        <v>5088</v>
      </c>
      <c r="B5092" t="str">
        <f t="shared" si="293"/>
        <v>1</v>
      </c>
      <c r="C5092" t="str">
        <f t="shared" si="292"/>
        <v>221</v>
      </c>
      <c r="D5092" t="str">
        <f>"2"</f>
        <v>2</v>
      </c>
      <c r="E5092" t="str">
        <f>"1-221-2"</f>
        <v>1-221-2</v>
      </c>
      <c r="F5092" t="s">
        <v>83</v>
      </c>
      <c r="G5092" t="s">
        <v>84</v>
      </c>
      <c r="H5092" t="s">
        <v>92</v>
      </c>
      <c r="I5092">
        <v>1</v>
      </c>
      <c r="J5092">
        <v>1</v>
      </c>
      <c r="N5092">
        <v>1</v>
      </c>
      <c r="O5092">
        <v>1</v>
      </c>
      <c r="P5092">
        <v>1</v>
      </c>
      <c r="Q5092">
        <v>1</v>
      </c>
      <c r="R5092">
        <v>1</v>
      </c>
      <c r="S5092">
        <v>1</v>
      </c>
      <c r="T5092">
        <v>1</v>
      </c>
      <c r="W5092">
        <v>1</v>
      </c>
      <c r="X5092">
        <v>1</v>
      </c>
      <c r="Y5092">
        <v>1</v>
      </c>
      <c r="Z5092">
        <v>1</v>
      </c>
      <c r="AA5092">
        <v>1</v>
      </c>
      <c r="AB5092">
        <v>1</v>
      </c>
    </row>
    <row r="5093" spans="1:28" x14ac:dyDescent="0.25">
      <c r="A5093" t="str">
        <f>"5089"</f>
        <v>5089</v>
      </c>
      <c r="B5093" t="str">
        <f t="shared" si="293"/>
        <v>1</v>
      </c>
      <c r="C5093" t="str">
        <f t="shared" ref="C5093:C5108" si="294">"222"</f>
        <v>222</v>
      </c>
      <c r="D5093" t="str">
        <f>"15"</f>
        <v>15</v>
      </c>
      <c r="E5093" t="str">
        <f>"1-222-15"</f>
        <v>1-222-15</v>
      </c>
      <c r="F5093" t="s">
        <v>83</v>
      </c>
      <c r="G5093" t="s">
        <v>84</v>
      </c>
      <c r="H5093" t="s">
        <v>92</v>
      </c>
      <c r="I5093">
        <v>1</v>
      </c>
      <c r="J5093">
        <v>1</v>
      </c>
      <c r="N5093">
        <v>1</v>
      </c>
      <c r="O5093">
        <v>1</v>
      </c>
      <c r="P5093">
        <v>1</v>
      </c>
      <c r="Q5093">
        <v>1</v>
      </c>
      <c r="R5093">
        <v>1</v>
      </c>
      <c r="S5093">
        <v>1</v>
      </c>
      <c r="T5093">
        <v>1</v>
      </c>
      <c r="W5093">
        <v>1</v>
      </c>
      <c r="X5093">
        <v>1</v>
      </c>
      <c r="Y5093">
        <v>1</v>
      </c>
      <c r="Z5093">
        <v>1</v>
      </c>
      <c r="AA5093">
        <v>1</v>
      </c>
      <c r="AB5093">
        <v>1</v>
      </c>
    </row>
    <row r="5094" spans="1:28" x14ac:dyDescent="0.25">
      <c r="A5094" t="str">
        <f>"5090"</f>
        <v>5090</v>
      </c>
      <c r="B5094" t="str">
        <f t="shared" si="293"/>
        <v>1</v>
      </c>
      <c r="C5094" t="str">
        <f t="shared" si="294"/>
        <v>222</v>
      </c>
      <c r="D5094" t="str">
        <f>"14"</f>
        <v>14</v>
      </c>
      <c r="E5094" t="str">
        <f>"1-222-14"</f>
        <v>1-222-14</v>
      </c>
      <c r="F5094" t="s">
        <v>83</v>
      </c>
      <c r="G5094" t="s">
        <v>84</v>
      </c>
      <c r="H5094" t="s">
        <v>92</v>
      </c>
      <c r="I5094">
        <v>1</v>
      </c>
      <c r="J5094">
        <v>1</v>
      </c>
      <c r="N5094">
        <v>1</v>
      </c>
      <c r="O5094">
        <v>1</v>
      </c>
      <c r="P5094">
        <v>0</v>
      </c>
      <c r="Q5094">
        <v>1</v>
      </c>
      <c r="R5094">
        <v>0</v>
      </c>
      <c r="S5094">
        <v>0</v>
      </c>
      <c r="T5094">
        <v>0</v>
      </c>
      <c r="W5094">
        <v>1</v>
      </c>
      <c r="X5094">
        <v>1</v>
      </c>
      <c r="Y5094">
        <v>1</v>
      </c>
      <c r="Z5094">
        <v>0</v>
      </c>
      <c r="AA5094">
        <v>0</v>
      </c>
      <c r="AB5094">
        <v>1</v>
      </c>
    </row>
    <row r="5095" spans="1:28" x14ac:dyDescent="0.25">
      <c r="A5095" t="str">
        <f>"5091"</f>
        <v>5091</v>
      </c>
      <c r="B5095" t="str">
        <f t="shared" si="293"/>
        <v>1</v>
      </c>
      <c r="C5095" t="str">
        <f t="shared" si="294"/>
        <v>222</v>
      </c>
      <c r="D5095" t="str">
        <f>"11"</f>
        <v>11</v>
      </c>
      <c r="E5095" t="str">
        <f>"1-222-11"</f>
        <v>1-222-11</v>
      </c>
      <c r="F5095" t="s">
        <v>83</v>
      </c>
      <c r="G5095" t="s">
        <v>84</v>
      </c>
      <c r="H5095" t="s">
        <v>92</v>
      </c>
      <c r="I5095">
        <v>1</v>
      </c>
      <c r="J5095">
        <v>1</v>
      </c>
      <c r="N5095">
        <v>1</v>
      </c>
      <c r="O5095">
        <v>1</v>
      </c>
      <c r="P5095">
        <v>1</v>
      </c>
      <c r="Q5095">
        <v>1</v>
      </c>
      <c r="R5095">
        <v>1</v>
      </c>
      <c r="S5095">
        <v>1</v>
      </c>
      <c r="T5095">
        <v>1</v>
      </c>
      <c r="W5095">
        <v>1</v>
      </c>
      <c r="X5095">
        <v>1</v>
      </c>
      <c r="Y5095">
        <v>1</v>
      </c>
      <c r="Z5095">
        <v>1</v>
      </c>
      <c r="AA5095">
        <v>1</v>
      </c>
      <c r="AB5095">
        <v>1</v>
      </c>
    </row>
    <row r="5096" spans="1:28" x14ac:dyDescent="0.25">
      <c r="A5096" t="str">
        <f>"5092"</f>
        <v>5092</v>
      </c>
      <c r="B5096" t="str">
        <f t="shared" si="293"/>
        <v>1</v>
      </c>
      <c r="C5096" t="str">
        <f t="shared" si="294"/>
        <v>222</v>
      </c>
      <c r="D5096" t="str">
        <f>"8"</f>
        <v>8</v>
      </c>
      <c r="E5096" t="str">
        <f>"1-222-8"</f>
        <v>1-222-8</v>
      </c>
      <c r="F5096" t="s">
        <v>83</v>
      </c>
      <c r="G5096" t="s">
        <v>84</v>
      </c>
      <c r="H5096" t="s">
        <v>92</v>
      </c>
      <c r="I5096">
        <v>1</v>
      </c>
      <c r="J5096">
        <v>1</v>
      </c>
      <c r="N5096">
        <v>1</v>
      </c>
      <c r="O5096">
        <v>1</v>
      </c>
      <c r="P5096">
        <v>1</v>
      </c>
      <c r="Q5096">
        <v>1</v>
      </c>
      <c r="R5096">
        <v>1</v>
      </c>
      <c r="S5096">
        <v>1</v>
      </c>
      <c r="T5096">
        <v>1</v>
      </c>
      <c r="W5096">
        <v>1</v>
      </c>
      <c r="X5096">
        <v>1</v>
      </c>
      <c r="Y5096">
        <v>1</v>
      </c>
      <c r="Z5096">
        <v>1</v>
      </c>
      <c r="AA5096">
        <v>1</v>
      </c>
      <c r="AB5096">
        <v>1</v>
      </c>
    </row>
    <row r="5097" spans="1:28" x14ac:dyDescent="0.25">
      <c r="A5097" t="str">
        <f>"5093"</f>
        <v>5093</v>
      </c>
      <c r="B5097" t="str">
        <f t="shared" si="293"/>
        <v>1</v>
      </c>
      <c r="C5097" t="str">
        <f t="shared" si="294"/>
        <v>222</v>
      </c>
      <c r="D5097" t="str">
        <f>"1"</f>
        <v>1</v>
      </c>
      <c r="E5097" t="str">
        <f>"1-222-1"</f>
        <v>1-222-1</v>
      </c>
      <c r="F5097" t="s">
        <v>83</v>
      </c>
      <c r="G5097" t="s">
        <v>84</v>
      </c>
      <c r="H5097" t="s">
        <v>92</v>
      </c>
      <c r="I5097">
        <v>1</v>
      </c>
      <c r="J5097">
        <v>1</v>
      </c>
      <c r="N5097">
        <v>1</v>
      </c>
      <c r="O5097">
        <v>1</v>
      </c>
      <c r="P5097">
        <v>1</v>
      </c>
      <c r="Q5097">
        <v>1</v>
      </c>
      <c r="R5097">
        <v>1</v>
      </c>
      <c r="S5097">
        <v>1</v>
      </c>
      <c r="T5097">
        <v>1</v>
      </c>
      <c r="W5097">
        <v>1</v>
      </c>
      <c r="X5097">
        <v>1</v>
      </c>
      <c r="Y5097">
        <v>1</v>
      </c>
      <c r="Z5097">
        <v>1</v>
      </c>
      <c r="AA5097">
        <v>1</v>
      </c>
      <c r="AB5097">
        <v>1</v>
      </c>
    </row>
    <row r="5098" spans="1:28" x14ac:dyDescent="0.25">
      <c r="A5098" t="str">
        <f>"5094"</f>
        <v>5094</v>
      </c>
      <c r="B5098" t="str">
        <f t="shared" si="293"/>
        <v>1</v>
      </c>
      <c r="C5098" t="str">
        <f t="shared" si="294"/>
        <v>222</v>
      </c>
      <c r="D5098" t="str">
        <f>"16"</f>
        <v>16</v>
      </c>
      <c r="E5098" t="str">
        <f>"1-222-16"</f>
        <v>1-222-16</v>
      </c>
      <c r="F5098" t="s">
        <v>83</v>
      </c>
      <c r="G5098" t="s">
        <v>84</v>
      </c>
      <c r="H5098" t="s">
        <v>92</v>
      </c>
      <c r="I5098">
        <v>1</v>
      </c>
      <c r="J5098">
        <v>1</v>
      </c>
      <c r="N5098">
        <v>1</v>
      </c>
      <c r="O5098">
        <v>1</v>
      </c>
      <c r="P5098">
        <v>1</v>
      </c>
      <c r="Q5098">
        <v>1</v>
      </c>
      <c r="R5098">
        <v>1</v>
      </c>
      <c r="S5098">
        <v>1</v>
      </c>
      <c r="T5098">
        <v>1</v>
      </c>
      <c r="W5098">
        <v>1</v>
      </c>
      <c r="X5098">
        <v>1</v>
      </c>
      <c r="Y5098">
        <v>1</v>
      </c>
      <c r="Z5098">
        <v>1</v>
      </c>
      <c r="AA5098">
        <v>1</v>
      </c>
      <c r="AB5098">
        <v>1</v>
      </c>
    </row>
    <row r="5099" spans="1:28" x14ac:dyDescent="0.25">
      <c r="A5099" t="str">
        <f>"5095"</f>
        <v>5095</v>
      </c>
      <c r="B5099" t="str">
        <f t="shared" si="293"/>
        <v>1</v>
      </c>
      <c r="C5099" t="str">
        <f t="shared" si="294"/>
        <v>222</v>
      </c>
      <c r="D5099" t="str">
        <f>"9"</f>
        <v>9</v>
      </c>
      <c r="E5099" t="str">
        <f>"1-222-9"</f>
        <v>1-222-9</v>
      </c>
      <c r="F5099" t="s">
        <v>83</v>
      </c>
      <c r="G5099" t="s">
        <v>84</v>
      </c>
      <c r="H5099" t="s">
        <v>92</v>
      </c>
      <c r="I5099">
        <v>1</v>
      </c>
      <c r="J5099">
        <v>1</v>
      </c>
      <c r="N5099">
        <v>1</v>
      </c>
      <c r="O5099">
        <v>1</v>
      </c>
      <c r="P5099">
        <v>1</v>
      </c>
      <c r="Q5099">
        <v>1</v>
      </c>
      <c r="R5099">
        <v>1</v>
      </c>
      <c r="S5099">
        <v>1</v>
      </c>
      <c r="T5099">
        <v>1</v>
      </c>
      <c r="W5099">
        <v>1</v>
      </c>
      <c r="X5099">
        <v>1</v>
      </c>
      <c r="Y5099">
        <v>1</v>
      </c>
      <c r="Z5099">
        <v>1</v>
      </c>
      <c r="AA5099">
        <v>1</v>
      </c>
      <c r="AB5099">
        <v>1</v>
      </c>
    </row>
    <row r="5100" spans="1:28" x14ac:dyDescent="0.25">
      <c r="A5100" t="str">
        <f>"5096"</f>
        <v>5096</v>
      </c>
      <c r="B5100" t="str">
        <f t="shared" si="293"/>
        <v>1</v>
      </c>
      <c r="C5100" t="str">
        <f t="shared" si="294"/>
        <v>222</v>
      </c>
      <c r="D5100" t="str">
        <f>"4"</f>
        <v>4</v>
      </c>
      <c r="E5100" t="str">
        <f>"1-222-4"</f>
        <v>1-222-4</v>
      </c>
      <c r="F5100" t="s">
        <v>83</v>
      </c>
      <c r="G5100" t="s">
        <v>84</v>
      </c>
      <c r="H5100" t="s">
        <v>92</v>
      </c>
      <c r="I5100">
        <v>1</v>
      </c>
      <c r="J5100">
        <v>1</v>
      </c>
      <c r="N5100">
        <v>1</v>
      </c>
      <c r="O5100">
        <v>1</v>
      </c>
      <c r="P5100">
        <v>1</v>
      </c>
      <c r="Q5100">
        <v>1</v>
      </c>
      <c r="R5100">
        <v>1</v>
      </c>
      <c r="S5100">
        <v>1</v>
      </c>
      <c r="T5100">
        <v>1</v>
      </c>
      <c r="W5100">
        <v>1</v>
      </c>
      <c r="X5100">
        <v>1</v>
      </c>
      <c r="Y5100">
        <v>1</v>
      </c>
      <c r="Z5100">
        <v>1</v>
      </c>
      <c r="AA5100">
        <v>1</v>
      </c>
      <c r="AB5100">
        <v>1</v>
      </c>
    </row>
    <row r="5101" spans="1:28" x14ac:dyDescent="0.25">
      <c r="A5101" t="str">
        <f>"5097"</f>
        <v>5097</v>
      </c>
      <c r="B5101" t="str">
        <f t="shared" si="293"/>
        <v>1</v>
      </c>
      <c r="C5101" t="str">
        <f t="shared" si="294"/>
        <v>222</v>
      </c>
      <c r="D5101" t="str">
        <f>"10"</f>
        <v>10</v>
      </c>
      <c r="E5101" t="str">
        <f>"1-222-10"</f>
        <v>1-222-10</v>
      </c>
      <c r="F5101" t="s">
        <v>83</v>
      </c>
      <c r="G5101" t="s">
        <v>84</v>
      </c>
      <c r="H5101" t="s">
        <v>92</v>
      </c>
      <c r="I5101">
        <v>1</v>
      </c>
      <c r="J5101">
        <v>1</v>
      </c>
      <c r="N5101">
        <v>1</v>
      </c>
      <c r="O5101">
        <v>1</v>
      </c>
      <c r="P5101">
        <v>1</v>
      </c>
      <c r="Q5101">
        <v>1</v>
      </c>
      <c r="R5101">
        <v>1</v>
      </c>
      <c r="S5101">
        <v>1</v>
      </c>
      <c r="T5101">
        <v>1</v>
      </c>
      <c r="W5101">
        <v>1</v>
      </c>
      <c r="X5101">
        <v>1</v>
      </c>
      <c r="Y5101">
        <v>1</v>
      </c>
      <c r="Z5101">
        <v>1</v>
      </c>
      <c r="AA5101">
        <v>1</v>
      </c>
      <c r="AB5101">
        <v>1</v>
      </c>
    </row>
    <row r="5102" spans="1:28" x14ac:dyDescent="0.25">
      <c r="A5102" t="str">
        <f>"5098"</f>
        <v>5098</v>
      </c>
      <c r="B5102" t="str">
        <f t="shared" si="293"/>
        <v>1</v>
      </c>
      <c r="C5102" t="str">
        <f t="shared" si="294"/>
        <v>222</v>
      </c>
      <c r="D5102" t="str">
        <f>"7"</f>
        <v>7</v>
      </c>
      <c r="E5102" t="str">
        <f>"1-222-7"</f>
        <v>1-222-7</v>
      </c>
      <c r="F5102" t="s">
        <v>83</v>
      </c>
      <c r="G5102" t="s">
        <v>84</v>
      </c>
      <c r="H5102" t="s">
        <v>92</v>
      </c>
      <c r="I5102">
        <v>1</v>
      </c>
      <c r="J5102">
        <v>1</v>
      </c>
      <c r="N5102">
        <v>1</v>
      </c>
      <c r="O5102">
        <v>1</v>
      </c>
      <c r="P5102">
        <v>1</v>
      </c>
      <c r="Q5102">
        <v>1</v>
      </c>
      <c r="R5102">
        <v>1</v>
      </c>
      <c r="S5102">
        <v>1</v>
      </c>
      <c r="T5102">
        <v>1</v>
      </c>
      <c r="W5102">
        <v>1</v>
      </c>
      <c r="X5102">
        <v>1</v>
      </c>
      <c r="Y5102">
        <v>1</v>
      </c>
      <c r="Z5102">
        <v>1</v>
      </c>
      <c r="AA5102">
        <v>1</v>
      </c>
      <c r="AB5102">
        <v>1</v>
      </c>
    </row>
    <row r="5103" spans="1:28" x14ac:dyDescent="0.25">
      <c r="A5103" t="str">
        <f>"5099"</f>
        <v>5099</v>
      </c>
      <c r="B5103" t="str">
        <f t="shared" si="293"/>
        <v>1</v>
      </c>
      <c r="C5103" t="str">
        <f t="shared" si="294"/>
        <v>222</v>
      </c>
      <c r="D5103" t="str">
        <f>"12"</f>
        <v>12</v>
      </c>
      <c r="E5103" t="str">
        <f>"1-222-12"</f>
        <v>1-222-12</v>
      </c>
      <c r="F5103" t="s">
        <v>83</v>
      </c>
      <c r="G5103" t="s">
        <v>84</v>
      </c>
      <c r="H5103" t="s">
        <v>92</v>
      </c>
      <c r="I5103">
        <v>1</v>
      </c>
      <c r="J5103">
        <v>1</v>
      </c>
      <c r="N5103">
        <v>1</v>
      </c>
      <c r="O5103">
        <v>1</v>
      </c>
      <c r="P5103">
        <v>1</v>
      </c>
      <c r="Q5103">
        <v>1</v>
      </c>
      <c r="R5103">
        <v>1</v>
      </c>
      <c r="S5103">
        <v>1</v>
      </c>
      <c r="T5103">
        <v>1</v>
      </c>
      <c r="W5103">
        <v>1</v>
      </c>
      <c r="X5103">
        <v>1</v>
      </c>
      <c r="Y5103">
        <v>1</v>
      </c>
      <c r="Z5103">
        <v>1</v>
      </c>
      <c r="AA5103">
        <v>1</v>
      </c>
      <c r="AB5103">
        <v>1</v>
      </c>
    </row>
    <row r="5104" spans="1:28" x14ac:dyDescent="0.25">
      <c r="A5104" t="str">
        <f>"5100"</f>
        <v>5100</v>
      </c>
      <c r="B5104" t="str">
        <f t="shared" si="293"/>
        <v>1</v>
      </c>
      <c r="C5104" t="str">
        <f t="shared" si="294"/>
        <v>222</v>
      </c>
      <c r="D5104" t="str">
        <f>"5"</f>
        <v>5</v>
      </c>
      <c r="E5104" t="str">
        <f>"1-222-5"</f>
        <v>1-222-5</v>
      </c>
      <c r="F5104" t="s">
        <v>83</v>
      </c>
      <c r="G5104" t="s">
        <v>84</v>
      </c>
      <c r="H5104" t="s">
        <v>92</v>
      </c>
      <c r="I5104">
        <v>1</v>
      </c>
      <c r="J5104">
        <v>1</v>
      </c>
      <c r="N5104">
        <v>1</v>
      </c>
      <c r="O5104">
        <v>1</v>
      </c>
      <c r="P5104">
        <v>1</v>
      </c>
      <c r="Q5104">
        <v>1</v>
      </c>
      <c r="R5104">
        <v>1</v>
      </c>
      <c r="S5104">
        <v>1</v>
      </c>
      <c r="T5104">
        <v>1</v>
      </c>
      <c r="W5104">
        <v>1</v>
      </c>
      <c r="X5104">
        <v>1</v>
      </c>
      <c r="Y5104">
        <v>1</v>
      </c>
      <c r="Z5104">
        <v>1</v>
      </c>
      <c r="AA5104">
        <v>1</v>
      </c>
      <c r="AB5104">
        <v>1</v>
      </c>
    </row>
    <row r="5105" spans="1:49" x14ac:dyDescent="0.25">
      <c r="A5105" t="str">
        <f>"5101"</f>
        <v>5101</v>
      </c>
      <c r="B5105" t="str">
        <f t="shared" si="293"/>
        <v>1</v>
      </c>
      <c r="C5105" t="str">
        <f t="shared" si="294"/>
        <v>222</v>
      </c>
      <c r="D5105" t="str">
        <f>"13"</f>
        <v>13</v>
      </c>
      <c r="E5105" t="str">
        <f>"1-222-13"</f>
        <v>1-222-13</v>
      </c>
      <c r="F5105" t="s">
        <v>83</v>
      </c>
      <c r="G5105" t="s">
        <v>84</v>
      </c>
      <c r="H5105" t="s">
        <v>92</v>
      </c>
      <c r="I5105">
        <v>1</v>
      </c>
      <c r="J5105">
        <v>1</v>
      </c>
      <c r="N5105">
        <v>1</v>
      </c>
      <c r="O5105">
        <v>1</v>
      </c>
      <c r="P5105">
        <v>1</v>
      </c>
      <c r="Q5105">
        <v>1</v>
      </c>
      <c r="R5105">
        <v>1</v>
      </c>
      <c r="S5105">
        <v>1</v>
      </c>
      <c r="T5105">
        <v>1</v>
      </c>
      <c r="W5105">
        <v>1</v>
      </c>
      <c r="X5105">
        <v>1</v>
      </c>
      <c r="Y5105">
        <v>1</v>
      </c>
      <c r="Z5105">
        <v>1</v>
      </c>
      <c r="AA5105">
        <v>1</v>
      </c>
      <c r="AB5105">
        <v>1</v>
      </c>
    </row>
    <row r="5106" spans="1:49" x14ac:dyDescent="0.25">
      <c r="A5106" t="str">
        <f>"5102"</f>
        <v>5102</v>
      </c>
      <c r="B5106" t="str">
        <f t="shared" si="293"/>
        <v>1</v>
      </c>
      <c r="C5106" t="str">
        <f t="shared" si="294"/>
        <v>222</v>
      </c>
      <c r="D5106" t="str">
        <f>"3"</f>
        <v>3</v>
      </c>
      <c r="E5106" t="str">
        <f>"1-222-3"</f>
        <v>1-222-3</v>
      </c>
      <c r="F5106" t="s">
        <v>83</v>
      </c>
      <c r="G5106" t="s">
        <v>84</v>
      </c>
      <c r="H5106" t="s">
        <v>92</v>
      </c>
      <c r="I5106">
        <v>1</v>
      </c>
      <c r="J5106">
        <v>1</v>
      </c>
      <c r="N5106">
        <v>1</v>
      </c>
      <c r="O5106">
        <v>1</v>
      </c>
      <c r="P5106">
        <v>1</v>
      </c>
      <c r="Q5106">
        <v>1</v>
      </c>
      <c r="R5106">
        <v>1</v>
      </c>
      <c r="S5106">
        <v>1</v>
      </c>
      <c r="T5106">
        <v>1</v>
      </c>
      <c r="W5106">
        <v>1</v>
      </c>
      <c r="X5106">
        <v>1</v>
      </c>
      <c r="Y5106">
        <v>1</v>
      </c>
      <c r="Z5106">
        <v>1</v>
      </c>
      <c r="AA5106">
        <v>1</v>
      </c>
      <c r="AB5106">
        <v>1</v>
      </c>
    </row>
    <row r="5107" spans="1:49" x14ac:dyDescent="0.25">
      <c r="A5107" t="str">
        <f>"5103"</f>
        <v>5103</v>
      </c>
      <c r="B5107" t="str">
        <f t="shared" si="293"/>
        <v>1</v>
      </c>
      <c r="C5107" t="str">
        <f t="shared" si="294"/>
        <v>222</v>
      </c>
      <c r="D5107" t="str">
        <f>"6"</f>
        <v>6</v>
      </c>
      <c r="E5107" t="str">
        <f>"1-222-6"</f>
        <v>1-222-6</v>
      </c>
      <c r="F5107" t="s">
        <v>83</v>
      </c>
      <c r="G5107" t="s">
        <v>84</v>
      </c>
      <c r="H5107" t="s">
        <v>92</v>
      </c>
      <c r="I5107">
        <v>1</v>
      </c>
      <c r="J5107">
        <v>1</v>
      </c>
      <c r="N5107">
        <v>1</v>
      </c>
      <c r="O5107">
        <v>1</v>
      </c>
      <c r="P5107">
        <v>1</v>
      </c>
      <c r="Q5107">
        <v>1</v>
      </c>
      <c r="R5107">
        <v>1</v>
      </c>
      <c r="S5107">
        <v>1</v>
      </c>
      <c r="T5107">
        <v>1</v>
      </c>
      <c r="W5107">
        <v>1</v>
      </c>
      <c r="X5107">
        <v>1</v>
      </c>
      <c r="Y5107">
        <v>1</v>
      </c>
      <c r="Z5107">
        <v>1</v>
      </c>
      <c r="AA5107">
        <v>1</v>
      </c>
      <c r="AB5107">
        <v>1</v>
      </c>
    </row>
    <row r="5108" spans="1:49" x14ac:dyDescent="0.25">
      <c r="A5108" t="str">
        <f>"5104"</f>
        <v>5104</v>
      </c>
      <c r="B5108" t="str">
        <f t="shared" si="293"/>
        <v>1</v>
      </c>
      <c r="C5108" t="str">
        <f t="shared" si="294"/>
        <v>222</v>
      </c>
      <c r="D5108" t="str">
        <f>"2"</f>
        <v>2</v>
      </c>
      <c r="E5108" t="str">
        <f>"1-222-2"</f>
        <v>1-222-2</v>
      </c>
      <c r="F5108" t="s">
        <v>83</v>
      </c>
      <c r="G5108" t="s">
        <v>88</v>
      </c>
      <c r="H5108" t="s">
        <v>95</v>
      </c>
      <c r="I5108">
        <v>1</v>
      </c>
      <c r="K5108">
        <v>1</v>
      </c>
      <c r="L5108">
        <v>0</v>
      </c>
      <c r="M5108">
        <v>0</v>
      </c>
      <c r="N5108">
        <v>1</v>
      </c>
      <c r="O5108">
        <v>1</v>
      </c>
      <c r="P5108">
        <v>1</v>
      </c>
      <c r="Q5108">
        <v>1</v>
      </c>
      <c r="R5108">
        <v>1</v>
      </c>
      <c r="S5108">
        <v>1</v>
      </c>
      <c r="T5108">
        <v>1</v>
      </c>
      <c r="W5108">
        <v>1</v>
      </c>
      <c r="X5108">
        <v>1</v>
      </c>
      <c r="Y5108">
        <v>1</v>
      </c>
      <c r="Z5108">
        <v>1</v>
      </c>
      <c r="AA5108">
        <v>1</v>
      </c>
      <c r="AB5108">
        <v>1</v>
      </c>
    </row>
    <row r="5109" spans="1:49" x14ac:dyDescent="0.25">
      <c r="A5109" t="str">
        <f>"5105"</f>
        <v>5105</v>
      </c>
      <c r="B5109" t="str">
        <f t="shared" si="293"/>
        <v>1</v>
      </c>
      <c r="C5109" t="str">
        <f t="shared" ref="C5109:C5122" si="295">"223"</f>
        <v>223</v>
      </c>
      <c r="D5109" t="str">
        <f>"8"</f>
        <v>8</v>
      </c>
      <c r="E5109" t="str">
        <f>"1-223-8"</f>
        <v>1-223-8</v>
      </c>
      <c r="F5109" t="s">
        <v>83</v>
      </c>
      <c r="G5109" t="s">
        <v>88</v>
      </c>
      <c r="H5109" t="s">
        <v>95</v>
      </c>
      <c r="I5109">
        <v>1</v>
      </c>
      <c r="K5109">
        <v>0</v>
      </c>
      <c r="L5109">
        <v>1</v>
      </c>
      <c r="M5109">
        <v>0</v>
      </c>
      <c r="N5109">
        <v>1</v>
      </c>
      <c r="O5109">
        <v>1</v>
      </c>
      <c r="P5109">
        <v>1</v>
      </c>
      <c r="Q5109">
        <v>1</v>
      </c>
      <c r="R5109">
        <v>1</v>
      </c>
      <c r="S5109">
        <v>1</v>
      </c>
      <c r="T5109">
        <v>1</v>
      </c>
      <c r="W5109">
        <v>1</v>
      </c>
      <c r="X5109">
        <v>1</v>
      </c>
      <c r="Y5109">
        <v>1</v>
      </c>
      <c r="Z5109">
        <v>1</v>
      </c>
      <c r="AA5109">
        <v>1</v>
      </c>
      <c r="AB5109">
        <v>1</v>
      </c>
    </row>
    <row r="5110" spans="1:49" x14ac:dyDescent="0.25">
      <c r="A5110" t="str">
        <f>"5106"</f>
        <v>5106</v>
      </c>
      <c r="B5110" t="str">
        <f t="shared" si="293"/>
        <v>1</v>
      </c>
      <c r="C5110" t="str">
        <f t="shared" si="295"/>
        <v>223</v>
      </c>
      <c r="D5110" t="str">
        <f>"2"</f>
        <v>2</v>
      </c>
      <c r="E5110" t="str">
        <f>"1-223-2"</f>
        <v>1-223-2</v>
      </c>
      <c r="F5110" t="s">
        <v>83</v>
      </c>
      <c r="G5110" t="s">
        <v>84</v>
      </c>
      <c r="H5110" t="s">
        <v>92</v>
      </c>
      <c r="I5110">
        <v>1</v>
      </c>
      <c r="J5110">
        <v>1</v>
      </c>
      <c r="N5110">
        <v>1</v>
      </c>
      <c r="O5110">
        <v>1</v>
      </c>
      <c r="P5110">
        <v>1</v>
      </c>
      <c r="Q5110">
        <v>1</v>
      </c>
      <c r="R5110">
        <v>1</v>
      </c>
      <c r="S5110">
        <v>1</v>
      </c>
      <c r="T5110">
        <v>1</v>
      </c>
      <c r="W5110">
        <v>1</v>
      </c>
      <c r="X5110">
        <v>1</v>
      </c>
      <c r="Y5110">
        <v>1</v>
      </c>
      <c r="Z5110">
        <v>1</v>
      </c>
      <c r="AA5110">
        <v>1</v>
      </c>
      <c r="AB5110">
        <v>1</v>
      </c>
    </row>
    <row r="5111" spans="1:49" x14ac:dyDescent="0.25">
      <c r="A5111" t="str">
        <f>"5107"</f>
        <v>5107</v>
      </c>
      <c r="B5111" t="str">
        <f t="shared" si="293"/>
        <v>1</v>
      </c>
      <c r="C5111" t="str">
        <f t="shared" si="295"/>
        <v>223</v>
      </c>
      <c r="D5111" t="str">
        <f>"9"</f>
        <v>9</v>
      </c>
      <c r="E5111" t="str">
        <f>"1-223-9"</f>
        <v>1-223-9</v>
      </c>
      <c r="F5111" t="s">
        <v>83</v>
      </c>
      <c r="G5111" t="s">
        <v>84</v>
      </c>
      <c r="H5111" t="s">
        <v>92</v>
      </c>
      <c r="I5111">
        <v>1</v>
      </c>
      <c r="J5111">
        <v>1</v>
      </c>
      <c r="N5111">
        <v>1</v>
      </c>
      <c r="O5111">
        <v>1</v>
      </c>
      <c r="P5111">
        <v>1</v>
      </c>
      <c r="Q5111">
        <v>1</v>
      </c>
      <c r="R5111">
        <v>1</v>
      </c>
      <c r="S5111">
        <v>1</v>
      </c>
      <c r="T5111">
        <v>1</v>
      </c>
      <c r="W5111">
        <v>1</v>
      </c>
      <c r="X5111">
        <v>1</v>
      </c>
      <c r="Y5111">
        <v>1</v>
      </c>
      <c r="Z5111">
        <v>1</v>
      </c>
      <c r="AA5111">
        <v>1</v>
      </c>
      <c r="AB5111">
        <v>1</v>
      </c>
    </row>
    <row r="5112" spans="1:49" x14ac:dyDescent="0.25">
      <c r="A5112" t="str">
        <f>"5108"</f>
        <v>5108</v>
      </c>
      <c r="B5112" t="str">
        <f t="shared" si="293"/>
        <v>1</v>
      </c>
      <c r="C5112" t="str">
        <f t="shared" si="295"/>
        <v>223</v>
      </c>
      <c r="D5112" t="str">
        <f>"6"</f>
        <v>6</v>
      </c>
      <c r="E5112" t="str">
        <f>"1-223-6"</f>
        <v>1-223-6</v>
      </c>
      <c r="F5112" t="s">
        <v>83</v>
      </c>
      <c r="G5112" t="s">
        <v>84</v>
      </c>
      <c r="H5112" t="s">
        <v>85</v>
      </c>
      <c r="AC5112">
        <v>1</v>
      </c>
      <c r="AD5112">
        <v>0</v>
      </c>
      <c r="AE5112">
        <v>0</v>
      </c>
      <c r="AF5112">
        <v>0</v>
      </c>
      <c r="AG5112">
        <v>1</v>
      </c>
      <c r="AJ5112">
        <v>0</v>
      </c>
      <c r="AK5112">
        <v>1</v>
      </c>
      <c r="AL5112">
        <v>1</v>
      </c>
      <c r="AM5112">
        <v>0</v>
      </c>
      <c r="AN5112">
        <v>0</v>
      </c>
      <c r="AO5112">
        <v>1</v>
      </c>
      <c r="AP5112">
        <v>1</v>
      </c>
      <c r="AQ5112">
        <v>1</v>
      </c>
      <c r="AR5112">
        <v>1</v>
      </c>
      <c r="AS5112">
        <v>1</v>
      </c>
      <c r="AT5112">
        <v>0</v>
      </c>
      <c r="AV5112">
        <v>1</v>
      </c>
      <c r="AW5112">
        <v>1</v>
      </c>
    </row>
    <row r="5113" spans="1:49" x14ac:dyDescent="0.25">
      <c r="A5113" t="str">
        <f>"5109"</f>
        <v>5109</v>
      </c>
      <c r="B5113" t="str">
        <f t="shared" si="293"/>
        <v>1</v>
      </c>
      <c r="C5113" t="str">
        <f t="shared" si="295"/>
        <v>223</v>
      </c>
      <c r="D5113" t="str">
        <f>"10"</f>
        <v>10</v>
      </c>
      <c r="E5113" t="str">
        <f>"1-223-10"</f>
        <v>1-223-10</v>
      </c>
      <c r="F5113" t="s">
        <v>83</v>
      </c>
      <c r="G5113" t="s">
        <v>84</v>
      </c>
      <c r="H5113" t="s">
        <v>92</v>
      </c>
      <c r="I5113">
        <v>1</v>
      </c>
      <c r="J5113">
        <v>1</v>
      </c>
      <c r="N5113">
        <v>1</v>
      </c>
      <c r="O5113">
        <v>1</v>
      </c>
      <c r="P5113">
        <v>1</v>
      </c>
      <c r="Q5113">
        <v>1</v>
      </c>
      <c r="R5113">
        <v>1</v>
      </c>
      <c r="S5113">
        <v>1</v>
      </c>
      <c r="T5113">
        <v>1</v>
      </c>
      <c r="W5113">
        <v>1</v>
      </c>
      <c r="X5113">
        <v>1</v>
      </c>
      <c r="Y5113">
        <v>1</v>
      </c>
      <c r="Z5113">
        <v>1</v>
      </c>
      <c r="AA5113">
        <v>1</v>
      </c>
      <c r="AB5113">
        <v>1</v>
      </c>
    </row>
    <row r="5114" spans="1:49" x14ac:dyDescent="0.25">
      <c r="A5114" t="str">
        <f>"5110"</f>
        <v>5110</v>
      </c>
      <c r="B5114" t="str">
        <f t="shared" si="293"/>
        <v>1</v>
      </c>
      <c r="C5114" t="str">
        <f t="shared" si="295"/>
        <v>223</v>
      </c>
      <c r="D5114" t="str">
        <f>"1"</f>
        <v>1</v>
      </c>
      <c r="E5114" t="str">
        <f>"1-223-1"</f>
        <v>1-223-1</v>
      </c>
      <c r="F5114" t="s">
        <v>83</v>
      </c>
      <c r="G5114" t="s">
        <v>84</v>
      </c>
      <c r="H5114" t="s">
        <v>85</v>
      </c>
      <c r="AC5114">
        <v>0</v>
      </c>
      <c r="AD5114">
        <v>1</v>
      </c>
      <c r="AE5114">
        <v>0</v>
      </c>
      <c r="AF5114">
        <v>0</v>
      </c>
      <c r="AG5114">
        <v>1</v>
      </c>
      <c r="AJ5114">
        <v>0</v>
      </c>
      <c r="AK5114">
        <v>1</v>
      </c>
      <c r="AL5114">
        <v>0</v>
      </c>
      <c r="AM5114">
        <v>0</v>
      </c>
      <c r="AN5114">
        <v>1</v>
      </c>
      <c r="AO5114">
        <v>1</v>
      </c>
      <c r="AP5114">
        <v>1</v>
      </c>
      <c r="AQ5114">
        <v>1</v>
      </c>
      <c r="AR5114">
        <v>1</v>
      </c>
      <c r="AS5114">
        <v>0</v>
      </c>
      <c r="AT5114">
        <v>1</v>
      </c>
      <c r="AV5114">
        <v>1</v>
      </c>
      <c r="AW5114">
        <v>1</v>
      </c>
    </row>
    <row r="5115" spans="1:49" x14ac:dyDescent="0.25">
      <c r="A5115" t="str">
        <f>"5111"</f>
        <v>5111</v>
      </c>
      <c r="B5115" t="str">
        <f t="shared" si="293"/>
        <v>1</v>
      </c>
      <c r="C5115" t="str">
        <f t="shared" si="295"/>
        <v>223</v>
      </c>
      <c r="D5115" t="str">
        <f>"11"</f>
        <v>11</v>
      </c>
      <c r="E5115" t="str">
        <f>"1-223-11"</f>
        <v>1-223-11</v>
      </c>
      <c r="F5115" t="s">
        <v>83</v>
      </c>
      <c r="G5115" t="s">
        <v>84</v>
      </c>
      <c r="H5115" t="s">
        <v>85</v>
      </c>
      <c r="AC5115">
        <v>0</v>
      </c>
      <c r="AD5115">
        <v>1</v>
      </c>
      <c r="AE5115">
        <v>0</v>
      </c>
      <c r="AF5115">
        <v>0</v>
      </c>
      <c r="AG5115">
        <v>1</v>
      </c>
      <c r="AJ5115">
        <v>1</v>
      </c>
      <c r="AK5115">
        <v>0</v>
      </c>
      <c r="AL5115">
        <v>0</v>
      </c>
      <c r="AM5115">
        <v>0</v>
      </c>
      <c r="AN5115">
        <v>1</v>
      </c>
      <c r="AO5115">
        <v>1</v>
      </c>
      <c r="AP5115">
        <v>1</v>
      </c>
      <c r="AQ5115">
        <v>1</v>
      </c>
      <c r="AR5115">
        <v>1</v>
      </c>
      <c r="AS5115">
        <v>1</v>
      </c>
      <c r="AT5115">
        <v>0</v>
      </c>
      <c r="AV5115">
        <v>1</v>
      </c>
      <c r="AW5115">
        <v>1</v>
      </c>
    </row>
    <row r="5116" spans="1:49" x14ac:dyDescent="0.25">
      <c r="A5116" t="str">
        <f>"5112"</f>
        <v>5112</v>
      </c>
      <c r="B5116" t="str">
        <f t="shared" si="293"/>
        <v>1</v>
      </c>
      <c r="C5116" t="str">
        <f t="shared" si="295"/>
        <v>223</v>
      </c>
      <c r="D5116" t="str">
        <f>"5"</f>
        <v>5</v>
      </c>
      <c r="E5116" t="str">
        <f>"1-223-5"</f>
        <v>1-223-5</v>
      </c>
      <c r="F5116" t="s">
        <v>83</v>
      </c>
      <c r="G5116" t="s">
        <v>84</v>
      </c>
      <c r="H5116" t="s">
        <v>85</v>
      </c>
      <c r="AC5116">
        <v>0</v>
      </c>
      <c r="AD5116">
        <v>0</v>
      </c>
      <c r="AE5116">
        <v>0</v>
      </c>
      <c r="AF5116">
        <v>0</v>
      </c>
      <c r="AG5116">
        <v>0</v>
      </c>
      <c r="AJ5116">
        <v>0</v>
      </c>
      <c r="AK5116">
        <v>0</v>
      </c>
      <c r="AL5116">
        <v>0</v>
      </c>
      <c r="AM5116">
        <v>0</v>
      </c>
      <c r="AN5116">
        <v>1</v>
      </c>
      <c r="AO5116">
        <v>0</v>
      </c>
      <c r="AP5116">
        <v>0</v>
      </c>
      <c r="AQ5116">
        <v>0</v>
      </c>
      <c r="AR5116">
        <v>0</v>
      </c>
      <c r="AS5116">
        <v>0</v>
      </c>
      <c r="AT5116">
        <v>0</v>
      </c>
      <c r="AV5116">
        <v>0</v>
      </c>
      <c r="AW5116">
        <v>0</v>
      </c>
    </row>
    <row r="5117" spans="1:49" x14ac:dyDescent="0.25">
      <c r="A5117" t="str">
        <f>"5113"</f>
        <v>5113</v>
      </c>
      <c r="B5117" t="str">
        <f t="shared" si="293"/>
        <v>1</v>
      </c>
      <c r="C5117" t="str">
        <f t="shared" si="295"/>
        <v>223</v>
      </c>
      <c r="D5117" t="str">
        <f>"12"</f>
        <v>12</v>
      </c>
      <c r="E5117" t="str">
        <f>"1-223-12"</f>
        <v>1-223-12</v>
      </c>
      <c r="F5117" t="s">
        <v>83</v>
      </c>
      <c r="G5117" t="s">
        <v>84</v>
      </c>
      <c r="H5117" t="s">
        <v>92</v>
      </c>
      <c r="I5117">
        <v>1</v>
      </c>
      <c r="J5117">
        <v>0</v>
      </c>
      <c r="N5117">
        <v>1</v>
      </c>
      <c r="O5117">
        <v>0</v>
      </c>
      <c r="P5117">
        <v>1</v>
      </c>
      <c r="Q5117">
        <v>0</v>
      </c>
      <c r="R5117">
        <v>1</v>
      </c>
      <c r="S5117">
        <v>1</v>
      </c>
      <c r="T5117">
        <v>1</v>
      </c>
      <c r="W5117">
        <v>0</v>
      </c>
      <c r="X5117">
        <v>1</v>
      </c>
      <c r="Y5117">
        <v>1</v>
      </c>
      <c r="Z5117">
        <v>1</v>
      </c>
      <c r="AA5117">
        <v>1</v>
      </c>
      <c r="AB5117">
        <v>1</v>
      </c>
    </row>
    <row r="5118" spans="1:49" x14ac:dyDescent="0.25">
      <c r="A5118" t="str">
        <f>"5114"</f>
        <v>5114</v>
      </c>
      <c r="B5118" t="str">
        <f t="shared" si="293"/>
        <v>1</v>
      </c>
      <c r="C5118" t="str">
        <f t="shared" si="295"/>
        <v>223</v>
      </c>
      <c r="D5118" t="str">
        <f>"7"</f>
        <v>7</v>
      </c>
      <c r="E5118" t="str">
        <f>"1-223-7"</f>
        <v>1-223-7</v>
      </c>
      <c r="F5118" t="s">
        <v>83</v>
      </c>
      <c r="G5118" t="s">
        <v>84</v>
      </c>
      <c r="H5118" t="s">
        <v>85</v>
      </c>
      <c r="AC5118">
        <v>0</v>
      </c>
      <c r="AD5118">
        <v>1</v>
      </c>
      <c r="AE5118">
        <v>0</v>
      </c>
      <c r="AF5118">
        <v>0</v>
      </c>
      <c r="AG5118">
        <v>0</v>
      </c>
      <c r="AJ5118">
        <v>0</v>
      </c>
      <c r="AK5118">
        <v>1</v>
      </c>
      <c r="AL5118">
        <v>0</v>
      </c>
      <c r="AM5118">
        <v>0</v>
      </c>
      <c r="AN5118">
        <v>1</v>
      </c>
      <c r="AO5118">
        <v>0</v>
      </c>
      <c r="AP5118">
        <v>0</v>
      </c>
      <c r="AQ5118">
        <v>0</v>
      </c>
      <c r="AR5118">
        <v>0</v>
      </c>
      <c r="AS5118">
        <v>0</v>
      </c>
      <c r="AT5118">
        <v>1</v>
      </c>
      <c r="AV5118">
        <v>0</v>
      </c>
      <c r="AW5118">
        <v>0</v>
      </c>
    </row>
    <row r="5119" spans="1:49" x14ac:dyDescent="0.25">
      <c r="A5119" t="str">
        <f>"5115"</f>
        <v>5115</v>
      </c>
      <c r="B5119" t="str">
        <f t="shared" si="293"/>
        <v>1</v>
      </c>
      <c r="C5119" t="str">
        <f t="shared" si="295"/>
        <v>223</v>
      </c>
      <c r="D5119" t="str">
        <f>"13"</f>
        <v>13</v>
      </c>
      <c r="E5119" t="str">
        <f>"1-223-13"</f>
        <v>1-223-13</v>
      </c>
      <c r="F5119" t="s">
        <v>83</v>
      </c>
      <c r="G5119" t="s">
        <v>84</v>
      </c>
      <c r="H5119" t="s">
        <v>92</v>
      </c>
      <c r="I5119">
        <v>1</v>
      </c>
      <c r="J5119">
        <v>0</v>
      </c>
      <c r="N5119">
        <v>1</v>
      </c>
      <c r="O5119">
        <v>0</v>
      </c>
      <c r="P5119">
        <v>1</v>
      </c>
      <c r="Q5119">
        <v>0</v>
      </c>
      <c r="R5119">
        <v>1</v>
      </c>
      <c r="S5119">
        <v>1</v>
      </c>
      <c r="T5119">
        <v>1</v>
      </c>
      <c r="W5119">
        <v>0</v>
      </c>
      <c r="X5119">
        <v>1</v>
      </c>
      <c r="Y5119">
        <v>1</v>
      </c>
      <c r="Z5119">
        <v>1</v>
      </c>
      <c r="AA5119">
        <v>1</v>
      </c>
      <c r="AB5119">
        <v>1</v>
      </c>
    </row>
    <row r="5120" spans="1:49" x14ac:dyDescent="0.25">
      <c r="A5120" t="str">
        <f>"5116"</f>
        <v>5116</v>
      </c>
      <c r="B5120" t="str">
        <f t="shared" si="293"/>
        <v>1</v>
      </c>
      <c r="C5120" t="str">
        <f t="shared" si="295"/>
        <v>223</v>
      </c>
      <c r="D5120" t="str">
        <f>"4"</f>
        <v>4</v>
      </c>
      <c r="E5120" t="str">
        <f>"1-223-4"</f>
        <v>1-223-4</v>
      </c>
      <c r="F5120" t="s">
        <v>83</v>
      </c>
      <c r="G5120" t="s">
        <v>84</v>
      </c>
      <c r="H5120" t="s">
        <v>85</v>
      </c>
      <c r="AC5120">
        <v>0</v>
      </c>
      <c r="AD5120">
        <v>1</v>
      </c>
      <c r="AE5120">
        <v>0</v>
      </c>
      <c r="AF5120">
        <v>0</v>
      </c>
      <c r="AG5120">
        <v>0</v>
      </c>
      <c r="AJ5120">
        <v>0</v>
      </c>
      <c r="AK5120">
        <v>1</v>
      </c>
      <c r="AL5120">
        <v>0</v>
      </c>
      <c r="AM5120">
        <v>0</v>
      </c>
      <c r="AN5120">
        <v>1</v>
      </c>
      <c r="AO5120">
        <v>0</v>
      </c>
      <c r="AP5120">
        <v>0</v>
      </c>
      <c r="AQ5120">
        <v>0</v>
      </c>
      <c r="AR5120">
        <v>0</v>
      </c>
      <c r="AS5120">
        <v>0</v>
      </c>
      <c r="AT5120">
        <v>0</v>
      </c>
      <c r="AV5120">
        <v>0</v>
      </c>
      <c r="AW5120">
        <v>0</v>
      </c>
    </row>
    <row r="5121" spans="1:49" x14ac:dyDescent="0.25">
      <c r="A5121" t="str">
        <f>"5117"</f>
        <v>5117</v>
      </c>
      <c r="B5121" t="str">
        <f t="shared" si="293"/>
        <v>1</v>
      </c>
      <c r="C5121" t="str">
        <f t="shared" si="295"/>
        <v>223</v>
      </c>
      <c r="D5121" t="str">
        <f>"14"</f>
        <v>14</v>
      </c>
      <c r="E5121" t="str">
        <f>"1-223-14"</f>
        <v>1-223-14</v>
      </c>
      <c r="F5121" t="s">
        <v>83</v>
      </c>
      <c r="G5121" t="s">
        <v>84</v>
      </c>
      <c r="H5121" t="s">
        <v>85</v>
      </c>
      <c r="AC5121">
        <v>0</v>
      </c>
      <c r="AD5121">
        <v>1</v>
      </c>
      <c r="AE5121">
        <v>0</v>
      </c>
      <c r="AF5121">
        <v>0</v>
      </c>
      <c r="AG5121">
        <v>1</v>
      </c>
      <c r="AJ5121">
        <v>1</v>
      </c>
      <c r="AK5121">
        <v>0</v>
      </c>
      <c r="AL5121">
        <v>0</v>
      </c>
      <c r="AM5121">
        <v>0</v>
      </c>
      <c r="AN5121">
        <v>1</v>
      </c>
      <c r="AO5121">
        <v>0</v>
      </c>
      <c r="AP5121">
        <v>0</v>
      </c>
      <c r="AQ5121">
        <v>0</v>
      </c>
      <c r="AR5121">
        <v>0</v>
      </c>
      <c r="AS5121">
        <v>0</v>
      </c>
      <c r="AT5121">
        <v>1</v>
      </c>
      <c r="AV5121">
        <v>0</v>
      </c>
      <c r="AW5121">
        <v>0</v>
      </c>
    </row>
    <row r="5122" spans="1:49" x14ac:dyDescent="0.25">
      <c r="A5122" t="str">
        <f>"5118"</f>
        <v>5118</v>
      </c>
      <c r="B5122" t="str">
        <f t="shared" si="293"/>
        <v>1</v>
      </c>
      <c r="C5122" t="str">
        <f t="shared" si="295"/>
        <v>223</v>
      </c>
      <c r="D5122" t="str">
        <f>"3"</f>
        <v>3</v>
      </c>
      <c r="E5122" t="str">
        <f>"1-223-3"</f>
        <v>1-223-3</v>
      </c>
      <c r="F5122" t="s">
        <v>83</v>
      </c>
      <c r="G5122" t="s">
        <v>84</v>
      </c>
      <c r="H5122" t="s">
        <v>85</v>
      </c>
      <c r="AC5122">
        <v>0</v>
      </c>
      <c r="AD5122">
        <v>1</v>
      </c>
      <c r="AE5122">
        <v>0</v>
      </c>
      <c r="AF5122">
        <v>0</v>
      </c>
      <c r="AG5122">
        <v>1</v>
      </c>
      <c r="AJ5122">
        <v>0</v>
      </c>
      <c r="AK5122">
        <v>1</v>
      </c>
      <c r="AL5122">
        <v>0</v>
      </c>
      <c r="AM5122">
        <v>0</v>
      </c>
      <c r="AN5122">
        <v>1</v>
      </c>
      <c r="AO5122">
        <v>1</v>
      </c>
      <c r="AP5122">
        <v>1</v>
      </c>
      <c r="AQ5122">
        <v>1</v>
      </c>
      <c r="AR5122">
        <v>1</v>
      </c>
      <c r="AS5122">
        <v>0</v>
      </c>
      <c r="AT5122">
        <v>1</v>
      </c>
      <c r="AV5122">
        <v>1</v>
      </c>
      <c r="AW5122">
        <v>1</v>
      </c>
    </row>
    <row r="5123" spans="1:49" x14ac:dyDescent="0.25">
      <c r="A5123" t="str">
        <f>"5119"</f>
        <v>5119</v>
      </c>
      <c r="B5123" t="str">
        <f t="shared" si="293"/>
        <v>1</v>
      </c>
      <c r="C5123" t="str">
        <f t="shared" ref="C5123:C5147" si="296">"224"</f>
        <v>224</v>
      </c>
      <c r="D5123" t="str">
        <f>"23"</f>
        <v>23</v>
      </c>
      <c r="E5123" t="str">
        <f>"1-224-23"</f>
        <v>1-224-23</v>
      </c>
      <c r="F5123" t="s">
        <v>83</v>
      </c>
      <c r="G5123" t="s">
        <v>86</v>
      </c>
      <c r="H5123" t="s">
        <v>87</v>
      </c>
      <c r="AC5123">
        <v>0</v>
      </c>
      <c r="AD5123">
        <v>1</v>
      </c>
      <c r="AE5123">
        <v>0</v>
      </c>
      <c r="AF5123">
        <v>0</v>
      </c>
      <c r="AH5123">
        <v>0</v>
      </c>
      <c r="AI5123">
        <v>1</v>
      </c>
      <c r="AJ5123">
        <v>0</v>
      </c>
      <c r="AK5123">
        <v>1</v>
      </c>
      <c r="AL5123">
        <v>0</v>
      </c>
      <c r="AM5123">
        <v>0</v>
      </c>
      <c r="AN5123">
        <v>1</v>
      </c>
      <c r="AO5123">
        <v>0</v>
      </c>
      <c r="AP5123">
        <v>0</v>
      </c>
      <c r="AQ5123">
        <v>0</v>
      </c>
      <c r="AU5123">
        <v>0</v>
      </c>
      <c r="AV5123">
        <v>0</v>
      </c>
      <c r="AW5123">
        <v>0</v>
      </c>
    </row>
    <row r="5124" spans="1:49" x14ac:dyDescent="0.25">
      <c r="A5124" t="str">
        <f>"5120"</f>
        <v>5120</v>
      </c>
      <c r="B5124" t="str">
        <f t="shared" si="293"/>
        <v>1</v>
      </c>
      <c r="C5124" t="str">
        <f t="shared" si="296"/>
        <v>224</v>
      </c>
      <c r="D5124" t="str">
        <f>"22"</f>
        <v>22</v>
      </c>
      <c r="E5124" t="str">
        <f>"1-224-22"</f>
        <v>1-224-22</v>
      </c>
      <c r="F5124" t="s">
        <v>83</v>
      </c>
      <c r="G5124" t="s">
        <v>84</v>
      </c>
      <c r="H5124" t="s">
        <v>92</v>
      </c>
      <c r="I5124">
        <v>1</v>
      </c>
      <c r="J5124">
        <v>1</v>
      </c>
      <c r="N5124">
        <v>1</v>
      </c>
      <c r="O5124">
        <v>1</v>
      </c>
      <c r="P5124">
        <v>1</v>
      </c>
      <c r="Q5124">
        <v>1</v>
      </c>
      <c r="R5124">
        <v>1</v>
      </c>
      <c r="S5124">
        <v>1</v>
      </c>
      <c r="T5124">
        <v>1</v>
      </c>
      <c r="W5124">
        <v>1</v>
      </c>
      <c r="X5124">
        <v>1</v>
      </c>
      <c r="Y5124">
        <v>1</v>
      </c>
      <c r="Z5124">
        <v>1</v>
      </c>
      <c r="AA5124">
        <v>1</v>
      </c>
      <c r="AB5124">
        <v>1</v>
      </c>
    </row>
    <row r="5125" spans="1:49" x14ac:dyDescent="0.25">
      <c r="A5125" t="str">
        <f>"5121"</f>
        <v>5121</v>
      </c>
      <c r="B5125" t="str">
        <f t="shared" si="293"/>
        <v>1</v>
      </c>
      <c r="C5125" t="str">
        <f t="shared" si="296"/>
        <v>224</v>
      </c>
      <c r="D5125" t="str">
        <f>"16"</f>
        <v>16</v>
      </c>
      <c r="E5125" t="str">
        <f>"1-224-16"</f>
        <v>1-224-16</v>
      </c>
      <c r="F5125" t="s">
        <v>83</v>
      </c>
      <c r="G5125" t="s">
        <v>84</v>
      </c>
      <c r="H5125" t="s">
        <v>92</v>
      </c>
      <c r="I5125">
        <v>1</v>
      </c>
      <c r="J5125">
        <v>1</v>
      </c>
      <c r="N5125">
        <v>1</v>
      </c>
      <c r="O5125">
        <v>1</v>
      </c>
      <c r="P5125">
        <v>1</v>
      </c>
      <c r="Q5125">
        <v>1</v>
      </c>
      <c r="R5125">
        <v>1</v>
      </c>
      <c r="S5125">
        <v>1</v>
      </c>
      <c r="T5125">
        <v>1</v>
      </c>
      <c r="W5125">
        <v>1</v>
      </c>
      <c r="X5125">
        <v>1</v>
      </c>
      <c r="Y5125">
        <v>1</v>
      </c>
      <c r="Z5125">
        <v>1</v>
      </c>
      <c r="AA5125">
        <v>1</v>
      </c>
      <c r="AB5125">
        <v>1</v>
      </c>
    </row>
    <row r="5126" spans="1:49" x14ac:dyDescent="0.25">
      <c r="A5126" t="str">
        <f>"5122"</f>
        <v>5122</v>
      </c>
      <c r="B5126" t="str">
        <f t="shared" si="293"/>
        <v>1</v>
      </c>
      <c r="C5126" t="str">
        <f t="shared" si="296"/>
        <v>224</v>
      </c>
      <c r="D5126" t="str">
        <f>"8"</f>
        <v>8</v>
      </c>
      <c r="E5126" t="str">
        <f>"1-224-8"</f>
        <v>1-224-8</v>
      </c>
      <c r="F5126" t="s">
        <v>83</v>
      </c>
      <c r="G5126" t="s">
        <v>84</v>
      </c>
      <c r="H5126" t="s">
        <v>92</v>
      </c>
      <c r="I5126">
        <v>1</v>
      </c>
      <c r="J5126">
        <v>1</v>
      </c>
      <c r="N5126">
        <v>1</v>
      </c>
      <c r="O5126">
        <v>1</v>
      </c>
      <c r="P5126">
        <v>1</v>
      </c>
      <c r="Q5126">
        <v>1</v>
      </c>
      <c r="R5126">
        <v>1</v>
      </c>
      <c r="S5126">
        <v>1</v>
      </c>
      <c r="T5126">
        <v>1</v>
      </c>
      <c r="W5126">
        <v>1</v>
      </c>
      <c r="X5126">
        <v>1</v>
      </c>
      <c r="Y5126">
        <v>1</v>
      </c>
      <c r="Z5126">
        <v>1</v>
      </c>
      <c r="AA5126">
        <v>1</v>
      </c>
      <c r="AB5126">
        <v>1</v>
      </c>
    </row>
    <row r="5127" spans="1:49" x14ac:dyDescent="0.25">
      <c r="A5127" t="str">
        <f>"5123"</f>
        <v>5123</v>
      </c>
      <c r="B5127" t="str">
        <f t="shared" si="293"/>
        <v>1</v>
      </c>
      <c r="C5127" t="str">
        <f t="shared" si="296"/>
        <v>224</v>
      </c>
      <c r="D5127" t="str">
        <f>"7"</f>
        <v>7</v>
      </c>
      <c r="E5127" t="str">
        <f>"1-224-7"</f>
        <v>1-224-7</v>
      </c>
      <c r="F5127" t="s">
        <v>83</v>
      </c>
      <c r="G5127" t="s">
        <v>84</v>
      </c>
      <c r="H5127" t="s">
        <v>92</v>
      </c>
      <c r="I5127">
        <v>1</v>
      </c>
      <c r="J5127">
        <v>1</v>
      </c>
      <c r="N5127">
        <v>1</v>
      </c>
      <c r="O5127">
        <v>1</v>
      </c>
      <c r="P5127">
        <v>1</v>
      </c>
      <c r="Q5127">
        <v>1</v>
      </c>
      <c r="R5127">
        <v>1</v>
      </c>
      <c r="S5127">
        <v>1</v>
      </c>
      <c r="T5127">
        <v>1</v>
      </c>
      <c r="W5127">
        <v>1</v>
      </c>
      <c r="X5127">
        <v>1</v>
      </c>
      <c r="Y5127">
        <v>0</v>
      </c>
      <c r="Z5127">
        <v>1</v>
      </c>
      <c r="AA5127">
        <v>1</v>
      </c>
      <c r="AB5127">
        <v>1</v>
      </c>
    </row>
    <row r="5128" spans="1:49" x14ac:dyDescent="0.25">
      <c r="A5128" t="str">
        <f>"5124"</f>
        <v>5124</v>
      </c>
      <c r="B5128" t="str">
        <f t="shared" si="293"/>
        <v>1</v>
      </c>
      <c r="C5128" t="str">
        <f t="shared" si="296"/>
        <v>224</v>
      </c>
      <c r="D5128" t="str">
        <f>"25"</f>
        <v>25</v>
      </c>
      <c r="E5128" t="str">
        <f>"1-224-25"</f>
        <v>1-224-25</v>
      </c>
      <c r="F5128" t="s">
        <v>83</v>
      </c>
      <c r="G5128" t="s">
        <v>84</v>
      </c>
      <c r="H5128" t="s">
        <v>85</v>
      </c>
      <c r="AC5128">
        <v>0</v>
      </c>
      <c r="AD5128">
        <v>1</v>
      </c>
      <c r="AE5128">
        <v>0</v>
      </c>
      <c r="AF5128">
        <v>0</v>
      </c>
      <c r="AG5128">
        <v>0</v>
      </c>
      <c r="AJ5128">
        <v>0</v>
      </c>
      <c r="AK5128">
        <v>1</v>
      </c>
      <c r="AL5128">
        <v>0</v>
      </c>
      <c r="AM5128">
        <v>0</v>
      </c>
      <c r="AN5128">
        <v>1</v>
      </c>
      <c r="AO5128">
        <v>1</v>
      </c>
      <c r="AP5128">
        <v>1</v>
      </c>
      <c r="AQ5128">
        <v>1</v>
      </c>
      <c r="AR5128">
        <v>1</v>
      </c>
      <c r="AS5128">
        <v>0</v>
      </c>
      <c r="AT5128">
        <v>1</v>
      </c>
      <c r="AV5128">
        <v>1</v>
      </c>
      <c r="AW5128">
        <v>1</v>
      </c>
    </row>
    <row r="5129" spans="1:49" x14ac:dyDescent="0.25">
      <c r="A5129" t="str">
        <f>"5125"</f>
        <v>5125</v>
      </c>
      <c r="B5129" t="str">
        <f t="shared" si="293"/>
        <v>1</v>
      </c>
      <c r="C5129" t="str">
        <f t="shared" si="296"/>
        <v>224</v>
      </c>
      <c r="D5129" t="str">
        <f>"24"</f>
        <v>24</v>
      </c>
      <c r="E5129" t="str">
        <f>"1-224-24"</f>
        <v>1-224-24</v>
      </c>
      <c r="F5129" t="s">
        <v>83</v>
      </c>
      <c r="G5129" t="s">
        <v>84</v>
      </c>
      <c r="H5129" t="s">
        <v>85</v>
      </c>
      <c r="AC5129">
        <v>0</v>
      </c>
      <c r="AD5129">
        <v>1</v>
      </c>
      <c r="AE5129">
        <v>0</v>
      </c>
      <c r="AF5129">
        <v>0</v>
      </c>
      <c r="AG5129">
        <v>0</v>
      </c>
      <c r="AJ5129">
        <v>1</v>
      </c>
      <c r="AK5129">
        <v>0</v>
      </c>
      <c r="AL5129">
        <v>0</v>
      </c>
      <c r="AM5129">
        <v>0</v>
      </c>
      <c r="AN5129">
        <v>1</v>
      </c>
      <c r="AO5129">
        <v>0</v>
      </c>
      <c r="AP5129">
        <v>0</v>
      </c>
      <c r="AQ5129">
        <v>0</v>
      </c>
      <c r="AR5129">
        <v>0</v>
      </c>
      <c r="AS5129">
        <v>1</v>
      </c>
      <c r="AT5129">
        <v>0</v>
      </c>
      <c r="AV5129">
        <v>0</v>
      </c>
      <c r="AW5129">
        <v>0</v>
      </c>
    </row>
    <row r="5130" spans="1:49" x14ac:dyDescent="0.25">
      <c r="A5130" t="str">
        <f>"5126"</f>
        <v>5126</v>
      </c>
      <c r="B5130" t="str">
        <f t="shared" si="293"/>
        <v>1</v>
      </c>
      <c r="C5130" t="str">
        <f t="shared" si="296"/>
        <v>224</v>
      </c>
      <c r="D5130" t="str">
        <f>"15"</f>
        <v>15</v>
      </c>
      <c r="E5130" t="str">
        <f>"1-224-15"</f>
        <v>1-224-15</v>
      </c>
      <c r="F5130" t="s">
        <v>83</v>
      </c>
      <c r="G5130" t="s">
        <v>84</v>
      </c>
      <c r="H5130" t="s">
        <v>85</v>
      </c>
      <c r="AC5130">
        <v>1</v>
      </c>
      <c r="AD5130">
        <v>0</v>
      </c>
      <c r="AE5130">
        <v>0</v>
      </c>
      <c r="AF5130">
        <v>0</v>
      </c>
      <c r="AG5130">
        <v>1</v>
      </c>
      <c r="AJ5130">
        <v>0</v>
      </c>
      <c r="AK5130">
        <v>1</v>
      </c>
      <c r="AL5130">
        <v>1</v>
      </c>
      <c r="AM5130">
        <v>0</v>
      </c>
      <c r="AN5130">
        <v>0</v>
      </c>
      <c r="AO5130">
        <v>1</v>
      </c>
      <c r="AP5130">
        <v>1</v>
      </c>
      <c r="AQ5130">
        <v>1</v>
      </c>
      <c r="AR5130">
        <v>1</v>
      </c>
      <c r="AS5130">
        <v>1</v>
      </c>
      <c r="AT5130">
        <v>0</v>
      </c>
      <c r="AV5130">
        <v>1</v>
      </c>
      <c r="AW5130">
        <v>1</v>
      </c>
    </row>
    <row r="5131" spans="1:49" x14ac:dyDescent="0.25">
      <c r="A5131" t="str">
        <f>"5127"</f>
        <v>5127</v>
      </c>
      <c r="B5131" t="str">
        <f t="shared" si="293"/>
        <v>1</v>
      </c>
      <c r="C5131" t="str">
        <f t="shared" si="296"/>
        <v>224</v>
      </c>
      <c r="D5131" t="str">
        <f>"9"</f>
        <v>9</v>
      </c>
      <c r="E5131" t="str">
        <f>"1-224-9"</f>
        <v>1-224-9</v>
      </c>
      <c r="F5131" t="s">
        <v>83</v>
      </c>
      <c r="G5131" t="s">
        <v>84</v>
      </c>
      <c r="H5131" t="s">
        <v>92</v>
      </c>
      <c r="I5131">
        <v>1</v>
      </c>
      <c r="J5131">
        <v>1</v>
      </c>
      <c r="N5131">
        <v>1</v>
      </c>
      <c r="O5131">
        <v>1</v>
      </c>
      <c r="P5131">
        <v>1</v>
      </c>
      <c r="Q5131">
        <v>1</v>
      </c>
      <c r="R5131">
        <v>1</v>
      </c>
      <c r="S5131">
        <v>1</v>
      </c>
      <c r="T5131">
        <v>1</v>
      </c>
      <c r="W5131">
        <v>1</v>
      </c>
      <c r="X5131">
        <v>1</v>
      </c>
      <c r="Y5131">
        <v>1</v>
      </c>
      <c r="Z5131">
        <v>1</v>
      </c>
      <c r="AA5131">
        <v>1</v>
      </c>
      <c r="AB5131">
        <v>1</v>
      </c>
    </row>
    <row r="5132" spans="1:49" x14ac:dyDescent="0.25">
      <c r="A5132" t="str">
        <f>"5128"</f>
        <v>5128</v>
      </c>
      <c r="B5132" t="str">
        <f t="shared" si="293"/>
        <v>1</v>
      </c>
      <c r="C5132" t="str">
        <f t="shared" si="296"/>
        <v>224</v>
      </c>
      <c r="D5132" t="str">
        <f>"4"</f>
        <v>4</v>
      </c>
      <c r="E5132" t="str">
        <f>"1-224-4"</f>
        <v>1-224-4</v>
      </c>
      <c r="F5132" t="s">
        <v>83</v>
      </c>
      <c r="G5132" t="s">
        <v>84</v>
      </c>
      <c r="H5132" t="s">
        <v>85</v>
      </c>
      <c r="AC5132">
        <v>0</v>
      </c>
      <c r="AD5132">
        <v>0</v>
      </c>
      <c r="AE5132">
        <v>0</v>
      </c>
      <c r="AF5132">
        <v>0</v>
      </c>
      <c r="AG5132">
        <v>1</v>
      </c>
      <c r="AJ5132">
        <v>1</v>
      </c>
      <c r="AK5132">
        <v>0</v>
      </c>
      <c r="AL5132">
        <v>1</v>
      </c>
      <c r="AM5132">
        <v>0</v>
      </c>
      <c r="AN5132">
        <v>0</v>
      </c>
      <c r="AO5132">
        <v>1</v>
      </c>
      <c r="AP5132">
        <v>1</v>
      </c>
      <c r="AQ5132">
        <v>1</v>
      </c>
      <c r="AR5132">
        <v>1</v>
      </c>
      <c r="AS5132">
        <v>1</v>
      </c>
      <c r="AT5132">
        <v>0</v>
      </c>
      <c r="AV5132">
        <v>1</v>
      </c>
      <c r="AW5132">
        <v>1</v>
      </c>
    </row>
    <row r="5133" spans="1:49" x14ac:dyDescent="0.25">
      <c r="A5133" t="str">
        <f>"5129"</f>
        <v>5129</v>
      </c>
      <c r="B5133" t="str">
        <f t="shared" si="293"/>
        <v>1</v>
      </c>
      <c r="C5133" t="str">
        <f t="shared" si="296"/>
        <v>224</v>
      </c>
      <c r="D5133" t="str">
        <f>"18"</f>
        <v>18</v>
      </c>
      <c r="E5133" t="str">
        <f>"1-224-18"</f>
        <v>1-224-18</v>
      </c>
      <c r="F5133" t="s">
        <v>83</v>
      </c>
      <c r="G5133" t="s">
        <v>84</v>
      </c>
      <c r="H5133" t="s">
        <v>92</v>
      </c>
      <c r="I5133">
        <v>1</v>
      </c>
      <c r="J5133">
        <v>1</v>
      </c>
      <c r="N5133">
        <v>1</v>
      </c>
      <c r="O5133">
        <v>1</v>
      </c>
      <c r="P5133">
        <v>1</v>
      </c>
      <c r="Q5133">
        <v>1</v>
      </c>
      <c r="R5133">
        <v>1</v>
      </c>
      <c r="S5133">
        <v>1</v>
      </c>
      <c r="T5133">
        <v>1</v>
      </c>
      <c r="W5133">
        <v>1</v>
      </c>
      <c r="X5133">
        <v>1</v>
      </c>
      <c r="Y5133">
        <v>1</v>
      </c>
      <c r="Z5133">
        <v>1</v>
      </c>
      <c r="AA5133">
        <v>1</v>
      </c>
      <c r="AB5133">
        <v>1</v>
      </c>
    </row>
    <row r="5134" spans="1:49" x14ac:dyDescent="0.25">
      <c r="A5134" t="str">
        <f>"5130"</f>
        <v>5130</v>
      </c>
      <c r="B5134" t="str">
        <f t="shared" si="293"/>
        <v>1</v>
      </c>
      <c r="C5134" t="str">
        <f t="shared" si="296"/>
        <v>224</v>
      </c>
      <c r="D5134" t="str">
        <f>"10"</f>
        <v>10</v>
      </c>
      <c r="E5134" t="str">
        <f>"1-224-10"</f>
        <v>1-224-10</v>
      </c>
      <c r="F5134" t="s">
        <v>83</v>
      </c>
      <c r="G5134" t="s">
        <v>84</v>
      </c>
      <c r="H5134" t="s">
        <v>85</v>
      </c>
      <c r="AC5134">
        <v>0</v>
      </c>
      <c r="AD5134">
        <v>1</v>
      </c>
      <c r="AE5134">
        <v>0</v>
      </c>
      <c r="AF5134">
        <v>0</v>
      </c>
      <c r="AG5134">
        <v>0</v>
      </c>
      <c r="AJ5134">
        <v>1</v>
      </c>
      <c r="AK5134">
        <v>0</v>
      </c>
      <c r="AL5134">
        <v>0</v>
      </c>
      <c r="AM5134">
        <v>0</v>
      </c>
      <c r="AN5134">
        <v>1</v>
      </c>
      <c r="AO5134">
        <v>0</v>
      </c>
      <c r="AP5134">
        <v>0</v>
      </c>
      <c r="AQ5134">
        <v>0</v>
      </c>
      <c r="AR5134">
        <v>0</v>
      </c>
      <c r="AS5134">
        <v>0</v>
      </c>
      <c r="AT5134">
        <v>1</v>
      </c>
      <c r="AV5134">
        <v>0</v>
      </c>
      <c r="AW5134">
        <v>0</v>
      </c>
    </row>
    <row r="5135" spans="1:49" x14ac:dyDescent="0.25">
      <c r="A5135" t="str">
        <f>"5131"</f>
        <v>5131</v>
      </c>
      <c r="B5135" t="str">
        <f t="shared" si="293"/>
        <v>1</v>
      </c>
      <c r="C5135" t="str">
        <f t="shared" si="296"/>
        <v>224</v>
      </c>
      <c r="D5135" t="str">
        <f>"1"</f>
        <v>1</v>
      </c>
      <c r="E5135" t="str">
        <f>"1-224-1"</f>
        <v>1-224-1</v>
      </c>
      <c r="F5135" t="s">
        <v>83</v>
      </c>
      <c r="G5135" t="s">
        <v>84</v>
      </c>
      <c r="H5135" t="s">
        <v>92</v>
      </c>
      <c r="I5135">
        <v>1</v>
      </c>
      <c r="J5135">
        <v>1</v>
      </c>
      <c r="N5135">
        <v>1</v>
      </c>
      <c r="O5135">
        <v>1</v>
      </c>
      <c r="P5135">
        <v>1</v>
      </c>
      <c r="Q5135">
        <v>1</v>
      </c>
      <c r="R5135">
        <v>1</v>
      </c>
      <c r="S5135">
        <v>1</v>
      </c>
      <c r="T5135">
        <v>1</v>
      </c>
      <c r="W5135">
        <v>1</v>
      </c>
      <c r="X5135">
        <v>1</v>
      </c>
      <c r="Y5135">
        <v>1</v>
      </c>
      <c r="Z5135">
        <v>1</v>
      </c>
      <c r="AA5135">
        <v>1</v>
      </c>
      <c r="AB5135">
        <v>1</v>
      </c>
    </row>
    <row r="5136" spans="1:49" x14ac:dyDescent="0.25">
      <c r="A5136" t="str">
        <f>"5132"</f>
        <v>5132</v>
      </c>
      <c r="B5136" t="str">
        <f t="shared" si="293"/>
        <v>1</v>
      </c>
      <c r="C5136" t="str">
        <f t="shared" si="296"/>
        <v>224</v>
      </c>
      <c r="D5136" t="str">
        <f>"17"</f>
        <v>17</v>
      </c>
      <c r="E5136" t="str">
        <f>"1-224-17"</f>
        <v>1-224-17</v>
      </c>
      <c r="F5136" t="s">
        <v>83</v>
      </c>
      <c r="G5136" t="s">
        <v>84</v>
      </c>
      <c r="H5136" t="s">
        <v>85</v>
      </c>
      <c r="AC5136">
        <v>1</v>
      </c>
      <c r="AD5136">
        <v>0</v>
      </c>
      <c r="AE5136">
        <v>0</v>
      </c>
      <c r="AF5136">
        <v>0</v>
      </c>
      <c r="AG5136">
        <v>0</v>
      </c>
      <c r="AJ5136">
        <v>0</v>
      </c>
      <c r="AK5136">
        <v>1</v>
      </c>
      <c r="AL5136">
        <v>1</v>
      </c>
      <c r="AM5136">
        <v>0</v>
      </c>
      <c r="AN5136">
        <v>0</v>
      </c>
      <c r="AO5136">
        <v>0</v>
      </c>
      <c r="AP5136">
        <v>0</v>
      </c>
      <c r="AQ5136">
        <v>0</v>
      </c>
      <c r="AR5136">
        <v>0</v>
      </c>
      <c r="AS5136">
        <v>1</v>
      </c>
      <c r="AT5136">
        <v>0</v>
      </c>
      <c r="AV5136">
        <v>0</v>
      </c>
      <c r="AW5136">
        <v>0</v>
      </c>
    </row>
    <row r="5137" spans="1:49" x14ac:dyDescent="0.25">
      <c r="A5137" t="str">
        <f>"5133"</f>
        <v>5133</v>
      </c>
      <c r="B5137" t="str">
        <f t="shared" si="293"/>
        <v>1</v>
      </c>
      <c r="C5137" t="str">
        <f t="shared" si="296"/>
        <v>224</v>
      </c>
      <c r="D5137" t="str">
        <f>"11"</f>
        <v>11</v>
      </c>
      <c r="E5137" t="str">
        <f>"1-224-11"</f>
        <v>1-224-11</v>
      </c>
      <c r="F5137" t="s">
        <v>83</v>
      </c>
      <c r="G5137" t="s">
        <v>84</v>
      </c>
      <c r="H5137" t="s">
        <v>92</v>
      </c>
      <c r="I5137">
        <v>1</v>
      </c>
      <c r="J5137">
        <v>1</v>
      </c>
      <c r="N5137">
        <v>1</v>
      </c>
      <c r="O5137">
        <v>1</v>
      </c>
      <c r="P5137">
        <v>1</v>
      </c>
      <c r="Q5137">
        <v>1</v>
      </c>
      <c r="R5137">
        <v>1</v>
      </c>
      <c r="S5137">
        <v>1</v>
      </c>
      <c r="T5137">
        <v>1</v>
      </c>
      <c r="W5137">
        <v>1</v>
      </c>
      <c r="X5137">
        <v>1</v>
      </c>
      <c r="Y5137">
        <v>1</v>
      </c>
      <c r="Z5137">
        <v>1</v>
      </c>
      <c r="AA5137">
        <v>1</v>
      </c>
      <c r="AB5137">
        <v>1</v>
      </c>
    </row>
    <row r="5138" spans="1:49" x14ac:dyDescent="0.25">
      <c r="A5138" t="str">
        <f>"5134"</f>
        <v>5134</v>
      </c>
      <c r="B5138" t="str">
        <f t="shared" si="293"/>
        <v>1</v>
      </c>
      <c r="C5138" t="str">
        <f t="shared" si="296"/>
        <v>224</v>
      </c>
      <c r="D5138" t="str">
        <f>"2"</f>
        <v>2</v>
      </c>
      <c r="E5138" t="str">
        <f>"1-224-2"</f>
        <v>1-224-2</v>
      </c>
      <c r="F5138" t="s">
        <v>83</v>
      </c>
      <c r="G5138" t="s">
        <v>84</v>
      </c>
      <c r="H5138" t="s">
        <v>85</v>
      </c>
      <c r="AC5138">
        <v>0</v>
      </c>
      <c r="AD5138">
        <v>1</v>
      </c>
      <c r="AE5138">
        <v>0</v>
      </c>
      <c r="AF5138">
        <v>0</v>
      </c>
      <c r="AG5138">
        <v>1</v>
      </c>
      <c r="AJ5138">
        <v>0</v>
      </c>
      <c r="AK5138">
        <v>1</v>
      </c>
      <c r="AL5138">
        <v>0</v>
      </c>
      <c r="AM5138">
        <v>1</v>
      </c>
      <c r="AN5138">
        <v>0</v>
      </c>
      <c r="AO5138">
        <v>1</v>
      </c>
      <c r="AP5138">
        <v>1</v>
      </c>
      <c r="AQ5138">
        <v>1</v>
      </c>
      <c r="AR5138">
        <v>1</v>
      </c>
      <c r="AS5138">
        <v>0</v>
      </c>
      <c r="AT5138">
        <v>1</v>
      </c>
      <c r="AV5138">
        <v>1</v>
      </c>
      <c r="AW5138">
        <v>1</v>
      </c>
    </row>
    <row r="5139" spans="1:49" x14ac:dyDescent="0.25">
      <c r="A5139" t="str">
        <f>"5135"</f>
        <v>5135</v>
      </c>
      <c r="B5139" t="str">
        <f t="shared" si="293"/>
        <v>1</v>
      </c>
      <c r="C5139" t="str">
        <f t="shared" si="296"/>
        <v>224</v>
      </c>
      <c r="D5139" t="str">
        <f>"12"</f>
        <v>12</v>
      </c>
      <c r="E5139" t="str">
        <f>"1-224-12"</f>
        <v>1-224-12</v>
      </c>
      <c r="F5139" t="s">
        <v>83</v>
      </c>
      <c r="G5139" t="s">
        <v>84</v>
      </c>
      <c r="H5139" t="s">
        <v>92</v>
      </c>
      <c r="I5139">
        <v>1</v>
      </c>
      <c r="J5139">
        <v>1</v>
      </c>
      <c r="N5139">
        <v>1</v>
      </c>
      <c r="O5139">
        <v>1</v>
      </c>
      <c r="P5139">
        <v>0</v>
      </c>
      <c r="Q5139">
        <v>0</v>
      </c>
      <c r="R5139">
        <v>0</v>
      </c>
      <c r="S5139">
        <v>0</v>
      </c>
      <c r="T5139">
        <v>0</v>
      </c>
      <c r="W5139">
        <v>0</v>
      </c>
      <c r="X5139">
        <v>0</v>
      </c>
      <c r="Y5139">
        <v>0</v>
      </c>
      <c r="Z5139">
        <v>0</v>
      </c>
      <c r="AA5139">
        <v>0</v>
      </c>
      <c r="AB5139">
        <v>0</v>
      </c>
    </row>
    <row r="5140" spans="1:49" x14ac:dyDescent="0.25">
      <c r="A5140" t="str">
        <f>"5136"</f>
        <v>5136</v>
      </c>
      <c r="B5140" t="str">
        <f t="shared" si="293"/>
        <v>1</v>
      </c>
      <c r="C5140" t="str">
        <f t="shared" si="296"/>
        <v>224</v>
      </c>
      <c r="D5140" t="str">
        <f>"5"</f>
        <v>5</v>
      </c>
      <c r="E5140" t="str">
        <f>"1-224-5"</f>
        <v>1-224-5</v>
      </c>
      <c r="F5140" t="s">
        <v>83</v>
      </c>
      <c r="G5140" t="s">
        <v>84</v>
      </c>
      <c r="H5140" t="s">
        <v>92</v>
      </c>
      <c r="I5140">
        <v>1</v>
      </c>
      <c r="J5140">
        <v>1</v>
      </c>
      <c r="N5140">
        <v>1</v>
      </c>
      <c r="O5140">
        <v>1</v>
      </c>
      <c r="P5140">
        <v>1</v>
      </c>
      <c r="Q5140">
        <v>1</v>
      </c>
      <c r="R5140">
        <v>1</v>
      </c>
      <c r="S5140">
        <v>1</v>
      </c>
      <c r="T5140">
        <v>1</v>
      </c>
      <c r="W5140">
        <v>1</v>
      </c>
      <c r="X5140">
        <v>1</v>
      </c>
      <c r="Y5140">
        <v>1</v>
      </c>
      <c r="Z5140">
        <v>1</v>
      </c>
      <c r="AA5140">
        <v>1</v>
      </c>
      <c r="AB5140">
        <v>1</v>
      </c>
    </row>
    <row r="5141" spans="1:49" x14ac:dyDescent="0.25">
      <c r="A5141" t="str">
        <f>"5137"</f>
        <v>5137</v>
      </c>
      <c r="B5141" t="str">
        <f t="shared" si="293"/>
        <v>1</v>
      </c>
      <c r="C5141" t="str">
        <f t="shared" si="296"/>
        <v>224</v>
      </c>
      <c r="D5141" t="str">
        <f>"20"</f>
        <v>20</v>
      </c>
      <c r="E5141" t="str">
        <f>"1-224-20"</f>
        <v>1-224-20</v>
      </c>
      <c r="F5141" t="s">
        <v>83</v>
      </c>
      <c r="G5141" t="s">
        <v>84</v>
      </c>
      <c r="H5141" t="s">
        <v>85</v>
      </c>
      <c r="AC5141">
        <v>0</v>
      </c>
      <c r="AD5141">
        <v>1</v>
      </c>
      <c r="AE5141">
        <v>0</v>
      </c>
      <c r="AF5141">
        <v>0</v>
      </c>
      <c r="AG5141">
        <v>0</v>
      </c>
      <c r="AJ5141">
        <v>0</v>
      </c>
      <c r="AK5141">
        <v>1</v>
      </c>
      <c r="AL5141">
        <v>0</v>
      </c>
      <c r="AM5141">
        <v>0</v>
      </c>
      <c r="AN5141">
        <v>1</v>
      </c>
      <c r="AO5141">
        <v>0</v>
      </c>
      <c r="AP5141">
        <v>0</v>
      </c>
      <c r="AQ5141">
        <v>0</v>
      </c>
      <c r="AR5141">
        <v>0</v>
      </c>
      <c r="AS5141">
        <v>0</v>
      </c>
      <c r="AT5141">
        <v>0</v>
      </c>
      <c r="AV5141">
        <v>0</v>
      </c>
      <c r="AW5141">
        <v>0</v>
      </c>
    </row>
    <row r="5142" spans="1:49" x14ac:dyDescent="0.25">
      <c r="A5142" t="str">
        <f>"5138"</f>
        <v>5138</v>
      </c>
      <c r="B5142" t="str">
        <f t="shared" si="293"/>
        <v>1</v>
      </c>
      <c r="C5142" t="str">
        <f t="shared" si="296"/>
        <v>224</v>
      </c>
      <c r="D5142" t="str">
        <f>"13"</f>
        <v>13</v>
      </c>
      <c r="E5142" t="str">
        <f>"1-224-13"</f>
        <v>1-224-13</v>
      </c>
      <c r="F5142" t="s">
        <v>83</v>
      </c>
      <c r="G5142" t="s">
        <v>84</v>
      </c>
      <c r="H5142" t="s">
        <v>92</v>
      </c>
      <c r="I5142">
        <v>1</v>
      </c>
      <c r="J5142">
        <v>1</v>
      </c>
      <c r="N5142">
        <v>1</v>
      </c>
      <c r="O5142">
        <v>1</v>
      </c>
      <c r="P5142">
        <v>1</v>
      </c>
      <c r="Q5142">
        <v>1</v>
      </c>
      <c r="R5142">
        <v>1</v>
      </c>
      <c r="S5142">
        <v>1</v>
      </c>
      <c r="T5142">
        <v>1</v>
      </c>
      <c r="W5142">
        <v>1</v>
      </c>
      <c r="X5142">
        <v>1</v>
      </c>
      <c r="Y5142">
        <v>1</v>
      </c>
      <c r="Z5142">
        <v>1</v>
      </c>
      <c r="AA5142">
        <v>1</v>
      </c>
      <c r="AB5142">
        <v>1</v>
      </c>
    </row>
    <row r="5143" spans="1:49" x14ac:dyDescent="0.25">
      <c r="A5143" t="str">
        <f>"5139"</f>
        <v>5139</v>
      </c>
      <c r="B5143" t="str">
        <f t="shared" si="293"/>
        <v>1</v>
      </c>
      <c r="C5143" t="str">
        <f t="shared" si="296"/>
        <v>224</v>
      </c>
      <c r="D5143" t="str">
        <f>"3"</f>
        <v>3</v>
      </c>
      <c r="E5143" t="str">
        <f>"1-224-3"</f>
        <v>1-224-3</v>
      </c>
      <c r="F5143" t="s">
        <v>83</v>
      </c>
      <c r="G5143" t="s">
        <v>84</v>
      </c>
      <c r="H5143" t="s">
        <v>92</v>
      </c>
      <c r="I5143">
        <v>1</v>
      </c>
      <c r="J5143">
        <v>1</v>
      </c>
      <c r="N5143">
        <v>1</v>
      </c>
      <c r="O5143">
        <v>1</v>
      </c>
      <c r="P5143">
        <v>1</v>
      </c>
      <c r="Q5143">
        <v>1</v>
      </c>
      <c r="R5143">
        <v>1</v>
      </c>
      <c r="S5143">
        <v>1</v>
      </c>
      <c r="T5143">
        <v>1</v>
      </c>
      <c r="W5143">
        <v>1</v>
      </c>
      <c r="X5143">
        <v>1</v>
      </c>
      <c r="Y5143">
        <v>1</v>
      </c>
      <c r="Z5143">
        <v>1</v>
      </c>
      <c r="AA5143">
        <v>1</v>
      </c>
      <c r="AB5143">
        <v>1</v>
      </c>
    </row>
    <row r="5144" spans="1:49" x14ac:dyDescent="0.25">
      <c r="A5144" t="str">
        <f>"5140"</f>
        <v>5140</v>
      </c>
      <c r="B5144" t="str">
        <f t="shared" si="293"/>
        <v>1</v>
      </c>
      <c r="C5144" t="str">
        <f t="shared" si="296"/>
        <v>224</v>
      </c>
      <c r="D5144" t="str">
        <f>"21"</f>
        <v>21</v>
      </c>
      <c r="E5144" t="str">
        <f>"1-224-21"</f>
        <v>1-224-21</v>
      </c>
      <c r="F5144" t="s">
        <v>83</v>
      </c>
      <c r="G5144" t="s">
        <v>84</v>
      </c>
      <c r="H5144" t="s">
        <v>85</v>
      </c>
      <c r="AC5144">
        <v>1</v>
      </c>
      <c r="AD5144">
        <v>0</v>
      </c>
      <c r="AE5144">
        <v>0</v>
      </c>
      <c r="AF5144">
        <v>0</v>
      </c>
      <c r="AG5144">
        <v>1</v>
      </c>
      <c r="AJ5144">
        <v>0</v>
      </c>
      <c r="AK5144">
        <v>1</v>
      </c>
      <c r="AL5144">
        <v>0</v>
      </c>
      <c r="AM5144">
        <v>0</v>
      </c>
      <c r="AN5144">
        <v>1</v>
      </c>
      <c r="AO5144">
        <v>1</v>
      </c>
      <c r="AP5144">
        <v>1</v>
      </c>
      <c r="AQ5144">
        <v>1</v>
      </c>
      <c r="AR5144">
        <v>1</v>
      </c>
      <c r="AS5144">
        <v>0</v>
      </c>
      <c r="AT5144">
        <v>1</v>
      </c>
      <c r="AV5144">
        <v>1</v>
      </c>
      <c r="AW5144">
        <v>1</v>
      </c>
    </row>
    <row r="5145" spans="1:49" x14ac:dyDescent="0.25">
      <c r="A5145" t="str">
        <f>"5141"</f>
        <v>5141</v>
      </c>
      <c r="B5145" t="str">
        <f t="shared" si="293"/>
        <v>1</v>
      </c>
      <c r="C5145" t="str">
        <f t="shared" si="296"/>
        <v>224</v>
      </c>
      <c r="D5145" t="str">
        <f>"14"</f>
        <v>14</v>
      </c>
      <c r="E5145" t="str">
        <f>"1-224-14"</f>
        <v>1-224-14</v>
      </c>
      <c r="F5145" t="s">
        <v>83</v>
      </c>
      <c r="G5145" t="s">
        <v>88</v>
      </c>
      <c r="H5145" t="s">
        <v>95</v>
      </c>
      <c r="I5145">
        <v>1</v>
      </c>
      <c r="K5145">
        <v>1</v>
      </c>
      <c r="L5145">
        <v>0</v>
      </c>
      <c r="M5145">
        <v>0</v>
      </c>
      <c r="N5145">
        <v>1</v>
      </c>
      <c r="O5145">
        <v>1</v>
      </c>
      <c r="P5145">
        <v>1</v>
      </c>
      <c r="Q5145">
        <v>1</v>
      </c>
      <c r="R5145">
        <v>1</v>
      </c>
      <c r="S5145">
        <v>1</v>
      </c>
      <c r="T5145">
        <v>1</v>
      </c>
      <c r="W5145">
        <v>1</v>
      </c>
      <c r="X5145">
        <v>1</v>
      </c>
      <c r="Y5145">
        <v>1</v>
      </c>
      <c r="Z5145">
        <v>1</v>
      </c>
      <c r="AA5145">
        <v>1</v>
      </c>
      <c r="AB5145">
        <v>1</v>
      </c>
    </row>
    <row r="5146" spans="1:49" x14ac:dyDescent="0.25">
      <c r="A5146" t="str">
        <f>"5142"</f>
        <v>5142</v>
      </c>
      <c r="B5146" t="str">
        <f t="shared" si="293"/>
        <v>1</v>
      </c>
      <c r="C5146" t="str">
        <f t="shared" si="296"/>
        <v>224</v>
      </c>
      <c r="D5146" t="str">
        <f>"6"</f>
        <v>6</v>
      </c>
      <c r="E5146" t="str">
        <f>"1-224-6"</f>
        <v>1-224-6</v>
      </c>
      <c r="F5146" t="s">
        <v>83</v>
      </c>
      <c r="G5146" t="s">
        <v>84</v>
      </c>
      <c r="H5146" t="s">
        <v>85</v>
      </c>
      <c r="AC5146">
        <v>1</v>
      </c>
      <c r="AD5146">
        <v>0</v>
      </c>
      <c r="AE5146">
        <v>0</v>
      </c>
      <c r="AF5146">
        <v>0</v>
      </c>
      <c r="AG5146">
        <v>1</v>
      </c>
      <c r="AJ5146">
        <v>1</v>
      </c>
      <c r="AK5146">
        <v>0</v>
      </c>
      <c r="AL5146">
        <v>0</v>
      </c>
      <c r="AM5146">
        <v>1</v>
      </c>
      <c r="AN5146">
        <v>0</v>
      </c>
      <c r="AO5146">
        <v>1</v>
      </c>
      <c r="AP5146">
        <v>1</v>
      </c>
      <c r="AQ5146">
        <v>1</v>
      </c>
      <c r="AR5146">
        <v>1</v>
      </c>
      <c r="AS5146">
        <v>0</v>
      </c>
      <c r="AT5146">
        <v>1</v>
      </c>
      <c r="AV5146">
        <v>1</v>
      </c>
      <c r="AW5146">
        <v>1</v>
      </c>
    </row>
    <row r="5147" spans="1:49" x14ac:dyDescent="0.25">
      <c r="A5147" t="str">
        <f>"5143"</f>
        <v>5143</v>
      </c>
      <c r="B5147" t="str">
        <f t="shared" si="293"/>
        <v>1</v>
      </c>
      <c r="C5147" t="str">
        <f t="shared" si="296"/>
        <v>224</v>
      </c>
      <c r="D5147" t="str">
        <f>"19"</f>
        <v>19</v>
      </c>
      <c r="E5147" t="str">
        <f>"1-224-19"</f>
        <v>1-224-19</v>
      </c>
      <c r="F5147" t="s">
        <v>83</v>
      </c>
      <c r="G5147" t="s">
        <v>84</v>
      </c>
      <c r="H5147" t="s">
        <v>85</v>
      </c>
      <c r="AC5147">
        <v>0</v>
      </c>
      <c r="AD5147">
        <v>0</v>
      </c>
      <c r="AE5147">
        <v>0</v>
      </c>
      <c r="AF5147">
        <v>0</v>
      </c>
      <c r="AG5147">
        <v>0</v>
      </c>
      <c r="AJ5147">
        <v>1</v>
      </c>
      <c r="AK5147">
        <v>0</v>
      </c>
      <c r="AL5147">
        <v>0</v>
      </c>
      <c r="AM5147">
        <v>0</v>
      </c>
      <c r="AN5147">
        <v>1</v>
      </c>
      <c r="AO5147">
        <v>0</v>
      </c>
      <c r="AP5147">
        <v>0</v>
      </c>
      <c r="AQ5147">
        <v>0</v>
      </c>
      <c r="AR5147">
        <v>0</v>
      </c>
      <c r="AS5147">
        <v>1</v>
      </c>
      <c r="AT5147">
        <v>0</v>
      </c>
      <c r="AV5147">
        <v>0</v>
      </c>
      <c r="AW5147">
        <v>0</v>
      </c>
    </row>
    <row r="5148" spans="1:49" x14ac:dyDescent="0.25">
      <c r="A5148" t="str">
        <f>"5144"</f>
        <v>5144</v>
      </c>
      <c r="B5148" t="str">
        <f t="shared" si="293"/>
        <v>1</v>
      </c>
      <c r="C5148" t="str">
        <f t="shared" ref="C5148:C5156" si="297">"225"</f>
        <v>225</v>
      </c>
      <c r="D5148" t="str">
        <f>"6"</f>
        <v>6</v>
      </c>
      <c r="E5148" t="str">
        <f>"1-225-6"</f>
        <v>1-225-6</v>
      </c>
      <c r="F5148" t="s">
        <v>83</v>
      </c>
      <c r="G5148" t="s">
        <v>84</v>
      </c>
      <c r="H5148" t="s">
        <v>92</v>
      </c>
      <c r="I5148">
        <v>1</v>
      </c>
      <c r="J5148">
        <v>1</v>
      </c>
      <c r="N5148">
        <v>1</v>
      </c>
      <c r="O5148">
        <v>1</v>
      </c>
      <c r="P5148">
        <v>1</v>
      </c>
      <c r="Q5148">
        <v>1</v>
      </c>
      <c r="R5148">
        <v>1</v>
      </c>
      <c r="S5148">
        <v>1</v>
      </c>
      <c r="T5148">
        <v>1</v>
      </c>
      <c r="W5148">
        <v>1</v>
      </c>
      <c r="X5148">
        <v>1</v>
      </c>
      <c r="Y5148">
        <v>1</v>
      </c>
      <c r="Z5148">
        <v>1</v>
      </c>
      <c r="AA5148">
        <v>1</v>
      </c>
      <c r="AB5148">
        <v>1</v>
      </c>
    </row>
    <row r="5149" spans="1:49" x14ac:dyDescent="0.25">
      <c r="A5149" t="str">
        <f>"5145"</f>
        <v>5145</v>
      </c>
      <c r="B5149" t="str">
        <f t="shared" si="293"/>
        <v>1</v>
      </c>
      <c r="C5149" t="str">
        <f t="shared" si="297"/>
        <v>225</v>
      </c>
      <c r="D5149" t="str">
        <f>"9"</f>
        <v>9</v>
      </c>
      <c r="E5149" t="str">
        <f>"1-225-9"</f>
        <v>1-225-9</v>
      </c>
      <c r="F5149" t="s">
        <v>83</v>
      </c>
      <c r="G5149" t="s">
        <v>84</v>
      </c>
      <c r="H5149" t="s">
        <v>92</v>
      </c>
      <c r="I5149">
        <v>1</v>
      </c>
      <c r="J5149">
        <v>1</v>
      </c>
      <c r="N5149">
        <v>1</v>
      </c>
      <c r="O5149">
        <v>1</v>
      </c>
      <c r="P5149">
        <v>1</v>
      </c>
      <c r="Q5149">
        <v>1</v>
      </c>
      <c r="R5149">
        <v>1</v>
      </c>
      <c r="S5149">
        <v>1</v>
      </c>
      <c r="T5149">
        <v>1</v>
      </c>
      <c r="W5149">
        <v>1</v>
      </c>
      <c r="X5149">
        <v>1</v>
      </c>
      <c r="Y5149">
        <v>1</v>
      </c>
      <c r="Z5149">
        <v>1</v>
      </c>
      <c r="AA5149">
        <v>1</v>
      </c>
      <c r="AB5149">
        <v>1</v>
      </c>
    </row>
    <row r="5150" spans="1:49" x14ac:dyDescent="0.25">
      <c r="A5150" t="str">
        <f>"5146"</f>
        <v>5146</v>
      </c>
      <c r="B5150" t="str">
        <f t="shared" ref="B5150:B5213" si="298">"1"</f>
        <v>1</v>
      </c>
      <c r="C5150" t="str">
        <f t="shared" si="297"/>
        <v>225</v>
      </c>
      <c r="D5150" t="str">
        <f>"2"</f>
        <v>2</v>
      </c>
      <c r="E5150" t="str">
        <f>"1-225-2"</f>
        <v>1-225-2</v>
      </c>
      <c r="F5150" t="s">
        <v>83</v>
      </c>
      <c r="G5150" t="s">
        <v>84</v>
      </c>
      <c r="H5150" t="s">
        <v>85</v>
      </c>
      <c r="AC5150">
        <v>0</v>
      </c>
      <c r="AD5150">
        <v>1</v>
      </c>
      <c r="AE5150">
        <v>0</v>
      </c>
      <c r="AF5150">
        <v>0</v>
      </c>
      <c r="AG5150">
        <v>1</v>
      </c>
      <c r="AJ5150">
        <v>1</v>
      </c>
      <c r="AK5150">
        <v>0</v>
      </c>
      <c r="AL5150">
        <v>0</v>
      </c>
      <c r="AM5150">
        <v>1</v>
      </c>
      <c r="AN5150">
        <v>0</v>
      </c>
      <c r="AO5150">
        <v>1</v>
      </c>
      <c r="AP5150">
        <v>1</v>
      </c>
      <c r="AQ5150">
        <v>1</v>
      </c>
      <c r="AR5150">
        <v>1</v>
      </c>
      <c r="AS5150">
        <v>0</v>
      </c>
      <c r="AT5150">
        <v>1</v>
      </c>
      <c r="AV5150">
        <v>1</v>
      </c>
      <c r="AW5150">
        <v>1</v>
      </c>
    </row>
    <row r="5151" spans="1:49" x14ac:dyDescent="0.25">
      <c r="A5151" t="str">
        <f>"5147"</f>
        <v>5147</v>
      </c>
      <c r="B5151" t="str">
        <f t="shared" si="298"/>
        <v>1</v>
      </c>
      <c r="C5151" t="str">
        <f t="shared" si="297"/>
        <v>225</v>
      </c>
      <c r="D5151" t="str">
        <f>"1"</f>
        <v>1</v>
      </c>
      <c r="E5151" t="str">
        <f>"1-225-1"</f>
        <v>1-225-1</v>
      </c>
      <c r="F5151" t="s">
        <v>83</v>
      </c>
      <c r="G5151" t="s">
        <v>84</v>
      </c>
      <c r="H5151" t="s">
        <v>92</v>
      </c>
      <c r="I5151">
        <v>0</v>
      </c>
      <c r="J5151">
        <v>1</v>
      </c>
      <c r="N5151">
        <v>1</v>
      </c>
      <c r="O5151">
        <v>0</v>
      </c>
      <c r="P5151">
        <v>0</v>
      </c>
      <c r="Q5151">
        <v>0</v>
      </c>
      <c r="R5151">
        <v>0</v>
      </c>
      <c r="S5151">
        <v>0</v>
      </c>
      <c r="T5151">
        <v>0</v>
      </c>
      <c r="W5151">
        <v>0</v>
      </c>
      <c r="X5151">
        <v>1</v>
      </c>
      <c r="Y5151">
        <v>1</v>
      </c>
      <c r="Z5151">
        <v>1</v>
      </c>
      <c r="AA5151">
        <v>0</v>
      </c>
      <c r="AB5151">
        <v>0</v>
      </c>
    </row>
    <row r="5152" spans="1:49" x14ac:dyDescent="0.25">
      <c r="A5152" t="str">
        <f>"5148"</f>
        <v>5148</v>
      </c>
      <c r="B5152" t="str">
        <f t="shared" si="298"/>
        <v>1</v>
      </c>
      <c r="C5152" t="str">
        <f t="shared" si="297"/>
        <v>225</v>
      </c>
      <c r="D5152" t="str">
        <f>"5"</f>
        <v>5</v>
      </c>
      <c r="E5152" t="str">
        <f>"1-225-5"</f>
        <v>1-225-5</v>
      </c>
      <c r="F5152" t="s">
        <v>83</v>
      </c>
      <c r="G5152" t="s">
        <v>84</v>
      </c>
      <c r="H5152" t="s">
        <v>92</v>
      </c>
      <c r="I5152">
        <v>1</v>
      </c>
      <c r="J5152">
        <v>1</v>
      </c>
      <c r="N5152">
        <v>1</v>
      </c>
      <c r="O5152">
        <v>1</v>
      </c>
      <c r="P5152">
        <v>1</v>
      </c>
      <c r="Q5152">
        <v>1</v>
      </c>
      <c r="R5152">
        <v>1</v>
      </c>
      <c r="S5152">
        <v>1</v>
      </c>
      <c r="T5152">
        <v>1</v>
      </c>
      <c r="W5152">
        <v>1</v>
      </c>
      <c r="X5152">
        <v>1</v>
      </c>
      <c r="Y5152">
        <v>1</v>
      </c>
      <c r="Z5152">
        <v>1</v>
      </c>
      <c r="AA5152">
        <v>1</v>
      </c>
      <c r="AB5152">
        <v>1</v>
      </c>
    </row>
    <row r="5153" spans="1:49" x14ac:dyDescent="0.25">
      <c r="A5153" t="str">
        <f>"5149"</f>
        <v>5149</v>
      </c>
      <c r="B5153" t="str">
        <f t="shared" si="298"/>
        <v>1</v>
      </c>
      <c r="C5153" t="str">
        <f t="shared" si="297"/>
        <v>225</v>
      </c>
      <c r="D5153" t="str">
        <f>"7"</f>
        <v>7</v>
      </c>
      <c r="E5153" t="str">
        <f>"1-225-7"</f>
        <v>1-225-7</v>
      </c>
      <c r="F5153" t="s">
        <v>83</v>
      </c>
      <c r="G5153" t="s">
        <v>86</v>
      </c>
      <c r="H5153" t="s">
        <v>87</v>
      </c>
      <c r="AC5153">
        <v>0</v>
      </c>
      <c r="AD5153">
        <v>1</v>
      </c>
      <c r="AE5153">
        <v>0</v>
      </c>
      <c r="AF5153">
        <v>0</v>
      </c>
      <c r="AH5153">
        <v>0</v>
      </c>
      <c r="AI5153">
        <v>1</v>
      </c>
      <c r="AJ5153">
        <v>0</v>
      </c>
      <c r="AK5153">
        <v>0</v>
      </c>
      <c r="AL5153">
        <v>0</v>
      </c>
      <c r="AM5153">
        <v>0</v>
      </c>
      <c r="AN5153">
        <v>0</v>
      </c>
      <c r="AO5153">
        <v>0</v>
      </c>
      <c r="AP5153">
        <v>0</v>
      </c>
      <c r="AQ5153">
        <v>0</v>
      </c>
      <c r="AU5153">
        <v>0</v>
      </c>
      <c r="AV5153">
        <v>0</v>
      </c>
      <c r="AW5153">
        <v>1</v>
      </c>
    </row>
    <row r="5154" spans="1:49" x14ac:dyDescent="0.25">
      <c r="A5154" t="str">
        <f>"5150"</f>
        <v>5150</v>
      </c>
      <c r="B5154" t="str">
        <f t="shared" si="298"/>
        <v>1</v>
      </c>
      <c r="C5154" t="str">
        <f t="shared" si="297"/>
        <v>225</v>
      </c>
      <c r="D5154" t="str">
        <f>"4"</f>
        <v>4</v>
      </c>
      <c r="E5154" t="str">
        <f>"1-225-4"</f>
        <v>1-225-4</v>
      </c>
      <c r="F5154" t="s">
        <v>83</v>
      </c>
      <c r="G5154" t="s">
        <v>84</v>
      </c>
      <c r="H5154" t="s">
        <v>92</v>
      </c>
      <c r="I5154">
        <v>1</v>
      </c>
      <c r="J5154">
        <v>1</v>
      </c>
      <c r="N5154">
        <v>1</v>
      </c>
      <c r="O5154">
        <v>1</v>
      </c>
      <c r="P5154">
        <v>1</v>
      </c>
      <c r="Q5154">
        <v>1</v>
      </c>
      <c r="R5154">
        <v>1</v>
      </c>
      <c r="S5154">
        <v>1</v>
      </c>
      <c r="T5154">
        <v>1</v>
      </c>
      <c r="W5154">
        <v>1</v>
      </c>
      <c r="X5154">
        <v>1</v>
      </c>
      <c r="Y5154">
        <v>1</v>
      </c>
      <c r="Z5154">
        <v>1</v>
      </c>
      <c r="AA5154">
        <v>1</v>
      </c>
      <c r="AB5154">
        <v>1</v>
      </c>
    </row>
    <row r="5155" spans="1:49" x14ac:dyDescent="0.25">
      <c r="A5155" t="str">
        <f>"5151"</f>
        <v>5151</v>
      </c>
      <c r="B5155" t="str">
        <f t="shared" si="298"/>
        <v>1</v>
      </c>
      <c r="C5155" t="str">
        <f t="shared" si="297"/>
        <v>225</v>
      </c>
      <c r="D5155" t="str">
        <f>"3"</f>
        <v>3</v>
      </c>
      <c r="E5155" t="str">
        <f>"1-225-3"</f>
        <v>1-225-3</v>
      </c>
      <c r="F5155" t="s">
        <v>83</v>
      </c>
      <c r="G5155" t="s">
        <v>88</v>
      </c>
      <c r="H5155" t="s">
        <v>89</v>
      </c>
      <c r="AC5155">
        <v>1</v>
      </c>
      <c r="AD5155">
        <v>0</v>
      </c>
      <c r="AE5155">
        <v>0</v>
      </c>
      <c r="AF5155">
        <v>0</v>
      </c>
      <c r="AH5155">
        <v>1</v>
      </c>
      <c r="AI5155">
        <v>0</v>
      </c>
      <c r="AJ5155">
        <v>1</v>
      </c>
      <c r="AK5155">
        <v>0</v>
      </c>
      <c r="AL5155">
        <v>0</v>
      </c>
      <c r="AM5155">
        <v>0</v>
      </c>
      <c r="AN5155">
        <v>1</v>
      </c>
      <c r="AO5155">
        <v>1</v>
      </c>
      <c r="AP5155">
        <v>1</v>
      </c>
      <c r="AQ5155">
        <v>1</v>
      </c>
      <c r="AR5155">
        <v>1</v>
      </c>
      <c r="AS5155">
        <v>1</v>
      </c>
      <c r="AT5155">
        <v>0</v>
      </c>
      <c r="AV5155">
        <v>1</v>
      </c>
      <c r="AW5155">
        <v>1</v>
      </c>
    </row>
    <row r="5156" spans="1:49" x14ac:dyDescent="0.25">
      <c r="A5156" t="str">
        <f>"5152"</f>
        <v>5152</v>
      </c>
      <c r="B5156" t="str">
        <f t="shared" si="298"/>
        <v>1</v>
      </c>
      <c r="C5156" t="str">
        <f t="shared" si="297"/>
        <v>225</v>
      </c>
      <c r="D5156" t="str">
        <f>"8"</f>
        <v>8</v>
      </c>
      <c r="E5156" t="str">
        <f>"1-225-8"</f>
        <v>1-225-8</v>
      </c>
      <c r="F5156" t="s">
        <v>83</v>
      </c>
      <c r="G5156" t="s">
        <v>86</v>
      </c>
      <c r="H5156" t="s">
        <v>87</v>
      </c>
      <c r="AC5156">
        <v>0</v>
      </c>
      <c r="AD5156">
        <v>0</v>
      </c>
      <c r="AE5156">
        <v>0</v>
      </c>
      <c r="AF5156">
        <v>0</v>
      </c>
      <c r="AH5156">
        <v>0</v>
      </c>
      <c r="AI5156">
        <v>1</v>
      </c>
      <c r="AJ5156">
        <v>0</v>
      </c>
      <c r="AK5156">
        <v>0</v>
      </c>
      <c r="AL5156">
        <v>0</v>
      </c>
      <c r="AM5156">
        <v>0</v>
      </c>
      <c r="AN5156">
        <v>1</v>
      </c>
      <c r="AO5156">
        <v>1</v>
      </c>
      <c r="AP5156">
        <v>1</v>
      </c>
      <c r="AQ5156">
        <v>1</v>
      </c>
      <c r="AU5156">
        <v>1</v>
      </c>
      <c r="AV5156">
        <v>1</v>
      </c>
      <c r="AW5156">
        <v>1</v>
      </c>
    </row>
    <row r="5157" spans="1:49" x14ac:dyDescent="0.25">
      <c r="A5157" t="str">
        <f>"5153"</f>
        <v>5153</v>
      </c>
      <c r="B5157" t="str">
        <f t="shared" si="298"/>
        <v>1</v>
      </c>
      <c r="C5157" t="str">
        <f t="shared" ref="C5157:C5181" si="299">"226"</f>
        <v>226</v>
      </c>
      <c r="D5157" t="str">
        <f>"25"</f>
        <v>25</v>
      </c>
      <c r="E5157" t="str">
        <f>"1-226-25"</f>
        <v>1-226-25</v>
      </c>
      <c r="F5157" t="s">
        <v>83</v>
      </c>
      <c r="G5157" t="s">
        <v>84</v>
      </c>
      <c r="H5157" t="s">
        <v>92</v>
      </c>
      <c r="I5157">
        <v>1</v>
      </c>
      <c r="J5157">
        <v>1</v>
      </c>
      <c r="N5157">
        <v>1</v>
      </c>
      <c r="O5157">
        <v>1</v>
      </c>
      <c r="P5157">
        <v>1</v>
      </c>
      <c r="Q5157">
        <v>1</v>
      </c>
      <c r="R5157">
        <v>1</v>
      </c>
      <c r="S5157">
        <v>1</v>
      </c>
      <c r="T5157">
        <v>1</v>
      </c>
      <c r="W5157">
        <v>1</v>
      </c>
      <c r="X5157">
        <v>1</v>
      </c>
      <c r="Y5157">
        <v>1</v>
      </c>
      <c r="Z5157">
        <v>1</v>
      </c>
      <c r="AA5157">
        <v>1</v>
      </c>
      <c r="AB5157">
        <v>1</v>
      </c>
    </row>
    <row r="5158" spans="1:49" x14ac:dyDescent="0.25">
      <c r="A5158" t="str">
        <f>"5154"</f>
        <v>5154</v>
      </c>
      <c r="B5158" t="str">
        <f t="shared" si="298"/>
        <v>1</v>
      </c>
      <c r="C5158" t="str">
        <f t="shared" si="299"/>
        <v>226</v>
      </c>
      <c r="D5158" t="str">
        <f>"24"</f>
        <v>24</v>
      </c>
      <c r="E5158" t="str">
        <f>"1-226-24"</f>
        <v>1-226-24</v>
      </c>
      <c r="F5158" t="s">
        <v>83</v>
      </c>
      <c r="G5158" t="s">
        <v>84</v>
      </c>
      <c r="H5158" t="s">
        <v>92</v>
      </c>
      <c r="I5158">
        <v>1</v>
      </c>
      <c r="J5158">
        <v>1</v>
      </c>
      <c r="N5158">
        <v>1</v>
      </c>
      <c r="O5158">
        <v>1</v>
      </c>
      <c r="P5158">
        <v>0</v>
      </c>
      <c r="Q5158">
        <v>0</v>
      </c>
      <c r="R5158">
        <v>1</v>
      </c>
      <c r="S5158">
        <v>1</v>
      </c>
      <c r="T5158">
        <v>1</v>
      </c>
      <c r="W5158">
        <v>1</v>
      </c>
      <c r="X5158">
        <v>1</v>
      </c>
      <c r="Y5158">
        <v>1</v>
      </c>
      <c r="Z5158">
        <v>1</v>
      </c>
      <c r="AA5158">
        <v>1</v>
      </c>
      <c r="AB5158">
        <v>0</v>
      </c>
    </row>
    <row r="5159" spans="1:49" x14ac:dyDescent="0.25">
      <c r="A5159" t="str">
        <f>"5155"</f>
        <v>5155</v>
      </c>
      <c r="B5159" t="str">
        <f t="shared" si="298"/>
        <v>1</v>
      </c>
      <c r="C5159" t="str">
        <f t="shared" si="299"/>
        <v>226</v>
      </c>
      <c r="D5159" t="str">
        <f>"15"</f>
        <v>15</v>
      </c>
      <c r="E5159" t="str">
        <f>"1-226-15"</f>
        <v>1-226-15</v>
      </c>
      <c r="F5159" t="s">
        <v>83</v>
      </c>
      <c r="G5159" t="s">
        <v>90</v>
      </c>
      <c r="H5159" t="s">
        <v>91</v>
      </c>
      <c r="AC5159">
        <v>1</v>
      </c>
      <c r="AD5159">
        <v>0</v>
      </c>
      <c r="AE5159">
        <v>0</v>
      </c>
      <c r="AF5159">
        <v>0</v>
      </c>
      <c r="AH5159">
        <v>1</v>
      </c>
      <c r="AI5159">
        <v>0</v>
      </c>
      <c r="AJ5159">
        <v>1</v>
      </c>
      <c r="AK5159">
        <v>0</v>
      </c>
      <c r="AL5159">
        <v>0</v>
      </c>
      <c r="AM5159">
        <v>0</v>
      </c>
      <c r="AN5159">
        <v>1</v>
      </c>
      <c r="AO5159">
        <v>0</v>
      </c>
      <c r="AP5159">
        <v>0</v>
      </c>
      <c r="AQ5159">
        <v>0</v>
      </c>
      <c r="AR5159">
        <v>0</v>
      </c>
      <c r="AU5159">
        <v>0</v>
      </c>
      <c r="AV5159">
        <v>0</v>
      </c>
      <c r="AW5159">
        <v>0</v>
      </c>
    </row>
    <row r="5160" spans="1:49" x14ac:dyDescent="0.25">
      <c r="A5160" t="str">
        <f>"5156"</f>
        <v>5156</v>
      </c>
      <c r="B5160" t="str">
        <f t="shared" si="298"/>
        <v>1</v>
      </c>
      <c r="C5160" t="str">
        <f t="shared" si="299"/>
        <v>226</v>
      </c>
      <c r="D5160" t="str">
        <f>"4"</f>
        <v>4</v>
      </c>
      <c r="E5160" t="str">
        <f>"1-226-4"</f>
        <v>1-226-4</v>
      </c>
      <c r="F5160" t="s">
        <v>83</v>
      </c>
      <c r="G5160" t="s">
        <v>84</v>
      </c>
      <c r="H5160" t="s">
        <v>85</v>
      </c>
      <c r="AC5160">
        <v>1</v>
      </c>
      <c r="AD5160">
        <v>0</v>
      </c>
      <c r="AE5160">
        <v>0</v>
      </c>
      <c r="AF5160">
        <v>0</v>
      </c>
      <c r="AG5160">
        <v>1</v>
      </c>
      <c r="AJ5160">
        <v>1</v>
      </c>
      <c r="AK5160">
        <v>0</v>
      </c>
      <c r="AL5160">
        <v>1</v>
      </c>
      <c r="AM5160">
        <v>0</v>
      </c>
      <c r="AN5160">
        <v>0</v>
      </c>
      <c r="AO5160">
        <v>1</v>
      </c>
      <c r="AP5160">
        <v>1</v>
      </c>
      <c r="AQ5160">
        <v>1</v>
      </c>
      <c r="AR5160">
        <v>1</v>
      </c>
      <c r="AS5160">
        <v>1</v>
      </c>
      <c r="AT5160">
        <v>0</v>
      </c>
      <c r="AV5160">
        <v>1</v>
      </c>
      <c r="AW5160">
        <v>1</v>
      </c>
    </row>
    <row r="5161" spans="1:49" x14ac:dyDescent="0.25">
      <c r="A5161" t="str">
        <f>"5157"</f>
        <v>5157</v>
      </c>
      <c r="B5161" t="str">
        <f t="shared" si="298"/>
        <v>1</v>
      </c>
      <c r="C5161" t="str">
        <f t="shared" si="299"/>
        <v>226</v>
      </c>
      <c r="D5161" t="str">
        <f>"23"</f>
        <v>23</v>
      </c>
      <c r="E5161" t="str">
        <f>"1-226-23"</f>
        <v>1-226-23</v>
      </c>
      <c r="F5161" t="s">
        <v>83</v>
      </c>
      <c r="G5161" t="s">
        <v>84</v>
      </c>
      <c r="H5161" t="s">
        <v>85</v>
      </c>
      <c r="AC5161">
        <v>0</v>
      </c>
      <c r="AD5161">
        <v>1</v>
      </c>
      <c r="AE5161">
        <v>0</v>
      </c>
      <c r="AF5161">
        <v>0</v>
      </c>
      <c r="AG5161">
        <v>0</v>
      </c>
      <c r="AJ5161">
        <v>0</v>
      </c>
      <c r="AK5161">
        <v>1</v>
      </c>
      <c r="AL5161">
        <v>0</v>
      </c>
      <c r="AM5161">
        <v>0</v>
      </c>
      <c r="AN5161">
        <v>1</v>
      </c>
      <c r="AO5161">
        <v>0</v>
      </c>
      <c r="AP5161">
        <v>0</v>
      </c>
      <c r="AQ5161">
        <v>0</v>
      </c>
      <c r="AR5161">
        <v>0</v>
      </c>
      <c r="AS5161">
        <v>0</v>
      </c>
      <c r="AT5161">
        <v>1</v>
      </c>
      <c r="AV5161">
        <v>0</v>
      </c>
      <c r="AW5161">
        <v>0</v>
      </c>
    </row>
    <row r="5162" spans="1:49" x14ac:dyDescent="0.25">
      <c r="A5162" t="str">
        <f>"5158"</f>
        <v>5158</v>
      </c>
      <c r="B5162" t="str">
        <f t="shared" si="298"/>
        <v>1</v>
      </c>
      <c r="C5162" t="str">
        <f t="shared" si="299"/>
        <v>226</v>
      </c>
      <c r="D5162" t="str">
        <f>"22"</f>
        <v>22</v>
      </c>
      <c r="E5162" t="str">
        <f>"1-226-22"</f>
        <v>1-226-22</v>
      </c>
      <c r="F5162" t="s">
        <v>83</v>
      </c>
      <c r="G5162" t="s">
        <v>84</v>
      </c>
      <c r="H5162" t="s">
        <v>92</v>
      </c>
      <c r="I5162">
        <v>1</v>
      </c>
      <c r="J5162">
        <v>1</v>
      </c>
      <c r="N5162">
        <v>1</v>
      </c>
      <c r="O5162">
        <v>1</v>
      </c>
      <c r="P5162">
        <v>0</v>
      </c>
      <c r="Q5162">
        <v>1</v>
      </c>
      <c r="R5162">
        <v>1</v>
      </c>
      <c r="S5162">
        <v>1</v>
      </c>
      <c r="T5162">
        <v>1</v>
      </c>
      <c r="W5162">
        <v>1</v>
      </c>
      <c r="X5162">
        <v>1</v>
      </c>
      <c r="Y5162">
        <v>1</v>
      </c>
      <c r="Z5162">
        <v>1</v>
      </c>
      <c r="AA5162">
        <v>1</v>
      </c>
      <c r="AB5162">
        <v>1</v>
      </c>
    </row>
    <row r="5163" spans="1:49" x14ac:dyDescent="0.25">
      <c r="A5163" t="str">
        <f>"5159"</f>
        <v>5159</v>
      </c>
      <c r="B5163" t="str">
        <f t="shared" si="298"/>
        <v>1</v>
      </c>
      <c r="C5163" t="str">
        <f t="shared" si="299"/>
        <v>226</v>
      </c>
      <c r="D5163" t="str">
        <f>"16"</f>
        <v>16</v>
      </c>
      <c r="E5163" t="str">
        <f>"1-226-16"</f>
        <v>1-226-16</v>
      </c>
      <c r="F5163" t="s">
        <v>83</v>
      </c>
      <c r="G5163" t="s">
        <v>84</v>
      </c>
      <c r="H5163" t="s">
        <v>92</v>
      </c>
      <c r="I5163">
        <v>1</v>
      </c>
      <c r="J5163">
        <v>1</v>
      </c>
      <c r="N5163">
        <v>1</v>
      </c>
      <c r="O5163">
        <v>1</v>
      </c>
      <c r="P5163">
        <v>1</v>
      </c>
      <c r="Q5163">
        <v>1</v>
      </c>
      <c r="R5163">
        <v>1</v>
      </c>
      <c r="S5163">
        <v>1</v>
      </c>
      <c r="T5163">
        <v>1</v>
      </c>
      <c r="W5163">
        <v>1</v>
      </c>
      <c r="X5163">
        <v>1</v>
      </c>
      <c r="Y5163">
        <v>1</v>
      </c>
      <c r="Z5163">
        <v>1</v>
      </c>
      <c r="AA5163">
        <v>1</v>
      </c>
      <c r="AB5163">
        <v>1</v>
      </c>
    </row>
    <row r="5164" spans="1:49" x14ac:dyDescent="0.25">
      <c r="A5164" t="str">
        <f>"5160"</f>
        <v>5160</v>
      </c>
      <c r="B5164" t="str">
        <f t="shared" si="298"/>
        <v>1</v>
      </c>
      <c r="C5164" t="str">
        <f t="shared" si="299"/>
        <v>226</v>
      </c>
      <c r="D5164" t="str">
        <f>"9"</f>
        <v>9</v>
      </c>
      <c r="E5164" t="str">
        <f>"1-226-9"</f>
        <v>1-226-9</v>
      </c>
      <c r="F5164" t="s">
        <v>83</v>
      </c>
      <c r="G5164" t="s">
        <v>84</v>
      </c>
      <c r="H5164" t="s">
        <v>92</v>
      </c>
      <c r="I5164">
        <v>1</v>
      </c>
      <c r="J5164">
        <v>1</v>
      </c>
      <c r="N5164">
        <v>1</v>
      </c>
      <c r="O5164">
        <v>1</v>
      </c>
      <c r="P5164">
        <v>1</v>
      </c>
      <c r="Q5164">
        <v>1</v>
      </c>
      <c r="R5164">
        <v>1</v>
      </c>
      <c r="S5164">
        <v>1</v>
      </c>
      <c r="T5164">
        <v>1</v>
      </c>
      <c r="W5164">
        <v>1</v>
      </c>
      <c r="X5164">
        <v>1</v>
      </c>
      <c r="Y5164">
        <v>1</v>
      </c>
      <c r="Z5164">
        <v>1</v>
      </c>
      <c r="AA5164">
        <v>1</v>
      </c>
      <c r="AB5164">
        <v>1</v>
      </c>
    </row>
    <row r="5165" spans="1:49" x14ac:dyDescent="0.25">
      <c r="A5165" t="str">
        <f>"5161"</f>
        <v>5161</v>
      </c>
      <c r="B5165" t="str">
        <f t="shared" si="298"/>
        <v>1</v>
      </c>
      <c r="C5165" t="str">
        <f t="shared" si="299"/>
        <v>226</v>
      </c>
      <c r="D5165" t="str">
        <f>"6"</f>
        <v>6</v>
      </c>
      <c r="E5165" t="str">
        <f>"1-226-6"</f>
        <v>1-226-6</v>
      </c>
      <c r="F5165" t="s">
        <v>83</v>
      </c>
      <c r="G5165" t="s">
        <v>90</v>
      </c>
      <c r="H5165" t="s">
        <v>94</v>
      </c>
      <c r="I5165">
        <v>1</v>
      </c>
      <c r="K5165">
        <v>0</v>
      </c>
      <c r="L5165">
        <v>1</v>
      </c>
      <c r="M5165">
        <v>0</v>
      </c>
      <c r="N5165">
        <v>1</v>
      </c>
      <c r="O5165">
        <v>1</v>
      </c>
      <c r="P5165">
        <v>1</v>
      </c>
      <c r="Q5165">
        <v>1</v>
      </c>
      <c r="R5165">
        <v>1</v>
      </c>
      <c r="S5165">
        <v>1</v>
      </c>
      <c r="U5165">
        <v>0</v>
      </c>
      <c r="V5165">
        <v>1</v>
      </c>
      <c r="W5165">
        <v>1</v>
      </c>
      <c r="X5165">
        <v>1</v>
      </c>
      <c r="Y5165">
        <v>1</v>
      </c>
      <c r="Z5165">
        <v>1</v>
      </c>
      <c r="AA5165">
        <v>1</v>
      </c>
      <c r="AB5165">
        <v>1</v>
      </c>
    </row>
    <row r="5166" spans="1:49" x14ac:dyDescent="0.25">
      <c r="A5166" t="str">
        <f>"5162"</f>
        <v>5162</v>
      </c>
      <c r="B5166" t="str">
        <f t="shared" si="298"/>
        <v>1</v>
      </c>
      <c r="C5166" t="str">
        <f t="shared" si="299"/>
        <v>226</v>
      </c>
      <c r="D5166" t="str">
        <f>"18"</f>
        <v>18</v>
      </c>
      <c r="E5166" t="str">
        <f>"1-226-18"</f>
        <v>1-226-18</v>
      </c>
      <c r="F5166" t="s">
        <v>83</v>
      </c>
      <c r="G5166" t="s">
        <v>84</v>
      </c>
      <c r="H5166" t="s">
        <v>85</v>
      </c>
      <c r="AC5166">
        <v>0</v>
      </c>
      <c r="AD5166">
        <v>0</v>
      </c>
      <c r="AE5166">
        <v>0</v>
      </c>
      <c r="AF5166">
        <v>0</v>
      </c>
      <c r="AG5166">
        <v>0</v>
      </c>
      <c r="AJ5166">
        <v>0</v>
      </c>
      <c r="AK5166">
        <v>0</v>
      </c>
      <c r="AL5166">
        <v>0</v>
      </c>
      <c r="AM5166">
        <v>0</v>
      </c>
      <c r="AN5166">
        <v>1</v>
      </c>
      <c r="AO5166">
        <v>0</v>
      </c>
      <c r="AP5166">
        <v>0</v>
      </c>
      <c r="AQ5166">
        <v>0</v>
      </c>
      <c r="AR5166">
        <v>0</v>
      </c>
      <c r="AS5166">
        <v>0</v>
      </c>
      <c r="AT5166">
        <v>0</v>
      </c>
      <c r="AV5166">
        <v>0</v>
      </c>
      <c r="AW5166">
        <v>0</v>
      </c>
    </row>
    <row r="5167" spans="1:49" x14ac:dyDescent="0.25">
      <c r="A5167" t="str">
        <f>"5163"</f>
        <v>5163</v>
      </c>
      <c r="B5167" t="str">
        <f t="shared" si="298"/>
        <v>1</v>
      </c>
      <c r="C5167" t="str">
        <f t="shared" si="299"/>
        <v>226</v>
      </c>
      <c r="D5167" t="str">
        <f>"10"</f>
        <v>10</v>
      </c>
      <c r="E5167" t="str">
        <f>"1-226-10"</f>
        <v>1-226-10</v>
      </c>
      <c r="F5167" t="s">
        <v>83</v>
      </c>
      <c r="G5167" t="s">
        <v>84</v>
      </c>
      <c r="H5167" t="s">
        <v>92</v>
      </c>
      <c r="I5167">
        <v>1</v>
      </c>
      <c r="J5167">
        <v>1</v>
      </c>
      <c r="N5167">
        <v>1</v>
      </c>
      <c r="O5167">
        <v>1</v>
      </c>
      <c r="P5167">
        <v>1</v>
      </c>
      <c r="Q5167">
        <v>1</v>
      </c>
      <c r="R5167">
        <v>1</v>
      </c>
      <c r="S5167">
        <v>1</v>
      </c>
      <c r="T5167">
        <v>1</v>
      </c>
      <c r="W5167">
        <v>1</v>
      </c>
      <c r="X5167">
        <v>1</v>
      </c>
      <c r="Y5167">
        <v>1</v>
      </c>
      <c r="Z5167">
        <v>1</v>
      </c>
      <c r="AA5167">
        <v>1</v>
      </c>
      <c r="AB5167">
        <v>1</v>
      </c>
    </row>
    <row r="5168" spans="1:49" x14ac:dyDescent="0.25">
      <c r="A5168" t="str">
        <f>"5164"</f>
        <v>5164</v>
      </c>
      <c r="B5168" t="str">
        <f t="shared" si="298"/>
        <v>1</v>
      </c>
      <c r="C5168" t="str">
        <f t="shared" si="299"/>
        <v>226</v>
      </c>
      <c r="D5168" t="str">
        <f>"1"</f>
        <v>1</v>
      </c>
      <c r="E5168" t="str">
        <f>"1-226-1"</f>
        <v>1-226-1</v>
      </c>
      <c r="F5168" t="s">
        <v>83</v>
      </c>
      <c r="G5168" t="s">
        <v>84</v>
      </c>
      <c r="H5168" t="s">
        <v>92</v>
      </c>
      <c r="I5168">
        <v>1</v>
      </c>
      <c r="J5168">
        <v>1</v>
      </c>
      <c r="N5168">
        <v>1</v>
      </c>
      <c r="O5168">
        <v>1</v>
      </c>
      <c r="P5168">
        <v>1</v>
      </c>
      <c r="Q5168">
        <v>1</v>
      </c>
      <c r="R5168">
        <v>1</v>
      </c>
      <c r="S5168">
        <v>1</v>
      </c>
      <c r="T5168">
        <v>1</v>
      </c>
      <c r="W5168">
        <v>1</v>
      </c>
      <c r="X5168">
        <v>1</v>
      </c>
      <c r="Y5168">
        <v>1</v>
      </c>
      <c r="Z5168">
        <v>1</v>
      </c>
      <c r="AA5168">
        <v>1</v>
      </c>
      <c r="AB5168">
        <v>1</v>
      </c>
    </row>
    <row r="5169" spans="1:49" x14ac:dyDescent="0.25">
      <c r="A5169" t="str">
        <f>"5165"</f>
        <v>5165</v>
      </c>
      <c r="B5169" t="str">
        <f t="shared" si="298"/>
        <v>1</v>
      </c>
      <c r="C5169" t="str">
        <f t="shared" si="299"/>
        <v>226</v>
      </c>
      <c r="D5169" t="str">
        <f>"17"</f>
        <v>17</v>
      </c>
      <c r="E5169" t="str">
        <f>"1-226-17"</f>
        <v>1-226-17</v>
      </c>
      <c r="F5169" t="s">
        <v>83</v>
      </c>
      <c r="G5169" t="s">
        <v>84</v>
      </c>
      <c r="H5169" t="s">
        <v>92</v>
      </c>
      <c r="I5169">
        <v>1</v>
      </c>
      <c r="J5169">
        <v>1</v>
      </c>
      <c r="N5169">
        <v>1</v>
      </c>
      <c r="O5169">
        <v>1</v>
      </c>
      <c r="P5169">
        <v>0</v>
      </c>
      <c r="Q5169">
        <v>0</v>
      </c>
      <c r="R5169">
        <v>0</v>
      </c>
      <c r="S5169">
        <v>0</v>
      </c>
      <c r="T5169">
        <v>0</v>
      </c>
      <c r="W5169">
        <v>0</v>
      </c>
      <c r="X5169">
        <v>0</v>
      </c>
      <c r="Y5169">
        <v>0</v>
      </c>
      <c r="Z5169">
        <v>0</v>
      </c>
      <c r="AA5169">
        <v>0</v>
      </c>
      <c r="AB5169">
        <v>0</v>
      </c>
    </row>
    <row r="5170" spans="1:49" x14ac:dyDescent="0.25">
      <c r="A5170" t="str">
        <f>"5166"</f>
        <v>5166</v>
      </c>
      <c r="B5170" t="str">
        <f t="shared" si="298"/>
        <v>1</v>
      </c>
      <c r="C5170" t="str">
        <f t="shared" si="299"/>
        <v>226</v>
      </c>
      <c r="D5170" t="str">
        <f>"7"</f>
        <v>7</v>
      </c>
      <c r="E5170" t="str">
        <f>"1-226-7"</f>
        <v>1-226-7</v>
      </c>
      <c r="F5170" t="s">
        <v>83</v>
      </c>
      <c r="G5170" t="s">
        <v>84</v>
      </c>
      <c r="H5170" t="s">
        <v>92</v>
      </c>
      <c r="I5170">
        <v>1</v>
      </c>
      <c r="J5170">
        <v>1</v>
      </c>
      <c r="N5170">
        <v>1</v>
      </c>
      <c r="O5170">
        <v>1</v>
      </c>
      <c r="P5170">
        <v>1</v>
      </c>
      <c r="Q5170">
        <v>1</v>
      </c>
      <c r="R5170">
        <v>1</v>
      </c>
      <c r="S5170">
        <v>1</v>
      </c>
      <c r="T5170">
        <v>0</v>
      </c>
      <c r="W5170">
        <v>1</v>
      </c>
      <c r="X5170">
        <v>1</v>
      </c>
      <c r="Y5170">
        <v>1</v>
      </c>
      <c r="Z5170">
        <v>1</v>
      </c>
      <c r="AA5170">
        <v>1</v>
      </c>
      <c r="AB5170">
        <v>1</v>
      </c>
    </row>
    <row r="5171" spans="1:49" x14ac:dyDescent="0.25">
      <c r="A5171" t="str">
        <f>"5167"</f>
        <v>5167</v>
      </c>
      <c r="B5171" t="str">
        <f t="shared" si="298"/>
        <v>1</v>
      </c>
      <c r="C5171" t="str">
        <f t="shared" si="299"/>
        <v>226</v>
      </c>
      <c r="D5171" t="str">
        <f>"19"</f>
        <v>19</v>
      </c>
      <c r="E5171" t="str">
        <f>"1-226-19"</f>
        <v>1-226-19</v>
      </c>
      <c r="F5171" t="s">
        <v>83</v>
      </c>
      <c r="G5171" t="s">
        <v>84</v>
      </c>
      <c r="H5171" t="s">
        <v>85</v>
      </c>
      <c r="AC5171">
        <v>1</v>
      </c>
      <c r="AD5171">
        <v>0</v>
      </c>
      <c r="AE5171">
        <v>0</v>
      </c>
      <c r="AF5171">
        <v>0</v>
      </c>
      <c r="AG5171">
        <v>1</v>
      </c>
      <c r="AJ5171">
        <v>1</v>
      </c>
      <c r="AK5171">
        <v>0</v>
      </c>
      <c r="AL5171">
        <v>0</v>
      </c>
      <c r="AM5171">
        <v>0</v>
      </c>
      <c r="AN5171">
        <v>1</v>
      </c>
      <c r="AO5171">
        <v>1</v>
      </c>
      <c r="AP5171">
        <v>1</v>
      </c>
      <c r="AQ5171">
        <v>1</v>
      </c>
      <c r="AR5171">
        <v>1</v>
      </c>
      <c r="AS5171">
        <v>0</v>
      </c>
      <c r="AT5171">
        <v>1</v>
      </c>
      <c r="AV5171">
        <v>1</v>
      </c>
      <c r="AW5171">
        <v>1</v>
      </c>
    </row>
    <row r="5172" spans="1:49" x14ac:dyDescent="0.25">
      <c r="A5172" t="str">
        <f>"5168"</f>
        <v>5168</v>
      </c>
      <c r="B5172" t="str">
        <f t="shared" si="298"/>
        <v>1</v>
      </c>
      <c r="C5172" t="str">
        <f t="shared" si="299"/>
        <v>226</v>
      </c>
      <c r="D5172" t="str">
        <f>"12"</f>
        <v>12</v>
      </c>
      <c r="E5172" t="str">
        <f>"1-226-12"</f>
        <v>1-226-12</v>
      </c>
      <c r="F5172" t="s">
        <v>83</v>
      </c>
      <c r="G5172" t="s">
        <v>84</v>
      </c>
      <c r="H5172" t="s">
        <v>92</v>
      </c>
      <c r="I5172">
        <v>1</v>
      </c>
      <c r="J5172">
        <v>1</v>
      </c>
      <c r="N5172">
        <v>1</v>
      </c>
      <c r="O5172">
        <v>1</v>
      </c>
      <c r="P5172">
        <v>1</v>
      </c>
      <c r="Q5172">
        <v>1</v>
      </c>
      <c r="R5172">
        <v>1</v>
      </c>
      <c r="S5172">
        <v>1</v>
      </c>
      <c r="T5172">
        <v>1</v>
      </c>
      <c r="W5172">
        <v>1</v>
      </c>
      <c r="X5172">
        <v>1</v>
      </c>
      <c r="Y5172">
        <v>1</v>
      </c>
      <c r="Z5172">
        <v>1</v>
      </c>
      <c r="AA5172">
        <v>1</v>
      </c>
      <c r="AB5172">
        <v>1</v>
      </c>
    </row>
    <row r="5173" spans="1:49" x14ac:dyDescent="0.25">
      <c r="A5173" t="str">
        <f>"5169"</f>
        <v>5169</v>
      </c>
      <c r="B5173" t="str">
        <f t="shared" si="298"/>
        <v>1</v>
      </c>
      <c r="C5173" t="str">
        <f t="shared" si="299"/>
        <v>226</v>
      </c>
      <c r="D5173" t="str">
        <f>"2"</f>
        <v>2</v>
      </c>
      <c r="E5173" t="str">
        <f>"1-226-2"</f>
        <v>1-226-2</v>
      </c>
      <c r="F5173" t="s">
        <v>83</v>
      </c>
      <c r="G5173" t="s">
        <v>84</v>
      </c>
      <c r="H5173" t="s">
        <v>92</v>
      </c>
      <c r="I5173">
        <v>1</v>
      </c>
      <c r="J5173">
        <v>1</v>
      </c>
      <c r="N5173">
        <v>1</v>
      </c>
      <c r="O5173">
        <v>1</v>
      </c>
      <c r="P5173">
        <v>1</v>
      </c>
      <c r="Q5173">
        <v>1</v>
      </c>
      <c r="R5173">
        <v>1</v>
      </c>
      <c r="S5173">
        <v>1</v>
      </c>
      <c r="T5173">
        <v>1</v>
      </c>
      <c r="W5173">
        <v>1</v>
      </c>
      <c r="X5173">
        <v>1</v>
      </c>
      <c r="Y5173">
        <v>1</v>
      </c>
      <c r="Z5173">
        <v>1</v>
      </c>
      <c r="AA5173">
        <v>1</v>
      </c>
      <c r="AB5173">
        <v>1</v>
      </c>
    </row>
    <row r="5174" spans="1:49" x14ac:dyDescent="0.25">
      <c r="A5174" t="str">
        <f>"5170"</f>
        <v>5170</v>
      </c>
      <c r="B5174" t="str">
        <f t="shared" si="298"/>
        <v>1</v>
      </c>
      <c r="C5174" t="str">
        <f t="shared" si="299"/>
        <v>226</v>
      </c>
      <c r="D5174" t="str">
        <f>"20"</f>
        <v>20</v>
      </c>
      <c r="E5174" t="str">
        <f>"1-226-20"</f>
        <v>1-226-20</v>
      </c>
      <c r="F5174" t="s">
        <v>83</v>
      </c>
      <c r="G5174" t="s">
        <v>84</v>
      </c>
      <c r="H5174" t="s">
        <v>85</v>
      </c>
      <c r="AC5174">
        <v>0</v>
      </c>
      <c r="AD5174">
        <v>0</v>
      </c>
      <c r="AE5174">
        <v>0</v>
      </c>
      <c r="AF5174">
        <v>0</v>
      </c>
      <c r="AG5174">
        <v>0</v>
      </c>
      <c r="AJ5174">
        <v>0</v>
      </c>
      <c r="AK5174">
        <v>0</v>
      </c>
      <c r="AL5174">
        <v>0</v>
      </c>
      <c r="AM5174">
        <v>0</v>
      </c>
      <c r="AN5174">
        <v>1</v>
      </c>
      <c r="AO5174">
        <v>0</v>
      </c>
      <c r="AP5174">
        <v>0</v>
      </c>
      <c r="AQ5174">
        <v>0</v>
      </c>
      <c r="AR5174">
        <v>0</v>
      </c>
      <c r="AS5174">
        <v>0</v>
      </c>
      <c r="AT5174">
        <v>0</v>
      </c>
      <c r="AV5174">
        <v>0</v>
      </c>
      <c r="AW5174">
        <v>0</v>
      </c>
    </row>
    <row r="5175" spans="1:49" x14ac:dyDescent="0.25">
      <c r="A5175" t="str">
        <f>"5171"</f>
        <v>5171</v>
      </c>
      <c r="B5175" t="str">
        <f t="shared" si="298"/>
        <v>1</v>
      </c>
      <c r="C5175" t="str">
        <f t="shared" si="299"/>
        <v>226</v>
      </c>
      <c r="D5175" t="str">
        <f>"13"</f>
        <v>13</v>
      </c>
      <c r="E5175" t="str">
        <f>"1-226-13"</f>
        <v>1-226-13</v>
      </c>
      <c r="F5175" t="s">
        <v>83</v>
      </c>
      <c r="G5175" t="s">
        <v>84</v>
      </c>
      <c r="H5175" t="s">
        <v>92</v>
      </c>
      <c r="I5175">
        <v>1</v>
      </c>
      <c r="J5175">
        <v>1</v>
      </c>
      <c r="N5175">
        <v>1</v>
      </c>
      <c r="O5175">
        <v>1</v>
      </c>
      <c r="P5175">
        <v>1</v>
      </c>
      <c r="Q5175">
        <v>1</v>
      </c>
      <c r="R5175">
        <v>1</v>
      </c>
      <c r="S5175">
        <v>1</v>
      </c>
      <c r="T5175">
        <v>1</v>
      </c>
      <c r="W5175">
        <v>1</v>
      </c>
      <c r="X5175">
        <v>1</v>
      </c>
      <c r="Y5175">
        <v>1</v>
      </c>
      <c r="Z5175">
        <v>1</v>
      </c>
      <c r="AA5175">
        <v>1</v>
      </c>
      <c r="AB5175">
        <v>1</v>
      </c>
    </row>
    <row r="5176" spans="1:49" x14ac:dyDescent="0.25">
      <c r="A5176" t="str">
        <f>"5172"</f>
        <v>5172</v>
      </c>
      <c r="B5176" t="str">
        <f t="shared" si="298"/>
        <v>1</v>
      </c>
      <c r="C5176" t="str">
        <f t="shared" si="299"/>
        <v>226</v>
      </c>
      <c r="D5176" t="str">
        <f>"5"</f>
        <v>5</v>
      </c>
      <c r="E5176" t="str">
        <f>"1-226-5"</f>
        <v>1-226-5</v>
      </c>
      <c r="F5176" t="s">
        <v>83</v>
      </c>
      <c r="G5176" t="s">
        <v>84</v>
      </c>
      <c r="H5176" t="s">
        <v>85</v>
      </c>
      <c r="AC5176">
        <v>1</v>
      </c>
      <c r="AD5176">
        <v>0</v>
      </c>
      <c r="AE5176">
        <v>0</v>
      </c>
      <c r="AF5176">
        <v>0</v>
      </c>
      <c r="AG5176">
        <v>1</v>
      </c>
      <c r="AJ5176">
        <v>1</v>
      </c>
      <c r="AK5176">
        <v>0</v>
      </c>
      <c r="AL5176">
        <v>0</v>
      </c>
      <c r="AM5176">
        <v>1</v>
      </c>
      <c r="AN5176">
        <v>0</v>
      </c>
      <c r="AO5176">
        <v>1</v>
      </c>
      <c r="AP5176">
        <v>1</v>
      </c>
      <c r="AQ5176">
        <v>1</v>
      </c>
      <c r="AR5176">
        <v>1</v>
      </c>
      <c r="AS5176">
        <v>0</v>
      </c>
      <c r="AT5176">
        <v>1</v>
      </c>
      <c r="AV5176">
        <v>1</v>
      </c>
      <c r="AW5176">
        <v>1</v>
      </c>
    </row>
    <row r="5177" spans="1:49" x14ac:dyDescent="0.25">
      <c r="A5177" t="str">
        <f>"5173"</f>
        <v>5173</v>
      </c>
      <c r="B5177" t="str">
        <f t="shared" si="298"/>
        <v>1</v>
      </c>
      <c r="C5177" t="str">
        <f t="shared" si="299"/>
        <v>226</v>
      </c>
      <c r="D5177" t="str">
        <f>"21"</f>
        <v>21</v>
      </c>
      <c r="E5177" t="str">
        <f>"1-226-21"</f>
        <v>1-226-21</v>
      </c>
      <c r="F5177" t="s">
        <v>83</v>
      </c>
      <c r="G5177" t="s">
        <v>84</v>
      </c>
      <c r="H5177" t="s">
        <v>92</v>
      </c>
      <c r="I5177">
        <v>1</v>
      </c>
      <c r="J5177">
        <v>1</v>
      </c>
      <c r="N5177">
        <v>1</v>
      </c>
      <c r="O5177">
        <v>1</v>
      </c>
      <c r="P5177">
        <v>1</v>
      </c>
      <c r="Q5177">
        <v>1</v>
      </c>
      <c r="R5177">
        <v>1</v>
      </c>
      <c r="S5177">
        <v>1</v>
      </c>
      <c r="T5177">
        <v>1</v>
      </c>
      <c r="W5177">
        <v>1</v>
      </c>
      <c r="X5177">
        <v>1</v>
      </c>
      <c r="Y5177">
        <v>1</v>
      </c>
      <c r="Z5177">
        <v>1</v>
      </c>
      <c r="AA5177">
        <v>1</v>
      </c>
      <c r="AB5177">
        <v>1</v>
      </c>
    </row>
    <row r="5178" spans="1:49" x14ac:dyDescent="0.25">
      <c r="A5178" t="str">
        <f>"5174"</f>
        <v>5174</v>
      </c>
      <c r="B5178" t="str">
        <f t="shared" si="298"/>
        <v>1</v>
      </c>
      <c r="C5178" t="str">
        <f t="shared" si="299"/>
        <v>226</v>
      </c>
      <c r="D5178" t="str">
        <f>"14"</f>
        <v>14</v>
      </c>
      <c r="E5178" t="str">
        <f>"1-226-14"</f>
        <v>1-226-14</v>
      </c>
      <c r="F5178" t="s">
        <v>83</v>
      </c>
      <c r="G5178" t="s">
        <v>90</v>
      </c>
      <c r="H5178" t="s">
        <v>91</v>
      </c>
      <c r="AC5178">
        <v>0</v>
      </c>
      <c r="AD5178">
        <v>1</v>
      </c>
      <c r="AE5178">
        <v>0</v>
      </c>
      <c r="AF5178">
        <v>0</v>
      </c>
      <c r="AH5178">
        <v>0</v>
      </c>
      <c r="AI5178">
        <v>1</v>
      </c>
      <c r="AJ5178">
        <v>0</v>
      </c>
      <c r="AK5178">
        <v>1</v>
      </c>
      <c r="AL5178">
        <v>0</v>
      </c>
      <c r="AM5178">
        <v>1</v>
      </c>
      <c r="AN5178">
        <v>0</v>
      </c>
      <c r="AO5178">
        <v>1</v>
      </c>
      <c r="AP5178">
        <v>0</v>
      </c>
      <c r="AQ5178">
        <v>1</v>
      </c>
      <c r="AR5178">
        <v>1</v>
      </c>
      <c r="AU5178">
        <v>1</v>
      </c>
      <c r="AV5178">
        <v>1</v>
      </c>
      <c r="AW5178">
        <v>1</v>
      </c>
    </row>
    <row r="5179" spans="1:49" x14ac:dyDescent="0.25">
      <c r="A5179" t="str">
        <f>"5175"</f>
        <v>5175</v>
      </c>
      <c r="B5179" t="str">
        <f t="shared" si="298"/>
        <v>1</v>
      </c>
      <c r="C5179" t="str">
        <f t="shared" si="299"/>
        <v>226</v>
      </c>
      <c r="D5179" t="str">
        <f>"3"</f>
        <v>3</v>
      </c>
      <c r="E5179" t="str">
        <f>"1-226-3"</f>
        <v>1-226-3</v>
      </c>
      <c r="F5179" t="s">
        <v>83</v>
      </c>
      <c r="G5179" t="s">
        <v>84</v>
      </c>
      <c r="H5179" t="s">
        <v>85</v>
      </c>
      <c r="AC5179">
        <v>1</v>
      </c>
      <c r="AD5179">
        <v>0</v>
      </c>
      <c r="AE5179">
        <v>0</v>
      </c>
      <c r="AF5179">
        <v>0</v>
      </c>
      <c r="AG5179">
        <v>1</v>
      </c>
      <c r="AJ5179">
        <v>0</v>
      </c>
      <c r="AK5179">
        <v>1</v>
      </c>
      <c r="AL5179">
        <v>1</v>
      </c>
      <c r="AM5179">
        <v>0</v>
      </c>
      <c r="AN5179">
        <v>0</v>
      </c>
      <c r="AO5179">
        <v>1</v>
      </c>
      <c r="AP5179">
        <v>1</v>
      </c>
      <c r="AQ5179">
        <v>1</v>
      </c>
      <c r="AR5179">
        <v>1</v>
      </c>
      <c r="AS5179">
        <v>0</v>
      </c>
      <c r="AT5179">
        <v>1</v>
      </c>
      <c r="AV5179">
        <v>1</v>
      </c>
      <c r="AW5179">
        <v>1</v>
      </c>
    </row>
    <row r="5180" spans="1:49" x14ac:dyDescent="0.25">
      <c r="A5180" t="str">
        <f>"5176"</f>
        <v>5176</v>
      </c>
      <c r="B5180" t="str">
        <f t="shared" si="298"/>
        <v>1</v>
      </c>
      <c r="C5180" t="str">
        <f t="shared" si="299"/>
        <v>226</v>
      </c>
      <c r="D5180" t="str">
        <f>"8"</f>
        <v>8</v>
      </c>
      <c r="E5180" t="str">
        <f>"1-226-8"</f>
        <v>1-226-8</v>
      </c>
      <c r="F5180" t="s">
        <v>83</v>
      </c>
      <c r="G5180" t="s">
        <v>84</v>
      </c>
      <c r="H5180" t="s">
        <v>85</v>
      </c>
      <c r="AC5180">
        <v>0</v>
      </c>
      <c r="AD5180">
        <v>0</v>
      </c>
      <c r="AE5180">
        <v>0</v>
      </c>
      <c r="AF5180">
        <v>0</v>
      </c>
      <c r="AG5180">
        <v>1</v>
      </c>
      <c r="AJ5180">
        <v>0</v>
      </c>
      <c r="AK5180">
        <v>1</v>
      </c>
      <c r="AL5180">
        <v>0</v>
      </c>
      <c r="AM5180">
        <v>0</v>
      </c>
      <c r="AN5180">
        <v>1</v>
      </c>
      <c r="AO5180">
        <v>1</v>
      </c>
      <c r="AP5180">
        <v>1</v>
      </c>
      <c r="AQ5180">
        <v>1</v>
      </c>
      <c r="AR5180">
        <v>1</v>
      </c>
      <c r="AS5180">
        <v>0</v>
      </c>
      <c r="AT5180">
        <v>1</v>
      </c>
      <c r="AV5180">
        <v>1</v>
      </c>
      <c r="AW5180">
        <v>1</v>
      </c>
    </row>
    <row r="5181" spans="1:49" x14ac:dyDescent="0.25">
      <c r="A5181" t="str">
        <f>"5177"</f>
        <v>5177</v>
      </c>
      <c r="B5181" t="str">
        <f t="shared" si="298"/>
        <v>1</v>
      </c>
      <c r="C5181" t="str">
        <f t="shared" si="299"/>
        <v>226</v>
      </c>
      <c r="D5181" t="str">
        <f>"11"</f>
        <v>11</v>
      </c>
      <c r="E5181" t="str">
        <f>"1-226-11"</f>
        <v>1-226-11</v>
      </c>
      <c r="F5181" t="s">
        <v>83</v>
      </c>
      <c r="G5181" t="s">
        <v>84</v>
      </c>
      <c r="H5181" t="s">
        <v>92</v>
      </c>
      <c r="I5181">
        <v>0</v>
      </c>
      <c r="J5181">
        <v>0</v>
      </c>
      <c r="N5181">
        <v>0</v>
      </c>
      <c r="O5181">
        <v>0</v>
      </c>
      <c r="P5181">
        <v>0</v>
      </c>
      <c r="Q5181">
        <v>0</v>
      </c>
      <c r="R5181">
        <v>0</v>
      </c>
      <c r="S5181">
        <v>0</v>
      </c>
      <c r="T5181">
        <v>0</v>
      </c>
      <c r="W5181">
        <v>0</v>
      </c>
      <c r="X5181">
        <v>0</v>
      </c>
      <c r="Y5181">
        <v>0</v>
      </c>
      <c r="Z5181">
        <v>0</v>
      </c>
      <c r="AA5181">
        <v>0</v>
      </c>
      <c r="AB5181">
        <v>0</v>
      </c>
    </row>
    <row r="5182" spans="1:49" x14ac:dyDescent="0.25">
      <c r="A5182" t="str">
        <f>"5178"</f>
        <v>5178</v>
      </c>
      <c r="B5182" t="str">
        <f t="shared" si="298"/>
        <v>1</v>
      </c>
      <c r="C5182" t="str">
        <f t="shared" ref="C5182:C5206" si="300">"227"</f>
        <v>227</v>
      </c>
      <c r="D5182" t="str">
        <f>"23"</f>
        <v>23</v>
      </c>
      <c r="E5182" t="str">
        <f>"1-227-23"</f>
        <v>1-227-23</v>
      </c>
      <c r="F5182" t="s">
        <v>83</v>
      </c>
      <c r="G5182" t="s">
        <v>84</v>
      </c>
      <c r="H5182" t="s">
        <v>85</v>
      </c>
      <c r="AC5182">
        <v>1</v>
      </c>
      <c r="AD5182">
        <v>0</v>
      </c>
      <c r="AE5182">
        <v>0</v>
      </c>
      <c r="AF5182">
        <v>0</v>
      </c>
      <c r="AG5182">
        <v>0</v>
      </c>
      <c r="AJ5182">
        <v>0</v>
      </c>
      <c r="AK5182">
        <v>1</v>
      </c>
      <c r="AL5182">
        <v>0</v>
      </c>
      <c r="AM5182">
        <v>1</v>
      </c>
      <c r="AN5182">
        <v>0</v>
      </c>
      <c r="AO5182">
        <v>0</v>
      </c>
      <c r="AP5182">
        <v>0</v>
      </c>
      <c r="AQ5182">
        <v>0</v>
      </c>
      <c r="AR5182">
        <v>1</v>
      </c>
      <c r="AS5182">
        <v>0</v>
      </c>
      <c r="AT5182">
        <v>1</v>
      </c>
      <c r="AV5182">
        <v>0</v>
      </c>
      <c r="AW5182">
        <v>1</v>
      </c>
    </row>
    <row r="5183" spans="1:49" x14ac:dyDescent="0.25">
      <c r="A5183" t="str">
        <f>"5179"</f>
        <v>5179</v>
      </c>
      <c r="B5183" t="str">
        <f t="shared" si="298"/>
        <v>1</v>
      </c>
      <c r="C5183" t="str">
        <f t="shared" si="300"/>
        <v>227</v>
      </c>
      <c r="D5183" t="str">
        <f>"22"</f>
        <v>22</v>
      </c>
      <c r="E5183" t="str">
        <f>"1-227-22"</f>
        <v>1-227-22</v>
      </c>
      <c r="F5183" t="s">
        <v>83</v>
      </c>
      <c r="G5183" t="s">
        <v>84</v>
      </c>
      <c r="H5183" t="s">
        <v>85</v>
      </c>
      <c r="AC5183">
        <v>0</v>
      </c>
      <c r="AD5183">
        <v>1</v>
      </c>
      <c r="AE5183">
        <v>0</v>
      </c>
      <c r="AF5183">
        <v>0</v>
      </c>
      <c r="AG5183">
        <v>1</v>
      </c>
      <c r="AJ5183">
        <v>1</v>
      </c>
      <c r="AK5183">
        <v>0</v>
      </c>
      <c r="AL5183">
        <v>1</v>
      </c>
      <c r="AM5183">
        <v>0</v>
      </c>
      <c r="AN5183">
        <v>0</v>
      </c>
      <c r="AO5183">
        <v>1</v>
      </c>
      <c r="AP5183">
        <v>1</v>
      </c>
      <c r="AQ5183">
        <v>1</v>
      </c>
      <c r="AR5183">
        <v>1</v>
      </c>
      <c r="AS5183">
        <v>1</v>
      </c>
      <c r="AT5183">
        <v>0</v>
      </c>
      <c r="AV5183">
        <v>1</v>
      </c>
      <c r="AW5183">
        <v>1</v>
      </c>
    </row>
    <row r="5184" spans="1:49" x14ac:dyDescent="0.25">
      <c r="A5184" t="str">
        <f>"5180"</f>
        <v>5180</v>
      </c>
      <c r="B5184" t="str">
        <f t="shared" si="298"/>
        <v>1</v>
      </c>
      <c r="C5184" t="str">
        <f t="shared" si="300"/>
        <v>227</v>
      </c>
      <c r="D5184" t="str">
        <f>"15"</f>
        <v>15</v>
      </c>
      <c r="E5184" t="str">
        <f>"1-227-15"</f>
        <v>1-227-15</v>
      </c>
      <c r="F5184" t="s">
        <v>83</v>
      </c>
      <c r="G5184" t="s">
        <v>84</v>
      </c>
      <c r="H5184" t="s">
        <v>85</v>
      </c>
      <c r="AC5184">
        <v>1</v>
      </c>
      <c r="AD5184">
        <v>0</v>
      </c>
      <c r="AE5184">
        <v>0</v>
      </c>
      <c r="AF5184">
        <v>0</v>
      </c>
      <c r="AG5184">
        <v>1</v>
      </c>
      <c r="AJ5184">
        <v>1</v>
      </c>
      <c r="AK5184">
        <v>0</v>
      </c>
      <c r="AL5184">
        <v>1</v>
      </c>
      <c r="AM5184">
        <v>0</v>
      </c>
      <c r="AN5184">
        <v>0</v>
      </c>
      <c r="AO5184">
        <v>1</v>
      </c>
      <c r="AP5184">
        <v>1</v>
      </c>
      <c r="AQ5184">
        <v>1</v>
      </c>
      <c r="AR5184">
        <v>1</v>
      </c>
      <c r="AS5184">
        <v>1</v>
      </c>
      <c r="AT5184">
        <v>0</v>
      </c>
      <c r="AV5184">
        <v>1</v>
      </c>
      <c r="AW5184">
        <v>0</v>
      </c>
    </row>
    <row r="5185" spans="1:49" x14ac:dyDescent="0.25">
      <c r="A5185" t="str">
        <f>"5181"</f>
        <v>5181</v>
      </c>
      <c r="B5185" t="str">
        <f t="shared" si="298"/>
        <v>1</v>
      </c>
      <c r="C5185" t="str">
        <f t="shared" si="300"/>
        <v>227</v>
      </c>
      <c r="D5185" t="str">
        <f>"8"</f>
        <v>8</v>
      </c>
      <c r="E5185" t="str">
        <f>"1-227-8"</f>
        <v>1-227-8</v>
      </c>
      <c r="F5185" t="s">
        <v>83</v>
      </c>
      <c r="G5185" t="s">
        <v>84</v>
      </c>
      <c r="H5185" t="s">
        <v>85</v>
      </c>
      <c r="AC5185">
        <v>0</v>
      </c>
      <c r="AD5185">
        <v>1</v>
      </c>
      <c r="AE5185">
        <v>0</v>
      </c>
      <c r="AF5185">
        <v>0</v>
      </c>
      <c r="AG5185">
        <v>0</v>
      </c>
      <c r="AJ5185">
        <v>0</v>
      </c>
      <c r="AK5185">
        <v>1</v>
      </c>
      <c r="AL5185">
        <v>0</v>
      </c>
      <c r="AM5185">
        <v>0</v>
      </c>
      <c r="AN5185">
        <v>0</v>
      </c>
      <c r="AO5185">
        <v>0</v>
      </c>
      <c r="AP5185">
        <v>0</v>
      </c>
      <c r="AQ5185">
        <v>0</v>
      </c>
      <c r="AR5185">
        <v>1</v>
      </c>
      <c r="AS5185">
        <v>0</v>
      </c>
      <c r="AT5185">
        <v>0</v>
      </c>
      <c r="AV5185">
        <v>0</v>
      </c>
      <c r="AW5185">
        <v>1</v>
      </c>
    </row>
    <row r="5186" spans="1:49" x14ac:dyDescent="0.25">
      <c r="A5186" t="str">
        <f>"5182"</f>
        <v>5182</v>
      </c>
      <c r="B5186" t="str">
        <f t="shared" si="298"/>
        <v>1</v>
      </c>
      <c r="C5186" t="str">
        <f t="shared" si="300"/>
        <v>227</v>
      </c>
      <c r="D5186" t="str">
        <f>"2"</f>
        <v>2</v>
      </c>
      <c r="E5186" t="str">
        <f>"1-227-2"</f>
        <v>1-227-2</v>
      </c>
      <c r="F5186" t="s">
        <v>83</v>
      </c>
      <c r="G5186" t="s">
        <v>86</v>
      </c>
      <c r="H5186" t="s">
        <v>87</v>
      </c>
      <c r="AC5186">
        <v>1</v>
      </c>
      <c r="AD5186">
        <v>0</v>
      </c>
      <c r="AE5186">
        <v>0</v>
      </c>
      <c r="AF5186">
        <v>0</v>
      </c>
      <c r="AH5186">
        <v>0</v>
      </c>
      <c r="AI5186">
        <v>1</v>
      </c>
      <c r="AJ5186">
        <v>0</v>
      </c>
      <c r="AK5186">
        <v>1</v>
      </c>
      <c r="AL5186">
        <v>0</v>
      </c>
      <c r="AM5186">
        <v>0</v>
      </c>
      <c r="AN5186">
        <v>0</v>
      </c>
      <c r="AO5186">
        <v>0</v>
      </c>
      <c r="AP5186">
        <v>1</v>
      </c>
      <c r="AQ5186">
        <v>0</v>
      </c>
      <c r="AU5186">
        <v>1</v>
      </c>
      <c r="AV5186">
        <v>1</v>
      </c>
      <c r="AW5186">
        <v>1</v>
      </c>
    </row>
    <row r="5187" spans="1:49" x14ac:dyDescent="0.25">
      <c r="A5187" t="str">
        <f>"5183"</f>
        <v>5183</v>
      </c>
      <c r="B5187" t="str">
        <f t="shared" si="298"/>
        <v>1</v>
      </c>
      <c r="C5187" t="str">
        <f t="shared" si="300"/>
        <v>227</v>
      </c>
      <c r="D5187" t="str">
        <f>"25"</f>
        <v>25</v>
      </c>
      <c r="E5187" t="str">
        <f>"1-227-25"</f>
        <v>1-227-25</v>
      </c>
      <c r="F5187" t="s">
        <v>83</v>
      </c>
      <c r="G5187" t="s">
        <v>84</v>
      </c>
      <c r="H5187" t="s">
        <v>85</v>
      </c>
      <c r="AC5187">
        <v>0</v>
      </c>
      <c r="AD5187">
        <v>1</v>
      </c>
      <c r="AE5187">
        <v>0</v>
      </c>
      <c r="AF5187">
        <v>0</v>
      </c>
      <c r="AG5187">
        <v>0</v>
      </c>
      <c r="AJ5187">
        <v>1</v>
      </c>
      <c r="AK5187">
        <v>0</v>
      </c>
      <c r="AL5187">
        <v>0</v>
      </c>
      <c r="AM5187">
        <v>1</v>
      </c>
      <c r="AN5187">
        <v>0</v>
      </c>
      <c r="AO5187">
        <v>0</v>
      </c>
      <c r="AP5187">
        <v>0</v>
      </c>
      <c r="AQ5187">
        <v>0</v>
      </c>
      <c r="AR5187">
        <v>0</v>
      </c>
      <c r="AS5187">
        <v>0</v>
      </c>
      <c r="AT5187">
        <v>1</v>
      </c>
      <c r="AV5187">
        <v>0</v>
      </c>
      <c r="AW5187">
        <v>1</v>
      </c>
    </row>
    <row r="5188" spans="1:49" x14ac:dyDescent="0.25">
      <c r="A5188" t="str">
        <f>"5184"</f>
        <v>5184</v>
      </c>
      <c r="B5188" t="str">
        <f t="shared" si="298"/>
        <v>1</v>
      </c>
      <c r="C5188" t="str">
        <f t="shared" si="300"/>
        <v>227</v>
      </c>
      <c r="D5188" t="str">
        <f>"24"</f>
        <v>24</v>
      </c>
      <c r="E5188" t="str">
        <f>"1-227-24"</f>
        <v>1-227-24</v>
      </c>
      <c r="F5188" t="s">
        <v>83</v>
      </c>
      <c r="G5188" t="s">
        <v>84</v>
      </c>
      <c r="H5188" t="s">
        <v>85</v>
      </c>
      <c r="AC5188">
        <v>1</v>
      </c>
      <c r="AD5188">
        <v>0</v>
      </c>
      <c r="AE5188">
        <v>0</v>
      </c>
      <c r="AF5188">
        <v>0</v>
      </c>
      <c r="AG5188">
        <v>1</v>
      </c>
      <c r="AJ5188">
        <v>1</v>
      </c>
      <c r="AK5188">
        <v>0</v>
      </c>
      <c r="AL5188">
        <v>1</v>
      </c>
      <c r="AM5188">
        <v>0</v>
      </c>
      <c r="AN5188">
        <v>0</v>
      </c>
      <c r="AO5188">
        <v>1</v>
      </c>
      <c r="AP5188">
        <v>1</v>
      </c>
      <c r="AQ5188">
        <v>1</v>
      </c>
      <c r="AR5188">
        <v>1</v>
      </c>
      <c r="AS5188">
        <v>1</v>
      </c>
      <c r="AT5188">
        <v>0</v>
      </c>
      <c r="AV5188">
        <v>1</v>
      </c>
      <c r="AW5188">
        <v>1</v>
      </c>
    </row>
    <row r="5189" spans="1:49" x14ac:dyDescent="0.25">
      <c r="A5189" t="str">
        <f>"5185"</f>
        <v>5185</v>
      </c>
      <c r="B5189" t="str">
        <f t="shared" si="298"/>
        <v>1</v>
      </c>
      <c r="C5189" t="str">
        <f t="shared" si="300"/>
        <v>227</v>
      </c>
      <c r="D5189" t="str">
        <f>"16"</f>
        <v>16</v>
      </c>
      <c r="E5189" t="str">
        <f>"1-227-16"</f>
        <v>1-227-16</v>
      </c>
      <c r="F5189" t="s">
        <v>83</v>
      </c>
      <c r="G5189" t="s">
        <v>84</v>
      </c>
      <c r="H5189" t="s">
        <v>85</v>
      </c>
      <c r="AC5189">
        <v>0</v>
      </c>
      <c r="AD5189">
        <v>1</v>
      </c>
      <c r="AE5189">
        <v>0</v>
      </c>
      <c r="AF5189">
        <v>0</v>
      </c>
      <c r="AG5189">
        <v>1</v>
      </c>
      <c r="AJ5189">
        <v>1</v>
      </c>
      <c r="AK5189">
        <v>0</v>
      </c>
      <c r="AL5189">
        <v>1</v>
      </c>
      <c r="AM5189">
        <v>0</v>
      </c>
      <c r="AN5189">
        <v>0</v>
      </c>
      <c r="AO5189">
        <v>1</v>
      </c>
      <c r="AP5189">
        <v>1</v>
      </c>
      <c r="AQ5189">
        <v>1</v>
      </c>
      <c r="AR5189">
        <v>1</v>
      </c>
      <c r="AS5189">
        <v>0</v>
      </c>
      <c r="AT5189">
        <v>1</v>
      </c>
      <c r="AV5189">
        <v>1</v>
      </c>
      <c r="AW5189">
        <v>1</v>
      </c>
    </row>
    <row r="5190" spans="1:49" x14ac:dyDescent="0.25">
      <c r="A5190" t="str">
        <f>"5186"</f>
        <v>5186</v>
      </c>
      <c r="B5190" t="str">
        <f t="shared" si="298"/>
        <v>1</v>
      </c>
      <c r="C5190" t="str">
        <f t="shared" si="300"/>
        <v>227</v>
      </c>
      <c r="D5190" t="str">
        <f>"9"</f>
        <v>9</v>
      </c>
      <c r="E5190" t="str">
        <f>"1-227-9"</f>
        <v>1-227-9</v>
      </c>
      <c r="F5190" t="s">
        <v>83</v>
      </c>
      <c r="G5190" t="s">
        <v>84</v>
      </c>
      <c r="H5190" t="s">
        <v>85</v>
      </c>
      <c r="AC5190">
        <v>0</v>
      </c>
      <c r="AD5190">
        <v>1</v>
      </c>
      <c r="AE5190">
        <v>0</v>
      </c>
      <c r="AF5190">
        <v>0</v>
      </c>
      <c r="AG5190">
        <v>1</v>
      </c>
      <c r="AJ5190">
        <v>1</v>
      </c>
      <c r="AK5190">
        <v>0</v>
      </c>
      <c r="AL5190">
        <v>0</v>
      </c>
      <c r="AM5190">
        <v>1</v>
      </c>
      <c r="AN5190">
        <v>0</v>
      </c>
      <c r="AO5190">
        <v>1</v>
      </c>
      <c r="AP5190">
        <v>1</v>
      </c>
      <c r="AQ5190">
        <v>1</v>
      </c>
      <c r="AR5190">
        <v>1</v>
      </c>
      <c r="AS5190">
        <v>0</v>
      </c>
      <c r="AT5190">
        <v>1</v>
      </c>
      <c r="AV5190">
        <v>1</v>
      </c>
      <c r="AW5190">
        <v>1</v>
      </c>
    </row>
    <row r="5191" spans="1:49" x14ac:dyDescent="0.25">
      <c r="A5191" t="str">
        <f>"5187"</f>
        <v>5187</v>
      </c>
      <c r="B5191" t="str">
        <f t="shared" si="298"/>
        <v>1</v>
      </c>
      <c r="C5191" t="str">
        <f t="shared" si="300"/>
        <v>227</v>
      </c>
      <c r="D5191" t="str">
        <f>"4"</f>
        <v>4</v>
      </c>
      <c r="E5191" t="str">
        <f>"1-227-4"</f>
        <v>1-227-4</v>
      </c>
      <c r="F5191" t="s">
        <v>83</v>
      </c>
      <c r="G5191" t="s">
        <v>84</v>
      </c>
      <c r="H5191" t="s">
        <v>85</v>
      </c>
      <c r="AC5191">
        <v>1</v>
      </c>
      <c r="AD5191">
        <v>0</v>
      </c>
      <c r="AE5191">
        <v>0</v>
      </c>
      <c r="AF5191">
        <v>0</v>
      </c>
      <c r="AG5191">
        <v>1</v>
      </c>
      <c r="AJ5191">
        <v>1</v>
      </c>
      <c r="AK5191">
        <v>0</v>
      </c>
      <c r="AL5191">
        <v>1</v>
      </c>
      <c r="AM5191">
        <v>0</v>
      </c>
      <c r="AN5191">
        <v>0</v>
      </c>
      <c r="AO5191">
        <v>1</v>
      </c>
      <c r="AP5191">
        <v>0</v>
      </c>
      <c r="AQ5191">
        <v>1</v>
      </c>
      <c r="AR5191">
        <v>1</v>
      </c>
      <c r="AS5191">
        <v>1</v>
      </c>
      <c r="AT5191">
        <v>0</v>
      </c>
      <c r="AV5191">
        <v>0</v>
      </c>
      <c r="AW5191">
        <v>1</v>
      </c>
    </row>
    <row r="5192" spans="1:49" x14ac:dyDescent="0.25">
      <c r="A5192" t="str">
        <f>"5188"</f>
        <v>5188</v>
      </c>
      <c r="B5192" t="str">
        <f t="shared" si="298"/>
        <v>1</v>
      </c>
      <c r="C5192" t="str">
        <f t="shared" si="300"/>
        <v>227</v>
      </c>
      <c r="D5192" t="str">
        <f>"17"</f>
        <v>17</v>
      </c>
      <c r="E5192" t="str">
        <f>"1-227-17"</f>
        <v>1-227-17</v>
      </c>
      <c r="F5192" t="s">
        <v>83</v>
      </c>
      <c r="G5192" t="s">
        <v>84</v>
      </c>
      <c r="H5192" t="s">
        <v>85</v>
      </c>
      <c r="AC5192">
        <v>0</v>
      </c>
      <c r="AD5192">
        <v>1</v>
      </c>
      <c r="AE5192">
        <v>0</v>
      </c>
      <c r="AF5192">
        <v>0</v>
      </c>
      <c r="AG5192">
        <v>1</v>
      </c>
      <c r="AJ5192">
        <v>0</v>
      </c>
      <c r="AK5192">
        <v>1</v>
      </c>
      <c r="AL5192">
        <v>0</v>
      </c>
      <c r="AM5192">
        <v>1</v>
      </c>
      <c r="AN5192">
        <v>0</v>
      </c>
      <c r="AO5192">
        <v>1</v>
      </c>
      <c r="AP5192">
        <v>1</v>
      </c>
      <c r="AQ5192">
        <v>1</v>
      </c>
      <c r="AR5192">
        <v>1</v>
      </c>
      <c r="AS5192">
        <v>0</v>
      </c>
      <c r="AT5192">
        <v>0</v>
      </c>
      <c r="AV5192">
        <v>1</v>
      </c>
      <c r="AW5192">
        <v>1</v>
      </c>
    </row>
    <row r="5193" spans="1:49" x14ac:dyDescent="0.25">
      <c r="A5193" t="str">
        <f>"5189"</f>
        <v>5189</v>
      </c>
      <c r="B5193" t="str">
        <f t="shared" si="298"/>
        <v>1</v>
      </c>
      <c r="C5193" t="str">
        <f t="shared" si="300"/>
        <v>227</v>
      </c>
      <c r="D5193" t="str">
        <f>"10"</f>
        <v>10</v>
      </c>
      <c r="E5193" t="str">
        <f>"1-227-10"</f>
        <v>1-227-10</v>
      </c>
      <c r="F5193" t="s">
        <v>83</v>
      </c>
      <c r="G5193" t="s">
        <v>84</v>
      </c>
      <c r="H5193" t="s">
        <v>85</v>
      </c>
      <c r="AC5193">
        <v>1</v>
      </c>
      <c r="AD5193">
        <v>0</v>
      </c>
      <c r="AE5193">
        <v>0</v>
      </c>
      <c r="AF5193">
        <v>0</v>
      </c>
      <c r="AG5193">
        <v>0</v>
      </c>
      <c r="AJ5193">
        <v>0</v>
      </c>
      <c r="AK5193">
        <v>1</v>
      </c>
      <c r="AL5193">
        <v>0</v>
      </c>
      <c r="AM5193">
        <v>1</v>
      </c>
      <c r="AN5193">
        <v>0</v>
      </c>
      <c r="AO5193">
        <v>0</v>
      </c>
      <c r="AP5193">
        <v>0</v>
      </c>
      <c r="AQ5193">
        <v>0</v>
      </c>
      <c r="AR5193">
        <v>1</v>
      </c>
      <c r="AS5193">
        <v>0</v>
      </c>
      <c r="AT5193">
        <v>1</v>
      </c>
      <c r="AV5193">
        <v>0</v>
      </c>
      <c r="AW5193">
        <v>1</v>
      </c>
    </row>
    <row r="5194" spans="1:49" x14ac:dyDescent="0.25">
      <c r="A5194" t="str">
        <f>"5190"</f>
        <v>5190</v>
      </c>
      <c r="B5194" t="str">
        <f t="shared" si="298"/>
        <v>1</v>
      </c>
      <c r="C5194" t="str">
        <f t="shared" si="300"/>
        <v>227</v>
      </c>
      <c r="D5194" t="str">
        <f>"1"</f>
        <v>1</v>
      </c>
      <c r="E5194" t="str">
        <f>"1-227-1"</f>
        <v>1-227-1</v>
      </c>
      <c r="F5194" t="s">
        <v>83</v>
      </c>
      <c r="G5194" t="s">
        <v>84</v>
      </c>
      <c r="H5194" t="s">
        <v>85</v>
      </c>
      <c r="AC5194">
        <v>0</v>
      </c>
      <c r="AD5194">
        <v>0</v>
      </c>
      <c r="AE5194">
        <v>0</v>
      </c>
      <c r="AF5194">
        <v>0</v>
      </c>
      <c r="AG5194">
        <v>0</v>
      </c>
      <c r="AJ5194">
        <v>1</v>
      </c>
      <c r="AK5194">
        <v>0</v>
      </c>
      <c r="AL5194">
        <v>0</v>
      </c>
      <c r="AM5194">
        <v>1</v>
      </c>
      <c r="AN5194">
        <v>0</v>
      </c>
      <c r="AO5194">
        <v>0</v>
      </c>
      <c r="AP5194">
        <v>0</v>
      </c>
      <c r="AQ5194">
        <v>0</v>
      </c>
      <c r="AR5194">
        <v>1</v>
      </c>
      <c r="AS5194">
        <v>0</v>
      </c>
      <c r="AT5194">
        <v>0</v>
      </c>
      <c r="AV5194">
        <v>0</v>
      </c>
      <c r="AW5194">
        <v>1</v>
      </c>
    </row>
    <row r="5195" spans="1:49" x14ac:dyDescent="0.25">
      <c r="A5195" t="str">
        <f>"5191"</f>
        <v>5191</v>
      </c>
      <c r="B5195" t="str">
        <f t="shared" si="298"/>
        <v>1</v>
      </c>
      <c r="C5195" t="str">
        <f t="shared" si="300"/>
        <v>227</v>
      </c>
      <c r="D5195" t="str">
        <f>"19"</f>
        <v>19</v>
      </c>
      <c r="E5195" t="str">
        <f>"1-227-19"</f>
        <v>1-227-19</v>
      </c>
      <c r="F5195" t="s">
        <v>83</v>
      </c>
      <c r="G5195" t="s">
        <v>84</v>
      </c>
      <c r="H5195" t="s">
        <v>85</v>
      </c>
      <c r="AC5195">
        <v>1</v>
      </c>
      <c r="AD5195">
        <v>0</v>
      </c>
      <c r="AE5195">
        <v>0</v>
      </c>
      <c r="AF5195">
        <v>0</v>
      </c>
      <c r="AG5195">
        <v>1</v>
      </c>
      <c r="AJ5195">
        <v>1</v>
      </c>
      <c r="AK5195">
        <v>0</v>
      </c>
      <c r="AL5195">
        <v>0</v>
      </c>
      <c r="AM5195">
        <v>0</v>
      </c>
      <c r="AN5195">
        <v>1</v>
      </c>
      <c r="AO5195">
        <v>1</v>
      </c>
      <c r="AP5195">
        <v>1</v>
      </c>
      <c r="AQ5195">
        <v>1</v>
      </c>
      <c r="AR5195">
        <v>1</v>
      </c>
      <c r="AS5195">
        <v>1</v>
      </c>
      <c r="AT5195">
        <v>0</v>
      </c>
      <c r="AV5195">
        <v>1</v>
      </c>
      <c r="AW5195">
        <v>1</v>
      </c>
    </row>
    <row r="5196" spans="1:49" x14ac:dyDescent="0.25">
      <c r="A5196" t="str">
        <f>"5192"</f>
        <v>5192</v>
      </c>
      <c r="B5196" t="str">
        <f t="shared" si="298"/>
        <v>1</v>
      </c>
      <c r="C5196" t="str">
        <f t="shared" si="300"/>
        <v>227</v>
      </c>
      <c r="D5196" t="str">
        <f>"11"</f>
        <v>11</v>
      </c>
      <c r="E5196" t="str">
        <f>"1-227-11"</f>
        <v>1-227-11</v>
      </c>
      <c r="F5196" t="s">
        <v>83</v>
      </c>
      <c r="G5196" t="s">
        <v>84</v>
      </c>
      <c r="H5196" t="s">
        <v>85</v>
      </c>
      <c r="AC5196">
        <v>0</v>
      </c>
      <c r="AD5196">
        <v>1</v>
      </c>
      <c r="AE5196">
        <v>0</v>
      </c>
      <c r="AF5196">
        <v>0</v>
      </c>
      <c r="AG5196">
        <v>0</v>
      </c>
      <c r="AJ5196">
        <v>0</v>
      </c>
      <c r="AK5196">
        <v>1</v>
      </c>
      <c r="AL5196">
        <v>0</v>
      </c>
      <c r="AM5196">
        <v>0</v>
      </c>
      <c r="AN5196">
        <v>1</v>
      </c>
      <c r="AO5196">
        <v>0</v>
      </c>
      <c r="AP5196">
        <v>0</v>
      </c>
      <c r="AQ5196">
        <v>0</v>
      </c>
      <c r="AR5196">
        <v>1</v>
      </c>
      <c r="AS5196">
        <v>1</v>
      </c>
      <c r="AT5196">
        <v>0</v>
      </c>
      <c r="AV5196">
        <v>0</v>
      </c>
      <c r="AW5196">
        <v>1</v>
      </c>
    </row>
    <row r="5197" spans="1:49" x14ac:dyDescent="0.25">
      <c r="A5197" t="str">
        <f>"5193"</f>
        <v>5193</v>
      </c>
      <c r="B5197" t="str">
        <f t="shared" si="298"/>
        <v>1</v>
      </c>
      <c r="C5197" t="str">
        <f t="shared" si="300"/>
        <v>227</v>
      </c>
      <c r="D5197" t="str">
        <f>"6"</f>
        <v>6</v>
      </c>
      <c r="E5197" t="str">
        <f>"1-227-6"</f>
        <v>1-227-6</v>
      </c>
      <c r="F5197" t="s">
        <v>83</v>
      </c>
      <c r="G5197" t="s">
        <v>84</v>
      </c>
      <c r="H5197" t="s">
        <v>85</v>
      </c>
      <c r="AC5197">
        <v>0</v>
      </c>
      <c r="AD5197">
        <v>1</v>
      </c>
      <c r="AE5197">
        <v>0</v>
      </c>
      <c r="AF5197">
        <v>0</v>
      </c>
      <c r="AG5197">
        <v>1</v>
      </c>
      <c r="AJ5197">
        <v>1</v>
      </c>
      <c r="AK5197">
        <v>0</v>
      </c>
      <c r="AL5197">
        <v>1</v>
      </c>
      <c r="AM5197">
        <v>0</v>
      </c>
      <c r="AN5197">
        <v>0</v>
      </c>
      <c r="AO5197">
        <v>1</v>
      </c>
      <c r="AP5197">
        <v>1</v>
      </c>
      <c r="AQ5197">
        <v>1</v>
      </c>
      <c r="AR5197">
        <v>1</v>
      </c>
      <c r="AS5197">
        <v>1</v>
      </c>
      <c r="AT5197">
        <v>0</v>
      </c>
      <c r="AV5197">
        <v>1</v>
      </c>
      <c r="AW5197">
        <v>1</v>
      </c>
    </row>
    <row r="5198" spans="1:49" x14ac:dyDescent="0.25">
      <c r="A5198" t="str">
        <f>"5194"</f>
        <v>5194</v>
      </c>
      <c r="B5198" t="str">
        <f t="shared" si="298"/>
        <v>1</v>
      </c>
      <c r="C5198" t="str">
        <f t="shared" si="300"/>
        <v>227</v>
      </c>
      <c r="D5198" t="str">
        <f>"18"</f>
        <v>18</v>
      </c>
      <c r="E5198" t="str">
        <f>"1-227-18"</f>
        <v>1-227-18</v>
      </c>
      <c r="F5198" t="s">
        <v>83</v>
      </c>
      <c r="G5198" t="s">
        <v>84</v>
      </c>
      <c r="H5198" t="s">
        <v>85</v>
      </c>
      <c r="AC5198">
        <v>0</v>
      </c>
      <c r="AD5198">
        <v>1</v>
      </c>
      <c r="AE5198">
        <v>0</v>
      </c>
      <c r="AF5198">
        <v>0</v>
      </c>
      <c r="AG5198">
        <v>0</v>
      </c>
      <c r="AJ5198">
        <v>0</v>
      </c>
      <c r="AK5198">
        <v>1</v>
      </c>
      <c r="AL5198">
        <v>0</v>
      </c>
      <c r="AM5198">
        <v>0</v>
      </c>
      <c r="AN5198">
        <v>1</v>
      </c>
      <c r="AO5198">
        <v>0</v>
      </c>
      <c r="AP5198">
        <v>0</v>
      </c>
      <c r="AQ5198">
        <v>0</v>
      </c>
      <c r="AR5198">
        <v>1</v>
      </c>
      <c r="AS5198">
        <v>1</v>
      </c>
      <c r="AT5198">
        <v>0</v>
      </c>
      <c r="AV5198">
        <v>0</v>
      </c>
      <c r="AW5198">
        <v>1</v>
      </c>
    </row>
    <row r="5199" spans="1:49" x14ac:dyDescent="0.25">
      <c r="A5199" t="str">
        <f>"5195"</f>
        <v>5195</v>
      </c>
      <c r="B5199" t="str">
        <f t="shared" si="298"/>
        <v>1</v>
      </c>
      <c r="C5199" t="str">
        <f t="shared" si="300"/>
        <v>227</v>
      </c>
      <c r="D5199" t="str">
        <f>"12"</f>
        <v>12</v>
      </c>
      <c r="E5199" t="str">
        <f>"1-227-12"</f>
        <v>1-227-12</v>
      </c>
      <c r="F5199" t="s">
        <v>83</v>
      </c>
      <c r="G5199" t="s">
        <v>84</v>
      </c>
      <c r="H5199" t="s">
        <v>85</v>
      </c>
      <c r="AC5199">
        <v>0</v>
      </c>
      <c r="AD5199">
        <v>1</v>
      </c>
      <c r="AE5199">
        <v>0</v>
      </c>
      <c r="AF5199">
        <v>0</v>
      </c>
      <c r="AG5199">
        <v>1</v>
      </c>
      <c r="AJ5199">
        <v>1</v>
      </c>
      <c r="AK5199">
        <v>0</v>
      </c>
      <c r="AL5199">
        <v>0</v>
      </c>
      <c r="AM5199">
        <v>1</v>
      </c>
      <c r="AN5199">
        <v>0</v>
      </c>
      <c r="AO5199">
        <v>1</v>
      </c>
      <c r="AP5199">
        <v>1</v>
      </c>
      <c r="AQ5199">
        <v>1</v>
      </c>
      <c r="AR5199">
        <v>1</v>
      </c>
      <c r="AS5199">
        <v>0</v>
      </c>
      <c r="AT5199">
        <v>1</v>
      </c>
      <c r="AV5199">
        <v>1</v>
      </c>
      <c r="AW5199">
        <v>1</v>
      </c>
    </row>
    <row r="5200" spans="1:49" x14ac:dyDescent="0.25">
      <c r="A5200" t="str">
        <f>"5196"</f>
        <v>5196</v>
      </c>
      <c r="B5200" t="str">
        <f t="shared" si="298"/>
        <v>1</v>
      </c>
      <c r="C5200" t="str">
        <f t="shared" si="300"/>
        <v>227</v>
      </c>
      <c r="D5200" t="str">
        <f>"7"</f>
        <v>7</v>
      </c>
      <c r="E5200" t="str">
        <f>"1-227-7"</f>
        <v>1-227-7</v>
      </c>
      <c r="F5200" t="s">
        <v>83</v>
      </c>
      <c r="G5200" t="s">
        <v>88</v>
      </c>
      <c r="H5200" t="s">
        <v>89</v>
      </c>
      <c r="AC5200">
        <v>0</v>
      </c>
      <c r="AD5200">
        <v>1</v>
      </c>
      <c r="AE5200">
        <v>0</v>
      </c>
      <c r="AF5200">
        <v>0</v>
      </c>
      <c r="AH5200">
        <v>0</v>
      </c>
      <c r="AI5200">
        <v>1</v>
      </c>
      <c r="AJ5200">
        <v>0</v>
      </c>
      <c r="AK5200">
        <v>1</v>
      </c>
      <c r="AL5200">
        <v>0</v>
      </c>
      <c r="AM5200">
        <v>1</v>
      </c>
      <c r="AN5200">
        <v>0</v>
      </c>
      <c r="AO5200">
        <v>1</v>
      </c>
      <c r="AP5200">
        <v>1</v>
      </c>
      <c r="AQ5200">
        <v>1</v>
      </c>
      <c r="AR5200">
        <v>1</v>
      </c>
      <c r="AS5200">
        <v>0</v>
      </c>
      <c r="AT5200">
        <v>1</v>
      </c>
      <c r="AV5200">
        <v>1</v>
      </c>
      <c r="AW5200">
        <v>1</v>
      </c>
    </row>
    <row r="5201" spans="1:49" x14ac:dyDescent="0.25">
      <c r="A5201" t="str">
        <f>"5197"</f>
        <v>5197</v>
      </c>
      <c r="B5201" t="str">
        <f t="shared" si="298"/>
        <v>1</v>
      </c>
      <c r="C5201" t="str">
        <f t="shared" si="300"/>
        <v>227</v>
      </c>
      <c r="D5201" t="str">
        <f>"20"</f>
        <v>20</v>
      </c>
      <c r="E5201" t="str">
        <f>"1-227-20"</f>
        <v>1-227-20</v>
      </c>
      <c r="F5201" t="s">
        <v>83</v>
      </c>
      <c r="G5201" t="s">
        <v>84</v>
      </c>
      <c r="H5201" t="s">
        <v>85</v>
      </c>
      <c r="AC5201">
        <v>1</v>
      </c>
      <c r="AD5201">
        <v>0</v>
      </c>
      <c r="AE5201">
        <v>0</v>
      </c>
      <c r="AF5201">
        <v>0</v>
      </c>
      <c r="AG5201">
        <v>1</v>
      </c>
      <c r="AJ5201">
        <v>1</v>
      </c>
      <c r="AK5201">
        <v>0</v>
      </c>
      <c r="AL5201">
        <v>1</v>
      </c>
      <c r="AM5201">
        <v>0</v>
      </c>
      <c r="AN5201">
        <v>0</v>
      </c>
      <c r="AO5201">
        <v>1</v>
      </c>
      <c r="AP5201">
        <v>1</v>
      </c>
      <c r="AQ5201">
        <v>1</v>
      </c>
      <c r="AR5201">
        <v>0</v>
      </c>
      <c r="AS5201">
        <v>1</v>
      </c>
      <c r="AT5201">
        <v>0</v>
      </c>
      <c r="AV5201">
        <v>1</v>
      </c>
      <c r="AW5201">
        <v>1</v>
      </c>
    </row>
    <row r="5202" spans="1:49" x14ac:dyDescent="0.25">
      <c r="A5202" t="str">
        <f>"5198"</f>
        <v>5198</v>
      </c>
      <c r="B5202" t="str">
        <f t="shared" si="298"/>
        <v>1</v>
      </c>
      <c r="C5202" t="str">
        <f t="shared" si="300"/>
        <v>227</v>
      </c>
      <c r="D5202" t="str">
        <f>"13"</f>
        <v>13</v>
      </c>
      <c r="E5202" t="str">
        <f>"1-227-13"</f>
        <v>1-227-13</v>
      </c>
      <c r="F5202" t="s">
        <v>83</v>
      </c>
      <c r="G5202" t="s">
        <v>84</v>
      </c>
      <c r="H5202" t="s">
        <v>85</v>
      </c>
      <c r="AC5202">
        <v>1</v>
      </c>
      <c r="AD5202">
        <v>0</v>
      </c>
      <c r="AE5202">
        <v>0</v>
      </c>
      <c r="AF5202">
        <v>0</v>
      </c>
      <c r="AG5202">
        <v>1</v>
      </c>
      <c r="AJ5202">
        <v>1</v>
      </c>
      <c r="AK5202">
        <v>0</v>
      </c>
      <c r="AL5202">
        <v>0</v>
      </c>
      <c r="AM5202">
        <v>1</v>
      </c>
      <c r="AN5202">
        <v>0</v>
      </c>
      <c r="AO5202">
        <v>1</v>
      </c>
      <c r="AP5202">
        <v>1</v>
      </c>
      <c r="AQ5202">
        <v>1</v>
      </c>
      <c r="AR5202">
        <v>1</v>
      </c>
      <c r="AS5202">
        <v>0</v>
      </c>
      <c r="AT5202">
        <v>1</v>
      </c>
      <c r="AV5202">
        <v>1</v>
      </c>
      <c r="AW5202">
        <v>1</v>
      </c>
    </row>
    <row r="5203" spans="1:49" x14ac:dyDescent="0.25">
      <c r="A5203" t="str">
        <f>"5199"</f>
        <v>5199</v>
      </c>
      <c r="B5203" t="str">
        <f t="shared" si="298"/>
        <v>1</v>
      </c>
      <c r="C5203" t="str">
        <f t="shared" si="300"/>
        <v>227</v>
      </c>
      <c r="D5203" t="str">
        <f>"3"</f>
        <v>3</v>
      </c>
      <c r="E5203" t="str">
        <f>"1-227-3"</f>
        <v>1-227-3</v>
      </c>
      <c r="F5203" t="s">
        <v>83</v>
      </c>
      <c r="G5203" t="s">
        <v>84</v>
      </c>
      <c r="H5203" t="s">
        <v>85</v>
      </c>
      <c r="AC5203">
        <v>0</v>
      </c>
      <c r="AD5203">
        <v>1</v>
      </c>
      <c r="AE5203">
        <v>0</v>
      </c>
      <c r="AF5203">
        <v>0</v>
      </c>
      <c r="AG5203">
        <v>1</v>
      </c>
      <c r="AJ5203">
        <v>0</v>
      </c>
      <c r="AK5203">
        <v>1</v>
      </c>
      <c r="AL5203">
        <v>0</v>
      </c>
      <c r="AM5203">
        <v>0</v>
      </c>
      <c r="AN5203">
        <v>0</v>
      </c>
      <c r="AO5203">
        <v>1</v>
      </c>
      <c r="AP5203">
        <v>1</v>
      </c>
      <c r="AQ5203">
        <v>1</v>
      </c>
      <c r="AR5203">
        <v>1</v>
      </c>
      <c r="AS5203">
        <v>0</v>
      </c>
      <c r="AT5203">
        <v>0</v>
      </c>
      <c r="AV5203">
        <v>1</v>
      </c>
      <c r="AW5203">
        <v>1</v>
      </c>
    </row>
    <row r="5204" spans="1:49" x14ac:dyDescent="0.25">
      <c r="A5204" t="str">
        <f>"5200"</f>
        <v>5200</v>
      </c>
      <c r="B5204" t="str">
        <f t="shared" si="298"/>
        <v>1</v>
      </c>
      <c r="C5204" t="str">
        <f t="shared" si="300"/>
        <v>227</v>
      </c>
      <c r="D5204" t="str">
        <f>"21"</f>
        <v>21</v>
      </c>
      <c r="E5204" t="str">
        <f>"1-227-21"</f>
        <v>1-227-21</v>
      </c>
      <c r="F5204" t="s">
        <v>83</v>
      </c>
      <c r="G5204" t="s">
        <v>84</v>
      </c>
      <c r="H5204" t="s">
        <v>85</v>
      </c>
      <c r="AC5204">
        <v>0</v>
      </c>
      <c r="AD5204">
        <v>1</v>
      </c>
      <c r="AE5204">
        <v>0</v>
      </c>
      <c r="AF5204">
        <v>0</v>
      </c>
      <c r="AG5204">
        <v>0</v>
      </c>
      <c r="AJ5204">
        <v>1</v>
      </c>
      <c r="AK5204">
        <v>0</v>
      </c>
      <c r="AL5204">
        <v>1</v>
      </c>
      <c r="AM5204">
        <v>0</v>
      </c>
      <c r="AN5204">
        <v>0</v>
      </c>
      <c r="AO5204">
        <v>0</v>
      </c>
      <c r="AP5204">
        <v>0</v>
      </c>
      <c r="AQ5204">
        <v>0</v>
      </c>
      <c r="AR5204">
        <v>0</v>
      </c>
      <c r="AS5204">
        <v>1</v>
      </c>
      <c r="AT5204">
        <v>0</v>
      </c>
      <c r="AV5204">
        <v>0</v>
      </c>
      <c r="AW5204">
        <v>0</v>
      </c>
    </row>
    <row r="5205" spans="1:49" x14ac:dyDescent="0.25">
      <c r="A5205" t="str">
        <f>"5201"</f>
        <v>5201</v>
      </c>
      <c r="B5205" t="str">
        <f t="shared" si="298"/>
        <v>1</v>
      </c>
      <c r="C5205" t="str">
        <f t="shared" si="300"/>
        <v>227</v>
      </c>
      <c r="D5205" t="str">
        <f>"14"</f>
        <v>14</v>
      </c>
      <c r="E5205" t="str">
        <f>"1-227-14"</f>
        <v>1-227-14</v>
      </c>
      <c r="F5205" t="s">
        <v>83</v>
      </c>
      <c r="G5205" t="s">
        <v>84</v>
      </c>
      <c r="H5205" t="s">
        <v>85</v>
      </c>
      <c r="AC5205">
        <v>0</v>
      </c>
      <c r="AD5205">
        <v>1</v>
      </c>
      <c r="AE5205">
        <v>0</v>
      </c>
      <c r="AF5205">
        <v>0</v>
      </c>
      <c r="AG5205">
        <v>0</v>
      </c>
      <c r="AJ5205">
        <v>0</v>
      </c>
      <c r="AK5205">
        <v>1</v>
      </c>
      <c r="AL5205">
        <v>0</v>
      </c>
      <c r="AM5205">
        <v>0</v>
      </c>
      <c r="AN5205">
        <v>0</v>
      </c>
      <c r="AO5205">
        <v>0</v>
      </c>
      <c r="AP5205">
        <v>0</v>
      </c>
      <c r="AQ5205">
        <v>1</v>
      </c>
      <c r="AR5205">
        <v>1</v>
      </c>
      <c r="AS5205">
        <v>0</v>
      </c>
      <c r="AT5205">
        <v>0</v>
      </c>
      <c r="AV5205">
        <v>0</v>
      </c>
      <c r="AW5205">
        <v>1</v>
      </c>
    </row>
    <row r="5206" spans="1:49" x14ac:dyDescent="0.25">
      <c r="A5206" t="str">
        <f>"5202"</f>
        <v>5202</v>
      </c>
      <c r="B5206" t="str">
        <f t="shared" si="298"/>
        <v>1</v>
      </c>
      <c r="C5206" t="str">
        <f t="shared" si="300"/>
        <v>227</v>
      </c>
      <c r="D5206" t="str">
        <f>"5"</f>
        <v>5</v>
      </c>
      <c r="E5206" t="str">
        <f>"1-227-5"</f>
        <v>1-227-5</v>
      </c>
      <c r="F5206" t="s">
        <v>83</v>
      </c>
      <c r="G5206" t="s">
        <v>84</v>
      </c>
      <c r="H5206" t="s">
        <v>85</v>
      </c>
      <c r="AC5206">
        <v>0</v>
      </c>
      <c r="AD5206">
        <v>1</v>
      </c>
      <c r="AE5206">
        <v>0</v>
      </c>
      <c r="AF5206">
        <v>0</v>
      </c>
      <c r="AG5206">
        <v>1</v>
      </c>
      <c r="AJ5206">
        <v>0</v>
      </c>
      <c r="AK5206">
        <v>1</v>
      </c>
      <c r="AL5206">
        <v>0</v>
      </c>
      <c r="AM5206">
        <v>1</v>
      </c>
      <c r="AN5206">
        <v>0</v>
      </c>
      <c r="AO5206">
        <v>1</v>
      </c>
      <c r="AP5206">
        <v>1</v>
      </c>
      <c r="AQ5206">
        <v>1</v>
      </c>
      <c r="AR5206">
        <v>1</v>
      </c>
      <c r="AS5206">
        <v>1</v>
      </c>
      <c r="AT5206">
        <v>0</v>
      </c>
      <c r="AV5206">
        <v>1</v>
      </c>
      <c r="AW5206">
        <v>1</v>
      </c>
    </row>
    <row r="5207" spans="1:49" x14ac:dyDescent="0.25">
      <c r="A5207" t="str">
        <f>"5203"</f>
        <v>5203</v>
      </c>
      <c r="B5207" t="str">
        <f t="shared" si="298"/>
        <v>1</v>
      </c>
      <c r="C5207" t="str">
        <f t="shared" ref="C5207:C5231" si="301">"228"</f>
        <v>228</v>
      </c>
      <c r="D5207" t="str">
        <f>"14"</f>
        <v>14</v>
      </c>
      <c r="E5207" t="str">
        <f>"1-228-14"</f>
        <v>1-228-14</v>
      </c>
      <c r="F5207" t="s">
        <v>83</v>
      </c>
      <c r="G5207" t="s">
        <v>84</v>
      </c>
      <c r="H5207" t="s">
        <v>85</v>
      </c>
      <c r="AC5207">
        <v>1</v>
      </c>
      <c r="AD5207">
        <v>0</v>
      </c>
      <c r="AE5207">
        <v>0</v>
      </c>
      <c r="AF5207">
        <v>0</v>
      </c>
      <c r="AG5207">
        <v>1</v>
      </c>
      <c r="AJ5207">
        <v>1</v>
      </c>
      <c r="AK5207">
        <v>0</v>
      </c>
      <c r="AL5207">
        <v>0</v>
      </c>
      <c r="AM5207">
        <v>0</v>
      </c>
      <c r="AN5207">
        <v>1</v>
      </c>
      <c r="AO5207">
        <v>1</v>
      </c>
      <c r="AP5207">
        <v>1</v>
      </c>
      <c r="AQ5207">
        <v>1</v>
      </c>
      <c r="AR5207">
        <v>1</v>
      </c>
      <c r="AS5207">
        <v>0</v>
      </c>
      <c r="AT5207">
        <v>1</v>
      </c>
      <c r="AV5207">
        <v>1</v>
      </c>
      <c r="AW5207">
        <v>0</v>
      </c>
    </row>
    <row r="5208" spans="1:49" x14ac:dyDescent="0.25">
      <c r="A5208" t="str">
        <f>"5204"</f>
        <v>5204</v>
      </c>
      <c r="B5208" t="str">
        <f t="shared" si="298"/>
        <v>1</v>
      </c>
      <c r="C5208" t="str">
        <f t="shared" si="301"/>
        <v>228</v>
      </c>
      <c r="D5208" t="str">
        <f>"13"</f>
        <v>13</v>
      </c>
      <c r="E5208" t="str">
        <f>"1-228-13"</f>
        <v>1-228-13</v>
      </c>
      <c r="F5208" t="s">
        <v>83</v>
      </c>
      <c r="G5208" t="s">
        <v>84</v>
      </c>
      <c r="H5208" t="s">
        <v>85</v>
      </c>
      <c r="AC5208">
        <v>0</v>
      </c>
      <c r="AD5208">
        <v>1</v>
      </c>
      <c r="AE5208">
        <v>0</v>
      </c>
      <c r="AF5208">
        <v>0</v>
      </c>
      <c r="AG5208">
        <v>1</v>
      </c>
      <c r="AJ5208">
        <v>1</v>
      </c>
      <c r="AK5208">
        <v>0</v>
      </c>
      <c r="AL5208">
        <v>0</v>
      </c>
      <c r="AM5208">
        <v>0</v>
      </c>
      <c r="AN5208">
        <v>1</v>
      </c>
      <c r="AO5208">
        <v>1</v>
      </c>
      <c r="AP5208">
        <v>1</v>
      </c>
      <c r="AQ5208">
        <v>1</v>
      </c>
      <c r="AR5208">
        <v>1</v>
      </c>
      <c r="AS5208">
        <v>1</v>
      </c>
      <c r="AT5208">
        <v>0</v>
      </c>
      <c r="AV5208">
        <v>1</v>
      </c>
      <c r="AW5208">
        <v>1</v>
      </c>
    </row>
    <row r="5209" spans="1:49" x14ac:dyDescent="0.25">
      <c r="A5209" t="str">
        <f>"5205"</f>
        <v>5205</v>
      </c>
      <c r="B5209" t="str">
        <f t="shared" si="298"/>
        <v>1</v>
      </c>
      <c r="C5209" t="str">
        <f t="shared" si="301"/>
        <v>228</v>
      </c>
      <c r="D5209" t="str">
        <f>"8"</f>
        <v>8</v>
      </c>
      <c r="E5209" t="str">
        <f>"1-228-8"</f>
        <v>1-228-8</v>
      </c>
      <c r="F5209" t="s">
        <v>83</v>
      </c>
      <c r="G5209" t="s">
        <v>84</v>
      </c>
      <c r="H5209" t="s">
        <v>85</v>
      </c>
      <c r="AC5209">
        <v>0</v>
      </c>
      <c r="AD5209">
        <v>1</v>
      </c>
      <c r="AE5209">
        <v>0</v>
      </c>
      <c r="AF5209">
        <v>0</v>
      </c>
      <c r="AG5209">
        <v>1</v>
      </c>
      <c r="AJ5209">
        <v>0</v>
      </c>
      <c r="AK5209">
        <v>1</v>
      </c>
      <c r="AL5209">
        <v>0</v>
      </c>
      <c r="AM5209">
        <v>0</v>
      </c>
      <c r="AN5209">
        <v>1</v>
      </c>
      <c r="AO5209">
        <v>1</v>
      </c>
      <c r="AP5209">
        <v>1</v>
      </c>
      <c r="AQ5209">
        <v>1</v>
      </c>
      <c r="AR5209">
        <v>1</v>
      </c>
      <c r="AS5209">
        <v>0</v>
      </c>
      <c r="AT5209">
        <v>1</v>
      </c>
      <c r="AV5209">
        <v>1</v>
      </c>
      <c r="AW5209">
        <v>1</v>
      </c>
    </row>
    <row r="5210" spans="1:49" x14ac:dyDescent="0.25">
      <c r="A5210" t="str">
        <f>"5206"</f>
        <v>5206</v>
      </c>
      <c r="B5210" t="str">
        <f t="shared" si="298"/>
        <v>1</v>
      </c>
      <c r="C5210" t="str">
        <f t="shared" si="301"/>
        <v>228</v>
      </c>
      <c r="D5210" t="str">
        <f>"23"</f>
        <v>23</v>
      </c>
      <c r="E5210" t="str">
        <f>"1-228-23"</f>
        <v>1-228-23</v>
      </c>
      <c r="F5210" t="s">
        <v>83</v>
      </c>
      <c r="G5210" t="s">
        <v>86</v>
      </c>
      <c r="H5210" t="s">
        <v>87</v>
      </c>
      <c r="AC5210">
        <v>0</v>
      </c>
      <c r="AD5210">
        <v>1</v>
      </c>
      <c r="AE5210">
        <v>0</v>
      </c>
      <c r="AF5210">
        <v>0</v>
      </c>
      <c r="AH5210">
        <v>0</v>
      </c>
      <c r="AI5210">
        <v>1</v>
      </c>
      <c r="AJ5210">
        <v>1</v>
      </c>
      <c r="AK5210">
        <v>0</v>
      </c>
      <c r="AL5210">
        <v>0</v>
      </c>
      <c r="AM5210">
        <v>1</v>
      </c>
      <c r="AN5210">
        <v>0</v>
      </c>
      <c r="AO5210">
        <v>0</v>
      </c>
      <c r="AP5210">
        <v>0</v>
      </c>
      <c r="AQ5210">
        <v>0</v>
      </c>
      <c r="AU5210">
        <v>0</v>
      </c>
      <c r="AV5210">
        <v>0</v>
      </c>
      <c r="AW5210">
        <v>0</v>
      </c>
    </row>
    <row r="5211" spans="1:49" x14ac:dyDescent="0.25">
      <c r="A5211" t="str">
        <f>"5207"</f>
        <v>5207</v>
      </c>
      <c r="B5211" t="str">
        <f t="shared" si="298"/>
        <v>1</v>
      </c>
      <c r="C5211" t="str">
        <f t="shared" si="301"/>
        <v>228</v>
      </c>
      <c r="D5211" t="str">
        <f>"22"</f>
        <v>22</v>
      </c>
      <c r="E5211" t="str">
        <f>"1-228-22"</f>
        <v>1-228-22</v>
      </c>
      <c r="F5211" t="s">
        <v>83</v>
      </c>
      <c r="G5211" t="s">
        <v>84</v>
      </c>
      <c r="H5211" t="s">
        <v>85</v>
      </c>
      <c r="AC5211">
        <v>0</v>
      </c>
      <c r="AD5211">
        <v>1</v>
      </c>
      <c r="AE5211">
        <v>0</v>
      </c>
      <c r="AF5211">
        <v>0</v>
      </c>
      <c r="AG5211">
        <v>1</v>
      </c>
      <c r="AJ5211">
        <v>0</v>
      </c>
      <c r="AK5211">
        <v>1</v>
      </c>
      <c r="AL5211">
        <v>0</v>
      </c>
      <c r="AM5211">
        <v>1</v>
      </c>
      <c r="AN5211">
        <v>0</v>
      </c>
      <c r="AO5211">
        <v>1</v>
      </c>
      <c r="AP5211">
        <v>1</v>
      </c>
      <c r="AQ5211">
        <v>1</v>
      </c>
      <c r="AR5211">
        <v>1</v>
      </c>
      <c r="AS5211">
        <v>0</v>
      </c>
      <c r="AT5211">
        <v>1</v>
      </c>
      <c r="AV5211">
        <v>1</v>
      </c>
      <c r="AW5211">
        <v>1</v>
      </c>
    </row>
    <row r="5212" spans="1:49" x14ac:dyDescent="0.25">
      <c r="A5212" t="str">
        <f>"5208"</f>
        <v>5208</v>
      </c>
      <c r="B5212" t="str">
        <f t="shared" si="298"/>
        <v>1</v>
      </c>
      <c r="C5212" t="str">
        <f t="shared" si="301"/>
        <v>228</v>
      </c>
      <c r="D5212" t="str">
        <f>"16"</f>
        <v>16</v>
      </c>
      <c r="E5212" t="str">
        <f>"1-228-16"</f>
        <v>1-228-16</v>
      </c>
      <c r="F5212" t="s">
        <v>83</v>
      </c>
      <c r="G5212" t="s">
        <v>86</v>
      </c>
      <c r="H5212" t="s">
        <v>87</v>
      </c>
      <c r="AC5212">
        <v>0</v>
      </c>
      <c r="AD5212">
        <v>1</v>
      </c>
      <c r="AE5212">
        <v>0</v>
      </c>
      <c r="AF5212">
        <v>0</v>
      </c>
      <c r="AH5212">
        <v>0</v>
      </c>
      <c r="AI5212">
        <v>0</v>
      </c>
      <c r="AJ5212">
        <v>1</v>
      </c>
      <c r="AK5212">
        <v>0</v>
      </c>
      <c r="AL5212">
        <v>1</v>
      </c>
      <c r="AM5212">
        <v>0</v>
      </c>
      <c r="AN5212">
        <v>0</v>
      </c>
      <c r="AO5212">
        <v>1</v>
      </c>
      <c r="AP5212">
        <v>1</v>
      </c>
      <c r="AQ5212">
        <v>1</v>
      </c>
      <c r="AU5212">
        <v>1</v>
      </c>
      <c r="AV5212">
        <v>0</v>
      </c>
      <c r="AW5212">
        <v>0</v>
      </c>
    </row>
    <row r="5213" spans="1:49" x14ac:dyDescent="0.25">
      <c r="A5213" t="str">
        <f>"5209"</f>
        <v>5209</v>
      </c>
      <c r="B5213" t="str">
        <f t="shared" si="298"/>
        <v>1</v>
      </c>
      <c r="C5213" t="str">
        <f t="shared" si="301"/>
        <v>228</v>
      </c>
      <c r="D5213" t="str">
        <f>"9"</f>
        <v>9</v>
      </c>
      <c r="E5213" t="str">
        <f>"1-228-9"</f>
        <v>1-228-9</v>
      </c>
      <c r="F5213" t="s">
        <v>83</v>
      </c>
      <c r="G5213" t="s">
        <v>86</v>
      </c>
      <c r="H5213" t="s">
        <v>87</v>
      </c>
      <c r="AC5213">
        <v>1</v>
      </c>
      <c r="AD5213">
        <v>0</v>
      </c>
      <c r="AE5213">
        <v>0</v>
      </c>
      <c r="AF5213">
        <v>0</v>
      </c>
      <c r="AH5213">
        <v>1</v>
      </c>
      <c r="AI5213">
        <v>0</v>
      </c>
      <c r="AJ5213">
        <v>1</v>
      </c>
      <c r="AK5213">
        <v>0</v>
      </c>
      <c r="AL5213">
        <v>0</v>
      </c>
      <c r="AM5213">
        <v>0</v>
      </c>
      <c r="AN5213">
        <v>0</v>
      </c>
      <c r="AO5213">
        <v>0</v>
      </c>
      <c r="AP5213">
        <v>0</v>
      </c>
      <c r="AQ5213">
        <v>0</v>
      </c>
      <c r="AU5213">
        <v>0</v>
      </c>
      <c r="AV5213">
        <v>0</v>
      </c>
      <c r="AW5213">
        <v>0</v>
      </c>
    </row>
    <row r="5214" spans="1:49" x14ac:dyDescent="0.25">
      <c r="A5214" t="str">
        <f>"5210"</f>
        <v>5210</v>
      </c>
      <c r="B5214" t="str">
        <f t="shared" ref="B5214:B5277" si="302">"1"</f>
        <v>1</v>
      </c>
      <c r="C5214" t="str">
        <f t="shared" si="301"/>
        <v>228</v>
      </c>
      <c r="D5214" t="str">
        <f>"5"</f>
        <v>5</v>
      </c>
      <c r="E5214" t="str">
        <f>"1-228-5"</f>
        <v>1-228-5</v>
      </c>
      <c r="F5214" t="s">
        <v>83</v>
      </c>
      <c r="G5214" t="s">
        <v>84</v>
      </c>
      <c r="H5214" t="s">
        <v>85</v>
      </c>
      <c r="AC5214">
        <v>0</v>
      </c>
      <c r="AD5214">
        <v>1</v>
      </c>
      <c r="AE5214">
        <v>0</v>
      </c>
      <c r="AF5214">
        <v>0</v>
      </c>
      <c r="AG5214">
        <v>0</v>
      </c>
      <c r="AJ5214">
        <v>0</v>
      </c>
      <c r="AK5214">
        <v>1</v>
      </c>
      <c r="AL5214">
        <v>0</v>
      </c>
      <c r="AM5214">
        <v>0</v>
      </c>
      <c r="AN5214">
        <v>0</v>
      </c>
      <c r="AO5214">
        <v>0</v>
      </c>
      <c r="AP5214">
        <v>0</v>
      </c>
      <c r="AQ5214">
        <v>0</v>
      </c>
      <c r="AR5214">
        <v>0</v>
      </c>
      <c r="AS5214">
        <v>0</v>
      </c>
      <c r="AT5214">
        <v>0</v>
      </c>
      <c r="AV5214">
        <v>0</v>
      </c>
      <c r="AW5214">
        <v>0</v>
      </c>
    </row>
    <row r="5215" spans="1:49" x14ac:dyDescent="0.25">
      <c r="A5215" t="str">
        <f>"5211"</f>
        <v>5211</v>
      </c>
      <c r="B5215" t="str">
        <f t="shared" si="302"/>
        <v>1</v>
      </c>
      <c r="C5215" t="str">
        <f t="shared" si="301"/>
        <v>228</v>
      </c>
      <c r="D5215" t="str">
        <f>"25"</f>
        <v>25</v>
      </c>
      <c r="E5215" t="str">
        <f>"1-228-25"</f>
        <v>1-228-25</v>
      </c>
      <c r="F5215" t="s">
        <v>83</v>
      </c>
      <c r="G5215" t="s">
        <v>84</v>
      </c>
      <c r="H5215" t="s">
        <v>85</v>
      </c>
      <c r="AC5215">
        <v>1</v>
      </c>
      <c r="AD5215">
        <v>0</v>
      </c>
      <c r="AE5215">
        <v>0</v>
      </c>
      <c r="AF5215">
        <v>0</v>
      </c>
      <c r="AG5215">
        <v>0</v>
      </c>
      <c r="AJ5215">
        <v>1</v>
      </c>
      <c r="AK5215">
        <v>0</v>
      </c>
      <c r="AL5215">
        <v>1</v>
      </c>
      <c r="AM5215">
        <v>0</v>
      </c>
      <c r="AN5215">
        <v>0</v>
      </c>
      <c r="AO5215">
        <v>1</v>
      </c>
      <c r="AP5215">
        <v>1</v>
      </c>
      <c r="AQ5215">
        <v>1</v>
      </c>
      <c r="AR5215">
        <v>1</v>
      </c>
      <c r="AS5215">
        <v>0</v>
      </c>
      <c r="AT5215">
        <v>1</v>
      </c>
      <c r="AV5215">
        <v>0</v>
      </c>
      <c r="AW5215">
        <v>0</v>
      </c>
    </row>
    <row r="5216" spans="1:49" x14ac:dyDescent="0.25">
      <c r="A5216" t="str">
        <f>"5212"</f>
        <v>5212</v>
      </c>
      <c r="B5216" t="str">
        <f t="shared" si="302"/>
        <v>1</v>
      </c>
      <c r="C5216" t="str">
        <f t="shared" si="301"/>
        <v>228</v>
      </c>
      <c r="D5216" t="str">
        <f>"24"</f>
        <v>24</v>
      </c>
      <c r="E5216" t="str">
        <f>"1-228-24"</f>
        <v>1-228-24</v>
      </c>
      <c r="F5216" t="s">
        <v>83</v>
      </c>
      <c r="G5216" t="s">
        <v>84</v>
      </c>
      <c r="H5216" t="s">
        <v>85</v>
      </c>
      <c r="AC5216">
        <v>1</v>
      </c>
      <c r="AD5216">
        <v>0</v>
      </c>
      <c r="AE5216">
        <v>0</v>
      </c>
      <c r="AF5216">
        <v>0</v>
      </c>
      <c r="AG5216">
        <v>1</v>
      </c>
      <c r="AJ5216">
        <v>1</v>
      </c>
      <c r="AK5216">
        <v>0</v>
      </c>
      <c r="AL5216">
        <v>0</v>
      </c>
      <c r="AM5216">
        <v>0</v>
      </c>
      <c r="AN5216">
        <v>1</v>
      </c>
      <c r="AO5216">
        <v>1</v>
      </c>
      <c r="AP5216">
        <v>1</v>
      </c>
      <c r="AQ5216">
        <v>1</v>
      </c>
      <c r="AR5216">
        <v>1</v>
      </c>
      <c r="AS5216">
        <v>1</v>
      </c>
      <c r="AT5216">
        <v>0</v>
      </c>
      <c r="AV5216">
        <v>1</v>
      </c>
      <c r="AW5216">
        <v>1</v>
      </c>
    </row>
    <row r="5217" spans="1:49" x14ac:dyDescent="0.25">
      <c r="A5217" t="str">
        <f>"5213"</f>
        <v>5213</v>
      </c>
      <c r="B5217" t="str">
        <f t="shared" si="302"/>
        <v>1</v>
      </c>
      <c r="C5217" t="str">
        <f t="shared" si="301"/>
        <v>228</v>
      </c>
      <c r="D5217" t="str">
        <f>"17"</f>
        <v>17</v>
      </c>
      <c r="E5217" t="str">
        <f>"1-228-17"</f>
        <v>1-228-17</v>
      </c>
      <c r="F5217" t="s">
        <v>83</v>
      </c>
      <c r="G5217" t="s">
        <v>86</v>
      </c>
      <c r="H5217" t="s">
        <v>87</v>
      </c>
      <c r="AC5217">
        <v>0</v>
      </c>
      <c r="AD5217">
        <v>1</v>
      </c>
      <c r="AE5217">
        <v>0</v>
      </c>
      <c r="AF5217">
        <v>0</v>
      </c>
      <c r="AH5217">
        <v>0</v>
      </c>
      <c r="AI5217">
        <v>1</v>
      </c>
      <c r="AJ5217">
        <v>0</v>
      </c>
      <c r="AK5217">
        <v>1</v>
      </c>
      <c r="AL5217">
        <v>0</v>
      </c>
      <c r="AM5217">
        <v>1</v>
      </c>
      <c r="AN5217">
        <v>0</v>
      </c>
      <c r="AO5217">
        <v>0</v>
      </c>
      <c r="AP5217">
        <v>0</v>
      </c>
      <c r="AQ5217">
        <v>0</v>
      </c>
      <c r="AU5217">
        <v>0</v>
      </c>
      <c r="AV5217">
        <v>0</v>
      </c>
      <c r="AW5217">
        <v>0</v>
      </c>
    </row>
    <row r="5218" spans="1:49" x14ac:dyDescent="0.25">
      <c r="A5218" t="str">
        <f>"5214"</f>
        <v>5214</v>
      </c>
      <c r="B5218" t="str">
        <f t="shared" si="302"/>
        <v>1</v>
      </c>
      <c r="C5218" t="str">
        <f t="shared" si="301"/>
        <v>228</v>
      </c>
      <c r="D5218" t="str">
        <f>"10"</f>
        <v>10</v>
      </c>
      <c r="E5218" t="str">
        <f>"1-228-10"</f>
        <v>1-228-10</v>
      </c>
      <c r="F5218" t="s">
        <v>83</v>
      </c>
      <c r="G5218" t="s">
        <v>84</v>
      </c>
      <c r="H5218" t="s">
        <v>85</v>
      </c>
      <c r="AC5218">
        <v>1</v>
      </c>
      <c r="AD5218">
        <v>0</v>
      </c>
      <c r="AE5218">
        <v>0</v>
      </c>
      <c r="AF5218">
        <v>0</v>
      </c>
      <c r="AG5218">
        <v>1</v>
      </c>
      <c r="AJ5218">
        <v>1</v>
      </c>
      <c r="AK5218">
        <v>0</v>
      </c>
      <c r="AL5218">
        <v>0</v>
      </c>
      <c r="AM5218">
        <v>1</v>
      </c>
      <c r="AN5218">
        <v>0</v>
      </c>
      <c r="AO5218">
        <v>1</v>
      </c>
      <c r="AP5218">
        <v>1</v>
      </c>
      <c r="AQ5218">
        <v>1</v>
      </c>
      <c r="AR5218">
        <v>1</v>
      </c>
      <c r="AS5218">
        <v>1</v>
      </c>
      <c r="AT5218">
        <v>0</v>
      </c>
      <c r="AV5218">
        <v>1</v>
      </c>
      <c r="AW5218">
        <v>1</v>
      </c>
    </row>
    <row r="5219" spans="1:49" x14ac:dyDescent="0.25">
      <c r="A5219" t="str">
        <f>"5215"</f>
        <v>5215</v>
      </c>
      <c r="B5219" t="str">
        <f t="shared" si="302"/>
        <v>1</v>
      </c>
      <c r="C5219" t="str">
        <f t="shared" si="301"/>
        <v>228</v>
      </c>
      <c r="D5219" t="str">
        <f>"4"</f>
        <v>4</v>
      </c>
      <c r="E5219" t="str">
        <f>"1-228-4"</f>
        <v>1-228-4</v>
      </c>
      <c r="F5219" t="s">
        <v>83</v>
      </c>
      <c r="G5219" t="s">
        <v>84</v>
      </c>
      <c r="H5219" t="s">
        <v>85</v>
      </c>
      <c r="AC5219">
        <v>1</v>
      </c>
      <c r="AD5219">
        <v>0</v>
      </c>
      <c r="AE5219">
        <v>0</v>
      </c>
      <c r="AF5219">
        <v>0</v>
      </c>
      <c r="AG5219">
        <v>1</v>
      </c>
      <c r="AJ5219">
        <v>1</v>
      </c>
      <c r="AK5219">
        <v>0</v>
      </c>
      <c r="AL5219">
        <v>0</v>
      </c>
      <c r="AM5219">
        <v>0</v>
      </c>
      <c r="AN5219">
        <v>1</v>
      </c>
      <c r="AO5219">
        <v>1</v>
      </c>
      <c r="AP5219">
        <v>1</v>
      </c>
      <c r="AQ5219">
        <v>1</v>
      </c>
      <c r="AR5219">
        <v>1</v>
      </c>
      <c r="AS5219">
        <v>0</v>
      </c>
      <c r="AT5219">
        <v>1</v>
      </c>
      <c r="AV5219">
        <v>1</v>
      </c>
      <c r="AW5219">
        <v>1</v>
      </c>
    </row>
    <row r="5220" spans="1:49" x14ac:dyDescent="0.25">
      <c r="A5220" t="str">
        <f>"5216"</f>
        <v>5216</v>
      </c>
      <c r="B5220" t="str">
        <f t="shared" si="302"/>
        <v>1</v>
      </c>
      <c r="C5220" t="str">
        <f t="shared" si="301"/>
        <v>228</v>
      </c>
      <c r="D5220" t="str">
        <f>"21"</f>
        <v>21</v>
      </c>
      <c r="E5220" t="str">
        <f>"1-228-21"</f>
        <v>1-228-21</v>
      </c>
      <c r="F5220" t="s">
        <v>83</v>
      </c>
      <c r="G5220" t="s">
        <v>84</v>
      </c>
      <c r="H5220" t="s">
        <v>85</v>
      </c>
      <c r="AC5220">
        <v>1</v>
      </c>
      <c r="AD5220">
        <v>0</v>
      </c>
      <c r="AE5220">
        <v>0</v>
      </c>
      <c r="AF5220">
        <v>0</v>
      </c>
      <c r="AG5220">
        <v>1</v>
      </c>
      <c r="AJ5220">
        <v>1</v>
      </c>
      <c r="AK5220">
        <v>0</v>
      </c>
      <c r="AL5220">
        <v>0</v>
      </c>
      <c r="AM5220">
        <v>1</v>
      </c>
      <c r="AN5220">
        <v>0</v>
      </c>
      <c r="AO5220">
        <v>1</v>
      </c>
      <c r="AP5220">
        <v>1</v>
      </c>
      <c r="AQ5220">
        <v>1</v>
      </c>
      <c r="AR5220">
        <v>1</v>
      </c>
      <c r="AS5220">
        <v>0</v>
      </c>
      <c r="AT5220">
        <v>1</v>
      </c>
      <c r="AV5220">
        <v>1</v>
      </c>
      <c r="AW5220">
        <v>1</v>
      </c>
    </row>
    <row r="5221" spans="1:49" x14ac:dyDescent="0.25">
      <c r="A5221" t="str">
        <f>"5217"</f>
        <v>5217</v>
      </c>
      <c r="B5221" t="str">
        <f t="shared" si="302"/>
        <v>1</v>
      </c>
      <c r="C5221" t="str">
        <f t="shared" si="301"/>
        <v>228</v>
      </c>
      <c r="D5221" t="str">
        <f>"11"</f>
        <v>11</v>
      </c>
      <c r="E5221" t="str">
        <f>"1-228-11"</f>
        <v>1-228-11</v>
      </c>
      <c r="F5221" t="s">
        <v>83</v>
      </c>
      <c r="G5221" t="s">
        <v>84</v>
      </c>
      <c r="H5221" t="s">
        <v>85</v>
      </c>
      <c r="AC5221">
        <v>0</v>
      </c>
      <c r="AD5221">
        <v>1</v>
      </c>
      <c r="AE5221">
        <v>0</v>
      </c>
      <c r="AF5221">
        <v>0</v>
      </c>
      <c r="AG5221">
        <v>0</v>
      </c>
      <c r="AJ5221">
        <v>0</v>
      </c>
      <c r="AK5221">
        <v>1</v>
      </c>
      <c r="AL5221">
        <v>0</v>
      </c>
      <c r="AM5221">
        <v>0</v>
      </c>
      <c r="AN5221">
        <v>0</v>
      </c>
      <c r="AO5221">
        <v>0</v>
      </c>
      <c r="AP5221">
        <v>0</v>
      </c>
      <c r="AQ5221">
        <v>0</v>
      </c>
      <c r="AR5221">
        <v>0</v>
      </c>
      <c r="AS5221">
        <v>0</v>
      </c>
      <c r="AT5221">
        <v>0</v>
      </c>
      <c r="AV5221">
        <v>0</v>
      </c>
      <c r="AW5221">
        <v>0</v>
      </c>
    </row>
    <row r="5222" spans="1:49" x14ac:dyDescent="0.25">
      <c r="A5222" t="str">
        <f>"5218"</f>
        <v>5218</v>
      </c>
      <c r="B5222" t="str">
        <f t="shared" si="302"/>
        <v>1</v>
      </c>
      <c r="C5222" t="str">
        <f t="shared" si="301"/>
        <v>228</v>
      </c>
      <c r="D5222" t="str">
        <f>"6"</f>
        <v>6</v>
      </c>
      <c r="E5222" t="str">
        <f>"1-228-6"</f>
        <v>1-228-6</v>
      </c>
      <c r="F5222" t="s">
        <v>83</v>
      </c>
      <c r="G5222" t="s">
        <v>84</v>
      </c>
      <c r="H5222" t="s">
        <v>85</v>
      </c>
      <c r="AC5222">
        <v>0</v>
      </c>
      <c r="AD5222">
        <v>0</v>
      </c>
      <c r="AE5222">
        <v>0</v>
      </c>
      <c r="AF5222">
        <v>0</v>
      </c>
      <c r="AG5222">
        <v>1</v>
      </c>
      <c r="AJ5222">
        <v>0</v>
      </c>
      <c r="AK5222">
        <v>0</v>
      </c>
      <c r="AL5222">
        <v>0</v>
      </c>
      <c r="AM5222">
        <v>1</v>
      </c>
      <c r="AN5222">
        <v>0</v>
      </c>
      <c r="AO5222">
        <v>1</v>
      </c>
      <c r="AP5222">
        <v>1</v>
      </c>
      <c r="AQ5222">
        <v>1</v>
      </c>
      <c r="AR5222">
        <v>1</v>
      </c>
      <c r="AS5222">
        <v>0</v>
      </c>
      <c r="AT5222">
        <v>0</v>
      </c>
      <c r="AV5222">
        <v>1</v>
      </c>
      <c r="AW5222">
        <v>1</v>
      </c>
    </row>
    <row r="5223" spans="1:49" x14ac:dyDescent="0.25">
      <c r="A5223" t="str">
        <f>"5219"</f>
        <v>5219</v>
      </c>
      <c r="B5223" t="str">
        <f t="shared" si="302"/>
        <v>1</v>
      </c>
      <c r="C5223" t="str">
        <f t="shared" si="301"/>
        <v>228</v>
      </c>
      <c r="D5223" t="str">
        <f>"20"</f>
        <v>20</v>
      </c>
      <c r="E5223" t="str">
        <f>"1-228-20"</f>
        <v>1-228-20</v>
      </c>
      <c r="F5223" t="s">
        <v>83</v>
      </c>
      <c r="G5223" t="s">
        <v>84</v>
      </c>
      <c r="H5223" t="s">
        <v>85</v>
      </c>
      <c r="AC5223">
        <v>1</v>
      </c>
      <c r="AD5223">
        <v>0</v>
      </c>
      <c r="AE5223">
        <v>0</v>
      </c>
      <c r="AF5223">
        <v>0</v>
      </c>
      <c r="AG5223">
        <v>1</v>
      </c>
      <c r="AJ5223">
        <v>0</v>
      </c>
      <c r="AK5223">
        <v>0</v>
      </c>
      <c r="AL5223">
        <v>0</v>
      </c>
      <c r="AM5223">
        <v>1</v>
      </c>
      <c r="AN5223">
        <v>0</v>
      </c>
      <c r="AO5223">
        <v>1</v>
      </c>
      <c r="AP5223">
        <v>1</v>
      </c>
      <c r="AQ5223">
        <v>1</v>
      </c>
      <c r="AR5223">
        <v>0</v>
      </c>
      <c r="AS5223">
        <v>0</v>
      </c>
      <c r="AT5223">
        <v>0</v>
      </c>
      <c r="AV5223">
        <v>1</v>
      </c>
      <c r="AW5223">
        <v>1</v>
      </c>
    </row>
    <row r="5224" spans="1:49" x14ac:dyDescent="0.25">
      <c r="A5224" t="str">
        <f>"5220"</f>
        <v>5220</v>
      </c>
      <c r="B5224" t="str">
        <f t="shared" si="302"/>
        <v>1</v>
      </c>
      <c r="C5224" t="str">
        <f t="shared" si="301"/>
        <v>228</v>
      </c>
      <c r="D5224" t="str">
        <f>"12"</f>
        <v>12</v>
      </c>
      <c r="E5224" t="str">
        <f>"1-228-12"</f>
        <v>1-228-12</v>
      </c>
      <c r="F5224" t="s">
        <v>83</v>
      </c>
      <c r="G5224" t="s">
        <v>84</v>
      </c>
      <c r="H5224" t="s">
        <v>85</v>
      </c>
      <c r="AC5224">
        <v>1</v>
      </c>
      <c r="AD5224">
        <v>0</v>
      </c>
      <c r="AE5224">
        <v>0</v>
      </c>
      <c r="AF5224">
        <v>0</v>
      </c>
      <c r="AG5224">
        <v>0</v>
      </c>
      <c r="AJ5224">
        <v>1</v>
      </c>
      <c r="AK5224">
        <v>0</v>
      </c>
      <c r="AL5224">
        <v>0</v>
      </c>
      <c r="AM5224">
        <v>1</v>
      </c>
      <c r="AN5224">
        <v>0</v>
      </c>
      <c r="AO5224">
        <v>0</v>
      </c>
      <c r="AP5224">
        <v>0</v>
      </c>
      <c r="AQ5224">
        <v>0</v>
      </c>
      <c r="AR5224">
        <v>0</v>
      </c>
      <c r="AS5224">
        <v>0</v>
      </c>
      <c r="AT5224">
        <v>1</v>
      </c>
      <c r="AV5224">
        <v>0</v>
      </c>
      <c r="AW5224">
        <v>1</v>
      </c>
    </row>
    <row r="5225" spans="1:49" x14ac:dyDescent="0.25">
      <c r="A5225" t="str">
        <f>"5221"</f>
        <v>5221</v>
      </c>
      <c r="B5225" t="str">
        <f t="shared" si="302"/>
        <v>1</v>
      </c>
      <c r="C5225" t="str">
        <f t="shared" si="301"/>
        <v>228</v>
      </c>
      <c r="D5225" t="str">
        <f>"3"</f>
        <v>3</v>
      </c>
      <c r="E5225" t="str">
        <f>"1-228-3"</f>
        <v>1-228-3</v>
      </c>
      <c r="F5225" t="s">
        <v>83</v>
      </c>
      <c r="G5225" t="s">
        <v>84</v>
      </c>
      <c r="H5225" t="s">
        <v>85</v>
      </c>
      <c r="AC5225">
        <v>0</v>
      </c>
      <c r="AD5225">
        <v>1</v>
      </c>
      <c r="AE5225">
        <v>0</v>
      </c>
      <c r="AF5225">
        <v>0</v>
      </c>
      <c r="AG5225">
        <v>1</v>
      </c>
      <c r="AJ5225">
        <v>0</v>
      </c>
      <c r="AK5225">
        <v>1</v>
      </c>
      <c r="AL5225">
        <v>0</v>
      </c>
      <c r="AM5225">
        <v>0</v>
      </c>
      <c r="AN5225">
        <v>1</v>
      </c>
      <c r="AO5225">
        <v>1</v>
      </c>
      <c r="AP5225">
        <v>1</v>
      </c>
      <c r="AQ5225">
        <v>1</v>
      </c>
      <c r="AR5225">
        <v>1</v>
      </c>
      <c r="AS5225">
        <v>0</v>
      </c>
      <c r="AT5225">
        <v>1</v>
      </c>
      <c r="AV5225">
        <v>1</v>
      </c>
      <c r="AW5225">
        <v>1</v>
      </c>
    </row>
    <row r="5226" spans="1:49" x14ac:dyDescent="0.25">
      <c r="A5226" t="str">
        <f>"5222"</f>
        <v>5222</v>
      </c>
      <c r="B5226" t="str">
        <f t="shared" si="302"/>
        <v>1</v>
      </c>
      <c r="C5226" t="str">
        <f t="shared" si="301"/>
        <v>228</v>
      </c>
      <c r="D5226" t="str">
        <f>"18"</f>
        <v>18</v>
      </c>
      <c r="E5226" t="str">
        <f>"1-228-18"</f>
        <v>1-228-18</v>
      </c>
      <c r="F5226" t="s">
        <v>83</v>
      </c>
      <c r="G5226" t="s">
        <v>84</v>
      </c>
      <c r="H5226" t="s">
        <v>85</v>
      </c>
      <c r="AC5226">
        <v>0</v>
      </c>
      <c r="AD5226">
        <v>1</v>
      </c>
      <c r="AE5226">
        <v>0</v>
      </c>
      <c r="AF5226">
        <v>0</v>
      </c>
      <c r="AG5226">
        <v>1</v>
      </c>
      <c r="AJ5226">
        <v>0</v>
      </c>
      <c r="AK5226">
        <v>1</v>
      </c>
      <c r="AL5226">
        <v>0</v>
      </c>
      <c r="AM5226">
        <v>0</v>
      </c>
      <c r="AN5226">
        <v>1</v>
      </c>
      <c r="AO5226">
        <v>1</v>
      </c>
      <c r="AP5226">
        <v>1</v>
      </c>
      <c r="AQ5226">
        <v>1</v>
      </c>
      <c r="AR5226">
        <v>1</v>
      </c>
      <c r="AS5226">
        <v>0</v>
      </c>
      <c r="AT5226">
        <v>0</v>
      </c>
      <c r="AV5226">
        <v>1</v>
      </c>
      <c r="AW5226">
        <v>1</v>
      </c>
    </row>
    <row r="5227" spans="1:49" x14ac:dyDescent="0.25">
      <c r="A5227" t="str">
        <f>"5223"</f>
        <v>5223</v>
      </c>
      <c r="B5227" t="str">
        <f t="shared" si="302"/>
        <v>1</v>
      </c>
      <c r="C5227" t="str">
        <f t="shared" si="301"/>
        <v>228</v>
      </c>
      <c r="D5227" t="str">
        <f>"7"</f>
        <v>7</v>
      </c>
      <c r="E5227" t="str">
        <f>"1-228-7"</f>
        <v>1-228-7</v>
      </c>
      <c r="F5227" t="s">
        <v>83</v>
      </c>
      <c r="G5227" t="s">
        <v>84</v>
      </c>
      <c r="H5227" t="s">
        <v>85</v>
      </c>
      <c r="AC5227">
        <v>1</v>
      </c>
      <c r="AD5227">
        <v>0</v>
      </c>
      <c r="AE5227">
        <v>0</v>
      </c>
      <c r="AF5227">
        <v>0</v>
      </c>
      <c r="AG5227">
        <v>1</v>
      </c>
      <c r="AJ5227">
        <v>1</v>
      </c>
      <c r="AK5227">
        <v>0</v>
      </c>
      <c r="AL5227">
        <v>1</v>
      </c>
      <c r="AM5227">
        <v>0</v>
      </c>
      <c r="AN5227">
        <v>0</v>
      </c>
      <c r="AO5227">
        <v>1</v>
      </c>
      <c r="AP5227">
        <v>1</v>
      </c>
      <c r="AQ5227">
        <v>1</v>
      </c>
      <c r="AR5227">
        <v>1</v>
      </c>
      <c r="AS5227">
        <v>0</v>
      </c>
      <c r="AT5227">
        <v>1</v>
      </c>
      <c r="AV5227">
        <v>1</v>
      </c>
      <c r="AW5227">
        <v>1</v>
      </c>
    </row>
    <row r="5228" spans="1:49" x14ac:dyDescent="0.25">
      <c r="A5228" t="str">
        <f>"5224"</f>
        <v>5224</v>
      </c>
      <c r="B5228" t="str">
        <f t="shared" si="302"/>
        <v>1</v>
      </c>
      <c r="C5228" t="str">
        <f t="shared" si="301"/>
        <v>228</v>
      </c>
      <c r="D5228" t="str">
        <f>"19"</f>
        <v>19</v>
      </c>
      <c r="E5228" t="str">
        <f>"1-228-19"</f>
        <v>1-228-19</v>
      </c>
      <c r="F5228" t="s">
        <v>83</v>
      </c>
      <c r="G5228" t="s">
        <v>84</v>
      </c>
      <c r="H5228" t="s">
        <v>85</v>
      </c>
      <c r="AC5228">
        <v>0</v>
      </c>
      <c r="AD5228">
        <v>1</v>
      </c>
      <c r="AE5228">
        <v>0</v>
      </c>
      <c r="AF5228">
        <v>0</v>
      </c>
      <c r="AG5228">
        <v>1</v>
      </c>
      <c r="AJ5228">
        <v>0</v>
      </c>
      <c r="AK5228">
        <v>1</v>
      </c>
      <c r="AL5228">
        <v>0</v>
      </c>
      <c r="AM5228">
        <v>0</v>
      </c>
      <c r="AN5228">
        <v>1</v>
      </c>
      <c r="AO5228">
        <v>1</v>
      </c>
      <c r="AP5228">
        <v>1</v>
      </c>
      <c r="AQ5228">
        <v>1</v>
      </c>
      <c r="AR5228">
        <v>1</v>
      </c>
      <c r="AS5228">
        <v>0</v>
      </c>
      <c r="AT5228">
        <v>1</v>
      </c>
      <c r="AV5228">
        <v>1</v>
      </c>
      <c r="AW5228">
        <v>0</v>
      </c>
    </row>
    <row r="5229" spans="1:49" x14ac:dyDescent="0.25">
      <c r="A5229" t="str">
        <f>"5225"</f>
        <v>5225</v>
      </c>
      <c r="B5229" t="str">
        <f t="shared" si="302"/>
        <v>1</v>
      </c>
      <c r="C5229" t="str">
        <f t="shared" si="301"/>
        <v>228</v>
      </c>
      <c r="D5229" t="str">
        <f>"2"</f>
        <v>2</v>
      </c>
      <c r="E5229" t="str">
        <f>"1-228-2"</f>
        <v>1-228-2</v>
      </c>
      <c r="F5229" t="s">
        <v>83</v>
      </c>
      <c r="G5229" t="s">
        <v>84</v>
      </c>
      <c r="H5229" t="s">
        <v>85</v>
      </c>
      <c r="AC5229">
        <v>0</v>
      </c>
      <c r="AD5229">
        <v>1</v>
      </c>
      <c r="AE5229">
        <v>0</v>
      </c>
      <c r="AF5229">
        <v>0</v>
      </c>
      <c r="AG5229">
        <v>0</v>
      </c>
      <c r="AJ5229">
        <v>0</v>
      </c>
      <c r="AK5229">
        <v>1</v>
      </c>
      <c r="AL5229">
        <v>0</v>
      </c>
      <c r="AM5229">
        <v>0</v>
      </c>
      <c r="AN5229">
        <v>0</v>
      </c>
      <c r="AO5229">
        <v>0</v>
      </c>
      <c r="AP5229">
        <v>0</v>
      </c>
      <c r="AQ5229">
        <v>0</v>
      </c>
      <c r="AR5229">
        <v>1</v>
      </c>
      <c r="AS5229">
        <v>0</v>
      </c>
      <c r="AT5229">
        <v>1</v>
      </c>
      <c r="AV5229">
        <v>0</v>
      </c>
      <c r="AW5229">
        <v>0</v>
      </c>
    </row>
    <row r="5230" spans="1:49" x14ac:dyDescent="0.25">
      <c r="A5230" t="str">
        <f>"5226"</f>
        <v>5226</v>
      </c>
      <c r="B5230" t="str">
        <f t="shared" si="302"/>
        <v>1</v>
      </c>
      <c r="C5230" t="str">
        <f t="shared" si="301"/>
        <v>228</v>
      </c>
      <c r="D5230" t="str">
        <f>"1"</f>
        <v>1</v>
      </c>
      <c r="E5230" t="str">
        <f>"1-228-1"</f>
        <v>1-228-1</v>
      </c>
      <c r="F5230" t="s">
        <v>83</v>
      </c>
      <c r="G5230" t="s">
        <v>84</v>
      </c>
      <c r="H5230" t="s">
        <v>85</v>
      </c>
      <c r="AC5230">
        <v>1</v>
      </c>
      <c r="AD5230">
        <v>0</v>
      </c>
      <c r="AE5230">
        <v>0</v>
      </c>
      <c r="AF5230">
        <v>0</v>
      </c>
      <c r="AG5230">
        <v>1</v>
      </c>
      <c r="AJ5230">
        <v>1</v>
      </c>
      <c r="AK5230">
        <v>0</v>
      </c>
      <c r="AL5230">
        <v>0</v>
      </c>
      <c r="AM5230">
        <v>0</v>
      </c>
      <c r="AN5230">
        <v>1</v>
      </c>
      <c r="AO5230">
        <v>1</v>
      </c>
      <c r="AP5230">
        <v>1</v>
      </c>
      <c r="AQ5230">
        <v>1</v>
      </c>
      <c r="AR5230">
        <v>1</v>
      </c>
      <c r="AS5230">
        <v>0</v>
      </c>
      <c r="AT5230">
        <v>1</v>
      </c>
      <c r="AV5230">
        <v>1</v>
      </c>
      <c r="AW5230">
        <v>1</v>
      </c>
    </row>
    <row r="5231" spans="1:49" x14ac:dyDescent="0.25">
      <c r="A5231" t="str">
        <f>"5227"</f>
        <v>5227</v>
      </c>
      <c r="B5231" t="str">
        <f t="shared" si="302"/>
        <v>1</v>
      </c>
      <c r="C5231" t="str">
        <f t="shared" si="301"/>
        <v>228</v>
      </c>
      <c r="D5231" t="str">
        <f>"15"</f>
        <v>15</v>
      </c>
      <c r="E5231" t="str">
        <f>"1-228-15"</f>
        <v>1-228-15</v>
      </c>
      <c r="F5231" t="s">
        <v>83</v>
      </c>
      <c r="G5231" t="s">
        <v>84</v>
      </c>
      <c r="H5231" t="s">
        <v>85</v>
      </c>
      <c r="AC5231">
        <v>0</v>
      </c>
      <c r="AD5231">
        <v>1</v>
      </c>
      <c r="AE5231">
        <v>0</v>
      </c>
      <c r="AF5231">
        <v>0</v>
      </c>
      <c r="AG5231">
        <v>1</v>
      </c>
      <c r="AJ5231">
        <v>1</v>
      </c>
      <c r="AK5231">
        <v>0</v>
      </c>
      <c r="AL5231">
        <v>0</v>
      </c>
      <c r="AM5231">
        <v>0</v>
      </c>
      <c r="AN5231">
        <v>1</v>
      </c>
      <c r="AO5231">
        <v>1</v>
      </c>
      <c r="AP5231">
        <v>1</v>
      </c>
      <c r="AQ5231">
        <v>1</v>
      </c>
      <c r="AR5231">
        <v>1</v>
      </c>
      <c r="AS5231">
        <v>1</v>
      </c>
      <c r="AT5231">
        <v>0</v>
      </c>
      <c r="AV5231">
        <v>1</v>
      </c>
      <c r="AW5231">
        <v>1</v>
      </c>
    </row>
    <row r="5232" spans="1:49" x14ac:dyDescent="0.25">
      <c r="A5232" t="str">
        <f>"5228"</f>
        <v>5228</v>
      </c>
      <c r="B5232" t="str">
        <f t="shared" si="302"/>
        <v>1</v>
      </c>
      <c r="C5232" t="str">
        <f t="shared" ref="C5232:C5256" si="303">"229"</f>
        <v>229</v>
      </c>
      <c r="D5232" t="str">
        <f>"23"</f>
        <v>23</v>
      </c>
      <c r="E5232" t="str">
        <f>"1-229-23"</f>
        <v>1-229-23</v>
      </c>
      <c r="F5232" t="s">
        <v>83</v>
      </c>
      <c r="G5232" t="s">
        <v>84</v>
      </c>
      <c r="H5232" t="s">
        <v>85</v>
      </c>
      <c r="AC5232">
        <v>1</v>
      </c>
      <c r="AD5232">
        <v>0</v>
      </c>
      <c r="AE5232">
        <v>0</v>
      </c>
      <c r="AF5232">
        <v>0</v>
      </c>
      <c r="AG5232">
        <v>0</v>
      </c>
      <c r="AJ5232">
        <v>1</v>
      </c>
      <c r="AK5232">
        <v>0</v>
      </c>
      <c r="AL5232">
        <v>0</v>
      </c>
      <c r="AM5232">
        <v>0</v>
      </c>
      <c r="AN5232">
        <v>1</v>
      </c>
      <c r="AO5232">
        <v>0</v>
      </c>
      <c r="AP5232">
        <v>0</v>
      </c>
      <c r="AQ5232">
        <v>0</v>
      </c>
      <c r="AR5232">
        <v>0</v>
      </c>
      <c r="AS5232">
        <v>1</v>
      </c>
      <c r="AT5232">
        <v>0</v>
      </c>
      <c r="AV5232">
        <v>1</v>
      </c>
      <c r="AW5232">
        <v>1</v>
      </c>
    </row>
    <row r="5233" spans="1:49" x14ac:dyDescent="0.25">
      <c r="A5233" t="str">
        <f>"5229"</f>
        <v>5229</v>
      </c>
      <c r="B5233" t="str">
        <f t="shared" si="302"/>
        <v>1</v>
      </c>
      <c r="C5233" t="str">
        <f t="shared" si="303"/>
        <v>229</v>
      </c>
      <c r="D5233" t="str">
        <f>"22"</f>
        <v>22</v>
      </c>
      <c r="E5233" t="str">
        <f>"1-229-22"</f>
        <v>1-229-22</v>
      </c>
      <c r="F5233" t="s">
        <v>83</v>
      </c>
      <c r="G5233" t="s">
        <v>84</v>
      </c>
      <c r="H5233" t="s">
        <v>85</v>
      </c>
      <c r="AC5233">
        <v>1</v>
      </c>
      <c r="AD5233">
        <v>0</v>
      </c>
      <c r="AE5233">
        <v>0</v>
      </c>
      <c r="AF5233">
        <v>0</v>
      </c>
      <c r="AG5233">
        <v>0</v>
      </c>
      <c r="AJ5233">
        <v>1</v>
      </c>
      <c r="AK5233">
        <v>0</v>
      </c>
      <c r="AL5233">
        <v>0</v>
      </c>
      <c r="AM5233">
        <v>0</v>
      </c>
      <c r="AN5233">
        <v>1</v>
      </c>
      <c r="AO5233">
        <v>0</v>
      </c>
      <c r="AP5233">
        <v>0</v>
      </c>
      <c r="AQ5233">
        <v>0</v>
      </c>
      <c r="AR5233">
        <v>0</v>
      </c>
      <c r="AS5233">
        <v>0</v>
      </c>
      <c r="AT5233">
        <v>1</v>
      </c>
      <c r="AV5233">
        <v>0</v>
      </c>
      <c r="AW5233">
        <v>1</v>
      </c>
    </row>
    <row r="5234" spans="1:49" x14ac:dyDescent="0.25">
      <c r="A5234" t="str">
        <f>"5230"</f>
        <v>5230</v>
      </c>
      <c r="B5234" t="str">
        <f t="shared" si="302"/>
        <v>1</v>
      </c>
      <c r="C5234" t="str">
        <f t="shared" si="303"/>
        <v>229</v>
      </c>
      <c r="D5234" t="str">
        <f>"15"</f>
        <v>15</v>
      </c>
      <c r="E5234" t="str">
        <f>"1-229-15"</f>
        <v>1-229-15</v>
      </c>
      <c r="F5234" t="s">
        <v>83</v>
      </c>
      <c r="G5234" t="s">
        <v>86</v>
      </c>
      <c r="H5234" t="s">
        <v>87</v>
      </c>
      <c r="AC5234">
        <v>1</v>
      </c>
      <c r="AD5234">
        <v>0</v>
      </c>
      <c r="AE5234">
        <v>0</v>
      </c>
      <c r="AF5234">
        <v>0</v>
      </c>
      <c r="AH5234">
        <v>1</v>
      </c>
      <c r="AI5234">
        <v>0</v>
      </c>
      <c r="AJ5234">
        <v>0</v>
      </c>
      <c r="AK5234">
        <v>1</v>
      </c>
      <c r="AL5234">
        <v>1</v>
      </c>
      <c r="AM5234">
        <v>0</v>
      </c>
      <c r="AN5234">
        <v>0</v>
      </c>
      <c r="AO5234">
        <v>0</v>
      </c>
      <c r="AP5234">
        <v>0</v>
      </c>
      <c r="AQ5234">
        <v>0</v>
      </c>
      <c r="AU5234">
        <v>0</v>
      </c>
      <c r="AV5234">
        <v>0</v>
      </c>
      <c r="AW5234">
        <v>0</v>
      </c>
    </row>
    <row r="5235" spans="1:49" x14ac:dyDescent="0.25">
      <c r="A5235" t="str">
        <f>"5231"</f>
        <v>5231</v>
      </c>
      <c r="B5235" t="str">
        <f t="shared" si="302"/>
        <v>1</v>
      </c>
      <c r="C5235" t="str">
        <f t="shared" si="303"/>
        <v>229</v>
      </c>
      <c r="D5235" t="str">
        <f>"8"</f>
        <v>8</v>
      </c>
      <c r="E5235" t="str">
        <f>"1-229-8"</f>
        <v>1-229-8</v>
      </c>
      <c r="F5235" t="s">
        <v>83</v>
      </c>
      <c r="G5235" t="s">
        <v>86</v>
      </c>
      <c r="H5235" t="s">
        <v>87</v>
      </c>
      <c r="AC5235">
        <v>1</v>
      </c>
      <c r="AD5235">
        <v>0</v>
      </c>
      <c r="AE5235">
        <v>0</v>
      </c>
      <c r="AF5235">
        <v>0</v>
      </c>
      <c r="AH5235">
        <v>1</v>
      </c>
      <c r="AI5235">
        <v>0</v>
      </c>
      <c r="AJ5235">
        <v>1</v>
      </c>
      <c r="AK5235">
        <v>0</v>
      </c>
      <c r="AL5235">
        <v>1</v>
      </c>
      <c r="AM5235">
        <v>0</v>
      </c>
      <c r="AN5235">
        <v>0</v>
      </c>
      <c r="AO5235">
        <v>0</v>
      </c>
      <c r="AP5235">
        <v>0</v>
      </c>
      <c r="AQ5235">
        <v>0</v>
      </c>
      <c r="AU5235">
        <v>0</v>
      </c>
      <c r="AV5235">
        <v>0</v>
      </c>
      <c r="AW5235">
        <v>0</v>
      </c>
    </row>
    <row r="5236" spans="1:49" x14ac:dyDescent="0.25">
      <c r="A5236" t="str">
        <f>"5232"</f>
        <v>5232</v>
      </c>
      <c r="B5236" t="str">
        <f t="shared" si="302"/>
        <v>1</v>
      </c>
      <c r="C5236" t="str">
        <f t="shared" si="303"/>
        <v>229</v>
      </c>
      <c r="D5236" t="str">
        <f>"4"</f>
        <v>4</v>
      </c>
      <c r="E5236" t="str">
        <f>"1-229-4"</f>
        <v>1-229-4</v>
      </c>
      <c r="F5236" t="s">
        <v>83</v>
      </c>
      <c r="G5236" t="s">
        <v>86</v>
      </c>
      <c r="H5236" t="s">
        <v>87</v>
      </c>
      <c r="AC5236">
        <v>0</v>
      </c>
      <c r="AD5236">
        <v>1</v>
      </c>
      <c r="AE5236">
        <v>0</v>
      </c>
      <c r="AF5236">
        <v>0</v>
      </c>
      <c r="AH5236">
        <v>1</v>
      </c>
      <c r="AI5236">
        <v>0</v>
      </c>
      <c r="AJ5236">
        <v>0</v>
      </c>
      <c r="AK5236">
        <v>1</v>
      </c>
      <c r="AL5236">
        <v>0</v>
      </c>
      <c r="AM5236">
        <v>0</v>
      </c>
      <c r="AN5236">
        <v>1</v>
      </c>
      <c r="AO5236">
        <v>1</v>
      </c>
      <c r="AP5236">
        <v>1</v>
      </c>
      <c r="AQ5236">
        <v>1</v>
      </c>
      <c r="AU5236">
        <v>1</v>
      </c>
      <c r="AV5236">
        <v>1</v>
      </c>
      <c r="AW5236">
        <v>1</v>
      </c>
    </row>
    <row r="5237" spans="1:49" x14ac:dyDescent="0.25">
      <c r="A5237" t="str">
        <f>"5233"</f>
        <v>5233</v>
      </c>
      <c r="B5237" t="str">
        <f t="shared" si="302"/>
        <v>1</v>
      </c>
      <c r="C5237" t="str">
        <f t="shared" si="303"/>
        <v>229</v>
      </c>
      <c r="D5237" t="str">
        <f>"25"</f>
        <v>25</v>
      </c>
      <c r="E5237" t="str">
        <f>"1-229-25"</f>
        <v>1-229-25</v>
      </c>
      <c r="F5237" t="s">
        <v>83</v>
      </c>
      <c r="G5237" t="s">
        <v>84</v>
      </c>
      <c r="H5237" t="s">
        <v>85</v>
      </c>
      <c r="AC5237">
        <v>0</v>
      </c>
      <c r="AD5237">
        <v>1</v>
      </c>
      <c r="AE5237">
        <v>0</v>
      </c>
      <c r="AF5237">
        <v>0</v>
      </c>
      <c r="AG5237">
        <v>1</v>
      </c>
      <c r="AJ5237">
        <v>0</v>
      </c>
      <c r="AK5237">
        <v>1</v>
      </c>
      <c r="AL5237">
        <v>0</v>
      </c>
      <c r="AM5237">
        <v>1</v>
      </c>
      <c r="AN5237">
        <v>0</v>
      </c>
      <c r="AO5237">
        <v>1</v>
      </c>
      <c r="AP5237">
        <v>1</v>
      </c>
      <c r="AQ5237">
        <v>1</v>
      </c>
      <c r="AR5237">
        <v>1</v>
      </c>
      <c r="AS5237">
        <v>1</v>
      </c>
      <c r="AT5237">
        <v>0</v>
      </c>
      <c r="AV5237">
        <v>1</v>
      </c>
      <c r="AW5237">
        <v>1</v>
      </c>
    </row>
    <row r="5238" spans="1:49" x14ac:dyDescent="0.25">
      <c r="A5238" t="str">
        <f>"5234"</f>
        <v>5234</v>
      </c>
      <c r="B5238" t="str">
        <f t="shared" si="302"/>
        <v>1</v>
      </c>
      <c r="C5238" t="str">
        <f t="shared" si="303"/>
        <v>229</v>
      </c>
      <c r="D5238" t="str">
        <f>"24"</f>
        <v>24</v>
      </c>
      <c r="E5238" t="str">
        <f>"1-229-24"</f>
        <v>1-229-24</v>
      </c>
      <c r="F5238" t="s">
        <v>83</v>
      </c>
      <c r="G5238" t="s">
        <v>84</v>
      </c>
      <c r="H5238" t="s">
        <v>85</v>
      </c>
      <c r="AC5238">
        <v>0</v>
      </c>
      <c r="AD5238">
        <v>1</v>
      </c>
      <c r="AE5238">
        <v>0</v>
      </c>
      <c r="AF5238">
        <v>0</v>
      </c>
      <c r="AG5238">
        <v>1</v>
      </c>
      <c r="AJ5238">
        <v>0</v>
      </c>
      <c r="AK5238">
        <v>1</v>
      </c>
      <c r="AL5238">
        <v>0</v>
      </c>
      <c r="AM5238">
        <v>0</v>
      </c>
      <c r="AN5238">
        <v>1</v>
      </c>
      <c r="AO5238">
        <v>1</v>
      </c>
      <c r="AP5238">
        <v>1</v>
      </c>
      <c r="AQ5238">
        <v>1</v>
      </c>
      <c r="AR5238">
        <v>1</v>
      </c>
      <c r="AS5238">
        <v>0</v>
      </c>
      <c r="AT5238">
        <v>1</v>
      </c>
      <c r="AV5238">
        <v>1</v>
      </c>
      <c r="AW5238">
        <v>1</v>
      </c>
    </row>
    <row r="5239" spans="1:49" x14ac:dyDescent="0.25">
      <c r="A5239" t="str">
        <f>"5235"</f>
        <v>5235</v>
      </c>
      <c r="B5239" t="str">
        <f t="shared" si="302"/>
        <v>1</v>
      </c>
      <c r="C5239" t="str">
        <f t="shared" si="303"/>
        <v>229</v>
      </c>
      <c r="D5239" t="str">
        <f>"16"</f>
        <v>16</v>
      </c>
      <c r="E5239" t="str">
        <f>"1-229-16"</f>
        <v>1-229-16</v>
      </c>
      <c r="F5239" t="s">
        <v>83</v>
      </c>
      <c r="G5239" t="s">
        <v>86</v>
      </c>
      <c r="H5239" t="s">
        <v>87</v>
      </c>
      <c r="AC5239">
        <v>0</v>
      </c>
      <c r="AD5239">
        <v>1</v>
      </c>
      <c r="AE5239">
        <v>0</v>
      </c>
      <c r="AF5239">
        <v>0</v>
      </c>
      <c r="AH5239">
        <v>1</v>
      </c>
      <c r="AI5239">
        <v>0</v>
      </c>
      <c r="AJ5239">
        <v>1</v>
      </c>
      <c r="AK5239">
        <v>0</v>
      </c>
      <c r="AL5239">
        <v>0</v>
      </c>
      <c r="AM5239">
        <v>1</v>
      </c>
      <c r="AN5239">
        <v>0</v>
      </c>
      <c r="AO5239">
        <v>1</v>
      </c>
      <c r="AP5239">
        <v>1</v>
      </c>
      <c r="AQ5239">
        <v>1</v>
      </c>
      <c r="AU5239">
        <v>1</v>
      </c>
      <c r="AV5239">
        <v>1</v>
      </c>
      <c r="AW5239">
        <v>1</v>
      </c>
    </row>
    <row r="5240" spans="1:49" x14ac:dyDescent="0.25">
      <c r="A5240" t="str">
        <f>"5236"</f>
        <v>5236</v>
      </c>
      <c r="B5240" t="str">
        <f t="shared" si="302"/>
        <v>1</v>
      </c>
      <c r="C5240" t="str">
        <f t="shared" si="303"/>
        <v>229</v>
      </c>
      <c r="D5240" t="str">
        <f>"9"</f>
        <v>9</v>
      </c>
      <c r="E5240" t="str">
        <f>"1-229-9"</f>
        <v>1-229-9</v>
      </c>
      <c r="F5240" t="s">
        <v>83</v>
      </c>
      <c r="G5240" t="s">
        <v>84</v>
      </c>
      <c r="H5240" t="s">
        <v>85</v>
      </c>
      <c r="AC5240">
        <v>0</v>
      </c>
      <c r="AD5240">
        <v>1</v>
      </c>
      <c r="AE5240">
        <v>0</v>
      </c>
      <c r="AF5240">
        <v>0</v>
      </c>
      <c r="AG5240">
        <v>1</v>
      </c>
      <c r="AJ5240">
        <v>0</v>
      </c>
      <c r="AK5240">
        <v>1</v>
      </c>
      <c r="AL5240">
        <v>1</v>
      </c>
      <c r="AM5240">
        <v>0</v>
      </c>
      <c r="AN5240">
        <v>0</v>
      </c>
      <c r="AO5240">
        <v>1</v>
      </c>
      <c r="AP5240">
        <v>1</v>
      </c>
      <c r="AQ5240">
        <v>1</v>
      </c>
      <c r="AR5240">
        <v>1</v>
      </c>
      <c r="AS5240">
        <v>1</v>
      </c>
      <c r="AT5240">
        <v>0</v>
      </c>
      <c r="AV5240">
        <v>0</v>
      </c>
      <c r="AW5240">
        <v>1</v>
      </c>
    </row>
    <row r="5241" spans="1:49" x14ac:dyDescent="0.25">
      <c r="A5241" t="str">
        <f>"5237"</f>
        <v>5237</v>
      </c>
      <c r="B5241" t="str">
        <f t="shared" si="302"/>
        <v>1</v>
      </c>
      <c r="C5241" t="str">
        <f t="shared" si="303"/>
        <v>229</v>
      </c>
      <c r="D5241" t="str">
        <f>"7"</f>
        <v>7</v>
      </c>
      <c r="E5241" t="str">
        <f>"1-229-7"</f>
        <v>1-229-7</v>
      </c>
      <c r="F5241" t="s">
        <v>83</v>
      </c>
      <c r="G5241" t="s">
        <v>86</v>
      </c>
      <c r="H5241" t="s">
        <v>87</v>
      </c>
      <c r="AC5241">
        <v>0</v>
      </c>
      <c r="AD5241">
        <v>1</v>
      </c>
      <c r="AE5241">
        <v>0</v>
      </c>
      <c r="AF5241">
        <v>0</v>
      </c>
      <c r="AH5241">
        <v>1</v>
      </c>
      <c r="AI5241">
        <v>0</v>
      </c>
      <c r="AJ5241">
        <v>0</v>
      </c>
      <c r="AK5241">
        <v>1</v>
      </c>
      <c r="AL5241">
        <v>0</v>
      </c>
      <c r="AM5241">
        <v>0</v>
      </c>
      <c r="AN5241">
        <v>1</v>
      </c>
      <c r="AO5241">
        <v>1</v>
      </c>
      <c r="AP5241">
        <v>1</v>
      </c>
      <c r="AQ5241">
        <v>1</v>
      </c>
      <c r="AU5241">
        <v>1</v>
      </c>
      <c r="AV5241">
        <v>1</v>
      </c>
      <c r="AW5241">
        <v>1</v>
      </c>
    </row>
    <row r="5242" spans="1:49" x14ac:dyDescent="0.25">
      <c r="A5242" t="str">
        <f>"5238"</f>
        <v>5238</v>
      </c>
      <c r="B5242" t="str">
        <f t="shared" si="302"/>
        <v>1</v>
      </c>
      <c r="C5242" t="str">
        <f t="shared" si="303"/>
        <v>229</v>
      </c>
      <c r="D5242" t="str">
        <f>"17"</f>
        <v>17</v>
      </c>
      <c r="E5242" t="str">
        <f>"1-229-17"</f>
        <v>1-229-17</v>
      </c>
      <c r="F5242" t="s">
        <v>83</v>
      </c>
      <c r="G5242" t="s">
        <v>86</v>
      </c>
      <c r="H5242" t="s">
        <v>87</v>
      </c>
      <c r="AC5242">
        <v>0</v>
      </c>
      <c r="AD5242">
        <v>1</v>
      </c>
      <c r="AE5242">
        <v>0</v>
      </c>
      <c r="AF5242">
        <v>0</v>
      </c>
      <c r="AH5242">
        <v>0</v>
      </c>
      <c r="AI5242">
        <v>1</v>
      </c>
      <c r="AJ5242">
        <v>0</v>
      </c>
      <c r="AK5242">
        <v>1</v>
      </c>
      <c r="AL5242">
        <v>0</v>
      </c>
      <c r="AM5242">
        <v>1</v>
      </c>
      <c r="AN5242">
        <v>0</v>
      </c>
      <c r="AO5242">
        <v>1</v>
      </c>
      <c r="AP5242">
        <v>1</v>
      </c>
      <c r="AQ5242">
        <v>1</v>
      </c>
      <c r="AU5242">
        <v>1</v>
      </c>
      <c r="AV5242">
        <v>1</v>
      </c>
      <c r="AW5242">
        <v>1</v>
      </c>
    </row>
    <row r="5243" spans="1:49" x14ac:dyDescent="0.25">
      <c r="A5243" t="str">
        <f>"5239"</f>
        <v>5239</v>
      </c>
      <c r="B5243" t="str">
        <f t="shared" si="302"/>
        <v>1</v>
      </c>
      <c r="C5243" t="str">
        <f t="shared" si="303"/>
        <v>229</v>
      </c>
      <c r="D5243" t="str">
        <f>"10"</f>
        <v>10</v>
      </c>
      <c r="E5243" t="str">
        <f>"1-229-10"</f>
        <v>1-229-10</v>
      </c>
      <c r="F5243" t="s">
        <v>83</v>
      </c>
      <c r="G5243" t="s">
        <v>84</v>
      </c>
      <c r="H5243" t="s">
        <v>85</v>
      </c>
      <c r="AC5243">
        <v>0</v>
      </c>
      <c r="AD5243">
        <v>1</v>
      </c>
      <c r="AE5243">
        <v>0</v>
      </c>
      <c r="AF5243">
        <v>0</v>
      </c>
      <c r="AG5243">
        <v>0</v>
      </c>
      <c r="AJ5243">
        <v>0</v>
      </c>
      <c r="AK5243">
        <v>1</v>
      </c>
      <c r="AL5243">
        <v>0</v>
      </c>
      <c r="AM5243">
        <v>0</v>
      </c>
      <c r="AN5243">
        <v>1</v>
      </c>
      <c r="AO5243">
        <v>0</v>
      </c>
      <c r="AP5243">
        <v>0</v>
      </c>
      <c r="AQ5243">
        <v>0</v>
      </c>
      <c r="AR5243">
        <v>0</v>
      </c>
      <c r="AS5243">
        <v>1</v>
      </c>
      <c r="AT5243">
        <v>0</v>
      </c>
      <c r="AV5243">
        <v>0</v>
      </c>
      <c r="AW5243">
        <v>1</v>
      </c>
    </row>
    <row r="5244" spans="1:49" x14ac:dyDescent="0.25">
      <c r="A5244" t="str">
        <f>"5240"</f>
        <v>5240</v>
      </c>
      <c r="B5244" t="str">
        <f t="shared" si="302"/>
        <v>1</v>
      </c>
      <c r="C5244" t="str">
        <f t="shared" si="303"/>
        <v>229</v>
      </c>
      <c r="D5244" t="str">
        <f>"19"</f>
        <v>19</v>
      </c>
      <c r="E5244" t="str">
        <f>"1-229-19"</f>
        <v>1-229-19</v>
      </c>
      <c r="F5244" t="s">
        <v>83</v>
      </c>
      <c r="G5244" t="s">
        <v>84</v>
      </c>
      <c r="H5244" t="s">
        <v>85</v>
      </c>
      <c r="AC5244">
        <v>1</v>
      </c>
      <c r="AD5244">
        <v>0</v>
      </c>
      <c r="AE5244">
        <v>0</v>
      </c>
      <c r="AF5244">
        <v>0</v>
      </c>
      <c r="AG5244">
        <v>1</v>
      </c>
      <c r="AJ5244">
        <v>1</v>
      </c>
      <c r="AK5244">
        <v>0</v>
      </c>
      <c r="AL5244">
        <v>0</v>
      </c>
      <c r="AM5244">
        <v>0</v>
      </c>
      <c r="AN5244">
        <v>1</v>
      </c>
      <c r="AO5244">
        <v>1</v>
      </c>
      <c r="AP5244">
        <v>1</v>
      </c>
      <c r="AQ5244">
        <v>1</v>
      </c>
      <c r="AR5244">
        <v>1</v>
      </c>
      <c r="AS5244">
        <v>1</v>
      </c>
      <c r="AT5244">
        <v>0</v>
      </c>
      <c r="AV5244">
        <v>1</v>
      </c>
      <c r="AW5244">
        <v>1</v>
      </c>
    </row>
    <row r="5245" spans="1:49" x14ac:dyDescent="0.25">
      <c r="A5245" t="str">
        <f>"5241"</f>
        <v>5241</v>
      </c>
      <c r="B5245" t="str">
        <f t="shared" si="302"/>
        <v>1</v>
      </c>
      <c r="C5245" t="str">
        <f t="shared" si="303"/>
        <v>229</v>
      </c>
      <c r="D5245" t="str">
        <f>"11"</f>
        <v>11</v>
      </c>
      <c r="E5245" t="str">
        <f>"1-229-11"</f>
        <v>1-229-11</v>
      </c>
      <c r="F5245" t="s">
        <v>83</v>
      </c>
      <c r="G5245" t="s">
        <v>84</v>
      </c>
      <c r="H5245" t="s">
        <v>85</v>
      </c>
      <c r="AC5245">
        <v>0</v>
      </c>
      <c r="AD5245">
        <v>1</v>
      </c>
      <c r="AE5245">
        <v>0</v>
      </c>
      <c r="AF5245">
        <v>0</v>
      </c>
      <c r="AG5245">
        <v>0</v>
      </c>
      <c r="AJ5245">
        <v>0</v>
      </c>
      <c r="AK5245">
        <v>1</v>
      </c>
      <c r="AL5245">
        <v>0</v>
      </c>
      <c r="AM5245">
        <v>0</v>
      </c>
      <c r="AN5245">
        <v>1</v>
      </c>
      <c r="AO5245">
        <v>0</v>
      </c>
      <c r="AP5245">
        <v>0</v>
      </c>
      <c r="AQ5245">
        <v>0</v>
      </c>
      <c r="AR5245">
        <v>0</v>
      </c>
      <c r="AS5245">
        <v>1</v>
      </c>
      <c r="AT5245">
        <v>0</v>
      </c>
      <c r="AV5245">
        <v>0</v>
      </c>
      <c r="AW5245">
        <v>1</v>
      </c>
    </row>
    <row r="5246" spans="1:49" x14ac:dyDescent="0.25">
      <c r="A5246" t="str">
        <f>"5242"</f>
        <v>5242</v>
      </c>
      <c r="B5246" t="str">
        <f t="shared" si="302"/>
        <v>1</v>
      </c>
      <c r="C5246" t="str">
        <f t="shared" si="303"/>
        <v>229</v>
      </c>
      <c r="D5246" t="str">
        <f>"5"</f>
        <v>5</v>
      </c>
      <c r="E5246" t="str">
        <f>"1-229-5"</f>
        <v>1-229-5</v>
      </c>
      <c r="F5246" t="s">
        <v>83</v>
      </c>
      <c r="G5246" t="s">
        <v>84</v>
      </c>
      <c r="H5246" t="s">
        <v>85</v>
      </c>
      <c r="AC5246">
        <v>1</v>
      </c>
      <c r="AD5246">
        <v>0</v>
      </c>
      <c r="AE5246">
        <v>0</v>
      </c>
      <c r="AF5246">
        <v>0</v>
      </c>
      <c r="AG5246">
        <v>1</v>
      </c>
      <c r="AJ5246">
        <v>1</v>
      </c>
      <c r="AK5246">
        <v>0</v>
      </c>
      <c r="AL5246">
        <v>1</v>
      </c>
      <c r="AM5246">
        <v>0</v>
      </c>
      <c r="AN5246">
        <v>0</v>
      </c>
      <c r="AO5246">
        <v>1</v>
      </c>
      <c r="AP5246">
        <v>1</v>
      </c>
      <c r="AQ5246">
        <v>1</v>
      </c>
      <c r="AR5246">
        <v>1</v>
      </c>
      <c r="AS5246">
        <v>1</v>
      </c>
      <c r="AT5246">
        <v>0</v>
      </c>
      <c r="AV5246">
        <v>1</v>
      </c>
      <c r="AW5246">
        <v>1</v>
      </c>
    </row>
    <row r="5247" spans="1:49" x14ac:dyDescent="0.25">
      <c r="A5247" t="str">
        <f>"5243"</f>
        <v>5243</v>
      </c>
      <c r="B5247" t="str">
        <f t="shared" si="302"/>
        <v>1</v>
      </c>
      <c r="C5247" t="str">
        <f t="shared" si="303"/>
        <v>229</v>
      </c>
      <c r="D5247" t="str">
        <f>"21"</f>
        <v>21</v>
      </c>
      <c r="E5247" t="str">
        <f>"1-229-21"</f>
        <v>1-229-21</v>
      </c>
      <c r="F5247" t="s">
        <v>83</v>
      </c>
      <c r="G5247" t="s">
        <v>84</v>
      </c>
      <c r="H5247" t="s">
        <v>85</v>
      </c>
      <c r="AC5247">
        <v>0</v>
      </c>
      <c r="AD5247">
        <v>0</v>
      </c>
      <c r="AE5247">
        <v>0</v>
      </c>
      <c r="AF5247">
        <v>0</v>
      </c>
      <c r="AG5247">
        <v>0</v>
      </c>
      <c r="AJ5247">
        <v>0</v>
      </c>
      <c r="AK5247">
        <v>0</v>
      </c>
      <c r="AL5247">
        <v>0</v>
      </c>
      <c r="AM5247">
        <v>0</v>
      </c>
      <c r="AN5247">
        <v>0</v>
      </c>
      <c r="AO5247">
        <v>0</v>
      </c>
      <c r="AP5247">
        <v>0</v>
      </c>
      <c r="AQ5247">
        <v>0</v>
      </c>
      <c r="AR5247">
        <v>0</v>
      </c>
      <c r="AS5247">
        <v>0</v>
      </c>
      <c r="AT5247">
        <v>0</v>
      </c>
      <c r="AV5247">
        <v>1</v>
      </c>
      <c r="AW5247">
        <v>0</v>
      </c>
    </row>
    <row r="5248" spans="1:49" x14ac:dyDescent="0.25">
      <c r="A5248" t="str">
        <f>"5244"</f>
        <v>5244</v>
      </c>
      <c r="B5248" t="str">
        <f t="shared" si="302"/>
        <v>1</v>
      </c>
      <c r="C5248" t="str">
        <f t="shared" si="303"/>
        <v>229</v>
      </c>
      <c r="D5248" t="str">
        <f>"12"</f>
        <v>12</v>
      </c>
      <c r="E5248" t="str">
        <f>"1-229-12"</f>
        <v>1-229-12</v>
      </c>
      <c r="F5248" t="s">
        <v>83</v>
      </c>
      <c r="G5248" t="s">
        <v>84</v>
      </c>
      <c r="H5248" t="s">
        <v>85</v>
      </c>
      <c r="AC5248">
        <v>1</v>
      </c>
      <c r="AD5248">
        <v>0</v>
      </c>
      <c r="AE5248">
        <v>0</v>
      </c>
      <c r="AF5248">
        <v>0</v>
      </c>
      <c r="AG5248">
        <v>1</v>
      </c>
      <c r="AJ5248">
        <v>1</v>
      </c>
      <c r="AK5248">
        <v>0</v>
      </c>
      <c r="AL5248">
        <v>1</v>
      </c>
      <c r="AM5248">
        <v>0</v>
      </c>
      <c r="AN5248">
        <v>0</v>
      </c>
      <c r="AO5248">
        <v>1</v>
      </c>
      <c r="AP5248">
        <v>1</v>
      </c>
      <c r="AQ5248">
        <v>1</v>
      </c>
      <c r="AR5248">
        <v>1</v>
      </c>
      <c r="AS5248">
        <v>1</v>
      </c>
      <c r="AT5248">
        <v>0</v>
      </c>
      <c r="AV5248">
        <v>1</v>
      </c>
      <c r="AW5248">
        <v>1</v>
      </c>
    </row>
    <row r="5249" spans="1:49" x14ac:dyDescent="0.25">
      <c r="A5249" t="str">
        <f>"5245"</f>
        <v>5245</v>
      </c>
      <c r="B5249" t="str">
        <f t="shared" si="302"/>
        <v>1</v>
      </c>
      <c r="C5249" t="str">
        <f t="shared" si="303"/>
        <v>229</v>
      </c>
      <c r="D5249" t="str">
        <f>"3"</f>
        <v>3</v>
      </c>
      <c r="E5249" t="str">
        <f>"1-229-3"</f>
        <v>1-229-3</v>
      </c>
      <c r="F5249" t="s">
        <v>83</v>
      </c>
      <c r="G5249" t="s">
        <v>86</v>
      </c>
      <c r="H5249" t="s">
        <v>87</v>
      </c>
      <c r="AC5249">
        <v>0</v>
      </c>
      <c r="AD5249">
        <v>1</v>
      </c>
      <c r="AE5249">
        <v>0</v>
      </c>
      <c r="AF5249">
        <v>0</v>
      </c>
      <c r="AH5249">
        <v>1</v>
      </c>
      <c r="AI5249">
        <v>0</v>
      </c>
      <c r="AJ5249">
        <v>1</v>
      </c>
      <c r="AK5249">
        <v>0</v>
      </c>
      <c r="AL5249">
        <v>0</v>
      </c>
      <c r="AM5249">
        <v>1</v>
      </c>
      <c r="AN5249">
        <v>0</v>
      </c>
      <c r="AO5249">
        <v>1</v>
      </c>
      <c r="AP5249">
        <v>1</v>
      </c>
      <c r="AQ5249">
        <v>1</v>
      </c>
      <c r="AU5249">
        <v>1</v>
      </c>
      <c r="AV5249">
        <v>1</v>
      </c>
      <c r="AW5249">
        <v>1</v>
      </c>
    </row>
    <row r="5250" spans="1:49" x14ac:dyDescent="0.25">
      <c r="A5250" t="str">
        <f>"5246"</f>
        <v>5246</v>
      </c>
      <c r="B5250" t="str">
        <f t="shared" si="302"/>
        <v>1</v>
      </c>
      <c r="C5250" t="str">
        <f t="shared" si="303"/>
        <v>229</v>
      </c>
      <c r="D5250" t="str">
        <f>"20"</f>
        <v>20</v>
      </c>
      <c r="E5250" t="str">
        <f>"1-229-20"</f>
        <v>1-229-20</v>
      </c>
      <c r="F5250" t="s">
        <v>83</v>
      </c>
      <c r="G5250" t="s">
        <v>84</v>
      </c>
      <c r="H5250" t="s">
        <v>85</v>
      </c>
      <c r="AC5250">
        <v>0</v>
      </c>
      <c r="AD5250">
        <v>1</v>
      </c>
      <c r="AE5250">
        <v>0</v>
      </c>
      <c r="AF5250">
        <v>0</v>
      </c>
      <c r="AG5250">
        <v>1</v>
      </c>
      <c r="AJ5250">
        <v>1</v>
      </c>
      <c r="AK5250">
        <v>0</v>
      </c>
      <c r="AL5250">
        <v>0</v>
      </c>
      <c r="AM5250">
        <v>0</v>
      </c>
      <c r="AN5250">
        <v>1</v>
      </c>
      <c r="AO5250">
        <v>1</v>
      </c>
      <c r="AP5250">
        <v>1</v>
      </c>
      <c r="AQ5250">
        <v>1</v>
      </c>
      <c r="AR5250">
        <v>1</v>
      </c>
      <c r="AS5250">
        <v>0</v>
      </c>
      <c r="AT5250">
        <v>1</v>
      </c>
      <c r="AV5250">
        <v>1</v>
      </c>
      <c r="AW5250">
        <v>1</v>
      </c>
    </row>
    <row r="5251" spans="1:49" x14ac:dyDescent="0.25">
      <c r="A5251" t="str">
        <f>"5247"</f>
        <v>5247</v>
      </c>
      <c r="B5251" t="str">
        <f t="shared" si="302"/>
        <v>1</v>
      </c>
      <c r="C5251" t="str">
        <f t="shared" si="303"/>
        <v>229</v>
      </c>
      <c r="D5251" t="str">
        <f>"13"</f>
        <v>13</v>
      </c>
      <c r="E5251" t="str">
        <f>"1-229-13"</f>
        <v>1-229-13</v>
      </c>
      <c r="F5251" t="s">
        <v>83</v>
      </c>
      <c r="G5251" t="s">
        <v>86</v>
      </c>
      <c r="H5251" t="s">
        <v>87</v>
      </c>
      <c r="AC5251">
        <v>1</v>
      </c>
      <c r="AD5251">
        <v>0</v>
      </c>
      <c r="AE5251">
        <v>0</v>
      </c>
      <c r="AF5251">
        <v>0</v>
      </c>
      <c r="AH5251">
        <v>0</v>
      </c>
      <c r="AI5251">
        <v>1</v>
      </c>
      <c r="AJ5251">
        <v>0</v>
      </c>
      <c r="AK5251">
        <v>1</v>
      </c>
      <c r="AL5251">
        <v>0</v>
      </c>
      <c r="AM5251">
        <v>0</v>
      </c>
      <c r="AN5251">
        <v>0</v>
      </c>
      <c r="AO5251">
        <v>1</v>
      </c>
      <c r="AP5251">
        <v>1</v>
      </c>
      <c r="AQ5251">
        <v>1</v>
      </c>
      <c r="AU5251">
        <v>1</v>
      </c>
      <c r="AV5251">
        <v>1</v>
      </c>
      <c r="AW5251">
        <v>1</v>
      </c>
    </row>
    <row r="5252" spans="1:49" x14ac:dyDescent="0.25">
      <c r="A5252" t="str">
        <f>"5248"</f>
        <v>5248</v>
      </c>
      <c r="B5252" t="str">
        <f t="shared" si="302"/>
        <v>1</v>
      </c>
      <c r="C5252" t="str">
        <f t="shared" si="303"/>
        <v>229</v>
      </c>
      <c r="D5252" t="str">
        <f>"6"</f>
        <v>6</v>
      </c>
      <c r="E5252" t="str">
        <f>"1-229-6"</f>
        <v>1-229-6</v>
      </c>
      <c r="F5252" t="s">
        <v>83</v>
      </c>
      <c r="G5252" t="s">
        <v>84</v>
      </c>
      <c r="H5252" t="s">
        <v>85</v>
      </c>
      <c r="AC5252">
        <v>1</v>
      </c>
      <c r="AD5252">
        <v>0</v>
      </c>
      <c r="AE5252">
        <v>0</v>
      </c>
      <c r="AF5252">
        <v>0</v>
      </c>
      <c r="AG5252">
        <v>1</v>
      </c>
      <c r="AJ5252">
        <v>1</v>
      </c>
      <c r="AK5252">
        <v>0</v>
      </c>
      <c r="AL5252">
        <v>1</v>
      </c>
      <c r="AM5252">
        <v>0</v>
      </c>
      <c r="AN5252">
        <v>0</v>
      </c>
      <c r="AO5252">
        <v>1</v>
      </c>
      <c r="AP5252">
        <v>1</v>
      </c>
      <c r="AQ5252">
        <v>1</v>
      </c>
      <c r="AR5252">
        <v>1</v>
      </c>
      <c r="AS5252">
        <v>1</v>
      </c>
      <c r="AT5252">
        <v>0</v>
      </c>
      <c r="AV5252">
        <v>1</v>
      </c>
      <c r="AW5252">
        <v>1</v>
      </c>
    </row>
    <row r="5253" spans="1:49" x14ac:dyDescent="0.25">
      <c r="A5253" t="str">
        <f>"5249"</f>
        <v>5249</v>
      </c>
      <c r="B5253" t="str">
        <f t="shared" si="302"/>
        <v>1</v>
      </c>
      <c r="C5253" t="str">
        <f t="shared" si="303"/>
        <v>229</v>
      </c>
      <c r="D5253" t="str">
        <f>"18"</f>
        <v>18</v>
      </c>
      <c r="E5253" t="str">
        <f>"1-229-18"</f>
        <v>1-229-18</v>
      </c>
      <c r="F5253" t="s">
        <v>83</v>
      </c>
      <c r="G5253" t="s">
        <v>86</v>
      </c>
      <c r="H5253" t="s">
        <v>87</v>
      </c>
      <c r="AC5253">
        <v>0</v>
      </c>
      <c r="AD5253">
        <v>1</v>
      </c>
      <c r="AE5253">
        <v>0</v>
      </c>
      <c r="AF5253">
        <v>0</v>
      </c>
      <c r="AH5253">
        <v>0</v>
      </c>
      <c r="AI5253">
        <v>1</v>
      </c>
      <c r="AJ5253">
        <v>0</v>
      </c>
      <c r="AK5253">
        <v>1</v>
      </c>
      <c r="AL5253">
        <v>0</v>
      </c>
      <c r="AM5253">
        <v>1</v>
      </c>
      <c r="AN5253">
        <v>0</v>
      </c>
      <c r="AO5253">
        <v>1</v>
      </c>
      <c r="AP5253">
        <v>1</v>
      </c>
      <c r="AQ5253">
        <v>1</v>
      </c>
      <c r="AU5253">
        <v>1</v>
      </c>
      <c r="AV5253">
        <v>1</v>
      </c>
      <c r="AW5253">
        <v>1</v>
      </c>
    </row>
    <row r="5254" spans="1:49" x14ac:dyDescent="0.25">
      <c r="A5254" t="str">
        <f>"5250"</f>
        <v>5250</v>
      </c>
      <c r="B5254" t="str">
        <f t="shared" si="302"/>
        <v>1</v>
      </c>
      <c r="C5254" t="str">
        <f t="shared" si="303"/>
        <v>229</v>
      </c>
      <c r="D5254" t="str">
        <f>"14"</f>
        <v>14</v>
      </c>
      <c r="E5254" t="str">
        <f>"1-229-14"</f>
        <v>1-229-14</v>
      </c>
      <c r="F5254" t="s">
        <v>83</v>
      </c>
      <c r="G5254" t="s">
        <v>86</v>
      </c>
      <c r="H5254" t="s">
        <v>87</v>
      </c>
      <c r="AC5254">
        <v>1</v>
      </c>
      <c r="AD5254">
        <v>0</v>
      </c>
      <c r="AE5254">
        <v>0</v>
      </c>
      <c r="AF5254">
        <v>0</v>
      </c>
      <c r="AH5254">
        <v>1</v>
      </c>
      <c r="AI5254">
        <v>0</v>
      </c>
      <c r="AJ5254">
        <v>0</v>
      </c>
      <c r="AK5254">
        <v>1</v>
      </c>
      <c r="AL5254">
        <v>1</v>
      </c>
      <c r="AM5254">
        <v>0</v>
      </c>
      <c r="AN5254">
        <v>0</v>
      </c>
      <c r="AO5254">
        <v>1</v>
      </c>
      <c r="AP5254">
        <v>1</v>
      </c>
      <c r="AQ5254">
        <v>1</v>
      </c>
      <c r="AU5254">
        <v>0</v>
      </c>
      <c r="AV5254">
        <v>1</v>
      </c>
      <c r="AW5254">
        <v>1</v>
      </c>
    </row>
    <row r="5255" spans="1:49" x14ac:dyDescent="0.25">
      <c r="A5255" t="str">
        <f>"5251"</f>
        <v>5251</v>
      </c>
      <c r="B5255" t="str">
        <f t="shared" si="302"/>
        <v>1</v>
      </c>
      <c r="C5255" t="str">
        <f t="shared" si="303"/>
        <v>229</v>
      </c>
      <c r="D5255" t="str">
        <f>"1"</f>
        <v>1</v>
      </c>
      <c r="E5255" t="str">
        <f>"1-229-1"</f>
        <v>1-229-1</v>
      </c>
      <c r="F5255" t="s">
        <v>83</v>
      </c>
      <c r="G5255" t="s">
        <v>84</v>
      </c>
      <c r="H5255" t="s">
        <v>85</v>
      </c>
      <c r="AC5255">
        <v>0</v>
      </c>
      <c r="AD5255">
        <v>1</v>
      </c>
      <c r="AE5255">
        <v>0</v>
      </c>
      <c r="AF5255">
        <v>0</v>
      </c>
      <c r="AG5255">
        <v>1</v>
      </c>
      <c r="AJ5255">
        <v>0</v>
      </c>
      <c r="AK5255">
        <v>1</v>
      </c>
      <c r="AL5255">
        <v>1</v>
      </c>
      <c r="AM5255">
        <v>0</v>
      </c>
      <c r="AN5255">
        <v>0</v>
      </c>
      <c r="AO5255">
        <v>1</v>
      </c>
      <c r="AP5255">
        <v>1</v>
      </c>
      <c r="AQ5255">
        <v>1</v>
      </c>
      <c r="AR5255">
        <v>1</v>
      </c>
      <c r="AS5255">
        <v>1</v>
      </c>
      <c r="AT5255">
        <v>0</v>
      </c>
      <c r="AV5255">
        <v>1</v>
      </c>
      <c r="AW5255">
        <v>1</v>
      </c>
    </row>
    <row r="5256" spans="1:49" x14ac:dyDescent="0.25">
      <c r="A5256" t="str">
        <f>"5252"</f>
        <v>5252</v>
      </c>
      <c r="B5256" t="str">
        <f t="shared" si="302"/>
        <v>1</v>
      </c>
      <c r="C5256" t="str">
        <f t="shared" si="303"/>
        <v>229</v>
      </c>
      <c r="D5256" t="str">
        <f>"2"</f>
        <v>2</v>
      </c>
      <c r="E5256" t="str">
        <f>"1-229-2"</f>
        <v>1-229-2</v>
      </c>
      <c r="F5256" t="s">
        <v>83</v>
      </c>
      <c r="G5256" t="s">
        <v>84</v>
      </c>
      <c r="H5256" t="s">
        <v>85</v>
      </c>
      <c r="AC5256">
        <v>1</v>
      </c>
      <c r="AD5256">
        <v>0</v>
      </c>
      <c r="AE5256">
        <v>0</v>
      </c>
      <c r="AF5256">
        <v>0</v>
      </c>
      <c r="AG5256">
        <v>0</v>
      </c>
      <c r="AJ5256">
        <v>0</v>
      </c>
      <c r="AK5256">
        <v>1</v>
      </c>
      <c r="AL5256">
        <v>0</v>
      </c>
      <c r="AM5256">
        <v>0</v>
      </c>
      <c r="AN5256">
        <v>1</v>
      </c>
      <c r="AO5256">
        <v>1</v>
      </c>
      <c r="AP5256">
        <v>1</v>
      </c>
      <c r="AQ5256">
        <v>1</v>
      </c>
      <c r="AR5256">
        <v>1</v>
      </c>
      <c r="AS5256">
        <v>1</v>
      </c>
      <c r="AT5256">
        <v>0</v>
      </c>
      <c r="AV5256">
        <v>1</v>
      </c>
      <c r="AW5256">
        <v>1</v>
      </c>
    </row>
    <row r="5257" spans="1:49" x14ac:dyDescent="0.25">
      <c r="A5257" t="str">
        <f>"5253"</f>
        <v>5253</v>
      </c>
      <c r="B5257" t="str">
        <f t="shared" si="302"/>
        <v>1</v>
      </c>
      <c r="C5257" t="str">
        <f t="shared" ref="C5257:C5272" si="304">"230"</f>
        <v>230</v>
      </c>
      <c r="D5257" t="str">
        <f>"15"</f>
        <v>15</v>
      </c>
      <c r="E5257" t="str">
        <f>"1-230-15"</f>
        <v>1-230-15</v>
      </c>
      <c r="F5257" t="s">
        <v>83</v>
      </c>
      <c r="G5257" t="s">
        <v>86</v>
      </c>
      <c r="H5257" t="s">
        <v>93</v>
      </c>
      <c r="I5257">
        <v>1</v>
      </c>
      <c r="K5257">
        <v>1</v>
      </c>
      <c r="L5257">
        <v>0</v>
      </c>
      <c r="M5257">
        <v>0</v>
      </c>
      <c r="N5257">
        <v>1</v>
      </c>
      <c r="O5257">
        <v>1</v>
      </c>
      <c r="P5257">
        <v>1</v>
      </c>
      <c r="Q5257">
        <v>1</v>
      </c>
      <c r="R5257">
        <v>1</v>
      </c>
      <c r="U5257">
        <v>1</v>
      </c>
      <c r="V5257">
        <v>0</v>
      </c>
      <c r="W5257">
        <v>1</v>
      </c>
      <c r="X5257">
        <v>1</v>
      </c>
      <c r="Y5257">
        <v>1</v>
      </c>
      <c r="Z5257">
        <v>1</v>
      </c>
      <c r="AA5257">
        <v>1</v>
      </c>
      <c r="AB5257">
        <v>1</v>
      </c>
    </row>
    <row r="5258" spans="1:49" x14ac:dyDescent="0.25">
      <c r="A5258" t="str">
        <f>"5254"</f>
        <v>5254</v>
      </c>
      <c r="B5258" t="str">
        <f t="shared" si="302"/>
        <v>1</v>
      </c>
      <c r="C5258" t="str">
        <f t="shared" si="304"/>
        <v>230</v>
      </c>
      <c r="D5258" t="str">
        <f>"8"</f>
        <v>8</v>
      </c>
      <c r="E5258" t="str">
        <f>"1-230-8"</f>
        <v>1-230-8</v>
      </c>
      <c r="F5258" t="s">
        <v>83</v>
      </c>
      <c r="G5258" t="s">
        <v>86</v>
      </c>
      <c r="H5258" t="s">
        <v>93</v>
      </c>
      <c r="I5258">
        <v>1</v>
      </c>
      <c r="K5258">
        <v>1</v>
      </c>
      <c r="L5258">
        <v>0</v>
      </c>
      <c r="M5258">
        <v>0</v>
      </c>
      <c r="N5258">
        <v>1</v>
      </c>
      <c r="O5258">
        <v>1</v>
      </c>
      <c r="P5258">
        <v>1</v>
      </c>
      <c r="Q5258">
        <v>1</v>
      </c>
      <c r="R5258">
        <v>1</v>
      </c>
      <c r="U5258">
        <v>0</v>
      </c>
      <c r="V5258">
        <v>1</v>
      </c>
      <c r="W5258">
        <v>1</v>
      </c>
      <c r="X5258">
        <v>1</v>
      </c>
      <c r="Y5258">
        <v>1</v>
      </c>
      <c r="Z5258">
        <v>1</v>
      </c>
      <c r="AA5258">
        <v>1</v>
      </c>
      <c r="AB5258">
        <v>1</v>
      </c>
    </row>
    <row r="5259" spans="1:49" x14ac:dyDescent="0.25">
      <c r="A5259" t="str">
        <f>"5255"</f>
        <v>5255</v>
      </c>
      <c r="B5259" t="str">
        <f t="shared" si="302"/>
        <v>1</v>
      </c>
      <c r="C5259" t="str">
        <f t="shared" si="304"/>
        <v>230</v>
      </c>
      <c r="D5259" t="str">
        <f>"4"</f>
        <v>4</v>
      </c>
      <c r="E5259" t="str">
        <f>"1-230-4"</f>
        <v>1-230-4</v>
      </c>
      <c r="F5259" t="s">
        <v>83</v>
      </c>
      <c r="G5259" t="s">
        <v>86</v>
      </c>
      <c r="H5259" t="s">
        <v>93</v>
      </c>
      <c r="I5259">
        <v>1</v>
      </c>
      <c r="K5259">
        <v>0</v>
      </c>
      <c r="L5259">
        <v>0</v>
      </c>
      <c r="M5259">
        <v>1</v>
      </c>
      <c r="N5259">
        <v>1</v>
      </c>
      <c r="O5259">
        <v>1</v>
      </c>
      <c r="P5259">
        <v>1</v>
      </c>
      <c r="Q5259">
        <v>1</v>
      </c>
      <c r="R5259">
        <v>1</v>
      </c>
      <c r="U5259">
        <v>0</v>
      </c>
      <c r="V5259">
        <v>1</v>
      </c>
      <c r="W5259">
        <v>1</v>
      </c>
      <c r="X5259">
        <v>1</v>
      </c>
      <c r="Y5259">
        <v>1</v>
      </c>
      <c r="Z5259">
        <v>1</v>
      </c>
      <c r="AA5259">
        <v>1</v>
      </c>
      <c r="AB5259">
        <v>1</v>
      </c>
    </row>
    <row r="5260" spans="1:49" x14ac:dyDescent="0.25">
      <c r="A5260" t="str">
        <f>"5256"</f>
        <v>5256</v>
      </c>
      <c r="B5260" t="str">
        <f t="shared" si="302"/>
        <v>1</v>
      </c>
      <c r="C5260" t="str">
        <f t="shared" si="304"/>
        <v>230</v>
      </c>
      <c r="D5260" t="str">
        <f>"16"</f>
        <v>16</v>
      </c>
      <c r="E5260" t="str">
        <f>"1-230-16"</f>
        <v>1-230-16</v>
      </c>
      <c r="F5260" t="s">
        <v>83</v>
      </c>
      <c r="G5260" t="s">
        <v>86</v>
      </c>
      <c r="H5260" t="s">
        <v>93</v>
      </c>
      <c r="I5260">
        <v>1</v>
      </c>
      <c r="K5260">
        <v>0</v>
      </c>
      <c r="L5260">
        <v>0</v>
      </c>
      <c r="M5260">
        <v>1</v>
      </c>
      <c r="N5260">
        <v>1</v>
      </c>
      <c r="O5260">
        <v>1</v>
      </c>
      <c r="P5260">
        <v>1</v>
      </c>
      <c r="Q5260">
        <v>1</v>
      </c>
      <c r="R5260">
        <v>1</v>
      </c>
      <c r="U5260">
        <v>1</v>
      </c>
      <c r="V5260">
        <v>0</v>
      </c>
      <c r="W5260">
        <v>0</v>
      </c>
      <c r="X5260">
        <v>0</v>
      </c>
      <c r="Y5260">
        <v>1</v>
      </c>
      <c r="Z5260">
        <v>1</v>
      </c>
      <c r="AA5260">
        <v>1</v>
      </c>
      <c r="AB5260">
        <v>1</v>
      </c>
    </row>
    <row r="5261" spans="1:49" x14ac:dyDescent="0.25">
      <c r="A5261" t="str">
        <f>"5257"</f>
        <v>5257</v>
      </c>
      <c r="B5261" t="str">
        <f t="shared" si="302"/>
        <v>1</v>
      </c>
      <c r="C5261" t="str">
        <f t="shared" si="304"/>
        <v>230</v>
      </c>
      <c r="D5261" t="str">
        <f>"9"</f>
        <v>9</v>
      </c>
      <c r="E5261" t="str">
        <f>"1-230-9"</f>
        <v>1-230-9</v>
      </c>
      <c r="F5261" t="s">
        <v>83</v>
      </c>
      <c r="G5261" t="s">
        <v>86</v>
      </c>
      <c r="H5261" t="s">
        <v>93</v>
      </c>
      <c r="I5261">
        <v>1</v>
      </c>
      <c r="K5261">
        <v>0</v>
      </c>
      <c r="L5261">
        <v>0</v>
      </c>
      <c r="M5261">
        <v>1</v>
      </c>
      <c r="N5261">
        <v>1</v>
      </c>
      <c r="O5261">
        <v>1</v>
      </c>
      <c r="P5261">
        <v>1</v>
      </c>
      <c r="Q5261">
        <v>1</v>
      </c>
      <c r="R5261">
        <v>1</v>
      </c>
      <c r="U5261">
        <v>1</v>
      </c>
      <c r="V5261">
        <v>0</v>
      </c>
      <c r="W5261">
        <v>1</v>
      </c>
      <c r="X5261">
        <v>1</v>
      </c>
      <c r="Y5261">
        <v>1</v>
      </c>
      <c r="Z5261">
        <v>1</v>
      </c>
      <c r="AA5261">
        <v>1</v>
      </c>
      <c r="AB5261">
        <v>1</v>
      </c>
    </row>
    <row r="5262" spans="1:49" x14ac:dyDescent="0.25">
      <c r="A5262" t="str">
        <f>"5258"</f>
        <v>5258</v>
      </c>
      <c r="B5262" t="str">
        <f t="shared" si="302"/>
        <v>1</v>
      </c>
      <c r="C5262" t="str">
        <f t="shared" si="304"/>
        <v>230</v>
      </c>
      <c r="D5262" t="str">
        <f>"3"</f>
        <v>3</v>
      </c>
      <c r="E5262" t="str">
        <f>"1-230-3"</f>
        <v>1-230-3</v>
      </c>
      <c r="F5262" t="s">
        <v>83</v>
      </c>
      <c r="G5262" t="s">
        <v>86</v>
      </c>
      <c r="H5262" t="s">
        <v>93</v>
      </c>
      <c r="I5262">
        <v>1</v>
      </c>
      <c r="K5262">
        <v>0</v>
      </c>
      <c r="L5262">
        <v>0</v>
      </c>
      <c r="M5262">
        <v>1</v>
      </c>
      <c r="N5262">
        <v>1</v>
      </c>
      <c r="O5262">
        <v>1</v>
      </c>
      <c r="P5262">
        <v>1</v>
      </c>
      <c r="Q5262">
        <v>1</v>
      </c>
      <c r="R5262">
        <v>1</v>
      </c>
      <c r="U5262">
        <v>0</v>
      </c>
      <c r="V5262">
        <v>1</v>
      </c>
      <c r="W5262">
        <v>1</v>
      </c>
      <c r="X5262">
        <v>1</v>
      </c>
      <c r="Y5262">
        <v>1</v>
      </c>
      <c r="Z5262">
        <v>1</v>
      </c>
      <c r="AA5262">
        <v>1</v>
      </c>
      <c r="AB5262">
        <v>1</v>
      </c>
    </row>
    <row r="5263" spans="1:49" x14ac:dyDescent="0.25">
      <c r="A5263" t="str">
        <f>"5259"</f>
        <v>5259</v>
      </c>
      <c r="B5263" t="str">
        <f t="shared" si="302"/>
        <v>1</v>
      </c>
      <c r="C5263" t="str">
        <f t="shared" si="304"/>
        <v>230</v>
      </c>
      <c r="D5263" t="str">
        <f>"10"</f>
        <v>10</v>
      </c>
      <c r="E5263" t="str">
        <f>"1-230-10"</f>
        <v>1-230-10</v>
      </c>
      <c r="F5263" t="s">
        <v>83</v>
      </c>
      <c r="G5263" t="s">
        <v>86</v>
      </c>
      <c r="H5263" t="s">
        <v>93</v>
      </c>
      <c r="I5263">
        <v>0</v>
      </c>
      <c r="K5263">
        <v>1</v>
      </c>
      <c r="L5263">
        <v>0</v>
      </c>
      <c r="M5263">
        <v>0</v>
      </c>
      <c r="N5263">
        <v>0</v>
      </c>
      <c r="O5263">
        <v>0</v>
      </c>
      <c r="P5263">
        <v>0</v>
      </c>
      <c r="Q5263">
        <v>0</v>
      </c>
      <c r="R5263">
        <v>0</v>
      </c>
      <c r="U5263">
        <v>0</v>
      </c>
      <c r="V5263">
        <v>1</v>
      </c>
      <c r="W5263">
        <v>0</v>
      </c>
      <c r="X5263">
        <v>0</v>
      </c>
      <c r="Y5263">
        <v>0</v>
      </c>
      <c r="Z5263">
        <v>0</v>
      </c>
      <c r="AA5263">
        <v>0</v>
      </c>
      <c r="AB5263">
        <v>0</v>
      </c>
    </row>
    <row r="5264" spans="1:49" x14ac:dyDescent="0.25">
      <c r="A5264" t="str">
        <f>"5260"</f>
        <v>5260</v>
      </c>
      <c r="B5264" t="str">
        <f t="shared" si="302"/>
        <v>1</v>
      </c>
      <c r="C5264" t="str">
        <f t="shared" si="304"/>
        <v>230</v>
      </c>
      <c r="D5264" t="str">
        <f>"6"</f>
        <v>6</v>
      </c>
      <c r="E5264" t="str">
        <f>"1-230-6"</f>
        <v>1-230-6</v>
      </c>
      <c r="F5264" t="s">
        <v>83</v>
      </c>
      <c r="G5264" t="s">
        <v>86</v>
      </c>
      <c r="H5264" t="s">
        <v>93</v>
      </c>
      <c r="I5264">
        <v>1</v>
      </c>
      <c r="K5264">
        <v>1</v>
      </c>
      <c r="L5264">
        <v>0</v>
      </c>
      <c r="M5264">
        <v>0</v>
      </c>
      <c r="N5264">
        <v>1</v>
      </c>
      <c r="O5264">
        <v>1</v>
      </c>
      <c r="P5264">
        <v>1</v>
      </c>
      <c r="Q5264">
        <v>1</v>
      </c>
      <c r="R5264">
        <v>1</v>
      </c>
      <c r="U5264">
        <v>0</v>
      </c>
      <c r="V5264">
        <v>1</v>
      </c>
      <c r="W5264">
        <v>1</v>
      </c>
      <c r="X5264">
        <v>1</v>
      </c>
      <c r="Y5264">
        <v>1</v>
      </c>
      <c r="Z5264">
        <v>1</v>
      </c>
      <c r="AA5264">
        <v>1</v>
      </c>
      <c r="AB5264">
        <v>1</v>
      </c>
    </row>
    <row r="5265" spans="1:49" x14ac:dyDescent="0.25">
      <c r="A5265" t="str">
        <f>"5261"</f>
        <v>5261</v>
      </c>
      <c r="B5265" t="str">
        <f t="shared" si="302"/>
        <v>1</v>
      </c>
      <c r="C5265" t="str">
        <f t="shared" si="304"/>
        <v>230</v>
      </c>
      <c r="D5265" t="str">
        <f>"11"</f>
        <v>11</v>
      </c>
      <c r="E5265" t="str">
        <f>"1-230-11"</f>
        <v>1-230-11</v>
      </c>
      <c r="F5265" t="s">
        <v>83</v>
      </c>
      <c r="G5265" t="s">
        <v>86</v>
      </c>
      <c r="H5265" t="s">
        <v>93</v>
      </c>
      <c r="I5265">
        <v>1</v>
      </c>
      <c r="K5265">
        <v>0</v>
      </c>
      <c r="L5265">
        <v>0</v>
      </c>
      <c r="M5265">
        <v>1</v>
      </c>
      <c r="N5265">
        <v>1</v>
      </c>
      <c r="O5265">
        <v>1</v>
      </c>
      <c r="P5265">
        <v>1</v>
      </c>
      <c r="Q5265">
        <v>1</v>
      </c>
      <c r="R5265">
        <v>1</v>
      </c>
      <c r="U5265">
        <v>0</v>
      </c>
      <c r="V5265">
        <v>1</v>
      </c>
      <c r="W5265">
        <v>1</v>
      </c>
      <c r="X5265">
        <v>1</v>
      </c>
      <c r="Y5265">
        <v>1</v>
      </c>
      <c r="Z5265">
        <v>1</v>
      </c>
      <c r="AA5265">
        <v>1</v>
      </c>
      <c r="AB5265">
        <v>1</v>
      </c>
    </row>
    <row r="5266" spans="1:49" x14ac:dyDescent="0.25">
      <c r="A5266" t="str">
        <f>"5262"</f>
        <v>5262</v>
      </c>
      <c r="B5266" t="str">
        <f t="shared" si="302"/>
        <v>1</v>
      </c>
      <c r="C5266" t="str">
        <f t="shared" si="304"/>
        <v>230</v>
      </c>
      <c r="D5266" t="str">
        <f>"1"</f>
        <v>1</v>
      </c>
      <c r="E5266" t="str">
        <f>"1-230-1"</f>
        <v>1-230-1</v>
      </c>
      <c r="F5266" t="s">
        <v>83</v>
      </c>
      <c r="G5266" t="s">
        <v>86</v>
      </c>
      <c r="H5266" t="s">
        <v>93</v>
      </c>
      <c r="I5266">
        <v>0</v>
      </c>
      <c r="K5266">
        <v>1</v>
      </c>
      <c r="L5266">
        <v>0</v>
      </c>
      <c r="M5266">
        <v>0</v>
      </c>
      <c r="N5266">
        <v>0</v>
      </c>
      <c r="O5266">
        <v>0</v>
      </c>
      <c r="P5266">
        <v>0</v>
      </c>
      <c r="Q5266">
        <v>0</v>
      </c>
      <c r="R5266">
        <v>0</v>
      </c>
      <c r="U5266">
        <v>0</v>
      </c>
      <c r="V5266">
        <v>1</v>
      </c>
      <c r="W5266">
        <v>0</v>
      </c>
      <c r="X5266">
        <v>0</v>
      </c>
      <c r="Y5266">
        <v>0</v>
      </c>
      <c r="Z5266">
        <v>0</v>
      </c>
      <c r="AA5266">
        <v>0</v>
      </c>
      <c r="AB5266">
        <v>0</v>
      </c>
    </row>
    <row r="5267" spans="1:49" x14ac:dyDescent="0.25">
      <c r="A5267" t="str">
        <f>"5263"</f>
        <v>5263</v>
      </c>
      <c r="B5267" t="str">
        <f t="shared" si="302"/>
        <v>1</v>
      </c>
      <c r="C5267" t="str">
        <f t="shared" si="304"/>
        <v>230</v>
      </c>
      <c r="D5267" t="str">
        <f>"12"</f>
        <v>12</v>
      </c>
      <c r="E5267" t="str">
        <f>"1-230-12"</f>
        <v>1-230-12</v>
      </c>
      <c r="F5267" t="s">
        <v>83</v>
      </c>
      <c r="G5267" t="s">
        <v>86</v>
      </c>
      <c r="H5267" t="s">
        <v>93</v>
      </c>
      <c r="I5267">
        <v>1</v>
      </c>
      <c r="K5267">
        <v>1</v>
      </c>
      <c r="L5267">
        <v>0</v>
      </c>
      <c r="M5267">
        <v>0</v>
      </c>
      <c r="N5267">
        <v>1</v>
      </c>
      <c r="O5267">
        <v>1</v>
      </c>
      <c r="P5267">
        <v>1</v>
      </c>
      <c r="Q5267">
        <v>1</v>
      </c>
      <c r="R5267">
        <v>1</v>
      </c>
      <c r="U5267">
        <v>1</v>
      </c>
      <c r="V5267">
        <v>0</v>
      </c>
      <c r="W5267">
        <v>1</v>
      </c>
      <c r="X5267">
        <v>1</v>
      </c>
      <c r="Y5267">
        <v>1</v>
      </c>
      <c r="Z5267">
        <v>1</v>
      </c>
      <c r="AA5267">
        <v>1</v>
      </c>
      <c r="AB5267">
        <v>1</v>
      </c>
    </row>
    <row r="5268" spans="1:49" x14ac:dyDescent="0.25">
      <c r="A5268" t="str">
        <f>"5264"</f>
        <v>5264</v>
      </c>
      <c r="B5268" t="str">
        <f t="shared" si="302"/>
        <v>1</v>
      </c>
      <c r="C5268" t="str">
        <f t="shared" si="304"/>
        <v>230</v>
      </c>
      <c r="D5268" t="str">
        <f>"2"</f>
        <v>2</v>
      </c>
      <c r="E5268" t="str">
        <f>"1-230-2"</f>
        <v>1-230-2</v>
      </c>
      <c r="F5268" t="s">
        <v>83</v>
      </c>
      <c r="G5268" t="s">
        <v>86</v>
      </c>
      <c r="H5268" t="s">
        <v>93</v>
      </c>
      <c r="I5268">
        <v>1</v>
      </c>
      <c r="K5268">
        <v>0</v>
      </c>
      <c r="L5268">
        <v>0</v>
      </c>
      <c r="M5268">
        <v>1</v>
      </c>
      <c r="N5268">
        <v>1</v>
      </c>
      <c r="O5268">
        <v>1</v>
      </c>
      <c r="P5268">
        <v>0</v>
      </c>
      <c r="Q5268">
        <v>1</v>
      </c>
      <c r="R5268">
        <v>1</v>
      </c>
      <c r="U5268">
        <v>1</v>
      </c>
      <c r="V5268">
        <v>0</v>
      </c>
      <c r="W5268">
        <v>0</v>
      </c>
      <c r="X5268">
        <v>0</v>
      </c>
      <c r="Y5268">
        <v>1</v>
      </c>
      <c r="Z5268">
        <v>1</v>
      </c>
      <c r="AA5268">
        <v>1</v>
      </c>
      <c r="AB5268">
        <v>1</v>
      </c>
    </row>
    <row r="5269" spans="1:49" x14ac:dyDescent="0.25">
      <c r="A5269" t="str">
        <f>"5265"</f>
        <v>5265</v>
      </c>
      <c r="B5269" t="str">
        <f t="shared" si="302"/>
        <v>1</v>
      </c>
      <c r="C5269" t="str">
        <f t="shared" si="304"/>
        <v>230</v>
      </c>
      <c r="D5269" t="str">
        <f>"13"</f>
        <v>13</v>
      </c>
      <c r="E5269" t="str">
        <f>"1-230-13"</f>
        <v>1-230-13</v>
      </c>
      <c r="F5269" t="s">
        <v>83</v>
      </c>
      <c r="G5269" t="s">
        <v>86</v>
      </c>
      <c r="H5269" t="s">
        <v>93</v>
      </c>
      <c r="I5269">
        <v>1</v>
      </c>
      <c r="K5269">
        <v>0</v>
      </c>
      <c r="L5269">
        <v>1</v>
      </c>
      <c r="M5269">
        <v>0</v>
      </c>
      <c r="N5269">
        <v>1</v>
      </c>
      <c r="O5269">
        <v>1</v>
      </c>
      <c r="P5269">
        <v>1</v>
      </c>
      <c r="Q5269">
        <v>1</v>
      </c>
      <c r="R5269">
        <v>1</v>
      </c>
      <c r="U5269">
        <v>0</v>
      </c>
      <c r="V5269">
        <v>1</v>
      </c>
      <c r="W5269">
        <v>1</v>
      </c>
      <c r="X5269">
        <v>1</v>
      </c>
      <c r="Y5269">
        <v>1</v>
      </c>
      <c r="Z5269">
        <v>1</v>
      </c>
      <c r="AA5269">
        <v>1</v>
      </c>
      <c r="AB5269">
        <v>1</v>
      </c>
    </row>
    <row r="5270" spans="1:49" x14ac:dyDescent="0.25">
      <c r="A5270" t="str">
        <f>"5266"</f>
        <v>5266</v>
      </c>
      <c r="B5270" t="str">
        <f t="shared" si="302"/>
        <v>1</v>
      </c>
      <c r="C5270" t="str">
        <f t="shared" si="304"/>
        <v>230</v>
      </c>
      <c r="D5270" t="str">
        <f>"7"</f>
        <v>7</v>
      </c>
      <c r="E5270" t="str">
        <f>"1-230-7"</f>
        <v>1-230-7</v>
      </c>
      <c r="F5270" t="s">
        <v>83</v>
      </c>
      <c r="G5270" t="s">
        <v>86</v>
      </c>
      <c r="H5270" t="s">
        <v>93</v>
      </c>
      <c r="I5270">
        <v>1</v>
      </c>
      <c r="K5270">
        <v>0</v>
      </c>
      <c r="L5270">
        <v>0</v>
      </c>
      <c r="M5270">
        <v>1</v>
      </c>
      <c r="N5270">
        <v>1</v>
      </c>
      <c r="O5270">
        <v>1</v>
      </c>
      <c r="P5270">
        <v>1</v>
      </c>
      <c r="Q5270">
        <v>1</v>
      </c>
      <c r="R5270">
        <v>1</v>
      </c>
      <c r="U5270">
        <v>1</v>
      </c>
      <c r="V5270">
        <v>0</v>
      </c>
      <c r="W5270">
        <v>1</v>
      </c>
      <c r="X5270">
        <v>1</v>
      </c>
      <c r="Y5270">
        <v>1</v>
      </c>
      <c r="Z5270">
        <v>1</v>
      </c>
      <c r="AA5270">
        <v>1</v>
      </c>
      <c r="AB5270">
        <v>1</v>
      </c>
    </row>
    <row r="5271" spans="1:49" x14ac:dyDescent="0.25">
      <c r="A5271" t="str">
        <f>"5267"</f>
        <v>5267</v>
      </c>
      <c r="B5271" t="str">
        <f t="shared" si="302"/>
        <v>1</v>
      </c>
      <c r="C5271" t="str">
        <f t="shared" si="304"/>
        <v>230</v>
      </c>
      <c r="D5271" t="str">
        <f>"14"</f>
        <v>14</v>
      </c>
      <c r="E5271" t="str">
        <f>"1-230-14"</f>
        <v>1-230-14</v>
      </c>
      <c r="F5271" t="s">
        <v>83</v>
      </c>
      <c r="G5271" t="s">
        <v>86</v>
      </c>
      <c r="H5271" t="s">
        <v>93</v>
      </c>
      <c r="I5271">
        <v>1</v>
      </c>
      <c r="K5271">
        <v>0</v>
      </c>
      <c r="L5271">
        <v>0</v>
      </c>
      <c r="M5271">
        <v>1</v>
      </c>
      <c r="N5271">
        <v>1</v>
      </c>
      <c r="O5271">
        <v>1</v>
      </c>
      <c r="P5271">
        <v>1</v>
      </c>
      <c r="Q5271">
        <v>1</v>
      </c>
      <c r="R5271">
        <v>1</v>
      </c>
      <c r="U5271">
        <v>0</v>
      </c>
      <c r="V5271">
        <v>1</v>
      </c>
      <c r="W5271">
        <v>1</v>
      </c>
      <c r="X5271">
        <v>1</v>
      </c>
      <c r="Y5271">
        <v>1</v>
      </c>
      <c r="Z5271">
        <v>1</v>
      </c>
      <c r="AA5271">
        <v>1</v>
      </c>
      <c r="AB5271">
        <v>1</v>
      </c>
    </row>
    <row r="5272" spans="1:49" x14ac:dyDescent="0.25">
      <c r="A5272" t="str">
        <f>"5268"</f>
        <v>5268</v>
      </c>
      <c r="B5272" t="str">
        <f t="shared" si="302"/>
        <v>1</v>
      </c>
      <c r="C5272" t="str">
        <f t="shared" si="304"/>
        <v>230</v>
      </c>
      <c r="D5272" t="str">
        <f>"5"</f>
        <v>5</v>
      </c>
      <c r="E5272" t="str">
        <f>"1-230-5"</f>
        <v>1-230-5</v>
      </c>
      <c r="F5272" t="s">
        <v>83</v>
      </c>
      <c r="G5272" t="s">
        <v>86</v>
      </c>
      <c r="H5272" t="s">
        <v>93</v>
      </c>
      <c r="I5272">
        <v>1</v>
      </c>
      <c r="K5272">
        <v>0</v>
      </c>
      <c r="L5272">
        <v>0</v>
      </c>
      <c r="M5272">
        <v>1</v>
      </c>
      <c r="N5272">
        <v>1</v>
      </c>
      <c r="O5272">
        <v>1</v>
      </c>
      <c r="P5272">
        <v>1</v>
      </c>
      <c r="Q5272">
        <v>1</v>
      </c>
      <c r="R5272">
        <v>1</v>
      </c>
      <c r="U5272">
        <v>1</v>
      </c>
      <c r="V5272">
        <v>0</v>
      </c>
      <c r="W5272">
        <v>1</v>
      </c>
      <c r="X5272">
        <v>1</v>
      </c>
      <c r="Y5272">
        <v>1</v>
      </c>
      <c r="Z5272">
        <v>1</v>
      </c>
      <c r="AA5272">
        <v>1</v>
      </c>
      <c r="AB5272">
        <v>1</v>
      </c>
    </row>
    <row r="5273" spans="1:49" x14ac:dyDescent="0.25">
      <c r="A5273" t="str">
        <f>"5269"</f>
        <v>5269</v>
      </c>
      <c r="B5273" t="str">
        <f t="shared" si="302"/>
        <v>1</v>
      </c>
      <c r="C5273" t="str">
        <f t="shared" ref="C5273:C5288" si="305">"231"</f>
        <v>231</v>
      </c>
      <c r="D5273" t="str">
        <f>"15"</f>
        <v>15</v>
      </c>
      <c r="E5273" t="str">
        <f>"1-231-15"</f>
        <v>1-231-15</v>
      </c>
      <c r="F5273" t="s">
        <v>83</v>
      </c>
      <c r="G5273" t="s">
        <v>86</v>
      </c>
      <c r="H5273" t="s">
        <v>87</v>
      </c>
      <c r="AC5273">
        <v>1</v>
      </c>
      <c r="AD5273">
        <v>0</v>
      </c>
      <c r="AE5273">
        <v>0</v>
      </c>
      <c r="AF5273">
        <v>0</v>
      </c>
      <c r="AH5273">
        <v>1</v>
      </c>
      <c r="AI5273">
        <v>0</v>
      </c>
      <c r="AJ5273">
        <v>1</v>
      </c>
      <c r="AK5273">
        <v>0</v>
      </c>
      <c r="AL5273">
        <v>1</v>
      </c>
      <c r="AM5273">
        <v>0</v>
      </c>
      <c r="AN5273">
        <v>0</v>
      </c>
      <c r="AO5273">
        <v>1</v>
      </c>
      <c r="AP5273">
        <v>1</v>
      </c>
      <c r="AQ5273">
        <v>1</v>
      </c>
      <c r="AU5273">
        <v>1</v>
      </c>
      <c r="AV5273">
        <v>1</v>
      </c>
      <c r="AW5273">
        <v>1</v>
      </c>
    </row>
    <row r="5274" spans="1:49" x14ac:dyDescent="0.25">
      <c r="A5274" t="str">
        <f>"5270"</f>
        <v>5270</v>
      </c>
      <c r="B5274" t="str">
        <f t="shared" si="302"/>
        <v>1</v>
      </c>
      <c r="C5274" t="str">
        <f t="shared" si="305"/>
        <v>231</v>
      </c>
      <c r="D5274" t="str">
        <f>"14"</f>
        <v>14</v>
      </c>
      <c r="E5274" t="str">
        <f>"1-231-14"</f>
        <v>1-231-14</v>
      </c>
      <c r="F5274" t="s">
        <v>83</v>
      </c>
      <c r="G5274" t="s">
        <v>84</v>
      </c>
      <c r="H5274" t="s">
        <v>85</v>
      </c>
      <c r="AC5274">
        <v>1</v>
      </c>
      <c r="AD5274">
        <v>0</v>
      </c>
      <c r="AE5274">
        <v>0</v>
      </c>
      <c r="AF5274">
        <v>0</v>
      </c>
      <c r="AG5274">
        <v>1</v>
      </c>
      <c r="AJ5274">
        <v>1</v>
      </c>
      <c r="AK5274">
        <v>0</v>
      </c>
      <c r="AL5274">
        <v>1</v>
      </c>
      <c r="AM5274">
        <v>0</v>
      </c>
      <c r="AN5274">
        <v>0</v>
      </c>
      <c r="AO5274">
        <v>1</v>
      </c>
      <c r="AP5274">
        <v>1</v>
      </c>
      <c r="AQ5274">
        <v>1</v>
      </c>
      <c r="AR5274">
        <v>1</v>
      </c>
      <c r="AS5274">
        <v>0</v>
      </c>
      <c r="AT5274">
        <v>1</v>
      </c>
      <c r="AV5274">
        <v>1</v>
      </c>
      <c r="AW5274">
        <v>1</v>
      </c>
    </row>
    <row r="5275" spans="1:49" x14ac:dyDescent="0.25">
      <c r="A5275" t="str">
        <f>"5271"</f>
        <v>5271</v>
      </c>
      <c r="B5275" t="str">
        <f t="shared" si="302"/>
        <v>1</v>
      </c>
      <c r="C5275" t="str">
        <f t="shared" si="305"/>
        <v>231</v>
      </c>
      <c r="D5275" t="str">
        <f>"9"</f>
        <v>9</v>
      </c>
      <c r="E5275" t="str">
        <f>"1-231-9"</f>
        <v>1-231-9</v>
      </c>
      <c r="F5275" t="s">
        <v>83</v>
      </c>
      <c r="G5275" t="s">
        <v>84</v>
      </c>
      <c r="H5275" t="s">
        <v>85</v>
      </c>
      <c r="AC5275">
        <v>1</v>
      </c>
      <c r="AD5275">
        <v>0</v>
      </c>
      <c r="AE5275">
        <v>0</v>
      </c>
      <c r="AF5275">
        <v>0</v>
      </c>
      <c r="AG5275">
        <v>1</v>
      </c>
      <c r="AJ5275">
        <v>1</v>
      </c>
      <c r="AK5275">
        <v>0</v>
      </c>
      <c r="AL5275">
        <v>1</v>
      </c>
      <c r="AM5275">
        <v>0</v>
      </c>
      <c r="AN5275">
        <v>0</v>
      </c>
      <c r="AO5275">
        <v>1</v>
      </c>
      <c r="AP5275">
        <v>1</v>
      </c>
      <c r="AQ5275">
        <v>1</v>
      </c>
      <c r="AR5275">
        <v>1</v>
      </c>
      <c r="AS5275">
        <v>1</v>
      </c>
      <c r="AT5275">
        <v>0</v>
      </c>
      <c r="AV5275">
        <v>1</v>
      </c>
      <c r="AW5275">
        <v>1</v>
      </c>
    </row>
    <row r="5276" spans="1:49" x14ac:dyDescent="0.25">
      <c r="A5276" t="str">
        <f>"5272"</f>
        <v>5272</v>
      </c>
      <c r="B5276" t="str">
        <f t="shared" si="302"/>
        <v>1</v>
      </c>
      <c r="C5276" t="str">
        <f t="shared" si="305"/>
        <v>231</v>
      </c>
      <c r="D5276" t="str">
        <f>"8"</f>
        <v>8</v>
      </c>
      <c r="E5276" t="str">
        <f>"1-231-8"</f>
        <v>1-231-8</v>
      </c>
      <c r="F5276" t="s">
        <v>83</v>
      </c>
      <c r="G5276" t="s">
        <v>84</v>
      </c>
      <c r="H5276" t="s">
        <v>85</v>
      </c>
      <c r="AC5276">
        <v>1</v>
      </c>
      <c r="AD5276">
        <v>0</v>
      </c>
      <c r="AE5276">
        <v>0</v>
      </c>
      <c r="AF5276">
        <v>0</v>
      </c>
      <c r="AG5276">
        <v>1</v>
      </c>
      <c r="AJ5276">
        <v>0</v>
      </c>
      <c r="AK5276">
        <v>1</v>
      </c>
      <c r="AL5276">
        <v>0</v>
      </c>
      <c r="AM5276">
        <v>0</v>
      </c>
      <c r="AN5276">
        <v>1</v>
      </c>
      <c r="AO5276">
        <v>1</v>
      </c>
      <c r="AP5276">
        <v>1</v>
      </c>
      <c r="AQ5276">
        <v>1</v>
      </c>
      <c r="AR5276">
        <v>1</v>
      </c>
      <c r="AS5276">
        <v>0</v>
      </c>
      <c r="AT5276">
        <v>1</v>
      </c>
      <c r="AV5276">
        <v>1</v>
      </c>
      <c r="AW5276">
        <v>1</v>
      </c>
    </row>
    <row r="5277" spans="1:49" x14ac:dyDescent="0.25">
      <c r="A5277" t="str">
        <f>"5273"</f>
        <v>5273</v>
      </c>
      <c r="B5277" t="str">
        <f t="shared" si="302"/>
        <v>1</v>
      </c>
      <c r="C5277" t="str">
        <f t="shared" si="305"/>
        <v>231</v>
      </c>
      <c r="D5277" t="str">
        <f>"4"</f>
        <v>4</v>
      </c>
      <c r="E5277" t="str">
        <f>"1-231-4"</f>
        <v>1-231-4</v>
      </c>
      <c r="F5277" t="s">
        <v>83</v>
      </c>
      <c r="G5277" t="s">
        <v>84</v>
      </c>
      <c r="H5277" t="s">
        <v>85</v>
      </c>
      <c r="AC5277">
        <v>0</v>
      </c>
      <c r="AD5277">
        <v>1</v>
      </c>
      <c r="AE5277">
        <v>0</v>
      </c>
      <c r="AF5277">
        <v>0</v>
      </c>
      <c r="AG5277">
        <v>1</v>
      </c>
      <c r="AJ5277">
        <v>1</v>
      </c>
      <c r="AK5277">
        <v>0</v>
      </c>
      <c r="AL5277">
        <v>0</v>
      </c>
      <c r="AM5277">
        <v>1</v>
      </c>
      <c r="AN5277">
        <v>0</v>
      </c>
      <c r="AO5277">
        <v>1</v>
      </c>
      <c r="AP5277">
        <v>1</v>
      </c>
      <c r="AQ5277">
        <v>1</v>
      </c>
      <c r="AR5277">
        <v>1</v>
      </c>
      <c r="AS5277">
        <v>0</v>
      </c>
      <c r="AT5277">
        <v>0</v>
      </c>
      <c r="AV5277">
        <v>1</v>
      </c>
      <c r="AW5277">
        <v>1</v>
      </c>
    </row>
    <row r="5278" spans="1:49" x14ac:dyDescent="0.25">
      <c r="A5278" t="str">
        <f>"5274"</f>
        <v>5274</v>
      </c>
      <c r="B5278" t="str">
        <f t="shared" ref="B5278:B5341" si="306">"1"</f>
        <v>1</v>
      </c>
      <c r="C5278" t="str">
        <f t="shared" si="305"/>
        <v>231</v>
      </c>
      <c r="D5278" t="str">
        <f>"10"</f>
        <v>10</v>
      </c>
      <c r="E5278" t="str">
        <f>"1-231-10"</f>
        <v>1-231-10</v>
      </c>
      <c r="F5278" t="s">
        <v>83</v>
      </c>
      <c r="G5278" t="s">
        <v>84</v>
      </c>
      <c r="H5278" t="s">
        <v>85</v>
      </c>
      <c r="AC5278">
        <v>0</v>
      </c>
      <c r="AD5278">
        <v>0</v>
      </c>
      <c r="AE5278">
        <v>0</v>
      </c>
      <c r="AF5278">
        <v>0</v>
      </c>
      <c r="AG5278">
        <v>0</v>
      </c>
      <c r="AJ5278">
        <v>0</v>
      </c>
      <c r="AK5278">
        <v>0</v>
      </c>
      <c r="AL5278">
        <v>1</v>
      </c>
      <c r="AM5278">
        <v>0</v>
      </c>
      <c r="AN5278">
        <v>0</v>
      </c>
      <c r="AO5278">
        <v>0</v>
      </c>
      <c r="AP5278">
        <v>0</v>
      </c>
      <c r="AQ5278">
        <v>0</v>
      </c>
      <c r="AR5278">
        <v>0</v>
      </c>
      <c r="AS5278">
        <v>0</v>
      </c>
      <c r="AT5278">
        <v>0</v>
      </c>
      <c r="AV5278">
        <v>0</v>
      </c>
      <c r="AW5278">
        <v>0</v>
      </c>
    </row>
    <row r="5279" spans="1:49" x14ac:dyDescent="0.25">
      <c r="A5279" t="str">
        <f>"5275"</f>
        <v>5275</v>
      </c>
      <c r="B5279" t="str">
        <f t="shared" si="306"/>
        <v>1</v>
      </c>
      <c r="C5279" t="str">
        <f t="shared" si="305"/>
        <v>231</v>
      </c>
      <c r="D5279" t="str">
        <f>"1"</f>
        <v>1</v>
      </c>
      <c r="E5279" t="str">
        <f>"1-231-1"</f>
        <v>1-231-1</v>
      </c>
      <c r="F5279" t="s">
        <v>83</v>
      </c>
      <c r="G5279" t="s">
        <v>84</v>
      </c>
      <c r="H5279" t="s">
        <v>85</v>
      </c>
      <c r="AC5279">
        <v>1</v>
      </c>
      <c r="AD5279">
        <v>0</v>
      </c>
      <c r="AE5279">
        <v>0</v>
      </c>
      <c r="AF5279">
        <v>0</v>
      </c>
      <c r="AG5279">
        <v>1</v>
      </c>
      <c r="AJ5279">
        <v>1</v>
      </c>
      <c r="AK5279">
        <v>0</v>
      </c>
      <c r="AL5279">
        <v>0</v>
      </c>
      <c r="AM5279">
        <v>0</v>
      </c>
      <c r="AN5279">
        <v>0</v>
      </c>
      <c r="AO5279">
        <v>1</v>
      </c>
      <c r="AP5279">
        <v>1</v>
      </c>
      <c r="AQ5279">
        <v>1</v>
      </c>
      <c r="AR5279">
        <v>1</v>
      </c>
      <c r="AS5279">
        <v>1</v>
      </c>
      <c r="AT5279">
        <v>0</v>
      </c>
      <c r="AV5279">
        <v>1</v>
      </c>
      <c r="AW5279">
        <v>1</v>
      </c>
    </row>
    <row r="5280" spans="1:49" x14ac:dyDescent="0.25">
      <c r="A5280" t="str">
        <f>"5276"</f>
        <v>5276</v>
      </c>
      <c r="B5280" t="str">
        <f t="shared" si="306"/>
        <v>1</v>
      </c>
      <c r="C5280" t="str">
        <f t="shared" si="305"/>
        <v>231</v>
      </c>
      <c r="D5280" t="str">
        <f>"11"</f>
        <v>11</v>
      </c>
      <c r="E5280" t="str">
        <f>"1-231-11"</f>
        <v>1-231-11</v>
      </c>
      <c r="F5280" t="s">
        <v>83</v>
      </c>
      <c r="G5280" t="s">
        <v>84</v>
      </c>
      <c r="H5280" t="s">
        <v>85</v>
      </c>
      <c r="AC5280">
        <v>1</v>
      </c>
      <c r="AD5280">
        <v>0</v>
      </c>
      <c r="AE5280">
        <v>0</v>
      </c>
      <c r="AF5280">
        <v>0</v>
      </c>
      <c r="AG5280">
        <v>1</v>
      </c>
      <c r="AJ5280">
        <v>1</v>
      </c>
      <c r="AK5280">
        <v>0</v>
      </c>
      <c r="AL5280">
        <v>1</v>
      </c>
      <c r="AM5280">
        <v>0</v>
      </c>
      <c r="AN5280">
        <v>0</v>
      </c>
      <c r="AO5280">
        <v>1</v>
      </c>
      <c r="AP5280">
        <v>1</v>
      </c>
      <c r="AQ5280">
        <v>1</v>
      </c>
      <c r="AR5280">
        <v>1</v>
      </c>
      <c r="AS5280">
        <v>0</v>
      </c>
      <c r="AT5280">
        <v>1</v>
      </c>
      <c r="AV5280">
        <v>1</v>
      </c>
      <c r="AW5280">
        <v>1</v>
      </c>
    </row>
    <row r="5281" spans="1:49" x14ac:dyDescent="0.25">
      <c r="A5281" t="str">
        <f>"5277"</f>
        <v>5277</v>
      </c>
      <c r="B5281" t="str">
        <f t="shared" si="306"/>
        <v>1</v>
      </c>
      <c r="C5281" t="str">
        <f t="shared" si="305"/>
        <v>231</v>
      </c>
      <c r="D5281" t="str">
        <f>"7"</f>
        <v>7</v>
      </c>
      <c r="E5281" t="str">
        <f>"1-231-7"</f>
        <v>1-231-7</v>
      </c>
      <c r="F5281" t="s">
        <v>83</v>
      </c>
      <c r="G5281" t="s">
        <v>84</v>
      </c>
      <c r="H5281" t="s">
        <v>85</v>
      </c>
      <c r="AC5281">
        <v>0</v>
      </c>
      <c r="AD5281">
        <v>1</v>
      </c>
      <c r="AE5281">
        <v>0</v>
      </c>
      <c r="AF5281">
        <v>0</v>
      </c>
      <c r="AG5281">
        <v>1</v>
      </c>
      <c r="AJ5281">
        <v>1</v>
      </c>
      <c r="AK5281">
        <v>0</v>
      </c>
      <c r="AL5281">
        <v>0</v>
      </c>
      <c r="AM5281">
        <v>0</v>
      </c>
      <c r="AN5281">
        <v>1</v>
      </c>
      <c r="AO5281">
        <v>1</v>
      </c>
      <c r="AP5281">
        <v>1</v>
      </c>
      <c r="AQ5281">
        <v>1</v>
      </c>
      <c r="AR5281">
        <v>1</v>
      </c>
      <c r="AS5281">
        <v>1</v>
      </c>
      <c r="AT5281">
        <v>0</v>
      </c>
      <c r="AV5281">
        <v>1</v>
      </c>
      <c r="AW5281">
        <v>1</v>
      </c>
    </row>
    <row r="5282" spans="1:49" x14ac:dyDescent="0.25">
      <c r="A5282" t="str">
        <f>"5278"</f>
        <v>5278</v>
      </c>
      <c r="B5282" t="str">
        <f t="shared" si="306"/>
        <v>1</v>
      </c>
      <c r="C5282" t="str">
        <f t="shared" si="305"/>
        <v>231</v>
      </c>
      <c r="D5282" t="str">
        <f>"12"</f>
        <v>12</v>
      </c>
      <c r="E5282" t="str">
        <f>"1-231-12"</f>
        <v>1-231-12</v>
      </c>
      <c r="F5282" t="s">
        <v>83</v>
      </c>
      <c r="G5282" t="s">
        <v>84</v>
      </c>
      <c r="H5282" t="s">
        <v>85</v>
      </c>
      <c r="AC5282">
        <v>0</v>
      </c>
      <c r="AD5282">
        <v>0</v>
      </c>
      <c r="AE5282">
        <v>0</v>
      </c>
      <c r="AF5282">
        <v>0</v>
      </c>
      <c r="AG5282">
        <v>1</v>
      </c>
      <c r="AJ5282">
        <v>0</v>
      </c>
      <c r="AK5282">
        <v>1</v>
      </c>
      <c r="AL5282">
        <v>0</v>
      </c>
      <c r="AM5282">
        <v>1</v>
      </c>
      <c r="AN5282">
        <v>0</v>
      </c>
      <c r="AO5282">
        <v>1</v>
      </c>
      <c r="AP5282">
        <v>1</v>
      </c>
      <c r="AQ5282">
        <v>1</v>
      </c>
      <c r="AR5282">
        <v>1</v>
      </c>
      <c r="AS5282">
        <v>1</v>
      </c>
      <c r="AT5282">
        <v>0</v>
      </c>
      <c r="AV5282">
        <v>1</v>
      </c>
      <c r="AW5282">
        <v>1</v>
      </c>
    </row>
    <row r="5283" spans="1:49" x14ac:dyDescent="0.25">
      <c r="A5283" t="str">
        <f>"5279"</f>
        <v>5279</v>
      </c>
      <c r="B5283" t="str">
        <f t="shared" si="306"/>
        <v>1</v>
      </c>
      <c r="C5283" t="str">
        <f t="shared" si="305"/>
        <v>231</v>
      </c>
      <c r="D5283" t="str">
        <f>"3"</f>
        <v>3</v>
      </c>
      <c r="E5283" t="str">
        <f>"1-231-3"</f>
        <v>1-231-3</v>
      </c>
      <c r="F5283" t="s">
        <v>83</v>
      </c>
      <c r="G5283" t="s">
        <v>84</v>
      </c>
      <c r="H5283" t="s">
        <v>85</v>
      </c>
      <c r="AC5283">
        <v>1</v>
      </c>
      <c r="AD5283">
        <v>0</v>
      </c>
      <c r="AE5283">
        <v>0</v>
      </c>
      <c r="AF5283">
        <v>0</v>
      </c>
      <c r="AG5283">
        <v>1</v>
      </c>
      <c r="AJ5283">
        <v>1</v>
      </c>
      <c r="AK5283">
        <v>0</v>
      </c>
      <c r="AL5283">
        <v>1</v>
      </c>
      <c r="AM5283">
        <v>0</v>
      </c>
      <c r="AN5283">
        <v>0</v>
      </c>
      <c r="AO5283">
        <v>1</v>
      </c>
      <c r="AP5283">
        <v>1</v>
      </c>
      <c r="AQ5283">
        <v>1</v>
      </c>
      <c r="AR5283">
        <v>1</v>
      </c>
      <c r="AS5283">
        <v>1</v>
      </c>
      <c r="AT5283">
        <v>0</v>
      </c>
      <c r="AV5283">
        <v>1</v>
      </c>
      <c r="AW5283">
        <v>1</v>
      </c>
    </row>
    <row r="5284" spans="1:49" x14ac:dyDescent="0.25">
      <c r="A5284" t="str">
        <f>"5280"</f>
        <v>5280</v>
      </c>
      <c r="B5284" t="str">
        <f t="shared" si="306"/>
        <v>1</v>
      </c>
      <c r="C5284" t="str">
        <f t="shared" si="305"/>
        <v>231</v>
      </c>
      <c r="D5284" t="str">
        <f>"13"</f>
        <v>13</v>
      </c>
      <c r="E5284" t="str">
        <f>"1-231-13"</f>
        <v>1-231-13</v>
      </c>
      <c r="F5284" t="s">
        <v>83</v>
      </c>
      <c r="G5284" t="s">
        <v>84</v>
      </c>
      <c r="H5284" t="s">
        <v>85</v>
      </c>
      <c r="AC5284">
        <v>1</v>
      </c>
      <c r="AD5284">
        <v>0</v>
      </c>
      <c r="AE5284">
        <v>0</v>
      </c>
      <c r="AF5284">
        <v>0</v>
      </c>
      <c r="AG5284">
        <v>0</v>
      </c>
      <c r="AJ5284">
        <v>1</v>
      </c>
      <c r="AK5284">
        <v>0</v>
      </c>
      <c r="AL5284">
        <v>1</v>
      </c>
      <c r="AM5284">
        <v>0</v>
      </c>
      <c r="AN5284">
        <v>0</v>
      </c>
      <c r="AO5284">
        <v>0</v>
      </c>
      <c r="AP5284">
        <v>0</v>
      </c>
      <c r="AQ5284">
        <v>0</v>
      </c>
      <c r="AR5284">
        <v>0</v>
      </c>
      <c r="AS5284">
        <v>1</v>
      </c>
      <c r="AT5284">
        <v>0</v>
      </c>
      <c r="AV5284">
        <v>0</v>
      </c>
      <c r="AW5284">
        <v>0</v>
      </c>
    </row>
    <row r="5285" spans="1:49" x14ac:dyDescent="0.25">
      <c r="A5285" t="str">
        <f>"5281"</f>
        <v>5281</v>
      </c>
      <c r="B5285" t="str">
        <f t="shared" si="306"/>
        <v>1</v>
      </c>
      <c r="C5285" t="str">
        <f t="shared" si="305"/>
        <v>231</v>
      </c>
      <c r="D5285" t="str">
        <f>"6"</f>
        <v>6</v>
      </c>
      <c r="E5285" t="str">
        <f>"1-231-6"</f>
        <v>1-231-6</v>
      </c>
      <c r="F5285" t="s">
        <v>83</v>
      </c>
      <c r="G5285" t="s">
        <v>84</v>
      </c>
      <c r="H5285" t="s">
        <v>85</v>
      </c>
      <c r="AC5285">
        <v>0</v>
      </c>
      <c r="AD5285">
        <v>1</v>
      </c>
      <c r="AE5285">
        <v>0</v>
      </c>
      <c r="AF5285">
        <v>0</v>
      </c>
      <c r="AG5285">
        <v>0</v>
      </c>
      <c r="AJ5285">
        <v>0</v>
      </c>
      <c r="AK5285">
        <v>1</v>
      </c>
      <c r="AL5285">
        <v>0</v>
      </c>
      <c r="AM5285">
        <v>0</v>
      </c>
      <c r="AN5285">
        <v>1</v>
      </c>
      <c r="AO5285">
        <v>1</v>
      </c>
      <c r="AP5285">
        <v>1</v>
      </c>
      <c r="AQ5285">
        <v>1</v>
      </c>
      <c r="AR5285">
        <v>1</v>
      </c>
      <c r="AS5285">
        <v>1</v>
      </c>
      <c r="AT5285">
        <v>0</v>
      </c>
      <c r="AV5285">
        <v>0</v>
      </c>
      <c r="AW5285">
        <v>1</v>
      </c>
    </row>
    <row r="5286" spans="1:49" x14ac:dyDescent="0.25">
      <c r="A5286" t="str">
        <f>"5282"</f>
        <v>5282</v>
      </c>
      <c r="B5286" t="str">
        <f t="shared" si="306"/>
        <v>1</v>
      </c>
      <c r="C5286" t="str">
        <f t="shared" si="305"/>
        <v>231</v>
      </c>
      <c r="D5286" t="str">
        <f>"16"</f>
        <v>16</v>
      </c>
      <c r="E5286" t="str">
        <f>"1-231-16"</f>
        <v>1-231-16</v>
      </c>
      <c r="F5286" t="s">
        <v>83</v>
      </c>
      <c r="G5286" t="s">
        <v>86</v>
      </c>
      <c r="H5286" t="s">
        <v>87</v>
      </c>
      <c r="AC5286">
        <v>1</v>
      </c>
      <c r="AD5286">
        <v>0</v>
      </c>
      <c r="AE5286">
        <v>0</v>
      </c>
      <c r="AF5286">
        <v>0</v>
      </c>
      <c r="AH5286">
        <v>1</v>
      </c>
      <c r="AI5286">
        <v>0</v>
      </c>
      <c r="AJ5286">
        <v>1</v>
      </c>
      <c r="AK5286">
        <v>0</v>
      </c>
      <c r="AL5286">
        <v>1</v>
      </c>
      <c r="AM5286">
        <v>0</v>
      </c>
      <c r="AN5286">
        <v>0</v>
      </c>
      <c r="AO5286">
        <v>1</v>
      </c>
      <c r="AP5286">
        <v>1</v>
      </c>
      <c r="AQ5286">
        <v>1</v>
      </c>
      <c r="AU5286">
        <v>1</v>
      </c>
      <c r="AV5286">
        <v>1</v>
      </c>
      <c r="AW5286">
        <v>1</v>
      </c>
    </row>
    <row r="5287" spans="1:49" x14ac:dyDescent="0.25">
      <c r="A5287" t="str">
        <f>"5283"</f>
        <v>5283</v>
      </c>
      <c r="B5287" t="str">
        <f t="shared" si="306"/>
        <v>1</v>
      </c>
      <c r="C5287" t="str">
        <f t="shared" si="305"/>
        <v>231</v>
      </c>
      <c r="D5287" t="str">
        <f>"2"</f>
        <v>2</v>
      </c>
      <c r="E5287" t="str">
        <f>"1-231-2"</f>
        <v>1-231-2</v>
      </c>
      <c r="F5287" t="s">
        <v>83</v>
      </c>
      <c r="G5287" t="s">
        <v>84</v>
      </c>
      <c r="H5287" t="s">
        <v>85</v>
      </c>
      <c r="AC5287">
        <v>1</v>
      </c>
      <c r="AD5287">
        <v>0</v>
      </c>
      <c r="AE5287">
        <v>0</v>
      </c>
      <c r="AF5287">
        <v>0</v>
      </c>
      <c r="AG5287">
        <v>1</v>
      </c>
      <c r="AJ5287">
        <v>0</v>
      </c>
      <c r="AK5287">
        <v>1</v>
      </c>
      <c r="AL5287">
        <v>1</v>
      </c>
      <c r="AM5287">
        <v>0</v>
      </c>
      <c r="AN5287">
        <v>0</v>
      </c>
      <c r="AO5287">
        <v>1</v>
      </c>
      <c r="AP5287">
        <v>1</v>
      </c>
      <c r="AQ5287">
        <v>1</v>
      </c>
      <c r="AR5287">
        <v>1</v>
      </c>
      <c r="AS5287">
        <v>0</v>
      </c>
      <c r="AT5287">
        <v>1</v>
      </c>
      <c r="AV5287">
        <v>1</v>
      </c>
      <c r="AW5287">
        <v>1</v>
      </c>
    </row>
    <row r="5288" spans="1:49" x14ac:dyDescent="0.25">
      <c r="A5288" t="str">
        <f>"5284"</f>
        <v>5284</v>
      </c>
      <c r="B5288" t="str">
        <f t="shared" si="306"/>
        <v>1</v>
      </c>
      <c r="C5288" t="str">
        <f t="shared" si="305"/>
        <v>231</v>
      </c>
      <c r="D5288" t="str">
        <f>"5"</f>
        <v>5</v>
      </c>
      <c r="E5288" t="str">
        <f>"1-231-5"</f>
        <v>1-231-5</v>
      </c>
      <c r="F5288" t="s">
        <v>83</v>
      </c>
      <c r="G5288" t="s">
        <v>84</v>
      </c>
      <c r="H5288" t="s">
        <v>85</v>
      </c>
      <c r="AC5288">
        <v>0</v>
      </c>
      <c r="AD5288">
        <v>1</v>
      </c>
      <c r="AE5288">
        <v>0</v>
      </c>
      <c r="AF5288">
        <v>0</v>
      </c>
      <c r="AG5288">
        <v>0</v>
      </c>
      <c r="AJ5288">
        <v>0</v>
      </c>
      <c r="AK5288">
        <v>1</v>
      </c>
      <c r="AL5288">
        <v>0</v>
      </c>
      <c r="AM5288">
        <v>0</v>
      </c>
      <c r="AN5288">
        <v>1</v>
      </c>
      <c r="AO5288">
        <v>1</v>
      </c>
      <c r="AP5288">
        <v>1</v>
      </c>
      <c r="AQ5288">
        <v>1</v>
      </c>
      <c r="AR5288">
        <v>1</v>
      </c>
      <c r="AS5288">
        <v>1</v>
      </c>
      <c r="AT5288">
        <v>0</v>
      </c>
      <c r="AV5288">
        <v>0</v>
      </c>
      <c r="AW5288">
        <v>1</v>
      </c>
    </row>
    <row r="5289" spans="1:49" x14ac:dyDescent="0.25">
      <c r="A5289" t="str">
        <f>"5285"</f>
        <v>5285</v>
      </c>
      <c r="B5289" t="str">
        <f t="shared" si="306"/>
        <v>1</v>
      </c>
      <c r="C5289" t="str">
        <f t="shared" ref="C5289:C5296" si="307">"232"</f>
        <v>232</v>
      </c>
      <c r="D5289" t="str">
        <f>"8"</f>
        <v>8</v>
      </c>
      <c r="E5289" t="str">
        <f>"1-232-8"</f>
        <v>1-232-8</v>
      </c>
      <c r="F5289" t="s">
        <v>83</v>
      </c>
      <c r="G5289" t="s">
        <v>84</v>
      </c>
      <c r="H5289" t="s">
        <v>92</v>
      </c>
      <c r="I5289">
        <v>0</v>
      </c>
      <c r="J5289">
        <v>0</v>
      </c>
      <c r="N5289">
        <v>0</v>
      </c>
      <c r="O5289">
        <v>0</v>
      </c>
      <c r="P5289">
        <v>0</v>
      </c>
      <c r="Q5289">
        <v>0</v>
      </c>
      <c r="R5289">
        <v>0</v>
      </c>
      <c r="S5289">
        <v>0</v>
      </c>
      <c r="T5289">
        <v>0</v>
      </c>
      <c r="W5289">
        <v>0</v>
      </c>
      <c r="X5289">
        <v>1</v>
      </c>
      <c r="Y5289">
        <v>1</v>
      </c>
      <c r="Z5289">
        <v>1</v>
      </c>
      <c r="AA5289">
        <v>1</v>
      </c>
      <c r="AB5289">
        <v>1</v>
      </c>
    </row>
    <row r="5290" spans="1:49" x14ac:dyDescent="0.25">
      <c r="A5290" t="str">
        <f>"5286"</f>
        <v>5286</v>
      </c>
      <c r="B5290" t="str">
        <f t="shared" si="306"/>
        <v>1</v>
      </c>
      <c r="C5290" t="str">
        <f t="shared" si="307"/>
        <v>232</v>
      </c>
      <c r="D5290" t="str">
        <f>"5"</f>
        <v>5</v>
      </c>
      <c r="E5290" t="str">
        <f>"1-232-5"</f>
        <v>1-232-5</v>
      </c>
      <c r="F5290" t="s">
        <v>83</v>
      </c>
      <c r="G5290" t="s">
        <v>84</v>
      </c>
      <c r="H5290" t="s">
        <v>92</v>
      </c>
      <c r="I5290">
        <v>1</v>
      </c>
      <c r="J5290">
        <v>1</v>
      </c>
      <c r="N5290">
        <v>1</v>
      </c>
      <c r="O5290">
        <v>1</v>
      </c>
      <c r="P5290">
        <v>1</v>
      </c>
      <c r="Q5290">
        <v>1</v>
      </c>
      <c r="R5290">
        <v>0</v>
      </c>
      <c r="S5290">
        <v>1</v>
      </c>
      <c r="T5290">
        <v>0</v>
      </c>
      <c r="W5290">
        <v>1</v>
      </c>
      <c r="X5290">
        <v>1</v>
      </c>
      <c r="Y5290">
        <v>1</v>
      </c>
      <c r="Z5290">
        <v>1</v>
      </c>
      <c r="AA5290">
        <v>1</v>
      </c>
      <c r="AB5290">
        <v>1</v>
      </c>
    </row>
    <row r="5291" spans="1:49" x14ac:dyDescent="0.25">
      <c r="A5291" t="str">
        <f>"5287"</f>
        <v>5287</v>
      </c>
      <c r="B5291" t="str">
        <f t="shared" si="306"/>
        <v>1</v>
      </c>
      <c r="C5291" t="str">
        <f t="shared" si="307"/>
        <v>232</v>
      </c>
      <c r="D5291" t="str">
        <f>"3"</f>
        <v>3</v>
      </c>
      <c r="E5291" t="str">
        <f>"1-232-3"</f>
        <v>1-232-3</v>
      </c>
      <c r="F5291" t="s">
        <v>83</v>
      </c>
      <c r="G5291" t="s">
        <v>86</v>
      </c>
      <c r="H5291" t="s">
        <v>93</v>
      </c>
      <c r="I5291">
        <v>1</v>
      </c>
      <c r="K5291">
        <v>0</v>
      </c>
      <c r="L5291">
        <v>0</v>
      </c>
      <c r="M5291">
        <v>1</v>
      </c>
      <c r="N5291">
        <v>1</v>
      </c>
      <c r="O5291">
        <v>1</v>
      </c>
      <c r="P5291">
        <v>1</v>
      </c>
      <c r="Q5291">
        <v>1</v>
      </c>
      <c r="R5291">
        <v>1</v>
      </c>
      <c r="U5291">
        <v>0</v>
      </c>
      <c r="V5291">
        <v>1</v>
      </c>
      <c r="W5291">
        <v>0</v>
      </c>
      <c r="X5291">
        <v>0</v>
      </c>
      <c r="Y5291">
        <v>0</v>
      </c>
      <c r="Z5291">
        <v>0</v>
      </c>
      <c r="AA5291">
        <v>0</v>
      </c>
      <c r="AB5291">
        <v>0</v>
      </c>
    </row>
    <row r="5292" spans="1:49" x14ac:dyDescent="0.25">
      <c r="A5292" t="str">
        <f>"5288"</f>
        <v>5288</v>
      </c>
      <c r="B5292" t="str">
        <f t="shared" si="306"/>
        <v>1</v>
      </c>
      <c r="C5292" t="str">
        <f t="shared" si="307"/>
        <v>232</v>
      </c>
      <c r="D5292" t="str">
        <f>"1"</f>
        <v>1</v>
      </c>
      <c r="E5292" t="str">
        <f>"1-232-1"</f>
        <v>1-232-1</v>
      </c>
      <c r="F5292" t="s">
        <v>83</v>
      </c>
      <c r="G5292" t="s">
        <v>84</v>
      </c>
      <c r="H5292" t="s">
        <v>92</v>
      </c>
      <c r="I5292">
        <v>1</v>
      </c>
      <c r="J5292">
        <v>1</v>
      </c>
      <c r="N5292">
        <v>1</v>
      </c>
      <c r="O5292">
        <v>1</v>
      </c>
      <c r="P5292">
        <v>1</v>
      </c>
      <c r="Q5292">
        <v>1</v>
      </c>
      <c r="R5292">
        <v>1</v>
      </c>
      <c r="S5292">
        <v>1</v>
      </c>
      <c r="T5292">
        <v>1</v>
      </c>
      <c r="W5292">
        <v>1</v>
      </c>
      <c r="X5292">
        <v>1</v>
      </c>
      <c r="Y5292">
        <v>1</v>
      </c>
      <c r="Z5292">
        <v>1</v>
      </c>
      <c r="AA5292">
        <v>1</v>
      </c>
      <c r="AB5292">
        <v>1</v>
      </c>
    </row>
    <row r="5293" spans="1:49" x14ac:dyDescent="0.25">
      <c r="A5293" t="str">
        <f>"5289"</f>
        <v>5289</v>
      </c>
      <c r="B5293" t="str">
        <f t="shared" si="306"/>
        <v>1</v>
      </c>
      <c r="C5293" t="str">
        <f t="shared" si="307"/>
        <v>232</v>
      </c>
      <c r="D5293" t="str">
        <f>"4"</f>
        <v>4</v>
      </c>
      <c r="E5293" t="str">
        <f>"1-232-4"</f>
        <v>1-232-4</v>
      </c>
      <c r="F5293" t="s">
        <v>83</v>
      </c>
      <c r="G5293" t="s">
        <v>86</v>
      </c>
      <c r="H5293" t="s">
        <v>93</v>
      </c>
      <c r="I5293">
        <v>1</v>
      </c>
      <c r="K5293">
        <v>0</v>
      </c>
      <c r="L5293">
        <v>0</v>
      </c>
      <c r="M5293">
        <v>1</v>
      </c>
      <c r="N5293">
        <v>1</v>
      </c>
      <c r="O5293">
        <v>1</v>
      </c>
      <c r="P5293">
        <v>1</v>
      </c>
      <c r="Q5293">
        <v>1</v>
      </c>
      <c r="R5293">
        <v>1</v>
      </c>
      <c r="U5293">
        <v>1</v>
      </c>
      <c r="V5293">
        <v>0</v>
      </c>
      <c r="W5293">
        <v>1</v>
      </c>
      <c r="X5293">
        <v>1</v>
      </c>
      <c r="Y5293">
        <v>1</v>
      </c>
      <c r="Z5293">
        <v>1</v>
      </c>
      <c r="AA5293">
        <v>1</v>
      </c>
      <c r="AB5293">
        <v>1</v>
      </c>
    </row>
    <row r="5294" spans="1:49" x14ac:dyDescent="0.25">
      <c r="A5294" t="str">
        <f>"5290"</f>
        <v>5290</v>
      </c>
      <c r="B5294" t="str">
        <f t="shared" si="306"/>
        <v>1</v>
      </c>
      <c r="C5294" t="str">
        <f t="shared" si="307"/>
        <v>232</v>
      </c>
      <c r="D5294" t="str">
        <f>"7"</f>
        <v>7</v>
      </c>
      <c r="E5294" t="str">
        <f>"1-232-7"</f>
        <v>1-232-7</v>
      </c>
      <c r="F5294" t="s">
        <v>83</v>
      </c>
      <c r="G5294" t="s">
        <v>84</v>
      </c>
      <c r="H5294" t="s">
        <v>92</v>
      </c>
      <c r="I5294">
        <v>1</v>
      </c>
      <c r="J5294">
        <v>1</v>
      </c>
      <c r="N5294">
        <v>1</v>
      </c>
      <c r="O5294">
        <v>1</v>
      </c>
      <c r="P5294">
        <v>1</v>
      </c>
      <c r="Q5294">
        <v>1</v>
      </c>
      <c r="R5294">
        <v>1</v>
      </c>
      <c r="S5294">
        <v>1</v>
      </c>
      <c r="T5294">
        <v>1</v>
      </c>
      <c r="W5294">
        <v>1</v>
      </c>
      <c r="X5294">
        <v>1</v>
      </c>
      <c r="Y5294">
        <v>1</v>
      </c>
      <c r="Z5294">
        <v>1</v>
      </c>
      <c r="AA5294">
        <v>1</v>
      </c>
      <c r="AB5294">
        <v>1</v>
      </c>
    </row>
    <row r="5295" spans="1:49" x14ac:dyDescent="0.25">
      <c r="A5295" t="str">
        <f>"5291"</f>
        <v>5291</v>
      </c>
      <c r="B5295" t="str">
        <f t="shared" si="306"/>
        <v>1</v>
      </c>
      <c r="C5295" t="str">
        <f t="shared" si="307"/>
        <v>232</v>
      </c>
      <c r="D5295" t="str">
        <f>"2"</f>
        <v>2</v>
      </c>
      <c r="E5295" t="str">
        <f>"1-232-2"</f>
        <v>1-232-2</v>
      </c>
      <c r="F5295" t="s">
        <v>83</v>
      </c>
      <c r="G5295" t="s">
        <v>86</v>
      </c>
      <c r="H5295" t="s">
        <v>93</v>
      </c>
      <c r="I5295">
        <v>1</v>
      </c>
      <c r="K5295">
        <v>0</v>
      </c>
      <c r="L5295">
        <v>0</v>
      </c>
      <c r="M5295">
        <v>1</v>
      </c>
      <c r="N5295">
        <v>1</v>
      </c>
      <c r="O5295">
        <v>1</v>
      </c>
      <c r="P5295">
        <v>1</v>
      </c>
      <c r="Q5295">
        <v>1</v>
      </c>
      <c r="R5295">
        <v>1</v>
      </c>
      <c r="U5295">
        <v>0</v>
      </c>
      <c r="V5295">
        <v>1</v>
      </c>
      <c r="W5295">
        <v>0</v>
      </c>
      <c r="X5295">
        <v>0</v>
      </c>
      <c r="Y5295">
        <v>0</v>
      </c>
      <c r="Z5295">
        <v>0</v>
      </c>
      <c r="AA5295">
        <v>0</v>
      </c>
      <c r="AB5295">
        <v>0</v>
      </c>
    </row>
    <row r="5296" spans="1:49" x14ac:dyDescent="0.25">
      <c r="A5296" t="str">
        <f>"5292"</f>
        <v>5292</v>
      </c>
      <c r="B5296" t="str">
        <f t="shared" si="306"/>
        <v>1</v>
      </c>
      <c r="C5296" t="str">
        <f t="shared" si="307"/>
        <v>232</v>
      </c>
      <c r="D5296" t="str">
        <f>"6"</f>
        <v>6</v>
      </c>
      <c r="E5296" t="str">
        <f>"1-232-6"</f>
        <v>1-232-6</v>
      </c>
      <c r="F5296" t="s">
        <v>83</v>
      </c>
      <c r="G5296" t="s">
        <v>86</v>
      </c>
      <c r="H5296" t="s">
        <v>93</v>
      </c>
      <c r="I5296">
        <v>1</v>
      </c>
      <c r="K5296">
        <v>1</v>
      </c>
      <c r="L5296">
        <v>0</v>
      </c>
      <c r="M5296">
        <v>0</v>
      </c>
      <c r="N5296">
        <v>1</v>
      </c>
      <c r="O5296">
        <v>1</v>
      </c>
      <c r="P5296">
        <v>1</v>
      </c>
      <c r="Q5296">
        <v>1</v>
      </c>
      <c r="R5296">
        <v>1</v>
      </c>
      <c r="U5296">
        <v>1</v>
      </c>
      <c r="V5296">
        <v>0</v>
      </c>
      <c r="W5296">
        <v>1</v>
      </c>
      <c r="X5296">
        <v>1</v>
      </c>
      <c r="Y5296">
        <v>1</v>
      </c>
      <c r="Z5296">
        <v>1</v>
      </c>
      <c r="AA5296">
        <v>1</v>
      </c>
      <c r="AB5296">
        <v>1</v>
      </c>
    </row>
    <row r="5297" spans="1:49" x14ac:dyDescent="0.25">
      <c r="A5297" t="str">
        <f>"5293"</f>
        <v>5293</v>
      </c>
      <c r="B5297" t="str">
        <f t="shared" si="306"/>
        <v>1</v>
      </c>
      <c r="C5297" t="str">
        <f>"233"</f>
        <v>233</v>
      </c>
      <c r="D5297" t="str">
        <f>"1"</f>
        <v>1</v>
      </c>
      <c r="E5297" t="str">
        <f>"1-233-1"</f>
        <v>1-233-1</v>
      </c>
      <c r="F5297" t="s">
        <v>83</v>
      </c>
      <c r="G5297" t="s">
        <v>84</v>
      </c>
      <c r="H5297" t="s">
        <v>85</v>
      </c>
      <c r="AC5297">
        <v>1</v>
      </c>
      <c r="AD5297">
        <v>0</v>
      </c>
      <c r="AE5297">
        <v>0</v>
      </c>
      <c r="AF5297">
        <v>0</v>
      </c>
      <c r="AG5297">
        <v>1</v>
      </c>
      <c r="AJ5297">
        <v>1</v>
      </c>
      <c r="AK5297">
        <v>0</v>
      </c>
      <c r="AL5297">
        <v>1</v>
      </c>
      <c r="AM5297">
        <v>0</v>
      </c>
      <c r="AN5297">
        <v>0</v>
      </c>
      <c r="AO5297">
        <v>1</v>
      </c>
      <c r="AP5297">
        <v>1</v>
      </c>
      <c r="AQ5297">
        <v>1</v>
      </c>
      <c r="AR5297">
        <v>1</v>
      </c>
      <c r="AS5297">
        <v>0</v>
      </c>
      <c r="AT5297">
        <v>0</v>
      </c>
      <c r="AV5297">
        <v>1</v>
      </c>
      <c r="AW5297">
        <v>0</v>
      </c>
    </row>
    <row r="5298" spans="1:49" x14ac:dyDescent="0.25">
      <c r="A5298" t="str">
        <f>"5294"</f>
        <v>5294</v>
      </c>
      <c r="B5298" t="str">
        <f t="shared" si="306"/>
        <v>1</v>
      </c>
      <c r="C5298" t="str">
        <f>"233"</f>
        <v>233</v>
      </c>
      <c r="D5298" t="str">
        <f>"3"</f>
        <v>3</v>
      </c>
      <c r="E5298" t="str">
        <f>"1-233-3"</f>
        <v>1-233-3</v>
      </c>
      <c r="F5298" t="s">
        <v>83</v>
      </c>
      <c r="G5298" t="s">
        <v>84</v>
      </c>
      <c r="H5298" t="s">
        <v>85</v>
      </c>
      <c r="AC5298">
        <v>1</v>
      </c>
      <c r="AD5298">
        <v>0</v>
      </c>
      <c r="AE5298">
        <v>0</v>
      </c>
      <c r="AF5298">
        <v>0</v>
      </c>
      <c r="AG5298">
        <v>1</v>
      </c>
      <c r="AJ5298">
        <v>0</v>
      </c>
      <c r="AK5298">
        <v>1</v>
      </c>
      <c r="AL5298">
        <v>1</v>
      </c>
      <c r="AM5298">
        <v>0</v>
      </c>
      <c r="AN5298">
        <v>0</v>
      </c>
      <c r="AO5298">
        <v>1</v>
      </c>
      <c r="AP5298">
        <v>1</v>
      </c>
      <c r="AQ5298">
        <v>1</v>
      </c>
      <c r="AR5298">
        <v>1</v>
      </c>
      <c r="AS5298">
        <v>1</v>
      </c>
      <c r="AT5298">
        <v>0</v>
      </c>
      <c r="AV5298">
        <v>1</v>
      </c>
      <c r="AW5298">
        <v>1</v>
      </c>
    </row>
    <row r="5299" spans="1:49" x14ac:dyDescent="0.25">
      <c r="A5299" t="str">
        <f>"5295"</f>
        <v>5295</v>
      </c>
      <c r="B5299" t="str">
        <f t="shared" si="306"/>
        <v>1</v>
      </c>
      <c r="C5299" t="str">
        <f>"233"</f>
        <v>233</v>
      </c>
      <c r="D5299" t="str">
        <f>"2"</f>
        <v>2</v>
      </c>
      <c r="E5299" t="str">
        <f>"1-233-2"</f>
        <v>1-233-2</v>
      </c>
      <c r="F5299" t="s">
        <v>83</v>
      </c>
      <c r="G5299" t="s">
        <v>84</v>
      </c>
      <c r="H5299" t="s">
        <v>85</v>
      </c>
      <c r="AC5299">
        <v>1</v>
      </c>
      <c r="AD5299">
        <v>0</v>
      </c>
      <c r="AE5299">
        <v>0</v>
      </c>
      <c r="AF5299">
        <v>0</v>
      </c>
      <c r="AG5299">
        <v>1</v>
      </c>
      <c r="AJ5299">
        <v>0</v>
      </c>
      <c r="AK5299">
        <v>1</v>
      </c>
      <c r="AL5299">
        <v>1</v>
      </c>
      <c r="AM5299">
        <v>0</v>
      </c>
      <c r="AN5299">
        <v>0</v>
      </c>
      <c r="AO5299">
        <v>1</v>
      </c>
      <c r="AP5299">
        <v>1</v>
      </c>
      <c r="AQ5299">
        <v>1</v>
      </c>
      <c r="AR5299">
        <v>1</v>
      </c>
      <c r="AS5299">
        <v>1</v>
      </c>
      <c r="AT5299">
        <v>0</v>
      </c>
      <c r="AV5299">
        <v>1</v>
      </c>
      <c r="AW5299">
        <v>1</v>
      </c>
    </row>
    <row r="5300" spans="1:49" x14ac:dyDescent="0.25">
      <c r="A5300" t="str">
        <f>"5296"</f>
        <v>5296</v>
      </c>
      <c r="B5300" t="str">
        <f t="shared" si="306"/>
        <v>1</v>
      </c>
      <c r="C5300" t="str">
        <f>"233"</f>
        <v>233</v>
      </c>
      <c r="D5300" t="str">
        <f>"4"</f>
        <v>4</v>
      </c>
      <c r="E5300" t="str">
        <f>"1-233-4"</f>
        <v>1-233-4</v>
      </c>
      <c r="F5300" t="s">
        <v>83</v>
      </c>
      <c r="G5300" t="s">
        <v>86</v>
      </c>
      <c r="H5300" t="s">
        <v>87</v>
      </c>
      <c r="AC5300">
        <v>1</v>
      </c>
      <c r="AD5300">
        <v>0</v>
      </c>
      <c r="AE5300">
        <v>0</v>
      </c>
      <c r="AF5300">
        <v>0</v>
      </c>
      <c r="AH5300">
        <v>0</v>
      </c>
      <c r="AI5300">
        <v>1</v>
      </c>
      <c r="AJ5300">
        <v>0</v>
      </c>
      <c r="AK5300">
        <v>1</v>
      </c>
      <c r="AL5300">
        <v>0</v>
      </c>
      <c r="AM5300">
        <v>0</v>
      </c>
      <c r="AN5300">
        <v>1</v>
      </c>
      <c r="AO5300">
        <v>1</v>
      </c>
      <c r="AP5300">
        <v>0</v>
      </c>
      <c r="AQ5300">
        <v>0</v>
      </c>
      <c r="AU5300">
        <v>0</v>
      </c>
      <c r="AV5300">
        <v>0</v>
      </c>
      <c r="AW5300">
        <v>0</v>
      </c>
    </row>
    <row r="5301" spans="1:49" x14ac:dyDescent="0.25">
      <c r="A5301" t="str">
        <f>"5297"</f>
        <v>5297</v>
      </c>
      <c r="B5301" t="str">
        <f t="shared" si="306"/>
        <v>1</v>
      </c>
      <c r="C5301" t="str">
        <f t="shared" ref="C5301:C5323" si="308">"234"</f>
        <v>234</v>
      </c>
      <c r="D5301" t="str">
        <f>"16"</f>
        <v>16</v>
      </c>
      <c r="E5301" t="str">
        <f>"1-234-16"</f>
        <v>1-234-16</v>
      </c>
      <c r="F5301" t="s">
        <v>83</v>
      </c>
      <c r="G5301" t="s">
        <v>84</v>
      </c>
      <c r="H5301" t="s">
        <v>85</v>
      </c>
      <c r="AC5301">
        <v>0</v>
      </c>
      <c r="AD5301">
        <v>1</v>
      </c>
      <c r="AE5301">
        <v>0</v>
      </c>
      <c r="AF5301">
        <v>0</v>
      </c>
      <c r="AG5301">
        <v>1</v>
      </c>
      <c r="AJ5301">
        <v>1</v>
      </c>
      <c r="AK5301">
        <v>0</v>
      </c>
      <c r="AL5301">
        <v>1</v>
      </c>
      <c r="AM5301">
        <v>0</v>
      </c>
      <c r="AN5301">
        <v>0</v>
      </c>
      <c r="AO5301">
        <v>1</v>
      </c>
      <c r="AP5301">
        <v>1</v>
      </c>
      <c r="AQ5301">
        <v>1</v>
      </c>
      <c r="AR5301">
        <v>1</v>
      </c>
      <c r="AS5301">
        <v>1</v>
      </c>
      <c r="AT5301">
        <v>0</v>
      </c>
      <c r="AV5301">
        <v>1</v>
      </c>
      <c r="AW5301">
        <v>1</v>
      </c>
    </row>
    <row r="5302" spans="1:49" x14ac:dyDescent="0.25">
      <c r="A5302" t="str">
        <f>"5298"</f>
        <v>5298</v>
      </c>
      <c r="B5302" t="str">
        <f t="shared" si="306"/>
        <v>1</v>
      </c>
      <c r="C5302" t="str">
        <f t="shared" si="308"/>
        <v>234</v>
      </c>
      <c r="D5302" t="str">
        <f>"8"</f>
        <v>8</v>
      </c>
      <c r="E5302" t="str">
        <f>"1-234-8"</f>
        <v>1-234-8</v>
      </c>
      <c r="F5302" t="s">
        <v>83</v>
      </c>
      <c r="G5302" t="s">
        <v>84</v>
      </c>
      <c r="H5302" t="s">
        <v>85</v>
      </c>
      <c r="AC5302">
        <v>0</v>
      </c>
      <c r="AD5302">
        <v>1</v>
      </c>
      <c r="AE5302">
        <v>0</v>
      </c>
      <c r="AF5302">
        <v>0</v>
      </c>
      <c r="AG5302">
        <v>1</v>
      </c>
      <c r="AJ5302">
        <v>0</v>
      </c>
      <c r="AK5302">
        <v>1</v>
      </c>
      <c r="AL5302">
        <v>0</v>
      </c>
      <c r="AM5302">
        <v>0</v>
      </c>
      <c r="AN5302">
        <v>1</v>
      </c>
      <c r="AO5302">
        <v>1</v>
      </c>
      <c r="AP5302">
        <v>1</v>
      </c>
      <c r="AQ5302">
        <v>1</v>
      </c>
      <c r="AR5302">
        <v>1</v>
      </c>
      <c r="AS5302">
        <v>0</v>
      </c>
      <c r="AT5302">
        <v>1</v>
      </c>
      <c r="AV5302">
        <v>1</v>
      </c>
      <c r="AW5302">
        <v>1</v>
      </c>
    </row>
    <row r="5303" spans="1:49" x14ac:dyDescent="0.25">
      <c r="A5303" t="str">
        <f>"5299"</f>
        <v>5299</v>
      </c>
      <c r="B5303" t="str">
        <f t="shared" si="306"/>
        <v>1</v>
      </c>
      <c r="C5303" t="str">
        <f t="shared" si="308"/>
        <v>234</v>
      </c>
      <c r="D5303" t="str">
        <f>"3"</f>
        <v>3</v>
      </c>
      <c r="E5303" t="str">
        <f>"1-234-3"</f>
        <v>1-234-3</v>
      </c>
      <c r="F5303" t="s">
        <v>83</v>
      </c>
      <c r="G5303" t="s">
        <v>84</v>
      </c>
      <c r="H5303" t="s">
        <v>85</v>
      </c>
      <c r="AC5303">
        <v>0</v>
      </c>
      <c r="AD5303">
        <v>1</v>
      </c>
      <c r="AE5303">
        <v>0</v>
      </c>
      <c r="AF5303">
        <v>0</v>
      </c>
      <c r="AG5303">
        <v>1</v>
      </c>
      <c r="AJ5303">
        <v>0</v>
      </c>
      <c r="AK5303">
        <v>1</v>
      </c>
      <c r="AL5303">
        <v>0</v>
      </c>
      <c r="AM5303">
        <v>0</v>
      </c>
      <c r="AN5303">
        <v>1</v>
      </c>
      <c r="AO5303">
        <v>1</v>
      </c>
      <c r="AP5303">
        <v>1</v>
      </c>
      <c r="AQ5303">
        <v>1</v>
      </c>
      <c r="AR5303">
        <v>1</v>
      </c>
      <c r="AS5303">
        <v>1</v>
      </c>
      <c r="AT5303">
        <v>0</v>
      </c>
      <c r="AV5303">
        <v>1</v>
      </c>
      <c r="AW5303">
        <v>1</v>
      </c>
    </row>
    <row r="5304" spans="1:49" x14ac:dyDescent="0.25">
      <c r="A5304" t="str">
        <f>"5300"</f>
        <v>5300</v>
      </c>
      <c r="B5304" t="str">
        <f t="shared" si="306"/>
        <v>1</v>
      </c>
      <c r="C5304" t="str">
        <f t="shared" si="308"/>
        <v>234</v>
      </c>
      <c r="D5304" t="str">
        <f>"23"</f>
        <v>23</v>
      </c>
      <c r="E5304" t="str">
        <f>"1-234-23"</f>
        <v>1-234-23</v>
      </c>
      <c r="F5304" t="s">
        <v>83</v>
      </c>
      <c r="G5304" t="s">
        <v>84</v>
      </c>
      <c r="H5304" t="s">
        <v>92</v>
      </c>
      <c r="I5304">
        <v>1</v>
      </c>
      <c r="J5304">
        <v>1</v>
      </c>
      <c r="N5304">
        <v>1</v>
      </c>
      <c r="O5304">
        <v>1</v>
      </c>
      <c r="P5304">
        <v>1</v>
      </c>
      <c r="Q5304">
        <v>1</v>
      </c>
      <c r="R5304">
        <v>1</v>
      </c>
      <c r="S5304">
        <v>1</v>
      </c>
      <c r="T5304">
        <v>1</v>
      </c>
      <c r="W5304">
        <v>1</v>
      </c>
      <c r="X5304">
        <v>1</v>
      </c>
      <c r="Y5304">
        <v>1</v>
      </c>
      <c r="Z5304">
        <v>1</v>
      </c>
      <c r="AA5304">
        <v>1</v>
      </c>
      <c r="AB5304">
        <v>1</v>
      </c>
    </row>
    <row r="5305" spans="1:49" x14ac:dyDescent="0.25">
      <c r="A5305" t="str">
        <f>"5301"</f>
        <v>5301</v>
      </c>
      <c r="B5305" t="str">
        <f t="shared" si="306"/>
        <v>1</v>
      </c>
      <c r="C5305" t="str">
        <f t="shared" si="308"/>
        <v>234</v>
      </c>
      <c r="D5305" t="str">
        <f>"22"</f>
        <v>22</v>
      </c>
      <c r="E5305" t="str">
        <f>"1-234-22"</f>
        <v>1-234-22</v>
      </c>
      <c r="F5305" t="s">
        <v>83</v>
      </c>
      <c r="G5305" t="s">
        <v>84</v>
      </c>
      <c r="H5305" t="s">
        <v>92</v>
      </c>
      <c r="I5305">
        <v>1</v>
      </c>
      <c r="J5305">
        <v>0</v>
      </c>
      <c r="N5305">
        <v>1</v>
      </c>
      <c r="O5305">
        <v>1</v>
      </c>
      <c r="P5305">
        <v>1</v>
      </c>
      <c r="Q5305">
        <v>1</v>
      </c>
      <c r="R5305">
        <v>1</v>
      </c>
      <c r="S5305">
        <v>1</v>
      </c>
      <c r="T5305">
        <v>1</v>
      </c>
      <c r="W5305">
        <v>1</v>
      </c>
      <c r="X5305">
        <v>1</v>
      </c>
      <c r="Y5305">
        <v>1</v>
      </c>
      <c r="Z5305">
        <v>1</v>
      </c>
      <c r="AA5305">
        <v>1</v>
      </c>
      <c r="AB5305">
        <v>1</v>
      </c>
    </row>
    <row r="5306" spans="1:49" x14ac:dyDescent="0.25">
      <c r="A5306" t="str">
        <f>"5302"</f>
        <v>5302</v>
      </c>
      <c r="B5306" t="str">
        <f t="shared" si="306"/>
        <v>1</v>
      </c>
      <c r="C5306" t="str">
        <f t="shared" si="308"/>
        <v>234</v>
      </c>
      <c r="D5306" t="str">
        <f>"15"</f>
        <v>15</v>
      </c>
      <c r="E5306" t="str">
        <f>"1-234-15"</f>
        <v>1-234-15</v>
      </c>
      <c r="F5306" t="s">
        <v>83</v>
      </c>
      <c r="G5306" t="s">
        <v>84</v>
      </c>
      <c r="H5306" t="s">
        <v>92</v>
      </c>
      <c r="I5306">
        <v>1</v>
      </c>
      <c r="J5306">
        <v>1</v>
      </c>
      <c r="N5306">
        <v>1</v>
      </c>
      <c r="O5306">
        <v>1</v>
      </c>
      <c r="P5306">
        <v>1</v>
      </c>
      <c r="Q5306">
        <v>1</v>
      </c>
      <c r="R5306">
        <v>1</v>
      </c>
      <c r="S5306">
        <v>1</v>
      </c>
      <c r="T5306">
        <v>1</v>
      </c>
      <c r="W5306">
        <v>1</v>
      </c>
      <c r="X5306">
        <v>1</v>
      </c>
      <c r="Y5306">
        <v>1</v>
      </c>
      <c r="Z5306">
        <v>1</v>
      </c>
      <c r="AA5306">
        <v>1</v>
      </c>
      <c r="AB5306">
        <v>1</v>
      </c>
    </row>
    <row r="5307" spans="1:49" x14ac:dyDescent="0.25">
      <c r="A5307" t="str">
        <f>"5303"</f>
        <v>5303</v>
      </c>
      <c r="B5307" t="str">
        <f t="shared" si="306"/>
        <v>1</v>
      </c>
      <c r="C5307" t="str">
        <f t="shared" si="308"/>
        <v>234</v>
      </c>
      <c r="D5307" t="str">
        <f>"9"</f>
        <v>9</v>
      </c>
      <c r="E5307" t="str">
        <f>"1-234-9"</f>
        <v>1-234-9</v>
      </c>
      <c r="F5307" t="s">
        <v>83</v>
      </c>
      <c r="G5307" t="s">
        <v>84</v>
      </c>
      <c r="H5307" t="s">
        <v>92</v>
      </c>
      <c r="I5307">
        <v>1</v>
      </c>
      <c r="J5307">
        <v>1</v>
      </c>
      <c r="N5307">
        <v>1</v>
      </c>
      <c r="O5307">
        <v>1</v>
      </c>
      <c r="P5307">
        <v>1</v>
      </c>
      <c r="Q5307">
        <v>1</v>
      </c>
      <c r="R5307">
        <v>1</v>
      </c>
      <c r="S5307">
        <v>1</v>
      </c>
      <c r="T5307">
        <v>1</v>
      </c>
      <c r="W5307">
        <v>1</v>
      </c>
      <c r="X5307">
        <v>1</v>
      </c>
      <c r="Y5307">
        <v>1</v>
      </c>
      <c r="Z5307">
        <v>1</v>
      </c>
      <c r="AA5307">
        <v>1</v>
      </c>
      <c r="AB5307">
        <v>1</v>
      </c>
    </row>
    <row r="5308" spans="1:49" x14ac:dyDescent="0.25">
      <c r="A5308" t="str">
        <f>"5304"</f>
        <v>5304</v>
      </c>
      <c r="B5308" t="str">
        <f t="shared" si="306"/>
        <v>1</v>
      </c>
      <c r="C5308" t="str">
        <f t="shared" si="308"/>
        <v>234</v>
      </c>
      <c r="D5308" t="str">
        <f>"6"</f>
        <v>6</v>
      </c>
      <c r="E5308" t="str">
        <f>"1-234-6"</f>
        <v>1-234-6</v>
      </c>
      <c r="F5308" t="s">
        <v>83</v>
      </c>
      <c r="G5308" t="s">
        <v>84</v>
      </c>
      <c r="H5308" t="s">
        <v>85</v>
      </c>
      <c r="AC5308">
        <v>0</v>
      </c>
      <c r="AD5308">
        <v>1</v>
      </c>
      <c r="AE5308">
        <v>0</v>
      </c>
      <c r="AF5308">
        <v>0</v>
      </c>
      <c r="AG5308">
        <v>1</v>
      </c>
      <c r="AJ5308">
        <v>0</v>
      </c>
      <c r="AK5308">
        <v>1</v>
      </c>
      <c r="AL5308">
        <v>0</v>
      </c>
      <c r="AM5308">
        <v>0</v>
      </c>
      <c r="AN5308">
        <v>1</v>
      </c>
      <c r="AO5308">
        <v>1</v>
      </c>
      <c r="AP5308">
        <v>1</v>
      </c>
      <c r="AQ5308">
        <v>1</v>
      </c>
      <c r="AR5308">
        <v>1</v>
      </c>
      <c r="AS5308">
        <v>0</v>
      </c>
      <c r="AT5308">
        <v>1</v>
      </c>
      <c r="AV5308">
        <v>1</v>
      </c>
      <c r="AW5308">
        <v>1</v>
      </c>
    </row>
    <row r="5309" spans="1:49" x14ac:dyDescent="0.25">
      <c r="A5309" t="str">
        <f>"5305"</f>
        <v>5305</v>
      </c>
      <c r="B5309" t="str">
        <f t="shared" si="306"/>
        <v>1</v>
      </c>
      <c r="C5309" t="str">
        <f t="shared" si="308"/>
        <v>234</v>
      </c>
      <c r="D5309" t="str">
        <f>"18"</f>
        <v>18</v>
      </c>
      <c r="E5309" t="str">
        <f>"1-234-18"</f>
        <v>1-234-18</v>
      </c>
      <c r="F5309" t="s">
        <v>83</v>
      </c>
      <c r="G5309" t="s">
        <v>84</v>
      </c>
      <c r="H5309" t="s">
        <v>92</v>
      </c>
      <c r="I5309">
        <v>1</v>
      </c>
      <c r="J5309">
        <v>1</v>
      </c>
      <c r="N5309">
        <v>1</v>
      </c>
      <c r="O5309">
        <v>1</v>
      </c>
      <c r="P5309">
        <v>1</v>
      </c>
      <c r="Q5309">
        <v>1</v>
      </c>
      <c r="R5309">
        <v>1</v>
      </c>
      <c r="S5309">
        <v>1</v>
      </c>
      <c r="T5309">
        <v>1</v>
      </c>
      <c r="W5309">
        <v>1</v>
      </c>
      <c r="X5309">
        <v>1</v>
      </c>
      <c r="Y5309">
        <v>1</v>
      </c>
      <c r="Z5309">
        <v>1</v>
      </c>
      <c r="AA5309">
        <v>1</v>
      </c>
      <c r="AB5309">
        <v>1</v>
      </c>
    </row>
    <row r="5310" spans="1:49" x14ac:dyDescent="0.25">
      <c r="A5310" t="str">
        <f>"5306"</f>
        <v>5306</v>
      </c>
      <c r="B5310" t="str">
        <f t="shared" si="306"/>
        <v>1</v>
      </c>
      <c r="C5310" t="str">
        <f t="shared" si="308"/>
        <v>234</v>
      </c>
      <c r="D5310" t="str">
        <f>"10"</f>
        <v>10</v>
      </c>
      <c r="E5310" t="str">
        <f>"1-234-10"</f>
        <v>1-234-10</v>
      </c>
      <c r="F5310" t="s">
        <v>83</v>
      </c>
      <c r="G5310" t="s">
        <v>84</v>
      </c>
      <c r="H5310" t="s">
        <v>85</v>
      </c>
      <c r="AC5310">
        <v>0</v>
      </c>
      <c r="AD5310">
        <v>1</v>
      </c>
      <c r="AE5310">
        <v>0</v>
      </c>
      <c r="AF5310">
        <v>0</v>
      </c>
      <c r="AG5310">
        <v>0</v>
      </c>
      <c r="AJ5310">
        <v>0</v>
      </c>
      <c r="AK5310">
        <v>1</v>
      </c>
      <c r="AL5310">
        <v>0</v>
      </c>
      <c r="AM5310">
        <v>0</v>
      </c>
      <c r="AN5310">
        <v>1</v>
      </c>
      <c r="AO5310">
        <v>0</v>
      </c>
      <c r="AP5310">
        <v>0</v>
      </c>
      <c r="AQ5310">
        <v>0</v>
      </c>
      <c r="AR5310">
        <v>0</v>
      </c>
      <c r="AS5310">
        <v>0</v>
      </c>
      <c r="AT5310">
        <v>1</v>
      </c>
      <c r="AV5310">
        <v>0</v>
      </c>
      <c r="AW5310">
        <v>0</v>
      </c>
    </row>
    <row r="5311" spans="1:49" x14ac:dyDescent="0.25">
      <c r="A5311" t="str">
        <f>"5307"</f>
        <v>5307</v>
      </c>
      <c r="B5311" t="str">
        <f t="shared" si="306"/>
        <v>1</v>
      </c>
      <c r="C5311" t="str">
        <f t="shared" si="308"/>
        <v>234</v>
      </c>
      <c r="D5311" t="str">
        <f>"1"</f>
        <v>1</v>
      </c>
      <c r="E5311" t="str">
        <f>"1-234-1"</f>
        <v>1-234-1</v>
      </c>
      <c r="F5311" t="s">
        <v>83</v>
      </c>
      <c r="G5311" t="s">
        <v>84</v>
      </c>
      <c r="H5311" t="s">
        <v>92</v>
      </c>
      <c r="I5311">
        <v>1</v>
      </c>
      <c r="J5311">
        <v>1</v>
      </c>
      <c r="N5311">
        <v>1</v>
      </c>
      <c r="O5311">
        <v>1</v>
      </c>
      <c r="P5311">
        <v>1</v>
      </c>
      <c r="Q5311">
        <v>1</v>
      </c>
      <c r="R5311">
        <v>1</v>
      </c>
      <c r="S5311">
        <v>1</v>
      </c>
      <c r="T5311">
        <v>1</v>
      </c>
      <c r="W5311">
        <v>1</v>
      </c>
      <c r="X5311">
        <v>1</v>
      </c>
      <c r="Y5311">
        <v>1</v>
      </c>
      <c r="Z5311">
        <v>1</v>
      </c>
      <c r="AA5311">
        <v>1</v>
      </c>
      <c r="AB5311">
        <v>1</v>
      </c>
    </row>
    <row r="5312" spans="1:49" x14ac:dyDescent="0.25">
      <c r="A5312" t="str">
        <f>"5308"</f>
        <v>5308</v>
      </c>
      <c r="B5312" t="str">
        <f t="shared" si="306"/>
        <v>1</v>
      </c>
      <c r="C5312" t="str">
        <f t="shared" si="308"/>
        <v>234</v>
      </c>
      <c r="D5312" t="str">
        <f>"19"</f>
        <v>19</v>
      </c>
      <c r="E5312" t="str">
        <f>"1-234-19"</f>
        <v>1-234-19</v>
      </c>
      <c r="F5312" t="s">
        <v>83</v>
      </c>
      <c r="G5312" t="s">
        <v>84</v>
      </c>
      <c r="H5312" t="s">
        <v>92</v>
      </c>
      <c r="I5312">
        <v>1</v>
      </c>
      <c r="J5312">
        <v>1</v>
      </c>
      <c r="N5312">
        <v>1</v>
      </c>
      <c r="O5312">
        <v>1</v>
      </c>
      <c r="P5312">
        <v>1</v>
      </c>
      <c r="Q5312">
        <v>1</v>
      </c>
      <c r="R5312">
        <v>1</v>
      </c>
      <c r="S5312">
        <v>1</v>
      </c>
      <c r="T5312">
        <v>1</v>
      </c>
      <c r="W5312">
        <v>1</v>
      </c>
      <c r="X5312">
        <v>1</v>
      </c>
      <c r="Y5312">
        <v>1</v>
      </c>
      <c r="Z5312">
        <v>1</v>
      </c>
      <c r="AA5312">
        <v>1</v>
      </c>
      <c r="AB5312">
        <v>1</v>
      </c>
    </row>
    <row r="5313" spans="1:49" x14ac:dyDescent="0.25">
      <c r="A5313" t="str">
        <f>"5309"</f>
        <v>5309</v>
      </c>
      <c r="B5313" t="str">
        <f t="shared" si="306"/>
        <v>1</v>
      </c>
      <c r="C5313" t="str">
        <f t="shared" si="308"/>
        <v>234</v>
      </c>
      <c r="D5313" t="str">
        <f>"11"</f>
        <v>11</v>
      </c>
      <c r="E5313" t="str">
        <f>"1-234-11"</f>
        <v>1-234-11</v>
      </c>
      <c r="F5313" t="s">
        <v>83</v>
      </c>
      <c r="G5313" t="s">
        <v>84</v>
      </c>
      <c r="H5313" t="s">
        <v>85</v>
      </c>
      <c r="AC5313">
        <v>0</v>
      </c>
      <c r="AD5313">
        <v>1</v>
      </c>
      <c r="AE5313">
        <v>0</v>
      </c>
      <c r="AF5313">
        <v>0</v>
      </c>
      <c r="AG5313">
        <v>1</v>
      </c>
      <c r="AJ5313">
        <v>0</v>
      </c>
      <c r="AK5313">
        <v>1</v>
      </c>
      <c r="AL5313">
        <v>0</v>
      </c>
      <c r="AM5313">
        <v>0</v>
      </c>
      <c r="AN5313">
        <v>1</v>
      </c>
      <c r="AO5313">
        <v>1</v>
      </c>
      <c r="AP5313">
        <v>1</v>
      </c>
      <c r="AQ5313">
        <v>1</v>
      </c>
      <c r="AR5313">
        <v>1</v>
      </c>
      <c r="AS5313">
        <v>0</v>
      </c>
      <c r="AT5313">
        <v>1</v>
      </c>
      <c r="AV5313">
        <v>1</v>
      </c>
      <c r="AW5313">
        <v>1</v>
      </c>
    </row>
    <row r="5314" spans="1:49" x14ac:dyDescent="0.25">
      <c r="A5314" t="str">
        <f>"5310"</f>
        <v>5310</v>
      </c>
      <c r="B5314" t="str">
        <f t="shared" si="306"/>
        <v>1</v>
      </c>
      <c r="C5314" t="str">
        <f t="shared" si="308"/>
        <v>234</v>
      </c>
      <c r="D5314" t="str">
        <f>"4"</f>
        <v>4</v>
      </c>
      <c r="E5314" t="str">
        <f>"1-234-4"</f>
        <v>1-234-4</v>
      </c>
      <c r="F5314" t="s">
        <v>83</v>
      </c>
      <c r="G5314" t="s">
        <v>84</v>
      </c>
      <c r="H5314" t="s">
        <v>92</v>
      </c>
      <c r="I5314">
        <v>1</v>
      </c>
      <c r="J5314">
        <v>1</v>
      </c>
      <c r="N5314">
        <v>1</v>
      </c>
      <c r="O5314">
        <v>1</v>
      </c>
      <c r="P5314">
        <v>1</v>
      </c>
      <c r="Q5314">
        <v>1</v>
      </c>
      <c r="R5314">
        <v>1</v>
      </c>
      <c r="S5314">
        <v>1</v>
      </c>
      <c r="T5314">
        <v>1</v>
      </c>
      <c r="W5314">
        <v>1</v>
      </c>
      <c r="X5314">
        <v>1</v>
      </c>
      <c r="Y5314">
        <v>1</v>
      </c>
      <c r="Z5314">
        <v>1</v>
      </c>
      <c r="AA5314">
        <v>1</v>
      </c>
      <c r="AB5314">
        <v>1</v>
      </c>
    </row>
    <row r="5315" spans="1:49" x14ac:dyDescent="0.25">
      <c r="A5315" t="str">
        <f>"5311"</f>
        <v>5311</v>
      </c>
      <c r="B5315" t="str">
        <f t="shared" si="306"/>
        <v>1</v>
      </c>
      <c r="C5315" t="str">
        <f t="shared" si="308"/>
        <v>234</v>
      </c>
      <c r="D5315" t="str">
        <f>"17"</f>
        <v>17</v>
      </c>
      <c r="E5315" t="str">
        <f>"1-234-17"</f>
        <v>1-234-17</v>
      </c>
      <c r="F5315" t="s">
        <v>83</v>
      </c>
      <c r="G5315" t="s">
        <v>84</v>
      </c>
      <c r="H5315" t="s">
        <v>85</v>
      </c>
      <c r="AC5315">
        <v>0</v>
      </c>
      <c r="AD5315">
        <v>1</v>
      </c>
      <c r="AE5315">
        <v>0</v>
      </c>
      <c r="AF5315">
        <v>0</v>
      </c>
      <c r="AG5315">
        <v>1</v>
      </c>
      <c r="AJ5315">
        <v>0</v>
      </c>
      <c r="AK5315">
        <v>1</v>
      </c>
      <c r="AL5315">
        <v>0</v>
      </c>
      <c r="AM5315">
        <v>0</v>
      </c>
      <c r="AN5315">
        <v>1</v>
      </c>
      <c r="AO5315">
        <v>1</v>
      </c>
      <c r="AP5315">
        <v>1</v>
      </c>
      <c r="AQ5315">
        <v>1</v>
      </c>
      <c r="AR5315">
        <v>1</v>
      </c>
      <c r="AS5315">
        <v>0</v>
      </c>
      <c r="AT5315">
        <v>1</v>
      </c>
      <c r="AV5315">
        <v>1</v>
      </c>
      <c r="AW5315">
        <v>1</v>
      </c>
    </row>
    <row r="5316" spans="1:49" x14ac:dyDescent="0.25">
      <c r="A5316" t="str">
        <f>"5312"</f>
        <v>5312</v>
      </c>
      <c r="B5316" t="str">
        <f t="shared" si="306"/>
        <v>1</v>
      </c>
      <c r="C5316" t="str">
        <f t="shared" si="308"/>
        <v>234</v>
      </c>
      <c r="D5316" t="str">
        <f>"12"</f>
        <v>12</v>
      </c>
      <c r="E5316" t="str">
        <f>"1-234-12"</f>
        <v>1-234-12</v>
      </c>
      <c r="F5316" t="s">
        <v>83</v>
      </c>
      <c r="G5316" t="s">
        <v>84</v>
      </c>
      <c r="H5316" t="s">
        <v>92</v>
      </c>
      <c r="I5316">
        <v>1</v>
      </c>
      <c r="J5316">
        <v>1</v>
      </c>
      <c r="N5316">
        <v>1</v>
      </c>
      <c r="O5316">
        <v>1</v>
      </c>
      <c r="P5316">
        <v>1</v>
      </c>
      <c r="Q5316">
        <v>1</v>
      </c>
      <c r="R5316">
        <v>1</v>
      </c>
      <c r="S5316">
        <v>1</v>
      </c>
      <c r="T5316">
        <v>1</v>
      </c>
      <c r="W5316">
        <v>1</v>
      </c>
      <c r="X5316">
        <v>1</v>
      </c>
      <c r="Y5316">
        <v>1</v>
      </c>
      <c r="Z5316">
        <v>1</v>
      </c>
      <c r="AA5316">
        <v>1</v>
      </c>
      <c r="AB5316">
        <v>1</v>
      </c>
    </row>
    <row r="5317" spans="1:49" x14ac:dyDescent="0.25">
      <c r="A5317" t="str">
        <f>"5313"</f>
        <v>5313</v>
      </c>
      <c r="B5317" t="str">
        <f t="shared" si="306"/>
        <v>1</v>
      </c>
      <c r="C5317" t="str">
        <f t="shared" si="308"/>
        <v>234</v>
      </c>
      <c r="D5317" t="str">
        <f>"5"</f>
        <v>5</v>
      </c>
      <c r="E5317" t="str">
        <f>"1-234-5"</f>
        <v>1-234-5</v>
      </c>
      <c r="F5317" t="s">
        <v>83</v>
      </c>
      <c r="G5317" t="s">
        <v>84</v>
      </c>
      <c r="H5317" t="s">
        <v>92</v>
      </c>
      <c r="I5317">
        <v>1</v>
      </c>
      <c r="J5317">
        <v>1</v>
      </c>
      <c r="N5317">
        <v>1</v>
      </c>
      <c r="O5317">
        <v>1</v>
      </c>
      <c r="P5317">
        <v>1</v>
      </c>
      <c r="Q5317">
        <v>1</v>
      </c>
      <c r="R5317">
        <v>1</v>
      </c>
      <c r="S5317">
        <v>1</v>
      </c>
      <c r="T5317">
        <v>1</v>
      </c>
      <c r="W5317">
        <v>1</v>
      </c>
      <c r="X5317">
        <v>1</v>
      </c>
      <c r="Y5317">
        <v>1</v>
      </c>
      <c r="Z5317">
        <v>1</v>
      </c>
      <c r="AA5317">
        <v>1</v>
      </c>
      <c r="AB5317">
        <v>1</v>
      </c>
    </row>
    <row r="5318" spans="1:49" x14ac:dyDescent="0.25">
      <c r="A5318" t="str">
        <f>"5314"</f>
        <v>5314</v>
      </c>
      <c r="B5318" t="str">
        <f t="shared" si="306"/>
        <v>1</v>
      </c>
      <c r="C5318" t="str">
        <f t="shared" si="308"/>
        <v>234</v>
      </c>
      <c r="D5318" t="str">
        <f>"21"</f>
        <v>21</v>
      </c>
      <c r="E5318" t="str">
        <f>"1-234-21"</f>
        <v>1-234-21</v>
      </c>
      <c r="F5318" t="s">
        <v>83</v>
      </c>
      <c r="G5318" t="s">
        <v>84</v>
      </c>
      <c r="H5318" t="s">
        <v>85</v>
      </c>
      <c r="AC5318">
        <v>0</v>
      </c>
      <c r="AD5318">
        <v>1</v>
      </c>
      <c r="AE5318">
        <v>0</v>
      </c>
      <c r="AF5318">
        <v>0</v>
      </c>
      <c r="AG5318">
        <v>0</v>
      </c>
      <c r="AJ5318">
        <v>0</v>
      </c>
      <c r="AK5318">
        <v>1</v>
      </c>
      <c r="AL5318">
        <v>0</v>
      </c>
      <c r="AM5318">
        <v>0</v>
      </c>
      <c r="AN5318">
        <v>0</v>
      </c>
      <c r="AO5318">
        <v>0</v>
      </c>
      <c r="AP5318">
        <v>0</v>
      </c>
      <c r="AQ5318">
        <v>0</v>
      </c>
      <c r="AR5318">
        <v>0</v>
      </c>
      <c r="AS5318">
        <v>0</v>
      </c>
      <c r="AT5318">
        <v>0</v>
      </c>
      <c r="AV5318">
        <v>0</v>
      </c>
      <c r="AW5318">
        <v>0</v>
      </c>
    </row>
    <row r="5319" spans="1:49" x14ac:dyDescent="0.25">
      <c r="A5319" t="str">
        <f>"5315"</f>
        <v>5315</v>
      </c>
      <c r="B5319" t="str">
        <f t="shared" si="306"/>
        <v>1</v>
      </c>
      <c r="C5319" t="str">
        <f t="shared" si="308"/>
        <v>234</v>
      </c>
      <c r="D5319" t="str">
        <f>"2"</f>
        <v>2</v>
      </c>
      <c r="E5319" t="str">
        <f>"1-234-2"</f>
        <v>1-234-2</v>
      </c>
      <c r="F5319" t="s">
        <v>83</v>
      </c>
      <c r="G5319" t="s">
        <v>84</v>
      </c>
      <c r="H5319" t="s">
        <v>92</v>
      </c>
      <c r="I5319">
        <v>0</v>
      </c>
      <c r="J5319">
        <v>1</v>
      </c>
      <c r="N5319">
        <v>1</v>
      </c>
      <c r="O5319">
        <v>0</v>
      </c>
      <c r="P5319">
        <v>0</v>
      </c>
      <c r="Q5319">
        <v>0</v>
      </c>
      <c r="R5319">
        <v>0</v>
      </c>
      <c r="S5319">
        <v>0</v>
      </c>
      <c r="T5319">
        <v>0</v>
      </c>
      <c r="W5319">
        <v>0</v>
      </c>
      <c r="X5319">
        <v>1</v>
      </c>
      <c r="Y5319">
        <v>1</v>
      </c>
      <c r="Z5319">
        <v>1</v>
      </c>
      <c r="AA5319">
        <v>0</v>
      </c>
      <c r="AB5319">
        <v>0</v>
      </c>
    </row>
    <row r="5320" spans="1:49" x14ac:dyDescent="0.25">
      <c r="A5320" t="str">
        <f>"5316"</f>
        <v>5316</v>
      </c>
      <c r="B5320" t="str">
        <f t="shared" si="306"/>
        <v>1</v>
      </c>
      <c r="C5320" t="str">
        <f t="shared" si="308"/>
        <v>234</v>
      </c>
      <c r="D5320" t="str">
        <f>"20"</f>
        <v>20</v>
      </c>
      <c r="E5320" t="str">
        <f>"1-234-20"</f>
        <v>1-234-20</v>
      </c>
      <c r="F5320" t="s">
        <v>83</v>
      </c>
      <c r="G5320" t="s">
        <v>84</v>
      </c>
      <c r="H5320" t="s">
        <v>92</v>
      </c>
      <c r="I5320">
        <v>1</v>
      </c>
      <c r="J5320">
        <v>0</v>
      </c>
      <c r="N5320">
        <v>0</v>
      </c>
      <c r="O5320">
        <v>0</v>
      </c>
      <c r="P5320">
        <v>0</v>
      </c>
      <c r="Q5320">
        <v>0</v>
      </c>
      <c r="R5320">
        <v>0</v>
      </c>
      <c r="S5320">
        <v>1</v>
      </c>
      <c r="T5320">
        <v>0</v>
      </c>
      <c r="W5320">
        <v>0</v>
      </c>
      <c r="X5320">
        <v>0</v>
      </c>
      <c r="Y5320">
        <v>0</v>
      </c>
      <c r="Z5320">
        <v>0</v>
      </c>
      <c r="AA5320">
        <v>1</v>
      </c>
      <c r="AB5320">
        <v>1</v>
      </c>
    </row>
    <row r="5321" spans="1:49" x14ac:dyDescent="0.25">
      <c r="A5321" t="str">
        <f>"5317"</f>
        <v>5317</v>
      </c>
      <c r="B5321" t="str">
        <f t="shared" si="306"/>
        <v>1</v>
      </c>
      <c r="C5321" t="str">
        <f t="shared" si="308"/>
        <v>234</v>
      </c>
      <c r="D5321" t="str">
        <f>"14"</f>
        <v>14</v>
      </c>
      <c r="E5321" t="str">
        <f>"1-234-14"</f>
        <v>1-234-14</v>
      </c>
      <c r="F5321" t="s">
        <v>83</v>
      </c>
      <c r="G5321" t="s">
        <v>84</v>
      </c>
      <c r="H5321" t="s">
        <v>85</v>
      </c>
      <c r="AC5321">
        <v>0</v>
      </c>
      <c r="AD5321">
        <v>1</v>
      </c>
      <c r="AE5321">
        <v>0</v>
      </c>
      <c r="AF5321">
        <v>0</v>
      </c>
      <c r="AG5321">
        <v>1</v>
      </c>
      <c r="AJ5321">
        <v>0</v>
      </c>
      <c r="AK5321">
        <v>0</v>
      </c>
      <c r="AL5321">
        <v>0</v>
      </c>
      <c r="AM5321">
        <v>1</v>
      </c>
      <c r="AN5321">
        <v>0</v>
      </c>
      <c r="AO5321">
        <v>1</v>
      </c>
      <c r="AP5321">
        <v>1</v>
      </c>
      <c r="AQ5321">
        <v>1</v>
      </c>
      <c r="AR5321">
        <v>1</v>
      </c>
      <c r="AS5321">
        <v>0</v>
      </c>
      <c r="AT5321">
        <v>1</v>
      </c>
      <c r="AV5321">
        <v>1</v>
      </c>
      <c r="AW5321">
        <v>1</v>
      </c>
    </row>
    <row r="5322" spans="1:49" x14ac:dyDescent="0.25">
      <c r="A5322" t="str">
        <f>"5318"</f>
        <v>5318</v>
      </c>
      <c r="B5322" t="str">
        <f t="shared" si="306"/>
        <v>1</v>
      </c>
      <c r="C5322" t="str">
        <f t="shared" si="308"/>
        <v>234</v>
      </c>
      <c r="D5322" t="str">
        <f>"7"</f>
        <v>7</v>
      </c>
      <c r="E5322" t="str">
        <f>"1-234-7"</f>
        <v>1-234-7</v>
      </c>
      <c r="F5322" t="s">
        <v>83</v>
      </c>
      <c r="G5322" t="s">
        <v>84</v>
      </c>
      <c r="H5322" t="s">
        <v>92</v>
      </c>
      <c r="I5322">
        <v>1</v>
      </c>
      <c r="J5322">
        <v>1</v>
      </c>
      <c r="N5322">
        <v>1</v>
      </c>
      <c r="O5322">
        <v>1</v>
      </c>
      <c r="P5322">
        <v>1</v>
      </c>
      <c r="Q5322">
        <v>1</v>
      </c>
      <c r="R5322">
        <v>1</v>
      </c>
      <c r="S5322">
        <v>1</v>
      </c>
      <c r="T5322">
        <v>1</v>
      </c>
      <c r="W5322">
        <v>1</v>
      </c>
      <c r="X5322">
        <v>1</v>
      </c>
      <c r="Y5322">
        <v>1</v>
      </c>
      <c r="Z5322">
        <v>1</v>
      </c>
      <c r="AA5322">
        <v>1</v>
      </c>
      <c r="AB5322">
        <v>1</v>
      </c>
    </row>
    <row r="5323" spans="1:49" x14ac:dyDescent="0.25">
      <c r="A5323" t="str">
        <f>"5319"</f>
        <v>5319</v>
      </c>
      <c r="B5323" t="str">
        <f t="shared" si="306"/>
        <v>1</v>
      </c>
      <c r="C5323" t="str">
        <f t="shared" si="308"/>
        <v>234</v>
      </c>
      <c r="D5323" t="str">
        <f>"13"</f>
        <v>13</v>
      </c>
      <c r="E5323" t="str">
        <f>"1-234-13"</f>
        <v>1-234-13</v>
      </c>
      <c r="F5323" t="s">
        <v>83</v>
      </c>
      <c r="G5323" t="s">
        <v>84</v>
      </c>
      <c r="H5323" t="s">
        <v>85</v>
      </c>
      <c r="AC5323">
        <v>0</v>
      </c>
      <c r="AD5323">
        <v>1</v>
      </c>
      <c r="AE5323">
        <v>0</v>
      </c>
      <c r="AF5323">
        <v>0</v>
      </c>
      <c r="AG5323">
        <v>1</v>
      </c>
      <c r="AJ5323">
        <v>0</v>
      </c>
      <c r="AK5323">
        <v>0</v>
      </c>
      <c r="AL5323">
        <v>0</v>
      </c>
      <c r="AM5323">
        <v>1</v>
      </c>
      <c r="AN5323">
        <v>0</v>
      </c>
      <c r="AO5323">
        <v>1</v>
      </c>
      <c r="AP5323">
        <v>1</v>
      </c>
      <c r="AQ5323">
        <v>1</v>
      </c>
      <c r="AR5323">
        <v>1</v>
      </c>
      <c r="AS5323">
        <v>0</v>
      </c>
      <c r="AT5323">
        <v>1</v>
      </c>
      <c r="AV5323">
        <v>1</v>
      </c>
      <c r="AW5323">
        <v>1</v>
      </c>
    </row>
    <row r="5324" spans="1:49" x14ac:dyDescent="0.25">
      <c r="A5324" t="str">
        <f>"5320"</f>
        <v>5320</v>
      </c>
      <c r="B5324" t="str">
        <f t="shared" si="306"/>
        <v>1</v>
      </c>
      <c r="C5324" t="str">
        <f t="shared" ref="C5324:C5348" si="309">"235"</f>
        <v>235</v>
      </c>
      <c r="D5324" t="str">
        <f>"23"</f>
        <v>23</v>
      </c>
      <c r="E5324" t="str">
        <f>"1-235-23"</f>
        <v>1-235-23</v>
      </c>
      <c r="F5324" t="s">
        <v>83</v>
      </c>
      <c r="G5324" t="s">
        <v>84</v>
      </c>
      <c r="H5324" t="s">
        <v>85</v>
      </c>
      <c r="AC5324">
        <v>0</v>
      </c>
      <c r="AD5324">
        <v>0</v>
      </c>
      <c r="AE5324">
        <v>0</v>
      </c>
      <c r="AF5324">
        <v>0</v>
      </c>
      <c r="AG5324">
        <v>0</v>
      </c>
      <c r="AJ5324">
        <v>1</v>
      </c>
      <c r="AK5324">
        <v>0</v>
      </c>
      <c r="AL5324">
        <v>0</v>
      </c>
      <c r="AM5324">
        <v>0</v>
      </c>
      <c r="AN5324">
        <v>0</v>
      </c>
      <c r="AO5324">
        <v>0</v>
      </c>
      <c r="AP5324">
        <v>0</v>
      </c>
      <c r="AQ5324">
        <v>0</v>
      </c>
      <c r="AR5324">
        <v>1</v>
      </c>
      <c r="AS5324">
        <v>0</v>
      </c>
      <c r="AT5324">
        <v>1</v>
      </c>
      <c r="AV5324">
        <v>0</v>
      </c>
      <c r="AW5324">
        <v>0</v>
      </c>
    </row>
    <row r="5325" spans="1:49" x14ac:dyDescent="0.25">
      <c r="A5325" t="str">
        <f>"5321"</f>
        <v>5321</v>
      </c>
      <c r="B5325" t="str">
        <f t="shared" si="306"/>
        <v>1</v>
      </c>
      <c r="C5325" t="str">
        <f t="shared" si="309"/>
        <v>235</v>
      </c>
      <c r="D5325" t="str">
        <f>"22"</f>
        <v>22</v>
      </c>
      <c r="E5325" t="str">
        <f>"1-235-22"</f>
        <v>1-235-22</v>
      </c>
      <c r="F5325" t="s">
        <v>83</v>
      </c>
      <c r="G5325" t="s">
        <v>84</v>
      </c>
      <c r="H5325" t="s">
        <v>92</v>
      </c>
      <c r="I5325">
        <v>1</v>
      </c>
      <c r="J5325">
        <v>1</v>
      </c>
      <c r="N5325">
        <v>1</v>
      </c>
      <c r="O5325">
        <v>1</v>
      </c>
      <c r="P5325">
        <v>1</v>
      </c>
      <c r="Q5325">
        <v>1</v>
      </c>
      <c r="R5325">
        <v>1</v>
      </c>
      <c r="S5325">
        <v>1</v>
      </c>
      <c r="T5325">
        <v>1</v>
      </c>
      <c r="W5325">
        <v>1</v>
      </c>
      <c r="X5325">
        <v>1</v>
      </c>
      <c r="Y5325">
        <v>1</v>
      </c>
      <c r="Z5325">
        <v>1</v>
      </c>
      <c r="AA5325">
        <v>1</v>
      </c>
      <c r="AB5325">
        <v>1</v>
      </c>
    </row>
    <row r="5326" spans="1:49" x14ac:dyDescent="0.25">
      <c r="A5326" t="str">
        <f>"5322"</f>
        <v>5322</v>
      </c>
      <c r="B5326" t="str">
        <f t="shared" si="306"/>
        <v>1</v>
      </c>
      <c r="C5326" t="str">
        <f t="shared" si="309"/>
        <v>235</v>
      </c>
      <c r="D5326" t="str">
        <f>"16"</f>
        <v>16</v>
      </c>
      <c r="E5326" t="str">
        <f>"1-235-16"</f>
        <v>1-235-16</v>
      </c>
      <c r="F5326" t="s">
        <v>83</v>
      </c>
      <c r="G5326" t="s">
        <v>84</v>
      </c>
      <c r="H5326" t="s">
        <v>92</v>
      </c>
      <c r="I5326">
        <v>1</v>
      </c>
      <c r="J5326">
        <v>1</v>
      </c>
      <c r="N5326">
        <v>1</v>
      </c>
      <c r="O5326">
        <v>1</v>
      </c>
      <c r="P5326">
        <v>1</v>
      </c>
      <c r="Q5326">
        <v>1</v>
      </c>
      <c r="R5326">
        <v>1</v>
      </c>
      <c r="S5326">
        <v>1</v>
      </c>
      <c r="T5326">
        <v>1</v>
      </c>
      <c r="W5326">
        <v>1</v>
      </c>
      <c r="X5326">
        <v>1</v>
      </c>
      <c r="Y5326">
        <v>1</v>
      </c>
      <c r="Z5326">
        <v>1</v>
      </c>
      <c r="AA5326">
        <v>1</v>
      </c>
      <c r="AB5326">
        <v>1</v>
      </c>
    </row>
    <row r="5327" spans="1:49" x14ac:dyDescent="0.25">
      <c r="A5327" t="str">
        <f>"5323"</f>
        <v>5323</v>
      </c>
      <c r="B5327" t="str">
        <f t="shared" si="306"/>
        <v>1</v>
      </c>
      <c r="C5327" t="str">
        <f t="shared" si="309"/>
        <v>235</v>
      </c>
      <c r="D5327" t="str">
        <f>"8"</f>
        <v>8</v>
      </c>
      <c r="E5327" t="str">
        <f>"1-235-8"</f>
        <v>1-235-8</v>
      </c>
      <c r="F5327" t="s">
        <v>83</v>
      </c>
      <c r="G5327" t="s">
        <v>84</v>
      </c>
      <c r="H5327" t="s">
        <v>85</v>
      </c>
      <c r="AC5327">
        <v>0</v>
      </c>
      <c r="AD5327">
        <v>1</v>
      </c>
      <c r="AE5327">
        <v>0</v>
      </c>
      <c r="AF5327">
        <v>0</v>
      </c>
      <c r="AG5327">
        <v>1</v>
      </c>
      <c r="AJ5327">
        <v>0</v>
      </c>
      <c r="AK5327">
        <v>1</v>
      </c>
      <c r="AL5327">
        <v>0</v>
      </c>
      <c r="AM5327">
        <v>1</v>
      </c>
      <c r="AN5327">
        <v>0</v>
      </c>
      <c r="AO5327">
        <v>1</v>
      </c>
      <c r="AP5327">
        <v>1</v>
      </c>
      <c r="AQ5327">
        <v>1</v>
      </c>
      <c r="AR5327">
        <v>1</v>
      </c>
      <c r="AS5327">
        <v>0</v>
      </c>
      <c r="AT5327">
        <v>1</v>
      </c>
      <c r="AV5327">
        <v>1</v>
      </c>
      <c r="AW5327">
        <v>1</v>
      </c>
    </row>
    <row r="5328" spans="1:49" x14ac:dyDescent="0.25">
      <c r="A5328" t="str">
        <f>"5324"</f>
        <v>5324</v>
      </c>
      <c r="B5328" t="str">
        <f t="shared" si="306"/>
        <v>1</v>
      </c>
      <c r="C5328" t="str">
        <f t="shared" si="309"/>
        <v>235</v>
      </c>
      <c r="D5328" t="str">
        <f>"2"</f>
        <v>2</v>
      </c>
      <c r="E5328" t="str">
        <f>"1-235-2"</f>
        <v>1-235-2</v>
      </c>
      <c r="F5328" t="s">
        <v>83</v>
      </c>
      <c r="G5328" t="s">
        <v>84</v>
      </c>
      <c r="H5328" t="s">
        <v>85</v>
      </c>
      <c r="AC5328">
        <v>0</v>
      </c>
      <c r="AD5328">
        <v>1</v>
      </c>
      <c r="AE5328">
        <v>0</v>
      </c>
      <c r="AF5328">
        <v>0</v>
      </c>
      <c r="AG5328">
        <v>0</v>
      </c>
      <c r="AJ5328">
        <v>0</v>
      </c>
      <c r="AK5328">
        <v>1</v>
      </c>
      <c r="AL5328">
        <v>0</v>
      </c>
      <c r="AM5328">
        <v>0</v>
      </c>
      <c r="AN5328">
        <v>1</v>
      </c>
      <c r="AO5328">
        <v>0</v>
      </c>
      <c r="AP5328">
        <v>0</v>
      </c>
      <c r="AQ5328">
        <v>0</v>
      </c>
      <c r="AR5328">
        <v>0</v>
      </c>
      <c r="AS5328">
        <v>0</v>
      </c>
      <c r="AT5328">
        <v>1</v>
      </c>
      <c r="AV5328">
        <v>0</v>
      </c>
      <c r="AW5328">
        <v>0</v>
      </c>
    </row>
    <row r="5329" spans="1:49" x14ac:dyDescent="0.25">
      <c r="A5329" t="str">
        <f>"5325"</f>
        <v>5325</v>
      </c>
      <c r="B5329" t="str">
        <f t="shared" si="306"/>
        <v>1</v>
      </c>
      <c r="C5329" t="str">
        <f t="shared" si="309"/>
        <v>235</v>
      </c>
      <c r="D5329" t="str">
        <f>"25"</f>
        <v>25</v>
      </c>
      <c r="E5329" t="str">
        <f>"1-235-25"</f>
        <v>1-235-25</v>
      </c>
      <c r="F5329" t="s">
        <v>83</v>
      </c>
      <c r="G5329" t="s">
        <v>84</v>
      </c>
      <c r="H5329" t="s">
        <v>85</v>
      </c>
      <c r="AC5329">
        <v>1</v>
      </c>
      <c r="AD5329">
        <v>0</v>
      </c>
      <c r="AE5329">
        <v>0</v>
      </c>
      <c r="AF5329">
        <v>0</v>
      </c>
      <c r="AG5329">
        <v>1</v>
      </c>
      <c r="AJ5329">
        <v>1</v>
      </c>
      <c r="AK5329">
        <v>0</v>
      </c>
      <c r="AL5329">
        <v>1</v>
      </c>
      <c r="AM5329">
        <v>0</v>
      </c>
      <c r="AN5329">
        <v>0</v>
      </c>
      <c r="AO5329">
        <v>1</v>
      </c>
      <c r="AP5329">
        <v>1</v>
      </c>
      <c r="AQ5329">
        <v>1</v>
      </c>
      <c r="AR5329">
        <v>1</v>
      </c>
      <c r="AS5329">
        <v>1</v>
      </c>
      <c r="AT5329">
        <v>0</v>
      </c>
      <c r="AV5329">
        <v>1</v>
      </c>
      <c r="AW5329">
        <v>1</v>
      </c>
    </row>
    <row r="5330" spans="1:49" x14ac:dyDescent="0.25">
      <c r="A5330" t="str">
        <f>"5326"</f>
        <v>5326</v>
      </c>
      <c r="B5330" t="str">
        <f t="shared" si="306"/>
        <v>1</v>
      </c>
      <c r="C5330" t="str">
        <f t="shared" si="309"/>
        <v>235</v>
      </c>
      <c r="D5330" t="str">
        <f>"24"</f>
        <v>24</v>
      </c>
      <c r="E5330" t="str">
        <f>"1-235-24"</f>
        <v>1-235-24</v>
      </c>
      <c r="F5330" t="s">
        <v>83</v>
      </c>
      <c r="G5330" t="s">
        <v>84</v>
      </c>
      <c r="H5330" t="s">
        <v>85</v>
      </c>
      <c r="AC5330">
        <v>1</v>
      </c>
      <c r="AD5330">
        <v>0</v>
      </c>
      <c r="AE5330">
        <v>0</v>
      </c>
      <c r="AF5330">
        <v>0</v>
      </c>
      <c r="AG5330">
        <v>1</v>
      </c>
      <c r="AJ5330">
        <v>1</v>
      </c>
      <c r="AK5330">
        <v>0</v>
      </c>
      <c r="AL5330">
        <v>1</v>
      </c>
      <c r="AM5330">
        <v>0</v>
      </c>
      <c r="AN5330">
        <v>0</v>
      </c>
      <c r="AO5330">
        <v>1</v>
      </c>
      <c r="AP5330">
        <v>1</v>
      </c>
      <c r="AQ5330">
        <v>1</v>
      </c>
      <c r="AR5330">
        <v>1</v>
      </c>
      <c r="AS5330">
        <v>1</v>
      </c>
      <c r="AT5330">
        <v>0</v>
      </c>
      <c r="AV5330">
        <v>1</v>
      </c>
      <c r="AW5330">
        <v>1</v>
      </c>
    </row>
    <row r="5331" spans="1:49" x14ac:dyDescent="0.25">
      <c r="A5331" t="str">
        <f>"5327"</f>
        <v>5327</v>
      </c>
      <c r="B5331" t="str">
        <f t="shared" si="306"/>
        <v>1</v>
      </c>
      <c r="C5331" t="str">
        <f t="shared" si="309"/>
        <v>235</v>
      </c>
      <c r="D5331" t="str">
        <f>"15"</f>
        <v>15</v>
      </c>
      <c r="E5331" t="str">
        <f>"1-235-15"</f>
        <v>1-235-15</v>
      </c>
      <c r="F5331" t="s">
        <v>83</v>
      </c>
      <c r="G5331" t="s">
        <v>84</v>
      </c>
      <c r="H5331" t="s">
        <v>92</v>
      </c>
      <c r="I5331">
        <v>1</v>
      </c>
      <c r="J5331">
        <v>1</v>
      </c>
      <c r="N5331">
        <v>1</v>
      </c>
      <c r="O5331">
        <v>1</v>
      </c>
      <c r="P5331">
        <v>1</v>
      </c>
      <c r="Q5331">
        <v>1</v>
      </c>
      <c r="R5331">
        <v>1</v>
      </c>
      <c r="S5331">
        <v>1</v>
      </c>
      <c r="T5331">
        <v>1</v>
      </c>
      <c r="W5331">
        <v>1</v>
      </c>
      <c r="X5331">
        <v>1</v>
      </c>
      <c r="Y5331">
        <v>1</v>
      </c>
      <c r="Z5331">
        <v>1</v>
      </c>
      <c r="AA5331">
        <v>1</v>
      </c>
      <c r="AB5331">
        <v>1</v>
      </c>
    </row>
    <row r="5332" spans="1:49" x14ac:dyDescent="0.25">
      <c r="A5332" t="str">
        <f>"5328"</f>
        <v>5328</v>
      </c>
      <c r="B5332" t="str">
        <f t="shared" si="306"/>
        <v>1</v>
      </c>
      <c r="C5332" t="str">
        <f t="shared" si="309"/>
        <v>235</v>
      </c>
      <c r="D5332" t="str">
        <f>"9"</f>
        <v>9</v>
      </c>
      <c r="E5332" t="str">
        <f>"1-235-9"</f>
        <v>1-235-9</v>
      </c>
      <c r="F5332" t="s">
        <v>83</v>
      </c>
      <c r="G5332" t="s">
        <v>84</v>
      </c>
      <c r="H5332" t="s">
        <v>92</v>
      </c>
      <c r="I5332">
        <v>1</v>
      </c>
      <c r="J5332">
        <v>1</v>
      </c>
      <c r="N5332">
        <v>1</v>
      </c>
      <c r="O5332">
        <v>1</v>
      </c>
      <c r="P5332">
        <v>1</v>
      </c>
      <c r="Q5332">
        <v>1</v>
      </c>
      <c r="R5332">
        <v>1</v>
      </c>
      <c r="S5332">
        <v>1</v>
      </c>
      <c r="T5332">
        <v>1</v>
      </c>
      <c r="W5332">
        <v>1</v>
      </c>
      <c r="X5332">
        <v>1</v>
      </c>
      <c r="Y5332">
        <v>1</v>
      </c>
      <c r="Z5332">
        <v>1</v>
      </c>
      <c r="AA5332">
        <v>1</v>
      </c>
      <c r="AB5332">
        <v>1</v>
      </c>
    </row>
    <row r="5333" spans="1:49" x14ac:dyDescent="0.25">
      <c r="A5333" t="str">
        <f>"5329"</f>
        <v>5329</v>
      </c>
      <c r="B5333" t="str">
        <f t="shared" si="306"/>
        <v>1</v>
      </c>
      <c r="C5333" t="str">
        <f t="shared" si="309"/>
        <v>235</v>
      </c>
      <c r="D5333" t="str">
        <f>"6"</f>
        <v>6</v>
      </c>
      <c r="E5333" t="str">
        <f>"1-235-6"</f>
        <v>1-235-6</v>
      </c>
      <c r="F5333" t="s">
        <v>83</v>
      </c>
      <c r="G5333" t="s">
        <v>84</v>
      </c>
      <c r="H5333" t="s">
        <v>85</v>
      </c>
      <c r="AC5333">
        <v>1</v>
      </c>
      <c r="AD5333">
        <v>0</v>
      </c>
      <c r="AE5333">
        <v>0</v>
      </c>
      <c r="AF5333">
        <v>0</v>
      </c>
      <c r="AG5333">
        <v>0</v>
      </c>
      <c r="AJ5333">
        <v>0</v>
      </c>
      <c r="AK5333">
        <v>1</v>
      </c>
      <c r="AL5333">
        <v>0</v>
      </c>
      <c r="AM5333">
        <v>0</v>
      </c>
      <c r="AN5333">
        <v>1</v>
      </c>
      <c r="AO5333">
        <v>0</v>
      </c>
      <c r="AP5333">
        <v>0</v>
      </c>
      <c r="AQ5333">
        <v>0</v>
      </c>
      <c r="AR5333">
        <v>1</v>
      </c>
      <c r="AS5333">
        <v>0</v>
      </c>
      <c r="AT5333">
        <v>1</v>
      </c>
      <c r="AV5333">
        <v>1</v>
      </c>
      <c r="AW5333">
        <v>1</v>
      </c>
    </row>
    <row r="5334" spans="1:49" x14ac:dyDescent="0.25">
      <c r="A5334" t="str">
        <f>"5330"</f>
        <v>5330</v>
      </c>
      <c r="B5334" t="str">
        <f t="shared" si="306"/>
        <v>1</v>
      </c>
      <c r="C5334" t="str">
        <f t="shared" si="309"/>
        <v>235</v>
      </c>
      <c r="D5334" t="str">
        <f>"17"</f>
        <v>17</v>
      </c>
      <c r="E5334" t="str">
        <f>"1-235-17"</f>
        <v>1-235-17</v>
      </c>
      <c r="F5334" t="s">
        <v>83</v>
      </c>
      <c r="G5334" t="s">
        <v>84</v>
      </c>
      <c r="H5334" t="s">
        <v>85</v>
      </c>
      <c r="AC5334">
        <v>0</v>
      </c>
      <c r="AD5334">
        <v>1</v>
      </c>
      <c r="AE5334">
        <v>0</v>
      </c>
      <c r="AF5334">
        <v>0</v>
      </c>
      <c r="AG5334">
        <v>1</v>
      </c>
      <c r="AJ5334">
        <v>1</v>
      </c>
      <c r="AK5334">
        <v>0</v>
      </c>
      <c r="AL5334">
        <v>0</v>
      </c>
      <c r="AM5334">
        <v>1</v>
      </c>
      <c r="AN5334">
        <v>0</v>
      </c>
      <c r="AO5334">
        <v>1</v>
      </c>
      <c r="AP5334">
        <v>1</v>
      </c>
      <c r="AQ5334">
        <v>1</v>
      </c>
      <c r="AR5334">
        <v>1</v>
      </c>
      <c r="AS5334">
        <v>0</v>
      </c>
      <c r="AT5334">
        <v>1</v>
      </c>
      <c r="AV5334">
        <v>1</v>
      </c>
      <c r="AW5334">
        <v>1</v>
      </c>
    </row>
    <row r="5335" spans="1:49" x14ac:dyDescent="0.25">
      <c r="A5335" t="str">
        <f>"5331"</f>
        <v>5331</v>
      </c>
      <c r="B5335" t="str">
        <f t="shared" si="306"/>
        <v>1</v>
      </c>
      <c r="C5335" t="str">
        <f t="shared" si="309"/>
        <v>235</v>
      </c>
      <c r="D5335" t="str">
        <f>"10"</f>
        <v>10</v>
      </c>
      <c r="E5335" t="str">
        <f>"1-235-10"</f>
        <v>1-235-10</v>
      </c>
      <c r="F5335" t="s">
        <v>83</v>
      </c>
      <c r="G5335" t="s">
        <v>84</v>
      </c>
      <c r="H5335" t="s">
        <v>92</v>
      </c>
      <c r="I5335">
        <v>1</v>
      </c>
      <c r="J5335">
        <v>1</v>
      </c>
      <c r="N5335">
        <v>1</v>
      </c>
      <c r="O5335">
        <v>1</v>
      </c>
      <c r="P5335">
        <v>1</v>
      </c>
      <c r="Q5335">
        <v>1</v>
      </c>
      <c r="R5335">
        <v>1</v>
      </c>
      <c r="S5335">
        <v>1</v>
      </c>
      <c r="T5335">
        <v>1</v>
      </c>
      <c r="W5335">
        <v>1</v>
      </c>
      <c r="X5335">
        <v>1</v>
      </c>
      <c r="Y5335">
        <v>1</v>
      </c>
      <c r="Z5335">
        <v>1</v>
      </c>
      <c r="AA5335">
        <v>1</v>
      </c>
      <c r="AB5335">
        <v>1</v>
      </c>
    </row>
    <row r="5336" spans="1:49" x14ac:dyDescent="0.25">
      <c r="A5336" t="str">
        <f>"5332"</f>
        <v>5332</v>
      </c>
      <c r="B5336" t="str">
        <f t="shared" si="306"/>
        <v>1</v>
      </c>
      <c r="C5336" t="str">
        <f t="shared" si="309"/>
        <v>235</v>
      </c>
      <c r="D5336" t="str">
        <f>"4"</f>
        <v>4</v>
      </c>
      <c r="E5336" t="str">
        <f>"1-235-4"</f>
        <v>1-235-4</v>
      </c>
      <c r="F5336" t="s">
        <v>83</v>
      </c>
      <c r="G5336" t="s">
        <v>84</v>
      </c>
      <c r="H5336" t="s">
        <v>85</v>
      </c>
      <c r="AC5336">
        <v>1</v>
      </c>
      <c r="AD5336">
        <v>0</v>
      </c>
      <c r="AE5336">
        <v>0</v>
      </c>
      <c r="AF5336">
        <v>0</v>
      </c>
      <c r="AG5336">
        <v>1</v>
      </c>
      <c r="AJ5336">
        <v>1</v>
      </c>
      <c r="AK5336">
        <v>0</v>
      </c>
      <c r="AL5336">
        <v>1</v>
      </c>
      <c r="AM5336">
        <v>0</v>
      </c>
      <c r="AN5336">
        <v>0</v>
      </c>
      <c r="AO5336">
        <v>1</v>
      </c>
      <c r="AP5336">
        <v>1</v>
      </c>
      <c r="AQ5336">
        <v>1</v>
      </c>
      <c r="AR5336">
        <v>1</v>
      </c>
      <c r="AS5336">
        <v>1</v>
      </c>
      <c r="AT5336">
        <v>0</v>
      </c>
      <c r="AV5336">
        <v>1</v>
      </c>
      <c r="AW5336">
        <v>1</v>
      </c>
    </row>
    <row r="5337" spans="1:49" x14ac:dyDescent="0.25">
      <c r="A5337" t="str">
        <f>"5333"</f>
        <v>5333</v>
      </c>
      <c r="B5337" t="str">
        <f t="shared" si="306"/>
        <v>1</v>
      </c>
      <c r="C5337" t="str">
        <f t="shared" si="309"/>
        <v>235</v>
      </c>
      <c r="D5337" t="str">
        <f>"18"</f>
        <v>18</v>
      </c>
      <c r="E5337" t="str">
        <f>"1-235-18"</f>
        <v>1-235-18</v>
      </c>
      <c r="F5337" t="s">
        <v>83</v>
      </c>
      <c r="G5337" t="s">
        <v>84</v>
      </c>
      <c r="H5337" t="s">
        <v>92</v>
      </c>
      <c r="I5337">
        <v>1</v>
      </c>
      <c r="J5337">
        <v>1</v>
      </c>
      <c r="N5337">
        <v>1</v>
      </c>
      <c r="O5337">
        <v>1</v>
      </c>
      <c r="P5337">
        <v>1</v>
      </c>
      <c r="Q5337">
        <v>1</v>
      </c>
      <c r="R5337">
        <v>1</v>
      </c>
      <c r="S5337">
        <v>1</v>
      </c>
      <c r="T5337">
        <v>1</v>
      </c>
      <c r="W5337">
        <v>1</v>
      </c>
      <c r="X5337">
        <v>1</v>
      </c>
      <c r="Y5337">
        <v>1</v>
      </c>
      <c r="Z5337">
        <v>1</v>
      </c>
      <c r="AA5337">
        <v>1</v>
      </c>
      <c r="AB5337">
        <v>1</v>
      </c>
    </row>
    <row r="5338" spans="1:49" x14ac:dyDescent="0.25">
      <c r="A5338" t="str">
        <f>"5334"</f>
        <v>5334</v>
      </c>
      <c r="B5338" t="str">
        <f t="shared" si="306"/>
        <v>1</v>
      </c>
      <c r="C5338" t="str">
        <f t="shared" si="309"/>
        <v>235</v>
      </c>
      <c r="D5338" t="str">
        <f>"11"</f>
        <v>11</v>
      </c>
      <c r="E5338" t="str">
        <f>"1-235-11"</f>
        <v>1-235-11</v>
      </c>
      <c r="F5338" t="s">
        <v>83</v>
      </c>
      <c r="G5338" t="s">
        <v>84</v>
      </c>
      <c r="H5338" t="s">
        <v>85</v>
      </c>
      <c r="AC5338">
        <v>0</v>
      </c>
      <c r="AD5338">
        <v>1</v>
      </c>
      <c r="AE5338">
        <v>0</v>
      </c>
      <c r="AF5338">
        <v>0</v>
      </c>
      <c r="AG5338">
        <v>1</v>
      </c>
      <c r="AJ5338">
        <v>1</v>
      </c>
      <c r="AK5338">
        <v>0</v>
      </c>
      <c r="AL5338">
        <v>1</v>
      </c>
      <c r="AM5338">
        <v>0</v>
      </c>
      <c r="AN5338">
        <v>0</v>
      </c>
      <c r="AO5338">
        <v>1</v>
      </c>
      <c r="AP5338">
        <v>1</v>
      </c>
      <c r="AQ5338">
        <v>1</v>
      </c>
      <c r="AR5338">
        <v>1</v>
      </c>
      <c r="AS5338">
        <v>0</v>
      </c>
      <c r="AT5338">
        <v>1</v>
      </c>
      <c r="AV5338">
        <v>1</v>
      </c>
      <c r="AW5338">
        <v>1</v>
      </c>
    </row>
    <row r="5339" spans="1:49" x14ac:dyDescent="0.25">
      <c r="A5339" t="str">
        <f>"5335"</f>
        <v>5335</v>
      </c>
      <c r="B5339" t="str">
        <f t="shared" si="306"/>
        <v>1</v>
      </c>
      <c r="C5339" t="str">
        <f t="shared" si="309"/>
        <v>235</v>
      </c>
      <c r="D5339" t="str">
        <f>"1"</f>
        <v>1</v>
      </c>
      <c r="E5339" t="str">
        <f>"1-235-1"</f>
        <v>1-235-1</v>
      </c>
      <c r="F5339" t="s">
        <v>83</v>
      </c>
      <c r="G5339" t="s">
        <v>84</v>
      </c>
      <c r="H5339" t="s">
        <v>92</v>
      </c>
      <c r="I5339">
        <v>1</v>
      </c>
      <c r="J5339">
        <v>1</v>
      </c>
      <c r="N5339">
        <v>1</v>
      </c>
      <c r="O5339">
        <v>1</v>
      </c>
      <c r="P5339">
        <v>1</v>
      </c>
      <c r="Q5339">
        <v>1</v>
      </c>
      <c r="R5339">
        <v>1</v>
      </c>
      <c r="S5339">
        <v>1</v>
      </c>
      <c r="T5339">
        <v>1</v>
      </c>
      <c r="W5339">
        <v>1</v>
      </c>
      <c r="X5339">
        <v>1</v>
      </c>
      <c r="Y5339">
        <v>1</v>
      </c>
      <c r="Z5339">
        <v>1</v>
      </c>
      <c r="AA5339">
        <v>1</v>
      </c>
      <c r="AB5339">
        <v>1</v>
      </c>
    </row>
    <row r="5340" spans="1:49" x14ac:dyDescent="0.25">
      <c r="A5340" t="str">
        <f>"5336"</f>
        <v>5336</v>
      </c>
      <c r="B5340" t="str">
        <f t="shared" si="306"/>
        <v>1</v>
      </c>
      <c r="C5340" t="str">
        <f t="shared" si="309"/>
        <v>235</v>
      </c>
      <c r="D5340" t="str">
        <f>"20"</f>
        <v>20</v>
      </c>
      <c r="E5340" t="str">
        <f>"1-235-20"</f>
        <v>1-235-20</v>
      </c>
      <c r="F5340" t="s">
        <v>83</v>
      </c>
      <c r="G5340" t="s">
        <v>84</v>
      </c>
      <c r="H5340" t="s">
        <v>85</v>
      </c>
      <c r="AC5340">
        <v>0</v>
      </c>
      <c r="AD5340">
        <v>1</v>
      </c>
      <c r="AE5340">
        <v>0</v>
      </c>
      <c r="AF5340">
        <v>0</v>
      </c>
      <c r="AG5340">
        <v>1</v>
      </c>
      <c r="AJ5340">
        <v>1</v>
      </c>
      <c r="AK5340">
        <v>0</v>
      </c>
      <c r="AL5340">
        <v>0</v>
      </c>
      <c r="AM5340">
        <v>1</v>
      </c>
      <c r="AN5340">
        <v>0</v>
      </c>
      <c r="AO5340">
        <v>1</v>
      </c>
      <c r="AP5340">
        <v>1</v>
      </c>
      <c r="AQ5340">
        <v>1</v>
      </c>
      <c r="AR5340">
        <v>1</v>
      </c>
      <c r="AS5340">
        <v>1</v>
      </c>
      <c r="AT5340">
        <v>0</v>
      </c>
      <c r="AV5340">
        <v>1</v>
      </c>
      <c r="AW5340">
        <v>1</v>
      </c>
    </row>
    <row r="5341" spans="1:49" x14ac:dyDescent="0.25">
      <c r="A5341" t="str">
        <f>"5337"</f>
        <v>5337</v>
      </c>
      <c r="B5341" t="str">
        <f t="shared" si="306"/>
        <v>1</v>
      </c>
      <c r="C5341" t="str">
        <f t="shared" si="309"/>
        <v>235</v>
      </c>
      <c r="D5341" t="str">
        <f>"12"</f>
        <v>12</v>
      </c>
      <c r="E5341" t="str">
        <f>"1-235-12"</f>
        <v>1-235-12</v>
      </c>
      <c r="F5341" t="s">
        <v>83</v>
      </c>
      <c r="G5341" t="s">
        <v>84</v>
      </c>
      <c r="H5341" t="s">
        <v>92</v>
      </c>
      <c r="I5341">
        <v>1</v>
      </c>
      <c r="J5341">
        <v>1</v>
      </c>
      <c r="N5341">
        <v>1</v>
      </c>
      <c r="O5341">
        <v>1</v>
      </c>
      <c r="P5341">
        <v>1</v>
      </c>
      <c r="Q5341">
        <v>1</v>
      </c>
      <c r="R5341">
        <v>1</v>
      </c>
      <c r="S5341">
        <v>1</v>
      </c>
      <c r="T5341">
        <v>1</v>
      </c>
      <c r="W5341">
        <v>1</v>
      </c>
      <c r="X5341">
        <v>1</v>
      </c>
      <c r="Y5341">
        <v>1</v>
      </c>
      <c r="Z5341">
        <v>1</v>
      </c>
      <c r="AA5341">
        <v>1</v>
      </c>
      <c r="AB5341">
        <v>1</v>
      </c>
    </row>
    <row r="5342" spans="1:49" x14ac:dyDescent="0.25">
      <c r="A5342" t="str">
        <f>"5338"</f>
        <v>5338</v>
      </c>
      <c r="B5342" t="str">
        <f t="shared" ref="B5342:B5405" si="310">"1"</f>
        <v>1</v>
      </c>
      <c r="C5342" t="str">
        <f t="shared" si="309"/>
        <v>235</v>
      </c>
      <c r="D5342" t="str">
        <f>"7"</f>
        <v>7</v>
      </c>
      <c r="E5342" t="str">
        <f>"1-235-7"</f>
        <v>1-235-7</v>
      </c>
      <c r="F5342" t="s">
        <v>83</v>
      </c>
      <c r="G5342" t="s">
        <v>84</v>
      </c>
      <c r="H5342" t="s">
        <v>92</v>
      </c>
      <c r="I5342">
        <v>1</v>
      </c>
      <c r="J5342">
        <v>1</v>
      </c>
      <c r="N5342">
        <v>1</v>
      </c>
      <c r="O5342">
        <v>1</v>
      </c>
      <c r="P5342">
        <v>1</v>
      </c>
      <c r="Q5342">
        <v>1</v>
      </c>
      <c r="R5342">
        <v>1</v>
      </c>
      <c r="S5342">
        <v>1</v>
      </c>
      <c r="T5342">
        <v>1</v>
      </c>
      <c r="W5342">
        <v>1</v>
      </c>
      <c r="X5342">
        <v>1</v>
      </c>
      <c r="Y5342">
        <v>1</v>
      </c>
      <c r="Z5342">
        <v>1</v>
      </c>
      <c r="AA5342">
        <v>1</v>
      </c>
      <c r="AB5342">
        <v>1</v>
      </c>
    </row>
    <row r="5343" spans="1:49" x14ac:dyDescent="0.25">
      <c r="A5343" t="str">
        <f>"5339"</f>
        <v>5339</v>
      </c>
      <c r="B5343" t="str">
        <f t="shared" si="310"/>
        <v>1</v>
      </c>
      <c r="C5343" t="str">
        <f t="shared" si="309"/>
        <v>235</v>
      </c>
      <c r="D5343" t="str">
        <f>"21"</f>
        <v>21</v>
      </c>
      <c r="E5343" t="str">
        <f>"1-235-21"</f>
        <v>1-235-21</v>
      </c>
      <c r="F5343" t="s">
        <v>83</v>
      </c>
      <c r="G5343" t="s">
        <v>84</v>
      </c>
      <c r="H5343" t="s">
        <v>85</v>
      </c>
      <c r="AC5343">
        <v>1</v>
      </c>
      <c r="AD5343">
        <v>0</v>
      </c>
      <c r="AE5343">
        <v>0</v>
      </c>
      <c r="AF5343">
        <v>0</v>
      </c>
      <c r="AG5343">
        <v>1</v>
      </c>
      <c r="AJ5343">
        <v>0</v>
      </c>
      <c r="AK5343">
        <v>1</v>
      </c>
      <c r="AL5343">
        <v>0</v>
      </c>
      <c r="AM5343">
        <v>1</v>
      </c>
      <c r="AN5343">
        <v>0</v>
      </c>
      <c r="AO5343">
        <v>1</v>
      </c>
      <c r="AP5343">
        <v>1</v>
      </c>
      <c r="AQ5343">
        <v>1</v>
      </c>
      <c r="AR5343">
        <v>1</v>
      </c>
      <c r="AS5343">
        <v>1</v>
      </c>
      <c r="AT5343">
        <v>0</v>
      </c>
      <c r="AV5343">
        <v>1</v>
      </c>
      <c r="AW5343">
        <v>1</v>
      </c>
    </row>
    <row r="5344" spans="1:49" x14ac:dyDescent="0.25">
      <c r="A5344" t="str">
        <f>"5340"</f>
        <v>5340</v>
      </c>
      <c r="B5344" t="str">
        <f t="shared" si="310"/>
        <v>1</v>
      </c>
      <c r="C5344" t="str">
        <f t="shared" si="309"/>
        <v>235</v>
      </c>
      <c r="D5344" t="str">
        <f>"13"</f>
        <v>13</v>
      </c>
      <c r="E5344" t="str">
        <f>"1-235-13"</f>
        <v>1-235-13</v>
      </c>
      <c r="F5344" t="s">
        <v>83</v>
      </c>
      <c r="G5344" t="s">
        <v>84</v>
      </c>
      <c r="H5344" t="s">
        <v>85</v>
      </c>
      <c r="AC5344">
        <v>0</v>
      </c>
      <c r="AD5344">
        <v>1</v>
      </c>
      <c r="AE5344">
        <v>0</v>
      </c>
      <c r="AF5344">
        <v>0</v>
      </c>
      <c r="AG5344">
        <v>1</v>
      </c>
      <c r="AJ5344">
        <v>0</v>
      </c>
      <c r="AK5344">
        <v>1</v>
      </c>
      <c r="AL5344">
        <v>0</v>
      </c>
      <c r="AM5344">
        <v>0</v>
      </c>
      <c r="AN5344">
        <v>1</v>
      </c>
      <c r="AO5344">
        <v>1</v>
      </c>
      <c r="AP5344">
        <v>1</v>
      </c>
      <c r="AQ5344">
        <v>1</v>
      </c>
      <c r="AR5344">
        <v>1</v>
      </c>
      <c r="AS5344">
        <v>0</v>
      </c>
      <c r="AT5344">
        <v>1</v>
      </c>
      <c r="AV5344">
        <v>1</v>
      </c>
      <c r="AW5344">
        <v>1</v>
      </c>
    </row>
    <row r="5345" spans="1:49" x14ac:dyDescent="0.25">
      <c r="A5345" t="str">
        <f>"5341"</f>
        <v>5341</v>
      </c>
      <c r="B5345" t="str">
        <f t="shared" si="310"/>
        <v>1</v>
      </c>
      <c r="C5345" t="str">
        <f t="shared" si="309"/>
        <v>235</v>
      </c>
      <c r="D5345" t="str">
        <f>"3"</f>
        <v>3</v>
      </c>
      <c r="E5345" t="str">
        <f>"1-235-3"</f>
        <v>1-235-3</v>
      </c>
      <c r="F5345" t="s">
        <v>83</v>
      </c>
      <c r="G5345" t="s">
        <v>84</v>
      </c>
      <c r="H5345" t="s">
        <v>92</v>
      </c>
      <c r="I5345">
        <v>1</v>
      </c>
      <c r="J5345">
        <v>1</v>
      </c>
      <c r="N5345">
        <v>1</v>
      </c>
      <c r="O5345">
        <v>1</v>
      </c>
      <c r="P5345">
        <v>1</v>
      </c>
      <c r="Q5345">
        <v>1</v>
      </c>
      <c r="R5345">
        <v>1</v>
      </c>
      <c r="S5345">
        <v>1</v>
      </c>
      <c r="T5345">
        <v>1</v>
      </c>
      <c r="W5345">
        <v>1</v>
      </c>
      <c r="X5345">
        <v>1</v>
      </c>
      <c r="Y5345">
        <v>1</v>
      </c>
      <c r="Z5345">
        <v>1</v>
      </c>
      <c r="AA5345">
        <v>1</v>
      </c>
      <c r="AB5345">
        <v>1</v>
      </c>
    </row>
    <row r="5346" spans="1:49" x14ac:dyDescent="0.25">
      <c r="A5346" t="str">
        <f>"5342"</f>
        <v>5342</v>
      </c>
      <c r="B5346" t="str">
        <f t="shared" si="310"/>
        <v>1</v>
      </c>
      <c r="C5346" t="str">
        <f t="shared" si="309"/>
        <v>235</v>
      </c>
      <c r="D5346" t="str">
        <f>"19"</f>
        <v>19</v>
      </c>
      <c r="E5346" t="str">
        <f>"1-235-19"</f>
        <v>1-235-19</v>
      </c>
      <c r="F5346" t="s">
        <v>83</v>
      </c>
      <c r="G5346" t="s">
        <v>84</v>
      </c>
      <c r="H5346" t="s">
        <v>92</v>
      </c>
      <c r="I5346">
        <v>1</v>
      </c>
      <c r="J5346">
        <v>0</v>
      </c>
      <c r="N5346">
        <v>1</v>
      </c>
      <c r="O5346">
        <v>1</v>
      </c>
      <c r="P5346">
        <v>1</v>
      </c>
      <c r="Q5346">
        <v>1</v>
      </c>
      <c r="R5346">
        <v>1</v>
      </c>
      <c r="S5346">
        <v>1</v>
      </c>
      <c r="T5346">
        <v>1</v>
      </c>
      <c r="W5346">
        <v>1</v>
      </c>
      <c r="X5346">
        <v>1</v>
      </c>
      <c r="Y5346">
        <v>1</v>
      </c>
      <c r="Z5346">
        <v>1</v>
      </c>
      <c r="AA5346">
        <v>1</v>
      </c>
      <c r="AB5346">
        <v>1</v>
      </c>
    </row>
    <row r="5347" spans="1:49" x14ac:dyDescent="0.25">
      <c r="A5347" t="str">
        <f>"5343"</f>
        <v>5343</v>
      </c>
      <c r="B5347" t="str">
        <f t="shared" si="310"/>
        <v>1</v>
      </c>
      <c r="C5347" t="str">
        <f t="shared" si="309"/>
        <v>235</v>
      </c>
      <c r="D5347" t="str">
        <f>"14"</f>
        <v>14</v>
      </c>
      <c r="E5347" t="str">
        <f>"1-235-14"</f>
        <v>1-235-14</v>
      </c>
      <c r="F5347" t="s">
        <v>83</v>
      </c>
      <c r="G5347" t="s">
        <v>84</v>
      </c>
      <c r="H5347" t="s">
        <v>85</v>
      </c>
      <c r="AC5347">
        <v>0</v>
      </c>
      <c r="AD5347">
        <v>1</v>
      </c>
      <c r="AE5347">
        <v>0</v>
      </c>
      <c r="AF5347">
        <v>0</v>
      </c>
      <c r="AG5347">
        <v>0</v>
      </c>
      <c r="AJ5347">
        <v>0</v>
      </c>
      <c r="AK5347">
        <v>0</v>
      </c>
      <c r="AL5347">
        <v>0</v>
      </c>
      <c r="AM5347">
        <v>0</v>
      </c>
      <c r="AN5347">
        <v>1</v>
      </c>
      <c r="AO5347">
        <v>0</v>
      </c>
      <c r="AP5347">
        <v>0</v>
      </c>
      <c r="AQ5347">
        <v>0</v>
      </c>
      <c r="AR5347">
        <v>0</v>
      </c>
      <c r="AS5347">
        <v>0</v>
      </c>
      <c r="AT5347">
        <v>1</v>
      </c>
      <c r="AV5347">
        <v>0</v>
      </c>
      <c r="AW5347">
        <v>0</v>
      </c>
    </row>
    <row r="5348" spans="1:49" x14ac:dyDescent="0.25">
      <c r="A5348" t="str">
        <f>"5344"</f>
        <v>5344</v>
      </c>
      <c r="B5348" t="str">
        <f t="shared" si="310"/>
        <v>1</v>
      </c>
      <c r="C5348" t="str">
        <f t="shared" si="309"/>
        <v>235</v>
      </c>
      <c r="D5348" t="str">
        <f>"5"</f>
        <v>5</v>
      </c>
      <c r="E5348" t="str">
        <f>"1-235-5"</f>
        <v>1-235-5</v>
      </c>
      <c r="F5348" t="s">
        <v>83</v>
      </c>
      <c r="G5348" t="s">
        <v>84</v>
      </c>
      <c r="H5348" t="s">
        <v>85</v>
      </c>
      <c r="AC5348">
        <v>0</v>
      </c>
      <c r="AD5348">
        <v>1</v>
      </c>
      <c r="AE5348">
        <v>0</v>
      </c>
      <c r="AF5348">
        <v>0</v>
      </c>
      <c r="AG5348">
        <v>1</v>
      </c>
      <c r="AJ5348">
        <v>0</v>
      </c>
      <c r="AK5348">
        <v>1</v>
      </c>
      <c r="AL5348">
        <v>1</v>
      </c>
      <c r="AM5348">
        <v>0</v>
      </c>
      <c r="AN5348">
        <v>0</v>
      </c>
      <c r="AO5348">
        <v>1</v>
      </c>
      <c r="AP5348">
        <v>1</v>
      </c>
      <c r="AQ5348">
        <v>1</v>
      </c>
      <c r="AR5348">
        <v>1</v>
      </c>
      <c r="AS5348">
        <v>1</v>
      </c>
      <c r="AT5348">
        <v>0</v>
      </c>
      <c r="AV5348">
        <v>1</v>
      </c>
      <c r="AW5348">
        <v>1</v>
      </c>
    </row>
    <row r="5349" spans="1:49" x14ac:dyDescent="0.25">
      <c r="A5349" t="str">
        <f>"5345"</f>
        <v>5345</v>
      </c>
      <c r="B5349" t="str">
        <f t="shared" si="310"/>
        <v>1</v>
      </c>
      <c r="C5349" t="str">
        <f t="shared" ref="C5349:C5365" si="311">"236"</f>
        <v>236</v>
      </c>
      <c r="D5349" t="str">
        <f>"15"</f>
        <v>15</v>
      </c>
      <c r="E5349" t="str">
        <f>"1-236-15"</f>
        <v>1-236-15</v>
      </c>
      <c r="F5349" t="s">
        <v>83</v>
      </c>
      <c r="G5349" t="s">
        <v>86</v>
      </c>
      <c r="H5349" t="s">
        <v>87</v>
      </c>
      <c r="AC5349">
        <v>1</v>
      </c>
      <c r="AD5349">
        <v>0</v>
      </c>
      <c r="AE5349">
        <v>0</v>
      </c>
      <c r="AF5349">
        <v>0</v>
      </c>
      <c r="AH5349">
        <v>1</v>
      </c>
      <c r="AI5349">
        <v>0</v>
      </c>
      <c r="AJ5349">
        <v>0</v>
      </c>
      <c r="AK5349">
        <v>1</v>
      </c>
      <c r="AL5349">
        <v>1</v>
      </c>
      <c r="AM5349">
        <v>0</v>
      </c>
      <c r="AN5349">
        <v>0</v>
      </c>
      <c r="AO5349">
        <v>1</v>
      </c>
      <c r="AP5349">
        <v>1</v>
      </c>
      <c r="AQ5349">
        <v>1</v>
      </c>
      <c r="AU5349">
        <v>1</v>
      </c>
      <c r="AV5349">
        <v>1</v>
      </c>
      <c r="AW5349">
        <v>1</v>
      </c>
    </row>
    <row r="5350" spans="1:49" x14ac:dyDescent="0.25">
      <c r="A5350" t="str">
        <f>"5346"</f>
        <v>5346</v>
      </c>
      <c r="B5350" t="str">
        <f t="shared" si="310"/>
        <v>1</v>
      </c>
      <c r="C5350" t="str">
        <f t="shared" si="311"/>
        <v>236</v>
      </c>
      <c r="D5350" t="str">
        <f>"14"</f>
        <v>14</v>
      </c>
      <c r="E5350" t="str">
        <f>"1-236-14"</f>
        <v>1-236-14</v>
      </c>
      <c r="F5350" t="s">
        <v>83</v>
      </c>
      <c r="G5350" t="s">
        <v>86</v>
      </c>
      <c r="H5350" t="s">
        <v>93</v>
      </c>
      <c r="I5350">
        <v>1</v>
      </c>
      <c r="K5350">
        <v>1</v>
      </c>
      <c r="L5350">
        <v>0</v>
      </c>
      <c r="M5350">
        <v>0</v>
      </c>
      <c r="N5350">
        <v>1</v>
      </c>
      <c r="O5350">
        <v>1</v>
      </c>
      <c r="P5350">
        <v>1</v>
      </c>
      <c r="Q5350">
        <v>1</v>
      </c>
      <c r="R5350">
        <v>1</v>
      </c>
      <c r="U5350">
        <v>0</v>
      </c>
      <c r="V5350">
        <v>1</v>
      </c>
      <c r="W5350">
        <v>1</v>
      </c>
      <c r="X5350">
        <v>1</v>
      </c>
      <c r="Y5350">
        <v>1</v>
      </c>
      <c r="Z5350">
        <v>1</v>
      </c>
      <c r="AA5350">
        <v>1</v>
      </c>
      <c r="AB5350">
        <v>1</v>
      </c>
    </row>
    <row r="5351" spans="1:49" x14ac:dyDescent="0.25">
      <c r="A5351" t="str">
        <f>"5347"</f>
        <v>5347</v>
      </c>
      <c r="B5351" t="str">
        <f t="shared" si="310"/>
        <v>1</v>
      </c>
      <c r="C5351" t="str">
        <f t="shared" si="311"/>
        <v>236</v>
      </c>
      <c r="D5351" t="str">
        <f>"11"</f>
        <v>11</v>
      </c>
      <c r="E5351" t="str">
        <f>"1-236-11"</f>
        <v>1-236-11</v>
      </c>
      <c r="F5351" t="s">
        <v>83</v>
      </c>
      <c r="G5351" t="s">
        <v>86</v>
      </c>
      <c r="H5351" t="s">
        <v>93</v>
      </c>
      <c r="I5351">
        <v>1</v>
      </c>
      <c r="K5351">
        <v>0</v>
      </c>
      <c r="L5351">
        <v>0</v>
      </c>
      <c r="M5351">
        <v>1</v>
      </c>
      <c r="N5351">
        <v>1</v>
      </c>
      <c r="O5351">
        <v>1</v>
      </c>
      <c r="P5351">
        <v>1</v>
      </c>
      <c r="Q5351">
        <v>1</v>
      </c>
      <c r="R5351">
        <v>1</v>
      </c>
      <c r="U5351">
        <v>0</v>
      </c>
      <c r="V5351">
        <v>1</v>
      </c>
      <c r="W5351">
        <v>1</v>
      </c>
      <c r="X5351">
        <v>1</v>
      </c>
      <c r="Y5351">
        <v>1</v>
      </c>
      <c r="Z5351">
        <v>1</v>
      </c>
      <c r="AA5351">
        <v>1</v>
      </c>
      <c r="AB5351">
        <v>1</v>
      </c>
    </row>
    <row r="5352" spans="1:49" x14ac:dyDescent="0.25">
      <c r="A5352" t="str">
        <f>"5348"</f>
        <v>5348</v>
      </c>
      <c r="B5352" t="str">
        <f t="shared" si="310"/>
        <v>1</v>
      </c>
      <c r="C5352" t="str">
        <f t="shared" si="311"/>
        <v>236</v>
      </c>
      <c r="D5352" t="str">
        <f>"8"</f>
        <v>8</v>
      </c>
      <c r="E5352" t="str">
        <f>"1-236-8"</f>
        <v>1-236-8</v>
      </c>
      <c r="F5352" t="s">
        <v>83</v>
      </c>
      <c r="G5352" t="s">
        <v>86</v>
      </c>
      <c r="H5352" t="s">
        <v>87</v>
      </c>
      <c r="AC5352">
        <v>0</v>
      </c>
      <c r="AD5352">
        <v>1</v>
      </c>
      <c r="AE5352">
        <v>0</v>
      </c>
      <c r="AF5352">
        <v>0</v>
      </c>
      <c r="AH5352">
        <v>0</v>
      </c>
      <c r="AI5352">
        <v>1</v>
      </c>
      <c r="AJ5352">
        <v>0</v>
      </c>
      <c r="AK5352">
        <v>1</v>
      </c>
      <c r="AL5352">
        <v>0</v>
      </c>
      <c r="AM5352">
        <v>0</v>
      </c>
      <c r="AN5352">
        <v>1</v>
      </c>
      <c r="AO5352">
        <v>0</v>
      </c>
      <c r="AP5352">
        <v>0</v>
      </c>
      <c r="AQ5352">
        <v>0</v>
      </c>
      <c r="AU5352">
        <v>0</v>
      </c>
      <c r="AV5352">
        <v>0</v>
      </c>
      <c r="AW5352">
        <v>0</v>
      </c>
    </row>
    <row r="5353" spans="1:49" x14ac:dyDescent="0.25">
      <c r="A5353" t="str">
        <f>"5349"</f>
        <v>5349</v>
      </c>
      <c r="B5353" t="str">
        <f t="shared" si="310"/>
        <v>1</v>
      </c>
      <c r="C5353" t="str">
        <f t="shared" si="311"/>
        <v>236</v>
      </c>
      <c r="D5353" t="str">
        <f>"1"</f>
        <v>1</v>
      </c>
      <c r="E5353" t="str">
        <f>"1-236-1"</f>
        <v>1-236-1</v>
      </c>
      <c r="F5353" t="s">
        <v>83</v>
      </c>
      <c r="G5353" t="s">
        <v>86</v>
      </c>
      <c r="H5353" t="s">
        <v>87</v>
      </c>
      <c r="AC5353">
        <v>0</v>
      </c>
      <c r="AD5353">
        <v>1</v>
      </c>
      <c r="AE5353">
        <v>0</v>
      </c>
      <c r="AF5353">
        <v>0</v>
      </c>
      <c r="AH5353">
        <v>0</v>
      </c>
      <c r="AI5353">
        <v>1</v>
      </c>
      <c r="AJ5353">
        <v>0</v>
      </c>
      <c r="AK5353">
        <v>1</v>
      </c>
      <c r="AL5353">
        <v>0</v>
      </c>
      <c r="AM5353">
        <v>0</v>
      </c>
      <c r="AN5353">
        <v>1</v>
      </c>
      <c r="AO5353">
        <v>1</v>
      </c>
      <c r="AP5353">
        <v>1</v>
      </c>
      <c r="AQ5353">
        <v>1</v>
      </c>
      <c r="AU5353">
        <v>1</v>
      </c>
      <c r="AV5353">
        <v>1</v>
      </c>
      <c r="AW5353">
        <v>1</v>
      </c>
    </row>
    <row r="5354" spans="1:49" x14ac:dyDescent="0.25">
      <c r="A5354" t="str">
        <f>"5350"</f>
        <v>5350</v>
      </c>
      <c r="B5354" t="str">
        <f t="shared" si="310"/>
        <v>1</v>
      </c>
      <c r="C5354" t="str">
        <f t="shared" si="311"/>
        <v>236</v>
      </c>
      <c r="D5354" t="str">
        <f>"16"</f>
        <v>16</v>
      </c>
      <c r="E5354" t="str">
        <f>"1-236-16"</f>
        <v>1-236-16</v>
      </c>
      <c r="F5354" t="s">
        <v>83</v>
      </c>
      <c r="G5354" t="s">
        <v>86</v>
      </c>
      <c r="H5354" t="s">
        <v>87</v>
      </c>
      <c r="AC5354">
        <v>0</v>
      </c>
      <c r="AD5354">
        <v>1</v>
      </c>
      <c r="AE5354">
        <v>0</v>
      </c>
      <c r="AF5354">
        <v>0</v>
      </c>
      <c r="AH5354">
        <v>0</v>
      </c>
      <c r="AI5354">
        <v>1</v>
      </c>
      <c r="AJ5354">
        <v>1</v>
      </c>
      <c r="AK5354">
        <v>0</v>
      </c>
      <c r="AL5354">
        <v>0</v>
      </c>
      <c r="AM5354">
        <v>1</v>
      </c>
      <c r="AN5354">
        <v>0</v>
      </c>
      <c r="AO5354">
        <v>1</v>
      </c>
      <c r="AP5354">
        <v>1</v>
      </c>
      <c r="AQ5354">
        <v>1</v>
      </c>
      <c r="AU5354">
        <v>1</v>
      </c>
      <c r="AV5354">
        <v>1</v>
      </c>
      <c r="AW5354">
        <v>1</v>
      </c>
    </row>
    <row r="5355" spans="1:49" x14ac:dyDescent="0.25">
      <c r="A5355" t="str">
        <f>"5351"</f>
        <v>5351</v>
      </c>
      <c r="B5355" t="str">
        <f t="shared" si="310"/>
        <v>1</v>
      </c>
      <c r="C5355" t="str">
        <f t="shared" si="311"/>
        <v>236</v>
      </c>
      <c r="D5355" t="str">
        <f>"9"</f>
        <v>9</v>
      </c>
      <c r="E5355" t="str">
        <f>"1-236-9"</f>
        <v>1-236-9</v>
      </c>
      <c r="F5355" t="s">
        <v>83</v>
      </c>
      <c r="G5355" t="s">
        <v>86</v>
      </c>
      <c r="H5355" t="s">
        <v>87</v>
      </c>
      <c r="AC5355">
        <v>0</v>
      </c>
      <c r="AD5355">
        <v>1</v>
      </c>
      <c r="AE5355">
        <v>0</v>
      </c>
      <c r="AF5355">
        <v>0</v>
      </c>
      <c r="AH5355">
        <v>0</v>
      </c>
      <c r="AI5355">
        <v>1</v>
      </c>
      <c r="AJ5355">
        <v>0</v>
      </c>
      <c r="AK5355">
        <v>1</v>
      </c>
      <c r="AL5355">
        <v>0</v>
      </c>
      <c r="AM5355">
        <v>0</v>
      </c>
      <c r="AN5355">
        <v>1</v>
      </c>
      <c r="AO5355">
        <v>0</v>
      </c>
      <c r="AP5355">
        <v>0</v>
      </c>
      <c r="AQ5355">
        <v>0</v>
      </c>
      <c r="AU5355">
        <v>0</v>
      </c>
      <c r="AV5355">
        <v>0</v>
      </c>
      <c r="AW5355">
        <v>0</v>
      </c>
    </row>
    <row r="5356" spans="1:49" x14ac:dyDescent="0.25">
      <c r="A5356" t="str">
        <f>"5352"</f>
        <v>5352</v>
      </c>
      <c r="B5356" t="str">
        <f t="shared" si="310"/>
        <v>1</v>
      </c>
      <c r="C5356" t="str">
        <f t="shared" si="311"/>
        <v>236</v>
      </c>
      <c r="D5356" t="str">
        <f>"6"</f>
        <v>6</v>
      </c>
      <c r="E5356" t="str">
        <f>"1-236-6"</f>
        <v>1-236-6</v>
      </c>
      <c r="F5356" t="s">
        <v>83</v>
      </c>
      <c r="G5356" t="s">
        <v>86</v>
      </c>
      <c r="H5356" t="s">
        <v>87</v>
      </c>
      <c r="AC5356">
        <v>1</v>
      </c>
      <c r="AD5356">
        <v>0</v>
      </c>
      <c r="AE5356">
        <v>0</v>
      </c>
      <c r="AF5356">
        <v>0</v>
      </c>
      <c r="AH5356">
        <v>1</v>
      </c>
      <c r="AI5356">
        <v>0</v>
      </c>
      <c r="AJ5356">
        <v>1</v>
      </c>
      <c r="AK5356">
        <v>0</v>
      </c>
      <c r="AL5356">
        <v>1</v>
      </c>
      <c r="AM5356">
        <v>0</v>
      </c>
      <c r="AN5356">
        <v>0</v>
      </c>
      <c r="AO5356">
        <v>0</v>
      </c>
      <c r="AP5356">
        <v>0</v>
      </c>
      <c r="AQ5356">
        <v>0</v>
      </c>
      <c r="AU5356">
        <v>1</v>
      </c>
      <c r="AV5356">
        <v>0</v>
      </c>
      <c r="AW5356">
        <v>0</v>
      </c>
    </row>
    <row r="5357" spans="1:49" x14ac:dyDescent="0.25">
      <c r="A5357" t="str">
        <f>"5353"</f>
        <v>5353</v>
      </c>
      <c r="B5357" t="str">
        <f t="shared" si="310"/>
        <v>1</v>
      </c>
      <c r="C5357" t="str">
        <f t="shared" si="311"/>
        <v>236</v>
      </c>
      <c r="D5357" t="str">
        <f>"17"</f>
        <v>17</v>
      </c>
      <c r="E5357" t="str">
        <f>"1-236-17"</f>
        <v>1-236-17</v>
      </c>
      <c r="F5357" t="s">
        <v>83</v>
      </c>
      <c r="G5357" t="s">
        <v>86</v>
      </c>
      <c r="H5357" t="s">
        <v>87</v>
      </c>
      <c r="AC5357">
        <v>0</v>
      </c>
      <c r="AD5357">
        <v>1</v>
      </c>
      <c r="AE5357">
        <v>0</v>
      </c>
      <c r="AF5357">
        <v>0</v>
      </c>
      <c r="AH5357">
        <v>0</v>
      </c>
      <c r="AI5357">
        <v>1</v>
      </c>
      <c r="AJ5357">
        <v>0</v>
      </c>
      <c r="AK5357">
        <v>1</v>
      </c>
      <c r="AL5357">
        <v>0</v>
      </c>
      <c r="AM5357">
        <v>0</v>
      </c>
      <c r="AN5357">
        <v>1</v>
      </c>
      <c r="AO5357">
        <v>0</v>
      </c>
      <c r="AP5357">
        <v>0</v>
      </c>
      <c r="AQ5357">
        <v>0</v>
      </c>
      <c r="AU5357">
        <v>0</v>
      </c>
      <c r="AV5357">
        <v>0</v>
      </c>
      <c r="AW5357">
        <v>0</v>
      </c>
    </row>
    <row r="5358" spans="1:49" x14ac:dyDescent="0.25">
      <c r="A5358" t="str">
        <f>"5354"</f>
        <v>5354</v>
      </c>
      <c r="B5358" t="str">
        <f t="shared" si="310"/>
        <v>1</v>
      </c>
      <c r="C5358" t="str">
        <f t="shared" si="311"/>
        <v>236</v>
      </c>
      <c r="D5358" t="str">
        <f>"10"</f>
        <v>10</v>
      </c>
      <c r="E5358" t="str">
        <f>"1-236-10"</f>
        <v>1-236-10</v>
      </c>
      <c r="F5358" t="s">
        <v>83</v>
      </c>
      <c r="G5358" t="s">
        <v>86</v>
      </c>
      <c r="H5358" t="s">
        <v>93</v>
      </c>
      <c r="I5358">
        <v>1</v>
      </c>
      <c r="K5358">
        <v>0</v>
      </c>
      <c r="L5358">
        <v>1</v>
      </c>
      <c r="M5358">
        <v>0</v>
      </c>
      <c r="N5358">
        <v>1</v>
      </c>
      <c r="O5358">
        <v>1</v>
      </c>
      <c r="P5358">
        <v>1</v>
      </c>
      <c r="Q5358">
        <v>1</v>
      </c>
      <c r="R5358">
        <v>1</v>
      </c>
      <c r="U5358">
        <v>1</v>
      </c>
      <c r="V5358">
        <v>0</v>
      </c>
      <c r="W5358">
        <v>1</v>
      </c>
      <c r="X5358">
        <v>1</v>
      </c>
      <c r="Y5358">
        <v>1</v>
      </c>
      <c r="Z5358">
        <v>1</v>
      </c>
      <c r="AA5358">
        <v>1</v>
      </c>
      <c r="AB5358">
        <v>1</v>
      </c>
    </row>
    <row r="5359" spans="1:49" x14ac:dyDescent="0.25">
      <c r="A5359" t="str">
        <f>"5355"</f>
        <v>5355</v>
      </c>
      <c r="B5359" t="str">
        <f t="shared" si="310"/>
        <v>1</v>
      </c>
      <c r="C5359" t="str">
        <f t="shared" si="311"/>
        <v>236</v>
      </c>
      <c r="D5359" t="str">
        <f>"4"</f>
        <v>4</v>
      </c>
      <c r="E5359" t="str">
        <f>"1-236-4"</f>
        <v>1-236-4</v>
      </c>
      <c r="F5359" t="s">
        <v>83</v>
      </c>
      <c r="G5359" t="s">
        <v>86</v>
      </c>
      <c r="H5359" t="s">
        <v>87</v>
      </c>
      <c r="AC5359">
        <v>1</v>
      </c>
      <c r="AD5359">
        <v>0</v>
      </c>
      <c r="AE5359">
        <v>0</v>
      </c>
      <c r="AF5359">
        <v>0</v>
      </c>
      <c r="AH5359">
        <v>1</v>
      </c>
      <c r="AI5359">
        <v>0</v>
      </c>
      <c r="AJ5359">
        <v>1</v>
      </c>
      <c r="AK5359">
        <v>0</v>
      </c>
      <c r="AL5359">
        <v>0</v>
      </c>
      <c r="AM5359">
        <v>1</v>
      </c>
      <c r="AN5359">
        <v>0</v>
      </c>
      <c r="AO5359">
        <v>1</v>
      </c>
      <c r="AP5359">
        <v>1</v>
      </c>
      <c r="AQ5359">
        <v>1</v>
      </c>
      <c r="AU5359">
        <v>1</v>
      </c>
      <c r="AV5359">
        <v>1</v>
      </c>
      <c r="AW5359">
        <v>1</v>
      </c>
    </row>
    <row r="5360" spans="1:49" x14ac:dyDescent="0.25">
      <c r="A5360" t="str">
        <f>"5356"</f>
        <v>5356</v>
      </c>
      <c r="B5360" t="str">
        <f t="shared" si="310"/>
        <v>1</v>
      </c>
      <c r="C5360" t="str">
        <f t="shared" si="311"/>
        <v>236</v>
      </c>
      <c r="D5360" t="str">
        <f>"12"</f>
        <v>12</v>
      </c>
      <c r="E5360" t="str">
        <f>"1-236-12"</f>
        <v>1-236-12</v>
      </c>
      <c r="F5360" t="s">
        <v>83</v>
      </c>
      <c r="G5360" t="s">
        <v>86</v>
      </c>
      <c r="H5360" t="s">
        <v>87</v>
      </c>
      <c r="AC5360">
        <v>0</v>
      </c>
      <c r="AD5360">
        <v>1</v>
      </c>
      <c r="AE5360">
        <v>0</v>
      </c>
      <c r="AF5360">
        <v>0</v>
      </c>
      <c r="AH5360">
        <v>0</v>
      </c>
      <c r="AI5360">
        <v>1</v>
      </c>
      <c r="AJ5360">
        <v>1</v>
      </c>
      <c r="AK5360">
        <v>0</v>
      </c>
      <c r="AL5360">
        <v>0</v>
      </c>
      <c r="AM5360">
        <v>0</v>
      </c>
      <c r="AN5360">
        <v>1</v>
      </c>
      <c r="AO5360">
        <v>1</v>
      </c>
      <c r="AP5360">
        <v>1</v>
      </c>
      <c r="AQ5360">
        <v>1</v>
      </c>
      <c r="AU5360">
        <v>1</v>
      </c>
      <c r="AV5360">
        <v>1</v>
      </c>
      <c r="AW5360">
        <v>0</v>
      </c>
    </row>
    <row r="5361" spans="1:49" x14ac:dyDescent="0.25">
      <c r="A5361" t="str">
        <f>"5357"</f>
        <v>5357</v>
      </c>
      <c r="B5361" t="str">
        <f t="shared" si="310"/>
        <v>1</v>
      </c>
      <c r="C5361" t="str">
        <f t="shared" si="311"/>
        <v>236</v>
      </c>
      <c r="D5361" t="str">
        <f>"3"</f>
        <v>3</v>
      </c>
      <c r="E5361" t="str">
        <f>"1-236-3"</f>
        <v>1-236-3</v>
      </c>
      <c r="F5361" t="s">
        <v>83</v>
      </c>
      <c r="G5361" t="s">
        <v>86</v>
      </c>
      <c r="H5361" t="s">
        <v>87</v>
      </c>
      <c r="AC5361">
        <v>0</v>
      </c>
      <c r="AD5361">
        <v>0</v>
      </c>
      <c r="AE5361">
        <v>0</v>
      </c>
      <c r="AF5361">
        <v>0</v>
      </c>
      <c r="AH5361">
        <v>0</v>
      </c>
      <c r="AI5361">
        <v>1</v>
      </c>
      <c r="AJ5361">
        <v>0</v>
      </c>
      <c r="AK5361">
        <v>0</v>
      </c>
      <c r="AL5361">
        <v>0</v>
      </c>
      <c r="AM5361">
        <v>0</v>
      </c>
      <c r="AN5361">
        <v>0</v>
      </c>
      <c r="AO5361">
        <v>0</v>
      </c>
      <c r="AP5361">
        <v>0</v>
      </c>
      <c r="AQ5361">
        <v>0</v>
      </c>
      <c r="AU5361">
        <v>0</v>
      </c>
      <c r="AV5361">
        <v>0</v>
      </c>
      <c r="AW5361">
        <v>0</v>
      </c>
    </row>
    <row r="5362" spans="1:49" x14ac:dyDescent="0.25">
      <c r="A5362" t="str">
        <f>"5358"</f>
        <v>5358</v>
      </c>
      <c r="B5362" t="str">
        <f t="shared" si="310"/>
        <v>1</v>
      </c>
      <c r="C5362" t="str">
        <f t="shared" si="311"/>
        <v>236</v>
      </c>
      <c r="D5362" t="str">
        <f>"13"</f>
        <v>13</v>
      </c>
      <c r="E5362" t="str">
        <f>"1-236-13"</f>
        <v>1-236-13</v>
      </c>
      <c r="F5362" t="s">
        <v>83</v>
      </c>
      <c r="G5362" t="s">
        <v>86</v>
      </c>
      <c r="H5362" t="s">
        <v>93</v>
      </c>
      <c r="I5362">
        <v>1</v>
      </c>
      <c r="K5362">
        <v>0</v>
      </c>
      <c r="L5362">
        <v>0</v>
      </c>
      <c r="M5362">
        <v>1</v>
      </c>
      <c r="N5362">
        <v>1</v>
      </c>
      <c r="O5362">
        <v>1</v>
      </c>
      <c r="P5362">
        <v>1</v>
      </c>
      <c r="Q5362">
        <v>1</v>
      </c>
      <c r="R5362">
        <v>1</v>
      </c>
      <c r="U5362">
        <v>1</v>
      </c>
      <c r="V5362">
        <v>0</v>
      </c>
      <c r="W5362">
        <v>1</v>
      </c>
      <c r="X5362">
        <v>1</v>
      </c>
      <c r="Y5362">
        <v>1</v>
      </c>
      <c r="Z5362">
        <v>1</v>
      </c>
      <c r="AA5362">
        <v>1</v>
      </c>
      <c r="AB5362">
        <v>1</v>
      </c>
    </row>
    <row r="5363" spans="1:49" x14ac:dyDescent="0.25">
      <c r="A5363" t="str">
        <f>"5359"</f>
        <v>5359</v>
      </c>
      <c r="B5363" t="str">
        <f t="shared" si="310"/>
        <v>1</v>
      </c>
      <c r="C5363" t="str">
        <f t="shared" si="311"/>
        <v>236</v>
      </c>
      <c r="D5363" t="str">
        <f>"5"</f>
        <v>5</v>
      </c>
      <c r="E5363" t="str">
        <f>"1-236-5"</f>
        <v>1-236-5</v>
      </c>
      <c r="F5363" t="s">
        <v>83</v>
      </c>
      <c r="G5363" t="s">
        <v>86</v>
      </c>
      <c r="H5363" t="s">
        <v>87</v>
      </c>
      <c r="AC5363">
        <v>1</v>
      </c>
      <c r="AD5363">
        <v>0</v>
      </c>
      <c r="AE5363">
        <v>0</v>
      </c>
      <c r="AF5363">
        <v>0</v>
      </c>
      <c r="AH5363">
        <v>1</v>
      </c>
      <c r="AI5363">
        <v>0</v>
      </c>
      <c r="AJ5363">
        <v>1</v>
      </c>
      <c r="AK5363">
        <v>0</v>
      </c>
      <c r="AL5363">
        <v>1</v>
      </c>
      <c r="AM5363">
        <v>0</v>
      </c>
      <c r="AN5363">
        <v>0</v>
      </c>
      <c r="AO5363">
        <v>0</v>
      </c>
      <c r="AP5363">
        <v>0</v>
      </c>
      <c r="AQ5363">
        <v>0</v>
      </c>
      <c r="AU5363">
        <v>1</v>
      </c>
      <c r="AV5363">
        <v>0</v>
      </c>
      <c r="AW5363">
        <v>0</v>
      </c>
    </row>
    <row r="5364" spans="1:49" x14ac:dyDescent="0.25">
      <c r="A5364" t="str">
        <f>"5360"</f>
        <v>5360</v>
      </c>
      <c r="B5364" t="str">
        <f t="shared" si="310"/>
        <v>1</v>
      </c>
      <c r="C5364" t="str">
        <f t="shared" si="311"/>
        <v>236</v>
      </c>
      <c r="D5364" t="str">
        <f>"7"</f>
        <v>7</v>
      </c>
      <c r="E5364" t="str">
        <f>"1-236-7"</f>
        <v>1-236-7</v>
      </c>
      <c r="F5364" t="s">
        <v>83</v>
      </c>
      <c r="G5364" t="s">
        <v>86</v>
      </c>
      <c r="H5364" t="s">
        <v>87</v>
      </c>
      <c r="AC5364">
        <v>1</v>
      </c>
      <c r="AD5364">
        <v>0</v>
      </c>
      <c r="AE5364">
        <v>0</v>
      </c>
      <c r="AF5364">
        <v>0</v>
      </c>
      <c r="AH5364">
        <v>1</v>
      </c>
      <c r="AI5364">
        <v>0</v>
      </c>
      <c r="AJ5364">
        <v>0</v>
      </c>
      <c r="AK5364">
        <v>0</v>
      </c>
      <c r="AL5364">
        <v>0</v>
      </c>
      <c r="AM5364">
        <v>1</v>
      </c>
      <c r="AN5364">
        <v>0</v>
      </c>
      <c r="AO5364">
        <v>1</v>
      </c>
      <c r="AP5364">
        <v>1</v>
      </c>
      <c r="AQ5364">
        <v>1</v>
      </c>
      <c r="AU5364">
        <v>1</v>
      </c>
      <c r="AV5364">
        <v>1</v>
      </c>
      <c r="AW5364">
        <v>1</v>
      </c>
    </row>
    <row r="5365" spans="1:49" x14ac:dyDescent="0.25">
      <c r="A5365" t="str">
        <f>"5361"</f>
        <v>5361</v>
      </c>
      <c r="B5365" t="str">
        <f t="shared" si="310"/>
        <v>1</v>
      </c>
      <c r="C5365" t="str">
        <f t="shared" si="311"/>
        <v>236</v>
      </c>
      <c r="D5365" t="str">
        <f>"2"</f>
        <v>2</v>
      </c>
      <c r="E5365" t="str">
        <f>"1-236-2"</f>
        <v>1-236-2</v>
      </c>
      <c r="F5365" t="s">
        <v>83</v>
      </c>
      <c r="G5365" t="s">
        <v>86</v>
      </c>
      <c r="H5365" t="s">
        <v>87</v>
      </c>
      <c r="AC5365">
        <v>0</v>
      </c>
      <c r="AD5365">
        <v>1</v>
      </c>
      <c r="AE5365">
        <v>0</v>
      </c>
      <c r="AF5365">
        <v>0</v>
      </c>
      <c r="AH5365">
        <v>0</v>
      </c>
      <c r="AI5365">
        <v>1</v>
      </c>
      <c r="AJ5365">
        <v>0</v>
      </c>
      <c r="AK5365">
        <v>1</v>
      </c>
      <c r="AL5365">
        <v>0</v>
      </c>
      <c r="AM5365">
        <v>0</v>
      </c>
      <c r="AN5365">
        <v>1</v>
      </c>
      <c r="AO5365">
        <v>0</v>
      </c>
      <c r="AP5365">
        <v>0</v>
      </c>
      <c r="AQ5365">
        <v>0</v>
      </c>
      <c r="AU5365">
        <v>1</v>
      </c>
      <c r="AV5365">
        <v>0</v>
      </c>
      <c r="AW5365">
        <v>0</v>
      </c>
    </row>
    <row r="5366" spans="1:49" x14ac:dyDescent="0.25">
      <c r="A5366" t="str">
        <f>"5362"</f>
        <v>5362</v>
      </c>
      <c r="B5366" t="str">
        <f t="shared" si="310"/>
        <v>1</v>
      </c>
      <c r="C5366" t="str">
        <f t="shared" ref="C5366:C5390" si="312">"237"</f>
        <v>237</v>
      </c>
      <c r="D5366" t="str">
        <f>"25"</f>
        <v>25</v>
      </c>
      <c r="E5366" t="str">
        <f>"1-237-25"</f>
        <v>1-237-25</v>
      </c>
      <c r="F5366" t="s">
        <v>83</v>
      </c>
      <c r="G5366" t="s">
        <v>86</v>
      </c>
      <c r="H5366" t="s">
        <v>93</v>
      </c>
      <c r="I5366">
        <v>1</v>
      </c>
      <c r="K5366">
        <v>0</v>
      </c>
      <c r="L5366">
        <v>0</v>
      </c>
      <c r="M5366">
        <v>1</v>
      </c>
      <c r="N5366">
        <v>1</v>
      </c>
      <c r="O5366">
        <v>1</v>
      </c>
      <c r="P5366">
        <v>1</v>
      </c>
      <c r="Q5366">
        <v>1</v>
      </c>
      <c r="R5366">
        <v>1</v>
      </c>
      <c r="U5366">
        <v>0</v>
      </c>
      <c r="V5366">
        <v>1</v>
      </c>
      <c r="W5366">
        <v>1</v>
      </c>
      <c r="X5366">
        <v>1</v>
      </c>
      <c r="Y5366">
        <v>1</v>
      </c>
      <c r="Z5366">
        <v>1</v>
      </c>
      <c r="AA5366">
        <v>1</v>
      </c>
      <c r="AB5366">
        <v>1</v>
      </c>
    </row>
    <row r="5367" spans="1:49" x14ac:dyDescent="0.25">
      <c r="A5367" t="str">
        <f>"5363"</f>
        <v>5363</v>
      </c>
      <c r="B5367" t="str">
        <f t="shared" si="310"/>
        <v>1</v>
      </c>
      <c r="C5367" t="str">
        <f t="shared" si="312"/>
        <v>237</v>
      </c>
      <c r="D5367" t="str">
        <f>"24"</f>
        <v>24</v>
      </c>
      <c r="E5367" t="str">
        <f>"1-237-24"</f>
        <v>1-237-24</v>
      </c>
      <c r="F5367" t="s">
        <v>83</v>
      </c>
      <c r="G5367" t="s">
        <v>86</v>
      </c>
      <c r="H5367" t="s">
        <v>93</v>
      </c>
      <c r="I5367">
        <v>1</v>
      </c>
      <c r="K5367">
        <v>0</v>
      </c>
      <c r="L5367">
        <v>0</v>
      </c>
      <c r="M5367">
        <v>1</v>
      </c>
      <c r="N5367">
        <v>1</v>
      </c>
      <c r="O5367">
        <v>1</v>
      </c>
      <c r="P5367">
        <v>1</v>
      </c>
      <c r="Q5367">
        <v>1</v>
      </c>
      <c r="R5367">
        <v>1</v>
      </c>
      <c r="U5367">
        <v>0</v>
      </c>
      <c r="V5367">
        <v>1</v>
      </c>
      <c r="W5367">
        <v>1</v>
      </c>
      <c r="X5367">
        <v>1</v>
      </c>
      <c r="Y5367">
        <v>1</v>
      </c>
      <c r="Z5367">
        <v>1</v>
      </c>
      <c r="AA5367">
        <v>1</v>
      </c>
      <c r="AB5367">
        <v>1</v>
      </c>
    </row>
    <row r="5368" spans="1:49" x14ac:dyDescent="0.25">
      <c r="A5368" t="str">
        <f>"5364"</f>
        <v>5364</v>
      </c>
      <c r="B5368" t="str">
        <f t="shared" si="310"/>
        <v>1</v>
      </c>
      <c r="C5368" t="str">
        <f t="shared" si="312"/>
        <v>237</v>
      </c>
      <c r="D5368" t="str">
        <f>"16"</f>
        <v>16</v>
      </c>
      <c r="E5368" t="str">
        <f>"1-237-16"</f>
        <v>1-237-16</v>
      </c>
      <c r="F5368" t="s">
        <v>83</v>
      </c>
      <c r="G5368" t="s">
        <v>86</v>
      </c>
      <c r="H5368" t="s">
        <v>87</v>
      </c>
      <c r="AC5368">
        <v>0</v>
      </c>
      <c r="AD5368">
        <v>1</v>
      </c>
      <c r="AE5368">
        <v>0</v>
      </c>
      <c r="AF5368">
        <v>0</v>
      </c>
      <c r="AH5368">
        <v>1</v>
      </c>
      <c r="AI5368">
        <v>0</v>
      </c>
      <c r="AJ5368">
        <v>0</v>
      </c>
      <c r="AK5368">
        <v>1</v>
      </c>
      <c r="AL5368">
        <v>0</v>
      </c>
      <c r="AM5368">
        <v>1</v>
      </c>
      <c r="AN5368">
        <v>0</v>
      </c>
      <c r="AO5368">
        <v>1</v>
      </c>
      <c r="AP5368">
        <v>1</v>
      </c>
      <c r="AQ5368">
        <v>1</v>
      </c>
      <c r="AU5368">
        <v>1</v>
      </c>
      <c r="AV5368">
        <v>1</v>
      </c>
      <c r="AW5368">
        <v>1</v>
      </c>
    </row>
    <row r="5369" spans="1:49" x14ac:dyDescent="0.25">
      <c r="A5369" t="str">
        <f>"5365"</f>
        <v>5365</v>
      </c>
      <c r="B5369" t="str">
        <f t="shared" si="310"/>
        <v>1</v>
      </c>
      <c r="C5369" t="str">
        <f t="shared" si="312"/>
        <v>237</v>
      </c>
      <c r="D5369" t="str">
        <f>"8"</f>
        <v>8</v>
      </c>
      <c r="E5369" t="str">
        <f>"1-237-8"</f>
        <v>1-237-8</v>
      </c>
      <c r="F5369" t="s">
        <v>83</v>
      </c>
      <c r="G5369" t="s">
        <v>86</v>
      </c>
      <c r="H5369" t="s">
        <v>87</v>
      </c>
      <c r="AC5369">
        <v>1</v>
      </c>
      <c r="AD5369">
        <v>0</v>
      </c>
      <c r="AE5369">
        <v>0</v>
      </c>
      <c r="AF5369">
        <v>0</v>
      </c>
      <c r="AH5369">
        <v>0</v>
      </c>
      <c r="AI5369">
        <v>1</v>
      </c>
      <c r="AJ5369">
        <v>1</v>
      </c>
      <c r="AK5369">
        <v>0</v>
      </c>
      <c r="AL5369">
        <v>1</v>
      </c>
      <c r="AM5369">
        <v>0</v>
      </c>
      <c r="AN5369">
        <v>0</v>
      </c>
      <c r="AO5369">
        <v>1</v>
      </c>
      <c r="AP5369">
        <v>1</v>
      </c>
      <c r="AQ5369">
        <v>1</v>
      </c>
      <c r="AU5369">
        <v>1</v>
      </c>
      <c r="AV5369">
        <v>1</v>
      </c>
      <c r="AW5369">
        <v>1</v>
      </c>
    </row>
    <row r="5370" spans="1:49" x14ac:dyDescent="0.25">
      <c r="A5370" t="str">
        <f>"5366"</f>
        <v>5366</v>
      </c>
      <c r="B5370" t="str">
        <f t="shared" si="310"/>
        <v>1</v>
      </c>
      <c r="C5370" t="str">
        <f t="shared" si="312"/>
        <v>237</v>
      </c>
      <c r="D5370" t="str">
        <f>"5"</f>
        <v>5</v>
      </c>
      <c r="E5370" t="str">
        <f>"1-237-5"</f>
        <v>1-237-5</v>
      </c>
      <c r="F5370" t="s">
        <v>83</v>
      </c>
      <c r="G5370" t="s">
        <v>86</v>
      </c>
      <c r="H5370" t="s">
        <v>87</v>
      </c>
      <c r="AC5370">
        <v>1</v>
      </c>
      <c r="AD5370">
        <v>0</v>
      </c>
      <c r="AE5370">
        <v>0</v>
      </c>
      <c r="AF5370">
        <v>0</v>
      </c>
      <c r="AH5370">
        <v>1</v>
      </c>
      <c r="AI5370">
        <v>0</v>
      </c>
      <c r="AJ5370">
        <v>1</v>
      </c>
      <c r="AK5370">
        <v>0</v>
      </c>
      <c r="AL5370">
        <v>1</v>
      </c>
      <c r="AM5370">
        <v>0</v>
      </c>
      <c r="AN5370">
        <v>0</v>
      </c>
      <c r="AO5370">
        <v>1</v>
      </c>
      <c r="AP5370">
        <v>1</v>
      </c>
      <c r="AQ5370">
        <v>1</v>
      </c>
      <c r="AU5370">
        <v>1</v>
      </c>
      <c r="AV5370">
        <v>1</v>
      </c>
      <c r="AW5370">
        <v>1</v>
      </c>
    </row>
    <row r="5371" spans="1:49" x14ac:dyDescent="0.25">
      <c r="A5371" t="str">
        <f>"5367"</f>
        <v>5367</v>
      </c>
      <c r="B5371" t="str">
        <f t="shared" si="310"/>
        <v>1</v>
      </c>
      <c r="C5371" t="str">
        <f t="shared" si="312"/>
        <v>237</v>
      </c>
      <c r="D5371" t="str">
        <f>"23"</f>
        <v>23</v>
      </c>
      <c r="E5371" t="str">
        <f>"1-237-23"</f>
        <v>1-237-23</v>
      </c>
      <c r="F5371" t="s">
        <v>83</v>
      </c>
      <c r="G5371" t="s">
        <v>86</v>
      </c>
      <c r="H5371" t="s">
        <v>87</v>
      </c>
      <c r="AC5371">
        <v>1</v>
      </c>
      <c r="AD5371">
        <v>0</v>
      </c>
      <c r="AE5371">
        <v>0</v>
      </c>
      <c r="AF5371">
        <v>0</v>
      </c>
      <c r="AH5371">
        <v>1</v>
      </c>
      <c r="AI5371">
        <v>0</v>
      </c>
      <c r="AJ5371">
        <v>0</v>
      </c>
      <c r="AK5371">
        <v>1</v>
      </c>
      <c r="AL5371">
        <v>0</v>
      </c>
      <c r="AM5371">
        <v>0</v>
      </c>
      <c r="AN5371">
        <v>1</v>
      </c>
      <c r="AO5371">
        <v>0</v>
      </c>
      <c r="AP5371">
        <v>0</v>
      </c>
      <c r="AQ5371">
        <v>0</v>
      </c>
      <c r="AU5371">
        <v>0</v>
      </c>
      <c r="AV5371">
        <v>0</v>
      </c>
      <c r="AW5371">
        <v>0</v>
      </c>
    </row>
    <row r="5372" spans="1:49" x14ac:dyDescent="0.25">
      <c r="A5372" t="str">
        <f>"5368"</f>
        <v>5368</v>
      </c>
      <c r="B5372" t="str">
        <f t="shared" si="310"/>
        <v>1</v>
      </c>
      <c r="C5372" t="str">
        <f t="shared" si="312"/>
        <v>237</v>
      </c>
      <c r="D5372" t="str">
        <f>"22"</f>
        <v>22</v>
      </c>
      <c r="E5372" t="str">
        <f>"1-237-22"</f>
        <v>1-237-22</v>
      </c>
      <c r="F5372" t="s">
        <v>83</v>
      </c>
      <c r="G5372" t="s">
        <v>86</v>
      </c>
      <c r="H5372" t="s">
        <v>87</v>
      </c>
      <c r="AC5372">
        <v>1</v>
      </c>
      <c r="AD5372">
        <v>0</v>
      </c>
      <c r="AE5372">
        <v>0</v>
      </c>
      <c r="AF5372">
        <v>0</v>
      </c>
      <c r="AH5372">
        <v>1</v>
      </c>
      <c r="AI5372">
        <v>0</v>
      </c>
      <c r="AJ5372">
        <v>0</v>
      </c>
      <c r="AK5372">
        <v>1</v>
      </c>
      <c r="AL5372">
        <v>0</v>
      </c>
      <c r="AM5372">
        <v>0</v>
      </c>
      <c r="AN5372">
        <v>1</v>
      </c>
      <c r="AO5372">
        <v>1</v>
      </c>
      <c r="AP5372">
        <v>1</v>
      </c>
      <c r="AQ5372">
        <v>1</v>
      </c>
      <c r="AU5372">
        <v>1</v>
      </c>
      <c r="AV5372">
        <v>1</v>
      </c>
      <c r="AW5372">
        <v>1</v>
      </c>
    </row>
    <row r="5373" spans="1:49" x14ac:dyDescent="0.25">
      <c r="A5373" t="str">
        <f>"5369"</f>
        <v>5369</v>
      </c>
      <c r="B5373" t="str">
        <f t="shared" si="310"/>
        <v>1</v>
      </c>
      <c r="C5373" t="str">
        <f t="shared" si="312"/>
        <v>237</v>
      </c>
      <c r="D5373" t="str">
        <f>"15"</f>
        <v>15</v>
      </c>
      <c r="E5373" t="str">
        <f>"1-237-15"</f>
        <v>1-237-15</v>
      </c>
      <c r="F5373" t="s">
        <v>83</v>
      </c>
      <c r="G5373" t="s">
        <v>86</v>
      </c>
      <c r="H5373" t="s">
        <v>87</v>
      </c>
      <c r="AC5373">
        <v>1</v>
      </c>
      <c r="AD5373">
        <v>0</v>
      </c>
      <c r="AE5373">
        <v>0</v>
      </c>
      <c r="AF5373">
        <v>0</v>
      </c>
      <c r="AH5373">
        <v>0</v>
      </c>
      <c r="AI5373">
        <v>1</v>
      </c>
      <c r="AJ5373">
        <v>0</v>
      </c>
      <c r="AK5373">
        <v>0</v>
      </c>
      <c r="AL5373">
        <v>0</v>
      </c>
      <c r="AM5373">
        <v>0</v>
      </c>
      <c r="AN5373">
        <v>0</v>
      </c>
      <c r="AO5373">
        <v>1</v>
      </c>
      <c r="AP5373">
        <v>1</v>
      </c>
      <c r="AQ5373">
        <v>1</v>
      </c>
      <c r="AU5373">
        <v>1</v>
      </c>
      <c r="AV5373">
        <v>1</v>
      </c>
      <c r="AW5373">
        <v>1</v>
      </c>
    </row>
    <row r="5374" spans="1:49" x14ac:dyDescent="0.25">
      <c r="A5374" t="str">
        <f>"5370"</f>
        <v>5370</v>
      </c>
      <c r="B5374" t="str">
        <f t="shared" si="310"/>
        <v>1</v>
      </c>
      <c r="C5374" t="str">
        <f t="shared" si="312"/>
        <v>237</v>
      </c>
      <c r="D5374" t="str">
        <f>"9"</f>
        <v>9</v>
      </c>
      <c r="E5374" t="str">
        <f>"1-237-9"</f>
        <v>1-237-9</v>
      </c>
      <c r="F5374" t="s">
        <v>83</v>
      </c>
      <c r="G5374" t="s">
        <v>86</v>
      </c>
      <c r="H5374" t="s">
        <v>87</v>
      </c>
      <c r="AC5374">
        <v>0</v>
      </c>
      <c r="AD5374">
        <v>1</v>
      </c>
      <c r="AE5374">
        <v>0</v>
      </c>
      <c r="AF5374">
        <v>0</v>
      </c>
      <c r="AH5374">
        <v>0</v>
      </c>
      <c r="AI5374">
        <v>1</v>
      </c>
      <c r="AJ5374">
        <v>0</v>
      </c>
      <c r="AK5374">
        <v>1</v>
      </c>
      <c r="AL5374">
        <v>1</v>
      </c>
      <c r="AM5374">
        <v>0</v>
      </c>
      <c r="AN5374">
        <v>0</v>
      </c>
      <c r="AO5374">
        <v>0</v>
      </c>
      <c r="AP5374">
        <v>0</v>
      </c>
      <c r="AQ5374">
        <v>0</v>
      </c>
      <c r="AU5374">
        <v>0</v>
      </c>
      <c r="AV5374">
        <v>0</v>
      </c>
      <c r="AW5374">
        <v>0</v>
      </c>
    </row>
    <row r="5375" spans="1:49" x14ac:dyDescent="0.25">
      <c r="A5375" t="str">
        <f>"5371"</f>
        <v>5371</v>
      </c>
      <c r="B5375" t="str">
        <f t="shared" si="310"/>
        <v>1</v>
      </c>
      <c r="C5375" t="str">
        <f t="shared" si="312"/>
        <v>237</v>
      </c>
      <c r="D5375" t="str">
        <f>"4"</f>
        <v>4</v>
      </c>
      <c r="E5375" t="str">
        <f>"1-237-4"</f>
        <v>1-237-4</v>
      </c>
      <c r="F5375" t="s">
        <v>83</v>
      </c>
      <c r="G5375" t="s">
        <v>86</v>
      </c>
      <c r="H5375" t="s">
        <v>93</v>
      </c>
      <c r="I5375">
        <v>1</v>
      </c>
      <c r="K5375">
        <v>0</v>
      </c>
      <c r="L5375">
        <v>0</v>
      </c>
      <c r="M5375">
        <v>1</v>
      </c>
      <c r="N5375">
        <v>1</v>
      </c>
      <c r="O5375">
        <v>0</v>
      </c>
      <c r="P5375">
        <v>1</v>
      </c>
      <c r="Q5375">
        <v>1</v>
      </c>
      <c r="R5375">
        <v>1</v>
      </c>
      <c r="U5375">
        <v>0</v>
      </c>
      <c r="V5375">
        <v>1</v>
      </c>
      <c r="W5375">
        <v>1</v>
      </c>
      <c r="X5375">
        <v>1</v>
      </c>
      <c r="Y5375">
        <v>1</v>
      </c>
      <c r="Z5375">
        <v>1</v>
      </c>
      <c r="AA5375">
        <v>1</v>
      </c>
      <c r="AB5375">
        <v>1</v>
      </c>
    </row>
    <row r="5376" spans="1:49" x14ac:dyDescent="0.25">
      <c r="A5376" t="str">
        <f>"5372"</f>
        <v>5372</v>
      </c>
      <c r="B5376" t="str">
        <f t="shared" si="310"/>
        <v>1</v>
      </c>
      <c r="C5376" t="str">
        <f t="shared" si="312"/>
        <v>237</v>
      </c>
      <c r="D5376" t="str">
        <f>"17"</f>
        <v>17</v>
      </c>
      <c r="E5376" t="str">
        <f>"1-237-17"</f>
        <v>1-237-17</v>
      </c>
      <c r="F5376" t="s">
        <v>83</v>
      </c>
      <c r="G5376" t="s">
        <v>86</v>
      </c>
      <c r="H5376" t="s">
        <v>93</v>
      </c>
      <c r="I5376">
        <v>0</v>
      </c>
      <c r="K5376">
        <v>0</v>
      </c>
      <c r="L5376">
        <v>0</v>
      </c>
      <c r="M5376">
        <v>1</v>
      </c>
      <c r="N5376">
        <v>0</v>
      </c>
      <c r="O5376">
        <v>0</v>
      </c>
      <c r="P5376">
        <v>0</v>
      </c>
      <c r="Q5376">
        <v>0</v>
      </c>
      <c r="R5376">
        <v>0</v>
      </c>
      <c r="U5376">
        <v>0</v>
      </c>
      <c r="V5376">
        <v>0</v>
      </c>
      <c r="W5376">
        <v>0</v>
      </c>
      <c r="X5376">
        <v>0</v>
      </c>
      <c r="Y5376">
        <v>0</v>
      </c>
      <c r="Z5376">
        <v>0</v>
      </c>
      <c r="AA5376">
        <v>0</v>
      </c>
      <c r="AB5376">
        <v>0</v>
      </c>
    </row>
    <row r="5377" spans="1:49" x14ac:dyDescent="0.25">
      <c r="A5377" t="str">
        <f>"5373"</f>
        <v>5373</v>
      </c>
      <c r="B5377" t="str">
        <f t="shared" si="310"/>
        <v>1</v>
      </c>
      <c r="C5377" t="str">
        <f t="shared" si="312"/>
        <v>237</v>
      </c>
      <c r="D5377" t="str">
        <f>"10"</f>
        <v>10</v>
      </c>
      <c r="E5377" t="str">
        <f>"1-237-10"</f>
        <v>1-237-10</v>
      </c>
      <c r="F5377" t="s">
        <v>83</v>
      </c>
      <c r="G5377" t="s">
        <v>86</v>
      </c>
      <c r="H5377" t="s">
        <v>87</v>
      </c>
      <c r="AC5377">
        <v>0</v>
      </c>
      <c r="AD5377">
        <v>1</v>
      </c>
      <c r="AE5377">
        <v>0</v>
      </c>
      <c r="AF5377">
        <v>0</v>
      </c>
      <c r="AH5377">
        <v>0</v>
      </c>
      <c r="AI5377">
        <v>1</v>
      </c>
      <c r="AJ5377">
        <v>0</v>
      </c>
      <c r="AK5377">
        <v>0</v>
      </c>
      <c r="AL5377">
        <v>0</v>
      </c>
      <c r="AM5377">
        <v>0</v>
      </c>
      <c r="AN5377">
        <v>0</v>
      </c>
      <c r="AO5377">
        <v>0</v>
      </c>
      <c r="AP5377">
        <v>0</v>
      </c>
      <c r="AQ5377">
        <v>0</v>
      </c>
      <c r="AU5377">
        <v>0</v>
      </c>
      <c r="AV5377">
        <v>0</v>
      </c>
      <c r="AW5377">
        <v>0</v>
      </c>
    </row>
    <row r="5378" spans="1:49" x14ac:dyDescent="0.25">
      <c r="A5378" t="str">
        <f>"5374"</f>
        <v>5374</v>
      </c>
      <c r="B5378" t="str">
        <f t="shared" si="310"/>
        <v>1</v>
      </c>
      <c r="C5378" t="str">
        <f t="shared" si="312"/>
        <v>237</v>
      </c>
      <c r="D5378" t="str">
        <f>"1"</f>
        <v>1</v>
      </c>
      <c r="E5378" t="str">
        <f>"1-237-1"</f>
        <v>1-237-1</v>
      </c>
      <c r="F5378" t="s">
        <v>83</v>
      </c>
      <c r="G5378" t="s">
        <v>86</v>
      </c>
      <c r="H5378" t="s">
        <v>87</v>
      </c>
      <c r="AC5378">
        <v>0</v>
      </c>
      <c r="AD5378">
        <v>0</v>
      </c>
      <c r="AE5378">
        <v>0</v>
      </c>
      <c r="AF5378">
        <v>0</v>
      </c>
      <c r="AH5378">
        <v>0</v>
      </c>
      <c r="AI5378">
        <v>1</v>
      </c>
      <c r="AJ5378">
        <v>0</v>
      </c>
      <c r="AK5378">
        <v>0</v>
      </c>
      <c r="AL5378">
        <v>0</v>
      </c>
      <c r="AM5378">
        <v>0</v>
      </c>
      <c r="AN5378">
        <v>0</v>
      </c>
      <c r="AO5378">
        <v>0</v>
      </c>
      <c r="AP5378">
        <v>0</v>
      </c>
      <c r="AQ5378">
        <v>0</v>
      </c>
      <c r="AU5378">
        <v>0</v>
      </c>
      <c r="AV5378">
        <v>0</v>
      </c>
      <c r="AW5378">
        <v>0</v>
      </c>
    </row>
    <row r="5379" spans="1:49" x14ac:dyDescent="0.25">
      <c r="A5379" t="str">
        <f>"5375"</f>
        <v>5375</v>
      </c>
      <c r="B5379" t="str">
        <f t="shared" si="310"/>
        <v>1</v>
      </c>
      <c r="C5379" t="str">
        <f t="shared" si="312"/>
        <v>237</v>
      </c>
      <c r="D5379" t="str">
        <f>"18"</f>
        <v>18</v>
      </c>
      <c r="E5379" t="str">
        <f>"1-237-18"</f>
        <v>1-237-18</v>
      </c>
      <c r="F5379" t="s">
        <v>83</v>
      </c>
      <c r="G5379" t="s">
        <v>86</v>
      </c>
      <c r="H5379" t="s">
        <v>87</v>
      </c>
      <c r="AC5379">
        <v>0</v>
      </c>
      <c r="AD5379">
        <v>1</v>
      </c>
      <c r="AE5379">
        <v>0</v>
      </c>
      <c r="AF5379">
        <v>0</v>
      </c>
      <c r="AH5379">
        <v>0</v>
      </c>
      <c r="AI5379">
        <v>1</v>
      </c>
      <c r="AJ5379">
        <v>0</v>
      </c>
      <c r="AK5379">
        <v>1</v>
      </c>
      <c r="AL5379">
        <v>0</v>
      </c>
      <c r="AM5379">
        <v>0</v>
      </c>
      <c r="AN5379">
        <v>0</v>
      </c>
      <c r="AO5379">
        <v>0</v>
      </c>
      <c r="AP5379">
        <v>0</v>
      </c>
      <c r="AQ5379">
        <v>0</v>
      </c>
      <c r="AU5379">
        <v>0</v>
      </c>
      <c r="AV5379">
        <v>0</v>
      </c>
      <c r="AW5379">
        <v>0</v>
      </c>
    </row>
    <row r="5380" spans="1:49" x14ac:dyDescent="0.25">
      <c r="A5380" t="str">
        <f>"5376"</f>
        <v>5376</v>
      </c>
      <c r="B5380" t="str">
        <f t="shared" si="310"/>
        <v>1</v>
      </c>
      <c r="C5380" t="str">
        <f t="shared" si="312"/>
        <v>237</v>
      </c>
      <c r="D5380" t="str">
        <f>"11"</f>
        <v>11</v>
      </c>
      <c r="E5380" t="str">
        <f>"1-237-11"</f>
        <v>1-237-11</v>
      </c>
      <c r="F5380" t="s">
        <v>83</v>
      </c>
      <c r="G5380" t="s">
        <v>86</v>
      </c>
      <c r="H5380" t="s">
        <v>87</v>
      </c>
      <c r="AC5380">
        <v>0</v>
      </c>
      <c r="AD5380">
        <v>0</v>
      </c>
      <c r="AE5380">
        <v>0</v>
      </c>
      <c r="AF5380">
        <v>0</v>
      </c>
      <c r="AH5380">
        <v>0</v>
      </c>
      <c r="AI5380">
        <v>1</v>
      </c>
      <c r="AJ5380">
        <v>0</v>
      </c>
      <c r="AK5380">
        <v>0</v>
      </c>
      <c r="AL5380">
        <v>0</v>
      </c>
      <c r="AM5380">
        <v>0</v>
      </c>
      <c r="AN5380">
        <v>0</v>
      </c>
      <c r="AO5380">
        <v>0</v>
      </c>
      <c r="AP5380">
        <v>0</v>
      </c>
      <c r="AQ5380">
        <v>0</v>
      </c>
      <c r="AU5380">
        <v>0</v>
      </c>
      <c r="AV5380">
        <v>0</v>
      </c>
      <c r="AW5380">
        <v>0</v>
      </c>
    </row>
    <row r="5381" spans="1:49" x14ac:dyDescent="0.25">
      <c r="A5381" t="str">
        <f>"5377"</f>
        <v>5377</v>
      </c>
      <c r="B5381" t="str">
        <f t="shared" si="310"/>
        <v>1</v>
      </c>
      <c r="C5381" t="str">
        <f t="shared" si="312"/>
        <v>237</v>
      </c>
      <c r="D5381" t="str">
        <f>"6"</f>
        <v>6</v>
      </c>
      <c r="E5381" t="str">
        <f>"1-237-6"</f>
        <v>1-237-6</v>
      </c>
      <c r="F5381" t="s">
        <v>83</v>
      </c>
      <c r="G5381" t="s">
        <v>86</v>
      </c>
      <c r="H5381" t="s">
        <v>87</v>
      </c>
      <c r="AC5381">
        <v>0</v>
      </c>
      <c r="AD5381">
        <v>1</v>
      </c>
      <c r="AE5381">
        <v>0</v>
      </c>
      <c r="AF5381">
        <v>0</v>
      </c>
      <c r="AH5381">
        <v>0</v>
      </c>
      <c r="AI5381">
        <v>1</v>
      </c>
      <c r="AJ5381">
        <v>0</v>
      </c>
      <c r="AK5381">
        <v>1</v>
      </c>
      <c r="AL5381">
        <v>0</v>
      </c>
      <c r="AM5381">
        <v>1</v>
      </c>
      <c r="AN5381">
        <v>0</v>
      </c>
      <c r="AO5381">
        <v>0</v>
      </c>
      <c r="AP5381">
        <v>0</v>
      </c>
      <c r="AQ5381">
        <v>0</v>
      </c>
      <c r="AU5381">
        <v>0</v>
      </c>
      <c r="AV5381">
        <v>0</v>
      </c>
      <c r="AW5381">
        <v>0</v>
      </c>
    </row>
    <row r="5382" spans="1:49" x14ac:dyDescent="0.25">
      <c r="A5382" t="str">
        <f>"5378"</f>
        <v>5378</v>
      </c>
      <c r="B5382" t="str">
        <f t="shared" si="310"/>
        <v>1</v>
      </c>
      <c r="C5382" t="str">
        <f t="shared" si="312"/>
        <v>237</v>
      </c>
      <c r="D5382" t="str">
        <f>"21"</f>
        <v>21</v>
      </c>
      <c r="E5382" t="str">
        <f>"1-237-21"</f>
        <v>1-237-21</v>
      </c>
      <c r="F5382" t="s">
        <v>83</v>
      </c>
      <c r="G5382" t="s">
        <v>86</v>
      </c>
      <c r="H5382" t="s">
        <v>93</v>
      </c>
      <c r="I5382">
        <v>1</v>
      </c>
      <c r="K5382">
        <v>0</v>
      </c>
      <c r="L5382">
        <v>0</v>
      </c>
      <c r="M5382">
        <v>1</v>
      </c>
      <c r="N5382">
        <v>1</v>
      </c>
      <c r="O5382">
        <v>1</v>
      </c>
      <c r="P5382">
        <v>1</v>
      </c>
      <c r="Q5382">
        <v>1</v>
      </c>
      <c r="R5382">
        <v>1</v>
      </c>
      <c r="U5382">
        <v>0</v>
      </c>
      <c r="V5382">
        <v>1</v>
      </c>
      <c r="W5382">
        <v>1</v>
      </c>
      <c r="X5382">
        <v>1</v>
      </c>
      <c r="Y5382">
        <v>1</v>
      </c>
      <c r="Z5382">
        <v>1</v>
      </c>
      <c r="AA5382">
        <v>1</v>
      </c>
      <c r="AB5382">
        <v>1</v>
      </c>
    </row>
    <row r="5383" spans="1:49" x14ac:dyDescent="0.25">
      <c r="A5383" t="str">
        <f>"5379"</f>
        <v>5379</v>
      </c>
      <c r="B5383" t="str">
        <f t="shared" si="310"/>
        <v>1</v>
      </c>
      <c r="C5383" t="str">
        <f t="shared" si="312"/>
        <v>237</v>
      </c>
      <c r="D5383" t="str">
        <f>"12"</f>
        <v>12</v>
      </c>
      <c r="E5383" t="str">
        <f>"1-237-12"</f>
        <v>1-237-12</v>
      </c>
      <c r="F5383" t="s">
        <v>83</v>
      </c>
      <c r="G5383" t="s">
        <v>86</v>
      </c>
      <c r="H5383" t="s">
        <v>87</v>
      </c>
      <c r="AC5383">
        <v>0</v>
      </c>
      <c r="AD5383">
        <v>1</v>
      </c>
      <c r="AE5383">
        <v>0</v>
      </c>
      <c r="AF5383">
        <v>0</v>
      </c>
      <c r="AH5383">
        <v>1</v>
      </c>
      <c r="AI5383">
        <v>0</v>
      </c>
      <c r="AJ5383">
        <v>0</v>
      </c>
      <c r="AK5383">
        <v>1</v>
      </c>
      <c r="AL5383">
        <v>1</v>
      </c>
      <c r="AM5383">
        <v>0</v>
      </c>
      <c r="AN5383">
        <v>0</v>
      </c>
      <c r="AO5383">
        <v>1</v>
      </c>
      <c r="AP5383">
        <v>1</v>
      </c>
      <c r="AQ5383">
        <v>1</v>
      </c>
      <c r="AU5383">
        <v>1</v>
      </c>
      <c r="AV5383">
        <v>1</v>
      </c>
      <c r="AW5383">
        <v>1</v>
      </c>
    </row>
    <row r="5384" spans="1:49" x14ac:dyDescent="0.25">
      <c r="A5384" t="str">
        <f>"5380"</f>
        <v>5380</v>
      </c>
      <c r="B5384" t="str">
        <f t="shared" si="310"/>
        <v>1</v>
      </c>
      <c r="C5384" t="str">
        <f t="shared" si="312"/>
        <v>237</v>
      </c>
      <c r="D5384" t="str">
        <f>"3"</f>
        <v>3</v>
      </c>
      <c r="E5384" t="str">
        <f>"1-237-3"</f>
        <v>1-237-3</v>
      </c>
      <c r="F5384" t="s">
        <v>83</v>
      </c>
      <c r="G5384" t="s">
        <v>86</v>
      </c>
      <c r="H5384" t="s">
        <v>93</v>
      </c>
      <c r="I5384">
        <v>1</v>
      </c>
      <c r="K5384">
        <v>0</v>
      </c>
      <c r="L5384">
        <v>0</v>
      </c>
      <c r="M5384">
        <v>1</v>
      </c>
      <c r="N5384">
        <v>1</v>
      </c>
      <c r="O5384">
        <v>1</v>
      </c>
      <c r="P5384">
        <v>1</v>
      </c>
      <c r="Q5384">
        <v>1</v>
      </c>
      <c r="R5384">
        <v>1</v>
      </c>
      <c r="U5384">
        <v>0</v>
      </c>
      <c r="V5384">
        <v>1</v>
      </c>
      <c r="W5384">
        <v>1</v>
      </c>
      <c r="X5384">
        <v>1</v>
      </c>
      <c r="Y5384">
        <v>1</v>
      </c>
      <c r="Z5384">
        <v>1</v>
      </c>
      <c r="AA5384">
        <v>1</v>
      </c>
      <c r="AB5384">
        <v>1</v>
      </c>
    </row>
    <row r="5385" spans="1:49" x14ac:dyDescent="0.25">
      <c r="A5385" t="str">
        <f>"5381"</f>
        <v>5381</v>
      </c>
      <c r="B5385" t="str">
        <f t="shared" si="310"/>
        <v>1</v>
      </c>
      <c r="C5385" t="str">
        <f t="shared" si="312"/>
        <v>237</v>
      </c>
      <c r="D5385" t="str">
        <f>"20"</f>
        <v>20</v>
      </c>
      <c r="E5385" t="str">
        <f>"1-237-20"</f>
        <v>1-237-20</v>
      </c>
      <c r="F5385" t="s">
        <v>83</v>
      </c>
      <c r="G5385" t="s">
        <v>86</v>
      </c>
      <c r="H5385" t="s">
        <v>93</v>
      </c>
      <c r="I5385">
        <v>1</v>
      </c>
      <c r="K5385">
        <v>0</v>
      </c>
      <c r="L5385">
        <v>1</v>
      </c>
      <c r="M5385">
        <v>0</v>
      </c>
      <c r="N5385">
        <v>1</v>
      </c>
      <c r="O5385">
        <v>1</v>
      </c>
      <c r="P5385">
        <v>1</v>
      </c>
      <c r="Q5385">
        <v>1</v>
      </c>
      <c r="R5385">
        <v>1</v>
      </c>
      <c r="U5385">
        <v>1</v>
      </c>
      <c r="V5385">
        <v>0</v>
      </c>
      <c r="W5385">
        <v>1</v>
      </c>
      <c r="X5385">
        <v>1</v>
      </c>
      <c r="Y5385">
        <v>1</v>
      </c>
      <c r="Z5385">
        <v>1</v>
      </c>
      <c r="AA5385">
        <v>1</v>
      </c>
      <c r="AB5385">
        <v>1</v>
      </c>
    </row>
    <row r="5386" spans="1:49" x14ac:dyDescent="0.25">
      <c r="A5386" t="str">
        <f>"5382"</f>
        <v>5382</v>
      </c>
      <c r="B5386" t="str">
        <f t="shared" si="310"/>
        <v>1</v>
      </c>
      <c r="C5386" t="str">
        <f t="shared" si="312"/>
        <v>237</v>
      </c>
      <c r="D5386" t="str">
        <f>"13"</f>
        <v>13</v>
      </c>
      <c r="E5386" t="str">
        <f>"1-237-13"</f>
        <v>1-237-13</v>
      </c>
      <c r="F5386" t="s">
        <v>83</v>
      </c>
      <c r="G5386" t="s">
        <v>86</v>
      </c>
      <c r="H5386" t="s">
        <v>87</v>
      </c>
      <c r="AC5386">
        <v>0</v>
      </c>
      <c r="AD5386">
        <v>1</v>
      </c>
      <c r="AE5386">
        <v>0</v>
      </c>
      <c r="AF5386">
        <v>0</v>
      </c>
      <c r="AH5386">
        <v>1</v>
      </c>
      <c r="AI5386">
        <v>0</v>
      </c>
      <c r="AJ5386">
        <v>0</v>
      </c>
      <c r="AK5386">
        <v>1</v>
      </c>
      <c r="AL5386">
        <v>0</v>
      </c>
      <c r="AM5386">
        <v>1</v>
      </c>
      <c r="AN5386">
        <v>0</v>
      </c>
      <c r="AO5386">
        <v>1</v>
      </c>
      <c r="AP5386">
        <v>1</v>
      </c>
      <c r="AQ5386">
        <v>1</v>
      </c>
      <c r="AU5386">
        <v>1</v>
      </c>
      <c r="AV5386">
        <v>1</v>
      </c>
      <c r="AW5386">
        <v>1</v>
      </c>
    </row>
    <row r="5387" spans="1:49" x14ac:dyDescent="0.25">
      <c r="A5387" t="str">
        <f>"5383"</f>
        <v>5383</v>
      </c>
      <c r="B5387" t="str">
        <f t="shared" si="310"/>
        <v>1</v>
      </c>
      <c r="C5387" t="str">
        <f t="shared" si="312"/>
        <v>237</v>
      </c>
      <c r="D5387" t="str">
        <f>"19"</f>
        <v>19</v>
      </c>
      <c r="E5387" t="str">
        <f>"1-237-19"</f>
        <v>1-237-19</v>
      </c>
      <c r="F5387" t="s">
        <v>83</v>
      </c>
      <c r="G5387" t="s">
        <v>86</v>
      </c>
      <c r="H5387" t="s">
        <v>93</v>
      </c>
      <c r="I5387">
        <v>1</v>
      </c>
      <c r="K5387">
        <v>0</v>
      </c>
      <c r="L5387">
        <v>0</v>
      </c>
      <c r="M5387">
        <v>1</v>
      </c>
      <c r="N5387">
        <v>1</v>
      </c>
      <c r="O5387">
        <v>1</v>
      </c>
      <c r="P5387">
        <v>1</v>
      </c>
      <c r="Q5387">
        <v>1</v>
      </c>
      <c r="R5387">
        <v>1</v>
      </c>
      <c r="U5387">
        <v>0</v>
      </c>
      <c r="V5387">
        <v>1</v>
      </c>
      <c r="W5387">
        <v>0</v>
      </c>
      <c r="X5387">
        <v>1</v>
      </c>
      <c r="Y5387">
        <v>1</v>
      </c>
      <c r="Z5387">
        <v>1</v>
      </c>
      <c r="AA5387">
        <v>1</v>
      </c>
      <c r="AB5387">
        <v>1</v>
      </c>
    </row>
    <row r="5388" spans="1:49" x14ac:dyDescent="0.25">
      <c r="A5388" t="str">
        <f>"5384"</f>
        <v>5384</v>
      </c>
      <c r="B5388" t="str">
        <f t="shared" si="310"/>
        <v>1</v>
      </c>
      <c r="C5388" t="str">
        <f t="shared" si="312"/>
        <v>237</v>
      </c>
      <c r="D5388" t="str">
        <f>"14"</f>
        <v>14</v>
      </c>
      <c r="E5388" t="str">
        <f>"1-237-14"</f>
        <v>1-237-14</v>
      </c>
      <c r="F5388" t="s">
        <v>83</v>
      </c>
      <c r="G5388" t="s">
        <v>86</v>
      </c>
      <c r="H5388" t="s">
        <v>87</v>
      </c>
      <c r="AC5388">
        <v>1</v>
      </c>
      <c r="AD5388">
        <v>0</v>
      </c>
      <c r="AE5388">
        <v>0</v>
      </c>
      <c r="AF5388">
        <v>0</v>
      </c>
      <c r="AH5388">
        <v>1</v>
      </c>
      <c r="AI5388">
        <v>0</v>
      </c>
      <c r="AJ5388">
        <v>1</v>
      </c>
      <c r="AK5388">
        <v>0</v>
      </c>
      <c r="AL5388">
        <v>1</v>
      </c>
      <c r="AM5388">
        <v>0</v>
      </c>
      <c r="AN5388">
        <v>0</v>
      </c>
      <c r="AO5388">
        <v>1</v>
      </c>
      <c r="AP5388">
        <v>1</v>
      </c>
      <c r="AQ5388">
        <v>1</v>
      </c>
      <c r="AU5388">
        <v>1</v>
      </c>
      <c r="AV5388">
        <v>1</v>
      </c>
      <c r="AW5388">
        <v>1</v>
      </c>
    </row>
    <row r="5389" spans="1:49" x14ac:dyDescent="0.25">
      <c r="A5389" t="str">
        <f>"5385"</f>
        <v>5385</v>
      </c>
      <c r="B5389" t="str">
        <f t="shared" si="310"/>
        <v>1</v>
      </c>
      <c r="C5389" t="str">
        <f t="shared" si="312"/>
        <v>237</v>
      </c>
      <c r="D5389" t="str">
        <f>"2"</f>
        <v>2</v>
      </c>
      <c r="E5389" t="str">
        <f>"1-237-2"</f>
        <v>1-237-2</v>
      </c>
      <c r="F5389" t="s">
        <v>83</v>
      </c>
      <c r="G5389" t="s">
        <v>86</v>
      </c>
      <c r="H5389" t="s">
        <v>93</v>
      </c>
      <c r="I5389">
        <v>1</v>
      </c>
      <c r="K5389">
        <v>0</v>
      </c>
      <c r="L5389">
        <v>0</v>
      </c>
      <c r="M5389">
        <v>1</v>
      </c>
      <c r="N5389">
        <v>1</v>
      </c>
      <c r="O5389">
        <v>1</v>
      </c>
      <c r="P5389">
        <v>1</v>
      </c>
      <c r="Q5389">
        <v>1</v>
      </c>
      <c r="R5389">
        <v>1</v>
      </c>
      <c r="U5389">
        <v>0</v>
      </c>
      <c r="V5389">
        <v>1</v>
      </c>
      <c r="W5389">
        <v>1</v>
      </c>
      <c r="X5389">
        <v>1</v>
      </c>
      <c r="Y5389">
        <v>1</v>
      </c>
      <c r="Z5389">
        <v>1</v>
      </c>
      <c r="AA5389">
        <v>1</v>
      </c>
      <c r="AB5389">
        <v>1</v>
      </c>
    </row>
    <row r="5390" spans="1:49" x14ac:dyDescent="0.25">
      <c r="A5390" t="str">
        <f>"5386"</f>
        <v>5386</v>
      </c>
      <c r="B5390" t="str">
        <f t="shared" si="310"/>
        <v>1</v>
      </c>
      <c r="C5390" t="str">
        <f t="shared" si="312"/>
        <v>237</v>
      </c>
      <c r="D5390" t="str">
        <f>"7"</f>
        <v>7</v>
      </c>
      <c r="E5390" t="str">
        <f>"1-237-7"</f>
        <v>1-237-7</v>
      </c>
      <c r="F5390" t="s">
        <v>83</v>
      </c>
      <c r="G5390" t="s">
        <v>86</v>
      </c>
      <c r="H5390" t="s">
        <v>93</v>
      </c>
      <c r="I5390">
        <v>1</v>
      </c>
      <c r="K5390">
        <v>0</v>
      </c>
      <c r="L5390">
        <v>0</v>
      </c>
      <c r="M5390">
        <v>1</v>
      </c>
      <c r="N5390">
        <v>1</v>
      </c>
      <c r="O5390">
        <v>1</v>
      </c>
      <c r="P5390">
        <v>1</v>
      </c>
      <c r="Q5390">
        <v>1</v>
      </c>
      <c r="R5390">
        <v>1</v>
      </c>
      <c r="U5390">
        <v>1</v>
      </c>
      <c r="V5390">
        <v>0</v>
      </c>
      <c r="W5390">
        <v>1</v>
      </c>
      <c r="X5390">
        <v>1</v>
      </c>
      <c r="Y5390">
        <v>1</v>
      </c>
      <c r="Z5390">
        <v>1</v>
      </c>
      <c r="AA5390">
        <v>1</v>
      </c>
      <c r="AB5390">
        <v>1</v>
      </c>
    </row>
    <row r="5391" spans="1:49" x14ac:dyDescent="0.25">
      <c r="A5391" t="str">
        <f>"5387"</f>
        <v>5387</v>
      </c>
      <c r="B5391" t="str">
        <f t="shared" si="310"/>
        <v>1</v>
      </c>
      <c r="C5391" t="str">
        <f t="shared" ref="C5391:C5412" si="313">"238"</f>
        <v>238</v>
      </c>
      <c r="D5391" t="str">
        <f>"16"</f>
        <v>16</v>
      </c>
      <c r="E5391" t="str">
        <f>"1-238-16"</f>
        <v>1-238-16</v>
      </c>
      <c r="F5391" t="s">
        <v>83</v>
      </c>
      <c r="G5391" t="s">
        <v>86</v>
      </c>
      <c r="H5391" t="s">
        <v>93</v>
      </c>
      <c r="I5391">
        <v>1</v>
      </c>
      <c r="K5391">
        <v>0</v>
      </c>
      <c r="L5391">
        <v>0</v>
      </c>
      <c r="M5391">
        <v>1</v>
      </c>
      <c r="N5391">
        <v>1</v>
      </c>
      <c r="O5391">
        <v>1</v>
      </c>
      <c r="P5391">
        <v>1</v>
      </c>
      <c r="Q5391">
        <v>1</v>
      </c>
      <c r="R5391">
        <v>1</v>
      </c>
      <c r="U5391">
        <v>0</v>
      </c>
      <c r="V5391">
        <v>1</v>
      </c>
      <c r="W5391">
        <v>1</v>
      </c>
      <c r="X5391">
        <v>1</v>
      </c>
      <c r="Y5391">
        <v>1</v>
      </c>
      <c r="Z5391">
        <v>1</v>
      </c>
      <c r="AA5391">
        <v>1</v>
      </c>
      <c r="AB5391">
        <v>1</v>
      </c>
    </row>
    <row r="5392" spans="1:49" x14ac:dyDescent="0.25">
      <c r="A5392" t="str">
        <f>"5388"</f>
        <v>5388</v>
      </c>
      <c r="B5392" t="str">
        <f t="shared" si="310"/>
        <v>1</v>
      </c>
      <c r="C5392" t="str">
        <f t="shared" si="313"/>
        <v>238</v>
      </c>
      <c r="D5392" t="str">
        <f>"8"</f>
        <v>8</v>
      </c>
      <c r="E5392" t="str">
        <f>"1-238-8"</f>
        <v>1-238-8</v>
      </c>
      <c r="F5392" t="s">
        <v>83</v>
      </c>
      <c r="G5392" t="s">
        <v>86</v>
      </c>
      <c r="H5392" t="s">
        <v>93</v>
      </c>
      <c r="I5392">
        <v>1</v>
      </c>
      <c r="K5392">
        <v>0</v>
      </c>
      <c r="L5392">
        <v>0</v>
      </c>
      <c r="M5392">
        <v>1</v>
      </c>
      <c r="N5392">
        <v>1</v>
      </c>
      <c r="O5392">
        <v>1</v>
      </c>
      <c r="P5392">
        <v>1</v>
      </c>
      <c r="Q5392">
        <v>1</v>
      </c>
      <c r="R5392">
        <v>1</v>
      </c>
      <c r="U5392">
        <v>0</v>
      </c>
      <c r="V5392">
        <v>1</v>
      </c>
      <c r="W5392">
        <v>1</v>
      </c>
      <c r="X5392">
        <v>1</v>
      </c>
      <c r="Y5392">
        <v>1</v>
      </c>
      <c r="Z5392">
        <v>1</v>
      </c>
      <c r="AA5392">
        <v>0</v>
      </c>
      <c r="AB5392">
        <v>0</v>
      </c>
    </row>
    <row r="5393" spans="1:49" x14ac:dyDescent="0.25">
      <c r="A5393" t="str">
        <f>"5389"</f>
        <v>5389</v>
      </c>
      <c r="B5393" t="str">
        <f t="shared" si="310"/>
        <v>1</v>
      </c>
      <c r="C5393" t="str">
        <f t="shared" si="313"/>
        <v>238</v>
      </c>
      <c r="D5393" t="str">
        <f>"4"</f>
        <v>4</v>
      </c>
      <c r="E5393" t="str">
        <f>"1-238-4"</f>
        <v>1-238-4</v>
      </c>
      <c r="F5393" t="s">
        <v>83</v>
      </c>
      <c r="G5393" t="s">
        <v>86</v>
      </c>
      <c r="H5393" t="s">
        <v>87</v>
      </c>
      <c r="AC5393">
        <v>0</v>
      </c>
      <c r="AD5393">
        <v>0</v>
      </c>
      <c r="AE5393">
        <v>0</v>
      </c>
      <c r="AF5393">
        <v>0</v>
      </c>
      <c r="AH5393">
        <v>0</v>
      </c>
      <c r="AI5393">
        <v>1</v>
      </c>
      <c r="AJ5393">
        <v>0</v>
      </c>
      <c r="AK5393">
        <v>1</v>
      </c>
      <c r="AL5393">
        <v>0</v>
      </c>
      <c r="AM5393">
        <v>0</v>
      </c>
      <c r="AN5393">
        <v>0</v>
      </c>
      <c r="AO5393">
        <v>0</v>
      </c>
      <c r="AP5393">
        <v>0</v>
      </c>
      <c r="AQ5393">
        <v>0</v>
      </c>
      <c r="AU5393">
        <v>0</v>
      </c>
      <c r="AV5393">
        <v>0</v>
      </c>
      <c r="AW5393">
        <v>0</v>
      </c>
    </row>
    <row r="5394" spans="1:49" x14ac:dyDescent="0.25">
      <c r="A5394" t="str">
        <f>"5390"</f>
        <v>5390</v>
      </c>
      <c r="B5394" t="str">
        <f t="shared" si="310"/>
        <v>1</v>
      </c>
      <c r="C5394" t="str">
        <f t="shared" si="313"/>
        <v>238</v>
      </c>
      <c r="D5394" t="str">
        <f>"22"</f>
        <v>22</v>
      </c>
      <c r="E5394" t="str">
        <f>"1-238-22"</f>
        <v>1-238-22</v>
      </c>
      <c r="F5394" t="s">
        <v>83</v>
      </c>
      <c r="G5394" t="s">
        <v>86</v>
      </c>
      <c r="H5394" t="s">
        <v>87</v>
      </c>
      <c r="AC5394">
        <v>0</v>
      </c>
      <c r="AD5394">
        <v>1</v>
      </c>
      <c r="AE5394">
        <v>0</v>
      </c>
      <c r="AF5394">
        <v>0</v>
      </c>
      <c r="AH5394">
        <v>0</v>
      </c>
      <c r="AI5394">
        <v>1</v>
      </c>
      <c r="AJ5394">
        <v>1</v>
      </c>
      <c r="AK5394">
        <v>0</v>
      </c>
      <c r="AL5394">
        <v>0</v>
      </c>
      <c r="AM5394">
        <v>0</v>
      </c>
      <c r="AN5394">
        <v>1</v>
      </c>
      <c r="AO5394">
        <v>0</v>
      </c>
      <c r="AP5394">
        <v>0</v>
      </c>
      <c r="AQ5394">
        <v>0</v>
      </c>
      <c r="AU5394">
        <v>0</v>
      </c>
      <c r="AV5394">
        <v>0</v>
      </c>
      <c r="AW5394">
        <v>0</v>
      </c>
    </row>
    <row r="5395" spans="1:49" x14ac:dyDescent="0.25">
      <c r="A5395" t="str">
        <f>"5391"</f>
        <v>5391</v>
      </c>
      <c r="B5395" t="str">
        <f t="shared" si="310"/>
        <v>1</v>
      </c>
      <c r="C5395" t="str">
        <f t="shared" si="313"/>
        <v>238</v>
      </c>
      <c r="D5395" t="str">
        <f>"15"</f>
        <v>15</v>
      </c>
      <c r="E5395" t="str">
        <f>"1-238-15"</f>
        <v>1-238-15</v>
      </c>
      <c r="F5395" t="s">
        <v>83</v>
      </c>
      <c r="G5395" t="s">
        <v>86</v>
      </c>
      <c r="H5395" t="s">
        <v>87</v>
      </c>
      <c r="AC5395">
        <v>0</v>
      </c>
      <c r="AD5395">
        <v>0</v>
      </c>
      <c r="AE5395">
        <v>0</v>
      </c>
      <c r="AF5395">
        <v>0</v>
      </c>
      <c r="AH5395">
        <v>0</v>
      </c>
      <c r="AI5395">
        <v>1</v>
      </c>
      <c r="AJ5395">
        <v>1</v>
      </c>
      <c r="AK5395">
        <v>0</v>
      </c>
      <c r="AL5395">
        <v>1</v>
      </c>
      <c r="AM5395">
        <v>0</v>
      </c>
      <c r="AN5395">
        <v>0</v>
      </c>
      <c r="AO5395">
        <v>1</v>
      </c>
      <c r="AP5395">
        <v>1</v>
      </c>
      <c r="AQ5395">
        <v>1</v>
      </c>
      <c r="AU5395">
        <v>1</v>
      </c>
      <c r="AV5395">
        <v>1</v>
      </c>
      <c r="AW5395">
        <v>1</v>
      </c>
    </row>
    <row r="5396" spans="1:49" x14ac:dyDescent="0.25">
      <c r="A5396" t="str">
        <f>"5392"</f>
        <v>5392</v>
      </c>
      <c r="B5396" t="str">
        <f t="shared" si="310"/>
        <v>1</v>
      </c>
      <c r="C5396" t="str">
        <f t="shared" si="313"/>
        <v>238</v>
      </c>
      <c r="D5396" t="str">
        <f>"9"</f>
        <v>9</v>
      </c>
      <c r="E5396" t="str">
        <f>"1-238-9"</f>
        <v>1-238-9</v>
      </c>
      <c r="F5396" t="s">
        <v>83</v>
      </c>
      <c r="G5396" t="s">
        <v>86</v>
      </c>
      <c r="H5396" t="s">
        <v>93</v>
      </c>
      <c r="I5396">
        <v>1</v>
      </c>
      <c r="K5396">
        <v>0</v>
      </c>
      <c r="L5396">
        <v>0</v>
      </c>
      <c r="M5396">
        <v>1</v>
      </c>
      <c r="N5396">
        <v>1</v>
      </c>
      <c r="O5396">
        <v>1</v>
      </c>
      <c r="P5396">
        <v>1</v>
      </c>
      <c r="Q5396">
        <v>1</v>
      </c>
      <c r="R5396">
        <v>1</v>
      </c>
      <c r="U5396">
        <v>0</v>
      </c>
      <c r="V5396">
        <v>1</v>
      </c>
      <c r="W5396">
        <v>1</v>
      </c>
      <c r="X5396">
        <v>1</v>
      </c>
      <c r="Y5396">
        <v>1</v>
      </c>
      <c r="Z5396">
        <v>1</v>
      </c>
      <c r="AA5396">
        <v>1</v>
      </c>
      <c r="AB5396">
        <v>1</v>
      </c>
    </row>
    <row r="5397" spans="1:49" x14ac:dyDescent="0.25">
      <c r="A5397" t="str">
        <f>"5393"</f>
        <v>5393</v>
      </c>
      <c r="B5397" t="str">
        <f t="shared" si="310"/>
        <v>1</v>
      </c>
      <c r="C5397" t="str">
        <f t="shared" si="313"/>
        <v>238</v>
      </c>
      <c r="D5397" t="str">
        <f>"17"</f>
        <v>17</v>
      </c>
      <c r="E5397" t="str">
        <f>"1-238-17"</f>
        <v>1-238-17</v>
      </c>
      <c r="F5397" t="s">
        <v>83</v>
      </c>
      <c r="G5397" t="s">
        <v>86</v>
      </c>
      <c r="H5397" t="s">
        <v>93</v>
      </c>
      <c r="I5397">
        <v>1</v>
      </c>
      <c r="K5397">
        <v>1</v>
      </c>
      <c r="L5397">
        <v>0</v>
      </c>
      <c r="M5397">
        <v>0</v>
      </c>
      <c r="N5397">
        <v>1</v>
      </c>
      <c r="O5397">
        <v>1</v>
      </c>
      <c r="P5397">
        <v>1</v>
      </c>
      <c r="Q5397">
        <v>1</v>
      </c>
      <c r="R5397">
        <v>1</v>
      </c>
      <c r="U5397">
        <v>0</v>
      </c>
      <c r="V5397">
        <v>1</v>
      </c>
      <c r="W5397">
        <v>1</v>
      </c>
      <c r="X5397">
        <v>1</v>
      </c>
      <c r="Y5397">
        <v>1</v>
      </c>
      <c r="Z5397">
        <v>1</v>
      </c>
      <c r="AA5397">
        <v>1</v>
      </c>
      <c r="AB5397">
        <v>1</v>
      </c>
    </row>
    <row r="5398" spans="1:49" x14ac:dyDescent="0.25">
      <c r="A5398" t="str">
        <f>"5394"</f>
        <v>5394</v>
      </c>
      <c r="B5398" t="str">
        <f t="shared" si="310"/>
        <v>1</v>
      </c>
      <c r="C5398" t="str">
        <f t="shared" si="313"/>
        <v>238</v>
      </c>
      <c r="D5398" t="str">
        <f>"10"</f>
        <v>10</v>
      </c>
      <c r="E5398" t="str">
        <f>"1-238-10"</f>
        <v>1-238-10</v>
      </c>
      <c r="F5398" t="s">
        <v>83</v>
      </c>
      <c r="G5398" t="s">
        <v>86</v>
      </c>
      <c r="H5398" t="s">
        <v>87</v>
      </c>
      <c r="AC5398">
        <v>1</v>
      </c>
      <c r="AD5398">
        <v>0</v>
      </c>
      <c r="AE5398">
        <v>0</v>
      </c>
      <c r="AF5398">
        <v>0</v>
      </c>
      <c r="AH5398">
        <v>0</v>
      </c>
      <c r="AI5398">
        <v>1</v>
      </c>
      <c r="AJ5398">
        <v>0</v>
      </c>
      <c r="AK5398">
        <v>1</v>
      </c>
      <c r="AL5398">
        <v>0</v>
      </c>
      <c r="AM5398">
        <v>0</v>
      </c>
      <c r="AN5398">
        <v>1</v>
      </c>
      <c r="AO5398">
        <v>1</v>
      </c>
      <c r="AP5398">
        <v>1</v>
      </c>
      <c r="AQ5398">
        <v>1</v>
      </c>
      <c r="AU5398">
        <v>0</v>
      </c>
      <c r="AV5398">
        <v>1</v>
      </c>
      <c r="AW5398">
        <v>0</v>
      </c>
    </row>
    <row r="5399" spans="1:49" x14ac:dyDescent="0.25">
      <c r="A5399" t="str">
        <f>"5395"</f>
        <v>5395</v>
      </c>
      <c r="B5399" t="str">
        <f t="shared" si="310"/>
        <v>1</v>
      </c>
      <c r="C5399" t="str">
        <f t="shared" si="313"/>
        <v>238</v>
      </c>
      <c r="D5399" t="str">
        <f>"1"</f>
        <v>1</v>
      </c>
      <c r="E5399" t="str">
        <f>"1-238-1"</f>
        <v>1-238-1</v>
      </c>
      <c r="F5399" t="s">
        <v>83</v>
      </c>
      <c r="G5399" t="s">
        <v>86</v>
      </c>
      <c r="H5399" t="s">
        <v>87</v>
      </c>
      <c r="AC5399">
        <v>0</v>
      </c>
      <c r="AD5399">
        <v>1</v>
      </c>
      <c r="AE5399">
        <v>0</v>
      </c>
      <c r="AF5399">
        <v>0</v>
      </c>
      <c r="AH5399">
        <v>0</v>
      </c>
      <c r="AI5399">
        <v>1</v>
      </c>
      <c r="AJ5399">
        <v>0</v>
      </c>
      <c r="AK5399">
        <v>0</v>
      </c>
      <c r="AL5399">
        <v>0</v>
      </c>
      <c r="AM5399">
        <v>0</v>
      </c>
      <c r="AN5399">
        <v>1</v>
      </c>
      <c r="AO5399">
        <v>1</v>
      </c>
      <c r="AP5399">
        <v>1</v>
      </c>
      <c r="AQ5399">
        <v>1</v>
      </c>
      <c r="AU5399">
        <v>1</v>
      </c>
      <c r="AV5399">
        <v>1</v>
      </c>
      <c r="AW5399">
        <v>1</v>
      </c>
    </row>
    <row r="5400" spans="1:49" x14ac:dyDescent="0.25">
      <c r="A5400" t="str">
        <f>"5396"</f>
        <v>5396</v>
      </c>
      <c r="B5400" t="str">
        <f t="shared" si="310"/>
        <v>1</v>
      </c>
      <c r="C5400" t="str">
        <f t="shared" si="313"/>
        <v>238</v>
      </c>
      <c r="D5400" t="str">
        <f>"18"</f>
        <v>18</v>
      </c>
      <c r="E5400" t="str">
        <f>"1-238-18"</f>
        <v>1-238-18</v>
      </c>
      <c r="F5400" t="s">
        <v>83</v>
      </c>
      <c r="G5400" t="s">
        <v>86</v>
      </c>
      <c r="H5400" t="s">
        <v>87</v>
      </c>
      <c r="AC5400">
        <v>0</v>
      </c>
      <c r="AD5400">
        <v>1</v>
      </c>
      <c r="AE5400">
        <v>0</v>
      </c>
      <c r="AF5400">
        <v>0</v>
      </c>
      <c r="AH5400">
        <v>0</v>
      </c>
      <c r="AI5400">
        <v>1</v>
      </c>
      <c r="AJ5400">
        <v>0</v>
      </c>
      <c r="AK5400">
        <v>0</v>
      </c>
      <c r="AL5400">
        <v>0</v>
      </c>
      <c r="AM5400">
        <v>0</v>
      </c>
      <c r="AN5400">
        <v>1</v>
      </c>
      <c r="AO5400">
        <v>0</v>
      </c>
      <c r="AP5400">
        <v>0</v>
      </c>
      <c r="AQ5400">
        <v>0</v>
      </c>
      <c r="AU5400">
        <v>0</v>
      </c>
      <c r="AV5400">
        <v>0</v>
      </c>
      <c r="AW5400">
        <v>0</v>
      </c>
    </row>
    <row r="5401" spans="1:49" x14ac:dyDescent="0.25">
      <c r="A5401" t="str">
        <f>"5397"</f>
        <v>5397</v>
      </c>
      <c r="B5401" t="str">
        <f t="shared" si="310"/>
        <v>1</v>
      </c>
      <c r="C5401" t="str">
        <f t="shared" si="313"/>
        <v>238</v>
      </c>
      <c r="D5401" t="str">
        <f>"11"</f>
        <v>11</v>
      </c>
      <c r="E5401" t="str">
        <f>"1-238-11"</f>
        <v>1-238-11</v>
      </c>
      <c r="F5401" t="s">
        <v>83</v>
      </c>
      <c r="G5401" t="s">
        <v>86</v>
      </c>
      <c r="H5401" t="s">
        <v>87</v>
      </c>
      <c r="AC5401">
        <v>0</v>
      </c>
      <c r="AD5401">
        <v>1</v>
      </c>
      <c r="AE5401">
        <v>0</v>
      </c>
      <c r="AF5401">
        <v>0</v>
      </c>
      <c r="AH5401">
        <v>0</v>
      </c>
      <c r="AI5401">
        <v>1</v>
      </c>
      <c r="AJ5401">
        <v>0</v>
      </c>
      <c r="AK5401">
        <v>0</v>
      </c>
      <c r="AL5401">
        <v>0</v>
      </c>
      <c r="AM5401">
        <v>0</v>
      </c>
      <c r="AN5401">
        <v>0</v>
      </c>
      <c r="AO5401">
        <v>0</v>
      </c>
      <c r="AP5401">
        <v>0</v>
      </c>
      <c r="AQ5401">
        <v>0</v>
      </c>
      <c r="AU5401">
        <v>0</v>
      </c>
      <c r="AV5401">
        <v>0</v>
      </c>
      <c r="AW5401">
        <v>0</v>
      </c>
    </row>
    <row r="5402" spans="1:49" x14ac:dyDescent="0.25">
      <c r="A5402" t="str">
        <f>"5398"</f>
        <v>5398</v>
      </c>
      <c r="B5402" t="str">
        <f t="shared" si="310"/>
        <v>1</v>
      </c>
      <c r="C5402" t="str">
        <f t="shared" si="313"/>
        <v>238</v>
      </c>
      <c r="D5402" t="str">
        <f>"6"</f>
        <v>6</v>
      </c>
      <c r="E5402" t="str">
        <f>"1-238-6"</f>
        <v>1-238-6</v>
      </c>
      <c r="F5402" t="s">
        <v>83</v>
      </c>
      <c r="G5402" t="s">
        <v>86</v>
      </c>
      <c r="H5402" t="s">
        <v>93</v>
      </c>
      <c r="I5402">
        <v>1</v>
      </c>
      <c r="K5402">
        <v>0</v>
      </c>
      <c r="L5402">
        <v>0</v>
      </c>
      <c r="M5402">
        <v>1</v>
      </c>
      <c r="N5402">
        <v>1</v>
      </c>
      <c r="O5402">
        <v>1</v>
      </c>
      <c r="P5402">
        <v>1</v>
      </c>
      <c r="Q5402">
        <v>1</v>
      </c>
      <c r="R5402">
        <v>1</v>
      </c>
      <c r="U5402">
        <v>0</v>
      </c>
      <c r="V5402">
        <v>1</v>
      </c>
      <c r="W5402">
        <v>1</v>
      </c>
      <c r="X5402">
        <v>1</v>
      </c>
      <c r="Y5402">
        <v>1</v>
      </c>
      <c r="Z5402">
        <v>1</v>
      </c>
      <c r="AA5402">
        <v>1</v>
      </c>
      <c r="AB5402">
        <v>1</v>
      </c>
    </row>
    <row r="5403" spans="1:49" x14ac:dyDescent="0.25">
      <c r="A5403" t="str">
        <f>"5399"</f>
        <v>5399</v>
      </c>
      <c r="B5403" t="str">
        <f t="shared" si="310"/>
        <v>1</v>
      </c>
      <c r="C5403" t="str">
        <f t="shared" si="313"/>
        <v>238</v>
      </c>
      <c r="D5403" t="str">
        <f>"19"</f>
        <v>19</v>
      </c>
      <c r="E5403" t="str">
        <f>"1-238-19"</f>
        <v>1-238-19</v>
      </c>
      <c r="F5403" t="s">
        <v>83</v>
      </c>
      <c r="G5403" t="s">
        <v>86</v>
      </c>
      <c r="H5403" t="s">
        <v>87</v>
      </c>
      <c r="AC5403">
        <v>0</v>
      </c>
      <c r="AD5403">
        <v>1</v>
      </c>
      <c r="AE5403">
        <v>0</v>
      </c>
      <c r="AF5403">
        <v>0</v>
      </c>
      <c r="AH5403">
        <v>0</v>
      </c>
      <c r="AI5403">
        <v>1</v>
      </c>
      <c r="AJ5403">
        <v>0</v>
      </c>
      <c r="AK5403">
        <v>1</v>
      </c>
      <c r="AL5403">
        <v>0</v>
      </c>
      <c r="AM5403">
        <v>0</v>
      </c>
      <c r="AN5403">
        <v>1</v>
      </c>
      <c r="AO5403">
        <v>1</v>
      </c>
      <c r="AP5403">
        <v>0</v>
      </c>
      <c r="AQ5403">
        <v>1</v>
      </c>
      <c r="AU5403">
        <v>1</v>
      </c>
      <c r="AV5403">
        <v>1</v>
      </c>
      <c r="AW5403">
        <v>1</v>
      </c>
    </row>
    <row r="5404" spans="1:49" x14ac:dyDescent="0.25">
      <c r="A5404" t="str">
        <f>"5400"</f>
        <v>5400</v>
      </c>
      <c r="B5404" t="str">
        <f t="shared" si="310"/>
        <v>1</v>
      </c>
      <c r="C5404" t="str">
        <f t="shared" si="313"/>
        <v>238</v>
      </c>
      <c r="D5404" t="str">
        <f>"12"</f>
        <v>12</v>
      </c>
      <c r="E5404" t="str">
        <f>"1-238-12"</f>
        <v>1-238-12</v>
      </c>
      <c r="F5404" t="s">
        <v>83</v>
      </c>
      <c r="G5404" t="s">
        <v>86</v>
      </c>
      <c r="H5404" t="s">
        <v>87</v>
      </c>
      <c r="AC5404">
        <v>0</v>
      </c>
      <c r="AD5404">
        <v>1</v>
      </c>
      <c r="AE5404">
        <v>0</v>
      </c>
      <c r="AF5404">
        <v>0</v>
      </c>
      <c r="AH5404">
        <v>0</v>
      </c>
      <c r="AI5404">
        <v>1</v>
      </c>
      <c r="AJ5404">
        <v>0</v>
      </c>
      <c r="AK5404">
        <v>1</v>
      </c>
      <c r="AL5404">
        <v>0</v>
      </c>
      <c r="AM5404">
        <v>0</v>
      </c>
      <c r="AN5404">
        <v>1</v>
      </c>
      <c r="AO5404">
        <v>1</v>
      </c>
      <c r="AP5404">
        <v>1</v>
      </c>
      <c r="AQ5404">
        <v>1</v>
      </c>
      <c r="AU5404">
        <v>1</v>
      </c>
      <c r="AV5404">
        <v>1</v>
      </c>
      <c r="AW5404">
        <v>1</v>
      </c>
    </row>
    <row r="5405" spans="1:49" x14ac:dyDescent="0.25">
      <c r="A5405" t="str">
        <f>"5401"</f>
        <v>5401</v>
      </c>
      <c r="B5405" t="str">
        <f t="shared" si="310"/>
        <v>1</v>
      </c>
      <c r="C5405" t="str">
        <f t="shared" si="313"/>
        <v>238</v>
      </c>
      <c r="D5405" t="str">
        <f>"21"</f>
        <v>21</v>
      </c>
      <c r="E5405" t="str">
        <f>"1-238-21"</f>
        <v>1-238-21</v>
      </c>
      <c r="F5405" t="s">
        <v>83</v>
      </c>
      <c r="G5405" t="s">
        <v>86</v>
      </c>
      <c r="H5405" t="s">
        <v>87</v>
      </c>
      <c r="AC5405">
        <v>0</v>
      </c>
      <c r="AD5405">
        <v>0</v>
      </c>
      <c r="AE5405">
        <v>0</v>
      </c>
      <c r="AF5405">
        <v>0</v>
      </c>
      <c r="AH5405">
        <v>0</v>
      </c>
      <c r="AI5405">
        <v>1</v>
      </c>
      <c r="AJ5405">
        <v>0</v>
      </c>
      <c r="AK5405">
        <v>0</v>
      </c>
      <c r="AL5405">
        <v>0</v>
      </c>
      <c r="AM5405">
        <v>0</v>
      </c>
      <c r="AN5405">
        <v>0</v>
      </c>
      <c r="AO5405">
        <v>0</v>
      </c>
      <c r="AP5405">
        <v>0</v>
      </c>
      <c r="AQ5405">
        <v>0</v>
      </c>
      <c r="AU5405">
        <v>1</v>
      </c>
      <c r="AV5405">
        <v>0</v>
      </c>
      <c r="AW5405">
        <v>1</v>
      </c>
    </row>
    <row r="5406" spans="1:49" x14ac:dyDescent="0.25">
      <c r="A5406" t="str">
        <f>"5402"</f>
        <v>5402</v>
      </c>
      <c r="B5406" t="str">
        <f t="shared" ref="B5406:B5469" si="314">"1"</f>
        <v>1</v>
      </c>
      <c r="C5406" t="str">
        <f t="shared" si="313"/>
        <v>238</v>
      </c>
      <c r="D5406" t="str">
        <f>"13"</f>
        <v>13</v>
      </c>
      <c r="E5406" t="str">
        <f>"1-238-13"</f>
        <v>1-238-13</v>
      </c>
      <c r="F5406" t="s">
        <v>83</v>
      </c>
      <c r="G5406" t="s">
        <v>86</v>
      </c>
      <c r="H5406" t="s">
        <v>93</v>
      </c>
      <c r="I5406">
        <v>1</v>
      </c>
      <c r="K5406">
        <v>0</v>
      </c>
      <c r="L5406">
        <v>0</v>
      </c>
      <c r="M5406">
        <v>1</v>
      </c>
      <c r="N5406">
        <v>1</v>
      </c>
      <c r="O5406">
        <v>1</v>
      </c>
      <c r="P5406">
        <v>1</v>
      </c>
      <c r="Q5406">
        <v>1</v>
      </c>
      <c r="R5406">
        <v>1</v>
      </c>
      <c r="U5406">
        <v>0</v>
      </c>
      <c r="V5406">
        <v>1</v>
      </c>
      <c r="W5406">
        <v>1</v>
      </c>
      <c r="X5406">
        <v>1</v>
      </c>
      <c r="Y5406">
        <v>1</v>
      </c>
      <c r="Z5406">
        <v>1</v>
      </c>
      <c r="AA5406">
        <v>1</v>
      </c>
      <c r="AB5406">
        <v>1</v>
      </c>
    </row>
    <row r="5407" spans="1:49" x14ac:dyDescent="0.25">
      <c r="A5407" t="str">
        <f>"5403"</f>
        <v>5403</v>
      </c>
      <c r="B5407" t="str">
        <f t="shared" si="314"/>
        <v>1</v>
      </c>
      <c r="C5407" t="str">
        <f t="shared" si="313"/>
        <v>238</v>
      </c>
      <c r="D5407" t="str">
        <f>"5"</f>
        <v>5</v>
      </c>
      <c r="E5407" t="str">
        <f>"1-238-5"</f>
        <v>1-238-5</v>
      </c>
      <c r="F5407" t="s">
        <v>83</v>
      </c>
      <c r="G5407" t="s">
        <v>86</v>
      </c>
      <c r="H5407" t="s">
        <v>93</v>
      </c>
      <c r="I5407">
        <v>1</v>
      </c>
      <c r="K5407">
        <v>0</v>
      </c>
      <c r="L5407">
        <v>0</v>
      </c>
      <c r="M5407">
        <v>0</v>
      </c>
      <c r="N5407">
        <v>1</v>
      </c>
      <c r="O5407">
        <v>0</v>
      </c>
      <c r="P5407">
        <v>0</v>
      </c>
      <c r="Q5407">
        <v>0</v>
      </c>
      <c r="R5407">
        <v>0</v>
      </c>
      <c r="U5407">
        <v>0</v>
      </c>
      <c r="V5407">
        <v>0</v>
      </c>
      <c r="W5407">
        <v>0</v>
      </c>
      <c r="X5407">
        <v>0</v>
      </c>
      <c r="Y5407">
        <v>0</v>
      </c>
      <c r="Z5407">
        <v>0</v>
      </c>
      <c r="AA5407">
        <v>0</v>
      </c>
      <c r="AB5407">
        <v>0</v>
      </c>
    </row>
    <row r="5408" spans="1:49" x14ac:dyDescent="0.25">
      <c r="A5408" t="str">
        <f>"5404"</f>
        <v>5404</v>
      </c>
      <c r="B5408" t="str">
        <f t="shared" si="314"/>
        <v>1</v>
      </c>
      <c r="C5408" t="str">
        <f t="shared" si="313"/>
        <v>238</v>
      </c>
      <c r="D5408" t="str">
        <f>"20"</f>
        <v>20</v>
      </c>
      <c r="E5408" t="str">
        <f>"1-238-20"</f>
        <v>1-238-20</v>
      </c>
      <c r="F5408" t="s">
        <v>83</v>
      </c>
      <c r="G5408" t="s">
        <v>86</v>
      </c>
      <c r="H5408" t="s">
        <v>87</v>
      </c>
      <c r="AC5408">
        <v>0</v>
      </c>
      <c r="AD5408">
        <v>0</v>
      </c>
      <c r="AE5408">
        <v>0</v>
      </c>
      <c r="AF5408">
        <v>0</v>
      </c>
      <c r="AH5408">
        <v>0</v>
      </c>
      <c r="AI5408">
        <v>1</v>
      </c>
      <c r="AJ5408">
        <v>0</v>
      </c>
      <c r="AK5408">
        <v>0</v>
      </c>
      <c r="AL5408">
        <v>0</v>
      </c>
      <c r="AM5408">
        <v>0</v>
      </c>
      <c r="AN5408">
        <v>0</v>
      </c>
      <c r="AO5408">
        <v>0</v>
      </c>
      <c r="AP5408">
        <v>0</v>
      </c>
      <c r="AQ5408">
        <v>0</v>
      </c>
      <c r="AU5408">
        <v>0</v>
      </c>
      <c r="AV5408">
        <v>0</v>
      </c>
      <c r="AW5408">
        <v>0</v>
      </c>
    </row>
    <row r="5409" spans="1:49" x14ac:dyDescent="0.25">
      <c r="A5409" t="str">
        <f>"5405"</f>
        <v>5405</v>
      </c>
      <c r="B5409" t="str">
        <f t="shared" si="314"/>
        <v>1</v>
      </c>
      <c r="C5409" t="str">
        <f t="shared" si="313"/>
        <v>238</v>
      </c>
      <c r="D5409" t="str">
        <f>"14"</f>
        <v>14</v>
      </c>
      <c r="E5409" t="str">
        <f>"1-238-14"</f>
        <v>1-238-14</v>
      </c>
      <c r="F5409" t="s">
        <v>83</v>
      </c>
      <c r="G5409" t="s">
        <v>86</v>
      </c>
      <c r="H5409" t="s">
        <v>93</v>
      </c>
      <c r="I5409">
        <v>1</v>
      </c>
      <c r="K5409">
        <v>0</v>
      </c>
      <c r="L5409">
        <v>0</v>
      </c>
      <c r="M5409">
        <v>1</v>
      </c>
      <c r="N5409">
        <v>1</v>
      </c>
      <c r="O5409">
        <v>1</v>
      </c>
      <c r="P5409">
        <v>1</v>
      </c>
      <c r="Q5409">
        <v>1</v>
      </c>
      <c r="R5409">
        <v>1</v>
      </c>
      <c r="U5409">
        <v>0</v>
      </c>
      <c r="V5409">
        <v>1</v>
      </c>
      <c r="W5409">
        <v>1</v>
      </c>
      <c r="X5409">
        <v>1</v>
      </c>
      <c r="Y5409">
        <v>1</v>
      </c>
      <c r="Z5409">
        <v>1</v>
      </c>
      <c r="AA5409">
        <v>1</v>
      </c>
      <c r="AB5409">
        <v>1</v>
      </c>
    </row>
    <row r="5410" spans="1:49" x14ac:dyDescent="0.25">
      <c r="A5410" t="str">
        <f>"5406"</f>
        <v>5406</v>
      </c>
      <c r="B5410" t="str">
        <f t="shared" si="314"/>
        <v>1</v>
      </c>
      <c r="C5410" t="str">
        <f t="shared" si="313"/>
        <v>238</v>
      </c>
      <c r="D5410" t="str">
        <f>"2"</f>
        <v>2</v>
      </c>
      <c r="E5410" t="str">
        <f>"1-238-2"</f>
        <v>1-238-2</v>
      </c>
      <c r="F5410" t="s">
        <v>83</v>
      </c>
      <c r="G5410" t="s">
        <v>86</v>
      </c>
      <c r="H5410" t="s">
        <v>93</v>
      </c>
      <c r="I5410">
        <v>1</v>
      </c>
      <c r="K5410">
        <v>0</v>
      </c>
      <c r="L5410">
        <v>1</v>
      </c>
      <c r="M5410">
        <v>0</v>
      </c>
      <c r="N5410">
        <v>1</v>
      </c>
      <c r="O5410">
        <v>1</v>
      </c>
      <c r="P5410">
        <v>1</v>
      </c>
      <c r="Q5410">
        <v>1</v>
      </c>
      <c r="R5410">
        <v>0</v>
      </c>
      <c r="U5410">
        <v>0</v>
      </c>
      <c r="V5410">
        <v>1</v>
      </c>
      <c r="W5410">
        <v>0</v>
      </c>
      <c r="X5410">
        <v>1</v>
      </c>
      <c r="Y5410">
        <v>0</v>
      </c>
      <c r="Z5410">
        <v>1</v>
      </c>
      <c r="AA5410">
        <v>1</v>
      </c>
      <c r="AB5410">
        <v>1</v>
      </c>
    </row>
    <row r="5411" spans="1:49" x14ac:dyDescent="0.25">
      <c r="A5411" t="str">
        <f>"5407"</f>
        <v>5407</v>
      </c>
      <c r="B5411" t="str">
        <f t="shared" si="314"/>
        <v>1</v>
      </c>
      <c r="C5411" t="str">
        <f t="shared" si="313"/>
        <v>238</v>
      </c>
      <c r="D5411" t="str">
        <f>"3"</f>
        <v>3</v>
      </c>
      <c r="E5411" t="str">
        <f>"1-238-3"</f>
        <v>1-238-3</v>
      </c>
      <c r="F5411" t="s">
        <v>83</v>
      </c>
      <c r="G5411" t="s">
        <v>86</v>
      </c>
      <c r="H5411" t="s">
        <v>87</v>
      </c>
      <c r="AC5411">
        <v>0</v>
      </c>
      <c r="AD5411">
        <v>0</v>
      </c>
      <c r="AE5411">
        <v>0</v>
      </c>
      <c r="AF5411">
        <v>0</v>
      </c>
      <c r="AH5411">
        <v>0</v>
      </c>
      <c r="AI5411">
        <v>1</v>
      </c>
      <c r="AJ5411">
        <v>1</v>
      </c>
      <c r="AK5411">
        <v>0</v>
      </c>
      <c r="AL5411">
        <v>0</v>
      </c>
      <c r="AM5411">
        <v>0</v>
      </c>
      <c r="AN5411">
        <v>1</v>
      </c>
      <c r="AO5411">
        <v>0</v>
      </c>
      <c r="AP5411">
        <v>0</v>
      </c>
      <c r="AQ5411">
        <v>0</v>
      </c>
      <c r="AU5411">
        <v>0</v>
      </c>
      <c r="AV5411">
        <v>0</v>
      </c>
      <c r="AW5411">
        <v>0</v>
      </c>
    </row>
    <row r="5412" spans="1:49" x14ac:dyDescent="0.25">
      <c r="A5412" t="str">
        <f>"5408"</f>
        <v>5408</v>
      </c>
      <c r="B5412" t="str">
        <f t="shared" si="314"/>
        <v>1</v>
      </c>
      <c r="C5412" t="str">
        <f t="shared" si="313"/>
        <v>238</v>
      </c>
      <c r="D5412" t="str">
        <f>"7"</f>
        <v>7</v>
      </c>
      <c r="E5412" t="str">
        <f>"1-238-7"</f>
        <v>1-238-7</v>
      </c>
      <c r="F5412" t="s">
        <v>83</v>
      </c>
      <c r="G5412" t="s">
        <v>86</v>
      </c>
      <c r="H5412" t="s">
        <v>87</v>
      </c>
      <c r="AC5412">
        <v>0</v>
      </c>
      <c r="AD5412">
        <v>1</v>
      </c>
      <c r="AE5412">
        <v>0</v>
      </c>
      <c r="AF5412">
        <v>0</v>
      </c>
      <c r="AH5412">
        <v>0</v>
      </c>
      <c r="AI5412">
        <v>1</v>
      </c>
      <c r="AJ5412">
        <v>0</v>
      </c>
      <c r="AK5412">
        <v>1</v>
      </c>
      <c r="AL5412">
        <v>0</v>
      </c>
      <c r="AM5412">
        <v>0</v>
      </c>
      <c r="AN5412">
        <v>1</v>
      </c>
      <c r="AO5412">
        <v>0</v>
      </c>
      <c r="AP5412">
        <v>0</v>
      </c>
      <c r="AQ5412">
        <v>0</v>
      </c>
      <c r="AU5412">
        <v>0</v>
      </c>
      <c r="AV5412">
        <v>0</v>
      </c>
      <c r="AW5412">
        <v>0</v>
      </c>
    </row>
    <row r="5413" spans="1:49" x14ac:dyDescent="0.25">
      <c r="A5413" t="str">
        <f>"5409"</f>
        <v>5409</v>
      </c>
      <c r="B5413" t="str">
        <f t="shared" si="314"/>
        <v>1</v>
      </c>
      <c r="C5413" t="str">
        <f t="shared" ref="C5413:C5437" si="315">"239"</f>
        <v>239</v>
      </c>
      <c r="D5413" t="str">
        <f>"23"</f>
        <v>23</v>
      </c>
      <c r="E5413" t="str">
        <f>"1-239-23"</f>
        <v>1-239-23</v>
      </c>
      <c r="F5413" t="s">
        <v>83</v>
      </c>
      <c r="G5413" t="s">
        <v>84</v>
      </c>
      <c r="H5413" t="s">
        <v>85</v>
      </c>
      <c r="AC5413">
        <v>0</v>
      </c>
      <c r="AD5413">
        <v>1</v>
      </c>
      <c r="AE5413">
        <v>0</v>
      </c>
      <c r="AF5413">
        <v>0</v>
      </c>
      <c r="AG5413">
        <v>0</v>
      </c>
      <c r="AJ5413">
        <v>0</v>
      </c>
      <c r="AK5413">
        <v>0</v>
      </c>
      <c r="AL5413">
        <v>0</v>
      </c>
      <c r="AM5413">
        <v>0</v>
      </c>
      <c r="AN5413">
        <v>0</v>
      </c>
      <c r="AO5413">
        <v>0</v>
      </c>
      <c r="AP5413">
        <v>0</v>
      </c>
      <c r="AQ5413">
        <v>0</v>
      </c>
      <c r="AR5413">
        <v>0</v>
      </c>
      <c r="AS5413">
        <v>0</v>
      </c>
      <c r="AT5413">
        <v>0</v>
      </c>
      <c r="AV5413">
        <v>0</v>
      </c>
      <c r="AW5413">
        <v>0</v>
      </c>
    </row>
    <row r="5414" spans="1:49" x14ac:dyDescent="0.25">
      <c r="A5414" t="str">
        <f>"5410"</f>
        <v>5410</v>
      </c>
      <c r="B5414" t="str">
        <f t="shared" si="314"/>
        <v>1</v>
      </c>
      <c r="C5414" t="str">
        <f t="shared" si="315"/>
        <v>239</v>
      </c>
      <c r="D5414" t="str">
        <f>"22"</f>
        <v>22</v>
      </c>
      <c r="E5414" t="str">
        <f>"1-239-22"</f>
        <v>1-239-22</v>
      </c>
      <c r="F5414" t="s">
        <v>83</v>
      </c>
      <c r="G5414" t="s">
        <v>84</v>
      </c>
      <c r="H5414" t="s">
        <v>85</v>
      </c>
      <c r="AC5414">
        <v>1</v>
      </c>
      <c r="AD5414">
        <v>0</v>
      </c>
      <c r="AE5414">
        <v>0</v>
      </c>
      <c r="AF5414">
        <v>0</v>
      </c>
      <c r="AG5414">
        <v>1</v>
      </c>
      <c r="AJ5414">
        <v>1</v>
      </c>
      <c r="AK5414">
        <v>0</v>
      </c>
      <c r="AL5414">
        <v>1</v>
      </c>
      <c r="AM5414">
        <v>0</v>
      </c>
      <c r="AN5414">
        <v>0</v>
      </c>
      <c r="AO5414">
        <v>1</v>
      </c>
      <c r="AP5414">
        <v>1</v>
      </c>
      <c r="AQ5414">
        <v>1</v>
      </c>
      <c r="AR5414">
        <v>1</v>
      </c>
      <c r="AS5414">
        <v>1</v>
      </c>
      <c r="AT5414">
        <v>0</v>
      </c>
      <c r="AV5414">
        <v>1</v>
      </c>
      <c r="AW5414">
        <v>1</v>
      </c>
    </row>
    <row r="5415" spans="1:49" x14ac:dyDescent="0.25">
      <c r="A5415" t="str">
        <f>"5411"</f>
        <v>5411</v>
      </c>
      <c r="B5415" t="str">
        <f t="shared" si="314"/>
        <v>1</v>
      </c>
      <c r="C5415" t="str">
        <f t="shared" si="315"/>
        <v>239</v>
      </c>
      <c r="D5415" t="str">
        <f>"15"</f>
        <v>15</v>
      </c>
      <c r="E5415" t="str">
        <f>"1-239-15"</f>
        <v>1-239-15</v>
      </c>
      <c r="F5415" t="s">
        <v>83</v>
      </c>
      <c r="G5415" t="s">
        <v>84</v>
      </c>
      <c r="H5415" t="s">
        <v>92</v>
      </c>
      <c r="I5415">
        <v>1</v>
      </c>
      <c r="J5415">
        <v>1</v>
      </c>
      <c r="N5415">
        <v>1</v>
      </c>
      <c r="O5415">
        <v>0</v>
      </c>
      <c r="P5415">
        <v>0</v>
      </c>
      <c r="Q5415">
        <v>1</v>
      </c>
      <c r="R5415">
        <v>0</v>
      </c>
      <c r="S5415">
        <v>1</v>
      </c>
      <c r="T5415">
        <v>0</v>
      </c>
      <c r="W5415">
        <v>0</v>
      </c>
      <c r="X5415">
        <v>0</v>
      </c>
      <c r="Y5415">
        <v>0</v>
      </c>
      <c r="Z5415">
        <v>0</v>
      </c>
      <c r="AA5415">
        <v>0</v>
      </c>
      <c r="AB5415">
        <v>0</v>
      </c>
    </row>
    <row r="5416" spans="1:49" x14ac:dyDescent="0.25">
      <c r="A5416" t="str">
        <f>"5412"</f>
        <v>5412</v>
      </c>
      <c r="B5416" t="str">
        <f t="shared" si="314"/>
        <v>1</v>
      </c>
      <c r="C5416" t="str">
        <f t="shared" si="315"/>
        <v>239</v>
      </c>
      <c r="D5416" t="str">
        <f>"8"</f>
        <v>8</v>
      </c>
      <c r="E5416" t="str">
        <f>"1-239-8"</f>
        <v>1-239-8</v>
      </c>
      <c r="F5416" t="s">
        <v>83</v>
      </c>
      <c r="G5416" t="s">
        <v>84</v>
      </c>
      <c r="H5416" t="s">
        <v>85</v>
      </c>
      <c r="AC5416">
        <v>0</v>
      </c>
      <c r="AD5416">
        <v>1</v>
      </c>
      <c r="AE5416">
        <v>0</v>
      </c>
      <c r="AF5416">
        <v>0</v>
      </c>
      <c r="AG5416">
        <v>0</v>
      </c>
      <c r="AJ5416">
        <v>1</v>
      </c>
      <c r="AK5416">
        <v>0</v>
      </c>
      <c r="AL5416">
        <v>1</v>
      </c>
      <c r="AM5416">
        <v>0</v>
      </c>
      <c r="AN5416">
        <v>0</v>
      </c>
      <c r="AO5416">
        <v>0</v>
      </c>
      <c r="AP5416">
        <v>0</v>
      </c>
      <c r="AQ5416">
        <v>0</v>
      </c>
      <c r="AR5416">
        <v>0</v>
      </c>
      <c r="AS5416">
        <v>1</v>
      </c>
      <c r="AT5416">
        <v>0</v>
      </c>
      <c r="AV5416">
        <v>0</v>
      </c>
      <c r="AW5416">
        <v>0</v>
      </c>
    </row>
    <row r="5417" spans="1:49" x14ac:dyDescent="0.25">
      <c r="A5417" t="str">
        <f>"5413"</f>
        <v>5413</v>
      </c>
      <c r="B5417" t="str">
        <f t="shared" si="314"/>
        <v>1</v>
      </c>
      <c r="C5417" t="str">
        <f t="shared" si="315"/>
        <v>239</v>
      </c>
      <c r="D5417" t="str">
        <f>"3"</f>
        <v>3</v>
      </c>
      <c r="E5417" t="str">
        <f>"1-239-3"</f>
        <v>1-239-3</v>
      </c>
      <c r="F5417" t="s">
        <v>83</v>
      </c>
      <c r="G5417" t="s">
        <v>84</v>
      </c>
      <c r="H5417" t="s">
        <v>85</v>
      </c>
      <c r="AC5417">
        <v>0</v>
      </c>
      <c r="AD5417">
        <v>1</v>
      </c>
      <c r="AE5417">
        <v>0</v>
      </c>
      <c r="AF5417">
        <v>0</v>
      </c>
      <c r="AG5417">
        <v>1</v>
      </c>
      <c r="AJ5417">
        <v>0</v>
      </c>
      <c r="AK5417">
        <v>1</v>
      </c>
      <c r="AL5417">
        <v>0</v>
      </c>
      <c r="AM5417">
        <v>0</v>
      </c>
      <c r="AN5417">
        <v>1</v>
      </c>
      <c r="AO5417">
        <v>1</v>
      </c>
      <c r="AP5417">
        <v>1</v>
      </c>
      <c r="AQ5417">
        <v>1</v>
      </c>
      <c r="AR5417">
        <v>1</v>
      </c>
      <c r="AS5417">
        <v>0</v>
      </c>
      <c r="AT5417">
        <v>1</v>
      </c>
      <c r="AV5417">
        <v>1</v>
      </c>
      <c r="AW5417">
        <v>1</v>
      </c>
    </row>
    <row r="5418" spans="1:49" x14ac:dyDescent="0.25">
      <c r="A5418" t="str">
        <f>"5414"</f>
        <v>5414</v>
      </c>
      <c r="B5418" t="str">
        <f t="shared" si="314"/>
        <v>1</v>
      </c>
      <c r="C5418" t="str">
        <f t="shared" si="315"/>
        <v>239</v>
      </c>
      <c r="D5418" t="str">
        <f>"25"</f>
        <v>25</v>
      </c>
      <c r="E5418" t="str">
        <f>"1-239-25"</f>
        <v>1-239-25</v>
      </c>
      <c r="F5418" t="s">
        <v>83</v>
      </c>
      <c r="G5418" t="s">
        <v>84</v>
      </c>
      <c r="H5418" t="s">
        <v>92</v>
      </c>
      <c r="I5418">
        <v>1</v>
      </c>
      <c r="J5418">
        <v>1</v>
      </c>
      <c r="N5418">
        <v>1</v>
      </c>
      <c r="O5418">
        <v>1</v>
      </c>
      <c r="P5418">
        <v>1</v>
      </c>
      <c r="Q5418">
        <v>1</v>
      </c>
      <c r="R5418">
        <v>1</v>
      </c>
      <c r="S5418">
        <v>1</v>
      </c>
      <c r="T5418">
        <v>1</v>
      </c>
      <c r="W5418">
        <v>1</v>
      </c>
      <c r="X5418">
        <v>1</v>
      </c>
      <c r="Y5418">
        <v>1</v>
      </c>
      <c r="Z5418">
        <v>1</v>
      </c>
      <c r="AA5418">
        <v>1</v>
      </c>
      <c r="AB5418">
        <v>1</v>
      </c>
    </row>
    <row r="5419" spans="1:49" x14ac:dyDescent="0.25">
      <c r="A5419" t="str">
        <f>"5415"</f>
        <v>5415</v>
      </c>
      <c r="B5419" t="str">
        <f t="shared" si="314"/>
        <v>1</v>
      </c>
      <c r="C5419" t="str">
        <f t="shared" si="315"/>
        <v>239</v>
      </c>
      <c r="D5419" t="str">
        <f>"24"</f>
        <v>24</v>
      </c>
      <c r="E5419" t="str">
        <f>"1-239-24"</f>
        <v>1-239-24</v>
      </c>
      <c r="F5419" t="s">
        <v>83</v>
      </c>
      <c r="G5419" t="s">
        <v>84</v>
      </c>
      <c r="H5419" t="s">
        <v>85</v>
      </c>
      <c r="AC5419">
        <v>1</v>
      </c>
      <c r="AD5419">
        <v>0</v>
      </c>
      <c r="AE5419">
        <v>0</v>
      </c>
      <c r="AF5419">
        <v>0</v>
      </c>
      <c r="AG5419">
        <v>1</v>
      </c>
      <c r="AJ5419">
        <v>0</v>
      </c>
      <c r="AK5419">
        <v>1</v>
      </c>
      <c r="AL5419">
        <v>0</v>
      </c>
      <c r="AM5419">
        <v>0</v>
      </c>
      <c r="AN5419">
        <v>1</v>
      </c>
      <c r="AO5419">
        <v>1</v>
      </c>
      <c r="AP5419">
        <v>1</v>
      </c>
      <c r="AQ5419">
        <v>1</v>
      </c>
      <c r="AR5419">
        <v>1</v>
      </c>
      <c r="AS5419">
        <v>1</v>
      </c>
      <c r="AT5419">
        <v>0</v>
      </c>
      <c r="AV5419">
        <v>1</v>
      </c>
      <c r="AW5419">
        <v>1</v>
      </c>
    </row>
    <row r="5420" spans="1:49" x14ac:dyDescent="0.25">
      <c r="A5420" t="str">
        <f>"5416"</f>
        <v>5416</v>
      </c>
      <c r="B5420" t="str">
        <f t="shared" si="314"/>
        <v>1</v>
      </c>
      <c r="C5420" t="str">
        <f t="shared" si="315"/>
        <v>239</v>
      </c>
      <c r="D5420" t="str">
        <f>"16"</f>
        <v>16</v>
      </c>
      <c r="E5420" t="str">
        <f>"1-239-16"</f>
        <v>1-239-16</v>
      </c>
      <c r="F5420" t="s">
        <v>83</v>
      </c>
      <c r="G5420" t="s">
        <v>84</v>
      </c>
      <c r="H5420" t="s">
        <v>92</v>
      </c>
      <c r="I5420">
        <v>1</v>
      </c>
      <c r="J5420">
        <v>1</v>
      </c>
      <c r="N5420">
        <v>1</v>
      </c>
      <c r="O5420">
        <v>1</v>
      </c>
      <c r="P5420">
        <v>1</v>
      </c>
      <c r="Q5420">
        <v>1</v>
      </c>
      <c r="R5420">
        <v>1</v>
      </c>
      <c r="S5420">
        <v>1</v>
      </c>
      <c r="T5420">
        <v>1</v>
      </c>
      <c r="W5420">
        <v>1</v>
      </c>
      <c r="X5420">
        <v>1</v>
      </c>
      <c r="Y5420">
        <v>1</v>
      </c>
      <c r="Z5420">
        <v>1</v>
      </c>
      <c r="AA5420">
        <v>1</v>
      </c>
      <c r="AB5420">
        <v>1</v>
      </c>
    </row>
    <row r="5421" spans="1:49" x14ac:dyDescent="0.25">
      <c r="A5421" t="str">
        <f>"5417"</f>
        <v>5417</v>
      </c>
      <c r="B5421" t="str">
        <f t="shared" si="314"/>
        <v>1</v>
      </c>
      <c r="C5421" t="str">
        <f t="shared" si="315"/>
        <v>239</v>
      </c>
      <c r="D5421" t="str">
        <f>"9"</f>
        <v>9</v>
      </c>
      <c r="E5421" t="str">
        <f>"1-239-9"</f>
        <v>1-239-9</v>
      </c>
      <c r="F5421" t="s">
        <v>83</v>
      </c>
      <c r="G5421" t="s">
        <v>84</v>
      </c>
      <c r="H5421" t="s">
        <v>85</v>
      </c>
      <c r="AC5421">
        <v>0</v>
      </c>
      <c r="AD5421">
        <v>1</v>
      </c>
      <c r="AE5421">
        <v>0</v>
      </c>
      <c r="AF5421">
        <v>0</v>
      </c>
      <c r="AG5421">
        <v>0</v>
      </c>
      <c r="AJ5421">
        <v>0</v>
      </c>
      <c r="AK5421">
        <v>1</v>
      </c>
      <c r="AL5421">
        <v>0</v>
      </c>
      <c r="AM5421">
        <v>0</v>
      </c>
      <c r="AN5421">
        <v>1</v>
      </c>
      <c r="AO5421">
        <v>0</v>
      </c>
      <c r="AP5421">
        <v>0</v>
      </c>
      <c r="AQ5421">
        <v>0</v>
      </c>
      <c r="AR5421">
        <v>0</v>
      </c>
      <c r="AS5421">
        <v>0</v>
      </c>
      <c r="AT5421">
        <v>1</v>
      </c>
      <c r="AV5421">
        <v>0</v>
      </c>
      <c r="AW5421">
        <v>0</v>
      </c>
    </row>
    <row r="5422" spans="1:49" x14ac:dyDescent="0.25">
      <c r="A5422" t="str">
        <f>"5418"</f>
        <v>5418</v>
      </c>
      <c r="B5422" t="str">
        <f t="shared" si="314"/>
        <v>1</v>
      </c>
      <c r="C5422" t="str">
        <f t="shared" si="315"/>
        <v>239</v>
      </c>
      <c r="D5422" t="str">
        <f>"5"</f>
        <v>5</v>
      </c>
      <c r="E5422" t="str">
        <f>"1-239-5"</f>
        <v>1-239-5</v>
      </c>
      <c r="F5422" t="s">
        <v>83</v>
      </c>
      <c r="G5422" t="s">
        <v>84</v>
      </c>
      <c r="H5422" t="s">
        <v>85</v>
      </c>
      <c r="AC5422">
        <v>0</v>
      </c>
      <c r="AD5422">
        <v>1</v>
      </c>
      <c r="AE5422">
        <v>0</v>
      </c>
      <c r="AF5422">
        <v>0</v>
      </c>
      <c r="AG5422">
        <v>0</v>
      </c>
      <c r="AJ5422">
        <v>1</v>
      </c>
      <c r="AK5422">
        <v>0</v>
      </c>
      <c r="AL5422">
        <v>0</v>
      </c>
      <c r="AM5422">
        <v>0</v>
      </c>
      <c r="AN5422">
        <v>1</v>
      </c>
      <c r="AO5422">
        <v>0</v>
      </c>
      <c r="AP5422">
        <v>0</v>
      </c>
      <c r="AQ5422">
        <v>0</v>
      </c>
      <c r="AR5422">
        <v>1</v>
      </c>
      <c r="AS5422">
        <v>1</v>
      </c>
      <c r="AT5422">
        <v>0</v>
      </c>
      <c r="AV5422">
        <v>0</v>
      </c>
      <c r="AW5422">
        <v>1</v>
      </c>
    </row>
    <row r="5423" spans="1:49" x14ac:dyDescent="0.25">
      <c r="A5423" t="str">
        <f>"5419"</f>
        <v>5419</v>
      </c>
      <c r="B5423" t="str">
        <f t="shared" si="314"/>
        <v>1</v>
      </c>
      <c r="C5423" t="str">
        <f t="shared" si="315"/>
        <v>239</v>
      </c>
      <c r="D5423" t="str">
        <f>"17"</f>
        <v>17</v>
      </c>
      <c r="E5423" t="str">
        <f>"1-239-17"</f>
        <v>1-239-17</v>
      </c>
      <c r="F5423" t="s">
        <v>83</v>
      </c>
      <c r="G5423" t="s">
        <v>84</v>
      </c>
      <c r="H5423" t="s">
        <v>92</v>
      </c>
      <c r="I5423">
        <v>1</v>
      </c>
      <c r="J5423">
        <v>1</v>
      </c>
      <c r="N5423">
        <v>1</v>
      </c>
      <c r="O5423">
        <v>1</v>
      </c>
      <c r="P5423">
        <v>1</v>
      </c>
      <c r="Q5423">
        <v>1</v>
      </c>
      <c r="R5423">
        <v>1</v>
      </c>
      <c r="S5423">
        <v>1</v>
      </c>
      <c r="T5423">
        <v>1</v>
      </c>
      <c r="W5423">
        <v>1</v>
      </c>
      <c r="X5423">
        <v>1</v>
      </c>
      <c r="Y5423">
        <v>1</v>
      </c>
      <c r="Z5423">
        <v>1</v>
      </c>
      <c r="AA5423">
        <v>1</v>
      </c>
      <c r="AB5423">
        <v>1</v>
      </c>
    </row>
    <row r="5424" spans="1:49" x14ac:dyDescent="0.25">
      <c r="A5424" t="str">
        <f>"5420"</f>
        <v>5420</v>
      </c>
      <c r="B5424" t="str">
        <f t="shared" si="314"/>
        <v>1</v>
      </c>
      <c r="C5424" t="str">
        <f t="shared" si="315"/>
        <v>239</v>
      </c>
      <c r="D5424" t="str">
        <f>"10"</f>
        <v>10</v>
      </c>
      <c r="E5424" t="str">
        <f>"1-239-10"</f>
        <v>1-239-10</v>
      </c>
      <c r="F5424" t="s">
        <v>83</v>
      </c>
      <c r="G5424" t="s">
        <v>84</v>
      </c>
      <c r="H5424" t="s">
        <v>92</v>
      </c>
      <c r="I5424">
        <v>1</v>
      </c>
      <c r="J5424">
        <v>1</v>
      </c>
      <c r="N5424">
        <v>1</v>
      </c>
      <c r="O5424">
        <v>1</v>
      </c>
      <c r="P5424">
        <v>1</v>
      </c>
      <c r="Q5424">
        <v>1</v>
      </c>
      <c r="R5424">
        <v>1</v>
      </c>
      <c r="S5424">
        <v>1</v>
      </c>
      <c r="T5424">
        <v>1</v>
      </c>
      <c r="W5424">
        <v>1</v>
      </c>
      <c r="X5424">
        <v>1</v>
      </c>
      <c r="Y5424">
        <v>1</v>
      </c>
      <c r="Z5424">
        <v>1</v>
      </c>
      <c r="AA5424">
        <v>1</v>
      </c>
      <c r="AB5424">
        <v>1</v>
      </c>
    </row>
    <row r="5425" spans="1:49" x14ac:dyDescent="0.25">
      <c r="A5425" t="str">
        <f>"5421"</f>
        <v>5421</v>
      </c>
      <c r="B5425" t="str">
        <f t="shared" si="314"/>
        <v>1</v>
      </c>
      <c r="C5425" t="str">
        <f t="shared" si="315"/>
        <v>239</v>
      </c>
      <c r="D5425" t="str">
        <f>"1"</f>
        <v>1</v>
      </c>
      <c r="E5425" t="str">
        <f>"1-239-1"</f>
        <v>1-239-1</v>
      </c>
      <c r="F5425" t="s">
        <v>83</v>
      </c>
      <c r="G5425" t="s">
        <v>84</v>
      </c>
      <c r="H5425" t="s">
        <v>85</v>
      </c>
      <c r="AC5425">
        <v>0</v>
      </c>
      <c r="AD5425">
        <v>1</v>
      </c>
      <c r="AE5425">
        <v>0</v>
      </c>
      <c r="AF5425">
        <v>0</v>
      </c>
      <c r="AG5425">
        <v>1</v>
      </c>
      <c r="AJ5425">
        <v>1</v>
      </c>
      <c r="AK5425">
        <v>0</v>
      </c>
      <c r="AL5425">
        <v>0</v>
      </c>
      <c r="AM5425">
        <v>0</v>
      </c>
      <c r="AN5425">
        <v>1</v>
      </c>
      <c r="AO5425">
        <v>1</v>
      </c>
      <c r="AP5425">
        <v>1</v>
      </c>
      <c r="AQ5425">
        <v>1</v>
      </c>
      <c r="AR5425">
        <v>1</v>
      </c>
      <c r="AS5425">
        <v>0</v>
      </c>
      <c r="AT5425">
        <v>1</v>
      </c>
      <c r="AV5425">
        <v>1</v>
      </c>
      <c r="AW5425">
        <v>1</v>
      </c>
    </row>
    <row r="5426" spans="1:49" x14ac:dyDescent="0.25">
      <c r="A5426" t="str">
        <f>"5422"</f>
        <v>5422</v>
      </c>
      <c r="B5426" t="str">
        <f t="shared" si="314"/>
        <v>1</v>
      </c>
      <c r="C5426" t="str">
        <f t="shared" si="315"/>
        <v>239</v>
      </c>
      <c r="D5426" t="str">
        <f>"18"</f>
        <v>18</v>
      </c>
      <c r="E5426" t="str">
        <f>"1-239-18"</f>
        <v>1-239-18</v>
      </c>
      <c r="F5426" t="s">
        <v>83</v>
      </c>
      <c r="G5426" t="s">
        <v>84</v>
      </c>
      <c r="H5426" t="s">
        <v>92</v>
      </c>
      <c r="I5426">
        <v>1</v>
      </c>
      <c r="J5426">
        <v>1</v>
      </c>
      <c r="N5426">
        <v>1</v>
      </c>
      <c r="O5426">
        <v>0</v>
      </c>
      <c r="P5426">
        <v>0</v>
      </c>
      <c r="Q5426">
        <v>1</v>
      </c>
      <c r="R5426">
        <v>1</v>
      </c>
      <c r="S5426">
        <v>1</v>
      </c>
      <c r="T5426">
        <v>1</v>
      </c>
      <c r="W5426">
        <v>1</v>
      </c>
      <c r="X5426">
        <v>1</v>
      </c>
      <c r="Y5426">
        <v>1</v>
      </c>
      <c r="Z5426">
        <v>1</v>
      </c>
      <c r="AA5426">
        <v>1</v>
      </c>
      <c r="AB5426">
        <v>1</v>
      </c>
    </row>
    <row r="5427" spans="1:49" x14ac:dyDescent="0.25">
      <c r="A5427" t="str">
        <f>"5423"</f>
        <v>5423</v>
      </c>
      <c r="B5427" t="str">
        <f t="shared" si="314"/>
        <v>1</v>
      </c>
      <c r="C5427" t="str">
        <f t="shared" si="315"/>
        <v>239</v>
      </c>
      <c r="D5427" t="str">
        <f>"11"</f>
        <v>11</v>
      </c>
      <c r="E5427" t="str">
        <f>"1-239-11"</f>
        <v>1-239-11</v>
      </c>
      <c r="F5427" t="s">
        <v>83</v>
      </c>
      <c r="G5427" t="s">
        <v>84</v>
      </c>
      <c r="H5427" t="s">
        <v>85</v>
      </c>
      <c r="AC5427">
        <v>1</v>
      </c>
      <c r="AD5427">
        <v>0</v>
      </c>
      <c r="AE5427">
        <v>0</v>
      </c>
      <c r="AF5427">
        <v>0</v>
      </c>
      <c r="AG5427">
        <v>0</v>
      </c>
      <c r="AJ5427">
        <v>0</v>
      </c>
      <c r="AK5427">
        <v>1</v>
      </c>
      <c r="AL5427">
        <v>1</v>
      </c>
      <c r="AM5427">
        <v>0</v>
      </c>
      <c r="AN5427">
        <v>0</v>
      </c>
      <c r="AO5427">
        <v>0</v>
      </c>
      <c r="AP5427">
        <v>0</v>
      </c>
      <c r="AQ5427">
        <v>0</v>
      </c>
      <c r="AR5427">
        <v>0</v>
      </c>
      <c r="AS5427">
        <v>0</v>
      </c>
      <c r="AT5427">
        <v>0</v>
      </c>
      <c r="AV5427">
        <v>0</v>
      </c>
      <c r="AW5427">
        <v>0</v>
      </c>
    </row>
    <row r="5428" spans="1:49" x14ac:dyDescent="0.25">
      <c r="A5428" t="str">
        <f>"5424"</f>
        <v>5424</v>
      </c>
      <c r="B5428" t="str">
        <f t="shared" si="314"/>
        <v>1</v>
      </c>
      <c r="C5428" t="str">
        <f t="shared" si="315"/>
        <v>239</v>
      </c>
      <c r="D5428" t="str">
        <f>"2"</f>
        <v>2</v>
      </c>
      <c r="E5428" t="str">
        <f>"1-239-2"</f>
        <v>1-239-2</v>
      </c>
      <c r="F5428" t="s">
        <v>83</v>
      </c>
      <c r="G5428" t="s">
        <v>86</v>
      </c>
      <c r="H5428" t="s">
        <v>87</v>
      </c>
      <c r="AC5428">
        <v>0</v>
      </c>
      <c r="AD5428">
        <v>0</v>
      </c>
      <c r="AE5428">
        <v>0</v>
      </c>
      <c r="AF5428">
        <v>0</v>
      </c>
      <c r="AH5428">
        <v>0</v>
      </c>
      <c r="AI5428">
        <v>1</v>
      </c>
      <c r="AJ5428">
        <v>0</v>
      </c>
      <c r="AK5428">
        <v>0</v>
      </c>
      <c r="AL5428">
        <v>0</v>
      </c>
      <c r="AM5428">
        <v>0</v>
      </c>
      <c r="AN5428">
        <v>0</v>
      </c>
      <c r="AO5428">
        <v>0</v>
      </c>
      <c r="AP5428">
        <v>0</v>
      </c>
      <c r="AQ5428">
        <v>0</v>
      </c>
      <c r="AU5428">
        <v>0</v>
      </c>
      <c r="AV5428">
        <v>0</v>
      </c>
      <c r="AW5428">
        <v>0</v>
      </c>
    </row>
    <row r="5429" spans="1:49" x14ac:dyDescent="0.25">
      <c r="A5429" t="str">
        <f>"5425"</f>
        <v>5425</v>
      </c>
      <c r="B5429" t="str">
        <f t="shared" si="314"/>
        <v>1</v>
      </c>
      <c r="C5429" t="str">
        <f t="shared" si="315"/>
        <v>239</v>
      </c>
      <c r="D5429" t="str">
        <f>"19"</f>
        <v>19</v>
      </c>
      <c r="E5429" t="str">
        <f>"1-239-19"</f>
        <v>1-239-19</v>
      </c>
      <c r="F5429" t="s">
        <v>83</v>
      </c>
      <c r="G5429" t="s">
        <v>84</v>
      </c>
      <c r="H5429" t="s">
        <v>85</v>
      </c>
      <c r="AC5429">
        <v>0</v>
      </c>
      <c r="AD5429">
        <v>1</v>
      </c>
      <c r="AE5429">
        <v>0</v>
      </c>
      <c r="AF5429">
        <v>0</v>
      </c>
      <c r="AG5429">
        <v>0</v>
      </c>
      <c r="AJ5429">
        <v>1</v>
      </c>
      <c r="AK5429">
        <v>0</v>
      </c>
      <c r="AL5429">
        <v>0</v>
      </c>
      <c r="AM5429">
        <v>0</v>
      </c>
      <c r="AN5429">
        <v>1</v>
      </c>
      <c r="AO5429">
        <v>0</v>
      </c>
      <c r="AP5429">
        <v>0</v>
      </c>
      <c r="AQ5429">
        <v>0</v>
      </c>
      <c r="AR5429">
        <v>0</v>
      </c>
      <c r="AS5429">
        <v>0</v>
      </c>
      <c r="AT5429">
        <v>0</v>
      </c>
      <c r="AV5429">
        <v>0</v>
      </c>
      <c r="AW5429">
        <v>0</v>
      </c>
    </row>
    <row r="5430" spans="1:49" x14ac:dyDescent="0.25">
      <c r="A5430" t="str">
        <f>"5426"</f>
        <v>5426</v>
      </c>
      <c r="B5430" t="str">
        <f t="shared" si="314"/>
        <v>1</v>
      </c>
      <c r="C5430" t="str">
        <f t="shared" si="315"/>
        <v>239</v>
      </c>
      <c r="D5430" t="str">
        <f>"12"</f>
        <v>12</v>
      </c>
      <c r="E5430" t="str">
        <f>"1-239-12"</f>
        <v>1-239-12</v>
      </c>
      <c r="F5430" t="s">
        <v>83</v>
      </c>
      <c r="G5430" t="s">
        <v>84</v>
      </c>
      <c r="H5430" t="s">
        <v>85</v>
      </c>
      <c r="AC5430">
        <v>0</v>
      </c>
      <c r="AD5430">
        <v>1</v>
      </c>
      <c r="AE5430">
        <v>0</v>
      </c>
      <c r="AF5430">
        <v>0</v>
      </c>
      <c r="AG5430">
        <v>1</v>
      </c>
      <c r="AJ5430">
        <v>0</v>
      </c>
      <c r="AK5430">
        <v>1</v>
      </c>
      <c r="AL5430">
        <v>0</v>
      </c>
      <c r="AM5430">
        <v>0</v>
      </c>
      <c r="AN5430">
        <v>1</v>
      </c>
      <c r="AO5430">
        <v>1</v>
      </c>
      <c r="AP5430">
        <v>1</v>
      </c>
      <c r="AQ5430">
        <v>1</v>
      </c>
      <c r="AR5430">
        <v>1</v>
      </c>
      <c r="AS5430">
        <v>0</v>
      </c>
      <c r="AT5430">
        <v>1</v>
      </c>
      <c r="AV5430">
        <v>1</v>
      </c>
      <c r="AW5430">
        <v>1</v>
      </c>
    </row>
    <row r="5431" spans="1:49" x14ac:dyDescent="0.25">
      <c r="A5431" t="str">
        <f>"5427"</f>
        <v>5427</v>
      </c>
      <c r="B5431" t="str">
        <f t="shared" si="314"/>
        <v>1</v>
      </c>
      <c r="C5431" t="str">
        <f t="shared" si="315"/>
        <v>239</v>
      </c>
      <c r="D5431" t="str">
        <f>"6"</f>
        <v>6</v>
      </c>
      <c r="E5431" t="str">
        <f>"1-239-6"</f>
        <v>1-239-6</v>
      </c>
      <c r="F5431" t="s">
        <v>83</v>
      </c>
      <c r="G5431" t="s">
        <v>84</v>
      </c>
      <c r="H5431" t="s">
        <v>92</v>
      </c>
      <c r="I5431">
        <v>1</v>
      </c>
      <c r="J5431">
        <v>1</v>
      </c>
      <c r="N5431">
        <v>1</v>
      </c>
      <c r="O5431">
        <v>1</v>
      </c>
      <c r="P5431">
        <v>1</v>
      </c>
      <c r="Q5431">
        <v>1</v>
      </c>
      <c r="R5431">
        <v>1</v>
      </c>
      <c r="S5431">
        <v>1</v>
      </c>
      <c r="T5431">
        <v>1</v>
      </c>
      <c r="W5431">
        <v>1</v>
      </c>
      <c r="X5431">
        <v>1</v>
      </c>
      <c r="Y5431">
        <v>1</v>
      </c>
      <c r="Z5431">
        <v>1</v>
      </c>
      <c r="AA5431">
        <v>1</v>
      </c>
      <c r="AB5431">
        <v>1</v>
      </c>
    </row>
    <row r="5432" spans="1:49" x14ac:dyDescent="0.25">
      <c r="A5432" t="str">
        <f>"5428"</f>
        <v>5428</v>
      </c>
      <c r="B5432" t="str">
        <f t="shared" si="314"/>
        <v>1</v>
      </c>
      <c r="C5432" t="str">
        <f t="shared" si="315"/>
        <v>239</v>
      </c>
      <c r="D5432" t="str">
        <f>"20"</f>
        <v>20</v>
      </c>
      <c r="E5432" t="str">
        <f>"1-239-20"</f>
        <v>1-239-20</v>
      </c>
      <c r="F5432" t="s">
        <v>83</v>
      </c>
      <c r="G5432" t="s">
        <v>84</v>
      </c>
      <c r="H5432" t="s">
        <v>92</v>
      </c>
      <c r="I5432">
        <v>1</v>
      </c>
      <c r="J5432">
        <v>1</v>
      </c>
      <c r="N5432">
        <v>1</v>
      </c>
      <c r="O5432">
        <v>1</v>
      </c>
      <c r="P5432">
        <v>1</v>
      </c>
      <c r="Q5432">
        <v>1</v>
      </c>
      <c r="R5432">
        <v>1</v>
      </c>
      <c r="S5432">
        <v>1</v>
      </c>
      <c r="T5432">
        <v>1</v>
      </c>
      <c r="W5432">
        <v>1</v>
      </c>
      <c r="X5432">
        <v>1</v>
      </c>
      <c r="Y5432">
        <v>1</v>
      </c>
      <c r="Z5432">
        <v>1</v>
      </c>
      <c r="AA5432">
        <v>1</v>
      </c>
      <c r="AB5432">
        <v>1</v>
      </c>
    </row>
    <row r="5433" spans="1:49" x14ac:dyDescent="0.25">
      <c r="A5433" t="str">
        <f>"5429"</f>
        <v>5429</v>
      </c>
      <c r="B5433" t="str">
        <f t="shared" si="314"/>
        <v>1</v>
      </c>
      <c r="C5433" t="str">
        <f t="shared" si="315"/>
        <v>239</v>
      </c>
      <c r="D5433" t="str">
        <f>"13"</f>
        <v>13</v>
      </c>
      <c r="E5433" t="str">
        <f>"1-239-13"</f>
        <v>1-239-13</v>
      </c>
      <c r="F5433" t="s">
        <v>83</v>
      </c>
      <c r="G5433" t="s">
        <v>84</v>
      </c>
      <c r="H5433" t="s">
        <v>92</v>
      </c>
      <c r="I5433">
        <v>1</v>
      </c>
      <c r="J5433">
        <v>1</v>
      </c>
      <c r="N5433">
        <v>1</v>
      </c>
      <c r="O5433">
        <v>1</v>
      </c>
      <c r="P5433">
        <v>0</v>
      </c>
      <c r="Q5433">
        <v>1</v>
      </c>
      <c r="R5433">
        <v>0</v>
      </c>
      <c r="S5433">
        <v>1</v>
      </c>
      <c r="T5433">
        <v>0</v>
      </c>
      <c r="W5433">
        <v>1</v>
      </c>
      <c r="X5433">
        <v>0</v>
      </c>
      <c r="Y5433">
        <v>1</v>
      </c>
      <c r="Z5433">
        <v>0</v>
      </c>
      <c r="AA5433">
        <v>0</v>
      </c>
      <c r="AB5433">
        <v>1</v>
      </c>
    </row>
    <row r="5434" spans="1:49" x14ac:dyDescent="0.25">
      <c r="A5434" t="str">
        <f>"5430"</f>
        <v>5430</v>
      </c>
      <c r="B5434" t="str">
        <f t="shared" si="314"/>
        <v>1</v>
      </c>
      <c r="C5434" t="str">
        <f t="shared" si="315"/>
        <v>239</v>
      </c>
      <c r="D5434" t="str">
        <f>"4"</f>
        <v>4</v>
      </c>
      <c r="E5434" t="str">
        <f>"1-239-4"</f>
        <v>1-239-4</v>
      </c>
      <c r="F5434" t="s">
        <v>83</v>
      </c>
      <c r="G5434" t="s">
        <v>84</v>
      </c>
      <c r="H5434" t="s">
        <v>92</v>
      </c>
      <c r="I5434">
        <v>1</v>
      </c>
      <c r="J5434">
        <v>1</v>
      </c>
      <c r="N5434">
        <v>1</v>
      </c>
      <c r="O5434">
        <v>1</v>
      </c>
      <c r="P5434">
        <v>1</v>
      </c>
      <c r="Q5434">
        <v>1</v>
      </c>
      <c r="R5434">
        <v>1</v>
      </c>
      <c r="S5434">
        <v>1</v>
      </c>
      <c r="T5434">
        <v>1</v>
      </c>
      <c r="W5434">
        <v>1</v>
      </c>
      <c r="X5434">
        <v>1</v>
      </c>
      <c r="Y5434">
        <v>0</v>
      </c>
      <c r="Z5434">
        <v>1</v>
      </c>
      <c r="AA5434">
        <v>1</v>
      </c>
      <c r="AB5434">
        <v>1</v>
      </c>
    </row>
    <row r="5435" spans="1:49" x14ac:dyDescent="0.25">
      <c r="A5435" t="str">
        <f>"5431"</f>
        <v>5431</v>
      </c>
      <c r="B5435" t="str">
        <f t="shared" si="314"/>
        <v>1</v>
      </c>
      <c r="C5435" t="str">
        <f t="shared" si="315"/>
        <v>239</v>
      </c>
      <c r="D5435" t="str">
        <f>"21"</f>
        <v>21</v>
      </c>
      <c r="E5435" t="str">
        <f>"1-239-21"</f>
        <v>1-239-21</v>
      </c>
      <c r="F5435" t="s">
        <v>83</v>
      </c>
      <c r="G5435" t="s">
        <v>84</v>
      </c>
      <c r="H5435" t="s">
        <v>92</v>
      </c>
      <c r="I5435">
        <v>1</v>
      </c>
      <c r="J5435">
        <v>1</v>
      </c>
      <c r="N5435">
        <v>1</v>
      </c>
      <c r="O5435">
        <v>1</v>
      </c>
      <c r="P5435">
        <v>1</v>
      </c>
      <c r="Q5435">
        <v>1</v>
      </c>
      <c r="R5435">
        <v>1</v>
      </c>
      <c r="S5435">
        <v>1</v>
      </c>
      <c r="T5435">
        <v>1</v>
      </c>
      <c r="W5435">
        <v>1</v>
      </c>
      <c r="X5435">
        <v>1</v>
      </c>
      <c r="Y5435">
        <v>1</v>
      </c>
      <c r="Z5435">
        <v>1</v>
      </c>
      <c r="AA5435">
        <v>1</v>
      </c>
      <c r="AB5435">
        <v>1</v>
      </c>
    </row>
    <row r="5436" spans="1:49" x14ac:dyDescent="0.25">
      <c r="A5436" t="str">
        <f>"5432"</f>
        <v>5432</v>
      </c>
      <c r="B5436" t="str">
        <f t="shared" si="314"/>
        <v>1</v>
      </c>
      <c r="C5436" t="str">
        <f t="shared" si="315"/>
        <v>239</v>
      </c>
      <c r="D5436" t="str">
        <f>"14"</f>
        <v>14</v>
      </c>
      <c r="E5436" t="str">
        <f>"1-239-14"</f>
        <v>1-239-14</v>
      </c>
      <c r="F5436" t="s">
        <v>83</v>
      </c>
      <c r="G5436" t="s">
        <v>84</v>
      </c>
      <c r="H5436" t="s">
        <v>92</v>
      </c>
      <c r="I5436">
        <v>1</v>
      </c>
      <c r="J5436">
        <v>1</v>
      </c>
      <c r="N5436">
        <v>1</v>
      </c>
      <c r="O5436">
        <v>1</v>
      </c>
      <c r="P5436">
        <v>1</v>
      </c>
      <c r="Q5436">
        <v>1</v>
      </c>
      <c r="R5436">
        <v>1</v>
      </c>
      <c r="S5436">
        <v>1</v>
      </c>
      <c r="T5436">
        <v>1</v>
      </c>
      <c r="W5436">
        <v>1</v>
      </c>
      <c r="X5436">
        <v>1</v>
      </c>
      <c r="Y5436">
        <v>1</v>
      </c>
      <c r="Z5436">
        <v>1</v>
      </c>
      <c r="AA5436">
        <v>1</v>
      </c>
      <c r="AB5436">
        <v>1</v>
      </c>
    </row>
    <row r="5437" spans="1:49" x14ac:dyDescent="0.25">
      <c r="A5437" t="str">
        <f>"5433"</f>
        <v>5433</v>
      </c>
      <c r="B5437" t="str">
        <f t="shared" si="314"/>
        <v>1</v>
      </c>
      <c r="C5437" t="str">
        <f t="shared" si="315"/>
        <v>239</v>
      </c>
      <c r="D5437" t="str">
        <f>"7"</f>
        <v>7</v>
      </c>
      <c r="E5437" t="str">
        <f>"1-239-7"</f>
        <v>1-239-7</v>
      </c>
      <c r="F5437" t="s">
        <v>83</v>
      </c>
      <c r="G5437" t="s">
        <v>84</v>
      </c>
      <c r="H5437" t="s">
        <v>85</v>
      </c>
      <c r="AC5437">
        <v>0</v>
      </c>
      <c r="AD5437">
        <v>1</v>
      </c>
      <c r="AE5437">
        <v>0</v>
      </c>
      <c r="AF5437">
        <v>0</v>
      </c>
      <c r="AG5437">
        <v>1</v>
      </c>
      <c r="AJ5437">
        <v>1</v>
      </c>
      <c r="AK5437">
        <v>0</v>
      </c>
      <c r="AL5437">
        <v>1</v>
      </c>
      <c r="AM5437">
        <v>0</v>
      </c>
      <c r="AN5437">
        <v>0</v>
      </c>
      <c r="AO5437">
        <v>0</v>
      </c>
      <c r="AP5437">
        <v>0</v>
      </c>
      <c r="AQ5437">
        <v>0</v>
      </c>
      <c r="AR5437">
        <v>0</v>
      </c>
      <c r="AS5437">
        <v>1</v>
      </c>
      <c r="AT5437">
        <v>0</v>
      </c>
      <c r="AV5437">
        <v>0</v>
      </c>
      <c r="AW5437">
        <v>0</v>
      </c>
    </row>
    <row r="5438" spans="1:49" x14ac:dyDescent="0.25">
      <c r="A5438" t="str">
        <f>"5434"</f>
        <v>5434</v>
      </c>
      <c r="B5438" t="str">
        <f t="shared" si="314"/>
        <v>1</v>
      </c>
      <c r="C5438" t="str">
        <f t="shared" ref="C5438:C5452" si="316">"240"</f>
        <v>240</v>
      </c>
      <c r="D5438" t="str">
        <f>"15"</f>
        <v>15</v>
      </c>
      <c r="E5438" t="str">
        <f>"1-240-15"</f>
        <v>1-240-15</v>
      </c>
      <c r="F5438" t="s">
        <v>83</v>
      </c>
      <c r="G5438" t="s">
        <v>86</v>
      </c>
      <c r="H5438" t="s">
        <v>87</v>
      </c>
      <c r="AC5438">
        <v>0</v>
      </c>
      <c r="AD5438">
        <v>1</v>
      </c>
      <c r="AE5438">
        <v>0</v>
      </c>
      <c r="AF5438">
        <v>0</v>
      </c>
      <c r="AH5438">
        <v>1</v>
      </c>
      <c r="AI5438">
        <v>0</v>
      </c>
      <c r="AJ5438">
        <v>0</v>
      </c>
      <c r="AK5438">
        <v>1</v>
      </c>
      <c r="AL5438">
        <v>0</v>
      </c>
      <c r="AM5438">
        <v>0</v>
      </c>
      <c r="AN5438">
        <v>1</v>
      </c>
      <c r="AO5438">
        <v>1</v>
      </c>
      <c r="AP5438">
        <v>0</v>
      </c>
      <c r="AQ5438">
        <v>0</v>
      </c>
      <c r="AU5438">
        <v>1</v>
      </c>
      <c r="AV5438">
        <v>1</v>
      </c>
      <c r="AW5438">
        <v>1</v>
      </c>
    </row>
    <row r="5439" spans="1:49" x14ac:dyDescent="0.25">
      <c r="A5439" t="str">
        <f>"5435"</f>
        <v>5435</v>
      </c>
      <c r="B5439" t="str">
        <f t="shared" si="314"/>
        <v>1</v>
      </c>
      <c r="C5439" t="str">
        <f t="shared" si="316"/>
        <v>240</v>
      </c>
      <c r="D5439" t="str">
        <f>"14"</f>
        <v>14</v>
      </c>
      <c r="E5439" t="str">
        <f>"1-240-14"</f>
        <v>1-240-14</v>
      </c>
      <c r="F5439" t="s">
        <v>83</v>
      </c>
      <c r="G5439" t="s">
        <v>86</v>
      </c>
      <c r="H5439" t="s">
        <v>87</v>
      </c>
      <c r="AC5439">
        <v>0</v>
      </c>
      <c r="AD5439">
        <v>1</v>
      </c>
      <c r="AE5439">
        <v>0</v>
      </c>
      <c r="AF5439">
        <v>0</v>
      </c>
      <c r="AH5439">
        <v>1</v>
      </c>
      <c r="AI5439">
        <v>0</v>
      </c>
      <c r="AJ5439">
        <v>1</v>
      </c>
      <c r="AK5439">
        <v>0</v>
      </c>
      <c r="AL5439">
        <v>0</v>
      </c>
      <c r="AM5439">
        <v>1</v>
      </c>
      <c r="AN5439">
        <v>0</v>
      </c>
      <c r="AO5439">
        <v>1</v>
      </c>
      <c r="AP5439">
        <v>1</v>
      </c>
      <c r="AQ5439">
        <v>1</v>
      </c>
      <c r="AU5439">
        <v>1</v>
      </c>
      <c r="AV5439">
        <v>1</v>
      </c>
      <c r="AW5439">
        <v>1</v>
      </c>
    </row>
    <row r="5440" spans="1:49" x14ac:dyDescent="0.25">
      <c r="A5440" t="str">
        <f>"5436"</f>
        <v>5436</v>
      </c>
      <c r="B5440" t="str">
        <f t="shared" si="314"/>
        <v>1</v>
      </c>
      <c r="C5440" t="str">
        <f t="shared" si="316"/>
        <v>240</v>
      </c>
      <c r="D5440" t="str">
        <f>"9"</f>
        <v>9</v>
      </c>
      <c r="E5440" t="str">
        <f>"1-240-9"</f>
        <v>1-240-9</v>
      </c>
      <c r="F5440" t="s">
        <v>83</v>
      </c>
      <c r="G5440" t="s">
        <v>84</v>
      </c>
      <c r="H5440" t="s">
        <v>92</v>
      </c>
      <c r="I5440">
        <v>1</v>
      </c>
      <c r="J5440">
        <v>1</v>
      </c>
      <c r="N5440">
        <v>1</v>
      </c>
      <c r="O5440">
        <v>1</v>
      </c>
      <c r="P5440">
        <v>1</v>
      </c>
      <c r="Q5440">
        <v>1</v>
      </c>
      <c r="R5440">
        <v>0</v>
      </c>
      <c r="S5440">
        <v>1</v>
      </c>
      <c r="T5440">
        <v>0</v>
      </c>
      <c r="W5440">
        <v>0</v>
      </c>
      <c r="X5440">
        <v>1</v>
      </c>
      <c r="Y5440">
        <v>1</v>
      </c>
      <c r="Z5440">
        <v>1</v>
      </c>
      <c r="AA5440">
        <v>0</v>
      </c>
      <c r="AB5440">
        <v>0</v>
      </c>
    </row>
    <row r="5441" spans="1:49" x14ac:dyDescent="0.25">
      <c r="A5441" t="str">
        <f>"5437"</f>
        <v>5437</v>
      </c>
      <c r="B5441" t="str">
        <f t="shared" si="314"/>
        <v>1</v>
      </c>
      <c r="C5441" t="str">
        <f t="shared" si="316"/>
        <v>240</v>
      </c>
      <c r="D5441" t="str">
        <f>"8"</f>
        <v>8</v>
      </c>
      <c r="E5441" t="str">
        <f>"1-240-8"</f>
        <v>1-240-8</v>
      </c>
      <c r="F5441" t="s">
        <v>83</v>
      </c>
      <c r="G5441" t="s">
        <v>86</v>
      </c>
      <c r="H5441" t="s">
        <v>93</v>
      </c>
      <c r="I5441">
        <v>1</v>
      </c>
      <c r="K5441">
        <v>0</v>
      </c>
      <c r="L5441">
        <v>0</v>
      </c>
      <c r="M5441">
        <v>1</v>
      </c>
      <c r="N5441">
        <v>1</v>
      </c>
      <c r="O5441">
        <v>1</v>
      </c>
      <c r="P5441">
        <v>1</v>
      </c>
      <c r="Q5441">
        <v>1</v>
      </c>
      <c r="R5441">
        <v>1</v>
      </c>
      <c r="U5441">
        <v>0</v>
      </c>
      <c r="V5441">
        <v>1</v>
      </c>
      <c r="W5441">
        <v>1</v>
      </c>
      <c r="X5441">
        <v>1</v>
      </c>
      <c r="Y5441">
        <v>1</v>
      </c>
      <c r="Z5441">
        <v>1</v>
      </c>
      <c r="AA5441">
        <v>1</v>
      </c>
      <c r="AB5441">
        <v>1</v>
      </c>
    </row>
    <row r="5442" spans="1:49" x14ac:dyDescent="0.25">
      <c r="A5442" t="str">
        <f>"5438"</f>
        <v>5438</v>
      </c>
      <c r="B5442" t="str">
        <f t="shared" si="314"/>
        <v>1</v>
      </c>
      <c r="C5442" t="str">
        <f t="shared" si="316"/>
        <v>240</v>
      </c>
      <c r="D5442" t="str">
        <f>"3"</f>
        <v>3</v>
      </c>
      <c r="E5442" t="str">
        <f>"1-240-3"</f>
        <v>1-240-3</v>
      </c>
      <c r="F5442" t="s">
        <v>83</v>
      </c>
      <c r="G5442" t="s">
        <v>86</v>
      </c>
      <c r="H5442" t="s">
        <v>87</v>
      </c>
      <c r="AC5442">
        <v>1</v>
      </c>
      <c r="AD5442">
        <v>0</v>
      </c>
      <c r="AE5442">
        <v>0</v>
      </c>
      <c r="AF5442">
        <v>0</v>
      </c>
      <c r="AH5442">
        <v>1</v>
      </c>
      <c r="AI5442">
        <v>0</v>
      </c>
      <c r="AJ5442">
        <v>1</v>
      </c>
      <c r="AK5442">
        <v>0</v>
      </c>
      <c r="AL5442">
        <v>0</v>
      </c>
      <c r="AM5442">
        <v>1</v>
      </c>
      <c r="AN5442">
        <v>0</v>
      </c>
      <c r="AO5442">
        <v>1</v>
      </c>
      <c r="AP5442">
        <v>1</v>
      </c>
      <c r="AQ5442">
        <v>1</v>
      </c>
      <c r="AU5442">
        <v>1</v>
      </c>
      <c r="AV5442">
        <v>1</v>
      </c>
      <c r="AW5442">
        <v>1</v>
      </c>
    </row>
    <row r="5443" spans="1:49" x14ac:dyDescent="0.25">
      <c r="A5443" t="str">
        <f>"5439"</f>
        <v>5439</v>
      </c>
      <c r="B5443" t="str">
        <f t="shared" si="314"/>
        <v>1</v>
      </c>
      <c r="C5443" t="str">
        <f t="shared" si="316"/>
        <v>240</v>
      </c>
      <c r="D5443" t="str">
        <f>"10"</f>
        <v>10</v>
      </c>
      <c r="E5443" t="str">
        <f>"1-240-10"</f>
        <v>1-240-10</v>
      </c>
      <c r="F5443" t="s">
        <v>83</v>
      </c>
      <c r="G5443" t="s">
        <v>84</v>
      </c>
      <c r="H5443" t="s">
        <v>85</v>
      </c>
      <c r="AC5443">
        <v>0</v>
      </c>
      <c r="AD5443">
        <v>1</v>
      </c>
      <c r="AE5443">
        <v>0</v>
      </c>
      <c r="AF5443">
        <v>0</v>
      </c>
      <c r="AG5443">
        <v>1</v>
      </c>
      <c r="AJ5443">
        <v>1</v>
      </c>
      <c r="AK5443">
        <v>0</v>
      </c>
      <c r="AL5443">
        <v>0</v>
      </c>
      <c r="AM5443">
        <v>0</v>
      </c>
      <c r="AN5443">
        <v>1</v>
      </c>
      <c r="AO5443">
        <v>1</v>
      </c>
      <c r="AP5443">
        <v>1</v>
      </c>
      <c r="AQ5443">
        <v>1</v>
      </c>
      <c r="AR5443">
        <v>1</v>
      </c>
      <c r="AS5443">
        <v>1</v>
      </c>
      <c r="AT5443">
        <v>0</v>
      </c>
      <c r="AV5443">
        <v>1</v>
      </c>
      <c r="AW5443">
        <v>1</v>
      </c>
    </row>
    <row r="5444" spans="1:49" x14ac:dyDescent="0.25">
      <c r="A5444" t="str">
        <f>"5440"</f>
        <v>5440</v>
      </c>
      <c r="B5444" t="str">
        <f t="shared" si="314"/>
        <v>1</v>
      </c>
      <c r="C5444" t="str">
        <f t="shared" si="316"/>
        <v>240</v>
      </c>
      <c r="D5444" t="str">
        <f>"1"</f>
        <v>1</v>
      </c>
      <c r="E5444" t="str">
        <f>"1-240-1"</f>
        <v>1-240-1</v>
      </c>
      <c r="F5444" t="s">
        <v>83</v>
      </c>
      <c r="G5444" t="s">
        <v>86</v>
      </c>
      <c r="H5444" t="s">
        <v>87</v>
      </c>
      <c r="AC5444">
        <v>0</v>
      </c>
      <c r="AD5444">
        <v>0</v>
      </c>
      <c r="AE5444">
        <v>0</v>
      </c>
      <c r="AF5444">
        <v>0</v>
      </c>
      <c r="AH5444">
        <v>0</v>
      </c>
      <c r="AI5444">
        <v>1</v>
      </c>
      <c r="AJ5444">
        <v>0</v>
      </c>
      <c r="AK5444">
        <v>0</v>
      </c>
      <c r="AL5444">
        <v>0</v>
      </c>
      <c r="AM5444">
        <v>0</v>
      </c>
      <c r="AN5444">
        <v>0</v>
      </c>
      <c r="AO5444">
        <v>0</v>
      </c>
      <c r="AP5444">
        <v>0</v>
      </c>
      <c r="AQ5444">
        <v>0</v>
      </c>
      <c r="AU5444">
        <v>0</v>
      </c>
      <c r="AV5444">
        <v>0</v>
      </c>
      <c r="AW5444">
        <v>1</v>
      </c>
    </row>
    <row r="5445" spans="1:49" x14ac:dyDescent="0.25">
      <c r="A5445" t="str">
        <f>"5441"</f>
        <v>5441</v>
      </c>
      <c r="B5445" t="str">
        <f t="shared" si="314"/>
        <v>1</v>
      </c>
      <c r="C5445" t="str">
        <f t="shared" si="316"/>
        <v>240</v>
      </c>
      <c r="D5445" t="str">
        <f>"11"</f>
        <v>11</v>
      </c>
      <c r="E5445" t="str">
        <f>"1-240-11"</f>
        <v>1-240-11</v>
      </c>
      <c r="F5445" t="s">
        <v>83</v>
      </c>
      <c r="G5445" t="s">
        <v>84</v>
      </c>
      <c r="H5445" t="s">
        <v>85</v>
      </c>
      <c r="AC5445">
        <v>0</v>
      </c>
      <c r="AD5445">
        <v>1</v>
      </c>
      <c r="AE5445">
        <v>0</v>
      </c>
      <c r="AF5445">
        <v>0</v>
      </c>
      <c r="AG5445">
        <v>0</v>
      </c>
      <c r="AJ5445">
        <v>1</v>
      </c>
      <c r="AK5445">
        <v>0</v>
      </c>
      <c r="AL5445">
        <v>0</v>
      </c>
      <c r="AM5445">
        <v>1</v>
      </c>
      <c r="AN5445">
        <v>0</v>
      </c>
      <c r="AO5445">
        <v>0</v>
      </c>
      <c r="AP5445">
        <v>0</v>
      </c>
      <c r="AQ5445">
        <v>0</v>
      </c>
      <c r="AR5445">
        <v>0</v>
      </c>
      <c r="AS5445">
        <v>0</v>
      </c>
      <c r="AT5445">
        <v>0</v>
      </c>
      <c r="AV5445">
        <v>0</v>
      </c>
      <c r="AW5445">
        <v>0</v>
      </c>
    </row>
    <row r="5446" spans="1:49" x14ac:dyDescent="0.25">
      <c r="A5446" t="str">
        <f>"5442"</f>
        <v>5442</v>
      </c>
      <c r="B5446" t="str">
        <f t="shared" si="314"/>
        <v>1</v>
      </c>
      <c r="C5446" t="str">
        <f t="shared" si="316"/>
        <v>240</v>
      </c>
      <c r="D5446" t="str">
        <f>"5"</f>
        <v>5</v>
      </c>
      <c r="E5446" t="str">
        <f>"1-240-5"</f>
        <v>1-240-5</v>
      </c>
      <c r="F5446" t="s">
        <v>83</v>
      </c>
      <c r="G5446" t="s">
        <v>86</v>
      </c>
      <c r="H5446" t="s">
        <v>87</v>
      </c>
      <c r="AC5446">
        <v>0</v>
      </c>
      <c r="AD5446">
        <v>1</v>
      </c>
      <c r="AE5446">
        <v>0</v>
      </c>
      <c r="AF5446">
        <v>0</v>
      </c>
      <c r="AH5446">
        <v>0</v>
      </c>
      <c r="AI5446">
        <v>1</v>
      </c>
      <c r="AJ5446">
        <v>0</v>
      </c>
      <c r="AK5446">
        <v>1</v>
      </c>
      <c r="AL5446">
        <v>0</v>
      </c>
      <c r="AM5446">
        <v>0</v>
      </c>
      <c r="AN5446">
        <v>1</v>
      </c>
      <c r="AO5446">
        <v>1</v>
      </c>
      <c r="AP5446">
        <v>1</v>
      </c>
      <c r="AQ5446">
        <v>1</v>
      </c>
      <c r="AU5446">
        <v>1</v>
      </c>
      <c r="AV5446">
        <v>1</v>
      </c>
      <c r="AW5446">
        <v>1</v>
      </c>
    </row>
    <row r="5447" spans="1:49" x14ac:dyDescent="0.25">
      <c r="A5447" t="str">
        <f>"5443"</f>
        <v>5443</v>
      </c>
      <c r="B5447" t="str">
        <f t="shared" si="314"/>
        <v>1</v>
      </c>
      <c r="C5447" t="str">
        <f t="shared" si="316"/>
        <v>240</v>
      </c>
      <c r="D5447" t="str">
        <f>"12"</f>
        <v>12</v>
      </c>
      <c r="E5447" t="str">
        <f>"1-240-12"</f>
        <v>1-240-12</v>
      </c>
      <c r="F5447" t="s">
        <v>83</v>
      </c>
      <c r="G5447" t="s">
        <v>86</v>
      </c>
      <c r="H5447" t="s">
        <v>87</v>
      </c>
      <c r="AC5447">
        <v>0</v>
      </c>
      <c r="AD5447">
        <v>0</v>
      </c>
      <c r="AE5447">
        <v>0</v>
      </c>
      <c r="AF5447">
        <v>0</v>
      </c>
      <c r="AH5447">
        <v>0</v>
      </c>
      <c r="AI5447">
        <v>1</v>
      </c>
      <c r="AJ5447">
        <v>0</v>
      </c>
      <c r="AK5447">
        <v>0</v>
      </c>
      <c r="AL5447">
        <v>0</v>
      </c>
      <c r="AM5447">
        <v>1</v>
      </c>
      <c r="AN5447">
        <v>0</v>
      </c>
      <c r="AO5447">
        <v>1</v>
      </c>
      <c r="AP5447">
        <v>1</v>
      </c>
      <c r="AQ5447">
        <v>1</v>
      </c>
      <c r="AU5447">
        <v>1</v>
      </c>
      <c r="AV5447">
        <v>1</v>
      </c>
      <c r="AW5447">
        <v>0</v>
      </c>
    </row>
    <row r="5448" spans="1:49" x14ac:dyDescent="0.25">
      <c r="A5448" t="str">
        <f>"5444"</f>
        <v>5444</v>
      </c>
      <c r="B5448" t="str">
        <f t="shared" si="314"/>
        <v>1</v>
      </c>
      <c r="C5448" t="str">
        <f t="shared" si="316"/>
        <v>240</v>
      </c>
      <c r="D5448" t="str">
        <f>"2"</f>
        <v>2</v>
      </c>
      <c r="E5448" t="str">
        <f>"1-240-2"</f>
        <v>1-240-2</v>
      </c>
      <c r="F5448" t="s">
        <v>83</v>
      </c>
      <c r="G5448" t="s">
        <v>84</v>
      </c>
      <c r="H5448" t="s">
        <v>85</v>
      </c>
      <c r="AC5448">
        <v>0</v>
      </c>
      <c r="AD5448">
        <v>0</v>
      </c>
      <c r="AE5448">
        <v>0</v>
      </c>
      <c r="AF5448">
        <v>0</v>
      </c>
      <c r="AG5448">
        <v>0</v>
      </c>
      <c r="AJ5448">
        <v>0</v>
      </c>
      <c r="AK5448">
        <v>0</v>
      </c>
      <c r="AL5448">
        <v>0</v>
      </c>
      <c r="AM5448">
        <v>0</v>
      </c>
      <c r="AN5448">
        <v>1</v>
      </c>
      <c r="AO5448">
        <v>0</v>
      </c>
      <c r="AP5448">
        <v>0</v>
      </c>
      <c r="AQ5448">
        <v>0</v>
      </c>
      <c r="AR5448">
        <v>0</v>
      </c>
      <c r="AS5448">
        <v>0</v>
      </c>
      <c r="AT5448">
        <v>0</v>
      </c>
      <c r="AV5448">
        <v>0</v>
      </c>
      <c r="AW5448">
        <v>1</v>
      </c>
    </row>
    <row r="5449" spans="1:49" x14ac:dyDescent="0.25">
      <c r="A5449" t="str">
        <f>"5445"</f>
        <v>5445</v>
      </c>
      <c r="B5449" t="str">
        <f t="shared" si="314"/>
        <v>1</v>
      </c>
      <c r="C5449" t="str">
        <f t="shared" si="316"/>
        <v>240</v>
      </c>
      <c r="D5449" t="str">
        <f>"13"</f>
        <v>13</v>
      </c>
      <c r="E5449" t="str">
        <f>"1-240-13"</f>
        <v>1-240-13</v>
      </c>
      <c r="F5449" t="s">
        <v>83</v>
      </c>
      <c r="G5449" t="s">
        <v>86</v>
      </c>
      <c r="H5449" t="s">
        <v>87</v>
      </c>
      <c r="AC5449">
        <v>0</v>
      </c>
      <c r="AD5449">
        <v>0</v>
      </c>
      <c r="AE5449">
        <v>0</v>
      </c>
      <c r="AF5449">
        <v>0</v>
      </c>
      <c r="AH5449">
        <v>0</v>
      </c>
      <c r="AI5449">
        <v>1</v>
      </c>
      <c r="AJ5449">
        <v>0</v>
      </c>
      <c r="AK5449">
        <v>0</v>
      </c>
      <c r="AL5449">
        <v>0</v>
      </c>
      <c r="AM5449">
        <v>0</v>
      </c>
      <c r="AN5449">
        <v>0</v>
      </c>
      <c r="AO5449">
        <v>0</v>
      </c>
      <c r="AP5449">
        <v>0</v>
      </c>
      <c r="AQ5449">
        <v>0</v>
      </c>
      <c r="AU5449">
        <v>1</v>
      </c>
      <c r="AV5449">
        <v>0</v>
      </c>
      <c r="AW5449">
        <v>0</v>
      </c>
    </row>
    <row r="5450" spans="1:49" x14ac:dyDescent="0.25">
      <c r="A5450" t="str">
        <f>"5446"</f>
        <v>5446</v>
      </c>
      <c r="B5450" t="str">
        <f t="shared" si="314"/>
        <v>1</v>
      </c>
      <c r="C5450" t="str">
        <f t="shared" si="316"/>
        <v>240</v>
      </c>
      <c r="D5450" t="str">
        <f>"4"</f>
        <v>4</v>
      </c>
      <c r="E5450" t="str">
        <f>"1-240-4"</f>
        <v>1-240-4</v>
      </c>
      <c r="F5450" t="s">
        <v>83</v>
      </c>
      <c r="G5450" t="s">
        <v>86</v>
      </c>
      <c r="H5450" t="s">
        <v>93</v>
      </c>
      <c r="I5450">
        <v>1</v>
      </c>
      <c r="K5450">
        <v>0</v>
      </c>
      <c r="L5450">
        <v>0</v>
      </c>
      <c r="M5450">
        <v>1</v>
      </c>
      <c r="N5450">
        <v>1</v>
      </c>
      <c r="O5450">
        <v>1</v>
      </c>
      <c r="P5450">
        <v>1</v>
      </c>
      <c r="Q5450">
        <v>1</v>
      </c>
      <c r="R5450">
        <v>1</v>
      </c>
      <c r="U5450">
        <v>1</v>
      </c>
      <c r="V5450">
        <v>0</v>
      </c>
      <c r="W5450">
        <v>1</v>
      </c>
      <c r="X5450">
        <v>1</v>
      </c>
      <c r="Y5450">
        <v>1</v>
      </c>
      <c r="Z5450">
        <v>1</v>
      </c>
      <c r="AA5450">
        <v>1</v>
      </c>
      <c r="AB5450">
        <v>1</v>
      </c>
    </row>
    <row r="5451" spans="1:49" x14ac:dyDescent="0.25">
      <c r="A5451" t="str">
        <f>"5447"</f>
        <v>5447</v>
      </c>
      <c r="B5451" t="str">
        <f t="shared" si="314"/>
        <v>1</v>
      </c>
      <c r="C5451" t="str">
        <f t="shared" si="316"/>
        <v>240</v>
      </c>
      <c r="D5451" t="str">
        <f>"7"</f>
        <v>7</v>
      </c>
      <c r="E5451" t="str">
        <f>"1-240-7"</f>
        <v>1-240-7</v>
      </c>
      <c r="F5451" t="s">
        <v>83</v>
      </c>
      <c r="G5451" t="s">
        <v>86</v>
      </c>
      <c r="H5451" t="s">
        <v>87</v>
      </c>
      <c r="AC5451">
        <v>0</v>
      </c>
      <c r="AD5451">
        <v>1</v>
      </c>
      <c r="AE5451">
        <v>0</v>
      </c>
      <c r="AF5451">
        <v>0</v>
      </c>
      <c r="AH5451">
        <v>0</v>
      </c>
      <c r="AI5451">
        <v>1</v>
      </c>
      <c r="AJ5451">
        <v>0</v>
      </c>
      <c r="AK5451">
        <v>0</v>
      </c>
      <c r="AL5451">
        <v>0</v>
      </c>
      <c r="AM5451">
        <v>1</v>
      </c>
      <c r="AN5451">
        <v>0</v>
      </c>
      <c r="AO5451">
        <v>1</v>
      </c>
      <c r="AP5451">
        <v>1</v>
      </c>
      <c r="AQ5451">
        <v>1</v>
      </c>
      <c r="AU5451">
        <v>1</v>
      </c>
      <c r="AV5451">
        <v>1</v>
      </c>
      <c r="AW5451">
        <v>1</v>
      </c>
    </row>
    <row r="5452" spans="1:49" x14ac:dyDescent="0.25">
      <c r="A5452" t="str">
        <f>"5448"</f>
        <v>5448</v>
      </c>
      <c r="B5452" t="str">
        <f t="shared" si="314"/>
        <v>1</v>
      </c>
      <c r="C5452" t="str">
        <f t="shared" si="316"/>
        <v>240</v>
      </c>
      <c r="D5452" t="str">
        <f>"6"</f>
        <v>6</v>
      </c>
      <c r="E5452" t="str">
        <f>"1-240-6"</f>
        <v>1-240-6</v>
      </c>
      <c r="F5452" t="s">
        <v>83</v>
      </c>
      <c r="G5452" t="s">
        <v>86</v>
      </c>
      <c r="H5452" t="s">
        <v>87</v>
      </c>
      <c r="AC5452">
        <v>0</v>
      </c>
      <c r="AD5452">
        <v>0</v>
      </c>
      <c r="AE5452">
        <v>0</v>
      </c>
      <c r="AF5452">
        <v>1</v>
      </c>
      <c r="AH5452">
        <v>0</v>
      </c>
      <c r="AI5452">
        <v>1</v>
      </c>
      <c r="AJ5452">
        <v>0</v>
      </c>
      <c r="AK5452">
        <v>0</v>
      </c>
      <c r="AL5452">
        <v>0</v>
      </c>
      <c r="AM5452">
        <v>0</v>
      </c>
      <c r="AN5452">
        <v>1</v>
      </c>
      <c r="AO5452">
        <v>0</v>
      </c>
      <c r="AP5452">
        <v>0</v>
      </c>
      <c r="AQ5452">
        <v>0</v>
      </c>
      <c r="AU5452">
        <v>0</v>
      </c>
      <c r="AV5452">
        <v>0</v>
      </c>
      <c r="AW5452">
        <v>0</v>
      </c>
    </row>
    <row r="5453" spans="1:49" x14ac:dyDescent="0.25">
      <c r="A5453" t="str">
        <f>"5449"</f>
        <v>5449</v>
      </c>
      <c r="B5453" t="str">
        <f t="shared" si="314"/>
        <v>1</v>
      </c>
      <c r="C5453" t="str">
        <f t="shared" ref="C5453:C5476" si="317">"241"</f>
        <v>241</v>
      </c>
      <c r="D5453" t="str">
        <f>"23"</f>
        <v>23</v>
      </c>
      <c r="E5453" t="str">
        <f>"1-241-23"</f>
        <v>1-241-23</v>
      </c>
      <c r="F5453" t="s">
        <v>83</v>
      </c>
      <c r="G5453" t="s">
        <v>84</v>
      </c>
      <c r="H5453" t="s">
        <v>92</v>
      </c>
      <c r="I5453">
        <v>1</v>
      </c>
      <c r="J5453">
        <v>1</v>
      </c>
      <c r="N5453">
        <v>1</v>
      </c>
      <c r="O5453">
        <v>1</v>
      </c>
      <c r="P5453">
        <v>1</v>
      </c>
      <c r="Q5453">
        <v>1</v>
      </c>
      <c r="R5453">
        <v>1</v>
      </c>
      <c r="S5453">
        <v>1</v>
      </c>
      <c r="T5453">
        <v>1</v>
      </c>
      <c r="W5453">
        <v>1</v>
      </c>
      <c r="X5453">
        <v>1</v>
      </c>
      <c r="Y5453">
        <v>1</v>
      </c>
      <c r="Z5453">
        <v>1</v>
      </c>
      <c r="AA5453">
        <v>1</v>
      </c>
      <c r="AB5453">
        <v>1</v>
      </c>
    </row>
    <row r="5454" spans="1:49" x14ac:dyDescent="0.25">
      <c r="A5454" t="str">
        <f>"5450"</f>
        <v>5450</v>
      </c>
      <c r="B5454" t="str">
        <f t="shared" si="314"/>
        <v>1</v>
      </c>
      <c r="C5454" t="str">
        <f t="shared" si="317"/>
        <v>241</v>
      </c>
      <c r="D5454" t="str">
        <f>"22"</f>
        <v>22</v>
      </c>
      <c r="E5454" t="str">
        <f>"1-241-22"</f>
        <v>1-241-22</v>
      </c>
      <c r="F5454" t="s">
        <v>83</v>
      </c>
      <c r="G5454" t="s">
        <v>84</v>
      </c>
      <c r="H5454" t="s">
        <v>85</v>
      </c>
      <c r="AC5454">
        <v>1</v>
      </c>
      <c r="AD5454">
        <v>0</v>
      </c>
      <c r="AE5454">
        <v>0</v>
      </c>
      <c r="AF5454">
        <v>0</v>
      </c>
      <c r="AG5454">
        <v>1</v>
      </c>
      <c r="AJ5454">
        <v>0</v>
      </c>
      <c r="AK5454">
        <v>1</v>
      </c>
      <c r="AL5454">
        <v>0</v>
      </c>
      <c r="AM5454">
        <v>1</v>
      </c>
      <c r="AN5454">
        <v>0</v>
      </c>
      <c r="AO5454">
        <v>1</v>
      </c>
      <c r="AP5454">
        <v>1</v>
      </c>
      <c r="AQ5454">
        <v>1</v>
      </c>
      <c r="AR5454">
        <v>1</v>
      </c>
      <c r="AS5454">
        <v>0</v>
      </c>
      <c r="AT5454">
        <v>1</v>
      </c>
      <c r="AV5454">
        <v>1</v>
      </c>
      <c r="AW5454">
        <v>1</v>
      </c>
    </row>
    <row r="5455" spans="1:49" x14ac:dyDescent="0.25">
      <c r="A5455" t="str">
        <f>"5451"</f>
        <v>5451</v>
      </c>
      <c r="B5455" t="str">
        <f t="shared" si="314"/>
        <v>1</v>
      </c>
      <c r="C5455" t="str">
        <f t="shared" si="317"/>
        <v>241</v>
      </c>
      <c r="D5455" t="str">
        <f>"15"</f>
        <v>15</v>
      </c>
      <c r="E5455" t="str">
        <f>"1-241-15"</f>
        <v>1-241-15</v>
      </c>
      <c r="F5455" t="s">
        <v>83</v>
      </c>
      <c r="G5455" t="s">
        <v>84</v>
      </c>
      <c r="H5455" t="s">
        <v>92</v>
      </c>
      <c r="I5455">
        <v>1</v>
      </c>
      <c r="J5455">
        <v>1</v>
      </c>
      <c r="N5455">
        <v>1</v>
      </c>
      <c r="O5455">
        <v>1</v>
      </c>
      <c r="P5455">
        <v>1</v>
      </c>
      <c r="Q5455">
        <v>1</v>
      </c>
      <c r="R5455">
        <v>1</v>
      </c>
      <c r="S5455">
        <v>1</v>
      </c>
      <c r="T5455">
        <v>1</v>
      </c>
      <c r="W5455">
        <v>1</v>
      </c>
      <c r="X5455">
        <v>1</v>
      </c>
      <c r="Y5455">
        <v>1</v>
      </c>
      <c r="Z5455">
        <v>1</v>
      </c>
      <c r="AA5455">
        <v>1</v>
      </c>
      <c r="AB5455">
        <v>1</v>
      </c>
    </row>
    <row r="5456" spans="1:49" x14ac:dyDescent="0.25">
      <c r="A5456" t="str">
        <f>"5452"</f>
        <v>5452</v>
      </c>
      <c r="B5456" t="str">
        <f t="shared" si="314"/>
        <v>1</v>
      </c>
      <c r="C5456" t="str">
        <f t="shared" si="317"/>
        <v>241</v>
      </c>
      <c r="D5456" t="str">
        <f>"8"</f>
        <v>8</v>
      </c>
      <c r="E5456" t="str">
        <f>"1-241-8"</f>
        <v>1-241-8</v>
      </c>
      <c r="F5456" t="s">
        <v>83</v>
      </c>
      <c r="G5456" t="s">
        <v>84</v>
      </c>
      <c r="H5456" t="s">
        <v>92</v>
      </c>
      <c r="I5456">
        <v>1</v>
      </c>
      <c r="J5456">
        <v>1</v>
      </c>
      <c r="N5456">
        <v>1</v>
      </c>
      <c r="O5456">
        <v>1</v>
      </c>
      <c r="P5456">
        <v>1</v>
      </c>
      <c r="Q5456">
        <v>1</v>
      </c>
      <c r="R5456">
        <v>1</v>
      </c>
      <c r="S5456">
        <v>1</v>
      </c>
      <c r="T5456">
        <v>1</v>
      </c>
      <c r="W5456">
        <v>1</v>
      </c>
      <c r="X5456">
        <v>1</v>
      </c>
      <c r="Y5456">
        <v>1</v>
      </c>
      <c r="Z5456">
        <v>1</v>
      </c>
      <c r="AA5456">
        <v>1</v>
      </c>
      <c r="AB5456">
        <v>1</v>
      </c>
    </row>
    <row r="5457" spans="1:49" x14ac:dyDescent="0.25">
      <c r="A5457" t="str">
        <f>"5453"</f>
        <v>5453</v>
      </c>
      <c r="B5457" t="str">
        <f t="shared" si="314"/>
        <v>1</v>
      </c>
      <c r="C5457" t="str">
        <f t="shared" si="317"/>
        <v>241</v>
      </c>
      <c r="D5457" t="str">
        <f>"4"</f>
        <v>4</v>
      </c>
      <c r="E5457" t="str">
        <f>"1-241-4"</f>
        <v>1-241-4</v>
      </c>
      <c r="F5457" t="s">
        <v>83</v>
      </c>
      <c r="G5457" t="s">
        <v>84</v>
      </c>
      <c r="H5457" t="s">
        <v>92</v>
      </c>
      <c r="I5457">
        <v>1</v>
      </c>
      <c r="J5457">
        <v>1</v>
      </c>
      <c r="N5457">
        <v>1</v>
      </c>
      <c r="O5457">
        <v>1</v>
      </c>
      <c r="P5457">
        <v>1</v>
      </c>
      <c r="Q5457">
        <v>1</v>
      </c>
      <c r="R5457">
        <v>1</v>
      </c>
      <c r="S5457">
        <v>1</v>
      </c>
      <c r="T5457">
        <v>1</v>
      </c>
      <c r="W5457">
        <v>1</v>
      </c>
      <c r="X5457">
        <v>1</v>
      </c>
      <c r="Y5457">
        <v>1</v>
      </c>
      <c r="Z5457">
        <v>1</v>
      </c>
      <c r="AA5457">
        <v>1</v>
      </c>
      <c r="AB5457">
        <v>1</v>
      </c>
    </row>
    <row r="5458" spans="1:49" x14ac:dyDescent="0.25">
      <c r="A5458" t="str">
        <f>"5454"</f>
        <v>5454</v>
      </c>
      <c r="B5458" t="str">
        <f t="shared" si="314"/>
        <v>1</v>
      </c>
      <c r="C5458" t="str">
        <f t="shared" si="317"/>
        <v>241</v>
      </c>
      <c r="D5458" t="str">
        <f>"24"</f>
        <v>24</v>
      </c>
      <c r="E5458" t="str">
        <f>"1-241-24"</f>
        <v>1-241-24</v>
      </c>
      <c r="F5458" t="s">
        <v>83</v>
      </c>
      <c r="G5458" t="s">
        <v>86</v>
      </c>
      <c r="H5458" t="s">
        <v>87</v>
      </c>
      <c r="AC5458">
        <v>0</v>
      </c>
      <c r="AD5458">
        <v>0</v>
      </c>
      <c r="AE5458">
        <v>0</v>
      </c>
      <c r="AF5458">
        <v>0</v>
      </c>
      <c r="AH5458">
        <v>0</v>
      </c>
      <c r="AI5458">
        <v>1</v>
      </c>
      <c r="AJ5458">
        <v>0</v>
      </c>
      <c r="AK5458">
        <v>0</v>
      </c>
      <c r="AL5458">
        <v>0</v>
      </c>
      <c r="AM5458">
        <v>0</v>
      </c>
      <c r="AN5458">
        <v>1</v>
      </c>
      <c r="AO5458">
        <v>0</v>
      </c>
      <c r="AP5458">
        <v>0</v>
      </c>
      <c r="AQ5458">
        <v>0</v>
      </c>
      <c r="AU5458">
        <v>0</v>
      </c>
      <c r="AV5458">
        <v>0</v>
      </c>
      <c r="AW5458">
        <v>0</v>
      </c>
    </row>
    <row r="5459" spans="1:49" x14ac:dyDescent="0.25">
      <c r="A5459" t="str">
        <f>"5455"</f>
        <v>5455</v>
      </c>
      <c r="B5459" t="str">
        <f t="shared" si="314"/>
        <v>1</v>
      </c>
      <c r="C5459" t="str">
        <f t="shared" si="317"/>
        <v>241</v>
      </c>
      <c r="D5459" t="str">
        <f>"16"</f>
        <v>16</v>
      </c>
      <c r="E5459" t="str">
        <f>"1-241-16"</f>
        <v>1-241-16</v>
      </c>
      <c r="F5459" t="s">
        <v>83</v>
      </c>
      <c r="G5459" t="s">
        <v>84</v>
      </c>
      <c r="H5459" t="s">
        <v>92</v>
      </c>
      <c r="I5459">
        <v>1</v>
      </c>
      <c r="J5459">
        <v>1</v>
      </c>
      <c r="N5459">
        <v>1</v>
      </c>
      <c r="O5459">
        <v>1</v>
      </c>
      <c r="P5459">
        <v>1</v>
      </c>
      <c r="Q5459">
        <v>1</v>
      </c>
      <c r="R5459">
        <v>1</v>
      </c>
      <c r="S5459">
        <v>1</v>
      </c>
      <c r="T5459">
        <v>1</v>
      </c>
      <c r="W5459">
        <v>1</v>
      </c>
      <c r="X5459">
        <v>1</v>
      </c>
      <c r="Y5459">
        <v>1</v>
      </c>
      <c r="Z5459">
        <v>1</v>
      </c>
      <c r="AA5459">
        <v>1</v>
      </c>
      <c r="AB5459">
        <v>1</v>
      </c>
    </row>
    <row r="5460" spans="1:49" x14ac:dyDescent="0.25">
      <c r="A5460" t="str">
        <f>"5456"</f>
        <v>5456</v>
      </c>
      <c r="B5460" t="str">
        <f t="shared" si="314"/>
        <v>1</v>
      </c>
      <c r="C5460" t="str">
        <f t="shared" si="317"/>
        <v>241</v>
      </c>
      <c r="D5460" t="str">
        <f>"9"</f>
        <v>9</v>
      </c>
      <c r="E5460" t="str">
        <f>"1-241-9"</f>
        <v>1-241-9</v>
      </c>
      <c r="F5460" t="s">
        <v>83</v>
      </c>
      <c r="G5460" t="s">
        <v>86</v>
      </c>
      <c r="H5460" t="s">
        <v>87</v>
      </c>
      <c r="AC5460">
        <v>1</v>
      </c>
      <c r="AD5460">
        <v>0</v>
      </c>
      <c r="AE5460">
        <v>0</v>
      </c>
      <c r="AF5460">
        <v>0</v>
      </c>
      <c r="AH5460">
        <v>1</v>
      </c>
      <c r="AI5460">
        <v>0</v>
      </c>
      <c r="AJ5460">
        <v>1</v>
      </c>
      <c r="AK5460">
        <v>0</v>
      </c>
      <c r="AL5460">
        <v>1</v>
      </c>
      <c r="AM5460">
        <v>0</v>
      </c>
      <c r="AN5460">
        <v>0</v>
      </c>
      <c r="AO5460">
        <v>1</v>
      </c>
      <c r="AP5460">
        <v>1</v>
      </c>
      <c r="AQ5460">
        <v>1</v>
      </c>
      <c r="AU5460">
        <v>1</v>
      </c>
      <c r="AV5460">
        <v>1</v>
      </c>
      <c r="AW5460">
        <v>1</v>
      </c>
    </row>
    <row r="5461" spans="1:49" x14ac:dyDescent="0.25">
      <c r="A5461" t="str">
        <f>"5457"</f>
        <v>5457</v>
      </c>
      <c r="B5461" t="str">
        <f t="shared" si="314"/>
        <v>1</v>
      </c>
      <c r="C5461" t="str">
        <f t="shared" si="317"/>
        <v>241</v>
      </c>
      <c r="D5461" t="str">
        <f>"1"</f>
        <v>1</v>
      </c>
      <c r="E5461" t="str">
        <f>"1-241-1"</f>
        <v>1-241-1</v>
      </c>
      <c r="F5461" t="s">
        <v>83</v>
      </c>
      <c r="G5461" t="s">
        <v>86</v>
      </c>
      <c r="H5461" t="s">
        <v>87</v>
      </c>
      <c r="AC5461">
        <v>1</v>
      </c>
      <c r="AD5461">
        <v>0</v>
      </c>
      <c r="AE5461">
        <v>0</v>
      </c>
      <c r="AF5461">
        <v>0</v>
      </c>
      <c r="AH5461">
        <v>0</v>
      </c>
      <c r="AI5461">
        <v>1</v>
      </c>
      <c r="AJ5461">
        <v>0</v>
      </c>
      <c r="AK5461">
        <v>1</v>
      </c>
      <c r="AL5461">
        <v>0</v>
      </c>
      <c r="AM5461">
        <v>0</v>
      </c>
      <c r="AN5461">
        <v>0</v>
      </c>
      <c r="AO5461">
        <v>1</v>
      </c>
      <c r="AP5461">
        <v>1</v>
      </c>
      <c r="AQ5461">
        <v>1</v>
      </c>
      <c r="AU5461">
        <v>1</v>
      </c>
      <c r="AV5461">
        <v>1</v>
      </c>
      <c r="AW5461">
        <v>1</v>
      </c>
    </row>
    <row r="5462" spans="1:49" x14ac:dyDescent="0.25">
      <c r="A5462" t="str">
        <f>"5458"</f>
        <v>5458</v>
      </c>
      <c r="B5462" t="str">
        <f t="shared" si="314"/>
        <v>1</v>
      </c>
      <c r="C5462" t="str">
        <f t="shared" si="317"/>
        <v>241</v>
      </c>
      <c r="D5462" t="str">
        <f>"19"</f>
        <v>19</v>
      </c>
      <c r="E5462" t="str">
        <f>"1-241-19"</f>
        <v>1-241-19</v>
      </c>
      <c r="F5462" t="s">
        <v>83</v>
      </c>
      <c r="G5462" t="s">
        <v>84</v>
      </c>
      <c r="H5462" t="s">
        <v>92</v>
      </c>
      <c r="I5462">
        <v>1</v>
      </c>
      <c r="J5462">
        <v>1</v>
      </c>
      <c r="N5462">
        <v>1</v>
      </c>
      <c r="O5462">
        <v>1</v>
      </c>
      <c r="P5462">
        <v>1</v>
      </c>
      <c r="Q5462">
        <v>1</v>
      </c>
      <c r="R5462">
        <v>1</v>
      </c>
      <c r="S5462">
        <v>1</v>
      </c>
      <c r="T5462">
        <v>1</v>
      </c>
      <c r="W5462">
        <v>1</v>
      </c>
      <c r="X5462">
        <v>1</v>
      </c>
      <c r="Y5462">
        <v>1</v>
      </c>
      <c r="Z5462">
        <v>1</v>
      </c>
      <c r="AA5462">
        <v>1</v>
      </c>
      <c r="AB5462">
        <v>1</v>
      </c>
    </row>
    <row r="5463" spans="1:49" x14ac:dyDescent="0.25">
      <c r="A5463" t="str">
        <f>"5459"</f>
        <v>5459</v>
      </c>
      <c r="B5463" t="str">
        <f t="shared" si="314"/>
        <v>1</v>
      </c>
      <c r="C5463" t="str">
        <f t="shared" si="317"/>
        <v>241</v>
      </c>
      <c r="D5463" t="str">
        <f>"10"</f>
        <v>10</v>
      </c>
      <c r="E5463" t="str">
        <f>"1-241-10"</f>
        <v>1-241-10</v>
      </c>
      <c r="F5463" t="s">
        <v>83</v>
      </c>
      <c r="G5463" t="s">
        <v>84</v>
      </c>
      <c r="H5463" t="s">
        <v>85</v>
      </c>
      <c r="AC5463">
        <v>1</v>
      </c>
      <c r="AD5463">
        <v>0</v>
      </c>
      <c r="AE5463">
        <v>0</v>
      </c>
      <c r="AF5463">
        <v>0</v>
      </c>
      <c r="AG5463">
        <v>1</v>
      </c>
      <c r="AJ5463">
        <v>0</v>
      </c>
      <c r="AK5463">
        <v>1</v>
      </c>
      <c r="AL5463">
        <v>1</v>
      </c>
      <c r="AM5463">
        <v>0</v>
      </c>
      <c r="AN5463">
        <v>0</v>
      </c>
      <c r="AO5463">
        <v>1</v>
      </c>
      <c r="AP5463">
        <v>1</v>
      </c>
      <c r="AQ5463">
        <v>1</v>
      </c>
      <c r="AR5463">
        <v>1</v>
      </c>
      <c r="AS5463">
        <v>0</v>
      </c>
      <c r="AT5463">
        <v>1</v>
      </c>
      <c r="AV5463">
        <v>1</v>
      </c>
      <c r="AW5463">
        <v>1</v>
      </c>
    </row>
    <row r="5464" spans="1:49" x14ac:dyDescent="0.25">
      <c r="A5464" t="str">
        <f>"5460"</f>
        <v>5460</v>
      </c>
      <c r="B5464" t="str">
        <f t="shared" si="314"/>
        <v>1</v>
      </c>
      <c r="C5464" t="str">
        <f t="shared" si="317"/>
        <v>241</v>
      </c>
      <c r="D5464" t="str">
        <f>"6"</f>
        <v>6</v>
      </c>
      <c r="E5464" t="str">
        <f>"1-241-6"</f>
        <v>1-241-6</v>
      </c>
      <c r="F5464" t="s">
        <v>83</v>
      </c>
      <c r="G5464" t="s">
        <v>84</v>
      </c>
      <c r="H5464" t="s">
        <v>92</v>
      </c>
      <c r="I5464">
        <v>1</v>
      </c>
      <c r="J5464">
        <v>1</v>
      </c>
      <c r="N5464">
        <v>1</v>
      </c>
      <c r="O5464">
        <v>1</v>
      </c>
      <c r="P5464">
        <v>1</v>
      </c>
      <c r="Q5464">
        <v>1</v>
      </c>
      <c r="R5464">
        <v>1</v>
      </c>
      <c r="S5464">
        <v>1</v>
      </c>
      <c r="T5464">
        <v>1</v>
      </c>
      <c r="W5464">
        <v>1</v>
      </c>
      <c r="X5464">
        <v>1</v>
      </c>
      <c r="Y5464">
        <v>1</v>
      </c>
      <c r="Z5464">
        <v>1</v>
      </c>
      <c r="AA5464">
        <v>1</v>
      </c>
      <c r="AB5464">
        <v>1</v>
      </c>
    </row>
    <row r="5465" spans="1:49" x14ac:dyDescent="0.25">
      <c r="A5465" t="str">
        <f>"5461"</f>
        <v>5461</v>
      </c>
      <c r="B5465" t="str">
        <f t="shared" si="314"/>
        <v>1</v>
      </c>
      <c r="C5465" t="str">
        <f t="shared" si="317"/>
        <v>241</v>
      </c>
      <c r="D5465" t="str">
        <f>"17"</f>
        <v>17</v>
      </c>
      <c r="E5465" t="str">
        <f>"1-241-17"</f>
        <v>1-241-17</v>
      </c>
      <c r="F5465" t="s">
        <v>83</v>
      </c>
      <c r="G5465" t="s">
        <v>84</v>
      </c>
      <c r="H5465" t="s">
        <v>92</v>
      </c>
      <c r="I5465">
        <v>1</v>
      </c>
      <c r="J5465">
        <v>1</v>
      </c>
      <c r="N5465">
        <v>1</v>
      </c>
      <c r="O5465">
        <v>1</v>
      </c>
      <c r="P5465">
        <v>1</v>
      </c>
      <c r="Q5465">
        <v>1</v>
      </c>
      <c r="R5465">
        <v>1</v>
      </c>
      <c r="S5465">
        <v>1</v>
      </c>
      <c r="T5465">
        <v>1</v>
      </c>
      <c r="W5465">
        <v>1</v>
      </c>
      <c r="X5465">
        <v>1</v>
      </c>
      <c r="Y5465">
        <v>1</v>
      </c>
      <c r="Z5465">
        <v>1</v>
      </c>
      <c r="AA5465">
        <v>1</v>
      </c>
      <c r="AB5465">
        <v>1</v>
      </c>
    </row>
    <row r="5466" spans="1:49" x14ac:dyDescent="0.25">
      <c r="A5466" t="str">
        <f>"5462"</f>
        <v>5462</v>
      </c>
      <c r="B5466" t="str">
        <f t="shared" si="314"/>
        <v>1</v>
      </c>
      <c r="C5466" t="str">
        <f t="shared" si="317"/>
        <v>241</v>
      </c>
      <c r="D5466" t="str">
        <f>"11"</f>
        <v>11</v>
      </c>
      <c r="E5466" t="str">
        <f>"1-241-11"</f>
        <v>1-241-11</v>
      </c>
      <c r="F5466" t="s">
        <v>83</v>
      </c>
      <c r="G5466" t="s">
        <v>86</v>
      </c>
      <c r="H5466" t="s">
        <v>87</v>
      </c>
      <c r="AC5466">
        <v>0</v>
      </c>
      <c r="AD5466">
        <v>1</v>
      </c>
      <c r="AE5466">
        <v>0</v>
      </c>
      <c r="AF5466">
        <v>0</v>
      </c>
      <c r="AH5466">
        <v>0</v>
      </c>
      <c r="AI5466">
        <v>1</v>
      </c>
      <c r="AJ5466">
        <v>0</v>
      </c>
      <c r="AK5466">
        <v>1</v>
      </c>
      <c r="AL5466">
        <v>0</v>
      </c>
      <c r="AM5466">
        <v>1</v>
      </c>
      <c r="AN5466">
        <v>0</v>
      </c>
      <c r="AO5466">
        <v>1</v>
      </c>
      <c r="AP5466">
        <v>1</v>
      </c>
      <c r="AQ5466">
        <v>1</v>
      </c>
      <c r="AU5466">
        <v>1</v>
      </c>
      <c r="AV5466">
        <v>1</v>
      </c>
      <c r="AW5466">
        <v>1</v>
      </c>
    </row>
    <row r="5467" spans="1:49" x14ac:dyDescent="0.25">
      <c r="A5467" t="str">
        <f>"5463"</f>
        <v>5463</v>
      </c>
      <c r="B5467" t="str">
        <f t="shared" si="314"/>
        <v>1</v>
      </c>
      <c r="C5467" t="str">
        <f t="shared" si="317"/>
        <v>241</v>
      </c>
      <c r="D5467" t="str">
        <f>"3"</f>
        <v>3</v>
      </c>
      <c r="E5467" t="str">
        <f>"1-241-3"</f>
        <v>1-241-3</v>
      </c>
      <c r="F5467" t="s">
        <v>83</v>
      </c>
      <c r="G5467" t="s">
        <v>84</v>
      </c>
      <c r="H5467" t="s">
        <v>92</v>
      </c>
      <c r="I5467">
        <v>1</v>
      </c>
      <c r="J5467">
        <v>0</v>
      </c>
      <c r="N5467">
        <v>1</v>
      </c>
      <c r="O5467">
        <v>1</v>
      </c>
      <c r="P5467">
        <v>1</v>
      </c>
      <c r="Q5467">
        <v>1</v>
      </c>
      <c r="R5467">
        <v>1</v>
      </c>
      <c r="S5467">
        <v>1</v>
      </c>
      <c r="T5467">
        <v>1</v>
      </c>
      <c r="W5467">
        <v>1</v>
      </c>
      <c r="X5467">
        <v>1</v>
      </c>
      <c r="Y5467">
        <v>1</v>
      </c>
      <c r="Z5467">
        <v>1</v>
      </c>
      <c r="AA5467">
        <v>1</v>
      </c>
      <c r="AB5467">
        <v>1</v>
      </c>
    </row>
    <row r="5468" spans="1:49" x14ac:dyDescent="0.25">
      <c r="A5468" t="str">
        <f>"5464"</f>
        <v>5464</v>
      </c>
      <c r="B5468" t="str">
        <f t="shared" si="314"/>
        <v>1</v>
      </c>
      <c r="C5468" t="str">
        <f t="shared" si="317"/>
        <v>241</v>
      </c>
      <c r="D5468" t="str">
        <f>"18"</f>
        <v>18</v>
      </c>
      <c r="E5468" t="str">
        <f>"1-241-18"</f>
        <v>1-241-18</v>
      </c>
      <c r="F5468" t="s">
        <v>83</v>
      </c>
      <c r="G5468" t="s">
        <v>84</v>
      </c>
      <c r="H5468" t="s">
        <v>92</v>
      </c>
      <c r="I5468">
        <v>1</v>
      </c>
      <c r="J5468">
        <v>1</v>
      </c>
      <c r="N5468">
        <v>1</v>
      </c>
      <c r="O5468">
        <v>1</v>
      </c>
      <c r="P5468">
        <v>1</v>
      </c>
      <c r="Q5468">
        <v>1</v>
      </c>
      <c r="R5468">
        <v>1</v>
      </c>
      <c r="S5468">
        <v>1</v>
      </c>
      <c r="T5468">
        <v>1</v>
      </c>
      <c r="W5468">
        <v>1</v>
      </c>
      <c r="X5468">
        <v>1</v>
      </c>
      <c r="Y5468">
        <v>1</v>
      </c>
      <c r="Z5468">
        <v>1</v>
      </c>
      <c r="AA5468">
        <v>1</v>
      </c>
      <c r="AB5468">
        <v>1</v>
      </c>
    </row>
    <row r="5469" spans="1:49" x14ac:dyDescent="0.25">
      <c r="A5469" t="str">
        <f>"5465"</f>
        <v>5465</v>
      </c>
      <c r="B5469" t="str">
        <f t="shared" si="314"/>
        <v>1</v>
      </c>
      <c r="C5469" t="str">
        <f t="shared" si="317"/>
        <v>241</v>
      </c>
      <c r="D5469" t="str">
        <f>"12"</f>
        <v>12</v>
      </c>
      <c r="E5469" t="str">
        <f>"1-241-12"</f>
        <v>1-241-12</v>
      </c>
      <c r="F5469" t="s">
        <v>83</v>
      </c>
      <c r="G5469" t="s">
        <v>84</v>
      </c>
      <c r="H5469" t="s">
        <v>85</v>
      </c>
      <c r="AC5469">
        <v>0</v>
      </c>
      <c r="AD5469">
        <v>1</v>
      </c>
      <c r="AE5469">
        <v>0</v>
      </c>
      <c r="AF5469">
        <v>0</v>
      </c>
      <c r="AG5469">
        <v>1</v>
      </c>
      <c r="AJ5469">
        <v>1</v>
      </c>
      <c r="AK5469">
        <v>0</v>
      </c>
      <c r="AL5469">
        <v>0</v>
      </c>
      <c r="AM5469">
        <v>0</v>
      </c>
      <c r="AN5469">
        <v>1</v>
      </c>
      <c r="AO5469">
        <v>1</v>
      </c>
      <c r="AP5469">
        <v>1</v>
      </c>
      <c r="AQ5469">
        <v>1</v>
      </c>
      <c r="AR5469">
        <v>1</v>
      </c>
      <c r="AS5469">
        <v>1</v>
      </c>
      <c r="AT5469">
        <v>0</v>
      </c>
      <c r="AV5469">
        <v>1</v>
      </c>
      <c r="AW5469">
        <v>1</v>
      </c>
    </row>
    <row r="5470" spans="1:49" x14ac:dyDescent="0.25">
      <c r="A5470" t="str">
        <f>"5466"</f>
        <v>5466</v>
      </c>
      <c r="B5470" t="str">
        <f t="shared" ref="B5470:B5533" si="318">"1"</f>
        <v>1</v>
      </c>
      <c r="C5470" t="str">
        <f t="shared" si="317"/>
        <v>241</v>
      </c>
      <c r="D5470" t="str">
        <f>"7"</f>
        <v>7</v>
      </c>
      <c r="E5470" t="str">
        <f>"1-241-7"</f>
        <v>1-241-7</v>
      </c>
      <c r="F5470" t="s">
        <v>83</v>
      </c>
      <c r="G5470" t="s">
        <v>86</v>
      </c>
      <c r="H5470" t="s">
        <v>87</v>
      </c>
      <c r="AC5470">
        <v>0</v>
      </c>
      <c r="AD5470">
        <v>0</v>
      </c>
      <c r="AE5470">
        <v>0</v>
      </c>
      <c r="AF5470">
        <v>0</v>
      </c>
      <c r="AH5470">
        <v>0</v>
      </c>
      <c r="AI5470">
        <v>1</v>
      </c>
      <c r="AJ5470">
        <v>0</v>
      </c>
      <c r="AK5470">
        <v>1</v>
      </c>
      <c r="AL5470">
        <v>0</v>
      </c>
      <c r="AM5470">
        <v>0</v>
      </c>
      <c r="AN5470">
        <v>0</v>
      </c>
      <c r="AO5470">
        <v>0</v>
      </c>
      <c r="AP5470">
        <v>0</v>
      </c>
      <c r="AQ5470">
        <v>0</v>
      </c>
      <c r="AU5470">
        <v>0</v>
      </c>
      <c r="AV5470">
        <v>0</v>
      </c>
      <c r="AW5470">
        <v>0</v>
      </c>
    </row>
    <row r="5471" spans="1:49" x14ac:dyDescent="0.25">
      <c r="A5471" t="str">
        <f>"5467"</f>
        <v>5467</v>
      </c>
      <c r="B5471" t="str">
        <f t="shared" si="318"/>
        <v>1</v>
      </c>
      <c r="C5471" t="str">
        <f t="shared" si="317"/>
        <v>241</v>
      </c>
      <c r="D5471" t="str">
        <f>"20"</f>
        <v>20</v>
      </c>
      <c r="E5471" t="str">
        <f>"1-241-20"</f>
        <v>1-241-20</v>
      </c>
      <c r="F5471" t="s">
        <v>83</v>
      </c>
      <c r="G5471" t="s">
        <v>84</v>
      </c>
      <c r="H5471" t="s">
        <v>92</v>
      </c>
      <c r="I5471">
        <v>1</v>
      </c>
      <c r="J5471">
        <v>1</v>
      </c>
      <c r="N5471">
        <v>1</v>
      </c>
      <c r="O5471">
        <v>1</v>
      </c>
      <c r="P5471">
        <v>1</v>
      </c>
      <c r="Q5471">
        <v>1</v>
      </c>
      <c r="R5471">
        <v>1</v>
      </c>
      <c r="S5471">
        <v>1</v>
      </c>
      <c r="T5471">
        <v>1</v>
      </c>
      <c r="W5471">
        <v>1</v>
      </c>
      <c r="X5471">
        <v>1</v>
      </c>
      <c r="Y5471">
        <v>1</v>
      </c>
      <c r="Z5471">
        <v>1</v>
      </c>
      <c r="AA5471">
        <v>1</v>
      </c>
      <c r="AB5471">
        <v>1</v>
      </c>
    </row>
    <row r="5472" spans="1:49" x14ac:dyDescent="0.25">
      <c r="A5472" t="str">
        <f>"5468"</f>
        <v>5468</v>
      </c>
      <c r="B5472" t="str">
        <f t="shared" si="318"/>
        <v>1</v>
      </c>
      <c r="C5472" t="str">
        <f t="shared" si="317"/>
        <v>241</v>
      </c>
      <c r="D5472" t="str">
        <f>"13"</f>
        <v>13</v>
      </c>
      <c r="E5472" t="str">
        <f>"1-241-13"</f>
        <v>1-241-13</v>
      </c>
      <c r="F5472" t="s">
        <v>83</v>
      </c>
      <c r="G5472" t="s">
        <v>86</v>
      </c>
      <c r="H5472" t="s">
        <v>93</v>
      </c>
      <c r="I5472">
        <v>1</v>
      </c>
      <c r="K5472">
        <v>0</v>
      </c>
      <c r="L5472">
        <v>0</v>
      </c>
      <c r="M5472">
        <v>1</v>
      </c>
      <c r="N5472">
        <v>1</v>
      </c>
      <c r="O5472">
        <v>1</v>
      </c>
      <c r="P5472">
        <v>1</v>
      </c>
      <c r="Q5472">
        <v>1</v>
      </c>
      <c r="R5472">
        <v>1</v>
      </c>
      <c r="U5472">
        <v>1</v>
      </c>
      <c r="V5472">
        <v>0</v>
      </c>
      <c r="W5472">
        <v>1</v>
      </c>
      <c r="X5472">
        <v>1</v>
      </c>
      <c r="Y5472">
        <v>1</v>
      </c>
      <c r="Z5472">
        <v>1</v>
      </c>
      <c r="AA5472">
        <v>1</v>
      </c>
      <c r="AB5472">
        <v>1</v>
      </c>
    </row>
    <row r="5473" spans="1:49" x14ac:dyDescent="0.25">
      <c r="A5473" t="str">
        <f>"5469"</f>
        <v>5469</v>
      </c>
      <c r="B5473" t="str">
        <f t="shared" si="318"/>
        <v>1</v>
      </c>
      <c r="C5473" t="str">
        <f t="shared" si="317"/>
        <v>241</v>
      </c>
      <c r="D5473" t="str">
        <f>"5"</f>
        <v>5</v>
      </c>
      <c r="E5473" t="str">
        <f>"1-241-5"</f>
        <v>1-241-5</v>
      </c>
      <c r="F5473" t="s">
        <v>83</v>
      </c>
      <c r="G5473" t="s">
        <v>84</v>
      </c>
      <c r="H5473" t="s">
        <v>85</v>
      </c>
      <c r="AC5473">
        <v>0</v>
      </c>
      <c r="AD5473">
        <v>0</v>
      </c>
      <c r="AE5473">
        <v>0</v>
      </c>
      <c r="AF5473">
        <v>0</v>
      </c>
      <c r="AG5473">
        <v>0</v>
      </c>
      <c r="AJ5473">
        <v>0</v>
      </c>
      <c r="AK5473">
        <v>1</v>
      </c>
      <c r="AL5473">
        <v>0</v>
      </c>
      <c r="AM5473">
        <v>0</v>
      </c>
      <c r="AN5473">
        <v>0</v>
      </c>
      <c r="AO5473">
        <v>0</v>
      </c>
      <c r="AP5473">
        <v>0</v>
      </c>
      <c r="AQ5473">
        <v>0</v>
      </c>
      <c r="AR5473">
        <v>1</v>
      </c>
      <c r="AS5473">
        <v>0</v>
      </c>
      <c r="AT5473">
        <v>0</v>
      </c>
      <c r="AV5473">
        <v>0</v>
      </c>
      <c r="AW5473">
        <v>1</v>
      </c>
    </row>
    <row r="5474" spans="1:49" x14ac:dyDescent="0.25">
      <c r="A5474" t="str">
        <f>"5470"</f>
        <v>5470</v>
      </c>
      <c r="B5474" t="str">
        <f t="shared" si="318"/>
        <v>1</v>
      </c>
      <c r="C5474" t="str">
        <f t="shared" si="317"/>
        <v>241</v>
      </c>
      <c r="D5474" t="str">
        <f>"21"</f>
        <v>21</v>
      </c>
      <c r="E5474" t="str">
        <f>"1-241-21"</f>
        <v>1-241-21</v>
      </c>
      <c r="F5474" t="s">
        <v>83</v>
      </c>
      <c r="G5474" t="s">
        <v>84</v>
      </c>
      <c r="H5474" t="s">
        <v>85</v>
      </c>
      <c r="AC5474">
        <v>0</v>
      </c>
      <c r="AD5474">
        <v>1</v>
      </c>
      <c r="AE5474">
        <v>0</v>
      </c>
      <c r="AF5474">
        <v>0</v>
      </c>
      <c r="AG5474">
        <v>0</v>
      </c>
      <c r="AJ5474">
        <v>1</v>
      </c>
      <c r="AK5474">
        <v>0</v>
      </c>
      <c r="AL5474">
        <v>0</v>
      </c>
      <c r="AM5474">
        <v>1</v>
      </c>
      <c r="AN5474">
        <v>0</v>
      </c>
      <c r="AO5474">
        <v>0</v>
      </c>
      <c r="AP5474">
        <v>0</v>
      </c>
      <c r="AQ5474">
        <v>0</v>
      </c>
      <c r="AR5474">
        <v>0</v>
      </c>
      <c r="AS5474">
        <v>0</v>
      </c>
      <c r="AT5474">
        <v>1</v>
      </c>
      <c r="AV5474">
        <v>0</v>
      </c>
      <c r="AW5474">
        <v>0</v>
      </c>
    </row>
    <row r="5475" spans="1:49" x14ac:dyDescent="0.25">
      <c r="A5475" t="str">
        <f>"5471"</f>
        <v>5471</v>
      </c>
      <c r="B5475" t="str">
        <f t="shared" si="318"/>
        <v>1</v>
      </c>
      <c r="C5475" t="str">
        <f t="shared" si="317"/>
        <v>241</v>
      </c>
      <c r="D5475" t="str">
        <f>"14"</f>
        <v>14</v>
      </c>
      <c r="E5475" t="str">
        <f>"1-241-14"</f>
        <v>1-241-14</v>
      </c>
      <c r="F5475" t="s">
        <v>83</v>
      </c>
      <c r="G5475" t="s">
        <v>84</v>
      </c>
      <c r="H5475" t="s">
        <v>92</v>
      </c>
      <c r="I5475">
        <v>1</v>
      </c>
      <c r="J5475">
        <v>1</v>
      </c>
      <c r="N5475">
        <v>1</v>
      </c>
      <c r="O5475">
        <v>1</v>
      </c>
      <c r="P5475">
        <v>1</v>
      </c>
      <c r="Q5475">
        <v>1</v>
      </c>
      <c r="R5475">
        <v>1</v>
      </c>
      <c r="S5475">
        <v>1</v>
      </c>
      <c r="T5475">
        <v>1</v>
      </c>
      <c r="W5475">
        <v>1</v>
      </c>
      <c r="X5475">
        <v>1</v>
      </c>
      <c r="Y5475">
        <v>1</v>
      </c>
      <c r="Z5475">
        <v>1</v>
      </c>
      <c r="AA5475">
        <v>1</v>
      </c>
      <c r="AB5475">
        <v>1</v>
      </c>
    </row>
    <row r="5476" spans="1:49" x14ac:dyDescent="0.25">
      <c r="A5476" t="str">
        <f>"5472"</f>
        <v>5472</v>
      </c>
      <c r="B5476" t="str">
        <f t="shared" si="318"/>
        <v>1</v>
      </c>
      <c r="C5476" t="str">
        <f t="shared" si="317"/>
        <v>241</v>
      </c>
      <c r="D5476" t="str">
        <f>"2"</f>
        <v>2</v>
      </c>
      <c r="E5476" t="str">
        <f>"1-241-2"</f>
        <v>1-241-2</v>
      </c>
      <c r="F5476" t="s">
        <v>83</v>
      </c>
      <c r="G5476" t="s">
        <v>86</v>
      </c>
      <c r="H5476" t="s">
        <v>93</v>
      </c>
      <c r="I5476">
        <v>1</v>
      </c>
      <c r="K5476">
        <v>0</v>
      </c>
      <c r="L5476">
        <v>0</v>
      </c>
      <c r="M5476">
        <v>1</v>
      </c>
      <c r="N5476">
        <v>1</v>
      </c>
      <c r="O5476">
        <v>1</v>
      </c>
      <c r="P5476">
        <v>1</v>
      </c>
      <c r="Q5476">
        <v>1</v>
      </c>
      <c r="R5476">
        <v>1</v>
      </c>
      <c r="U5476">
        <v>1</v>
      </c>
      <c r="V5476">
        <v>0</v>
      </c>
      <c r="W5476">
        <v>1</v>
      </c>
      <c r="X5476">
        <v>1</v>
      </c>
      <c r="Y5476">
        <v>1</v>
      </c>
      <c r="Z5476">
        <v>1</v>
      </c>
      <c r="AA5476">
        <v>1</v>
      </c>
      <c r="AB5476">
        <v>1</v>
      </c>
    </row>
    <row r="5477" spans="1:49" x14ac:dyDescent="0.25">
      <c r="A5477" t="str">
        <f>"5473"</f>
        <v>5473</v>
      </c>
      <c r="B5477" t="str">
        <f t="shared" si="318"/>
        <v>1</v>
      </c>
      <c r="C5477" t="str">
        <f t="shared" ref="C5477:C5501" si="319">"242"</f>
        <v>242</v>
      </c>
      <c r="D5477" t="str">
        <f>"23"</f>
        <v>23</v>
      </c>
      <c r="E5477" t="str">
        <f>"1-242-23"</f>
        <v>1-242-23</v>
      </c>
      <c r="F5477" t="s">
        <v>83</v>
      </c>
      <c r="G5477" t="s">
        <v>84</v>
      </c>
      <c r="H5477" t="s">
        <v>85</v>
      </c>
      <c r="AC5477">
        <v>1</v>
      </c>
      <c r="AD5477">
        <v>0</v>
      </c>
      <c r="AE5477">
        <v>0</v>
      </c>
      <c r="AF5477">
        <v>0</v>
      </c>
      <c r="AG5477">
        <v>0</v>
      </c>
      <c r="AJ5477">
        <v>1</v>
      </c>
      <c r="AK5477">
        <v>0</v>
      </c>
      <c r="AL5477">
        <v>1</v>
      </c>
      <c r="AM5477">
        <v>0</v>
      </c>
      <c r="AN5477">
        <v>0</v>
      </c>
      <c r="AO5477">
        <v>0</v>
      </c>
      <c r="AP5477">
        <v>0</v>
      </c>
      <c r="AQ5477">
        <v>0</v>
      </c>
      <c r="AR5477">
        <v>0</v>
      </c>
      <c r="AS5477">
        <v>0</v>
      </c>
      <c r="AT5477">
        <v>0</v>
      </c>
      <c r="AV5477">
        <v>0</v>
      </c>
      <c r="AW5477">
        <v>0</v>
      </c>
    </row>
    <row r="5478" spans="1:49" x14ac:dyDescent="0.25">
      <c r="A5478" t="str">
        <f>"5474"</f>
        <v>5474</v>
      </c>
      <c r="B5478" t="str">
        <f t="shared" si="318"/>
        <v>1</v>
      </c>
      <c r="C5478" t="str">
        <f t="shared" si="319"/>
        <v>242</v>
      </c>
      <c r="D5478" t="str">
        <f>"22"</f>
        <v>22</v>
      </c>
      <c r="E5478" t="str">
        <f>"1-242-22"</f>
        <v>1-242-22</v>
      </c>
      <c r="F5478" t="s">
        <v>83</v>
      </c>
      <c r="G5478" t="s">
        <v>84</v>
      </c>
      <c r="H5478" t="s">
        <v>85</v>
      </c>
      <c r="AC5478">
        <v>0</v>
      </c>
      <c r="AD5478">
        <v>1</v>
      </c>
      <c r="AE5478">
        <v>0</v>
      </c>
      <c r="AF5478">
        <v>0</v>
      </c>
      <c r="AG5478">
        <v>1</v>
      </c>
      <c r="AJ5478">
        <v>0</v>
      </c>
      <c r="AK5478">
        <v>1</v>
      </c>
      <c r="AL5478">
        <v>0</v>
      </c>
      <c r="AM5478">
        <v>1</v>
      </c>
      <c r="AN5478">
        <v>0</v>
      </c>
      <c r="AO5478">
        <v>1</v>
      </c>
      <c r="AP5478">
        <v>1</v>
      </c>
      <c r="AQ5478">
        <v>1</v>
      </c>
      <c r="AR5478">
        <v>1</v>
      </c>
      <c r="AS5478">
        <v>0</v>
      </c>
      <c r="AT5478">
        <v>1</v>
      </c>
      <c r="AV5478">
        <v>1</v>
      </c>
      <c r="AW5478">
        <v>1</v>
      </c>
    </row>
    <row r="5479" spans="1:49" x14ac:dyDescent="0.25">
      <c r="A5479" t="str">
        <f>"5475"</f>
        <v>5475</v>
      </c>
      <c r="B5479" t="str">
        <f t="shared" si="318"/>
        <v>1</v>
      </c>
      <c r="C5479" t="str">
        <f t="shared" si="319"/>
        <v>242</v>
      </c>
      <c r="D5479" t="str">
        <f>"15"</f>
        <v>15</v>
      </c>
      <c r="E5479" t="str">
        <f>"1-242-15"</f>
        <v>1-242-15</v>
      </c>
      <c r="F5479" t="s">
        <v>83</v>
      </c>
      <c r="G5479" t="s">
        <v>84</v>
      </c>
      <c r="H5479" t="s">
        <v>92</v>
      </c>
      <c r="I5479">
        <v>1</v>
      </c>
      <c r="J5479">
        <v>1</v>
      </c>
      <c r="N5479">
        <v>1</v>
      </c>
      <c r="O5479">
        <v>1</v>
      </c>
      <c r="P5479">
        <v>1</v>
      </c>
      <c r="Q5479">
        <v>1</v>
      </c>
      <c r="R5479">
        <v>1</v>
      </c>
      <c r="S5479">
        <v>1</v>
      </c>
      <c r="T5479">
        <v>1</v>
      </c>
      <c r="W5479">
        <v>1</v>
      </c>
      <c r="X5479">
        <v>1</v>
      </c>
      <c r="Y5479">
        <v>1</v>
      </c>
      <c r="Z5479">
        <v>1</v>
      </c>
      <c r="AA5479">
        <v>1</v>
      </c>
      <c r="AB5479">
        <v>1</v>
      </c>
    </row>
    <row r="5480" spans="1:49" x14ac:dyDescent="0.25">
      <c r="A5480" t="str">
        <f>"5476"</f>
        <v>5476</v>
      </c>
      <c r="B5480" t="str">
        <f t="shared" si="318"/>
        <v>1</v>
      </c>
      <c r="C5480" t="str">
        <f t="shared" si="319"/>
        <v>242</v>
      </c>
      <c r="D5480" t="str">
        <f>"8"</f>
        <v>8</v>
      </c>
      <c r="E5480" t="str">
        <f>"1-242-8"</f>
        <v>1-242-8</v>
      </c>
      <c r="F5480" t="s">
        <v>83</v>
      </c>
      <c r="G5480" t="s">
        <v>84</v>
      </c>
      <c r="H5480" t="s">
        <v>92</v>
      </c>
      <c r="I5480">
        <v>1</v>
      </c>
      <c r="J5480">
        <v>1</v>
      </c>
      <c r="N5480">
        <v>1</v>
      </c>
      <c r="O5480">
        <v>1</v>
      </c>
      <c r="P5480">
        <v>1</v>
      </c>
      <c r="Q5480">
        <v>1</v>
      </c>
      <c r="R5480">
        <v>1</v>
      </c>
      <c r="S5480">
        <v>1</v>
      </c>
      <c r="T5480">
        <v>1</v>
      </c>
      <c r="W5480">
        <v>1</v>
      </c>
      <c r="X5480">
        <v>1</v>
      </c>
      <c r="Y5480">
        <v>1</v>
      </c>
      <c r="Z5480">
        <v>1</v>
      </c>
      <c r="AA5480">
        <v>1</v>
      </c>
      <c r="AB5480">
        <v>1</v>
      </c>
    </row>
    <row r="5481" spans="1:49" x14ac:dyDescent="0.25">
      <c r="A5481" t="str">
        <f>"5477"</f>
        <v>5477</v>
      </c>
      <c r="B5481" t="str">
        <f t="shared" si="318"/>
        <v>1</v>
      </c>
      <c r="C5481" t="str">
        <f t="shared" si="319"/>
        <v>242</v>
      </c>
      <c r="D5481" t="str">
        <f>"4"</f>
        <v>4</v>
      </c>
      <c r="E5481" t="str">
        <f>"1-242-4"</f>
        <v>1-242-4</v>
      </c>
      <c r="F5481" t="s">
        <v>83</v>
      </c>
      <c r="G5481" t="s">
        <v>84</v>
      </c>
      <c r="H5481" t="s">
        <v>92</v>
      </c>
      <c r="I5481">
        <v>1</v>
      </c>
      <c r="J5481">
        <v>1</v>
      </c>
      <c r="N5481">
        <v>1</v>
      </c>
      <c r="O5481">
        <v>1</v>
      </c>
      <c r="P5481">
        <v>1</v>
      </c>
      <c r="Q5481">
        <v>1</v>
      </c>
      <c r="R5481">
        <v>1</v>
      </c>
      <c r="S5481">
        <v>1</v>
      </c>
      <c r="T5481">
        <v>1</v>
      </c>
      <c r="W5481">
        <v>1</v>
      </c>
      <c r="X5481">
        <v>1</v>
      </c>
      <c r="Y5481">
        <v>1</v>
      </c>
      <c r="Z5481">
        <v>1</v>
      </c>
      <c r="AA5481">
        <v>1</v>
      </c>
      <c r="AB5481">
        <v>1</v>
      </c>
    </row>
    <row r="5482" spans="1:49" x14ac:dyDescent="0.25">
      <c r="A5482" t="str">
        <f>"5478"</f>
        <v>5478</v>
      </c>
      <c r="B5482" t="str">
        <f t="shared" si="318"/>
        <v>1</v>
      </c>
      <c r="C5482" t="str">
        <f t="shared" si="319"/>
        <v>242</v>
      </c>
      <c r="D5482" t="str">
        <f>"25"</f>
        <v>25</v>
      </c>
      <c r="E5482" t="str">
        <f>"1-242-25"</f>
        <v>1-242-25</v>
      </c>
      <c r="F5482" t="s">
        <v>83</v>
      </c>
      <c r="G5482" t="s">
        <v>84</v>
      </c>
      <c r="H5482" t="s">
        <v>85</v>
      </c>
      <c r="AC5482">
        <v>0</v>
      </c>
      <c r="AD5482">
        <v>1</v>
      </c>
      <c r="AE5482">
        <v>0</v>
      </c>
      <c r="AF5482">
        <v>0</v>
      </c>
      <c r="AG5482">
        <v>0</v>
      </c>
      <c r="AJ5482">
        <v>0</v>
      </c>
      <c r="AK5482">
        <v>1</v>
      </c>
      <c r="AL5482">
        <v>0</v>
      </c>
      <c r="AM5482">
        <v>0</v>
      </c>
      <c r="AN5482">
        <v>0</v>
      </c>
      <c r="AO5482">
        <v>0</v>
      </c>
      <c r="AP5482">
        <v>0</v>
      </c>
      <c r="AQ5482">
        <v>0</v>
      </c>
      <c r="AR5482">
        <v>0</v>
      </c>
      <c r="AS5482">
        <v>0</v>
      </c>
      <c r="AT5482">
        <v>0</v>
      </c>
      <c r="AV5482">
        <v>0</v>
      </c>
      <c r="AW5482">
        <v>0</v>
      </c>
    </row>
    <row r="5483" spans="1:49" x14ac:dyDescent="0.25">
      <c r="A5483" t="str">
        <f>"5479"</f>
        <v>5479</v>
      </c>
      <c r="B5483" t="str">
        <f t="shared" si="318"/>
        <v>1</v>
      </c>
      <c r="C5483" t="str">
        <f t="shared" si="319"/>
        <v>242</v>
      </c>
      <c r="D5483" t="str">
        <f>"24"</f>
        <v>24</v>
      </c>
      <c r="E5483" t="str">
        <f>"1-242-24"</f>
        <v>1-242-24</v>
      </c>
      <c r="F5483" t="s">
        <v>83</v>
      </c>
      <c r="G5483" t="s">
        <v>84</v>
      </c>
      <c r="H5483" t="s">
        <v>85</v>
      </c>
      <c r="AC5483">
        <v>1</v>
      </c>
      <c r="AD5483">
        <v>0</v>
      </c>
      <c r="AE5483">
        <v>0</v>
      </c>
      <c r="AF5483">
        <v>0</v>
      </c>
      <c r="AG5483">
        <v>0</v>
      </c>
      <c r="AJ5483">
        <v>0</v>
      </c>
      <c r="AK5483">
        <v>1</v>
      </c>
      <c r="AL5483">
        <v>1</v>
      </c>
      <c r="AM5483">
        <v>0</v>
      </c>
      <c r="AN5483">
        <v>0</v>
      </c>
      <c r="AO5483">
        <v>0</v>
      </c>
      <c r="AP5483">
        <v>0</v>
      </c>
      <c r="AQ5483">
        <v>0</v>
      </c>
      <c r="AR5483">
        <v>0</v>
      </c>
      <c r="AS5483">
        <v>0</v>
      </c>
      <c r="AT5483">
        <v>0</v>
      </c>
      <c r="AV5483">
        <v>0</v>
      </c>
      <c r="AW5483">
        <v>0</v>
      </c>
    </row>
    <row r="5484" spans="1:49" x14ac:dyDescent="0.25">
      <c r="A5484" t="str">
        <f>"5480"</f>
        <v>5480</v>
      </c>
      <c r="B5484" t="str">
        <f t="shared" si="318"/>
        <v>1</v>
      </c>
      <c r="C5484" t="str">
        <f t="shared" si="319"/>
        <v>242</v>
      </c>
      <c r="D5484" t="str">
        <f>"16"</f>
        <v>16</v>
      </c>
      <c r="E5484" t="str">
        <f>"1-242-16"</f>
        <v>1-242-16</v>
      </c>
      <c r="F5484" t="s">
        <v>83</v>
      </c>
      <c r="G5484" t="s">
        <v>84</v>
      </c>
      <c r="H5484" t="s">
        <v>92</v>
      </c>
      <c r="I5484">
        <v>1</v>
      </c>
      <c r="J5484">
        <v>1</v>
      </c>
      <c r="N5484">
        <v>1</v>
      </c>
      <c r="O5484">
        <v>1</v>
      </c>
      <c r="P5484">
        <v>1</v>
      </c>
      <c r="Q5484">
        <v>1</v>
      </c>
      <c r="R5484">
        <v>1</v>
      </c>
      <c r="S5484">
        <v>1</v>
      </c>
      <c r="T5484">
        <v>1</v>
      </c>
      <c r="W5484">
        <v>1</v>
      </c>
      <c r="X5484">
        <v>1</v>
      </c>
      <c r="Y5484">
        <v>1</v>
      </c>
      <c r="Z5484">
        <v>1</v>
      </c>
      <c r="AA5484">
        <v>1</v>
      </c>
      <c r="AB5484">
        <v>1</v>
      </c>
    </row>
    <row r="5485" spans="1:49" x14ac:dyDescent="0.25">
      <c r="A5485" t="str">
        <f>"5481"</f>
        <v>5481</v>
      </c>
      <c r="B5485" t="str">
        <f t="shared" si="318"/>
        <v>1</v>
      </c>
      <c r="C5485" t="str">
        <f t="shared" si="319"/>
        <v>242</v>
      </c>
      <c r="D5485" t="str">
        <f>"9"</f>
        <v>9</v>
      </c>
      <c r="E5485" t="str">
        <f>"1-242-9"</f>
        <v>1-242-9</v>
      </c>
      <c r="F5485" t="s">
        <v>83</v>
      </c>
      <c r="G5485" t="s">
        <v>84</v>
      </c>
      <c r="H5485" t="s">
        <v>92</v>
      </c>
      <c r="I5485">
        <v>1</v>
      </c>
      <c r="J5485">
        <v>1</v>
      </c>
      <c r="N5485">
        <v>1</v>
      </c>
      <c r="O5485">
        <v>1</v>
      </c>
      <c r="P5485">
        <v>1</v>
      </c>
      <c r="Q5485">
        <v>1</v>
      </c>
      <c r="R5485">
        <v>1</v>
      </c>
      <c r="S5485">
        <v>1</v>
      </c>
      <c r="T5485">
        <v>1</v>
      </c>
      <c r="W5485">
        <v>1</v>
      </c>
      <c r="X5485">
        <v>1</v>
      </c>
      <c r="Y5485">
        <v>1</v>
      </c>
      <c r="Z5485">
        <v>1</v>
      </c>
      <c r="AA5485">
        <v>1</v>
      </c>
      <c r="AB5485">
        <v>1</v>
      </c>
    </row>
    <row r="5486" spans="1:49" x14ac:dyDescent="0.25">
      <c r="A5486" t="str">
        <f>"5482"</f>
        <v>5482</v>
      </c>
      <c r="B5486" t="str">
        <f t="shared" si="318"/>
        <v>1</v>
      </c>
      <c r="C5486" t="str">
        <f t="shared" si="319"/>
        <v>242</v>
      </c>
      <c r="D5486" t="str">
        <f>"1"</f>
        <v>1</v>
      </c>
      <c r="E5486" t="str">
        <f>"1-242-1"</f>
        <v>1-242-1</v>
      </c>
      <c r="F5486" t="s">
        <v>83</v>
      </c>
      <c r="G5486" t="s">
        <v>84</v>
      </c>
      <c r="H5486" t="s">
        <v>92</v>
      </c>
      <c r="I5486">
        <v>1</v>
      </c>
      <c r="J5486">
        <v>1</v>
      </c>
      <c r="N5486">
        <v>1</v>
      </c>
      <c r="O5486">
        <v>1</v>
      </c>
      <c r="P5486">
        <v>1</v>
      </c>
      <c r="Q5486">
        <v>0</v>
      </c>
      <c r="R5486">
        <v>1</v>
      </c>
      <c r="S5486">
        <v>1</v>
      </c>
      <c r="T5486">
        <v>1</v>
      </c>
      <c r="W5486">
        <v>1</v>
      </c>
      <c r="X5486">
        <v>0</v>
      </c>
      <c r="Y5486">
        <v>1</v>
      </c>
      <c r="Z5486">
        <v>1</v>
      </c>
      <c r="AA5486">
        <v>1</v>
      </c>
      <c r="AB5486">
        <v>1</v>
      </c>
    </row>
    <row r="5487" spans="1:49" x14ac:dyDescent="0.25">
      <c r="A5487" t="str">
        <f>"5483"</f>
        <v>5483</v>
      </c>
      <c r="B5487" t="str">
        <f t="shared" si="318"/>
        <v>1</v>
      </c>
      <c r="C5487" t="str">
        <f t="shared" si="319"/>
        <v>242</v>
      </c>
      <c r="D5487" t="str">
        <f>"17"</f>
        <v>17</v>
      </c>
      <c r="E5487" t="str">
        <f>"1-242-17"</f>
        <v>1-242-17</v>
      </c>
      <c r="F5487" t="s">
        <v>83</v>
      </c>
      <c r="G5487" t="s">
        <v>84</v>
      </c>
      <c r="H5487" t="s">
        <v>92</v>
      </c>
      <c r="I5487">
        <v>1</v>
      </c>
      <c r="J5487">
        <v>1</v>
      </c>
      <c r="N5487">
        <v>1</v>
      </c>
      <c r="O5487">
        <v>1</v>
      </c>
      <c r="P5487">
        <v>1</v>
      </c>
      <c r="Q5487">
        <v>1</v>
      </c>
      <c r="R5487">
        <v>1</v>
      </c>
      <c r="S5487">
        <v>1</v>
      </c>
      <c r="T5487">
        <v>1</v>
      </c>
      <c r="W5487">
        <v>1</v>
      </c>
      <c r="X5487">
        <v>1</v>
      </c>
      <c r="Y5487">
        <v>1</v>
      </c>
      <c r="Z5487">
        <v>1</v>
      </c>
      <c r="AA5487">
        <v>1</v>
      </c>
      <c r="AB5487">
        <v>1</v>
      </c>
    </row>
    <row r="5488" spans="1:49" x14ac:dyDescent="0.25">
      <c r="A5488" t="str">
        <f>"5484"</f>
        <v>5484</v>
      </c>
      <c r="B5488" t="str">
        <f t="shared" si="318"/>
        <v>1</v>
      </c>
      <c r="C5488" t="str">
        <f t="shared" si="319"/>
        <v>242</v>
      </c>
      <c r="D5488" t="str">
        <f>"10"</f>
        <v>10</v>
      </c>
      <c r="E5488" t="str">
        <f>"1-242-10"</f>
        <v>1-242-10</v>
      </c>
      <c r="F5488" t="s">
        <v>83</v>
      </c>
      <c r="G5488" t="s">
        <v>84</v>
      </c>
      <c r="H5488" t="s">
        <v>92</v>
      </c>
      <c r="I5488">
        <v>1</v>
      </c>
      <c r="J5488">
        <v>1</v>
      </c>
      <c r="N5488">
        <v>1</v>
      </c>
      <c r="O5488">
        <v>1</v>
      </c>
      <c r="P5488">
        <v>1</v>
      </c>
      <c r="Q5488">
        <v>1</v>
      </c>
      <c r="R5488">
        <v>1</v>
      </c>
      <c r="S5488">
        <v>1</v>
      </c>
      <c r="T5488">
        <v>1</v>
      </c>
      <c r="W5488">
        <v>1</v>
      </c>
      <c r="X5488">
        <v>1</v>
      </c>
      <c r="Y5488">
        <v>1</v>
      </c>
      <c r="Z5488">
        <v>1</v>
      </c>
      <c r="AA5488">
        <v>1</v>
      </c>
      <c r="AB5488">
        <v>1</v>
      </c>
    </row>
    <row r="5489" spans="1:49" x14ac:dyDescent="0.25">
      <c r="A5489" t="str">
        <f>"5485"</f>
        <v>5485</v>
      </c>
      <c r="B5489" t="str">
        <f t="shared" si="318"/>
        <v>1</v>
      </c>
      <c r="C5489" t="str">
        <f t="shared" si="319"/>
        <v>242</v>
      </c>
      <c r="D5489" t="str">
        <f>"5"</f>
        <v>5</v>
      </c>
      <c r="E5489" t="str">
        <f>"1-242-5"</f>
        <v>1-242-5</v>
      </c>
      <c r="F5489" t="s">
        <v>83</v>
      </c>
      <c r="G5489" t="s">
        <v>84</v>
      </c>
      <c r="H5489" t="s">
        <v>92</v>
      </c>
      <c r="I5489">
        <v>1</v>
      </c>
      <c r="J5489">
        <v>1</v>
      </c>
      <c r="N5489">
        <v>1</v>
      </c>
      <c r="O5489">
        <v>1</v>
      </c>
      <c r="P5489">
        <v>1</v>
      </c>
      <c r="Q5489">
        <v>1</v>
      </c>
      <c r="R5489">
        <v>1</v>
      </c>
      <c r="S5489">
        <v>1</v>
      </c>
      <c r="T5489">
        <v>1</v>
      </c>
      <c r="W5489">
        <v>1</v>
      </c>
      <c r="X5489">
        <v>1</v>
      </c>
      <c r="Y5489">
        <v>1</v>
      </c>
      <c r="Z5489">
        <v>1</v>
      </c>
      <c r="AA5489">
        <v>1</v>
      </c>
      <c r="AB5489">
        <v>1</v>
      </c>
    </row>
    <row r="5490" spans="1:49" x14ac:dyDescent="0.25">
      <c r="A5490" t="str">
        <f>"5486"</f>
        <v>5486</v>
      </c>
      <c r="B5490" t="str">
        <f t="shared" si="318"/>
        <v>1</v>
      </c>
      <c r="C5490" t="str">
        <f t="shared" si="319"/>
        <v>242</v>
      </c>
      <c r="D5490" t="str">
        <f>"18"</f>
        <v>18</v>
      </c>
      <c r="E5490" t="str">
        <f>"1-242-18"</f>
        <v>1-242-18</v>
      </c>
      <c r="F5490" t="s">
        <v>83</v>
      </c>
      <c r="G5490" t="s">
        <v>84</v>
      </c>
      <c r="H5490" t="s">
        <v>92</v>
      </c>
      <c r="I5490">
        <v>1</v>
      </c>
      <c r="J5490">
        <v>1</v>
      </c>
      <c r="N5490">
        <v>1</v>
      </c>
      <c r="O5490">
        <v>1</v>
      </c>
      <c r="P5490">
        <v>1</v>
      </c>
      <c r="Q5490">
        <v>1</v>
      </c>
      <c r="R5490">
        <v>1</v>
      </c>
      <c r="S5490">
        <v>1</v>
      </c>
      <c r="T5490">
        <v>1</v>
      </c>
      <c r="W5490">
        <v>1</v>
      </c>
      <c r="X5490">
        <v>1</v>
      </c>
      <c r="Y5490">
        <v>1</v>
      </c>
      <c r="Z5490">
        <v>1</v>
      </c>
      <c r="AA5490">
        <v>1</v>
      </c>
      <c r="AB5490">
        <v>1</v>
      </c>
    </row>
    <row r="5491" spans="1:49" x14ac:dyDescent="0.25">
      <c r="A5491" t="str">
        <f>"5487"</f>
        <v>5487</v>
      </c>
      <c r="B5491" t="str">
        <f t="shared" si="318"/>
        <v>1</v>
      </c>
      <c r="C5491" t="str">
        <f t="shared" si="319"/>
        <v>242</v>
      </c>
      <c r="D5491" t="str">
        <f>"11"</f>
        <v>11</v>
      </c>
      <c r="E5491" t="str">
        <f>"1-242-11"</f>
        <v>1-242-11</v>
      </c>
      <c r="F5491" t="s">
        <v>83</v>
      </c>
      <c r="G5491" t="s">
        <v>84</v>
      </c>
      <c r="H5491" t="s">
        <v>85</v>
      </c>
      <c r="AC5491">
        <v>0</v>
      </c>
      <c r="AD5491">
        <v>1</v>
      </c>
      <c r="AE5491">
        <v>0</v>
      </c>
      <c r="AF5491">
        <v>0</v>
      </c>
      <c r="AG5491">
        <v>0</v>
      </c>
      <c r="AJ5491">
        <v>0</v>
      </c>
      <c r="AK5491">
        <v>1</v>
      </c>
      <c r="AL5491">
        <v>0</v>
      </c>
      <c r="AM5491">
        <v>0</v>
      </c>
      <c r="AN5491">
        <v>0</v>
      </c>
      <c r="AO5491">
        <v>0</v>
      </c>
      <c r="AP5491">
        <v>0</v>
      </c>
      <c r="AQ5491">
        <v>0</v>
      </c>
      <c r="AR5491">
        <v>0</v>
      </c>
      <c r="AS5491">
        <v>0</v>
      </c>
      <c r="AT5491">
        <v>0</v>
      </c>
      <c r="AV5491">
        <v>0</v>
      </c>
      <c r="AW5491">
        <v>0</v>
      </c>
    </row>
    <row r="5492" spans="1:49" x14ac:dyDescent="0.25">
      <c r="A5492" t="str">
        <f>"5488"</f>
        <v>5488</v>
      </c>
      <c r="B5492" t="str">
        <f t="shared" si="318"/>
        <v>1</v>
      </c>
      <c r="C5492" t="str">
        <f t="shared" si="319"/>
        <v>242</v>
      </c>
      <c r="D5492" t="str">
        <f>"6"</f>
        <v>6</v>
      </c>
      <c r="E5492" t="str">
        <f>"1-242-6"</f>
        <v>1-242-6</v>
      </c>
      <c r="F5492" t="s">
        <v>83</v>
      </c>
      <c r="G5492" t="s">
        <v>84</v>
      </c>
      <c r="H5492" t="s">
        <v>85</v>
      </c>
      <c r="AC5492">
        <v>0</v>
      </c>
      <c r="AD5492">
        <v>1</v>
      </c>
      <c r="AE5492">
        <v>0</v>
      </c>
      <c r="AF5492">
        <v>0</v>
      </c>
      <c r="AG5492">
        <v>0</v>
      </c>
      <c r="AJ5492">
        <v>0</v>
      </c>
      <c r="AK5492">
        <v>1</v>
      </c>
      <c r="AL5492">
        <v>0</v>
      </c>
      <c r="AM5492">
        <v>0</v>
      </c>
      <c r="AN5492">
        <v>1</v>
      </c>
      <c r="AO5492">
        <v>0</v>
      </c>
      <c r="AP5492">
        <v>0</v>
      </c>
      <c r="AQ5492">
        <v>0</v>
      </c>
      <c r="AR5492">
        <v>1</v>
      </c>
      <c r="AS5492">
        <v>0</v>
      </c>
      <c r="AT5492">
        <v>1</v>
      </c>
      <c r="AV5492">
        <v>0</v>
      </c>
      <c r="AW5492">
        <v>0</v>
      </c>
    </row>
    <row r="5493" spans="1:49" x14ac:dyDescent="0.25">
      <c r="A5493" t="str">
        <f>"5489"</f>
        <v>5489</v>
      </c>
      <c r="B5493" t="str">
        <f t="shared" si="318"/>
        <v>1</v>
      </c>
      <c r="C5493" t="str">
        <f t="shared" si="319"/>
        <v>242</v>
      </c>
      <c r="D5493" t="str">
        <f>"19"</f>
        <v>19</v>
      </c>
      <c r="E5493" t="str">
        <f>"1-242-19"</f>
        <v>1-242-19</v>
      </c>
      <c r="F5493" t="s">
        <v>83</v>
      </c>
      <c r="G5493" t="s">
        <v>84</v>
      </c>
      <c r="H5493" t="s">
        <v>85</v>
      </c>
      <c r="AC5493">
        <v>1</v>
      </c>
      <c r="AD5493">
        <v>0</v>
      </c>
      <c r="AE5493">
        <v>0</v>
      </c>
      <c r="AF5493">
        <v>0</v>
      </c>
      <c r="AG5493">
        <v>0</v>
      </c>
      <c r="AJ5493">
        <v>1</v>
      </c>
      <c r="AK5493">
        <v>0</v>
      </c>
      <c r="AL5493">
        <v>1</v>
      </c>
      <c r="AM5493">
        <v>0</v>
      </c>
      <c r="AN5493">
        <v>0</v>
      </c>
      <c r="AO5493">
        <v>0</v>
      </c>
      <c r="AP5493">
        <v>0</v>
      </c>
      <c r="AQ5493">
        <v>0</v>
      </c>
      <c r="AR5493">
        <v>0</v>
      </c>
      <c r="AS5493">
        <v>0</v>
      </c>
      <c r="AT5493">
        <v>0</v>
      </c>
      <c r="AV5493">
        <v>0</v>
      </c>
      <c r="AW5493">
        <v>0</v>
      </c>
    </row>
    <row r="5494" spans="1:49" x14ac:dyDescent="0.25">
      <c r="A5494" t="str">
        <f>"5490"</f>
        <v>5490</v>
      </c>
      <c r="B5494" t="str">
        <f t="shared" si="318"/>
        <v>1</v>
      </c>
      <c r="C5494" t="str">
        <f t="shared" si="319"/>
        <v>242</v>
      </c>
      <c r="D5494" t="str">
        <f>"12"</f>
        <v>12</v>
      </c>
      <c r="E5494" t="str">
        <f>"1-242-12"</f>
        <v>1-242-12</v>
      </c>
      <c r="F5494" t="s">
        <v>83</v>
      </c>
      <c r="G5494" t="s">
        <v>84</v>
      </c>
      <c r="H5494" t="s">
        <v>92</v>
      </c>
      <c r="I5494">
        <v>1</v>
      </c>
      <c r="J5494">
        <v>1</v>
      </c>
      <c r="N5494">
        <v>1</v>
      </c>
      <c r="O5494">
        <v>1</v>
      </c>
      <c r="P5494">
        <v>1</v>
      </c>
      <c r="Q5494">
        <v>1</v>
      </c>
      <c r="R5494">
        <v>1</v>
      </c>
      <c r="S5494">
        <v>1</v>
      </c>
      <c r="T5494">
        <v>1</v>
      </c>
      <c r="W5494">
        <v>1</v>
      </c>
      <c r="X5494">
        <v>1</v>
      </c>
      <c r="Y5494">
        <v>1</v>
      </c>
      <c r="Z5494">
        <v>0</v>
      </c>
      <c r="AA5494">
        <v>1</v>
      </c>
      <c r="AB5494">
        <v>0</v>
      </c>
    </row>
    <row r="5495" spans="1:49" x14ac:dyDescent="0.25">
      <c r="A5495" t="str">
        <f>"5491"</f>
        <v>5491</v>
      </c>
      <c r="B5495" t="str">
        <f t="shared" si="318"/>
        <v>1</v>
      </c>
      <c r="C5495" t="str">
        <f t="shared" si="319"/>
        <v>242</v>
      </c>
      <c r="D5495" t="str">
        <f>"3"</f>
        <v>3</v>
      </c>
      <c r="E5495" t="str">
        <f>"1-242-3"</f>
        <v>1-242-3</v>
      </c>
      <c r="F5495" t="s">
        <v>83</v>
      </c>
      <c r="G5495" t="s">
        <v>84</v>
      </c>
      <c r="H5495" t="s">
        <v>92</v>
      </c>
      <c r="I5495">
        <v>1</v>
      </c>
      <c r="J5495">
        <v>1</v>
      </c>
      <c r="N5495">
        <v>1</v>
      </c>
      <c r="O5495">
        <v>1</v>
      </c>
      <c r="P5495">
        <v>1</v>
      </c>
      <c r="Q5495">
        <v>1</v>
      </c>
      <c r="R5495">
        <v>1</v>
      </c>
      <c r="S5495">
        <v>1</v>
      </c>
      <c r="T5495">
        <v>1</v>
      </c>
      <c r="W5495">
        <v>1</v>
      </c>
      <c r="X5495">
        <v>1</v>
      </c>
      <c r="Y5495">
        <v>1</v>
      </c>
      <c r="Z5495">
        <v>1</v>
      </c>
      <c r="AA5495">
        <v>1</v>
      </c>
      <c r="AB5495">
        <v>1</v>
      </c>
    </row>
    <row r="5496" spans="1:49" x14ac:dyDescent="0.25">
      <c r="A5496" t="str">
        <f>"5492"</f>
        <v>5492</v>
      </c>
      <c r="B5496" t="str">
        <f t="shared" si="318"/>
        <v>1</v>
      </c>
      <c r="C5496" t="str">
        <f t="shared" si="319"/>
        <v>242</v>
      </c>
      <c r="D5496" t="str">
        <f>"20"</f>
        <v>20</v>
      </c>
      <c r="E5496" t="str">
        <f>"1-242-20"</f>
        <v>1-242-20</v>
      </c>
      <c r="F5496" t="s">
        <v>83</v>
      </c>
      <c r="G5496" t="s">
        <v>84</v>
      </c>
      <c r="H5496" t="s">
        <v>92</v>
      </c>
      <c r="I5496">
        <v>1</v>
      </c>
      <c r="J5496">
        <v>1</v>
      </c>
      <c r="N5496">
        <v>1</v>
      </c>
      <c r="O5496">
        <v>1</v>
      </c>
      <c r="P5496">
        <v>1</v>
      </c>
      <c r="Q5496">
        <v>1</v>
      </c>
      <c r="R5496">
        <v>1</v>
      </c>
      <c r="S5496">
        <v>1</v>
      </c>
      <c r="T5496">
        <v>1</v>
      </c>
      <c r="W5496">
        <v>0</v>
      </c>
      <c r="X5496">
        <v>1</v>
      </c>
      <c r="Y5496">
        <v>1</v>
      </c>
      <c r="Z5496">
        <v>1</v>
      </c>
      <c r="AA5496">
        <v>1</v>
      </c>
      <c r="AB5496">
        <v>1</v>
      </c>
    </row>
    <row r="5497" spans="1:49" x14ac:dyDescent="0.25">
      <c r="A5497" t="str">
        <f>"5493"</f>
        <v>5493</v>
      </c>
      <c r="B5497" t="str">
        <f t="shared" si="318"/>
        <v>1</v>
      </c>
      <c r="C5497" t="str">
        <f t="shared" si="319"/>
        <v>242</v>
      </c>
      <c r="D5497" t="str">
        <f>"13"</f>
        <v>13</v>
      </c>
      <c r="E5497" t="str">
        <f>"1-242-13"</f>
        <v>1-242-13</v>
      </c>
      <c r="F5497" t="s">
        <v>83</v>
      </c>
      <c r="G5497" t="s">
        <v>84</v>
      </c>
      <c r="H5497" t="s">
        <v>85</v>
      </c>
      <c r="AC5497">
        <v>0</v>
      </c>
      <c r="AD5497">
        <v>1</v>
      </c>
      <c r="AE5497">
        <v>0</v>
      </c>
      <c r="AF5497">
        <v>0</v>
      </c>
      <c r="AG5497">
        <v>0</v>
      </c>
      <c r="AJ5497">
        <v>0</v>
      </c>
      <c r="AK5497">
        <v>1</v>
      </c>
      <c r="AL5497">
        <v>1</v>
      </c>
      <c r="AM5497">
        <v>0</v>
      </c>
      <c r="AN5497">
        <v>0</v>
      </c>
      <c r="AO5497">
        <v>0</v>
      </c>
      <c r="AP5497">
        <v>0</v>
      </c>
      <c r="AQ5497">
        <v>0</v>
      </c>
      <c r="AR5497">
        <v>0</v>
      </c>
      <c r="AS5497">
        <v>1</v>
      </c>
      <c r="AT5497">
        <v>0</v>
      </c>
      <c r="AV5497">
        <v>0</v>
      </c>
      <c r="AW5497">
        <v>0</v>
      </c>
    </row>
    <row r="5498" spans="1:49" x14ac:dyDescent="0.25">
      <c r="A5498" t="str">
        <f>"5494"</f>
        <v>5494</v>
      </c>
      <c r="B5498" t="str">
        <f t="shared" si="318"/>
        <v>1</v>
      </c>
      <c r="C5498" t="str">
        <f t="shared" si="319"/>
        <v>242</v>
      </c>
      <c r="D5498" t="str">
        <f>"7"</f>
        <v>7</v>
      </c>
      <c r="E5498" t="str">
        <f>"1-242-7"</f>
        <v>1-242-7</v>
      </c>
      <c r="F5498" t="s">
        <v>83</v>
      </c>
      <c r="G5498" t="s">
        <v>84</v>
      </c>
      <c r="H5498" t="s">
        <v>85</v>
      </c>
      <c r="AC5498">
        <v>0</v>
      </c>
      <c r="AD5498">
        <v>1</v>
      </c>
      <c r="AE5498">
        <v>0</v>
      </c>
      <c r="AF5498">
        <v>0</v>
      </c>
      <c r="AG5498">
        <v>0</v>
      </c>
      <c r="AJ5498">
        <v>0</v>
      </c>
      <c r="AK5498">
        <v>1</v>
      </c>
      <c r="AL5498">
        <v>0</v>
      </c>
      <c r="AM5498">
        <v>1</v>
      </c>
      <c r="AN5498">
        <v>0</v>
      </c>
      <c r="AO5498">
        <v>1</v>
      </c>
      <c r="AP5498">
        <v>1</v>
      </c>
      <c r="AQ5498">
        <v>1</v>
      </c>
      <c r="AR5498">
        <v>1</v>
      </c>
      <c r="AS5498">
        <v>1</v>
      </c>
      <c r="AT5498">
        <v>0</v>
      </c>
      <c r="AV5498">
        <v>1</v>
      </c>
      <c r="AW5498">
        <v>1</v>
      </c>
    </row>
    <row r="5499" spans="1:49" x14ac:dyDescent="0.25">
      <c r="A5499" t="str">
        <f>"5495"</f>
        <v>5495</v>
      </c>
      <c r="B5499" t="str">
        <f t="shared" si="318"/>
        <v>1</v>
      </c>
      <c r="C5499" t="str">
        <f t="shared" si="319"/>
        <v>242</v>
      </c>
      <c r="D5499" t="str">
        <f>"21"</f>
        <v>21</v>
      </c>
      <c r="E5499" t="str">
        <f>"1-242-21"</f>
        <v>1-242-21</v>
      </c>
      <c r="F5499" t="s">
        <v>83</v>
      </c>
      <c r="G5499" t="s">
        <v>84</v>
      </c>
      <c r="H5499" t="s">
        <v>92</v>
      </c>
      <c r="I5499">
        <v>1</v>
      </c>
      <c r="J5499">
        <v>1</v>
      </c>
      <c r="N5499">
        <v>1</v>
      </c>
      <c r="O5499">
        <v>1</v>
      </c>
      <c r="P5499">
        <v>1</v>
      </c>
      <c r="Q5499">
        <v>1</v>
      </c>
      <c r="R5499">
        <v>1</v>
      </c>
      <c r="S5499">
        <v>1</v>
      </c>
      <c r="T5499">
        <v>1</v>
      </c>
      <c r="W5499">
        <v>1</v>
      </c>
      <c r="X5499">
        <v>1</v>
      </c>
      <c r="Y5499">
        <v>1</v>
      </c>
      <c r="Z5499">
        <v>1</v>
      </c>
      <c r="AA5499">
        <v>1</v>
      </c>
      <c r="AB5499">
        <v>1</v>
      </c>
    </row>
    <row r="5500" spans="1:49" x14ac:dyDescent="0.25">
      <c r="A5500" t="str">
        <f>"5496"</f>
        <v>5496</v>
      </c>
      <c r="B5500" t="str">
        <f t="shared" si="318"/>
        <v>1</v>
      </c>
      <c r="C5500" t="str">
        <f t="shared" si="319"/>
        <v>242</v>
      </c>
      <c r="D5500" t="str">
        <f>"14"</f>
        <v>14</v>
      </c>
      <c r="E5500" t="str">
        <f>"1-242-14"</f>
        <v>1-242-14</v>
      </c>
      <c r="F5500" t="s">
        <v>83</v>
      </c>
      <c r="G5500" t="s">
        <v>84</v>
      </c>
      <c r="H5500" t="s">
        <v>85</v>
      </c>
      <c r="AC5500">
        <v>0</v>
      </c>
      <c r="AD5500">
        <v>1</v>
      </c>
      <c r="AE5500">
        <v>0</v>
      </c>
      <c r="AF5500">
        <v>0</v>
      </c>
      <c r="AG5500">
        <v>1</v>
      </c>
      <c r="AJ5500">
        <v>0</v>
      </c>
      <c r="AK5500">
        <v>1</v>
      </c>
      <c r="AL5500">
        <v>1</v>
      </c>
      <c r="AM5500">
        <v>0</v>
      </c>
      <c r="AN5500">
        <v>0</v>
      </c>
      <c r="AO5500">
        <v>0</v>
      </c>
      <c r="AP5500">
        <v>1</v>
      </c>
      <c r="AQ5500">
        <v>1</v>
      </c>
      <c r="AR5500">
        <v>1</v>
      </c>
      <c r="AS5500">
        <v>1</v>
      </c>
      <c r="AT5500">
        <v>0</v>
      </c>
      <c r="AV5500">
        <v>1</v>
      </c>
      <c r="AW5500">
        <v>1</v>
      </c>
    </row>
    <row r="5501" spans="1:49" x14ac:dyDescent="0.25">
      <c r="A5501" t="str">
        <f>"5497"</f>
        <v>5497</v>
      </c>
      <c r="B5501" t="str">
        <f t="shared" si="318"/>
        <v>1</v>
      </c>
      <c r="C5501" t="str">
        <f t="shared" si="319"/>
        <v>242</v>
      </c>
      <c r="D5501" t="str">
        <f>"2"</f>
        <v>2</v>
      </c>
      <c r="E5501" t="str">
        <f>"1-242-2"</f>
        <v>1-242-2</v>
      </c>
      <c r="F5501" t="s">
        <v>83</v>
      </c>
      <c r="G5501" t="s">
        <v>86</v>
      </c>
      <c r="H5501" t="s">
        <v>93</v>
      </c>
      <c r="I5501">
        <v>1</v>
      </c>
      <c r="K5501">
        <v>0</v>
      </c>
      <c r="L5501">
        <v>0</v>
      </c>
      <c r="M5501">
        <v>1</v>
      </c>
      <c r="N5501">
        <v>1</v>
      </c>
      <c r="O5501">
        <v>1</v>
      </c>
      <c r="P5501">
        <v>1</v>
      </c>
      <c r="Q5501">
        <v>1</v>
      </c>
      <c r="R5501">
        <v>1</v>
      </c>
      <c r="U5501">
        <v>0</v>
      </c>
      <c r="V5501">
        <v>1</v>
      </c>
      <c r="W5501">
        <v>1</v>
      </c>
      <c r="X5501">
        <v>1</v>
      </c>
      <c r="Y5501">
        <v>1</v>
      </c>
      <c r="Z5501">
        <v>1</v>
      </c>
      <c r="AA5501">
        <v>1</v>
      </c>
      <c r="AB5501">
        <v>1</v>
      </c>
    </row>
    <row r="5502" spans="1:49" x14ac:dyDescent="0.25">
      <c r="A5502" t="str">
        <f>"5498"</f>
        <v>5498</v>
      </c>
      <c r="B5502" t="str">
        <f t="shared" si="318"/>
        <v>1</v>
      </c>
      <c r="C5502" t="str">
        <f t="shared" ref="C5502:C5526" si="320">"243"</f>
        <v>243</v>
      </c>
      <c r="D5502" t="str">
        <f>"25"</f>
        <v>25</v>
      </c>
      <c r="E5502" t="str">
        <f>"1-243-25"</f>
        <v>1-243-25</v>
      </c>
      <c r="F5502" t="s">
        <v>83</v>
      </c>
      <c r="G5502" t="s">
        <v>86</v>
      </c>
      <c r="H5502" t="s">
        <v>87</v>
      </c>
      <c r="AC5502">
        <v>0</v>
      </c>
      <c r="AD5502">
        <v>0</v>
      </c>
      <c r="AE5502">
        <v>0</v>
      </c>
      <c r="AF5502">
        <v>0</v>
      </c>
      <c r="AH5502">
        <v>0</v>
      </c>
      <c r="AI5502">
        <v>1</v>
      </c>
      <c r="AJ5502">
        <v>0</v>
      </c>
      <c r="AK5502">
        <v>0</v>
      </c>
      <c r="AL5502">
        <v>0</v>
      </c>
      <c r="AM5502">
        <v>1</v>
      </c>
      <c r="AN5502">
        <v>0</v>
      </c>
      <c r="AO5502">
        <v>0</v>
      </c>
      <c r="AP5502">
        <v>0</v>
      </c>
      <c r="AQ5502">
        <v>0</v>
      </c>
      <c r="AU5502">
        <v>0</v>
      </c>
      <c r="AV5502">
        <v>0</v>
      </c>
      <c r="AW5502">
        <v>0</v>
      </c>
    </row>
    <row r="5503" spans="1:49" x14ac:dyDescent="0.25">
      <c r="A5503" t="str">
        <f>"5499"</f>
        <v>5499</v>
      </c>
      <c r="B5503" t="str">
        <f t="shared" si="318"/>
        <v>1</v>
      </c>
      <c r="C5503" t="str">
        <f t="shared" si="320"/>
        <v>243</v>
      </c>
      <c r="D5503" t="str">
        <f>"24"</f>
        <v>24</v>
      </c>
      <c r="E5503" t="str">
        <f>"1-243-24"</f>
        <v>1-243-24</v>
      </c>
      <c r="F5503" t="s">
        <v>83</v>
      </c>
      <c r="G5503" t="s">
        <v>84</v>
      </c>
      <c r="H5503" t="s">
        <v>92</v>
      </c>
      <c r="I5503">
        <v>1</v>
      </c>
      <c r="J5503">
        <v>1</v>
      </c>
      <c r="N5503">
        <v>1</v>
      </c>
      <c r="O5503">
        <v>1</v>
      </c>
      <c r="P5503">
        <v>1</v>
      </c>
      <c r="Q5503">
        <v>1</v>
      </c>
      <c r="R5503">
        <v>1</v>
      </c>
      <c r="S5503">
        <v>1</v>
      </c>
      <c r="T5503">
        <v>1</v>
      </c>
      <c r="W5503">
        <v>1</v>
      </c>
      <c r="X5503">
        <v>1</v>
      </c>
      <c r="Y5503">
        <v>1</v>
      </c>
      <c r="Z5503">
        <v>1</v>
      </c>
      <c r="AA5503">
        <v>1</v>
      </c>
      <c r="AB5503">
        <v>1</v>
      </c>
    </row>
    <row r="5504" spans="1:49" x14ac:dyDescent="0.25">
      <c r="A5504" t="str">
        <f>"5500"</f>
        <v>5500</v>
      </c>
      <c r="B5504" t="str">
        <f t="shared" si="318"/>
        <v>1</v>
      </c>
      <c r="C5504" t="str">
        <f t="shared" si="320"/>
        <v>243</v>
      </c>
      <c r="D5504" t="str">
        <f>"16"</f>
        <v>16</v>
      </c>
      <c r="E5504" t="str">
        <f>"1-243-16"</f>
        <v>1-243-16</v>
      </c>
      <c r="F5504" t="s">
        <v>83</v>
      </c>
      <c r="G5504" t="s">
        <v>84</v>
      </c>
      <c r="H5504" t="s">
        <v>85</v>
      </c>
      <c r="AC5504">
        <v>0</v>
      </c>
      <c r="AD5504">
        <v>1</v>
      </c>
      <c r="AE5504">
        <v>0</v>
      </c>
      <c r="AF5504">
        <v>0</v>
      </c>
      <c r="AG5504">
        <v>1</v>
      </c>
      <c r="AJ5504">
        <v>0</v>
      </c>
      <c r="AK5504">
        <v>1</v>
      </c>
      <c r="AL5504">
        <v>0</v>
      </c>
      <c r="AM5504">
        <v>0</v>
      </c>
      <c r="AN5504">
        <v>1</v>
      </c>
      <c r="AO5504">
        <v>1</v>
      </c>
      <c r="AP5504">
        <v>1</v>
      </c>
      <c r="AQ5504">
        <v>1</v>
      </c>
      <c r="AR5504">
        <v>1</v>
      </c>
      <c r="AS5504">
        <v>0</v>
      </c>
      <c r="AT5504">
        <v>1</v>
      </c>
      <c r="AV5504">
        <v>1</v>
      </c>
      <c r="AW5504">
        <v>1</v>
      </c>
    </row>
    <row r="5505" spans="1:49" x14ac:dyDescent="0.25">
      <c r="A5505" t="str">
        <f>"5501"</f>
        <v>5501</v>
      </c>
      <c r="B5505" t="str">
        <f t="shared" si="318"/>
        <v>1</v>
      </c>
      <c r="C5505" t="str">
        <f t="shared" si="320"/>
        <v>243</v>
      </c>
      <c r="D5505" t="str">
        <f>"8"</f>
        <v>8</v>
      </c>
      <c r="E5505" t="str">
        <f>"1-243-8"</f>
        <v>1-243-8</v>
      </c>
      <c r="F5505" t="s">
        <v>83</v>
      </c>
      <c r="G5505" t="s">
        <v>84</v>
      </c>
      <c r="H5505" t="s">
        <v>85</v>
      </c>
      <c r="AC5505">
        <v>0</v>
      </c>
      <c r="AD5505">
        <v>1</v>
      </c>
      <c r="AE5505">
        <v>0</v>
      </c>
      <c r="AF5505">
        <v>0</v>
      </c>
      <c r="AG5505">
        <v>0</v>
      </c>
      <c r="AJ5505">
        <v>1</v>
      </c>
      <c r="AK5505">
        <v>0</v>
      </c>
      <c r="AL5505">
        <v>0</v>
      </c>
      <c r="AM5505">
        <v>1</v>
      </c>
      <c r="AN5505">
        <v>0</v>
      </c>
      <c r="AO5505">
        <v>0</v>
      </c>
      <c r="AP5505">
        <v>0</v>
      </c>
      <c r="AQ5505">
        <v>0</v>
      </c>
      <c r="AR5505">
        <v>0</v>
      </c>
      <c r="AS5505">
        <v>0</v>
      </c>
      <c r="AT5505">
        <v>1</v>
      </c>
      <c r="AV5505">
        <v>0</v>
      </c>
      <c r="AW5505">
        <v>0</v>
      </c>
    </row>
    <row r="5506" spans="1:49" x14ac:dyDescent="0.25">
      <c r="A5506" t="str">
        <f>"5502"</f>
        <v>5502</v>
      </c>
      <c r="B5506" t="str">
        <f t="shared" si="318"/>
        <v>1</v>
      </c>
      <c r="C5506" t="str">
        <f t="shared" si="320"/>
        <v>243</v>
      </c>
      <c r="D5506" t="str">
        <f>"5"</f>
        <v>5</v>
      </c>
      <c r="E5506" t="str">
        <f>"1-243-5"</f>
        <v>1-243-5</v>
      </c>
      <c r="F5506" t="s">
        <v>83</v>
      </c>
      <c r="G5506" t="s">
        <v>84</v>
      </c>
      <c r="H5506" t="s">
        <v>85</v>
      </c>
      <c r="AC5506">
        <v>1</v>
      </c>
      <c r="AD5506">
        <v>0</v>
      </c>
      <c r="AE5506">
        <v>0</v>
      </c>
      <c r="AF5506">
        <v>0</v>
      </c>
      <c r="AG5506">
        <v>0</v>
      </c>
      <c r="AJ5506">
        <v>0</v>
      </c>
      <c r="AK5506">
        <v>1</v>
      </c>
      <c r="AL5506">
        <v>0</v>
      </c>
      <c r="AM5506">
        <v>0</v>
      </c>
      <c r="AN5506">
        <v>1</v>
      </c>
      <c r="AO5506">
        <v>0</v>
      </c>
      <c r="AP5506">
        <v>0</v>
      </c>
      <c r="AQ5506">
        <v>0</v>
      </c>
      <c r="AR5506">
        <v>0</v>
      </c>
      <c r="AS5506">
        <v>0</v>
      </c>
      <c r="AT5506">
        <v>1</v>
      </c>
      <c r="AV5506">
        <v>0</v>
      </c>
      <c r="AW5506">
        <v>0</v>
      </c>
    </row>
    <row r="5507" spans="1:49" x14ac:dyDescent="0.25">
      <c r="A5507" t="str">
        <f>"5503"</f>
        <v>5503</v>
      </c>
      <c r="B5507" t="str">
        <f t="shared" si="318"/>
        <v>1</v>
      </c>
      <c r="C5507" t="str">
        <f t="shared" si="320"/>
        <v>243</v>
      </c>
      <c r="D5507" t="str">
        <f>"23"</f>
        <v>23</v>
      </c>
      <c r="E5507" t="str">
        <f>"1-243-23"</f>
        <v>1-243-23</v>
      </c>
      <c r="F5507" t="s">
        <v>83</v>
      </c>
      <c r="G5507" t="s">
        <v>84</v>
      </c>
      <c r="H5507" t="s">
        <v>92</v>
      </c>
      <c r="I5507">
        <v>0</v>
      </c>
      <c r="J5507">
        <v>1</v>
      </c>
      <c r="N5507">
        <v>0</v>
      </c>
      <c r="O5507">
        <v>0</v>
      </c>
      <c r="P5507">
        <v>0</v>
      </c>
      <c r="Q5507">
        <v>1</v>
      </c>
      <c r="R5507">
        <v>0</v>
      </c>
      <c r="S5507">
        <v>0</v>
      </c>
      <c r="T5507">
        <v>0</v>
      </c>
      <c r="W5507">
        <v>0</v>
      </c>
      <c r="X5507">
        <v>0</v>
      </c>
      <c r="Y5507">
        <v>0</v>
      </c>
      <c r="Z5507">
        <v>0</v>
      </c>
      <c r="AA5507">
        <v>0</v>
      </c>
      <c r="AB5507">
        <v>0</v>
      </c>
    </row>
    <row r="5508" spans="1:49" x14ac:dyDescent="0.25">
      <c r="A5508" t="str">
        <f>"5504"</f>
        <v>5504</v>
      </c>
      <c r="B5508" t="str">
        <f t="shared" si="318"/>
        <v>1</v>
      </c>
      <c r="C5508" t="str">
        <f t="shared" si="320"/>
        <v>243</v>
      </c>
      <c r="D5508" t="str">
        <f>"22"</f>
        <v>22</v>
      </c>
      <c r="E5508" t="str">
        <f>"1-243-22"</f>
        <v>1-243-22</v>
      </c>
      <c r="F5508" t="s">
        <v>83</v>
      </c>
      <c r="G5508" t="s">
        <v>84</v>
      </c>
      <c r="H5508" t="s">
        <v>92</v>
      </c>
      <c r="I5508">
        <v>1</v>
      </c>
      <c r="J5508">
        <v>1</v>
      </c>
      <c r="N5508">
        <v>1</v>
      </c>
      <c r="O5508">
        <v>1</v>
      </c>
      <c r="P5508">
        <v>1</v>
      </c>
      <c r="Q5508">
        <v>1</v>
      </c>
      <c r="R5508">
        <v>1</v>
      </c>
      <c r="S5508">
        <v>1</v>
      </c>
      <c r="T5508">
        <v>1</v>
      </c>
      <c r="W5508">
        <v>1</v>
      </c>
      <c r="X5508">
        <v>1</v>
      </c>
      <c r="Y5508">
        <v>1</v>
      </c>
      <c r="Z5508">
        <v>1</v>
      </c>
      <c r="AA5508">
        <v>1</v>
      </c>
      <c r="AB5508">
        <v>1</v>
      </c>
    </row>
    <row r="5509" spans="1:49" x14ac:dyDescent="0.25">
      <c r="A5509" t="str">
        <f>"5505"</f>
        <v>5505</v>
      </c>
      <c r="B5509" t="str">
        <f t="shared" si="318"/>
        <v>1</v>
      </c>
      <c r="C5509" t="str">
        <f t="shared" si="320"/>
        <v>243</v>
      </c>
      <c r="D5509" t="str">
        <f>"15"</f>
        <v>15</v>
      </c>
      <c r="E5509" t="str">
        <f>"1-243-15"</f>
        <v>1-243-15</v>
      </c>
      <c r="F5509" t="s">
        <v>83</v>
      </c>
      <c r="G5509" t="s">
        <v>84</v>
      </c>
      <c r="H5509" t="s">
        <v>85</v>
      </c>
      <c r="AC5509">
        <v>0</v>
      </c>
      <c r="AD5509">
        <v>1</v>
      </c>
      <c r="AE5509">
        <v>0</v>
      </c>
      <c r="AF5509">
        <v>0</v>
      </c>
      <c r="AG5509">
        <v>0</v>
      </c>
      <c r="AJ5509">
        <v>1</v>
      </c>
      <c r="AK5509">
        <v>0</v>
      </c>
      <c r="AL5509">
        <v>1</v>
      </c>
      <c r="AM5509">
        <v>0</v>
      </c>
      <c r="AN5509">
        <v>0</v>
      </c>
      <c r="AO5509">
        <v>0</v>
      </c>
      <c r="AP5509">
        <v>0</v>
      </c>
      <c r="AQ5509">
        <v>0</v>
      </c>
      <c r="AR5509">
        <v>0</v>
      </c>
      <c r="AS5509">
        <v>1</v>
      </c>
      <c r="AT5509">
        <v>0</v>
      </c>
      <c r="AV5509">
        <v>1</v>
      </c>
      <c r="AW5509">
        <v>0</v>
      </c>
    </row>
    <row r="5510" spans="1:49" x14ac:dyDescent="0.25">
      <c r="A5510" t="str">
        <f>"5506"</f>
        <v>5506</v>
      </c>
      <c r="B5510" t="str">
        <f t="shared" si="318"/>
        <v>1</v>
      </c>
      <c r="C5510" t="str">
        <f t="shared" si="320"/>
        <v>243</v>
      </c>
      <c r="D5510" t="str">
        <f>"9"</f>
        <v>9</v>
      </c>
      <c r="E5510" t="str">
        <f>"1-243-9"</f>
        <v>1-243-9</v>
      </c>
      <c r="F5510" t="s">
        <v>83</v>
      </c>
      <c r="G5510" t="s">
        <v>84</v>
      </c>
      <c r="H5510" t="s">
        <v>92</v>
      </c>
      <c r="I5510">
        <v>1</v>
      </c>
      <c r="J5510">
        <v>1</v>
      </c>
      <c r="N5510">
        <v>1</v>
      </c>
      <c r="O5510">
        <v>1</v>
      </c>
      <c r="P5510">
        <v>1</v>
      </c>
      <c r="Q5510">
        <v>1</v>
      </c>
      <c r="R5510">
        <v>1</v>
      </c>
      <c r="S5510">
        <v>1</v>
      </c>
      <c r="T5510">
        <v>1</v>
      </c>
      <c r="W5510">
        <v>1</v>
      </c>
      <c r="X5510">
        <v>1</v>
      </c>
      <c r="Y5510">
        <v>1</v>
      </c>
      <c r="Z5510">
        <v>1</v>
      </c>
      <c r="AA5510">
        <v>1</v>
      </c>
      <c r="AB5510">
        <v>1</v>
      </c>
    </row>
    <row r="5511" spans="1:49" x14ac:dyDescent="0.25">
      <c r="A5511" t="str">
        <f>"5507"</f>
        <v>5507</v>
      </c>
      <c r="B5511" t="str">
        <f t="shared" si="318"/>
        <v>1</v>
      </c>
      <c r="C5511" t="str">
        <f t="shared" si="320"/>
        <v>243</v>
      </c>
      <c r="D5511" t="str">
        <f>"3"</f>
        <v>3</v>
      </c>
      <c r="E5511" t="str">
        <f>"1-243-3"</f>
        <v>1-243-3</v>
      </c>
      <c r="F5511" t="s">
        <v>83</v>
      </c>
      <c r="G5511" t="s">
        <v>88</v>
      </c>
      <c r="H5511" t="s">
        <v>89</v>
      </c>
      <c r="AC5511">
        <v>0</v>
      </c>
      <c r="AD5511">
        <v>0</v>
      </c>
      <c r="AE5511">
        <v>0</v>
      </c>
      <c r="AF5511">
        <v>0</v>
      </c>
      <c r="AH5511">
        <v>0</v>
      </c>
      <c r="AI5511">
        <v>1</v>
      </c>
      <c r="AJ5511">
        <v>0</v>
      </c>
      <c r="AK5511">
        <v>1</v>
      </c>
      <c r="AL5511">
        <v>0</v>
      </c>
      <c r="AM5511">
        <v>1</v>
      </c>
      <c r="AN5511">
        <v>0</v>
      </c>
      <c r="AO5511">
        <v>1</v>
      </c>
      <c r="AP5511">
        <v>1</v>
      </c>
      <c r="AQ5511">
        <v>1</v>
      </c>
      <c r="AR5511">
        <v>1</v>
      </c>
      <c r="AS5511">
        <v>0</v>
      </c>
      <c r="AT5511">
        <v>1</v>
      </c>
      <c r="AV5511">
        <v>1</v>
      </c>
      <c r="AW5511">
        <v>1</v>
      </c>
    </row>
    <row r="5512" spans="1:49" x14ac:dyDescent="0.25">
      <c r="A5512" t="str">
        <f>"5508"</f>
        <v>5508</v>
      </c>
      <c r="B5512" t="str">
        <f t="shared" si="318"/>
        <v>1</v>
      </c>
      <c r="C5512" t="str">
        <f t="shared" si="320"/>
        <v>243</v>
      </c>
      <c r="D5512" t="str">
        <f>"18"</f>
        <v>18</v>
      </c>
      <c r="E5512" t="str">
        <f>"1-243-18"</f>
        <v>1-243-18</v>
      </c>
      <c r="F5512" t="s">
        <v>83</v>
      </c>
      <c r="G5512" t="s">
        <v>88</v>
      </c>
      <c r="H5512" t="s">
        <v>95</v>
      </c>
      <c r="I5512">
        <v>1</v>
      </c>
      <c r="K5512">
        <v>0</v>
      </c>
      <c r="L5512">
        <v>0</v>
      </c>
      <c r="M5512">
        <v>1</v>
      </c>
      <c r="N5512">
        <v>1</v>
      </c>
      <c r="O5512">
        <v>1</v>
      </c>
      <c r="P5512">
        <v>1</v>
      </c>
      <c r="Q5512">
        <v>1</v>
      </c>
      <c r="R5512">
        <v>1</v>
      </c>
      <c r="S5512">
        <v>1</v>
      </c>
      <c r="T5512">
        <v>0</v>
      </c>
      <c r="W5512">
        <v>1</v>
      </c>
      <c r="X5512">
        <v>1</v>
      </c>
      <c r="Y5512">
        <v>1</v>
      </c>
      <c r="Z5512">
        <v>1</v>
      </c>
      <c r="AA5512">
        <v>1</v>
      </c>
      <c r="AB5512">
        <v>1</v>
      </c>
    </row>
    <row r="5513" spans="1:49" x14ac:dyDescent="0.25">
      <c r="A5513" t="str">
        <f>"5509"</f>
        <v>5509</v>
      </c>
      <c r="B5513" t="str">
        <f t="shared" si="318"/>
        <v>1</v>
      </c>
      <c r="C5513" t="str">
        <f t="shared" si="320"/>
        <v>243</v>
      </c>
      <c r="D5513" t="str">
        <f>"10"</f>
        <v>10</v>
      </c>
      <c r="E5513" t="str">
        <f>"1-243-10"</f>
        <v>1-243-10</v>
      </c>
      <c r="F5513" t="s">
        <v>83</v>
      </c>
      <c r="G5513" t="s">
        <v>84</v>
      </c>
      <c r="H5513" t="s">
        <v>92</v>
      </c>
      <c r="I5513">
        <v>1</v>
      </c>
      <c r="J5513">
        <v>1</v>
      </c>
      <c r="N5513">
        <v>1</v>
      </c>
      <c r="O5513">
        <v>1</v>
      </c>
      <c r="P5513">
        <v>1</v>
      </c>
      <c r="Q5513">
        <v>1</v>
      </c>
      <c r="R5513">
        <v>1</v>
      </c>
      <c r="S5513">
        <v>1</v>
      </c>
      <c r="T5513">
        <v>1</v>
      </c>
      <c r="W5513">
        <v>1</v>
      </c>
      <c r="X5513">
        <v>1</v>
      </c>
      <c r="Y5513">
        <v>1</v>
      </c>
      <c r="Z5513">
        <v>1</v>
      </c>
      <c r="AA5513">
        <v>1</v>
      </c>
      <c r="AB5513">
        <v>1</v>
      </c>
    </row>
    <row r="5514" spans="1:49" x14ac:dyDescent="0.25">
      <c r="A5514" t="str">
        <f>"5510"</f>
        <v>5510</v>
      </c>
      <c r="B5514" t="str">
        <f t="shared" si="318"/>
        <v>1</v>
      </c>
      <c r="C5514" t="str">
        <f t="shared" si="320"/>
        <v>243</v>
      </c>
      <c r="D5514" t="str">
        <f>"1"</f>
        <v>1</v>
      </c>
      <c r="E5514" t="str">
        <f>"1-243-1"</f>
        <v>1-243-1</v>
      </c>
      <c r="F5514" t="s">
        <v>83</v>
      </c>
      <c r="G5514" t="s">
        <v>84</v>
      </c>
      <c r="H5514" t="s">
        <v>92</v>
      </c>
      <c r="I5514">
        <v>1</v>
      </c>
      <c r="J5514">
        <v>1</v>
      </c>
      <c r="N5514">
        <v>1</v>
      </c>
      <c r="O5514">
        <v>1</v>
      </c>
      <c r="P5514">
        <v>1</v>
      </c>
      <c r="Q5514">
        <v>1</v>
      </c>
      <c r="R5514">
        <v>1</v>
      </c>
      <c r="S5514">
        <v>1</v>
      </c>
      <c r="T5514">
        <v>1</v>
      </c>
      <c r="W5514">
        <v>1</v>
      </c>
      <c r="X5514">
        <v>1</v>
      </c>
      <c r="Y5514">
        <v>1</v>
      </c>
      <c r="Z5514">
        <v>1</v>
      </c>
      <c r="AA5514">
        <v>1</v>
      </c>
      <c r="AB5514">
        <v>1</v>
      </c>
    </row>
    <row r="5515" spans="1:49" x14ac:dyDescent="0.25">
      <c r="A5515" t="str">
        <f>"5511"</f>
        <v>5511</v>
      </c>
      <c r="B5515" t="str">
        <f t="shared" si="318"/>
        <v>1</v>
      </c>
      <c r="C5515" t="str">
        <f t="shared" si="320"/>
        <v>243</v>
      </c>
      <c r="D5515" t="str">
        <f>"17"</f>
        <v>17</v>
      </c>
      <c r="E5515" t="str">
        <f>"1-243-17"</f>
        <v>1-243-17</v>
      </c>
      <c r="F5515" t="s">
        <v>83</v>
      </c>
      <c r="G5515" t="s">
        <v>84</v>
      </c>
      <c r="H5515" t="s">
        <v>92</v>
      </c>
      <c r="I5515">
        <v>1</v>
      </c>
      <c r="J5515">
        <v>1</v>
      </c>
      <c r="N5515">
        <v>1</v>
      </c>
      <c r="O5515">
        <v>1</v>
      </c>
      <c r="P5515">
        <v>1</v>
      </c>
      <c r="Q5515">
        <v>1</v>
      </c>
      <c r="R5515">
        <v>1</v>
      </c>
      <c r="S5515">
        <v>1</v>
      </c>
      <c r="T5515">
        <v>1</v>
      </c>
      <c r="W5515">
        <v>1</v>
      </c>
      <c r="X5515">
        <v>1</v>
      </c>
      <c r="Y5515">
        <v>1</v>
      </c>
      <c r="Z5515">
        <v>1</v>
      </c>
      <c r="AA5515">
        <v>1</v>
      </c>
      <c r="AB5515">
        <v>1</v>
      </c>
    </row>
    <row r="5516" spans="1:49" x14ac:dyDescent="0.25">
      <c r="A5516" t="str">
        <f>"5512"</f>
        <v>5512</v>
      </c>
      <c r="B5516" t="str">
        <f t="shared" si="318"/>
        <v>1</v>
      </c>
      <c r="C5516" t="str">
        <f t="shared" si="320"/>
        <v>243</v>
      </c>
      <c r="D5516" t="str">
        <f>"11"</f>
        <v>11</v>
      </c>
      <c r="E5516" t="str">
        <f>"1-243-11"</f>
        <v>1-243-11</v>
      </c>
      <c r="F5516" t="s">
        <v>83</v>
      </c>
      <c r="G5516" t="s">
        <v>84</v>
      </c>
      <c r="H5516" t="s">
        <v>92</v>
      </c>
      <c r="I5516">
        <v>1</v>
      </c>
      <c r="J5516">
        <v>1</v>
      </c>
      <c r="N5516">
        <v>1</v>
      </c>
      <c r="O5516">
        <v>1</v>
      </c>
      <c r="P5516">
        <v>1</v>
      </c>
      <c r="Q5516">
        <v>1</v>
      </c>
      <c r="R5516">
        <v>1</v>
      </c>
      <c r="S5516">
        <v>1</v>
      </c>
      <c r="T5516">
        <v>1</v>
      </c>
      <c r="W5516">
        <v>1</v>
      </c>
      <c r="X5516">
        <v>1</v>
      </c>
      <c r="Y5516">
        <v>1</v>
      </c>
      <c r="Z5516">
        <v>1</v>
      </c>
      <c r="AA5516">
        <v>1</v>
      </c>
      <c r="AB5516">
        <v>1</v>
      </c>
    </row>
    <row r="5517" spans="1:49" x14ac:dyDescent="0.25">
      <c r="A5517" t="str">
        <f>"5513"</f>
        <v>5513</v>
      </c>
      <c r="B5517" t="str">
        <f t="shared" si="318"/>
        <v>1</v>
      </c>
      <c r="C5517" t="str">
        <f t="shared" si="320"/>
        <v>243</v>
      </c>
      <c r="D5517" t="str">
        <f>"7"</f>
        <v>7</v>
      </c>
      <c r="E5517" t="str">
        <f>"1-243-7"</f>
        <v>1-243-7</v>
      </c>
      <c r="F5517" t="s">
        <v>83</v>
      </c>
      <c r="G5517" t="s">
        <v>84</v>
      </c>
      <c r="H5517" t="s">
        <v>92</v>
      </c>
      <c r="I5517">
        <v>1</v>
      </c>
      <c r="J5517">
        <v>1</v>
      </c>
      <c r="N5517">
        <v>1</v>
      </c>
      <c r="O5517">
        <v>1</v>
      </c>
      <c r="P5517">
        <v>0</v>
      </c>
      <c r="Q5517">
        <v>0</v>
      </c>
      <c r="R5517">
        <v>0</v>
      </c>
      <c r="S5517">
        <v>1</v>
      </c>
      <c r="T5517">
        <v>1</v>
      </c>
      <c r="W5517">
        <v>0</v>
      </c>
      <c r="X5517">
        <v>1</v>
      </c>
      <c r="Y5517">
        <v>1</v>
      </c>
      <c r="Z5517">
        <v>0</v>
      </c>
      <c r="AA5517">
        <v>0</v>
      </c>
      <c r="AB5517">
        <v>1</v>
      </c>
    </row>
    <row r="5518" spans="1:49" x14ac:dyDescent="0.25">
      <c r="A5518" t="str">
        <f>"5514"</f>
        <v>5514</v>
      </c>
      <c r="B5518" t="str">
        <f t="shared" si="318"/>
        <v>1</v>
      </c>
      <c r="C5518" t="str">
        <f t="shared" si="320"/>
        <v>243</v>
      </c>
      <c r="D5518" t="str">
        <f>"20"</f>
        <v>20</v>
      </c>
      <c r="E5518" t="str">
        <f>"1-243-20"</f>
        <v>1-243-20</v>
      </c>
      <c r="F5518" t="s">
        <v>83</v>
      </c>
      <c r="G5518" t="s">
        <v>84</v>
      </c>
      <c r="H5518" t="s">
        <v>85</v>
      </c>
      <c r="AC5518">
        <v>1</v>
      </c>
      <c r="AD5518">
        <v>0</v>
      </c>
      <c r="AE5518">
        <v>0</v>
      </c>
      <c r="AF5518">
        <v>0</v>
      </c>
      <c r="AG5518">
        <v>1</v>
      </c>
      <c r="AJ5518">
        <v>0</v>
      </c>
      <c r="AK5518">
        <v>1</v>
      </c>
      <c r="AL5518">
        <v>0</v>
      </c>
      <c r="AM5518">
        <v>0</v>
      </c>
      <c r="AN5518">
        <v>1</v>
      </c>
      <c r="AO5518">
        <v>1</v>
      </c>
      <c r="AP5518">
        <v>1</v>
      </c>
      <c r="AQ5518">
        <v>1</v>
      </c>
      <c r="AR5518">
        <v>1</v>
      </c>
      <c r="AS5518">
        <v>0</v>
      </c>
      <c r="AT5518">
        <v>1</v>
      </c>
      <c r="AV5518">
        <v>1</v>
      </c>
      <c r="AW5518">
        <v>1</v>
      </c>
    </row>
    <row r="5519" spans="1:49" x14ac:dyDescent="0.25">
      <c r="A5519" t="str">
        <f>"5515"</f>
        <v>5515</v>
      </c>
      <c r="B5519" t="str">
        <f t="shared" si="318"/>
        <v>1</v>
      </c>
      <c r="C5519" t="str">
        <f t="shared" si="320"/>
        <v>243</v>
      </c>
      <c r="D5519" t="str">
        <f>"12"</f>
        <v>12</v>
      </c>
      <c r="E5519" t="str">
        <f>"1-243-12"</f>
        <v>1-243-12</v>
      </c>
      <c r="F5519" t="s">
        <v>83</v>
      </c>
      <c r="G5519" t="s">
        <v>84</v>
      </c>
      <c r="H5519" t="s">
        <v>85</v>
      </c>
      <c r="AC5519">
        <v>0</v>
      </c>
      <c r="AD5519">
        <v>1</v>
      </c>
      <c r="AE5519">
        <v>0</v>
      </c>
      <c r="AF5519">
        <v>0</v>
      </c>
      <c r="AG5519">
        <v>0</v>
      </c>
      <c r="AJ5519">
        <v>0</v>
      </c>
      <c r="AK5519">
        <v>1</v>
      </c>
      <c r="AL5519">
        <v>0</v>
      </c>
      <c r="AM5519">
        <v>0</v>
      </c>
      <c r="AN5519">
        <v>1</v>
      </c>
      <c r="AO5519">
        <v>0</v>
      </c>
      <c r="AP5519">
        <v>0</v>
      </c>
      <c r="AQ5519">
        <v>0</v>
      </c>
      <c r="AR5519">
        <v>0</v>
      </c>
      <c r="AS5519">
        <v>0</v>
      </c>
      <c r="AT5519">
        <v>1</v>
      </c>
      <c r="AV5519">
        <v>0</v>
      </c>
      <c r="AW5519">
        <v>0</v>
      </c>
    </row>
    <row r="5520" spans="1:49" x14ac:dyDescent="0.25">
      <c r="A5520" t="str">
        <f>"5516"</f>
        <v>5516</v>
      </c>
      <c r="B5520" t="str">
        <f t="shared" si="318"/>
        <v>1</v>
      </c>
      <c r="C5520" t="str">
        <f t="shared" si="320"/>
        <v>243</v>
      </c>
      <c r="D5520" t="str">
        <f>"2"</f>
        <v>2</v>
      </c>
      <c r="E5520" t="str">
        <f>"1-243-2"</f>
        <v>1-243-2</v>
      </c>
      <c r="F5520" t="s">
        <v>83</v>
      </c>
      <c r="G5520" t="s">
        <v>84</v>
      </c>
      <c r="H5520" t="s">
        <v>85</v>
      </c>
      <c r="AC5520">
        <v>0</v>
      </c>
      <c r="AD5520">
        <v>0</v>
      </c>
      <c r="AE5520">
        <v>0</v>
      </c>
      <c r="AF5520">
        <v>0</v>
      </c>
      <c r="AG5520">
        <v>0</v>
      </c>
      <c r="AJ5520">
        <v>0</v>
      </c>
      <c r="AK5520">
        <v>0</v>
      </c>
      <c r="AL5520">
        <v>0</v>
      </c>
      <c r="AM5520">
        <v>0</v>
      </c>
      <c r="AN5520">
        <v>1</v>
      </c>
      <c r="AO5520">
        <v>0</v>
      </c>
      <c r="AP5520">
        <v>0</v>
      </c>
      <c r="AQ5520">
        <v>0</v>
      </c>
      <c r="AR5520">
        <v>0</v>
      </c>
      <c r="AS5520">
        <v>0</v>
      </c>
      <c r="AT5520">
        <v>0</v>
      </c>
      <c r="AV5520">
        <v>0</v>
      </c>
      <c r="AW5520">
        <v>1</v>
      </c>
    </row>
    <row r="5521" spans="1:49" x14ac:dyDescent="0.25">
      <c r="A5521" t="str">
        <f>"5517"</f>
        <v>5517</v>
      </c>
      <c r="B5521" t="str">
        <f t="shared" si="318"/>
        <v>1</v>
      </c>
      <c r="C5521" t="str">
        <f t="shared" si="320"/>
        <v>243</v>
      </c>
      <c r="D5521" t="str">
        <f>"19"</f>
        <v>19</v>
      </c>
      <c r="E5521" t="str">
        <f>"1-243-19"</f>
        <v>1-243-19</v>
      </c>
      <c r="F5521" t="s">
        <v>83</v>
      </c>
      <c r="G5521" t="s">
        <v>84</v>
      </c>
      <c r="H5521" t="s">
        <v>85</v>
      </c>
      <c r="AC5521">
        <v>0</v>
      </c>
      <c r="AD5521">
        <v>1</v>
      </c>
      <c r="AE5521">
        <v>0</v>
      </c>
      <c r="AF5521">
        <v>0</v>
      </c>
      <c r="AG5521">
        <v>0</v>
      </c>
      <c r="AJ5521">
        <v>1</v>
      </c>
      <c r="AK5521">
        <v>0</v>
      </c>
      <c r="AL5521">
        <v>1</v>
      </c>
      <c r="AM5521">
        <v>0</v>
      </c>
      <c r="AN5521">
        <v>0</v>
      </c>
      <c r="AO5521">
        <v>0</v>
      </c>
      <c r="AP5521">
        <v>0</v>
      </c>
      <c r="AQ5521">
        <v>0</v>
      </c>
      <c r="AR5521">
        <v>0</v>
      </c>
      <c r="AS5521">
        <v>1</v>
      </c>
      <c r="AT5521">
        <v>0</v>
      </c>
      <c r="AV5521">
        <v>1</v>
      </c>
      <c r="AW5521">
        <v>0</v>
      </c>
    </row>
    <row r="5522" spans="1:49" x14ac:dyDescent="0.25">
      <c r="A5522" t="str">
        <f>"5518"</f>
        <v>5518</v>
      </c>
      <c r="B5522" t="str">
        <f t="shared" si="318"/>
        <v>1</v>
      </c>
      <c r="C5522" t="str">
        <f t="shared" si="320"/>
        <v>243</v>
      </c>
      <c r="D5522" t="str">
        <f>"13"</f>
        <v>13</v>
      </c>
      <c r="E5522" t="str">
        <f>"1-243-13"</f>
        <v>1-243-13</v>
      </c>
      <c r="F5522" t="s">
        <v>83</v>
      </c>
      <c r="G5522" t="s">
        <v>84</v>
      </c>
      <c r="H5522" t="s">
        <v>92</v>
      </c>
      <c r="I5522">
        <v>1</v>
      </c>
      <c r="J5522">
        <v>1</v>
      </c>
      <c r="N5522">
        <v>1</v>
      </c>
      <c r="O5522">
        <v>1</v>
      </c>
      <c r="P5522">
        <v>1</v>
      </c>
      <c r="Q5522">
        <v>1</v>
      </c>
      <c r="R5522">
        <v>1</v>
      </c>
      <c r="S5522">
        <v>1</v>
      </c>
      <c r="T5522">
        <v>1</v>
      </c>
      <c r="W5522">
        <v>1</v>
      </c>
      <c r="X5522">
        <v>1</v>
      </c>
      <c r="Y5522">
        <v>1</v>
      </c>
      <c r="Z5522">
        <v>1</v>
      </c>
      <c r="AA5522">
        <v>1</v>
      </c>
      <c r="AB5522">
        <v>1</v>
      </c>
    </row>
    <row r="5523" spans="1:49" x14ac:dyDescent="0.25">
      <c r="A5523" t="str">
        <f>"5519"</f>
        <v>5519</v>
      </c>
      <c r="B5523" t="str">
        <f t="shared" si="318"/>
        <v>1</v>
      </c>
      <c r="C5523" t="str">
        <f t="shared" si="320"/>
        <v>243</v>
      </c>
      <c r="D5523" t="str">
        <f>"4"</f>
        <v>4</v>
      </c>
      <c r="E5523" t="str">
        <f>"1-243-4"</f>
        <v>1-243-4</v>
      </c>
      <c r="F5523" t="s">
        <v>83</v>
      </c>
      <c r="G5523" t="s">
        <v>88</v>
      </c>
      <c r="H5523" t="s">
        <v>95</v>
      </c>
      <c r="I5523">
        <v>1</v>
      </c>
      <c r="K5523">
        <v>0</v>
      </c>
      <c r="L5523">
        <v>0</v>
      </c>
      <c r="M5523">
        <v>1</v>
      </c>
      <c r="N5523">
        <v>1</v>
      </c>
      <c r="O5523">
        <v>1</v>
      </c>
      <c r="P5523">
        <v>1</v>
      </c>
      <c r="Q5523">
        <v>1</v>
      </c>
      <c r="R5523">
        <v>1</v>
      </c>
      <c r="S5523">
        <v>1</v>
      </c>
      <c r="T5523">
        <v>1</v>
      </c>
      <c r="W5523">
        <v>1</v>
      </c>
      <c r="X5523">
        <v>1</v>
      </c>
      <c r="Y5523">
        <v>1</v>
      </c>
      <c r="Z5523">
        <v>1</v>
      </c>
      <c r="AA5523">
        <v>1</v>
      </c>
      <c r="AB5523">
        <v>1</v>
      </c>
    </row>
    <row r="5524" spans="1:49" x14ac:dyDescent="0.25">
      <c r="A5524" t="str">
        <f>"5520"</f>
        <v>5520</v>
      </c>
      <c r="B5524" t="str">
        <f t="shared" si="318"/>
        <v>1</v>
      </c>
      <c r="C5524" t="str">
        <f t="shared" si="320"/>
        <v>243</v>
      </c>
      <c r="D5524" t="str">
        <f>"21"</f>
        <v>21</v>
      </c>
      <c r="E5524" t="str">
        <f>"1-243-21"</f>
        <v>1-243-21</v>
      </c>
      <c r="F5524" t="s">
        <v>83</v>
      </c>
      <c r="G5524" t="s">
        <v>90</v>
      </c>
      <c r="H5524" t="s">
        <v>94</v>
      </c>
      <c r="I5524">
        <v>1</v>
      </c>
      <c r="K5524">
        <v>1</v>
      </c>
      <c r="L5524">
        <v>0</v>
      </c>
      <c r="M5524">
        <v>0</v>
      </c>
      <c r="N5524">
        <v>1</v>
      </c>
      <c r="O5524">
        <v>1</v>
      </c>
      <c r="P5524">
        <v>1</v>
      </c>
      <c r="Q5524">
        <v>1</v>
      </c>
      <c r="R5524">
        <v>1</v>
      </c>
      <c r="S5524">
        <v>1</v>
      </c>
      <c r="U5524">
        <v>0</v>
      </c>
      <c r="V5524">
        <v>1</v>
      </c>
      <c r="W5524">
        <v>1</v>
      </c>
      <c r="X5524">
        <v>1</v>
      </c>
      <c r="Y5524">
        <v>1</v>
      </c>
      <c r="Z5524">
        <v>1</v>
      </c>
      <c r="AA5524">
        <v>1</v>
      </c>
      <c r="AB5524">
        <v>1</v>
      </c>
    </row>
    <row r="5525" spans="1:49" x14ac:dyDescent="0.25">
      <c r="A5525" t="str">
        <f>"5521"</f>
        <v>5521</v>
      </c>
      <c r="B5525" t="str">
        <f t="shared" si="318"/>
        <v>1</v>
      </c>
      <c r="C5525" t="str">
        <f t="shared" si="320"/>
        <v>243</v>
      </c>
      <c r="D5525" t="str">
        <f>"14"</f>
        <v>14</v>
      </c>
      <c r="E5525" t="str">
        <f>"1-243-14"</f>
        <v>1-243-14</v>
      </c>
      <c r="F5525" t="s">
        <v>83</v>
      </c>
      <c r="G5525" t="s">
        <v>84</v>
      </c>
      <c r="H5525" t="s">
        <v>92</v>
      </c>
      <c r="I5525">
        <v>1</v>
      </c>
      <c r="J5525">
        <v>1</v>
      </c>
      <c r="N5525">
        <v>1</v>
      </c>
      <c r="O5525">
        <v>1</v>
      </c>
      <c r="P5525">
        <v>1</v>
      </c>
      <c r="Q5525">
        <v>1</v>
      </c>
      <c r="R5525">
        <v>1</v>
      </c>
      <c r="S5525">
        <v>1</v>
      </c>
      <c r="T5525">
        <v>1</v>
      </c>
      <c r="W5525">
        <v>1</v>
      </c>
      <c r="X5525">
        <v>1</v>
      </c>
      <c r="Y5525">
        <v>1</v>
      </c>
      <c r="Z5525">
        <v>1</v>
      </c>
      <c r="AA5525">
        <v>1</v>
      </c>
      <c r="AB5525">
        <v>1</v>
      </c>
    </row>
    <row r="5526" spans="1:49" x14ac:dyDescent="0.25">
      <c r="A5526" t="str">
        <f>"5522"</f>
        <v>5522</v>
      </c>
      <c r="B5526" t="str">
        <f t="shared" si="318"/>
        <v>1</v>
      </c>
      <c r="C5526" t="str">
        <f t="shared" si="320"/>
        <v>243</v>
      </c>
      <c r="D5526" t="str">
        <f>"6"</f>
        <v>6</v>
      </c>
      <c r="E5526" t="str">
        <f>"1-243-6"</f>
        <v>1-243-6</v>
      </c>
      <c r="F5526" t="s">
        <v>83</v>
      </c>
      <c r="G5526" t="s">
        <v>84</v>
      </c>
      <c r="H5526" t="s">
        <v>85</v>
      </c>
      <c r="AC5526">
        <v>0</v>
      </c>
      <c r="AD5526">
        <v>0</v>
      </c>
      <c r="AE5526">
        <v>0</v>
      </c>
      <c r="AF5526">
        <v>0</v>
      </c>
      <c r="AG5526">
        <v>0</v>
      </c>
      <c r="AJ5526">
        <v>0</v>
      </c>
      <c r="AK5526">
        <v>1</v>
      </c>
      <c r="AL5526">
        <v>0</v>
      </c>
      <c r="AM5526">
        <v>0</v>
      </c>
      <c r="AN5526">
        <v>1</v>
      </c>
      <c r="AO5526">
        <v>0</v>
      </c>
      <c r="AP5526">
        <v>0</v>
      </c>
      <c r="AQ5526">
        <v>0</v>
      </c>
      <c r="AR5526">
        <v>0</v>
      </c>
      <c r="AS5526">
        <v>0</v>
      </c>
      <c r="AT5526">
        <v>1</v>
      </c>
      <c r="AV5526">
        <v>0</v>
      </c>
      <c r="AW5526">
        <v>1</v>
      </c>
    </row>
    <row r="5527" spans="1:49" x14ac:dyDescent="0.25">
      <c r="A5527" t="str">
        <f>"5523"</f>
        <v>5523</v>
      </c>
      <c r="B5527" t="str">
        <f t="shared" si="318"/>
        <v>1</v>
      </c>
      <c r="C5527" t="str">
        <f t="shared" ref="C5527:C5551" si="321">"244"</f>
        <v>244</v>
      </c>
      <c r="D5527" t="str">
        <f>"25"</f>
        <v>25</v>
      </c>
      <c r="E5527" t="str">
        <f>"1-244-25"</f>
        <v>1-244-25</v>
      </c>
      <c r="F5527" t="s">
        <v>83</v>
      </c>
      <c r="G5527" t="s">
        <v>84</v>
      </c>
      <c r="H5527" t="s">
        <v>92</v>
      </c>
      <c r="I5527">
        <v>1</v>
      </c>
      <c r="J5527">
        <v>1</v>
      </c>
      <c r="N5527">
        <v>1</v>
      </c>
      <c r="O5527">
        <v>1</v>
      </c>
      <c r="P5527">
        <v>1</v>
      </c>
      <c r="Q5527">
        <v>1</v>
      </c>
      <c r="R5527">
        <v>1</v>
      </c>
      <c r="S5527">
        <v>1</v>
      </c>
      <c r="T5527">
        <v>1</v>
      </c>
      <c r="W5527">
        <v>1</v>
      </c>
      <c r="X5527">
        <v>1</v>
      </c>
      <c r="Y5527">
        <v>1</v>
      </c>
      <c r="Z5527">
        <v>1</v>
      </c>
      <c r="AA5527">
        <v>1</v>
      </c>
      <c r="AB5527">
        <v>1</v>
      </c>
    </row>
    <row r="5528" spans="1:49" x14ac:dyDescent="0.25">
      <c r="A5528" t="str">
        <f>"5524"</f>
        <v>5524</v>
      </c>
      <c r="B5528" t="str">
        <f t="shared" si="318"/>
        <v>1</v>
      </c>
      <c r="C5528" t="str">
        <f t="shared" si="321"/>
        <v>244</v>
      </c>
      <c r="D5528" t="str">
        <f>"24"</f>
        <v>24</v>
      </c>
      <c r="E5528" t="str">
        <f>"1-244-24"</f>
        <v>1-244-24</v>
      </c>
      <c r="F5528" t="s">
        <v>83</v>
      </c>
      <c r="G5528" t="s">
        <v>84</v>
      </c>
      <c r="H5528" t="s">
        <v>85</v>
      </c>
      <c r="AC5528">
        <v>0</v>
      </c>
      <c r="AD5528">
        <v>1</v>
      </c>
      <c r="AE5528">
        <v>0</v>
      </c>
      <c r="AF5528">
        <v>0</v>
      </c>
      <c r="AG5528">
        <v>1</v>
      </c>
      <c r="AJ5528">
        <v>1</v>
      </c>
      <c r="AK5528">
        <v>0</v>
      </c>
      <c r="AL5528">
        <v>0</v>
      </c>
      <c r="AM5528">
        <v>0</v>
      </c>
      <c r="AN5528">
        <v>1</v>
      </c>
      <c r="AO5528">
        <v>1</v>
      </c>
      <c r="AP5528">
        <v>1</v>
      </c>
      <c r="AQ5528">
        <v>1</v>
      </c>
      <c r="AR5528">
        <v>1</v>
      </c>
      <c r="AS5528">
        <v>0</v>
      </c>
      <c r="AT5528">
        <v>1</v>
      </c>
      <c r="AV5528">
        <v>1</v>
      </c>
      <c r="AW5528">
        <v>1</v>
      </c>
    </row>
    <row r="5529" spans="1:49" x14ac:dyDescent="0.25">
      <c r="A5529" t="str">
        <f>"5525"</f>
        <v>5525</v>
      </c>
      <c r="B5529" t="str">
        <f t="shared" si="318"/>
        <v>1</v>
      </c>
      <c r="C5529" t="str">
        <f t="shared" si="321"/>
        <v>244</v>
      </c>
      <c r="D5529" t="str">
        <f>"15"</f>
        <v>15</v>
      </c>
      <c r="E5529" t="str">
        <f>"1-244-15"</f>
        <v>1-244-15</v>
      </c>
      <c r="F5529" t="s">
        <v>83</v>
      </c>
      <c r="G5529" t="s">
        <v>84</v>
      </c>
      <c r="H5529" t="s">
        <v>85</v>
      </c>
      <c r="AC5529">
        <v>0</v>
      </c>
      <c r="AD5529">
        <v>1</v>
      </c>
      <c r="AE5529">
        <v>0</v>
      </c>
      <c r="AF5529">
        <v>0</v>
      </c>
      <c r="AG5529">
        <v>1</v>
      </c>
      <c r="AJ5529">
        <v>1</v>
      </c>
      <c r="AK5529">
        <v>0</v>
      </c>
      <c r="AL5529">
        <v>0</v>
      </c>
      <c r="AM5529">
        <v>0</v>
      </c>
      <c r="AN5529">
        <v>1</v>
      </c>
      <c r="AO5529">
        <v>1</v>
      </c>
      <c r="AP5529">
        <v>1</v>
      </c>
      <c r="AQ5529">
        <v>1</v>
      </c>
      <c r="AR5529">
        <v>1</v>
      </c>
      <c r="AS5529">
        <v>0</v>
      </c>
      <c r="AT5529">
        <v>1</v>
      </c>
      <c r="AV5529">
        <v>1</v>
      </c>
      <c r="AW5529">
        <v>1</v>
      </c>
    </row>
    <row r="5530" spans="1:49" x14ac:dyDescent="0.25">
      <c r="A5530" t="str">
        <f>"5526"</f>
        <v>5526</v>
      </c>
      <c r="B5530" t="str">
        <f t="shared" si="318"/>
        <v>1</v>
      </c>
      <c r="C5530" t="str">
        <f t="shared" si="321"/>
        <v>244</v>
      </c>
      <c r="D5530" t="str">
        <f>"14"</f>
        <v>14</v>
      </c>
      <c r="E5530" t="str">
        <f>"1-244-14"</f>
        <v>1-244-14</v>
      </c>
      <c r="F5530" t="s">
        <v>83</v>
      </c>
      <c r="G5530" t="s">
        <v>84</v>
      </c>
      <c r="H5530" t="s">
        <v>92</v>
      </c>
      <c r="I5530">
        <v>1</v>
      </c>
      <c r="J5530">
        <v>0</v>
      </c>
      <c r="N5530">
        <v>1</v>
      </c>
      <c r="O5530">
        <v>1</v>
      </c>
      <c r="P5530">
        <v>1</v>
      </c>
      <c r="Q5530">
        <v>1</v>
      </c>
      <c r="R5530">
        <v>1</v>
      </c>
      <c r="S5530">
        <v>1</v>
      </c>
      <c r="T5530">
        <v>1</v>
      </c>
      <c r="W5530">
        <v>1</v>
      </c>
      <c r="X5530">
        <v>1</v>
      </c>
      <c r="Y5530">
        <v>1</v>
      </c>
      <c r="Z5530">
        <v>1</v>
      </c>
      <c r="AA5530">
        <v>1</v>
      </c>
      <c r="AB5530">
        <v>1</v>
      </c>
    </row>
    <row r="5531" spans="1:49" x14ac:dyDescent="0.25">
      <c r="A5531" t="str">
        <f>"5527"</f>
        <v>5527</v>
      </c>
      <c r="B5531" t="str">
        <f t="shared" si="318"/>
        <v>1</v>
      </c>
      <c r="C5531" t="str">
        <f t="shared" si="321"/>
        <v>244</v>
      </c>
      <c r="D5531" t="str">
        <f>"13"</f>
        <v>13</v>
      </c>
      <c r="E5531" t="str">
        <f>"1-244-13"</f>
        <v>1-244-13</v>
      </c>
      <c r="F5531" t="s">
        <v>83</v>
      </c>
      <c r="G5531" t="s">
        <v>84</v>
      </c>
      <c r="H5531" t="s">
        <v>85</v>
      </c>
      <c r="AC5531">
        <v>0</v>
      </c>
      <c r="AD5531">
        <v>1</v>
      </c>
      <c r="AE5531">
        <v>0</v>
      </c>
      <c r="AF5531">
        <v>0</v>
      </c>
      <c r="AG5531">
        <v>1</v>
      </c>
      <c r="AJ5531">
        <v>0</v>
      </c>
      <c r="AK5531">
        <v>1</v>
      </c>
      <c r="AL5531">
        <v>0</v>
      </c>
      <c r="AM5531">
        <v>1</v>
      </c>
      <c r="AN5531">
        <v>0</v>
      </c>
      <c r="AO5531">
        <v>1</v>
      </c>
      <c r="AP5531">
        <v>1</v>
      </c>
      <c r="AQ5531">
        <v>1</v>
      </c>
      <c r="AR5531">
        <v>1</v>
      </c>
      <c r="AS5531">
        <v>1</v>
      </c>
      <c r="AT5531">
        <v>0</v>
      </c>
      <c r="AV5531">
        <v>1</v>
      </c>
      <c r="AW5531">
        <v>1</v>
      </c>
    </row>
    <row r="5532" spans="1:49" x14ac:dyDescent="0.25">
      <c r="A5532" t="str">
        <f>"5528"</f>
        <v>5528</v>
      </c>
      <c r="B5532" t="str">
        <f t="shared" si="318"/>
        <v>1</v>
      </c>
      <c r="C5532" t="str">
        <f t="shared" si="321"/>
        <v>244</v>
      </c>
      <c r="D5532" t="str">
        <f>"8"</f>
        <v>8</v>
      </c>
      <c r="E5532" t="str">
        <f>"1-244-8"</f>
        <v>1-244-8</v>
      </c>
      <c r="F5532" t="s">
        <v>83</v>
      </c>
      <c r="G5532" t="s">
        <v>84</v>
      </c>
      <c r="H5532" t="s">
        <v>92</v>
      </c>
      <c r="I5532">
        <v>1</v>
      </c>
      <c r="J5532">
        <v>1</v>
      </c>
      <c r="N5532">
        <v>1</v>
      </c>
      <c r="O5532">
        <v>1</v>
      </c>
      <c r="P5532">
        <v>1</v>
      </c>
      <c r="Q5532">
        <v>1</v>
      </c>
      <c r="R5532">
        <v>1</v>
      </c>
      <c r="S5532">
        <v>1</v>
      </c>
      <c r="T5532">
        <v>1</v>
      </c>
      <c r="W5532">
        <v>1</v>
      </c>
      <c r="X5532">
        <v>1</v>
      </c>
      <c r="Y5532">
        <v>1</v>
      </c>
      <c r="Z5532">
        <v>1</v>
      </c>
      <c r="AA5532">
        <v>1</v>
      </c>
      <c r="AB5532">
        <v>1</v>
      </c>
    </row>
    <row r="5533" spans="1:49" x14ac:dyDescent="0.25">
      <c r="A5533" t="str">
        <f>"5529"</f>
        <v>5529</v>
      </c>
      <c r="B5533" t="str">
        <f t="shared" si="318"/>
        <v>1</v>
      </c>
      <c r="C5533" t="str">
        <f t="shared" si="321"/>
        <v>244</v>
      </c>
      <c r="D5533" t="str">
        <f>"4"</f>
        <v>4</v>
      </c>
      <c r="E5533" t="str">
        <f>"1-244-4"</f>
        <v>1-244-4</v>
      </c>
      <c r="F5533" t="s">
        <v>83</v>
      </c>
      <c r="G5533" t="s">
        <v>84</v>
      </c>
      <c r="H5533" t="s">
        <v>92</v>
      </c>
      <c r="I5533">
        <v>1</v>
      </c>
      <c r="J5533">
        <v>1</v>
      </c>
      <c r="N5533">
        <v>1</v>
      </c>
      <c r="O5533">
        <v>1</v>
      </c>
      <c r="P5533">
        <v>1</v>
      </c>
      <c r="Q5533">
        <v>1</v>
      </c>
      <c r="R5533">
        <v>1</v>
      </c>
      <c r="S5533">
        <v>1</v>
      </c>
      <c r="T5533">
        <v>1</v>
      </c>
      <c r="W5533">
        <v>1</v>
      </c>
      <c r="X5533">
        <v>1</v>
      </c>
      <c r="Y5533">
        <v>1</v>
      </c>
      <c r="Z5533">
        <v>1</v>
      </c>
      <c r="AA5533">
        <v>1</v>
      </c>
      <c r="AB5533">
        <v>1</v>
      </c>
    </row>
    <row r="5534" spans="1:49" x14ac:dyDescent="0.25">
      <c r="A5534" t="str">
        <f>"5530"</f>
        <v>5530</v>
      </c>
      <c r="B5534" t="str">
        <f t="shared" ref="B5534:B5597" si="322">"1"</f>
        <v>1</v>
      </c>
      <c r="C5534" t="str">
        <f t="shared" si="321"/>
        <v>244</v>
      </c>
      <c r="D5534" t="str">
        <f>"19"</f>
        <v>19</v>
      </c>
      <c r="E5534" t="str">
        <f>"1-244-19"</f>
        <v>1-244-19</v>
      </c>
      <c r="F5534" t="s">
        <v>83</v>
      </c>
      <c r="G5534" t="s">
        <v>84</v>
      </c>
      <c r="H5534" t="s">
        <v>85</v>
      </c>
      <c r="AC5534">
        <v>0</v>
      </c>
      <c r="AD5534">
        <v>1</v>
      </c>
      <c r="AE5534">
        <v>0</v>
      </c>
      <c r="AF5534">
        <v>0</v>
      </c>
      <c r="AG5534">
        <v>1</v>
      </c>
      <c r="AJ5534">
        <v>0</v>
      </c>
      <c r="AK5534">
        <v>1</v>
      </c>
      <c r="AL5534">
        <v>0</v>
      </c>
      <c r="AM5534">
        <v>0</v>
      </c>
      <c r="AN5534">
        <v>1</v>
      </c>
      <c r="AO5534">
        <v>1</v>
      </c>
      <c r="AP5534">
        <v>1</v>
      </c>
      <c r="AQ5534">
        <v>1</v>
      </c>
      <c r="AR5534">
        <v>1</v>
      </c>
      <c r="AS5534">
        <v>0</v>
      </c>
      <c r="AT5534">
        <v>1</v>
      </c>
      <c r="AV5534">
        <v>1</v>
      </c>
      <c r="AW5534">
        <v>1</v>
      </c>
    </row>
    <row r="5535" spans="1:49" x14ac:dyDescent="0.25">
      <c r="A5535" t="str">
        <f>"5531"</f>
        <v>5531</v>
      </c>
      <c r="B5535" t="str">
        <f t="shared" si="322"/>
        <v>1</v>
      </c>
      <c r="C5535" t="str">
        <f t="shared" si="321"/>
        <v>244</v>
      </c>
      <c r="D5535" t="str">
        <f>"9"</f>
        <v>9</v>
      </c>
      <c r="E5535" t="str">
        <f>"1-244-9"</f>
        <v>1-244-9</v>
      </c>
      <c r="F5535" t="s">
        <v>83</v>
      </c>
      <c r="G5535" t="s">
        <v>84</v>
      </c>
      <c r="H5535" t="s">
        <v>92</v>
      </c>
      <c r="I5535">
        <v>1</v>
      </c>
      <c r="J5535">
        <v>1</v>
      </c>
      <c r="N5535">
        <v>1</v>
      </c>
      <c r="O5535">
        <v>1</v>
      </c>
      <c r="P5535">
        <v>1</v>
      </c>
      <c r="Q5535">
        <v>1</v>
      </c>
      <c r="R5535">
        <v>0</v>
      </c>
      <c r="S5535">
        <v>1</v>
      </c>
      <c r="T5535">
        <v>1</v>
      </c>
      <c r="W5535">
        <v>1</v>
      </c>
      <c r="X5535">
        <v>1</v>
      </c>
      <c r="Y5535">
        <v>1</v>
      </c>
      <c r="Z5535">
        <v>1</v>
      </c>
      <c r="AA5535">
        <v>1</v>
      </c>
      <c r="AB5535">
        <v>1</v>
      </c>
    </row>
    <row r="5536" spans="1:49" x14ac:dyDescent="0.25">
      <c r="A5536" t="str">
        <f>"5532"</f>
        <v>5532</v>
      </c>
      <c r="B5536" t="str">
        <f t="shared" si="322"/>
        <v>1</v>
      </c>
      <c r="C5536" t="str">
        <f t="shared" si="321"/>
        <v>244</v>
      </c>
      <c r="D5536" t="str">
        <f>"5"</f>
        <v>5</v>
      </c>
      <c r="E5536" t="str">
        <f>"1-244-5"</f>
        <v>1-244-5</v>
      </c>
      <c r="F5536" t="s">
        <v>83</v>
      </c>
      <c r="G5536" t="s">
        <v>84</v>
      </c>
      <c r="H5536" t="s">
        <v>92</v>
      </c>
      <c r="I5536">
        <v>1</v>
      </c>
      <c r="J5536">
        <v>1</v>
      </c>
      <c r="N5536">
        <v>1</v>
      </c>
      <c r="O5536">
        <v>1</v>
      </c>
      <c r="P5536">
        <v>1</v>
      </c>
      <c r="Q5536">
        <v>1</v>
      </c>
      <c r="R5536">
        <v>0</v>
      </c>
      <c r="S5536">
        <v>1</v>
      </c>
      <c r="T5536">
        <v>1</v>
      </c>
      <c r="W5536">
        <v>1</v>
      </c>
      <c r="X5536">
        <v>0</v>
      </c>
      <c r="Y5536">
        <v>0</v>
      </c>
      <c r="Z5536">
        <v>0</v>
      </c>
      <c r="AA5536">
        <v>0</v>
      </c>
      <c r="AB5536">
        <v>0</v>
      </c>
    </row>
    <row r="5537" spans="1:49" x14ac:dyDescent="0.25">
      <c r="A5537" t="str">
        <f>"5533"</f>
        <v>5533</v>
      </c>
      <c r="B5537" t="str">
        <f t="shared" si="322"/>
        <v>1</v>
      </c>
      <c r="C5537" t="str">
        <f t="shared" si="321"/>
        <v>244</v>
      </c>
      <c r="D5537" t="str">
        <f>"23"</f>
        <v>23</v>
      </c>
      <c r="E5537" t="str">
        <f>"1-244-23"</f>
        <v>1-244-23</v>
      </c>
      <c r="F5537" t="s">
        <v>83</v>
      </c>
      <c r="G5537" t="s">
        <v>84</v>
      </c>
      <c r="H5537" t="s">
        <v>85</v>
      </c>
      <c r="AC5537">
        <v>0</v>
      </c>
      <c r="AD5537">
        <v>0</v>
      </c>
      <c r="AE5537">
        <v>0</v>
      </c>
      <c r="AF5537">
        <v>0</v>
      </c>
      <c r="AG5537">
        <v>0</v>
      </c>
      <c r="AJ5537">
        <v>0</v>
      </c>
      <c r="AK5537">
        <v>1</v>
      </c>
      <c r="AL5537">
        <v>0</v>
      </c>
      <c r="AM5537">
        <v>1</v>
      </c>
      <c r="AN5537">
        <v>0</v>
      </c>
      <c r="AO5537">
        <v>0</v>
      </c>
      <c r="AP5537">
        <v>0</v>
      </c>
      <c r="AQ5537">
        <v>0</v>
      </c>
      <c r="AR5537">
        <v>0</v>
      </c>
      <c r="AS5537">
        <v>0</v>
      </c>
      <c r="AT5537">
        <v>0</v>
      </c>
      <c r="AV5537">
        <v>0</v>
      </c>
      <c r="AW5537">
        <v>0</v>
      </c>
    </row>
    <row r="5538" spans="1:49" x14ac:dyDescent="0.25">
      <c r="A5538" t="str">
        <f>"5534"</f>
        <v>5534</v>
      </c>
      <c r="B5538" t="str">
        <f t="shared" si="322"/>
        <v>1</v>
      </c>
      <c r="C5538" t="str">
        <f t="shared" si="321"/>
        <v>244</v>
      </c>
      <c r="D5538" t="str">
        <f>"22"</f>
        <v>22</v>
      </c>
      <c r="E5538" t="str">
        <f>"1-244-22"</f>
        <v>1-244-22</v>
      </c>
      <c r="F5538" t="s">
        <v>83</v>
      </c>
      <c r="G5538" t="s">
        <v>84</v>
      </c>
      <c r="H5538" t="s">
        <v>92</v>
      </c>
      <c r="I5538">
        <v>1</v>
      </c>
      <c r="J5538">
        <v>1</v>
      </c>
      <c r="N5538">
        <v>1</v>
      </c>
      <c r="O5538">
        <v>1</v>
      </c>
      <c r="P5538">
        <v>1</v>
      </c>
      <c r="Q5538">
        <v>1</v>
      </c>
      <c r="R5538">
        <v>1</v>
      </c>
      <c r="S5538">
        <v>1</v>
      </c>
      <c r="T5538">
        <v>1</v>
      </c>
      <c r="W5538">
        <v>1</v>
      </c>
      <c r="X5538">
        <v>1</v>
      </c>
      <c r="Y5538">
        <v>1</v>
      </c>
      <c r="Z5538">
        <v>1</v>
      </c>
      <c r="AA5538">
        <v>1</v>
      </c>
      <c r="AB5538">
        <v>1</v>
      </c>
    </row>
    <row r="5539" spans="1:49" x14ac:dyDescent="0.25">
      <c r="A5539" t="str">
        <f>"5535"</f>
        <v>5535</v>
      </c>
      <c r="B5539" t="str">
        <f t="shared" si="322"/>
        <v>1</v>
      </c>
      <c r="C5539" t="str">
        <f t="shared" si="321"/>
        <v>244</v>
      </c>
      <c r="D5539" t="str">
        <f>"16"</f>
        <v>16</v>
      </c>
      <c r="E5539" t="str">
        <f>"1-244-16"</f>
        <v>1-244-16</v>
      </c>
      <c r="F5539" t="s">
        <v>83</v>
      </c>
      <c r="G5539" t="s">
        <v>84</v>
      </c>
      <c r="H5539" t="s">
        <v>92</v>
      </c>
      <c r="I5539">
        <v>1</v>
      </c>
      <c r="J5539">
        <v>1</v>
      </c>
      <c r="N5539">
        <v>1</v>
      </c>
      <c r="O5539">
        <v>1</v>
      </c>
      <c r="P5539">
        <v>1</v>
      </c>
      <c r="Q5539">
        <v>1</v>
      </c>
      <c r="R5539">
        <v>1</v>
      </c>
      <c r="S5539">
        <v>1</v>
      </c>
      <c r="T5539">
        <v>1</v>
      </c>
      <c r="W5539">
        <v>1</v>
      </c>
      <c r="X5539">
        <v>1</v>
      </c>
      <c r="Y5539">
        <v>1</v>
      </c>
      <c r="Z5539">
        <v>1</v>
      </c>
      <c r="AA5539">
        <v>1</v>
      </c>
      <c r="AB5539">
        <v>1</v>
      </c>
    </row>
    <row r="5540" spans="1:49" x14ac:dyDescent="0.25">
      <c r="A5540" t="str">
        <f>"5536"</f>
        <v>5536</v>
      </c>
      <c r="B5540" t="str">
        <f t="shared" si="322"/>
        <v>1</v>
      </c>
      <c r="C5540" t="str">
        <f t="shared" si="321"/>
        <v>244</v>
      </c>
      <c r="D5540" t="str">
        <f>"10"</f>
        <v>10</v>
      </c>
      <c r="E5540" t="str">
        <f>"1-244-10"</f>
        <v>1-244-10</v>
      </c>
      <c r="F5540" t="s">
        <v>83</v>
      </c>
      <c r="G5540" t="s">
        <v>84</v>
      </c>
      <c r="H5540" t="s">
        <v>85</v>
      </c>
      <c r="AC5540">
        <v>1</v>
      </c>
      <c r="AD5540">
        <v>0</v>
      </c>
      <c r="AE5540">
        <v>0</v>
      </c>
      <c r="AF5540">
        <v>0</v>
      </c>
      <c r="AG5540">
        <v>1</v>
      </c>
      <c r="AJ5540">
        <v>1</v>
      </c>
      <c r="AK5540">
        <v>0</v>
      </c>
      <c r="AL5540">
        <v>1</v>
      </c>
      <c r="AM5540">
        <v>0</v>
      </c>
      <c r="AN5540">
        <v>0</v>
      </c>
      <c r="AO5540">
        <v>1</v>
      </c>
      <c r="AP5540">
        <v>1</v>
      </c>
      <c r="AQ5540">
        <v>1</v>
      </c>
      <c r="AR5540">
        <v>1</v>
      </c>
      <c r="AS5540">
        <v>1</v>
      </c>
      <c r="AT5540">
        <v>0</v>
      </c>
      <c r="AV5540">
        <v>1</v>
      </c>
      <c r="AW5540">
        <v>1</v>
      </c>
    </row>
    <row r="5541" spans="1:49" x14ac:dyDescent="0.25">
      <c r="A5541" t="str">
        <f>"5537"</f>
        <v>5537</v>
      </c>
      <c r="B5541" t="str">
        <f t="shared" si="322"/>
        <v>1</v>
      </c>
      <c r="C5541" t="str">
        <f t="shared" si="321"/>
        <v>244</v>
      </c>
      <c r="D5541" t="str">
        <f>"2"</f>
        <v>2</v>
      </c>
      <c r="E5541" t="str">
        <f>"1-244-2"</f>
        <v>1-244-2</v>
      </c>
      <c r="F5541" t="s">
        <v>83</v>
      </c>
      <c r="G5541" t="s">
        <v>88</v>
      </c>
      <c r="H5541" t="s">
        <v>89</v>
      </c>
      <c r="AC5541">
        <v>0</v>
      </c>
      <c r="AD5541">
        <v>0</v>
      </c>
      <c r="AE5541">
        <v>0</v>
      </c>
      <c r="AF5541">
        <v>0</v>
      </c>
      <c r="AH5541">
        <v>0</v>
      </c>
      <c r="AI5541">
        <v>1</v>
      </c>
      <c r="AJ5541">
        <v>0</v>
      </c>
      <c r="AK5541">
        <v>0</v>
      </c>
      <c r="AL5541">
        <v>0</v>
      </c>
      <c r="AM5541">
        <v>0</v>
      </c>
      <c r="AN5541">
        <v>0</v>
      </c>
      <c r="AO5541">
        <v>0</v>
      </c>
      <c r="AP5541">
        <v>0</v>
      </c>
      <c r="AQ5541">
        <v>0</v>
      </c>
      <c r="AR5541">
        <v>0</v>
      </c>
      <c r="AS5541">
        <v>0</v>
      </c>
      <c r="AT5541">
        <v>1</v>
      </c>
      <c r="AV5541">
        <v>0</v>
      </c>
      <c r="AW5541">
        <v>1</v>
      </c>
    </row>
    <row r="5542" spans="1:49" x14ac:dyDescent="0.25">
      <c r="A5542" t="str">
        <f>"5538"</f>
        <v>5538</v>
      </c>
      <c r="B5542" t="str">
        <f t="shared" si="322"/>
        <v>1</v>
      </c>
      <c r="C5542" t="str">
        <f t="shared" si="321"/>
        <v>244</v>
      </c>
      <c r="D5542" t="str">
        <f>"21"</f>
        <v>21</v>
      </c>
      <c r="E5542" t="str">
        <f>"1-244-21"</f>
        <v>1-244-21</v>
      </c>
      <c r="F5542" t="s">
        <v>83</v>
      </c>
      <c r="G5542" t="s">
        <v>84</v>
      </c>
      <c r="H5542" t="s">
        <v>92</v>
      </c>
      <c r="I5542">
        <v>1</v>
      </c>
      <c r="J5542">
        <v>1</v>
      </c>
      <c r="N5542">
        <v>1</v>
      </c>
      <c r="O5542">
        <v>1</v>
      </c>
      <c r="P5542">
        <v>1</v>
      </c>
      <c r="Q5542">
        <v>1</v>
      </c>
      <c r="R5542">
        <v>1</v>
      </c>
      <c r="S5542">
        <v>1</v>
      </c>
      <c r="T5542">
        <v>1</v>
      </c>
      <c r="W5542">
        <v>1</v>
      </c>
      <c r="X5542">
        <v>1</v>
      </c>
      <c r="Y5542">
        <v>1</v>
      </c>
      <c r="Z5542">
        <v>1</v>
      </c>
      <c r="AA5542">
        <v>1</v>
      </c>
      <c r="AB5542">
        <v>1</v>
      </c>
    </row>
    <row r="5543" spans="1:49" x14ac:dyDescent="0.25">
      <c r="A5543" t="str">
        <f>"5539"</f>
        <v>5539</v>
      </c>
      <c r="B5543" t="str">
        <f t="shared" si="322"/>
        <v>1</v>
      </c>
      <c r="C5543" t="str">
        <f t="shared" si="321"/>
        <v>244</v>
      </c>
      <c r="D5543" t="str">
        <f>"11"</f>
        <v>11</v>
      </c>
      <c r="E5543" t="str">
        <f>"1-244-11"</f>
        <v>1-244-11</v>
      </c>
      <c r="F5543" t="s">
        <v>83</v>
      </c>
      <c r="G5543" t="s">
        <v>84</v>
      </c>
      <c r="H5543" t="s">
        <v>85</v>
      </c>
      <c r="AC5543">
        <v>1</v>
      </c>
      <c r="AD5543">
        <v>0</v>
      </c>
      <c r="AE5543">
        <v>0</v>
      </c>
      <c r="AF5543">
        <v>0</v>
      </c>
      <c r="AG5543">
        <v>1</v>
      </c>
      <c r="AJ5543">
        <v>0</v>
      </c>
      <c r="AK5543">
        <v>1</v>
      </c>
      <c r="AL5543">
        <v>1</v>
      </c>
      <c r="AM5543">
        <v>0</v>
      </c>
      <c r="AN5543">
        <v>0</v>
      </c>
      <c r="AO5543">
        <v>1</v>
      </c>
      <c r="AP5543">
        <v>1</v>
      </c>
      <c r="AQ5543">
        <v>1</v>
      </c>
      <c r="AR5543">
        <v>1</v>
      </c>
      <c r="AS5543">
        <v>0</v>
      </c>
      <c r="AT5543">
        <v>1</v>
      </c>
      <c r="AV5543">
        <v>1</v>
      </c>
      <c r="AW5543">
        <v>1</v>
      </c>
    </row>
    <row r="5544" spans="1:49" x14ac:dyDescent="0.25">
      <c r="A5544" t="str">
        <f>"5540"</f>
        <v>5540</v>
      </c>
      <c r="B5544" t="str">
        <f t="shared" si="322"/>
        <v>1</v>
      </c>
      <c r="C5544" t="str">
        <f t="shared" si="321"/>
        <v>244</v>
      </c>
      <c r="D5544" t="str">
        <f>"1"</f>
        <v>1</v>
      </c>
      <c r="E5544" t="str">
        <f>"1-244-1"</f>
        <v>1-244-1</v>
      </c>
      <c r="F5544" t="s">
        <v>83</v>
      </c>
      <c r="G5544" t="s">
        <v>84</v>
      </c>
      <c r="H5544" t="s">
        <v>85</v>
      </c>
      <c r="AC5544">
        <v>1</v>
      </c>
      <c r="AD5544">
        <v>0</v>
      </c>
      <c r="AE5544">
        <v>0</v>
      </c>
      <c r="AF5544">
        <v>0</v>
      </c>
      <c r="AG5544">
        <v>1</v>
      </c>
      <c r="AJ5544">
        <v>1</v>
      </c>
      <c r="AK5544">
        <v>0</v>
      </c>
      <c r="AL5544">
        <v>0</v>
      </c>
      <c r="AM5544">
        <v>0</v>
      </c>
      <c r="AN5544">
        <v>1</v>
      </c>
      <c r="AO5544">
        <v>1</v>
      </c>
      <c r="AP5544">
        <v>1</v>
      </c>
      <c r="AQ5544">
        <v>1</v>
      </c>
      <c r="AR5544">
        <v>1</v>
      </c>
      <c r="AS5544">
        <v>1</v>
      </c>
      <c r="AT5544">
        <v>0</v>
      </c>
      <c r="AV5544">
        <v>1</v>
      </c>
      <c r="AW5544">
        <v>1</v>
      </c>
    </row>
    <row r="5545" spans="1:49" x14ac:dyDescent="0.25">
      <c r="A5545" t="str">
        <f>"5541"</f>
        <v>5541</v>
      </c>
      <c r="B5545" t="str">
        <f t="shared" si="322"/>
        <v>1</v>
      </c>
      <c r="C5545" t="str">
        <f t="shared" si="321"/>
        <v>244</v>
      </c>
      <c r="D5545" t="str">
        <f>"20"</f>
        <v>20</v>
      </c>
      <c r="E5545" t="str">
        <f>"1-244-20"</f>
        <v>1-244-20</v>
      </c>
      <c r="F5545" t="s">
        <v>83</v>
      </c>
      <c r="G5545" t="s">
        <v>84</v>
      </c>
      <c r="H5545" t="s">
        <v>85</v>
      </c>
      <c r="AC5545">
        <v>0</v>
      </c>
      <c r="AD5545">
        <v>1</v>
      </c>
      <c r="AE5545">
        <v>0</v>
      </c>
      <c r="AF5545">
        <v>0</v>
      </c>
      <c r="AG5545">
        <v>1</v>
      </c>
      <c r="AJ5545">
        <v>0</v>
      </c>
      <c r="AK5545">
        <v>1</v>
      </c>
      <c r="AL5545">
        <v>0</v>
      </c>
      <c r="AM5545">
        <v>0</v>
      </c>
      <c r="AN5545">
        <v>1</v>
      </c>
      <c r="AO5545">
        <v>1</v>
      </c>
      <c r="AP5545">
        <v>1</v>
      </c>
      <c r="AQ5545">
        <v>1</v>
      </c>
      <c r="AR5545">
        <v>1</v>
      </c>
      <c r="AS5545">
        <v>0</v>
      </c>
      <c r="AT5545">
        <v>1</v>
      </c>
      <c r="AV5545">
        <v>0</v>
      </c>
      <c r="AW5545">
        <v>1</v>
      </c>
    </row>
    <row r="5546" spans="1:49" x14ac:dyDescent="0.25">
      <c r="A5546" t="str">
        <f>"5542"</f>
        <v>5542</v>
      </c>
      <c r="B5546" t="str">
        <f t="shared" si="322"/>
        <v>1</v>
      </c>
      <c r="C5546" t="str">
        <f t="shared" si="321"/>
        <v>244</v>
      </c>
      <c r="D5546" t="str">
        <f>"12"</f>
        <v>12</v>
      </c>
      <c r="E5546" t="str">
        <f>"1-244-12"</f>
        <v>1-244-12</v>
      </c>
      <c r="F5546" t="s">
        <v>83</v>
      </c>
      <c r="G5546" t="s">
        <v>84</v>
      </c>
      <c r="H5546" t="s">
        <v>92</v>
      </c>
      <c r="I5546">
        <v>1</v>
      </c>
      <c r="J5546">
        <v>1</v>
      </c>
      <c r="N5546">
        <v>1</v>
      </c>
      <c r="O5546">
        <v>1</v>
      </c>
      <c r="P5546">
        <v>1</v>
      </c>
      <c r="Q5546">
        <v>1</v>
      </c>
      <c r="R5546">
        <v>1</v>
      </c>
      <c r="S5546">
        <v>1</v>
      </c>
      <c r="T5546">
        <v>1</v>
      </c>
      <c r="W5546">
        <v>1</v>
      </c>
      <c r="X5546">
        <v>1</v>
      </c>
      <c r="Y5546">
        <v>1</v>
      </c>
      <c r="Z5546">
        <v>1</v>
      </c>
      <c r="AA5546">
        <v>1</v>
      </c>
      <c r="AB5546">
        <v>1</v>
      </c>
    </row>
    <row r="5547" spans="1:49" x14ac:dyDescent="0.25">
      <c r="A5547" t="str">
        <f>"5543"</f>
        <v>5543</v>
      </c>
      <c r="B5547" t="str">
        <f t="shared" si="322"/>
        <v>1</v>
      </c>
      <c r="C5547" t="str">
        <f t="shared" si="321"/>
        <v>244</v>
      </c>
      <c r="D5547" t="str">
        <f>"6"</f>
        <v>6</v>
      </c>
      <c r="E5547" t="str">
        <f>"1-244-6"</f>
        <v>1-244-6</v>
      </c>
      <c r="F5547" t="s">
        <v>83</v>
      </c>
      <c r="G5547" t="s">
        <v>84</v>
      </c>
      <c r="H5547" t="s">
        <v>85</v>
      </c>
      <c r="AC5547">
        <v>1</v>
      </c>
      <c r="AD5547">
        <v>0</v>
      </c>
      <c r="AE5547">
        <v>0</v>
      </c>
      <c r="AF5547">
        <v>0</v>
      </c>
      <c r="AG5547">
        <v>1</v>
      </c>
      <c r="AJ5547">
        <v>0</v>
      </c>
      <c r="AK5547">
        <v>1</v>
      </c>
      <c r="AL5547">
        <v>0</v>
      </c>
      <c r="AM5547">
        <v>0</v>
      </c>
      <c r="AN5547">
        <v>1</v>
      </c>
      <c r="AO5547">
        <v>1</v>
      </c>
      <c r="AP5547">
        <v>1</v>
      </c>
      <c r="AQ5547">
        <v>1</v>
      </c>
      <c r="AR5547">
        <v>1</v>
      </c>
      <c r="AS5547">
        <v>0</v>
      </c>
      <c r="AT5547">
        <v>1</v>
      </c>
      <c r="AV5547">
        <v>1</v>
      </c>
      <c r="AW5547">
        <v>1</v>
      </c>
    </row>
    <row r="5548" spans="1:49" x14ac:dyDescent="0.25">
      <c r="A5548" t="str">
        <f>"5544"</f>
        <v>5544</v>
      </c>
      <c r="B5548" t="str">
        <f t="shared" si="322"/>
        <v>1</v>
      </c>
      <c r="C5548" t="str">
        <f t="shared" si="321"/>
        <v>244</v>
      </c>
      <c r="D5548" t="str">
        <f>"17"</f>
        <v>17</v>
      </c>
      <c r="E5548" t="str">
        <f>"1-244-17"</f>
        <v>1-244-17</v>
      </c>
      <c r="F5548" t="s">
        <v>83</v>
      </c>
      <c r="G5548" t="s">
        <v>84</v>
      </c>
      <c r="H5548" t="s">
        <v>85</v>
      </c>
      <c r="AC5548">
        <v>1</v>
      </c>
      <c r="AD5548">
        <v>0</v>
      </c>
      <c r="AE5548">
        <v>0</v>
      </c>
      <c r="AF5548">
        <v>0</v>
      </c>
      <c r="AG5548">
        <v>1</v>
      </c>
      <c r="AJ5548">
        <v>1</v>
      </c>
      <c r="AK5548">
        <v>0</v>
      </c>
      <c r="AL5548">
        <v>0</v>
      </c>
      <c r="AM5548">
        <v>0</v>
      </c>
      <c r="AN5548">
        <v>1</v>
      </c>
      <c r="AO5548">
        <v>1</v>
      </c>
      <c r="AP5548">
        <v>1</v>
      </c>
      <c r="AQ5548">
        <v>1</v>
      </c>
      <c r="AR5548">
        <v>1</v>
      </c>
      <c r="AS5548">
        <v>0</v>
      </c>
      <c r="AT5548">
        <v>1</v>
      </c>
      <c r="AV5548">
        <v>1</v>
      </c>
      <c r="AW5548">
        <v>1</v>
      </c>
    </row>
    <row r="5549" spans="1:49" x14ac:dyDescent="0.25">
      <c r="A5549" t="str">
        <f>"5545"</f>
        <v>5545</v>
      </c>
      <c r="B5549" t="str">
        <f t="shared" si="322"/>
        <v>1</v>
      </c>
      <c r="C5549" t="str">
        <f t="shared" si="321"/>
        <v>244</v>
      </c>
      <c r="D5549" t="str">
        <f>"3"</f>
        <v>3</v>
      </c>
      <c r="E5549" t="str">
        <f>"1-244-3"</f>
        <v>1-244-3</v>
      </c>
      <c r="F5549" t="s">
        <v>83</v>
      </c>
      <c r="G5549" t="s">
        <v>84</v>
      </c>
      <c r="H5549" t="s">
        <v>92</v>
      </c>
      <c r="I5549">
        <v>1</v>
      </c>
      <c r="J5549">
        <v>0</v>
      </c>
      <c r="N5549">
        <v>1</v>
      </c>
      <c r="O5549">
        <v>0</v>
      </c>
      <c r="P5549">
        <v>0</v>
      </c>
      <c r="Q5549">
        <v>0</v>
      </c>
      <c r="R5549">
        <v>0</v>
      </c>
      <c r="S5549">
        <v>0</v>
      </c>
      <c r="T5549">
        <v>1</v>
      </c>
      <c r="W5549">
        <v>1</v>
      </c>
      <c r="X5549">
        <v>0</v>
      </c>
      <c r="Y5549">
        <v>0</v>
      </c>
      <c r="Z5549">
        <v>0</v>
      </c>
      <c r="AA5549">
        <v>0</v>
      </c>
      <c r="AB5549">
        <v>0</v>
      </c>
    </row>
    <row r="5550" spans="1:49" x14ac:dyDescent="0.25">
      <c r="A5550" t="str">
        <f>"5546"</f>
        <v>5546</v>
      </c>
      <c r="B5550" t="str">
        <f t="shared" si="322"/>
        <v>1</v>
      </c>
      <c r="C5550" t="str">
        <f t="shared" si="321"/>
        <v>244</v>
      </c>
      <c r="D5550" t="str">
        <f>"18"</f>
        <v>18</v>
      </c>
      <c r="E5550" t="str">
        <f>"1-244-18"</f>
        <v>1-244-18</v>
      </c>
      <c r="F5550" t="s">
        <v>83</v>
      </c>
      <c r="G5550" t="s">
        <v>84</v>
      </c>
      <c r="H5550" t="s">
        <v>85</v>
      </c>
      <c r="AC5550">
        <v>0</v>
      </c>
      <c r="AD5550">
        <v>1</v>
      </c>
      <c r="AE5550">
        <v>0</v>
      </c>
      <c r="AF5550">
        <v>0</v>
      </c>
      <c r="AG5550">
        <v>1</v>
      </c>
      <c r="AJ5550">
        <v>1</v>
      </c>
      <c r="AK5550">
        <v>0</v>
      </c>
      <c r="AL5550">
        <v>0</v>
      </c>
      <c r="AM5550">
        <v>1</v>
      </c>
      <c r="AN5550">
        <v>0</v>
      </c>
      <c r="AO5550">
        <v>1</v>
      </c>
      <c r="AP5550">
        <v>1</v>
      </c>
      <c r="AQ5550">
        <v>1</v>
      </c>
      <c r="AR5550">
        <v>1</v>
      </c>
      <c r="AS5550">
        <v>0</v>
      </c>
      <c r="AT5550">
        <v>1</v>
      </c>
      <c r="AV5550">
        <v>1</v>
      </c>
      <c r="AW5550">
        <v>1</v>
      </c>
    </row>
    <row r="5551" spans="1:49" x14ac:dyDescent="0.25">
      <c r="A5551" t="str">
        <f>"5547"</f>
        <v>5547</v>
      </c>
      <c r="B5551" t="str">
        <f t="shared" si="322"/>
        <v>1</v>
      </c>
      <c r="C5551" t="str">
        <f t="shared" si="321"/>
        <v>244</v>
      </c>
      <c r="D5551" t="str">
        <f>"7"</f>
        <v>7</v>
      </c>
      <c r="E5551" t="str">
        <f>"1-244-7"</f>
        <v>1-244-7</v>
      </c>
      <c r="F5551" t="s">
        <v>83</v>
      </c>
      <c r="G5551" t="s">
        <v>84</v>
      </c>
      <c r="H5551" t="s">
        <v>85</v>
      </c>
      <c r="AC5551">
        <v>0</v>
      </c>
      <c r="AD5551">
        <v>0</v>
      </c>
      <c r="AE5551">
        <v>0</v>
      </c>
      <c r="AF5551">
        <v>0</v>
      </c>
      <c r="AG5551">
        <v>0</v>
      </c>
      <c r="AJ5551">
        <v>0</v>
      </c>
      <c r="AK5551">
        <v>0</v>
      </c>
      <c r="AL5551">
        <v>0</v>
      </c>
      <c r="AM5551">
        <v>0</v>
      </c>
      <c r="AN5551">
        <v>1</v>
      </c>
      <c r="AO5551">
        <v>0</v>
      </c>
      <c r="AP5551">
        <v>0</v>
      </c>
      <c r="AQ5551">
        <v>0</v>
      </c>
      <c r="AR5551">
        <v>0</v>
      </c>
      <c r="AS5551">
        <v>0</v>
      </c>
      <c r="AT5551">
        <v>0</v>
      </c>
      <c r="AV5551">
        <v>0</v>
      </c>
      <c r="AW5551">
        <v>0</v>
      </c>
    </row>
    <row r="5552" spans="1:49" x14ac:dyDescent="0.25">
      <c r="A5552" t="str">
        <f>"5548"</f>
        <v>5548</v>
      </c>
      <c r="B5552" t="str">
        <f t="shared" si="322"/>
        <v>1</v>
      </c>
      <c r="C5552" t="str">
        <f t="shared" ref="C5552:C5576" si="323">"245"</f>
        <v>245</v>
      </c>
      <c r="D5552" t="str">
        <f>"15"</f>
        <v>15</v>
      </c>
      <c r="E5552" t="str">
        <f>"1-245-15"</f>
        <v>1-245-15</v>
      </c>
      <c r="F5552" t="s">
        <v>83</v>
      </c>
      <c r="G5552" t="s">
        <v>86</v>
      </c>
      <c r="H5552" t="s">
        <v>87</v>
      </c>
      <c r="AC5552">
        <v>0</v>
      </c>
      <c r="AD5552">
        <v>0</v>
      </c>
      <c r="AE5552">
        <v>0</v>
      </c>
      <c r="AF5552">
        <v>0</v>
      </c>
      <c r="AH5552">
        <v>0</v>
      </c>
      <c r="AI5552">
        <v>1</v>
      </c>
      <c r="AJ5552">
        <v>0</v>
      </c>
      <c r="AK5552">
        <v>0</v>
      </c>
      <c r="AL5552">
        <v>0</v>
      </c>
      <c r="AM5552">
        <v>0</v>
      </c>
      <c r="AN5552">
        <v>0</v>
      </c>
      <c r="AO5552">
        <v>0</v>
      </c>
      <c r="AP5552">
        <v>0</v>
      </c>
      <c r="AQ5552">
        <v>0</v>
      </c>
      <c r="AU5552">
        <v>0</v>
      </c>
      <c r="AV5552">
        <v>0</v>
      </c>
      <c r="AW5552">
        <v>0</v>
      </c>
    </row>
    <row r="5553" spans="1:49" x14ac:dyDescent="0.25">
      <c r="A5553" t="str">
        <f>"5549"</f>
        <v>5549</v>
      </c>
      <c r="B5553" t="str">
        <f t="shared" si="322"/>
        <v>1</v>
      </c>
      <c r="C5553" t="str">
        <f t="shared" si="323"/>
        <v>245</v>
      </c>
      <c r="D5553" t="str">
        <f>"14"</f>
        <v>14</v>
      </c>
      <c r="E5553" t="str">
        <f>"1-245-14"</f>
        <v>1-245-14</v>
      </c>
      <c r="F5553" t="s">
        <v>83</v>
      </c>
      <c r="G5553" t="s">
        <v>86</v>
      </c>
      <c r="H5553" t="s">
        <v>93</v>
      </c>
      <c r="I5553">
        <v>1</v>
      </c>
      <c r="K5553">
        <v>1</v>
      </c>
      <c r="L5553">
        <v>0</v>
      </c>
      <c r="M5553">
        <v>0</v>
      </c>
      <c r="N5553">
        <v>1</v>
      </c>
      <c r="O5553">
        <v>1</v>
      </c>
      <c r="P5553">
        <v>1</v>
      </c>
      <c r="Q5553">
        <v>1</v>
      </c>
      <c r="R5553">
        <v>1</v>
      </c>
      <c r="U5553">
        <v>0</v>
      </c>
      <c r="V5553">
        <v>1</v>
      </c>
      <c r="W5553">
        <v>1</v>
      </c>
      <c r="X5553">
        <v>1</v>
      </c>
      <c r="Y5553">
        <v>1</v>
      </c>
      <c r="Z5553">
        <v>1</v>
      </c>
      <c r="AA5553">
        <v>1</v>
      </c>
      <c r="AB5553">
        <v>1</v>
      </c>
    </row>
    <row r="5554" spans="1:49" x14ac:dyDescent="0.25">
      <c r="A5554" t="str">
        <f>"5550"</f>
        <v>5550</v>
      </c>
      <c r="B5554" t="str">
        <f t="shared" si="322"/>
        <v>1</v>
      </c>
      <c r="C5554" t="str">
        <f t="shared" si="323"/>
        <v>245</v>
      </c>
      <c r="D5554" t="str">
        <f>"13"</f>
        <v>13</v>
      </c>
      <c r="E5554" t="str">
        <f>"1-245-13"</f>
        <v>1-245-13</v>
      </c>
      <c r="F5554" t="s">
        <v>83</v>
      </c>
      <c r="G5554" t="s">
        <v>86</v>
      </c>
      <c r="H5554" t="s">
        <v>87</v>
      </c>
      <c r="AC5554">
        <v>0</v>
      </c>
      <c r="AD5554">
        <v>1</v>
      </c>
      <c r="AE5554">
        <v>0</v>
      </c>
      <c r="AF5554">
        <v>0</v>
      </c>
      <c r="AH5554">
        <v>1</v>
      </c>
      <c r="AI5554">
        <v>0</v>
      </c>
      <c r="AJ5554">
        <v>0</v>
      </c>
      <c r="AK5554">
        <v>1</v>
      </c>
      <c r="AL5554">
        <v>0</v>
      </c>
      <c r="AM5554">
        <v>1</v>
      </c>
      <c r="AN5554">
        <v>0</v>
      </c>
      <c r="AO5554">
        <v>1</v>
      </c>
      <c r="AP5554">
        <v>1</v>
      </c>
      <c r="AQ5554">
        <v>1</v>
      </c>
      <c r="AU5554">
        <v>1</v>
      </c>
      <c r="AV5554">
        <v>1</v>
      </c>
      <c r="AW5554">
        <v>1</v>
      </c>
    </row>
    <row r="5555" spans="1:49" x14ac:dyDescent="0.25">
      <c r="A5555" t="str">
        <f>"5551"</f>
        <v>5551</v>
      </c>
      <c r="B5555" t="str">
        <f t="shared" si="322"/>
        <v>1</v>
      </c>
      <c r="C5555" t="str">
        <f t="shared" si="323"/>
        <v>245</v>
      </c>
      <c r="D5555" t="str">
        <f>"8"</f>
        <v>8</v>
      </c>
      <c r="E5555" t="str">
        <f>"1-245-8"</f>
        <v>1-245-8</v>
      </c>
      <c r="F5555" t="s">
        <v>83</v>
      </c>
      <c r="G5555" t="s">
        <v>86</v>
      </c>
      <c r="H5555" t="s">
        <v>87</v>
      </c>
      <c r="AC5555">
        <v>1</v>
      </c>
      <c r="AD5555">
        <v>0</v>
      </c>
      <c r="AE5555">
        <v>0</v>
      </c>
      <c r="AF5555">
        <v>0</v>
      </c>
      <c r="AH5555">
        <v>1</v>
      </c>
      <c r="AI5555">
        <v>0</v>
      </c>
      <c r="AJ5555">
        <v>0</v>
      </c>
      <c r="AK5555">
        <v>1</v>
      </c>
      <c r="AL5555">
        <v>0</v>
      </c>
      <c r="AM5555">
        <v>1</v>
      </c>
      <c r="AN5555">
        <v>0</v>
      </c>
      <c r="AO5555">
        <v>1</v>
      </c>
      <c r="AP5555">
        <v>1</v>
      </c>
      <c r="AQ5555">
        <v>1</v>
      </c>
      <c r="AU5555">
        <v>1</v>
      </c>
      <c r="AV5555">
        <v>1</v>
      </c>
      <c r="AW5555">
        <v>1</v>
      </c>
    </row>
    <row r="5556" spans="1:49" x14ac:dyDescent="0.25">
      <c r="A5556" t="str">
        <f>"5552"</f>
        <v>5552</v>
      </c>
      <c r="B5556" t="str">
        <f t="shared" si="322"/>
        <v>1</v>
      </c>
      <c r="C5556" t="str">
        <f t="shared" si="323"/>
        <v>245</v>
      </c>
      <c r="D5556" t="str">
        <f>"1"</f>
        <v>1</v>
      </c>
      <c r="E5556" t="str">
        <f>"1-245-1"</f>
        <v>1-245-1</v>
      </c>
      <c r="F5556" t="s">
        <v>83</v>
      </c>
      <c r="G5556" t="s">
        <v>86</v>
      </c>
      <c r="H5556" t="s">
        <v>87</v>
      </c>
      <c r="AC5556">
        <v>0</v>
      </c>
      <c r="AD5556">
        <v>1</v>
      </c>
      <c r="AE5556">
        <v>0</v>
      </c>
      <c r="AF5556">
        <v>0</v>
      </c>
      <c r="AH5556">
        <v>1</v>
      </c>
      <c r="AI5556">
        <v>0</v>
      </c>
      <c r="AJ5556">
        <v>0</v>
      </c>
      <c r="AK5556">
        <v>1</v>
      </c>
      <c r="AL5556">
        <v>0</v>
      </c>
      <c r="AM5556">
        <v>1</v>
      </c>
      <c r="AN5556">
        <v>0</v>
      </c>
      <c r="AO5556">
        <v>1</v>
      </c>
      <c r="AP5556">
        <v>1</v>
      </c>
      <c r="AQ5556">
        <v>1</v>
      </c>
      <c r="AU5556">
        <v>1</v>
      </c>
      <c r="AV5556">
        <v>1</v>
      </c>
      <c r="AW5556">
        <v>1</v>
      </c>
    </row>
    <row r="5557" spans="1:49" x14ac:dyDescent="0.25">
      <c r="A5557" t="str">
        <f>"5553"</f>
        <v>5553</v>
      </c>
      <c r="B5557" t="str">
        <f t="shared" si="322"/>
        <v>1</v>
      </c>
      <c r="C5557" t="str">
        <f t="shared" si="323"/>
        <v>245</v>
      </c>
      <c r="D5557" t="str">
        <f>"25"</f>
        <v>25</v>
      </c>
      <c r="E5557" t="str">
        <f>"1-245-25"</f>
        <v>1-245-25</v>
      </c>
      <c r="F5557" t="s">
        <v>83</v>
      </c>
      <c r="G5557" t="s">
        <v>86</v>
      </c>
      <c r="H5557" t="s">
        <v>93</v>
      </c>
      <c r="I5557">
        <v>1</v>
      </c>
      <c r="K5557">
        <v>1</v>
      </c>
      <c r="L5557">
        <v>0</v>
      </c>
      <c r="M5557">
        <v>0</v>
      </c>
      <c r="N5557">
        <v>1</v>
      </c>
      <c r="O5557">
        <v>1</v>
      </c>
      <c r="P5557">
        <v>1</v>
      </c>
      <c r="Q5557">
        <v>1</v>
      </c>
      <c r="R5557">
        <v>1</v>
      </c>
      <c r="U5557">
        <v>0</v>
      </c>
      <c r="V5557">
        <v>1</v>
      </c>
      <c r="W5557">
        <v>1</v>
      </c>
      <c r="X5557">
        <v>1</v>
      </c>
      <c r="Y5557">
        <v>1</v>
      </c>
      <c r="Z5557">
        <v>1</v>
      </c>
      <c r="AA5557">
        <v>1</v>
      </c>
      <c r="AB5557">
        <v>1</v>
      </c>
    </row>
    <row r="5558" spans="1:49" x14ac:dyDescent="0.25">
      <c r="A5558" t="str">
        <f>"5554"</f>
        <v>5554</v>
      </c>
      <c r="B5558" t="str">
        <f t="shared" si="322"/>
        <v>1</v>
      </c>
      <c r="C5558" t="str">
        <f t="shared" si="323"/>
        <v>245</v>
      </c>
      <c r="D5558" t="str">
        <f>"24"</f>
        <v>24</v>
      </c>
      <c r="E5558" t="str">
        <f>"1-245-24"</f>
        <v>1-245-24</v>
      </c>
      <c r="F5558" t="s">
        <v>83</v>
      </c>
      <c r="G5558" t="s">
        <v>86</v>
      </c>
      <c r="H5558" t="s">
        <v>87</v>
      </c>
      <c r="AC5558">
        <v>1</v>
      </c>
      <c r="AD5558">
        <v>0</v>
      </c>
      <c r="AE5558">
        <v>0</v>
      </c>
      <c r="AF5558">
        <v>0</v>
      </c>
      <c r="AH5558">
        <v>1</v>
      </c>
      <c r="AI5558">
        <v>0</v>
      </c>
      <c r="AJ5558">
        <v>1</v>
      </c>
      <c r="AK5558">
        <v>0</v>
      </c>
      <c r="AL5558">
        <v>1</v>
      </c>
      <c r="AM5558">
        <v>0</v>
      </c>
      <c r="AN5558">
        <v>0</v>
      </c>
      <c r="AO5558">
        <v>1</v>
      </c>
      <c r="AP5558">
        <v>1</v>
      </c>
      <c r="AQ5558">
        <v>1</v>
      </c>
      <c r="AU5558">
        <v>1</v>
      </c>
      <c r="AV5558">
        <v>1</v>
      </c>
      <c r="AW5558">
        <v>1</v>
      </c>
    </row>
    <row r="5559" spans="1:49" x14ac:dyDescent="0.25">
      <c r="A5559" t="str">
        <f>"5555"</f>
        <v>5555</v>
      </c>
      <c r="B5559" t="str">
        <f t="shared" si="322"/>
        <v>1</v>
      </c>
      <c r="C5559" t="str">
        <f t="shared" si="323"/>
        <v>245</v>
      </c>
      <c r="D5559" t="str">
        <f>"16"</f>
        <v>16</v>
      </c>
      <c r="E5559" t="str">
        <f>"1-245-16"</f>
        <v>1-245-16</v>
      </c>
      <c r="F5559" t="s">
        <v>83</v>
      </c>
      <c r="G5559" t="s">
        <v>86</v>
      </c>
      <c r="H5559" t="s">
        <v>93</v>
      </c>
      <c r="I5559">
        <v>1</v>
      </c>
      <c r="K5559">
        <v>1</v>
      </c>
      <c r="L5559">
        <v>0</v>
      </c>
      <c r="M5559">
        <v>0</v>
      </c>
      <c r="N5559">
        <v>1</v>
      </c>
      <c r="O5559">
        <v>1</v>
      </c>
      <c r="P5559">
        <v>1</v>
      </c>
      <c r="Q5559">
        <v>1</v>
      </c>
      <c r="R5559">
        <v>1</v>
      </c>
      <c r="U5559">
        <v>0</v>
      </c>
      <c r="V5559">
        <v>1</v>
      </c>
      <c r="W5559">
        <v>1</v>
      </c>
      <c r="X5559">
        <v>1</v>
      </c>
      <c r="Y5559">
        <v>1</v>
      </c>
      <c r="Z5559">
        <v>1</v>
      </c>
      <c r="AA5559">
        <v>1</v>
      </c>
      <c r="AB5559">
        <v>1</v>
      </c>
    </row>
    <row r="5560" spans="1:49" x14ac:dyDescent="0.25">
      <c r="A5560" t="str">
        <f>"5556"</f>
        <v>5556</v>
      </c>
      <c r="B5560" t="str">
        <f t="shared" si="322"/>
        <v>1</v>
      </c>
      <c r="C5560" t="str">
        <f t="shared" si="323"/>
        <v>245</v>
      </c>
      <c r="D5560" t="str">
        <f>"9"</f>
        <v>9</v>
      </c>
      <c r="E5560" t="str">
        <f>"1-245-9"</f>
        <v>1-245-9</v>
      </c>
      <c r="F5560" t="s">
        <v>83</v>
      </c>
      <c r="G5560" t="s">
        <v>86</v>
      </c>
      <c r="H5560" t="s">
        <v>87</v>
      </c>
      <c r="AC5560">
        <v>1</v>
      </c>
      <c r="AD5560">
        <v>0</v>
      </c>
      <c r="AE5560">
        <v>0</v>
      </c>
      <c r="AF5560">
        <v>0</v>
      </c>
      <c r="AH5560">
        <v>0</v>
      </c>
      <c r="AI5560">
        <v>1</v>
      </c>
      <c r="AJ5560">
        <v>1</v>
      </c>
      <c r="AK5560">
        <v>0</v>
      </c>
      <c r="AL5560">
        <v>0</v>
      </c>
      <c r="AM5560">
        <v>0</v>
      </c>
      <c r="AN5560">
        <v>1</v>
      </c>
      <c r="AO5560">
        <v>1</v>
      </c>
      <c r="AP5560">
        <v>1</v>
      </c>
      <c r="AQ5560">
        <v>1</v>
      </c>
      <c r="AU5560">
        <v>1</v>
      </c>
      <c r="AV5560">
        <v>1</v>
      </c>
      <c r="AW5560">
        <v>1</v>
      </c>
    </row>
    <row r="5561" spans="1:49" x14ac:dyDescent="0.25">
      <c r="A5561" t="str">
        <f>"5557"</f>
        <v>5557</v>
      </c>
      <c r="B5561" t="str">
        <f t="shared" si="322"/>
        <v>1</v>
      </c>
      <c r="C5561" t="str">
        <f t="shared" si="323"/>
        <v>245</v>
      </c>
      <c r="D5561" t="str">
        <f>"2"</f>
        <v>2</v>
      </c>
      <c r="E5561" t="str">
        <f>"1-245-2"</f>
        <v>1-245-2</v>
      </c>
      <c r="F5561" t="s">
        <v>83</v>
      </c>
      <c r="G5561" t="s">
        <v>86</v>
      </c>
      <c r="H5561" t="s">
        <v>87</v>
      </c>
      <c r="AC5561">
        <v>0</v>
      </c>
      <c r="AD5561">
        <v>0</v>
      </c>
      <c r="AE5561">
        <v>0</v>
      </c>
      <c r="AF5561">
        <v>0</v>
      </c>
      <c r="AH5561">
        <v>0</v>
      </c>
      <c r="AI5561">
        <v>1</v>
      </c>
      <c r="AJ5561">
        <v>0</v>
      </c>
      <c r="AK5561">
        <v>0</v>
      </c>
      <c r="AL5561">
        <v>0</v>
      </c>
      <c r="AM5561">
        <v>0</v>
      </c>
      <c r="AN5561">
        <v>0</v>
      </c>
      <c r="AO5561">
        <v>0</v>
      </c>
      <c r="AP5561">
        <v>0</v>
      </c>
      <c r="AQ5561">
        <v>0</v>
      </c>
      <c r="AU5561">
        <v>0</v>
      </c>
      <c r="AV5561">
        <v>0</v>
      </c>
      <c r="AW5561">
        <v>0</v>
      </c>
    </row>
    <row r="5562" spans="1:49" x14ac:dyDescent="0.25">
      <c r="A5562" t="str">
        <f>"5558"</f>
        <v>5558</v>
      </c>
      <c r="B5562" t="str">
        <f t="shared" si="322"/>
        <v>1</v>
      </c>
      <c r="C5562" t="str">
        <f t="shared" si="323"/>
        <v>245</v>
      </c>
      <c r="D5562" t="str">
        <f>"23"</f>
        <v>23</v>
      </c>
      <c r="E5562" t="str">
        <f>"1-245-23"</f>
        <v>1-245-23</v>
      </c>
      <c r="F5562" t="s">
        <v>83</v>
      </c>
      <c r="G5562" t="s">
        <v>86</v>
      </c>
      <c r="H5562" t="s">
        <v>87</v>
      </c>
      <c r="AC5562">
        <v>0</v>
      </c>
      <c r="AD5562">
        <v>0</v>
      </c>
      <c r="AE5562">
        <v>0</v>
      </c>
      <c r="AF5562">
        <v>0</v>
      </c>
      <c r="AH5562">
        <v>0</v>
      </c>
      <c r="AI5562">
        <v>1</v>
      </c>
      <c r="AJ5562">
        <v>0</v>
      </c>
      <c r="AK5562">
        <v>0</v>
      </c>
      <c r="AL5562">
        <v>0</v>
      </c>
      <c r="AM5562">
        <v>0</v>
      </c>
      <c r="AN5562">
        <v>0</v>
      </c>
      <c r="AO5562">
        <v>0</v>
      </c>
      <c r="AP5562">
        <v>0</v>
      </c>
      <c r="AQ5562">
        <v>0</v>
      </c>
      <c r="AU5562">
        <v>0</v>
      </c>
      <c r="AV5562">
        <v>0</v>
      </c>
      <c r="AW5562">
        <v>0</v>
      </c>
    </row>
    <row r="5563" spans="1:49" x14ac:dyDescent="0.25">
      <c r="A5563" t="str">
        <f>"5559"</f>
        <v>5559</v>
      </c>
      <c r="B5563" t="str">
        <f t="shared" si="322"/>
        <v>1</v>
      </c>
      <c r="C5563" t="str">
        <f t="shared" si="323"/>
        <v>245</v>
      </c>
      <c r="D5563" t="str">
        <f>"22"</f>
        <v>22</v>
      </c>
      <c r="E5563" t="str">
        <f>"1-245-22"</f>
        <v>1-245-22</v>
      </c>
      <c r="F5563" t="s">
        <v>83</v>
      </c>
      <c r="G5563" t="s">
        <v>86</v>
      </c>
      <c r="H5563" t="s">
        <v>87</v>
      </c>
      <c r="AC5563">
        <v>0</v>
      </c>
      <c r="AD5563">
        <v>0</v>
      </c>
      <c r="AE5563">
        <v>0</v>
      </c>
      <c r="AF5563">
        <v>0</v>
      </c>
      <c r="AH5563">
        <v>0</v>
      </c>
      <c r="AI5563">
        <v>1</v>
      </c>
      <c r="AJ5563">
        <v>0</v>
      </c>
      <c r="AK5563">
        <v>0</v>
      </c>
      <c r="AL5563">
        <v>0</v>
      </c>
      <c r="AM5563">
        <v>0</v>
      </c>
      <c r="AN5563">
        <v>0</v>
      </c>
      <c r="AO5563">
        <v>0</v>
      </c>
      <c r="AP5563">
        <v>0</v>
      </c>
      <c r="AQ5563">
        <v>0</v>
      </c>
      <c r="AU5563">
        <v>0</v>
      </c>
      <c r="AV5563">
        <v>0</v>
      </c>
      <c r="AW5563">
        <v>0</v>
      </c>
    </row>
    <row r="5564" spans="1:49" x14ac:dyDescent="0.25">
      <c r="A5564" t="str">
        <f>"5560"</f>
        <v>5560</v>
      </c>
      <c r="B5564" t="str">
        <f t="shared" si="322"/>
        <v>1</v>
      </c>
      <c r="C5564" t="str">
        <f t="shared" si="323"/>
        <v>245</v>
      </c>
      <c r="D5564" t="str">
        <f>"17"</f>
        <v>17</v>
      </c>
      <c r="E5564" t="str">
        <f>"1-245-17"</f>
        <v>1-245-17</v>
      </c>
      <c r="F5564" t="s">
        <v>83</v>
      </c>
      <c r="G5564" t="s">
        <v>86</v>
      </c>
      <c r="H5564" t="s">
        <v>87</v>
      </c>
      <c r="AC5564">
        <v>0</v>
      </c>
      <c r="AD5564">
        <v>1</v>
      </c>
      <c r="AE5564">
        <v>0</v>
      </c>
      <c r="AF5564">
        <v>0</v>
      </c>
      <c r="AH5564">
        <v>0</v>
      </c>
      <c r="AI5564">
        <v>1</v>
      </c>
      <c r="AJ5564">
        <v>0</v>
      </c>
      <c r="AK5564">
        <v>1</v>
      </c>
      <c r="AL5564">
        <v>0</v>
      </c>
      <c r="AM5564">
        <v>0</v>
      </c>
      <c r="AN5564">
        <v>1</v>
      </c>
      <c r="AO5564">
        <v>0</v>
      </c>
      <c r="AP5564">
        <v>0</v>
      </c>
      <c r="AQ5564">
        <v>0</v>
      </c>
      <c r="AU5564">
        <v>0</v>
      </c>
      <c r="AV5564">
        <v>0</v>
      </c>
      <c r="AW5564">
        <v>0</v>
      </c>
    </row>
    <row r="5565" spans="1:49" x14ac:dyDescent="0.25">
      <c r="A5565" t="str">
        <f>"5561"</f>
        <v>5561</v>
      </c>
      <c r="B5565" t="str">
        <f t="shared" si="322"/>
        <v>1</v>
      </c>
      <c r="C5565" t="str">
        <f t="shared" si="323"/>
        <v>245</v>
      </c>
      <c r="D5565" t="str">
        <f>"10"</f>
        <v>10</v>
      </c>
      <c r="E5565" t="str">
        <f>"1-245-10"</f>
        <v>1-245-10</v>
      </c>
      <c r="F5565" t="s">
        <v>83</v>
      </c>
      <c r="G5565" t="s">
        <v>86</v>
      </c>
      <c r="H5565" t="s">
        <v>87</v>
      </c>
      <c r="AC5565">
        <v>0</v>
      </c>
      <c r="AD5565">
        <v>0</v>
      </c>
      <c r="AE5565">
        <v>0</v>
      </c>
      <c r="AF5565">
        <v>0</v>
      </c>
      <c r="AH5565">
        <v>0</v>
      </c>
      <c r="AI5565">
        <v>1</v>
      </c>
      <c r="AJ5565">
        <v>0</v>
      </c>
      <c r="AK5565">
        <v>0</v>
      </c>
      <c r="AL5565">
        <v>0</v>
      </c>
      <c r="AM5565">
        <v>0</v>
      </c>
      <c r="AN5565">
        <v>0</v>
      </c>
      <c r="AO5565">
        <v>0</v>
      </c>
      <c r="AP5565">
        <v>0</v>
      </c>
      <c r="AQ5565">
        <v>0</v>
      </c>
      <c r="AU5565">
        <v>0</v>
      </c>
      <c r="AV5565">
        <v>0</v>
      </c>
      <c r="AW5565">
        <v>0</v>
      </c>
    </row>
    <row r="5566" spans="1:49" x14ac:dyDescent="0.25">
      <c r="A5566" t="str">
        <f>"5562"</f>
        <v>5562</v>
      </c>
      <c r="B5566" t="str">
        <f t="shared" si="322"/>
        <v>1</v>
      </c>
      <c r="C5566" t="str">
        <f t="shared" si="323"/>
        <v>245</v>
      </c>
      <c r="D5566" t="str">
        <f>"5"</f>
        <v>5</v>
      </c>
      <c r="E5566" t="str">
        <f>"1-245-5"</f>
        <v>1-245-5</v>
      </c>
      <c r="F5566" t="s">
        <v>83</v>
      </c>
      <c r="G5566" t="s">
        <v>86</v>
      </c>
      <c r="H5566" t="s">
        <v>93</v>
      </c>
      <c r="I5566">
        <v>1</v>
      </c>
      <c r="K5566">
        <v>0</v>
      </c>
      <c r="L5566">
        <v>0</v>
      </c>
      <c r="M5566">
        <v>1</v>
      </c>
      <c r="N5566">
        <v>1</v>
      </c>
      <c r="O5566">
        <v>1</v>
      </c>
      <c r="P5566">
        <v>1</v>
      </c>
      <c r="Q5566">
        <v>1</v>
      </c>
      <c r="R5566">
        <v>1</v>
      </c>
      <c r="U5566">
        <v>0</v>
      </c>
      <c r="V5566">
        <v>1</v>
      </c>
      <c r="W5566">
        <v>1</v>
      </c>
      <c r="X5566">
        <v>1</v>
      </c>
      <c r="Y5566">
        <v>1</v>
      </c>
      <c r="Z5566">
        <v>1</v>
      </c>
      <c r="AA5566">
        <v>1</v>
      </c>
      <c r="AB5566">
        <v>1</v>
      </c>
    </row>
    <row r="5567" spans="1:49" x14ac:dyDescent="0.25">
      <c r="A5567" t="str">
        <f>"5563"</f>
        <v>5563</v>
      </c>
      <c r="B5567" t="str">
        <f t="shared" si="322"/>
        <v>1</v>
      </c>
      <c r="C5567" t="str">
        <f t="shared" si="323"/>
        <v>245</v>
      </c>
      <c r="D5567" t="str">
        <f>"21"</f>
        <v>21</v>
      </c>
      <c r="E5567" t="str">
        <f>"1-245-21"</f>
        <v>1-245-21</v>
      </c>
      <c r="F5567" t="s">
        <v>83</v>
      </c>
      <c r="G5567" t="s">
        <v>86</v>
      </c>
      <c r="H5567" t="s">
        <v>87</v>
      </c>
      <c r="AC5567">
        <v>0</v>
      </c>
      <c r="AD5567">
        <v>1</v>
      </c>
      <c r="AE5567">
        <v>0</v>
      </c>
      <c r="AF5567">
        <v>0</v>
      </c>
      <c r="AH5567">
        <v>0</v>
      </c>
      <c r="AI5567">
        <v>1</v>
      </c>
      <c r="AJ5567">
        <v>0</v>
      </c>
      <c r="AK5567">
        <v>1</v>
      </c>
      <c r="AL5567">
        <v>0</v>
      </c>
      <c r="AM5567">
        <v>0</v>
      </c>
      <c r="AN5567">
        <v>1</v>
      </c>
      <c r="AO5567">
        <v>0</v>
      </c>
      <c r="AP5567">
        <v>0</v>
      </c>
      <c r="AQ5567">
        <v>0</v>
      </c>
      <c r="AU5567">
        <v>0</v>
      </c>
      <c r="AV5567">
        <v>0</v>
      </c>
      <c r="AW5567">
        <v>0</v>
      </c>
    </row>
    <row r="5568" spans="1:49" x14ac:dyDescent="0.25">
      <c r="A5568" t="str">
        <f>"5564"</f>
        <v>5564</v>
      </c>
      <c r="B5568" t="str">
        <f t="shared" si="322"/>
        <v>1</v>
      </c>
      <c r="C5568" t="str">
        <f t="shared" si="323"/>
        <v>245</v>
      </c>
      <c r="D5568" t="str">
        <f>"11"</f>
        <v>11</v>
      </c>
      <c r="E5568" t="str">
        <f>"1-245-11"</f>
        <v>1-245-11</v>
      </c>
      <c r="F5568" t="s">
        <v>83</v>
      </c>
      <c r="G5568" t="s">
        <v>86</v>
      </c>
      <c r="H5568" t="s">
        <v>93</v>
      </c>
      <c r="I5568">
        <v>1</v>
      </c>
      <c r="K5568">
        <v>0</v>
      </c>
      <c r="L5568">
        <v>0</v>
      </c>
      <c r="M5568">
        <v>1</v>
      </c>
      <c r="N5568">
        <v>1</v>
      </c>
      <c r="O5568">
        <v>1</v>
      </c>
      <c r="P5568">
        <v>1</v>
      </c>
      <c r="Q5568">
        <v>1</v>
      </c>
      <c r="R5568">
        <v>1</v>
      </c>
      <c r="U5568">
        <v>0</v>
      </c>
      <c r="V5568">
        <v>1</v>
      </c>
      <c r="W5568">
        <v>1</v>
      </c>
      <c r="X5568">
        <v>1</v>
      </c>
      <c r="Y5568">
        <v>1</v>
      </c>
      <c r="Z5568">
        <v>1</v>
      </c>
      <c r="AA5568">
        <v>1</v>
      </c>
      <c r="AB5568">
        <v>1</v>
      </c>
    </row>
    <row r="5569" spans="1:49" x14ac:dyDescent="0.25">
      <c r="A5569" t="str">
        <f>"5565"</f>
        <v>5565</v>
      </c>
      <c r="B5569" t="str">
        <f t="shared" si="322"/>
        <v>1</v>
      </c>
      <c r="C5569" t="str">
        <f t="shared" si="323"/>
        <v>245</v>
      </c>
      <c r="D5569" t="str">
        <f>"7"</f>
        <v>7</v>
      </c>
      <c r="E5569" t="str">
        <f>"1-245-7"</f>
        <v>1-245-7</v>
      </c>
      <c r="F5569" t="s">
        <v>83</v>
      </c>
      <c r="G5569" t="s">
        <v>86</v>
      </c>
      <c r="H5569" t="s">
        <v>87</v>
      </c>
      <c r="AC5569">
        <v>0</v>
      </c>
      <c r="AD5569">
        <v>1</v>
      </c>
      <c r="AE5569">
        <v>0</v>
      </c>
      <c r="AF5569">
        <v>0</v>
      </c>
      <c r="AH5569">
        <v>1</v>
      </c>
      <c r="AI5569">
        <v>0</v>
      </c>
      <c r="AJ5569">
        <v>1</v>
      </c>
      <c r="AK5569">
        <v>0</v>
      </c>
      <c r="AL5569">
        <v>1</v>
      </c>
      <c r="AM5569">
        <v>0</v>
      </c>
      <c r="AN5569">
        <v>0</v>
      </c>
      <c r="AO5569">
        <v>1</v>
      </c>
      <c r="AP5569">
        <v>1</v>
      </c>
      <c r="AQ5569">
        <v>1</v>
      </c>
      <c r="AU5569">
        <v>1</v>
      </c>
      <c r="AV5569">
        <v>1</v>
      </c>
      <c r="AW5569">
        <v>1</v>
      </c>
    </row>
    <row r="5570" spans="1:49" x14ac:dyDescent="0.25">
      <c r="A5570" t="str">
        <f>"5566"</f>
        <v>5566</v>
      </c>
      <c r="B5570" t="str">
        <f t="shared" si="322"/>
        <v>1</v>
      </c>
      <c r="C5570" t="str">
        <f t="shared" si="323"/>
        <v>245</v>
      </c>
      <c r="D5570" t="str">
        <f>"20"</f>
        <v>20</v>
      </c>
      <c r="E5570" t="str">
        <f>"1-245-20"</f>
        <v>1-245-20</v>
      </c>
      <c r="F5570" t="s">
        <v>83</v>
      </c>
      <c r="G5570" t="s">
        <v>86</v>
      </c>
      <c r="H5570" t="s">
        <v>93</v>
      </c>
      <c r="I5570">
        <v>1</v>
      </c>
      <c r="K5570">
        <v>1</v>
      </c>
      <c r="L5570">
        <v>0</v>
      </c>
      <c r="M5570">
        <v>0</v>
      </c>
      <c r="N5570">
        <v>1</v>
      </c>
      <c r="O5570">
        <v>1</v>
      </c>
      <c r="P5570">
        <v>1</v>
      </c>
      <c r="Q5570">
        <v>1</v>
      </c>
      <c r="R5570">
        <v>1</v>
      </c>
      <c r="U5570">
        <v>0</v>
      </c>
      <c r="V5570">
        <v>1</v>
      </c>
      <c r="W5570">
        <v>1</v>
      </c>
      <c r="X5570">
        <v>1</v>
      </c>
      <c r="Y5570">
        <v>1</v>
      </c>
      <c r="Z5570">
        <v>1</v>
      </c>
      <c r="AA5570">
        <v>1</v>
      </c>
      <c r="AB5570">
        <v>1</v>
      </c>
    </row>
    <row r="5571" spans="1:49" x14ac:dyDescent="0.25">
      <c r="A5571" t="str">
        <f>"5567"</f>
        <v>5567</v>
      </c>
      <c r="B5571" t="str">
        <f t="shared" si="322"/>
        <v>1</v>
      </c>
      <c r="C5571" t="str">
        <f t="shared" si="323"/>
        <v>245</v>
      </c>
      <c r="D5571" t="str">
        <f>"12"</f>
        <v>12</v>
      </c>
      <c r="E5571" t="str">
        <f>"1-245-12"</f>
        <v>1-245-12</v>
      </c>
      <c r="F5571" t="s">
        <v>83</v>
      </c>
      <c r="G5571" t="s">
        <v>86</v>
      </c>
      <c r="H5571" t="s">
        <v>87</v>
      </c>
      <c r="AC5571">
        <v>0</v>
      </c>
      <c r="AD5571">
        <v>1</v>
      </c>
      <c r="AE5571">
        <v>0</v>
      </c>
      <c r="AF5571">
        <v>0</v>
      </c>
      <c r="AH5571">
        <v>1</v>
      </c>
      <c r="AI5571">
        <v>0</v>
      </c>
      <c r="AJ5571">
        <v>0</v>
      </c>
      <c r="AK5571">
        <v>1</v>
      </c>
      <c r="AL5571">
        <v>0</v>
      </c>
      <c r="AM5571">
        <v>0</v>
      </c>
      <c r="AN5571">
        <v>1</v>
      </c>
      <c r="AO5571">
        <v>1</v>
      </c>
      <c r="AP5571">
        <v>1</v>
      </c>
      <c r="AQ5571">
        <v>1</v>
      </c>
      <c r="AU5571">
        <v>1</v>
      </c>
      <c r="AV5571">
        <v>1</v>
      </c>
      <c r="AW5571">
        <v>0</v>
      </c>
    </row>
    <row r="5572" spans="1:49" x14ac:dyDescent="0.25">
      <c r="A5572" t="str">
        <f>"5568"</f>
        <v>5568</v>
      </c>
      <c r="B5572" t="str">
        <f t="shared" si="322"/>
        <v>1</v>
      </c>
      <c r="C5572" t="str">
        <f t="shared" si="323"/>
        <v>245</v>
      </c>
      <c r="D5572" t="str">
        <f>"3"</f>
        <v>3</v>
      </c>
      <c r="E5572" t="str">
        <f>"1-245-3"</f>
        <v>1-245-3</v>
      </c>
      <c r="F5572" t="s">
        <v>83</v>
      </c>
      <c r="G5572" t="s">
        <v>86</v>
      </c>
      <c r="H5572" t="s">
        <v>93</v>
      </c>
      <c r="I5572">
        <v>1</v>
      </c>
      <c r="K5572">
        <v>0</v>
      </c>
      <c r="L5572">
        <v>0</v>
      </c>
      <c r="M5572">
        <v>1</v>
      </c>
      <c r="N5572">
        <v>1</v>
      </c>
      <c r="O5572">
        <v>1</v>
      </c>
      <c r="P5572">
        <v>1</v>
      </c>
      <c r="Q5572">
        <v>1</v>
      </c>
      <c r="R5572">
        <v>1</v>
      </c>
      <c r="U5572">
        <v>0</v>
      </c>
      <c r="V5572">
        <v>1</v>
      </c>
      <c r="W5572">
        <v>1</v>
      </c>
      <c r="X5572">
        <v>1</v>
      </c>
      <c r="Y5572">
        <v>1</v>
      </c>
      <c r="Z5572">
        <v>1</v>
      </c>
      <c r="AA5572">
        <v>1</v>
      </c>
      <c r="AB5572">
        <v>1</v>
      </c>
    </row>
    <row r="5573" spans="1:49" x14ac:dyDescent="0.25">
      <c r="A5573" t="str">
        <f>"5569"</f>
        <v>5569</v>
      </c>
      <c r="B5573" t="str">
        <f t="shared" si="322"/>
        <v>1</v>
      </c>
      <c r="C5573" t="str">
        <f t="shared" si="323"/>
        <v>245</v>
      </c>
      <c r="D5573" t="str">
        <f>"18"</f>
        <v>18</v>
      </c>
      <c r="E5573" t="str">
        <f>"1-245-18"</f>
        <v>1-245-18</v>
      </c>
      <c r="F5573" t="s">
        <v>83</v>
      </c>
      <c r="G5573" t="s">
        <v>86</v>
      </c>
      <c r="H5573" t="s">
        <v>87</v>
      </c>
      <c r="AC5573">
        <v>0</v>
      </c>
      <c r="AD5573">
        <v>1</v>
      </c>
      <c r="AE5573">
        <v>0</v>
      </c>
      <c r="AF5573">
        <v>0</v>
      </c>
      <c r="AH5573">
        <v>0</v>
      </c>
      <c r="AI5573">
        <v>1</v>
      </c>
      <c r="AJ5573">
        <v>0</v>
      </c>
      <c r="AK5573">
        <v>1</v>
      </c>
      <c r="AL5573">
        <v>0</v>
      </c>
      <c r="AM5573">
        <v>0</v>
      </c>
      <c r="AN5573">
        <v>1</v>
      </c>
      <c r="AO5573">
        <v>0</v>
      </c>
      <c r="AP5573">
        <v>0</v>
      </c>
      <c r="AQ5573">
        <v>0</v>
      </c>
      <c r="AU5573">
        <v>0</v>
      </c>
      <c r="AV5573">
        <v>0</v>
      </c>
      <c r="AW5573">
        <v>0</v>
      </c>
    </row>
    <row r="5574" spans="1:49" x14ac:dyDescent="0.25">
      <c r="A5574" t="str">
        <f>"5570"</f>
        <v>5570</v>
      </c>
      <c r="B5574" t="str">
        <f t="shared" si="322"/>
        <v>1</v>
      </c>
      <c r="C5574" t="str">
        <f t="shared" si="323"/>
        <v>245</v>
      </c>
      <c r="D5574" t="str">
        <f>"6"</f>
        <v>6</v>
      </c>
      <c r="E5574" t="str">
        <f>"1-245-6"</f>
        <v>1-245-6</v>
      </c>
      <c r="F5574" t="s">
        <v>83</v>
      </c>
      <c r="G5574" t="s">
        <v>86</v>
      </c>
      <c r="H5574" t="s">
        <v>87</v>
      </c>
      <c r="AC5574">
        <v>0</v>
      </c>
      <c r="AD5574">
        <v>0</v>
      </c>
      <c r="AE5574">
        <v>0</v>
      </c>
      <c r="AF5574">
        <v>0</v>
      </c>
      <c r="AH5574">
        <v>0</v>
      </c>
      <c r="AI5574">
        <v>1</v>
      </c>
      <c r="AJ5574">
        <v>0</v>
      </c>
      <c r="AK5574">
        <v>1</v>
      </c>
      <c r="AL5574">
        <v>0</v>
      </c>
      <c r="AM5574">
        <v>1</v>
      </c>
      <c r="AN5574">
        <v>0</v>
      </c>
      <c r="AO5574">
        <v>0</v>
      </c>
      <c r="AP5574">
        <v>0</v>
      </c>
      <c r="AQ5574">
        <v>0</v>
      </c>
      <c r="AU5574">
        <v>0</v>
      </c>
      <c r="AV5574">
        <v>0</v>
      </c>
      <c r="AW5574">
        <v>0</v>
      </c>
    </row>
    <row r="5575" spans="1:49" x14ac:dyDescent="0.25">
      <c r="A5575" t="str">
        <f>"5571"</f>
        <v>5571</v>
      </c>
      <c r="B5575" t="str">
        <f t="shared" si="322"/>
        <v>1</v>
      </c>
      <c r="C5575" t="str">
        <f t="shared" si="323"/>
        <v>245</v>
      </c>
      <c r="D5575" t="str">
        <f>"19"</f>
        <v>19</v>
      </c>
      <c r="E5575" t="str">
        <f>"1-245-19"</f>
        <v>1-245-19</v>
      </c>
      <c r="F5575" t="s">
        <v>83</v>
      </c>
      <c r="G5575" t="s">
        <v>86</v>
      </c>
      <c r="H5575" t="s">
        <v>93</v>
      </c>
      <c r="I5575">
        <v>1</v>
      </c>
      <c r="K5575">
        <v>0</v>
      </c>
      <c r="L5575">
        <v>0</v>
      </c>
      <c r="M5575">
        <v>1</v>
      </c>
      <c r="N5575">
        <v>1</v>
      </c>
      <c r="O5575">
        <v>1</v>
      </c>
      <c r="P5575">
        <v>1</v>
      </c>
      <c r="Q5575">
        <v>1</v>
      </c>
      <c r="R5575">
        <v>1</v>
      </c>
      <c r="U5575">
        <v>1</v>
      </c>
      <c r="V5575">
        <v>0</v>
      </c>
      <c r="W5575">
        <v>1</v>
      </c>
      <c r="X5575">
        <v>1</v>
      </c>
      <c r="Y5575">
        <v>1</v>
      </c>
      <c r="Z5575">
        <v>1</v>
      </c>
      <c r="AA5575">
        <v>1</v>
      </c>
      <c r="AB5575">
        <v>1</v>
      </c>
    </row>
    <row r="5576" spans="1:49" x14ac:dyDescent="0.25">
      <c r="A5576" t="str">
        <f>"5572"</f>
        <v>5572</v>
      </c>
      <c r="B5576" t="str">
        <f t="shared" si="322"/>
        <v>1</v>
      </c>
      <c r="C5576" t="str">
        <f t="shared" si="323"/>
        <v>245</v>
      </c>
      <c r="D5576" t="str">
        <f>"4"</f>
        <v>4</v>
      </c>
      <c r="E5576" t="str">
        <f>"1-245-4"</f>
        <v>1-245-4</v>
      </c>
      <c r="F5576" t="s">
        <v>83</v>
      </c>
      <c r="G5576" t="s">
        <v>86</v>
      </c>
      <c r="H5576" t="s">
        <v>87</v>
      </c>
      <c r="AC5576">
        <v>1</v>
      </c>
      <c r="AD5576">
        <v>0</v>
      </c>
      <c r="AE5576">
        <v>0</v>
      </c>
      <c r="AF5576">
        <v>0</v>
      </c>
      <c r="AH5576">
        <v>1</v>
      </c>
      <c r="AI5576">
        <v>0</v>
      </c>
      <c r="AJ5576">
        <v>1</v>
      </c>
      <c r="AK5576">
        <v>0</v>
      </c>
      <c r="AL5576">
        <v>1</v>
      </c>
      <c r="AM5576">
        <v>0</v>
      </c>
      <c r="AN5576">
        <v>0</v>
      </c>
      <c r="AO5576">
        <v>1</v>
      </c>
      <c r="AP5576">
        <v>1</v>
      </c>
      <c r="AQ5576">
        <v>1</v>
      </c>
      <c r="AU5576">
        <v>1</v>
      </c>
      <c r="AV5576">
        <v>0</v>
      </c>
      <c r="AW5576">
        <v>1</v>
      </c>
    </row>
    <row r="5577" spans="1:49" x14ac:dyDescent="0.25">
      <c r="A5577" t="str">
        <f>"5573"</f>
        <v>5573</v>
      </c>
      <c r="B5577" t="str">
        <f t="shared" si="322"/>
        <v>1</v>
      </c>
      <c r="C5577" t="str">
        <f t="shared" ref="C5577:C5601" si="324">"246"</f>
        <v>246</v>
      </c>
      <c r="D5577" t="str">
        <f>"17"</f>
        <v>17</v>
      </c>
      <c r="E5577" t="str">
        <f>"1-246-17"</f>
        <v>1-246-17</v>
      </c>
      <c r="F5577" t="s">
        <v>83</v>
      </c>
      <c r="G5577" t="s">
        <v>84</v>
      </c>
      <c r="H5577" t="s">
        <v>92</v>
      </c>
      <c r="I5577">
        <v>1</v>
      </c>
      <c r="J5577">
        <v>1</v>
      </c>
      <c r="N5577">
        <v>1</v>
      </c>
      <c r="O5577">
        <v>1</v>
      </c>
      <c r="P5577">
        <v>1</v>
      </c>
      <c r="Q5577">
        <v>1</v>
      </c>
      <c r="R5577">
        <v>1</v>
      </c>
      <c r="S5577">
        <v>1</v>
      </c>
      <c r="T5577">
        <v>1</v>
      </c>
      <c r="W5577">
        <v>1</v>
      </c>
      <c r="X5577">
        <v>1</v>
      </c>
      <c r="Y5577">
        <v>1</v>
      </c>
      <c r="Z5577">
        <v>1</v>
      </c>
      <c r="AA5577">
        <v>1</v>
      </c>
      <c r="AB5577">
        <v>1</v>
      </c>
    </row>
    <row r="5578" spans="1:49" x14ac:dyDescent="0.25">
      <c r="A5578" t="str">
        <f>"5574"</f>
        <v>5574</v>
      </c>
      <c r="B5578" t="str">
        <f t="shared" si="322"/>
        <v>1</v>
      </c>
      <c r="C5578" t="str">
        <f t="shared" si="324"/>
        <v>246</v>
      </c>
      <c r="D5578" t="str">
        <f>"16"</f>
        <v>16</v>
      </c>
      <c r="E5578" t="str">
        <f>"1-246-16"</f>
        <v>1-246-16</v>
      </c>
      <c r="F5578" t="s">
        <v>83</v>
      </c>
      <c r="G5578" t="s">
        <v>84</v>
      </c>
      <c r="H5578" t="s">
        <v>85</v>
      </c>
      <c r="AC5578">
        <v>1</v>
      </c>
      <c r="AD5578">
        <v>0</v>
      </c>
      <c r="AE5578">
        <v>0</v>
      </c>
      <c r="AF5578">
        <v>0</v>
      </c>
      <c r="AG5578">
        <v>0</v>
      </c>
      <c r="AJ5578">
        <v>1</v>
      </c>
      <c r="AK5578">
        <v>0</v>
      </c>
      <c r="AL5578">
        <v>1</v>
      </c>
      <c r="AM5578">
        <v>0</v>
      </c>
      <c r="AN5578">
        <v>0</v>
      </c>
      <c r="AO5578">
        <v>0</v>
      </c>
      <c r="AP5578">
        <v>0</v>
      </c>
      <c r="AQ5578">
        <v>0</v>
      </c>
      <c r="AR5578">
        <v>0</v>
      </c>
      <c r="AS5578">
        <v>0</v>
      </c>
      <c r="AT5578">
        <v>0</v>
      </c>
      <c r="AV5578">
        <v>0</v>
      </c>
      <c r="AW5578">
        <v>0</v>
      </c>
    </row>
    <row r="5579" spans="1:49" x14ac:dyDescent="0.25">
      <c r="A5579" t="str">
        <f>"5575"</f>
        <v>5575</v>
      </c>
      <c r="B5579" t="str">
        <f t="shared" si="322"/>
        <v>1</v>
      </c>
      <c r="C5579" t="str">
        <f t="shared" si="324"/>
        <v>246</v>
      </c>
      <c r="D5579" t="str">
        <f>"13"</f>
        <v>13</v>
      </c>
      <c r="E5579" t="str">
        <f>"1-246-13"</f>
        <v>1-246-13</v>
      </c>
      <c r="F5579" t="s">
        <v>83</v>
      </c>
      <c r="G5579" t="s">
        <v>84</v>
      </c>
      <c r="H5579" t="s">
        <v>85</v>
      </c>
      <c r="AC5579">
        <v>0</v>
      </c>
      <c r="AD5579">
        <v>1</v>
      </c>
      <c r="AE5579">
        <v>0</v>
      </c>
      <c r="AF5579">
        <v>0</v>
      </c>
      <c r="AG5579">
        <v>1</v>
      </c>
      <c r="AJ5579">
        <v>0</v>
      </c>
      <c r="AK5579">
        <v>1</v>
      </c>
      <c r="AL5579">
        <v>0</v>
      </c>
      <c r="AM5579">
        <v>1</v>
      </c>
      <c r="AN5579">
        <v>0</v>
      </c>
      <c r="AO5579">
        <v>1</v>
      </c>
      <c r="AP5579">
        <v>1</v>
      </c>
      <c r="AQ5579">
        <v>1</v>
      </c>
      <c r="AR5579">
        <v>1</v>
      </c>
      <c r="AS5579">
        <v>0</v>
      </c>
      <c r="AT5579">
        <v>1</v>
      </c>
      <c r="AV5579">
        <v>1</v>
      </c>
      <c r="AW5579">
        <v>1</v>
      </c>
    </row>
    <row r="5580" spans="1:49" x14ac:dyDescent="0.25">
      <c r="A5580" t="str">
        <f>"5576"</f>
        <v>5576</v>
      </c>
      <c r="B5580" t="str">
        <f t="shared" si="322"/>
        <v>1</v>
      </c>
      <c r="C5580" t="str">
        <f t="shared" si="324"/>
        <v>246</v>
      </c>
      <c r="D5580" t="str">
        <f>"8"</f>
        <v>8</v>
      </c>
      <c r="E5580" t="str">
        <f>"1-246-8"</f>
        <v>1-246-8</v>
      </c>
      <c r="F5580" t="s">
        <v>83</v>
      </c>
      <c r="G5580" t="s">
        <v>86</v>
      </c>
      <c r="H5580" t="s">
        <v>87</v>
      </c>
      <c r="AC5580">
        <v>0</v>
      </c>
      <c r="AD5580">
        <v>0</v>
      </c>
      <c r="AE5580">
        <v>0</v>
      </c>
      <c r="AF5580">
        <v>0</v>
      </c>
      <c r="AH5580">
        <v>0</v>
      </c>
      <c r="AI5580">
        <v>1</v>
      </c>
      <c r="AJ5580">
        <v>1</v>
      </c>
      <c r="AK5580">
        <v>0</v>
      </c>
      <c r="AL5580">
        <v>0</v>
      </c>
      <c r="AM5580">
        <v>0</v>
      </c>
      <c r="AN5580">
        <v>1</v>
      </c>
      <c r="AO5580">
        <v>0</v>
      </c>
      <c r="AP5580">
        <v>0</v>
      </c>
      <c r="AQ5580">
        <v>0</v>
      </c>
      <c r="AU5580">
        <v>0</v>
      </c>
      <c r="AV5580">
        <v>0</v>
      </c>
      <c r="AW5580">
        <v>0</v>
      </c>
    </row>
    <row r="5581" spans="1:49" x14ac:dyDescent="0.25">
      <c r="A5581" t="str">
        <f>"5577"</f>
        <v>5577</v>
      </c>
      <c r="B5581" t="str">
        <f t="shared" si="322"/>
        <v>1</v>
      </c>
      <c r="C5581" t="str">
        <f t="shared" si="324"/>
        <v>246</v>
      </c>
      <c r="D5581" t="str">
        <f>"1"</f>
        <v>1</v>
      </c>
      <c r="E5581" t="str">
        <f>"1-246-1"</f>
        <v>1-246-1</v>
      </c>
      <c r="F5581" t="s">
        <v>83</v>
      </c>
      <c r="G5581" t="s">
        <v>84</v>
      </c>
      <c r="H5581" t="s">
        <v>92</v>
      </c>
      <c r="I5581">
        <v>1</v>
      </c>
      <c r="J5581">
        <v>1</v>
      </c>
      <c r="N5581">
        <v>1</v>
      </c>
      <c r="O5581">
        <v>1</v>
      </c>
      <c r="P5581">
        <v>1</v>
      </c>
      <c r="Q5581">
        <v>1</v>
      </c>
      <c r="R5581">
        <v>1</v>
      </c>
      <c r="S5581">
        <v>1</v>
      </c>
      <c r="T5581">
        <v>1</v>
      </c>
      <c r="W5581">
        <v>1</v>
      </c>
      <c r="X5581">
        <v>1</v>
      </c>
      <c r="Y5581">
        <v>1</v>
      </c>
      <c r="Z5581">
        <v>1</v>
      </c>
      <c r="AA5581">
        <v>1</v>
      </c>
      <c r="AB5581">
        <v>1</v>
      </c>
    </row>
    <row r="5582" spans="1:49" x14ac:dyDescent="0.25">
      <c r="A5582" t="str">
        <f>"5578"</f>
        <v>5578</v>
      </c>
      <c r="B5582" t="str">
        <f t="shared" si="322"/>
        <v>1</v>
      </c>
      <c r="C5582" t="str">
        <f t="shared" si="324"/>
        <v>246</v>
      </c>
      <c r="D5582" t="str">
        <f>"25"</f>
        <v>25</v>
      </c>
      <c r="E5582" t="str">
        <f>"1-246-25"</f>
        <v>1-246-25</v>
      </c>
      <c r="F5582" t="s">
        <v>83</v>
      </c>
      <c r="G5582" t="s">
        <v>86</v>
      </c>
      <c r="H5582" t="s">
        <v>93</v>
      </c>
      <c r="I5582">
        <v>1</v>
      </c>
      <c r="K5582">
        <v>0</v>
      </c>
      <c r="L5582">
        <v>0</v>
      </c>
      <c r="M5582">
        <v>1</v>
      </c>
      <c r="N5582">
        <v>1</v>
      </c>
      <c r="O5582">
        <v>1</v>
      </c>
      <c r="P5582">
        <v>1</v>
      </c>
      <c r="Q5582">
        <v>1</v>
      </c>
      <c r="R5582">
        <v>1</v>
      </c>
      <c r="U5582">
        <v>0</v>
      </c>
      <c r="V5582">
        <v>1</v>
      </c>
      <c r="W5582">
        <v>1</v>
      </c>
      <c r="X5582">
        <v>1</v>
      </c>
      <c r="Y5582">
        <v>1</v>
      </c>
      <c r="Z5582">
        <v>1</v>
      </c>
      <c r="AA5582">
        <v>1</v>
      </c>
      <c r="AB5582">
        <v>1</v>
      </c>
    </row>
    <row r="5583" spans="1:49" x14ac:dyDescent="0.25">
      <c r="A5583" t="str">
        <f>"5579"</f>
        <v>5579</v>
      </c>
      <c r="B5583" t="str">
        <f t="shared" si="322"/>
        <v>1</v>
      </c>
      <c r="C5583" t="str">
        <f t="shared" si="324"/>
        <v>246</v>
      </c>
      <c r="D5583" t="str">
        <f>"24"</f>
        <v>24</v>
      </c>
      <c r="E5583" t="str">
        <f>"1-246-24"</f>
        <v>1-246-24</v>
      </c>
      <c r="F5583" t="s">
        <v>83</v>
      </c>
      <c r="G5583" t="s">
        <v>86</v>
      </c>
      <c r="H5583" t="s">
        <v>87</v>
      </c>
      <c r="AC5583">
        <v>0</v>
      </c>
      <c r="AD5583">
        <v>1</v>
      </c>
      <c r="AE5583">
        <v>0</v>
      </c>
      <c r="AF5583">
        <v>0</v>
      </c>
      <c r="AH5583">
        <v>0</v>
      </c>
      <c r="AI5583">
        <v>1</v>
      </c>
      <c r="AJ5583">
        <v>0</v>
      </c>
      <c r="AK5583">
        <v>1</v>
      </c>
      <c r="AL5583">
        <v>0</v>
      </c>
      <c r="AM5583">
        <v>0</v>
      </c>
      <c r="AN5583">
        <v>1</v>
      </c>
      <c r="AO5583">
        <v>1</v>
      </c>
      <c r="AP5583">
        <v>1</v>
      </c>
      <c r="AQ5583">
        <v>1</v>
      </c>
      <c r="AU5583">
        <v>1</v>
      </c>
      <c r="AV5583">
        <v>1</v>
      </c>
      <c r="AW5583">
        <v>1</v>
      </c>
    </row>
    <row r="5584" spans="1:49" x14ac:dyDescent="0.25">
      <c r="A5584" t="str">
        <f>"5580"</f>
        <v>5580</v>
      </c>
      <c r="B5584" t="str">
        <f t="shared" si="322"/>
        <v>1</v>
      </c>
      <c r="C5584" t="str">
        <f t="shared" si="324"/>
        <v>246</v>
      </c>
      <c r="D5584" t="str">
        <f>"15"</f>
        <v>15</v>
      </c>
      <c r="E5584" t="str">
        <f>"1-246-15"</f>
        <v>1-246-15</v>
      </c>
      <c r="F5584" t="s">
        <v>83</v>
      </c>
      <c r="G5584" t="s">
        <v>84</v>
      </c>
      <c r="H5584" t="s">
        <v>92</v>
      </c>
      <c r="I5584">
        <v>1</v>
      </c>
      <c r="J5584">
        <v>1</v>
      </c>
      <c r="N5584">
        <v>1</v>
      </c>
      <c r="O5584">
        <v>1</v>
      </c>
      <c r="P5584">
        <v>1</v>
      </c>
      <c r="Q5584">
        <v>1</v>
      </c>
      <c r="R5584">
        <v>1</v>
      </c>
      <c r="S5584">
        <v>1</v>
      </c>
      <c r="T5584">
        <v>1</v>
      </c>
      <c r="W5584">
        <v>1</v>
      </c>
      <c r="X5584">
        <v>1</v>
      </c>
      <c r="Y5584">
        <v>1</v>
      </c>
      <c r="Z5584">
        <v>1</v>
      </c>
      <c r="AA5584">
        <v>1</v>
      </c>
      <c r="AB5584">
        <v>1</v>
      </c>
    </row>
    <row r="5585" spans="1:49" x14ac:dyDescent="0.25">
      <c r="A5585" t="str">
        <f>"5581"</f>
        <v>5581</v>
      </c>
      <c r="B5585" t="str">
        <f t="shared" si="322"/>
        <v>1</v>
      </c>
      <c r="C5585" t="str">
        <f t="shared" si="324"/>
        <v>246</v>
      </c>
      <c r="D5585" t="str">
        <f>"9"</f>
        <v>9</v>
      </c>
      <c r="E5585" t="str">
        <f>"1-246-9"</f>
        <v>1-246-9</v>
      </c>
      <c r="F5585" t="s">
        <v>83</v>
      </c>
      <c r="G5585" t="s">
        <v>86</v>
      </c>
      <c r="H5585" t="s">
        <v>93</v>
      </c>
      <c r="I5585">
        <v>1</v>
      </c>
      <c r="K5585">
        <v>1</v>
      </c>
      <c r="L5585">
        <v>0</v>
      </c>
      <c r="M5585">
        <v>0</v>
      </c>
      <c r="N5585">
        <v>1</v>
      </c>
      <c r="O5585">
        <v>1</v>
      </c>
      <c r="P5585">
        <v>1</v>
      </c>
      <c r="Q5585">
        <v>1</v>
      </c>
      <c r="R5585">
        <v>1</v>
      </c>
      <c r="U5585">
        <v>0</v>
      </c>
      <c r="V5585">
        <v>1</v>
      </c>
      <c r="W5585">
        <v>1</v>
      </c>
      <c r="X5585">
        <v>1</v>
      </c>
      <c r="Y5585">
        <v>1</v>
      </c>
      <c r="Z5585">
        <v>1</v>
      </c>
      <c r="AA5585">
        <v>1</v>
      </c>
      <c r="AB5585">
        <v>1</v>
      </c>
    </row>
    <row r="5586" spans="1:49" x14ac:dyDescent="0.25">
      <c r="A5586" t="str">
        <f>"5582"</f>
        <v>5582</v>
      </c>
      <c r="B5586" t="str">
        <f t="shared" si="322"/>
        <v>1</v>
      </c>
      <c r="C5586" t="str">
        <f t="shared" si="324"/>
        <v>246</v>
      </c>
      <c r="D5586" t="str">
        <f>"5"</f>
        <v>5</v>
      </c>
      <c r="E5586" t="str">
        <f>"1-246-5"</f>
        <v>1-246-5</v>
      </c>
      <c r="F5586" t="s">
        <v>83</v>
      </c>
      <c r="G5586" t="s">
        <v>84</v>
      </c>
      <c r="H5586" t="s">
        <v>92</v>
      </c>
      <c r="I5586">
        <v>1</v>
      </c>
      <c r="J5586">
        <v>1</v>
      </c>
      <c r="N5586">
        <v>1</v>
      </c>
      <c r="O5586">
        <v>1</v>
      </c>
      <c r="P5586">
        <v>1</v>
      </c>
      <c r="Q5586">
        <v>1</v>
      </c>
      <c r="R5586">
        <v>1</v>
      </c>
      <c r="S5586">
        <v>1</v>
      </c>
      <c r="T5586">
        <v>1</v>
      </c>
      <c r="W5586">
        <v>1</v>
      </c>
      <c r="X5586">
        <v>1</v>
      </c>
      <c r="Y5586">
        <v>1</v>
      </c>
      <c r="Z5586">
        <v>1</v>
      </c>
      <c r="AA5586">
        <v>1</v>
      </c>
      <c r="AB5586">
        <v>1</v>
      </c>
    </row>
    <row r="5587" spans="1:49" x14ac:dyDescent="0.25">
      <c r="A5587" t="str">
        <f>"5583"</f>
        <v>5583</v>
      </c>
      <c r="B5587" t="str">
        <f t="shared" si="322"/>
        <v>1</v>
      </c>
      <c r="C5587" t="str">
        <f t="shared" si="324"/>
        <v>246</v>
      </c>
      <c r="D5587" t="str">
        <f>"23"</f>
        <v>23</v>
      </c>
      <c r="E5587" t="str">
        <f>"1-246-23"</f>
        <v>1-246-23</v>
      </c>
      <c r="F5587" t="s">
        <v>83</v>
      </c>
      <c r="G5587" t="s">
        <v>86</v>
      </c>
      <c r="H5587" t="s">
        <v>93</v>
      </c>
      <c r="I5587">
        <v>1</v>
      </c>
      <c r="K5587">
        <v>0</v>
      </c>
      <c r="L5587">
        <v>0</v>
      </c>
      <c r="M5587">
        <v>1</v>
      </c>
      <c r="N5587">
        <v>1</v>
      </c>
      <c r="O5587">
        <v>1</v>
      </c>
      <c r="P5587">
        <v>1</v>
      </c>
      <c r="Q5587">
        <v>1</v>
      </c>
      <c r="R5587">
        <v>1</v>
      </c>
      <c r="U5587">
        <v>0</v>
      </c>
      <c r="V5587">
        <v>1</v>
      </c>
      <c r="W5587">
        <v>1</v>
      </c>
      <c r="X5587">
        <v>1</v>
      </c>
      <c r="Y5587">
        <v>1</v>
      </c>
      <c r="Z5587">
        <v>1</v>
      </c>
      <c r="AA5587">
        <v>1</v>
      </c>
      <c r="AB5587">
        <v>1</v>
      </c>
    </row>
    <row r="5588" spans="1:49" x14ac:dyDescent="0.25">
      <c r="A5588" t="str">
        <f>"5584"</f>
        <v>5584</v>
      </c>
      <c r="B5588" t="str">
        <f t="shared" si="322"/>
        <v>1</v>
      </c>
      <c r="C5588" t="str">
        <f t="shared" si="324"/>
        <v>246</v>
      </c>
      <c r="D5588" t="str">
        <f>"22"</f>
        <v>22</v>
      </c>
      <c r="E5588" t="str">
        <f>"1-246-22"</f>
        <v>1-246-22</v>
      </c>
      <c r="F5588" t="s">
        <v>83</v>
      </c>
      <c r="G5588" t="s">
        <v>86</v>
      </c>
      <c r="H5588" t="s">
        <v>93</v>
      </c>
      <c r="I5588">
        <v>1</v>
      </c>
      <c r="K5588">
        <v>0</v>
      </c>
      <c r="L5588">
        <v>0</v>
      </c>
      <c r="M5588">
        <v>1</v>
      </c>
      <c r="N5588">
        <v>1</v>
      </c>
      <c r="O5588">
        <v>1</v>
      </c>
      <c r="P5588">
        <v>1</v>
      </c>
      <c r="Q5588">
        <v>1</v>
      </c>
      <c r="R5588">
        <v>1</v>
      </c>
      <c r="U5588">
        <v>0</v>
      </c>
      <c r="V5588">
        <v>1</v>
      </c>
      <c r="W5588">
        <v>1</v>
      </c>
      <c r="X5588">
        <v>1</v>
      </c>
      <c r="Y5588">
        <v>1</v>
      </c>
      <c r="Z5588">
        <v>1</v>
      </c>
      <c r="AA5588">
        <v>1</v>
      </c>
      <c r="AB5588">
        <v>1</v>
      </c>
    </row>
    <row r="5589" spans="1:49" x14ac:dyDescent="0.25">
      <c r="A5589" t="str">
        <f>"5585"</f>
        <v>5585</v>
      </c>
      <c r="B5589" t="str">
        <f t="shared" si="322"/>
        <v>1</v>
      </c>
      <c r="C5589" t="str">
        <f t="shared" si="324"/>
        <v>246</v>
      </c>
      <c r="D5589" t="str">
        <f>"14"</f>
        <v>14</v>
      </c>
      <c r="E5589" t="str">
        <f>"1-246-14"</f>
        <v>1-246-14</v>
      </c>
      <c r="F5589" t="s">
        <v>83</v>
      </c>
      <c r="G5589" t="s">
        <v>84</v>
      </c>
      <c r="H5589" t="s">
        <v>92</v>
      </c>
      <c r="I5589">
        <v>1</v>
      </c>
      <c r="J5589">
        <v>1</v>
      </c>
      <c r="N5589">
        <v>1</v>
      </c>
      <c r="O5589">
        <v>1</v>
      </c>
      <c r="P5589">
        <v>1</v>
      </c>
      <c r="Q5589">
        <v>1</v>
      </c>
      <c r="R5589">
        <v>1</v>
      </c>
      <c r="S5589">
        <v>1</v>
      </c>
      <c r="T5589">
        <v>1</v>
      </c>
      <c r="W5589">
        <v>1</v>
      </c>
      <c r="X5589">
        <v>1</v>
      </c>
      <c r="Y5589">
        <v>1</v>
      </c>
      <c r="Z5589">
        <v>1</v>
      </c>
      <c r="AA5589">
        <v>1</v>
      </c>
      <c r="AB5589">
        <v>1</v>
      </c>
    </row>
    <row r="5590" spans="1:49" x14ac:dyDescent="0.25">
      <c r="A5590" t="str">
        <f>"5586"</f>
        <v>5586</v>
      </c>
      <c r="B5590" t="str">
        <f t="shared" si="322"/>
        <v>1</v>
      </c>
      <c r="C5590" t="str">
        <f t="shared" si="324"/>
        <v>246</v>
      </c>
      <c r="D5590" t="str">
        <f>"10"</f>
        <v>10</v>
      </c>
      <c r="E5590" t="str">
        <f>"1-246-10"</f>
        <v>1-246-10</v>
      </c>
      <c r="F5590" t="s">
        <v>83</v>
      </c>
      <c r="G5590" t="s">
        <v>84</v>
      </c>
      <c r="H5590" t="s">
        <v>85</v>
      </c>
      <c r="AC5590">
        <v>0</v>
      </c>
      <c r="AD5590">
        <v>1</v>
      </c>
      <c r="AE5590">
        <v>0</v>
      </c>
      <c r="AF5590">
        <v>0</v>
      </c>
      <c r="AG5590">
        <v>0</v>
      </c>
      <c r="AJ5590">
        <v>0</v>
      </c>
      <c r="AK5590">
        <v>1</v>
      </c>
      <c r="AL5590">
        <v>0</v>
      </c>
      <c r="AM5590">
        <v>0</v>
      </c>
      <c r="AN5590">
        <v>1</v>
      </c>
      <c r="AO5590">
        <v>0</v>
      </c>
      <c r="AP5590">
        <v>0</v>
      </c>
      <c r="AQ5590">
        <v>0</v>
      </c>
      <c r="AR5590">
        <v>0</v>
      </c>
      <c r="AS5590">
        <v>0</v>
      </c>
      <c r="AT5590">
        <v>0</v>
      </c>
      <c r="AV5590">
        <v>0</v>
      </c>
      <c r="AW5590">
        <v>1</v>
      </c>
    </row>
    <row r="5591" spans="1:49" x14ac:dyDescent="0.25">
      <c r="A5591" t="str">
        <f>"5587"</f>
        <v>5587</v>
      </c>
      <c r="B5591" t="str">
        <f t="shared" si="322"/>
        <v>1</v>
      </c>
      <c r="C5591" t="str">
        <f t="shared" si="324"/>
        <v>246</v>
      </c>
      <c r="D5591" t="str">
        <f>"4"</f>
        <v>4</v>
      </c>
      <c r="E5591" t="str">
        <f>"1-246-4"</f>
        <v>1-246-4</v>
      </c>
      <c r="F5591" t="s">
        <v>83</v>
      </c>
      <c r="G5591" t="s">
        <v>84</v>
      </c>
      <c r="H5591" t="s">
        <v>92</v>
      </c>
      <c r="I5591">
        <v>1</v>
      </c>
      <c r="J5591">
        <v>1</v>
      </c>
      <c r="N5591">
        <v>1</v>
      </c>
      <c r="O5591">
        <v>1</v>
      </c>
      <c r="P5591">
        <v>1</v>
      </c>
      <c r="Q5591">
        <v>1</v>
      </c>
      <c r="R5591">
        <v>1</v>
      </c>
      <c r="S5591">
        <v>1</v>
      </c>
      <c r="T5591">
        <v>1</v>
      </c>
      <c r="W5591">
        <v>1</v>
      </c>
      <c r="X5591">
        <v>1</v>
      </c>
      <c r="Y5591">
        <v>1</v>
      </c>
      <c r="Z5591">
        <v>1</v>
      </c>
      <c r="AA5591">
        <v>1</v>
      </c>
      <c r="AB5591">
        <v>1</v>
      </c>
    </row>
    <row r="5592" spans="1:49" x14ac:dyDescent="0.25">
      <c r="A5592" t="str">
        <f>"5588"</f>
        <v>5588</v>
      </c>
      <c r="B5592" t="str">
        <f t="shared" si="322"/>
        <v>1</v>
      </c>
      <c r="C5592" t="str">
        <f t="shared" si="324"/>
        <v>246</v>
      </c>
      <c r="D5592" t="str">
        <f>"18"</f>
        <v>18</v>
      </c>
      <c r="E5592" t="str">
        <f>"1-246-18"</f>
        <v>1-246-18</v>
      </c>
      <c r="F5592" t="s">
        <v>83</v>
      </c>
      <c r="G5592" t="s">
        <v>86</v>
      </c>
      <c r="H5592" t="s">
        <v>93</v>
      </c>
      <c r="I5592">
        <v>1</v>
      </c>
      <c r="K5592">
        <v>0</v>
      </c>
      <c r="L5592">
        <v>0</v>
      </c>
      <c r="M5592">
        <v>1</v>
      </c>
      <c r="N5592">
        <v>1</v>
      </c>
      <c r="O5592">
        <v>1</v>
      </c>
      <c r="P5592">
        <v>1</v>
      </c>
      <c r="Q5592">
        <v>1</v>
      </c>
      <c r="R5592">
        <v>1</v>
      </c>
      <c r="U5592">
        <v>0</v>
      </c>
      <c r="V5592">
        <v>1</v>
      </c>
      <c r="W5592">
        <v>1</v>
      </c>
      <c r="X5592">
        <v>1</v>
      </c>
      <c r="Y5592">
        <v>1</v>
      </c>
      <c r="Z5592">
        <v>1</v>
      </c>
      <c r="AA5592">
        <v>1</v>
      </c>
      <c r="AB5592">
        <v>1</v>
      </c>
    </row>
    <row r="5593" spans="1:49" x14ac:dyDescent="0.25">
      <c r="A5593" t="str">
        <f>"5589"</f>
        <v>5589</v>
      </c>
      <c r="B5593" t="str">
        <f t="shared" si="322"/>
        <v>1</v>
      </c>
      <c r="C5593" t="str">
        <f t="shared" si="324"/>
        <v>246</v>
      </c>
      <c r="D5593" t="str">
        <f>"11"</f>
        <v>11</v>
      </c>
      <c r="E5593" t="str">
        <f>"1-246-11"</f>
        <v>1-246-11</v>
      </c>
      <c r="F5593" t="s">
        <v>83</v>
      </c>
      <c r="G5593" t="s">
        <v>84</v>
      </c>
      <c r="H5593" t="s">
        <v>92</v>
      </c>
      <c r="I5593">
        <v>1</v>
      </c>
      <c r="J5593">
        <v>1</v>
      </c>
      <c r="N5593">
        <v>1</v>
      </c>
      <c r="O5593">
        <v>1</v>
      </c>
      <c r="P5593">
        <v>1</v>
      </c>
      <c r="Q5593">
        <v>1</v>
      </c>
      <c r="R5593">
        <v>1</v>
      </c>
      <c r="S5593">
        <v>1</v>
      </c>
      <c r="T5593">
        <v>1</v>
      </c>
      <c r="W5593">
        <v>1</v>
      </c>
      <c r="X5593">
        <v>1</v>
      </c>
      <c r="Y5593">
        <v>1</v>
      </c>
      <c r="Z5593">
        <v>1</v>
      </c>
      <c r="AA5593">
        <v>1</v>
      </c>
      <c r="AB5593">
        <v>1</v>
      </c>
    </row>
    <row r="5594" spans="1:49" x14ac:dyDescent="0.25">
      <c r="A5594" t="str">
        <f>"5590"</f>
        <v>5590</v>
      </c>
      <c r="B5594" t="str">
        <f t="shared" si="322"/>
        <v>1</v>
      </c>
      <c r="C5594" t="str">
        <f t="shared" si="324"/>
        <v>246</v>
      </c>
      <c r="D5594" t="str">
        <f>"7"</f>
        <v>7</v>
      </c>
      <c r="E5594" t="str">
        <f>"1-246-7"</f>
        <v>1-246-7</v>
      </c>
      <c r="F5594" t="s">
        <v>83</v>
      </c>
      <c r="G5594" t="s">
        <v>86</v>
      </c>
      <c r="H5594" t="s">
        <v>87</v>
      </c>
      <c r="AC5594">
        <v>0</v>
      </c>
      <c r="AD5594">
        <v>1</v>
      </c>
      <c r="AE5594">
        <v>0</v>
      </c>
      <c r="AF5594">
        <v>0</v>
      </c>
      <c r="AH5594">
        <v>0</v>
      </c>
      <c r="AI5594">
        <v>1</v>
      </c>
      <c r="AJ5594">
        <v>1</v>
      </c>
      <c r="AK5594">
        <v>0</v>
      </c>
      <c r="AL5594">
        <v>0</v>
      </c>
      <c r="AM5594">
        <v>1</v>
      </c>
      <c r="AN5594">
        <v>0</v>
      </c>
      <c r="AO5594">
        <v>1</v>
      </c>
      <c r="AP5594">
        <v>1</v>
      </c>
      <c r="AQ5594">
        <v>1</v>
      </c>
      <c r="AU5594">
        <v>1</v>
      </c>
      <c r="AV5594">
        <v>1</v>
      </c>
      <c r="AW5594">
        <v>1</v>
      </c>
    </row>
    <row r="5595" spans="1:49" x14ac:dyDescent="0.25">
      <c r="A5595" t="str">
        <f>"5591"</f>
        <v>5591</v>
      </c>
      <c r="B5595" t="str">
        <f t="shared" si="322"/>
        <v>1</v>
      </c>
      <c r="C5595" t="str">
        <f t="shared" si="324"/>
        <v>246</v>
      </c>
      <c r="D5595" t="str">
        <f>"20"</f>
        <v>20</v>
      </c>
      <c r="E5595" t="str">
        <f>"1-246-20"</f>
        <v>1-246-20</v>
      </c>
      <c r="F5595" t="s">
        <v>83</v>
      </c>
      <c r="G5595" t="s">
        <v>86</v>
      </c>
      <c r="H5595" t="s">
        <v>87</v>
      </c>
      <c r="AC5595">
        <v>0</v>
      </c>
      <c r="AD5595">
        <v>1</v>
      </c>
      <c r="AE5595">
        <v>0</v>
      </c>
      <c r="AF5595">
        <v>0</v>
      </c>
      <c r="AH5595">
        <v>0</v>
      </c>
      <c r="AI5595">
        <v>1</v>
      </c>
      <c r="AJ5595">
        <v>1</v>
      </c>
      <c r="AK5595">
        <v>0</v>
      </c>
      <c r="AL5595">
        <v>0</v>
      </c>
      <c r="AM5595">
        <v>0</v>
      </c>
      <c r="AN5595">
        <v>1</v>
      </c>
      <c r="AO5595">
        <v>0</v>
      </c>
      <c r="AP5595">
        <v>0</v>
      </c>
      <c r="AQ5595">
        <v>0</v>
      </c>
      <c r="AU5595">
        <v>0</v>
      </c>
      <c r="AV5595">
        <v>0</v>
      </c>
      <c r="AW5595">
        <v>0</v>
      </c>
    </row>
    <row r="5596" spans="1:49" x14ac:dyDescent="0.25">
      <c r="A5596" t="str">
        <f>"5592"</f>
        <v>5592</v>
      </c>
      <c r="B5596" t="str">
        <f t="shared" si="322"/>
        <v>1</v>
      </c>
      <c r="C5596" t="str">
        <f t="shared" si="324"/>
        <v>246</v>
      </c>
      <c r="D5596" t="str">
        <f>"12"</f>
        <v>12</v>
      </c>
      <c r="E5596" t="str">
        <f>"1-246-12"</f>
        <v>1-246-12</v>
      </c>
      <c r="F5596" t="s">
        <v>83</v>
      </c>
      <c r="G5596" t="s">
        <v>84</v>
      </c>
      <c r="H5596" t="s">
        <v>92</v>
      </c>
      <c r="I5596">
        <v>0</v>
      </c>
      <c r="J5596">
        <v>1</v>
      </c>
      <c r="N5596">
        <v>1</v>
      </c>
      <c r="O5596">
        <v>1</v>
      </c>
      <c r="P5596">
        <v>1</v>
      </c>
      <c r="Q5596">
        <v>1</v>
      </c>
      <c r="R5596">
        <v>1</v>
      </c>
      <c r="S5596">
        <v>1</v>
      </c>
      <c r="T5596">
        <v>1</v>
      </c>
      <c r="W5596">
        <v>1</v>
      </c>
      <c r="X5596">
        <v>1</v>
      </c>
      <c r="Y5596">
        <v>1</v>
      </c>
      <c r="Z5596">
        <v>1</v>
      </c>
      <c r="AA5596">
        <v>1</v>
      </c>
      <c r="AB5596">
        <v>0</v>
      </c>
    </row>
    <row r="5597" spans="1:49" x14ac:dyDescent="0.25">
      <c r="A5597" t="str">
        <f>"5593"</f>
        <v>5593</v>
      </c>
      <c r="B5597" t="str">
        <f t="shared" si="322"/>
        <v>1</v>
      </c>
      <c r="C5597" t="str">
        <f t="shared" si="324"/>
        <v>246</v>
      </c>
      <c r="D5597" t="str">
        <f>"3"</f>
        <v>3</v>
      </c>
      <c r="E5597" t="str">
        <f>"1-246-3"</f>
        <v>1-246-3</v>
      </c>
      <c r="F5597" t="s">
        <v>83</v>
      </c>
      <c r="G5597" t="s">
        <v>84</v>
      </c>
      <c r="H5597" t="s">
        <v>85</v>
      </c>
      <c r="AC5597">
        <v>0</v>
      </c>
      <c r="AD5597">
        <v>1</v>
      </c>
      <c r="AE5597">
        <v>0</v>
      </c>
      <c r="AF5597">
        <v>0</v>
      </c>
      <c r="AG5597">
        <v>0</v>
      </c>
      <c r="AJ5597">
        <v>0</v>
      </c>
      <c r="AK5597">
        <v>1</v>
      </c>
      <c r="AL5597">
        <v>0</v>
      </c>
      <c r="AM5597">
        <v>0</v>
      </c>
      <c r="AN5597">
        <v>1</v>
      </c>
      <c r="AO5597">
        <v>0</v>
      </c>
      <c r="AP5597">
        <v>0</v>
      </c>
      <c r="AQ5597">
        <v>0</v>
      </c>
      <c r="AR5597">
        <v>0</v>
      </c>
      <c r="AS5597">
        <v>1</v>
      </c>
      <c r="AT5597">
        <v>0</v>
      </c>
      <c r="AV5597">
        <v>0</v>
      </c>
      <c r="AW5597">
        <v>0</v>
      </c>
    </row>
    <row r="5598" spans="1:49" x14ac:dyDescent="0.25">
      <c r="A5598" t="str">
        <f>"5594"</f>
        <v>5594</v>
      </c>
      <c r="B5598" t="str">
        <f t="shared" ref="B5598:B5661" si="325">"1"</f>
        <v>1</v>
      </c>
      <c r="C5598" t="str">
        <f t="shared" si="324"/>
        <v>246</v>
      </c>
      <c r="D5598" t="str">
        <f>"6"</f>
        <v>6</v>
      </c>
      <c r="E5598" t="str">
        <f>"1-246-6"</f>
        <v>1-246-6</v>
      </c>
      <c r="F5598" t="s">
        <v>83</v>
      </c>
      <c r="G5598" t="s">
        <v>90</v>
      </c>
      <c r="H5598" t="s">
        <v>91</v>
      </c>
      <c r="AC5598">
        <v>0</v>
      </c>
      <c r="AD5598">
        <v>1</v>
      </c>
      <c r="AE5598">
        <v>0</v>
      </c>
      <c r="AF5598">
        <v>0</v>
      </c>
      <c r="AH5598">
        <v>1</v>
      </c>
      <c r="AI5598">
        <v>0</v>
      </c>
      <c r="AJ5598">
        <v>0</v>
      </c>
      <c r="AK5598">
        <v>1</v>
      </c>
      <c r="AL5598">
        <v>1</v>
      </c>
      <c r="AM5598">
        <v>0</v>
      </c>
      <c r="AN5598">
        <v>0</v>
      </c>
      <c r="AO5598">
        <v>1</v>
      </c>
      <c r="AP5598">
        <v>1</v>
      </c>
      <c r="AQ5598">
        <v>1</v>
      </c>
      <c r="AR5598">
        <v>1</v>
      </c>
      <c r="AU5598">
        <v>1</v>
      </c>
      <c r="AV5598">
        <v>1</v>
      </c>
      <c r="AW5598">
        <v>0</v>
      </c>
    </row>
    <row r="5599" spans="1:49" x14ac:dyDescent="0.25">
      <c r="A5599" t="str">
        <f>"5595"</f>
        <v>5595</v>
      </c>
      <c r="B5599" t="str">
        <f t="shared" si="325"/>
        <v>1</v>
      </c>
      <c r="C5599" t="str">
        <f t="shared" si="324"/>
        <v>246</v>
      </c>
      <c r="D5599" t="str">
        <f>"21"</f>
        <v>21</v>
      </c>
      <c r="E5599" t="str">
        <f>"1-246-21"</f>
        <v>1-246-21</v>
      </c>
      <c r="F5599" t="s">
        <v>83</v>
      </c>
      <c r="G5599" t="s">
        <v>86</v>
      </c>
      <c r="H5599" t="s">
        <v>93</v>
      </c>
      <c r="I5599">
        <v>1</v>
      </c>
      <c r="K5599">
        <v>0</v>
      </c>
      <c r="L5599">
        <v>0</v>
      </c>
      <c r="M5599">
        <v>1</v>
      </c>
      <c r="N5599">
        <v>1</v>
      </c>
      <c r="O5599">
        <v>1</v>
      </c>
      <c r="P5599">
        <v>1</v>
      </c>
      <c r="Q5599">
        <v>1</v>
      </c>
      <c r="R5599">
        <v>1</v>
      </c>
      <c r="U5599">
        <v>0</v>
      </c>
      <c r="V5599">
        <v>1</v>
      </c>
      <c r="W5599">
        <v>1</v>
      </c>
      <c r="X5599">
        <v>1</v>
      </c>
      <c r="Y5599">
        <v>1</v>
      </c>
      <c r="Z5599">
        <v>1</v>
      </c>
      <c r="AA5599">
        <v>1</v>
      </c>
      <c r="AB5599">
        <v>1</v>
      </c>
    </row>
    <row r="5600" spans="1:49" x14ac:dyDescent="0.25">
      <c r="A5600" t="str">
        <f>"5596"</f>
        <v>5596</v>
      </c>
      <c r="B5600" t="str">
        <f t="shared" si="325"/>
        <v>1</v>
      </c>
      <c r="C5600" t="str">
        <f t="shared" si="324"/>
        <v>246</v>
      </c>
      <c r="D5600" t="str">
        <f>"2"</f>
        <v>2</v>
      </c>
      <c r="E5600" t="str">
        <f>"1-246-2"</f>
        <v>1-246-2</v>
      </c>
      <c r="F5600" t="s">
        <v>83</v>
      </c>
      <c r="G5600" t="s">
        <v>84</v>
      </c>
      <c r="H5600" t="s">
        <v>92</v>
      </c>
      <c r="I5600">
        <v>1</v>
      </c>
      <c r="J5600">
        <v>1</v>
      </c>
      <c r="N5600">
        <v>1</v>
      </c>
      <c r="O5600">
        <v>1</v>
      </c>
      <c r="P5600">
        <v>1</v>
      </c>
      <c r="Q5600">
        <v>1</v>
      </c>
      <c r="R5600">
        <v>1</v>
      </c>
      <c r="S5600">
        <v>1</v>
      </c>
      <c r="T5600">
        <v>1</v>
      </c>
      <c r="W5600">
        <v>1</v>
      </c>
      <c r="X5600">
        <v>1</v>
      </c>
      <c r="Y5600">
        <v>1</v>
      </c>
      <c r="Z5600">
        <v>1</v>
      </c>
      <c r="AA5600">
        <v>1</v>
      </c>
      <c r="AB5600">
        <v>1</v>
      </c>
    </row>
    <row r="5601" spans="1:49" x14ac:dyDescent="0.25">
      <c r="A5601" t="str">
        <f>"5597"</f>
        <v>5597</v>
      </c>
      <c r="B5601" t="str">
        <f t="shared" si="325"/>
        <v>1</v>
      </c>
      <c r="C5601" t="str">
        <f t="shared" si="324"/>
        <v>246</v>
      </c>
      <c r="D5601" t="str">
        <f>"19"</f>
        <v>19</v>
      </c>
      <c r="E5601" t="str">
        <f>"1-246-19"</f>
        <v>1-246-19</v>
      </c>
      <c r="F5601" t="s">
        <v>83</v>
      </c>
      <c r="G5601" t="s">
        <v>86</v>
      </c>
      <c r="H5601" t="s">
        <v>87</v>
      </c>
      <c r="AC5601">
        <v>0</v>
      </c>
      <c r="AD5601">
        <v>0</v>
      </c>
      <c r="AE5601">
        <v>0</v>
      </c>
      <c r="AF5601">
        <v>0</v>
      </c>
      <c r="AH5601">
        <v>0</v>
      </c>
      <c r="AI5601">
        <v>1</v>
      </c>
      <c r="AJ5601">
        <v>1</v>
      </c>
      <c r="AK5601">
        <v>0</v>
      </c>
      <c r="AL5601">
        <v>1</v>
      </c>
      <c r="AM5601">
        <v>0</v>
      </c>
      <c r="AN5601">
        <v>0</v>
      </c>
      <c r="AO5601">
        <v>1</v>
      </c>
      <c r="AP5601">
        <v>1</v>
      </c>
      <c r="AQ5601">
        <v>1</v>
      </c>
      <c r="AU5601">
        <v>1</v>
      </c>
      <c r="AV5601">
        <v>1</v>
      </c>
      <c r="AW5601">
        <v>1</v>
      </c>
    </row>
    <row r="5602" spans="1:49" x14ac:dyDescent="0.25">
      <c r="A5602" t="str">
        <f>"5598"</f>
        <v>5598</v>
      </c>
      <c r="B5602" t="str">
        <f t="shared" si="325"/>
        <v>1</v>
      </c>
      <c r="C5602" t="str">
        <f t="shared" ref="C5602:C5626" si="326">"247"</f>
        <v>247</v>
      </c>
      <c r="D5602" t="str">
        <f>"23"</f>
        <v>23</v>
      </c>
      <c r="E5602" t="str">
        <f>"1-247-23"</f>
        <v>1-247-23</v>
      </c>
      <c r="F5602" t="s">
        <v>83</v>
      </c>
      <c r="G5602" t="s">
        <v>84</v>
      </c>
      <c r="H5602" t="s">
        <v>85</v>
      </c>
      <c r="AC5602">
        <v>0</v>
      </c>
      <c r="AD5602">
        <v>1</v>
      </c>
      <c r="AE5602">
        <v>0</v>
      </c>
      <c r="AF5602">
        <v>0</v>
      </c>
      <c r="AG5602">
        <v>1</v>
      </c>
      <c r="AJ5602">
        <v>0</v>
      </c>
      <c r="AK5602">
        <v>1</v>
      </c>
      <c r="AL5602">
        <v>1</v>
      </c>
      <c r="AM5602">
        <v>0</v>
      </c>
      <c r="AN5602">
        <v>0</v>
      </c>
      <c r="AO5602">
        <v>1</v>
      </c>
      <c r="AP5602">
        <v>1</v>
      </c>
      <c r="AQ5602">
        <v>1</v>
      </c>
      <c r="AR5602">
        <v>1</v>
      </c>
      <c r="AS5602">
        <v>0</v>
      </c>
      <c r="AT5602">
        <v>1</v>
      </c>
      <c r="AV5602">
        <v>1</v>
      </c>
      <c r="AW5602">
        <v>1</v>
      </c>
    </row>
    <row r="5603" spans="1:49" x14ac:dyDescent="0.25">
      <c r="A5603" t="str">
        <f>"5599"</f>
        <v>5599</v>
      </c>
      <c r="B5603" t="str">
        <f t="shared" si="325"/>
        <v>1</v>
      </c>
      <c r="C5603" t="str">
        <f t="shared" si="326"/>
        <v>247</v>
      </c>
      <c r="D5603" t="str">
        <f>"22"</f>
        <v>22</v>
      </c>
      <c r="E5603" t="str">
        <f>"1-247-22"</f>
        <v>1-247-22</v>
      </c>
      <c r="F5603" t="s">
        <v>83</v>
      </c>
      <c r="G5603" t="s">
        <v>84</v>
      </c>
      <c r="H5603" t="s">
        <v>92</v>
      </c>
      <c r="I5603">
        <v>1</v>
      </c>
      <c r="J5603">
        <v>1</v>
      </c>
      <c r="N5603">
        <v>1</v>
      </c>
      <c r="O5603">
        <v>1</v>
      </c>
      <c r="P5603">
        <v>1</v>
      </c>
      <c r="Q5603">
        <v>1</v>
      </c>
      <c r="R5603">
        <v>1</v>
      </c>
      <c r="S5603">
        <v>1</v>
      </c>
      <c r="T5603">
        <v>1</v>
      </c>
      <c r="W5603">
        <v>1</v>
      </c>
      <c r="X5603">
        <v>1</v>
      </c>
      <c r="Y5603">
        <v>1</v>
      </c>
      <c r="Z5603">
        <v>1</v>
      </c>
      <c r="AA5603">
        <v>1</v>
      </c>
      <c r="AB5603">
        <v>1</v>
      </c>
    </row>
    <row r="5604" spans="1:49" x14ac:dyDescent="0.25">
      <c r="A5604" t="str">
        <f>"5600"</f>
        <v>5600</v>
      </c>
      <c r="B5604" t="str">
        <f t="shared" si="325"/>
        <v>1</v>
      </c>
      <c r="C5604" t="str">
        <f t="shared" si="326"/>
        <v>247</v>
      </c>
      <c r="D5604" t="str">
        <f>"15"</f>
        <v>15</v>
      </c>
      <c r="E5604" t="str">
        <f>"1-247-15"</f>
        <v>1-247-15</v>
      </c>
      <c r="F5604" t="s">
        <v>83</v>
      </c>
      <c r="G5604" t="s">
        <v>86</v>
      </c>
      <c r="H5604" t="s">
        <v>87</v>
      </c>
      <c r="AC5604">
        <v>1</v>
      </c>
      <c r="AD5604">
        <v>0</v>
      </c>
      <c r="AE5604">
        <v>0</v>
      </c>
      <c r="AF5604">
        <v>0</v>
      </c>
      <c r="AH5604">
        <v>1</v>
      </c>
      <c r="AI5604">
        <v>0</v>
      </c>
      <c r="AJ5604">
        <v>1</v>
      </c>
      <c r="AK5604">
        <v>0</v>
      </c>
      <c r="AL5604">
        <v>1</v>
      </c>
      <c r="AM5604">
        <v>0</v>
      </c>
      <c r="AN5604">
        <v>0</v>
      </c>
      <c r="AO5604">
        <v>1</v>
      </c>
      <c r="AP5604">
        <v>0</v>
      </c>
      <c r="AQ5604">
        <v>1</v>
      </c>
      <c r="AU5604">
        <v>1</v>
      </c>
      <c r="AV5604">
        <v>1</v>
      </c>
      <c r="AW5604">
        <v>1</v>
      </c>
    </row>
    <row r="5605" spans="1:49" x14ac:dyDescent="0.25">
      <c r="A5605" t="str">
        <f>"5601"</f>
        <v>5601</v>
      </c>
      <c r="B5605" t="str">
        <f t="shared" si="325"/>
        <v>1</v>
      </c>
      <c r="C5605" t="str">
        <f t="shared" si="326"/>
        <v>247</v>
      </c>
      <c r="D5605" t="str">
        <f>"8"</f>
        <v>8</v>
      </c>
      <c r="E5605" t="str">
        <f>"1-247-8"</f>
        <v>1-247-8</v>
      </c>
      <c r="F5605" t="s">
        <v>83</v>
      </c>
      <c r="G5605" t="s">
        <v>84</v>
      </c>
      <c r="H5605" t="s">
        <v>92</v>
      </c>
      <c r="I5605">
        <v>1</v>
      </c>
      <c r="J5605">
        <v>1</v>
      </c>
      <c r="N5605">
        <v>1</v>
      </c>
      <c r="O5605">
        <v>1</v>
      </c>
      <c r="P5605">
        <v>1</v>
      </c>
      <c r="Q5605">
        <v>1</v>
      </c>
      <c r="R5605">
        <v>1</v>
      </c>
      <c r="S5605">
        <v>1</v>
      </c>
      <c r="T5605">
        <v>1</v>
      </c>
      <c r="W5605">
        <v>1</v>
      </c>
      <c r="X5605">
        <v>1</v>
      </c>
      <c r="Y5605">
        <v>1</v>
      </c>
      <c r="Z5605">
        <v>1</v>
      </c>
      <c r="AA5605">
        <v>1</v>
      </c>
      <c r="AB5605">
        <v>1</v>
      </c>
    </row>
    <row r="5606" spans="1:49" x14ac:dyDescent="0.25">
      <c r="A5606" t="str">
        <f>"5602"</f>
        <v>5602</v>
      </c>
      <c r="B5606" t="str">
        <f t="shared" si="325"/>
        <v>1</v>
      </c>
      <c r="C5606" t="str">
        <f t="shared" si="326"/>
        <v>247</v>
      </c>
      <c r="D5606" t="str">
        <f>"6"</f>
        <v>6</v>
      </c>
      <c r="E5606" t="str">
        <f>"1-247-6"</f>
        <v>1-247-6</v>
      </c>
      <c r="F5606" t="s">
        <v>83</v>
      </c>
      <c r="G5606" t="s">
        <v>86</v>
      </c>
      <c r="H5606" t="s">
        <v>93</v>
      </c>
      <c r="I5606">
        <v>1</v>
      </c>
      <c r="K5606">
        <v>1</v>
      </c>
      <c r="L5606">
        <v>0</v>
      </c>
      <c r="M5606">
        <v>0</v>
      </c>
      <c r="N5606">
        <v>1</v>
      </c>
      <c r="O5606">
        <v>1</v>
      </c>
      <c r="P5606">
        <v>1</v>
      </c>
      <c r="Q5606">
        <v>1</v>
      </c>
      <c r="R5606">
        <v>1</v>
      </c>
      <c r="U5606">
        <v>1</v>
      </c>
      <c r="V5606">
        <v>0</v>
      </c>
      <c r="W5606">
        <v>1</v>
      </c>
      <c r="X5606">
        <v>1</v>
      </c>
      <c r="Y5606">
        <v>1</v>
      </c>
      <c r="Z5606">
        <v>1</v>
      </c>
      <c r="AA5606">
        <v>1</v>
      </c>
      <c r="AB5606">
        <v>1</v>
      </c>
    </row>
    <row r="5607" spans="1:49" x14ac:dyDescent="0.25">
      <c r="A5607" t="str">
        <f>"5603"</f>
        <v>5603</v>
      </c>
      <c r="B5607" t="str">
        <f t="shared" si="325"/>
        <v>1</v>
      </c>
      <c r="C5607" t="str">
        <f t="shared" si="326"/>
        <v>247</v>
      </c>
      <c r="D5607" t="str">
        <f>"18"</f>
        <v>18</v>
      </c>
      <c r="E5607" t="str">
        <f>"1-247-18"</f>
        <v>1-247-18</v>
      </c>
      <c r="F5607" t="s">
        <v>83</v>
      </c>
      <c r="G5607" t="s">
        <v>84</v>
      </c>
      <c r="H5607" t="s">
        <v>85</v>
      </c>
      <c r="AC5607">
        <v>0</v>
      </c>
      <c r="AD5607">
        <v>1</v>
      </c>
      <c r="AE5607">
        <v>0</v>
      </c>
      <c r="AF5607">
        <v>0</v>
      </c>
      <c r="AG5607">
        <v>1</v>
      </c>
      <c r="AJ5607">
        <v>0</v>
      </c>
      <c r="AK5607">
        <v>1</v>
      </c>
      <c r="AL5607">
        <v>0</v>
      </c>
      <c r="AM5607">
        <v>1</v>
      </c>
      <c r="AN5607">
        <v>0</v>
      </c>
      <c r="AO5607">
        <v>1</v>
      </c>
      <c r="AP5607">
        <v>1</v>
      </c>
      <c r="AQ5607">
        <v>1</v>
      </c>
      <c r="AR5607">
        <v>1</v>
      </c>
      <c r="AS5607">
        <v>0</v>
      </c>
      <c r="AT5607">
        <v>1</v>
      </c>
      <c r="AV5607">
        <v>1</v>
      </c>
      <c r="AW5607">
        <v>1</v>
      </c>
    </row>
    <row r="5608" spans="1:49" x14ac:dyDescent="0.25">
      <c r="A5608" t="str">
        <f>"5604"</f>
        <v>5604</v>
      </c>
      <c r="B5608" t="str">
        <f t="shared" si="325"/>
        <v>1</v>
      </c>
      <c r="C5608" t="str">
        <f t="shared" si="326"/>
        <v>247</v>
      </c>
      <c r="D5608" t="str">
        <f>"9"</f>
        <v>9</v>
      </c>
      <c r="E5608" t="str">
        <f>"1-247-9"</f>
        <v>1-247-9</v>
      </c>
      <c r="F5608" t="s">
        <v>83</v>
      </c>
      <c r="G5608" t="s">
        <v>86</v>
      </c>
      <c r="H5608" t="s">
        <v>93</v>
      </c>
      <c r="I5608">
        <v>1</v>
      </c>
      <c r="K5608">
        <v>1</v>
      </c>
      <c r="L5608">
        <v>0</v>
      </c>
      <c r="M5608">
        <v>0</v>
      </c>
      <c r="N5608">
        <v>1</v>
      </c>
      <c r="O5608">
        <v>1</v>
      </c>
      <c r="P5608">
        <v>1</v>
      </c>
      <c r="Q5608">
        <v>1</v>
      </c>
      <c r="R5608">
        <v>1</v>
      </c>
      <c r="U5608">
        <v>0</v>
      </c>
      <c r="V5608">
        <v>1</v>
      </c>
      <c r="W5608">
        <v>1</v>
      </c>
      <c r="X5608">
        <v>1</v>
      </c>
      <c r="Y5608">
        <v>1</v>
      </c>
      <c r="Z5608">
        <v>1</v>
      </c>
      <c r="AA5608">
        <v>1</v>
      </c>
      <c r="AB5608">
        <v>1</v>
      </c>
    </row>
    <row r="5609" spans="1:49" x14ac:dyDescent="0.25">
      <c r="A5609" t="str">
        <f>"5605"</f>
        <v>5605</v>
      </c>
      <c r="B5609" t="str">
        <f t="shared" si="325"/>
        <v>1</v>
      </c>
      <c r="C5609" t="str">
        <f t="shared" si="326"/>
        <v>247</v>
      </c>
      <c r="D5609" t="str">
        <f>"7"</f>
        <v>7</v>
      </c>
      <c r="E5609" t="str">
        <f>"1-247-7"</f>
        <v>1-247-7</v>
      </c>
      <c r="F5609" t="s">
        <v>83</v>
      </c>
      <c r="G5609" t="s">
        <v>84</v>
      </c>
      <c r="H5609" t="s">
        <v>92</v>
      </c>
      <c r="I5609">
        <v>1</v>
      </c>
      <c r="J5609">
        <v>1</v>
      </c>
      <c r="N5609">
        <v>1</v>
      </c>
      <c r="O5609">
        <v>1</v>
      </c>
      <c r="P5609">
        <v>1</v>
      </c>
      <c r="Q5609">
        <v>1</v>
      </c>
      <c r="R5609">
        <v>1</v>
      </c>
      <c r="S5609">
        <v>1</v>
      </c>
      <c r="T5609">
        <v>1</v>
      </c>
      <c r="W5609">
        <v>1</v>
      </c>
      <c r="X5609">
        <v>1</v>
      </c>
      <c r="Y5609">
        <v>1</v>
      </c>
      <c r="Z5609">
        <v>1</v>
      </c>
      <c r="AA5609">
        <v>1</v>
      </c>
      <c r="AB5609">
        <v>1</v>
      </c>
    </row>
    <row r="5610" spans="1:49" x14ac:dyDescent="0.25">
      <c r="A5610" t="str">
        <f>"5606"</f>
        <v>5606</v>
      </c>
      <c r="B5610" t="str">
        <f t="shared" si="325"/>
        <v>1</v>
      </c>
      <c r="C5610" t="str">
        <f t="shared" si="326"/>
        <v>247</v>
      </c>
      <c r="D5610" t="str">
        <f>"17"</f>
        <v>17</v>
      </c>
      <c r="E5610" t="str">
        <f>"1-247-17"</f>
        <v>1-247-17</v>
      </c>
      <c r="F5610" t="s">
        <v>83</v>
      </c>
      <c r="G5610" t="s">
        <v>84</v>
      </c>
      <c r="H5610" t="s">
        <v>92</v>
      </c>
      <c r="I5610">
        <v>1</v>
      </c>
      <c r="J5610">
        <v>1</v>
      </c>
      <c r="N5610">
        <v>1</v>
      </c>
      <c r="O5610">
        <v>1</v>
      </c>
      <c r="P5610">
        <v>1</v>
      </c>
      <c r="Q5610">
        <v>1</v>
      </c>
      <c r="R5610">
        <v>1</v>
      </c>
      <c r="S5610">
        <v>1</v>
      </c>
      <c r="T5610">
        <v>1</v>
      </c>
      <c r="W5610">
        <v>1</v>
      </c>
      <c r="X5610">
        <v>1</v>
      </c>
      <c r="Y5610">
        <v>1</v>
      </c>
      <c r="Z5610">
        <v>1</v>
      </c>
      <c r="AA5610">
        <v>1</v>
      </c>
      <c r="AB5610">
        <v>1</v>
      </c>
    </row>
    <row r="5611" spans="1:49" x14ac:dyDescent="0.25">
      <c r="A5611" t="str">
        <f>"5607"</f>
        <v>5607</v>
      </c>
      <c r="B5611" t="str">
        <f t="shared" si="325"/>
        <v>1</v>
      </c>
      <c r="C5611" t="str">
        <f t="shared" si="326"/>
        <v>247</v>
      </c>
      <c r="D5611" t="str">
        <f>"10"</f>
        <v>10</v>
      </c>
      <c r="E5611" t="str">
        <f>"1-247-10"</f>
        <v>1-247-10</v>
      </c>
      <c r="F5611" t="s">
        <v>83</v>
      </c>
      <c r="G5611" t="s">
        <v>84</v>
      </c>
      <c r="H5611" t="s">
        <v>92</v>
      </c>
      <c r="I5611">
        <v>1</v>
      </c>
      <c r="J5611">
        <v>1</v>
      </c>
      <c r="N5611">
        <v>1</v>
      </c>
      <c r="O5611">
        <v>1</v>
      </c>
      <c r="P5611">
        <v>1</v>
      </c>
      <c r="Q5611">
        <v>1</v>
      </c>
      <c r="R5611">
        <v>1</v>
      </c>
      <c r="S5611">
        <v>1</v>
      </c>
      <c r="T5611">
        <v>1</v>
      </c>
      <c r="W5611">
        <v>1</v>
      </c>
      <c r="X5611">
        <v>1</v>
      </c>
      <c r="Y5611">
        <v>1</v>
      </c>
      <c r="Z5611">
        <v>1</v>
      </c>
      <c r="AA5611">
        <v>1</v>
      </c>
      <c r="AB5611">
        <v>1</v>
      </c>
    </row>
    <row r="5612" spans="1:49" x14ac:dyDescent="0.25">
      <c r="A5612" t="str">
        <f>"5608"</f>
        <v>5608</v>
      </c>
      <c r="B5612" t="str">
        <f t="shared" si="325"/>
        <v>1</v>
      </c>
      <c r="C5612" t="str">
        <f t="shared" si="326"/>
        <v>247</v>
      </c>
      <c r="D5612" t="str">
        <f>"1"</f>
        <v>1</v>
      </c>
      <c r="E5612" t="str">
        <f>"1-247-1"</f>
        <v>1-247-1</v>
      </c>
      <c r="F5612" t="s">
        <v>83</v>
      </c>
      <c r="G5612" t="s">
        <v>84</v>
      </c>
      <c r="H5612" t="s">
        <v>85</v>
      </c>
      <c r="AC5612">
        <v>1</v>
      </c>
      <c r="AD5612">
        <v>0</v>
      </c>
      <c r="AE5612">
        <v>0</v>
      </c>
      <c r="AF5612">
        <v>0</v>
      </c>
      <c r="AG5612">
        <v>1</v>
      </c>
      <c r="AJ5612">
        <v>0</v>
      </c>
      <c r="AK5612">
        <v>1</v>
      </c>
      <c r="AL5612">
        <v>1</v>
      </c>
      <c r="AM5612">
        <v>0</v>
      </c>
      <c r="AN5612">
        <v>0</v>
      </c>
      <c r="AO5612">
        <v>1</v>
      </c>
      <c r="AP5612">
        <v>1</v>
      </c>
      <c r="AQ5612">
        <v>1</v>
      </c>
      <c r="AR5612">
        <v>0</v>
      </c>
      <c r="AS5612">
        <v>1</v>
      </c>
      <c r="AT5612">
        <v>0</v>
      </c>
      <c r="AV5612">
        <v>1</v>
      </c>
      <c r="AW5612">
        <v>1</v>
      </c>
    </row>
    <row r="5613" spans="1:49" x14ac:dyDescent="0.25">
      <c r="A5613" t="str">
        <f>"5609"</f>
        <v>5609</v>
      </c>
      <c r="B5613" t="str">
        <f t="shared" si="325"/>
        <v>1</v>
      </c>
      <c r="C5613" t="str">
        <f t="shared" si="326"/>
        <v>247</v>
      </c>
      <c r="D5613" t="str">
        <f>"25"</f>
        <v>25</v>
      </c>
      <c r="E5613" t="str">
        <f>"1-247-25"</f>
        <v>1-247-25</v>
      </c>
      <c r="F5613" t="s">
        <v>83</v>
      </c>
      <c r="G5613" t="s">
        <v>84</v>
      </c>
      <c r="H5613" t="s">
        <v>85</v>
      </c>
      <c r="AC5613">
        <v>0</v>
      </c>
      <c r="AD5613">
        <v>1</v>
      </c>
      <c r="AE5613">
        <v>0</v>
      </c>
      <c r="AF5613">
        <v>0</v>
      </c>
      <c r="AG5613">
        <v>1</v>
      </c>
      <c r="AJ5613">
        <v>0</v>
      </c>
      <c r="AK5613">
        <v>1</v>
      </c>
      <c r="AL5613">
        <v>0</v>
      </c>
      <c r="AM5613">
        <v>1</v>
      </c>
      <c r="AN5613">
        <v>0</v>
      </c>
      <c r="AO5613">
        <v>1</v>
      </c>
      <c r="AP5613">
        <v>1</v>
      </c>
      <c r="AQ5613">
        <v>1</v>
      </c>
      <c r="AR5613">
        <v>1</v>
      </c>
      <c r="AS5613">
        <v>0</v>
      </c>
      <c r="AT5613">
        <v>1</v>
      </c>
      <c r="AV5613">
        <v>1</v>
      </c>
      <c r="AW5613">
        <v>1</v>
      </c>
    </row>
    <row r="5614" spans="1:49" x14ac:dyDescent="0.25">
      <c r="A5614" t="str">
        <f>"5610"</f>
        <v>5610</v>
      </c>
      <c r="B5614" t="str">
        <f t="shared" si="325"/>
        <v>1</v>
      </c>
      <c r="C5614" t="str">
        <f t="shared" si="326"/>
        <v>247</v>
      </c>
      <c r="D5614" t="str">
        <f>"24"</f>
        <v>24</v>
      </c>
      <c r="E5614" t="str">
        <f>"1-247-24"</f>
        <v>1-247-24</v>
      </c>
      <c r="F5614" t="s">
        <v>83</v>
      </c>
      <c r="G5614" t="s">
        <v>84</v>
      </c>
      <c r="H5614" t="s">
        <v>85</v>
      </c>
      <c r="AC5614">
        <v>1</v>
      </c>
      <c r="AD5614">
        <v>0</v>
      </c>
      <c r="AE5614">
        <v>0</v>
      </c>
      <c r="AF5614">
        <v>0</v>
      </c>
      <c r="AG5614">
        <v>0</v>
      </c>
      <c r="AJ5614">
        <v>0</v>
      </c>
      <c r="AK5614">
        <v>1</v>
      </c>
      <c r="AL5614">
        <v>1</v>
      </c>
      <c r="AM5614">
        <v>0</v>
      </c>
      <c r="AN5614">
        <v>0</v>
      </c>
      <c r="AO5614">
        <v>0</v>
      </c>
      <c r="AP5614">
        <v>0</v>
      </c>
      <c r="AQ5614">
        <v>0</v>
      </c>
      <c r="AR5614">
        <v>0</v>
      </c>
      <c r="AS5614">
        <v>1</v>
      </c>
      <c r="AT5614">
        <v>0</v>
      </c>
      <c r="AV5614">
        <v>0</v>
      </c>
      <c r="AW5614">
        <v>0</v>
      </c>
    </row>
    <row r="5615" spans="1:49" x14ac:dyDescent="0.25">
      <c r="A5615" t="str">
        <f>"5611"</f>
        <v>5611</v>
      </c>
      <c r="B5615" t="str">
        <f t="shared" si="325"/>
        <v>1</v>
      </c>
      <c r="C5615" t="str">
        <f t="shared" si="326"/>
        <v>247</v>
      </c>
      <c r="D5615" t="str">
        <f>"16"</f>
        <v>16</v>
      </c>
      <c r="E5615" t="str">
        <f>"1-247-16"</f>
        <v>1-247-16</v>
      </c>
      <c r="F5615" t="s">
        <v>83</v>
      </c>
      <c r="G5615" t="s">
        <v>86</v>
      </c>
      <c r="H5615" t="s">
        <v>87</v>
      </c>
      <c r="AC5615">
        <v>0</v>
      </c>
      <c r="AD5615">
        <v>1</v>
      </c>
      <c r="AE5615">
        <v>0</v>
      </c>
      <c r="AF5615">
        <v>0</v>
      </c>
      <c r="AH5615">
        <v>0</v>
      </c>
      <c r="AI5615">
        <v>1</v>
      </c>
      <c r="AJ5615">
        <v>0</v>
      </c>
      <c r="AK5615">
        <v>1</v>
      </c>
      <c r="AL5615">
        <v>1</v>
      </c>
      <c r="AM5615">
        <v>0</v>
      </c>
      <c r="AN5615">
        <v>0</v>
      </c>
      <c r="AO5615">
        <v>1</v>
      </c>
      <c r="AP5615">
        <v>1</v>
      </c>
      <c r="AQ5615">
        <v>1</v>
      </c>
      <c r="AU5615">
        <v>1</v>
      </c>
      <c r="AV5615">
        <v>1</v>
      </c>
      <c r="AW5615">
        <v>1</v>
      </c>
    </row>
    <row r="5616" spans="1:49" x14ac:dyDescent="0.25">
      <c r="A5616" t="str">
        <f>"5612"</f>
        <v>5612</v>
      </c>
      <c r="B5616" t="str">
        <f t="shared" si="325"/>
        <v>1</v>
      </c>
      <c r="C5616" t="str">
        <f t="shared" si="326"/>
        <v>247</v>
      </c>
      <c r="D5616" t="str">
        <f>"11"</f>
        <v>11</v>
      </c>
      <c r="E5616" t="str">
        <f>"1-247-11"</f>
        <v>1-247-11</v>
      </c>
      <c r="F5616" t="s">
        <v>83</v>
      </c>
      <c r="G5616" t="s">
        <v>84</v>
      </c>
      <c r="H5616" t="s">
        <v>85</v>
      </c>
      <c r="AC5616">
        <v>0</v>
      </c>
      <c r="AD5616">
        <v>0</v>
      </c>
      <c r="AE5616">
        <v>0</v>
      </c>
      <c r="AF5616">
        <v>0</v>
      </c>
      <c r="AG5616">
        <v>0</v>
      </c>
      <c r="AJ5616">
        <v>0</v>
      </c>
      <c r="AK5616">
        <v>0</v>
      </c>
      <c r="AL5616">
        <v>0</v>
      </c>
      <c r="AM5616">
        <v>0</v>
      </c>
      <c r="AN5616">
        <v>0</v>
      </c>
      <c r="AO5616">
        <v>0</v>
      </c>
      <c r="AP5616">
        <v>0</v>
      </c>
      <c r="AQ5616">
        <v>0</v>
      </c>
      <c r="AR5616">
        <v>0</v>
      </c>
      <c r="AS5616">
        <v>0</v>
      </c>
      <c r="AT5616">
        <v>0</v>
      </c>
      <c r="AV5616">
        <v>1</v>
      </c>
      <c r="AW5616">
        <v>1</v>
      </c>
    </row>
    <row r="5617" spans="1:49" x14ac:dyDescent="0.25">
      <c r="A5617" t="str">
        <f>"5613"</f>
        <v>5613</v>
      </c>
      <c r="B5617" t="str">
        <f t="shared" si="325"/>
        <v>1</v>
      </c>
      <c r="C5617" t="str">
        <f t="shared" si="326"/>
        <v>247</v>
      </c>
      <c r="D5617" t="str">
        <f>"5"</f>
        <v>5</v>
      </c>
      <c r="E5617" t="str">
        <f>"1-247-5"</f>
        <v>1-247-5</v>
      </c>
      <c r="F5617" t="s">
        <v>83</v>
      </c>
      <c r="G5617" t="s">
        <v>86</v>
      </c>
      <c r="H5617" t="s">
        <v>93</v>
      </c>
      <c r="I5617">
        <v>1</v>
      </c>
      <c r="K5617">
        <v>1</v>
      </c>
      <c r="L5617">
        <v>0</v>
      </c>
      <c r="M5617">
        <v>0</v>
      </c>
      <c r="N5617">
        <v>1</v>
      </c>
      <c r="O5617">
        <v>0</v>
      </c>
      <c r="P5617">
        <v>0</v>
      </c>
      <c r="Q5617">
        <v>0</v>
      </c>
      <c r="R5617">
        <v>0</v>
      </c>
      <c r="U5617">
        <v>0</v>
      </c>
      <c r="V5617">
        <v>1</v>
      </c>
      <c r="W5617">
        <v>0</v>
      </c>
      <c r="X5617">
        <v>0</v>
      </c>
      <c r="Y5617">
        <v>0</v>
      </c>
      <c r="Z5617">
        <v>0</v>
      </c>
      <c r="AA5617">
        <v>0</v>
      </c>
      <c r="AB5617">
        <v>0</v>
      </c>
    </row>
    <row r="5618" spans="1:49" x14ac:dyDescent="0.25">
      <c r="A5618" t="str">
        <f>"5614"</f>
        <v>5614</v>
      </c>
      <c r="B5618" t="str">
        <f t="shared" si="325"/>
        <v>1</v>
      </c>
      <c r="C5618" t="str">
        <f t="shared" si="326"/>
        <v>247</v>
      </c>
      <c r="D5618" t="str">
        <f>"19"</f>
        <v>19</v>
      </c>
      <c r="E5618" t="str">
        <f>"1-247-19"</f>
        <v>1-247-19</v>
      </c>
      <c r="F5618" t="s">
        <v>83</v>
      </c>
      <c r="G5618" t="s">
        <v>84</v>
      </c>
      <c r="H5618" t="s">
        <v>85</v>
      </c>
      <c r="AC5618">
        <v>1</v>
      </c>
      <c r="AD5618">
        <v>0</v>
      </c>
      <c r="AE5618">
        <v>0</v>
      </c>
      <c r="AF5618">
        <v>0</v>
      </c>
      <c r="AG5618">
        <v>0</v>
      </c>
      <c r="AJ5618">
        <v>1</v>
      </c>
      <c r="AK5618">
        <v>0</v>
      </c>
      <c r="AL5618">
        <v>1</v>
      </c>
      <c r="AM5618">
        <v>0</v>
      </c>
      <c r="AN5618">
        <v>0</v>
      </c>
      <c r="AO5618">
        <v>1</v>
      </c>
      <c r="AP5618">
        <v>1</v>
      </c>
      <c r="AQ5618">
        <v>1</v>
      </c>
      <c r="AR5618">
        <v>1</v>
      </c>
      <c r="AS5618">
        <v>0</v>
      </c>
      <c r="AT5618">
        <v>1</v>
      </c>
      <c r="AV5618">
        <v>1</v>
      </c>
      <c r="AW5618">
        <v>1</v>
      </c>
    </row>
    <row r="5619" spans="1:49" x14ac:dyDescent="0.25">
      <c r="A5619" t="str">
        <f>"5615"</f>
        <v>5615</v>
      </c>
      <c r="B5619" t="str">
        <f t="shared" si="325"/>
        <v>1</v>
      </c>
      <c r="C5619" t="str">
        <f t="shared" si="326"/>
        <v>247</v>
      </c>
      <c r="D5619" t="str">
        <f>"12"</f>
        <v>12</v>
      </c>
      <c r="E5619" t="str">
        <f>"1-247-12"</f>
        <v>1-247-12</v>
      </c>
      <c r="F5619" t="s">
        <v>83</v>
      </c>
      <c r="G5619" t="s">
        <v>84</v>
      </c>
      <c r="H5619" t="s">
        <v>85</v>
      </c>
      <c r="AC5619">
        <v>1</v>
      </c>
      <c r="AD5619">
        <v>0</v>
      </c>
      <c r="AE5619">
        <v>0</v>
      </c>
      <c r="AF5619">
        <v>0</v>
      </c>
      <c r="AG5619">
        <v>1</v>
      </c>
      <c r="AJ5619">
        <v>1</v>
      </c>
      <c r="AK5619">
        <v>0</v>
      </c>
      <c r="AL5619">
        <v>0</v>
      </c>
      <c r="AM5619">
        <v>1</v>
      </c>
      <c r="AN5619">
        <v>0</v>
      </c>
      <c r="AO5619">
        <v>1</v>
      </c>
      <c r="AP5619">
        <v>1</v>
      </c>
      <c r="AQ5619">
        <v>1</v>
      </c>
      <c r="AR5619">
        <v>1</v>
      </c>
      <c r="AS5619">
        <v>0</v>
      </c>
      <c r="AT5619">
        <v>1</v>
      </c>
      <c r="AV5619">
        <v>1</v>
      </c>
      <c r="AW5619">
        <v>1</v>
      </c>
    </row>
    <row r="5620" spans="1:49" x14ac:dyDescent="0.25">
      <c r="A5620" t="str">
        <f>"5616"</f>
        <v>5616</v>
      </c>
      <c r="B5620" t="str">
        <f t="shared" si="325"/>
        <v>1</v>
      </c>
      <c r="C5620" t="str">
        <f t="shared" si="326"/>
        <v>247</v>
      </c>
      <c r="D5620" t="str">
        <f>"2"</f>
        <v>2</v>
      </c>
      <c r="E5620" t="str">
        <f>"1-247-2"</f>
        <v>1-247-2</v>
      </c>
      <c r="F5620" t="s">
        <v>83</v>
      </c>
      <c r="G5620" t="s">
        <v>86</v>
      </c>
      <c r="H5620" t="s">
        <v>93</v>
      </c>
      <c r="I5620">
        <v>1</v>
      </c>
      <c r="K5620">
        <v>1</v>
      </c>
      <c r="L5620">
        <v>0</v>
      </c>
      <c r="M5620">
        <v>0</v>
      </c>
      <c r="N5620">
        <v>1</v>
      </c>
      <c r="O5620">
        <v>1</v>
      </c>
      <c r="P5620">
        <v>1</v>
      </c>
      <c r="Q5620">
        <v>0</v>
      </c>
      <c r="R5620">
        <v>0</v>
      </c>
      <c r="U5620">
        <v>0</v>
      </c>
      <c r="V5620">
        <v>1</v>
      </c>
      <c r="W5620">
        <v>0</v>
      </c>
      <c r="X5620">
        <v>0</v>
      </c>
      <c r="Y5620">
        <v>0</v>
      </c>
      <c r="Z5620">
        <v>0</v>
      </c>
      <c r="AA5620">
        <v>0</v>
      </c>
      <c r="AB5620">
        <v>0</v>
      </c>
    </row>
    <row r="5621" spans="1:49" x14ac:dyDescent="0.25">
      <c r="A5621" t="str">
        <f>"5617"</f>
        <v>5617</v>
      </c>
      <c r="B5621" t="str">
        <f t="shared" si="325"/>
        <v>1</v>
      </c>
      <c r="C5621" t="str">
        <f t="shared" si="326"/>
        <v>247</v>
      </c>
      <c r="D5621" t="str">
        <f>"21"</f>
        <v>21</v>
      </c>
      <c r="E5621" t="str">
        <f>"1-247-21"</f>
        <v>1-247-21</v>
      </c>
      <c r="F5621" t="s">
        <v>83</v>
      </c>
      <c r="G5621" t="s">
        <v>84</v>
      </c>
      <c r="H5621" t="s">
        <v>92</v>
      </c>
      <c r="I5621">
        <v>1</v>
      </c>
      <c r="J5621">
        <v>1</v>
      </c>
      <c r="N5621">
        <v>1</v>
      </c>
      <c r="O5621">
        <v>1</v>
      </c>
      <c r="P5621">
        <v>1</v>
      </c>
      <c r="Q5621">
        <v>1</v>
      </c>
      <c r="R5621">
        <v>1</v>
      </c>
      <c r="S5621">
        <v>1</v>
      </c>
      <c r="T5621">
        <v>1</v>
      </c>
      <c r="W5621">
        <v>1</v>
      </c>
      <c r="X5621">
        <v>1</v>
      </c>
      <c r="Y5621">
        <v>1</v>
      </c>
      <c r="Z5621">
        <v>1</v>
      </c>
      <c r="AA5621">
        <v>1</v>
      </c>
      <c r="AB5621">
        <v>1</v>
      </c>
    </row>
    <row r="5622" spans="1:49" x14ac:dyDescent="0.25">
      <c r="A5622" t="str">
        <f>"5618"</f>
        <v>5618</v>
      </c>
      <c r="B5622" t="str">
        <f t="shared" si="325"/>
        <v>1</v>
      </c>
      <c r="C5622" t="str">
        <f t="shared" si="326"/>
        <v>247</v>
      </c>
      <c r="D5622" t="str">
        <f>"13"</f>
        <v>13</v>
      </c>
      <c r="E5622" t="str">
        <f>"1-247-13"</f>
        <v>1-247-13</v>
      </c>
      <c r="F5622" t="s">
        <v>83</v>
      </c>
      <c r="G5622" t="s">
        <v>84</v>
      </c>
      <c r="H5622" t="s">
        <v>85</v>
      </c>
      <c r="AC5622">
        <v>1</v>
      </c>
      <c r="AD5622">
        <v>0</v>
      </c>
      <c r="AE5622">
        <v>0</v>
      </c>
      <c r="AF5622">
        <v>0</v>
      </c>
      <c r="AG5622">
        <v>1</v>
      </c>
      <c r="AJ5622">
        <v>1</v>
      </c>
      <c r="AK5622">
        <v>0</v>
      </c>
      <c r="AL5622">
        <v>1</v>
      </c>
      <c r="AM5622">
        <v>0</v>
      </c>
      <c r="AN5622">
        <v>0</v>
      </c>
      <c r="AO5622">
        <v>1</v>
      </c>
      <c r="AP5622">
        <v>1</v>
      </c>
      <c r="AQ5622">
        <v>1</v>
      </c>
      <c r="AR5622">
        <v>1</v>
      </c>
      <c r="AS5622">
        <v>0</v>
      </c>
      <c r="AT5622">
        <v>1</v>
      </c>
      <c r="AV5622">
        <v>1</v>
      </c>
      <c r="AW5622">
        <v>1</v>
      </c>
    </row>
    <row r="5623" spans="1:49" x14ac:dyDescent="0.25">
      <c r="A5623" t="str">
        <f>"5619"</f>
        <v>5619</v>
      </c>
      <c r="B5623" t="str">
        <f t="shared" si="325"/>
        <v>1</v>
      </c>
      <c r="C5623" t="str">
        <f t="shared" si="326"/>
        <v>247</v>
      </c>
      <c r="D5623" t="str">
        <f>"4"</f>
        <v>4</v>
      </c>
      <c r="E5623" t="str">
        <f>"1-247-4"</f>
        <v>1-247-4</v>
      </c>
      <c r="F5623" t="s">
        <v>83</v>
      </c>
      <c r="G5623" t="s">
        <v>84</v>
      </c>
      <c r="H5623" t="s">
        <v>92</v>
      </c>
      <c r="I5623">
        <v>0</v>
      </c>
      <c r="J5623">
        <v>0</v>
      </c>
      <c r="N5623">
        <v>1</v>
      </c>
      <c r="O5623">
        <v>1</v>
      </c>
      <c r="P5623">
        <v>1</v>
      </c>
      <c r="Q5623">
        <v>1</v>
      </c>
      <c r="R5623">
        <v>0</v>
      </c>
      <c r="S5623">
        <v>0</v>
      </c>
      <c r="T5623">
        <v>0</v>
      </c>
      <c r="W5623">
        <v>1</v>
      </c>
      <c r="X5623">
        <v>1</v>
      </c>
      <c r="Y5623">
        <v>1</v>
      </c>
      <c r="Z5623">
        <v>1</v>
      </c>
      <c r="AA5623">
        <v>1</v>
      </c>
      <c r="AB5623">
        <v>1</v>
      </c>
    </row>
    <row r="5624" spans="1:49" x14ac:dyDescent="0.25">
      <c r="A5624" t="str">
        <f>"5620"</f>
        <v>5620</v>
      </c>
      <c r="B5624" t="str">
        <f t="shared" si="325"/>
        <v>1</v>
      </c>
      <c r="C5624" t="str">
        <f t="shared" si="326"/>
        <v>247</v>
      </c>
      <c r="D5624" t="str">
        <f>"20"</f>
        <v>20</v>
      </c>
      <c r="E5624" t="str">
        <f>"1-247-20"</f>
        <v>1-247-20</v>
      </c>
      <c r="F5624" t="s">
        <v>83</v>
      </c>
      <c r="G5624" t="s">
        <v>84</v>
      </c>
      <c r="H5624" t="s">
        <v>92</v>
      </c>
      <c r="I5624">
        <v>1</v>
      </c>
      <c r="J5624">
        <v>1</v>
      </c>
      <c r="N5624">
        <v>1</v>
      </c>
      <c r="O5624">
        <v>1</v>
      </c>
      <c r="P5624">
        <v>1</v>
      </c>
      <c r="Q5624">
        <v>1</v>
      </c>
      <c r="R5624">
        <v>1</v>
      </c>
      <c r="S5624">
        <v>1</v>
      </c>
      <c r="T5624">
        <v>1</v>
      </c>
      <c r="W5624">
        <v>1</v>
      </c>
      <c r="X5624">
        <v>1</v>
      </c>
      <c r="Y5624">
        <v>1</v>
      </c>
      <c r="Z5624">
        <v>1</v>
      </c>
      <c r="AA5624">
        <v>1</v>
      </c>
      <c r="AB5624">
        <v>1</v>
      </c>
    </row>
    <row r="5625" spans="1:49" x14ac:dyDescent="0.25">
      <c r="A5625" t="str">
        <f>"5621"</f>
        <v>5621</v>
      </c>
      <c r="B5625" t="str">
        <f t="shared" si="325"/>
        <v>1</v>
      </c>
      <c r="C5625" t="str">
        <f t="shared" si="326"/>
        <v>247</v>
      </c>
      <c r="D5625" t="str">
        <f>"14"</f>
        <v>14</v>
      </c>
      <c r="E5625" t="str">
        <f>"1-247-14"</f>
        <v>1-247-14</v>
      </c>
      <c r="F5625" t="s">
        <v>83</v>
      </c>
      <c r="G5625" t="s">
        <v>84</v>
      </c>
      <c r="H5625" t="s">
        <v>92</v>
      </c>
      <c r="I5625">
        <v>1</v>
      </c>
      <c r="J5625">
        <v>1</v>
      </c>
      <c r="N5625">
        <v>1</v>
      </c>
      <c r="O5625">
        <v>1</v>
      </c>
      <c r="P5625">
        <v>1</v>
      </c>
      <c r="Q5625">
        <v>1</v>
      </c>
      <c r="R5625">
        <v>1</v>
      </c>
      <c r="S5625">
        <v>1</v>
      </c>
      <c r="T5625">
        <v>1</v>
      </c>
      <c r="W5625">
        <v>1</v>
      </c>
      <c r="X5625">
        <v>1</v>
      </c>
      <c r="Y5625">
        <v>1</v>
      </c>
      <c r="Z5625">
        <v>1</v>
      </c>
      <c r="AA5625">
        <v>1</v>
      </c>
      <c r="AB5625">
        <v>1</v>
      </c>
    </row>
    <row r="5626" spans="1:49" x14ac:dyDescent="0.25">
      <c r="A5626" t="str">
        <f>"5622"</f>
        <v>5622</v>
      </c>
      <c r="B5626" t="str">
        <f t="shared" si="325"/>
        <v>1</v>
      </c>
      <c r="C5626" t="str">
        <f t="shared" si="326"/>
        <v>247</v>
      </c>
      <c r="D5626" t="str">
        <f>"3"</f>
        <v>3</v>
      </c>
      <c r="E5626" t="str">
        <f>"1-247-3"</f>
        <v>1-247-3</v>
      </c>
      <c r="F5626" t="s">
        <v>83</v>
      </c>
      <c r="G5626" t="s">
        <v>84</v>
      </c>
      <c r="H5626" t="s">
        <v>92</v>
      </c>
      <c r="I5626">
        <v>1</v>
      </c>
      <c r="J5626">
        <v>1</v>
      </c>
      <c r="N5626">
        <v>1</v>
      </c>
      <c r="O5626">
        <v>1</v>
      </c>
      <c r="P5626">
        <v>1</v>
      </c>
      <c r="Q5626">
        <v>1</v>
      </c>
      <c r="R5626">
        <v>1</v>
      </c>
      <c r="S5626">
        <v>1</v>
      </c>
      <c r="T5626">
        <v>1</v>
      </c>
      <c r="W5626">
        <v>1</v>
      </c>
      <c r="X5626">
        <v>1</v>
      </c>
      <c r="Y5626">
        <v>1</v>
      </c>
      <c r="Z5626">
        <v>1</v>
      </c>
      <c r="AA5626">
        <v>1</v>
      </c>
      <c r="AB5626">
        <v>1</v>
      </c>
    </row>
    <row r="5627" spans="1:49" x14ac:dyDescent="0.25">
      <c r="A5627" t="str">
        <f>"5623"</f>
        <v>5623</v>
      </c>
      <c r="B5627" t="str">
        <f t="shared" si="325"/>
        <v>1</v>
      </c>
      <c r="C5627" t="str">
        <f t="shared" ref="C5627:C5651" si="327">"248"</f>
        <v>248</v>
      </c>
      <c r="D5627" t="str">
        <f>"18"</f>
        <v>18</v>
      </c>
      <c r="E5627" t="str">
        <f>"1-248-18"</f>
        <v>1-248-18</v>
      </c>
      <c r="F5627" t="s">
        <v>83</v>
      </c>
      <c r="G5627" t="s">
        <v>88</v>
      </c>
      <c r="H5627" t="s">
        <v>89</v>
      </c>
      <c r="AC5627">
        <v>0</v>
      </c>
      <c r="AD5627">
        <v>1</v>
      </c>
      <c r="AE5627">
        <v>0</v>
      </c>
      <c r="AF5627">
        <v>0</v>
      </c>
      <c r="AH5627">
        <v>0</v>
      </c>
      <c r="AI5627">
        <v>1</v>
      </c>
      <c r="AJ5627">
        <v>0</v>
      </c>
      <c r="AK5627">
        <v>1</v>
      </c>
      <c r="AL5627">
        <v>0</v>
      </c>
      <c r="AM5627">
        <v>1</v>
      </c>
      <c r="AN5627">
        <v>0</v>
      </c>
      <c r="AO5627">
        <v>1</v>
      </c>
      <c r="AP5627">
        <v>1</v>
      </c>
      <c r="AQ5627">
        <v>1</v>
      </c>
      <c r="AR5627">
        <v>1</v>
      </c>
      <c r="AS5627">
        <v>0</v>
      </c>
      <c r="AT5627">
        <v>1</v>
      </c>
      <c r="AV5627">
        <v>1</v>
      </c>
      <c r="AW5627">
        <v>1</v>
      </c>
    </row>
    <row r="5628" spans="1:49" x14ac:dyDescent="0.25">
      <c r="A5628" t="str">
        <f>"5624"</f>
        <v>5624</v>
      </c>
      <c r="B5628" t="str">
        <f t="shared" si="325"/>
        <v>1</v>
      </c>
      <c r="C5628" t="str">
        <f t="shared" si="327"/>
        <v>248</v>
      </c>
      <c r="D5628" t="str">
        <f>"17"</f>
        <v>17</v>
      </c>
      <c r="E5628" t="str">
        <f>"1-248-17"</f>
        <v>1-248-17</v>
      </c>
      <c r="F5628" t="s">
        <v>83</v>
      </c>
      <c r="G5628" t="s">
        <v>86</v>
      </c>
      <c r="H5628" t="s">
        <v>93</v>
      </c>
      <c r="I5628">
        <v>1</v>
      </c>
      <c r="K5628">
        <v>0</v>
      </c>
      <c r="L5628">
        <v>0</v>
      </c>
      <c r="M5628">
        <v>1</v>
      </c>
      <c r="N5628">
        <v>1</v>
      </c>
      <c r="O5628">
        <v>1</v>
      </c>
      <c r="P5628">
        <v>1</v>
      </c>
      <c r="Q5628">
        <v>1</v>
      </c>
      <c r="R5628">
        <v>1</v>
      </c>
      <c r="U5628">
        <v>1</v>
      </c>
      <c r="V5628">
        <v>0</v>
      </c>
      <c r="W5628">
        <v>1</v>
      </c>
      <c r="X5628">
        <v>1</v>
      </c>
      <c r="Y5628">
        <v>1</v>
      </c>
      <c r="Z5628">
        <v>1</v>
      </c>
      <c r="AA5628">
        <v>1</v>
      </c>
      <c r="AB5628">
        <v>1</v>
      </c>
    </row>
    <row r="5629" spans="1:49" x14ac:dyDescent="0.25">
      <c r="A5629" t="str">
        <f>"5625"</f>
        <v>5625</v>
      </c>
      <c r="B5629" t="str">
        <f t="shared" si="325"/>
        <v>1</v>
      </c>
      <c r="C5629" t="str">
        <f t="shared" si="327"/>
        <v>248</v>
      </c>
      <c r="D5629" t="str">
        <f>"13"</f>
        <v>13</v>
      </c>
      <c r="E5629" t="str">
        <f>"1-248-13"</f>
        <v>1-248-13</v>
      </c>
      <c r="F5629" t="s">
        <v>83</v>
      </c>
      <c r="G5629" t="s">
        <v>84</v>
      </c>
      <c r="H5629" t="s">
        <v>92</v>
      </c>
      <c r="I5629">
        <v>1</v>
      </c>
      <c r="J5629">
        <v>1</v>
      </c>
      <c r="N5629">
        <v>1</v>
      </c>
      <c r="O5629">
        <v>1</v>
      </c>
      <c r="P5629">
        <v>1</v>
      </c>
      <c r="Q5629">
        <v>1</v>
      </c>
      <c r="R5629">
        <v>1</v>
      </c>
      <c r="S5629">
        <v>1</v>
      </c>
      <c r="T5629">
        <v>1</v>
      </c>
      <c r="W5629">
        <v>1</v>
      </c>
      <c r="X5629">
        <v>1</v>
      </c>
      <c r="Y5629">
        <v>1</v>
      </c>
      <c r="Z5629">
        <v>1</v>
      </c>
      <c r="AA5629">
        <v>1</v>
      </c>
      <c r="AB5629">
        <v>1</v>
      </c>
    </row>
    <row r="5630" spans="1:49" x14ac:dyDescent="0.25">
      <c r="A5630" t="str">
        <f>"5626"</f>
        <v>5626</v>
      </c>
      <c r="B5630" t="str">
        <f t="shared" si="325"/>
        <v>1</v>
      </c>
      <c r="C5630" t="str">
        <f t="shared" si="327"/>
        <v>248</v>
      </c>
      <c r="D5630" t="str">
        <f>"3"</f>
        <v>3</v>
      </c>
      <c r="E5630" t="str">
        <f>"1-248-3"</f>
        <v>1-248-3</v>
      </c>
      <c r="F5630" t="s">
        <v>83</v>
      </c>
      <c r="G5630" t="s">
        <v>84</v>
      </c>
      <c r="H5630" t="s">
        <v>85</v>
      </c>
      <c r="AC5630">
        <v>0</v>
      </c>
      <c r="AD5630">
        <v>1</v>
      </c>
      <c r="AE5630">
        <v>0</v>
      </c>
      <c r="AF5630">
        <v>0</v>
      </c>
      <c r="AG5630">
        <v>1</v>
      </c>
      <c r="AJ5630">
        <v>0</v>
      </c>
      <c r="AK5630">
        <v>1</v>
      </c>
      <c r="AL5630">
        <v>0</v>
      </c>
      <c r="AM5630">
        <v>1</v>
      </c>
      <c r="AN5630">
        <v>0</v>
      </c>
      <c r="AO5630">
        <v>1</v>
      </c>
      <c r="AP5630">
        <v>1</v>
      </c>
      <c r="AQ5630">
        <v>1</v>
      </c>
      <c r="AR5630">
        <v>1</v>
      </c>
      <c r="AS5630">
        <v>0</v>
      </c>
      <c r="AT5630">
        <v>1</v>
      </c>
      <c r="AV5630">
        <v>1</v>
      </c>
      <c r="AW5630">
        <v>1</v>
      </c>
    </row>
    <row r="5631" spans="1:49" x14ac:dyDescent="0.25">
      <c r="A5631" t="str">
        <f>"5627"</f>
        <v>5627</v>
      </c>
      <c r="B5631" t="str">
        <f t="shared" si="325"/>
        <v>1</v>
      </c>
      <c r="C5631" t="str">
        <f t="shared" si="327"/>
        <v>248</v>
      </c>
      <c r="D5631" t="str">
        <f>"25"</f>
        <v>25</v>
      </c>
      <c r="E5631" t="str">
        <f>"1-248-25"</f>
        <v>1-248-25</v>
      </c>
      <c r="F5631" t="s">
        <v>83</v>
      </c>
      <c r="G5631" t="s">
        <v>84</v>
      </c>
      <c r="H5631" t="s">
        <v>92</v>
      </c>
      <c r="I5631">
        <v>1</v>
      </c>
      <c r="J5631">
        <v>1</v>
      </c>
      <c r="N5631">
        <v>1</v>
      </c>
      <c r="O5631">
        <v>1</v>
      </c>
      <c r="P5631">
        <v>1</v>
      </c>
      <c r="Q5631">
        <v>1</v>
      </c>
      <c r="R5631">
        <v>1</v>
      </c>
      <c r="S5631">
        <v>1</v>
      </c>
      <c r="T5631">
        <v>1</v>
      </c>
      <c r="W5631">
        <v>0</v>
      </c>
      <c r="X5631">
        <v>1</v>
      </c>
      <c r="Y5631">
        <v>1</v>
      </c>
      <c r="Z5631">
        <v>1</v>
      </c>
      <c r="AA5631">
        <v>1</v>
      </c>
      <c r="AB5631">
        <v>1</v>
      </c>
    </row>
    <row r="5632" spans="1:49" x14ac:dyDescent="0.25">
      <c r="A5632" t="str">
        <f>"5628"</f>
        <v>5628</v>
      </c>
      <c r="B5632" t="str">
        <f t="shared" si="325"/>
        <v>1</v>
      </c>
      <c r="C5632" t="str">
        <f t="shared" si="327"/>
        <v>248</v>
      </c>
      <c r="D5632" t="str">
        <f>"24"</f>
        <v>24</v>
      </c>
      <c r="E5632" t="str">
        <f>"1-248-24"</f>
        <v>1-248-24</v>
      </c>
      <c r="F5632" t="s">
        <v>83</v>
      </c>
      <c r="G5632" t="s">
        <v>84</v>
      </c>
      <c r="H5632" t="s">
        <v>85</v>
      </c>
      <c r="AC5632">
        <v>0</v>
      </c>
      <c r="AD5632">
        <v>1</v>
      </c>
      <c r="AE5632">
        <v>0</v>
      </c>
      <c r="AF5632">
        <v>0</v>
      </c>
      <c r="AG5632">
        <v>1</v>
      </c>
      <c r="AJ5632">
        <v>0</v>
      </c>
      <c r="AK5632">
        <v>1</v>
      </c>
      <c r="AL5632">
        <v>0</v>
      </c>
      <c r="AM5632">
        <v>0</v>
      </c>
      <c r="AN5632">
        <v>1</v>
      </c>
      <c r="AO5632">
        <v>1</v>
      </c>
      <c r="AP5632">
        <v>1</v>
      </c>
      <c r="AQ5632">
        <v>1</v>
      </c>
      <c r="AR5632">
        <v>1</v>
      </c>
      <c r="AS5632">
        <v>0</v>
      </c>
      <c r="AT5632">
        <v>1</v>
      </c>
      <c r="AV5632">
        <v>1</v>
      </c>
      <c r="AW5632">
        <v>1</v>
      </c>
    </row>
    <row r="5633" spans="1:49" x14ac:dyDescent="0.25">
      <c r="A5633" t="str">
        <f>"5629"</f>
        <v>5629</v>
      </c>
      <c r="B5633" t="str">
        <f t="shared" si="325"/>
        <v>1</v>
      </c>
      <c r="C5633" t="str">
        <f t="shared" si="327"/>
        <v>248</v>
      </c>
      <c r="D5633" t="str">
        <f>"14"</f>
        <v>14</v>
      </c>
      <c r="E5633" t="str">
        <f>"1-248-14"</f>
        <v>1-248-14</v>
      </c>
      <c r="F5633" t="s">
        <v>83</v>
      </c>
      <c r="G5633" t="s">
        <v>84</v>
      </c>
      <c r="H5633" t="s">
        <v>92</v>
      </c>
      <c r="I5633">
        <v>1</v>
      </c>
      <c r="J5633">
        <v>1</v>
      </c>
      <c r="N5633">
        <v>1</v>
      </c>
      <c r="O5633">
        <v>1</v>
      </c>
      <c r="P5633">
        <v>1</v>
      </c>
      <c r="Q5633">
        <v>1</v>
      </c>
      <c r="R5633">
        <v>1</v>
      </c>
      <c r="S5633">
        <v>1</v>
      </c>
      <c r="T5633">
        <v>1</v>
      </c>
      <c r="W5633">
        <v>1</v>
      </c>
      <c r="X5633">
        <v>1</v>
      </c>
      <c r="Y5633">
        <v>1</v>
      </c>
      <c r="Z5633">
        <v>1</v>
      </c>
      <c r="AA5633">
        <v>1</v>
      </c>
      <c r="AB5633">
        <v>1</v>
      </c>
    </row>
    <row r="5634" spans="1:49" x14ac:dyDescent="0.25">
      <c r="A5634" t="str">
        <f>"5630"</f>
        <v>5630</v>
      </c>
      <c r="B5634" t="str">
        <f t="shared" si="325"/>
        <v>1</v>
      </c>
      <c r="C5634" t="str">
        <f t="shared" si="327"/>
        <v>248</v>
      </c>
      <c r="D5634" t="str">
        <f>"9"</f>
        <v>9</v>
      </c>
      <c r="E5634" t="str">
        <f>"1-248-9"</f>
        <v>1-248-9</v>
      </c>
      <c r="F5634" t="s">
        <v>83</v>
      </c>
      <c r="G5634" t="s">
        <v>86</v>
      </c>
      <c r="H5634" t="s">
        <v>87</v>
      </c>
      <c r="AC5634">
        <v>0</v>
      </c>
      <c r="AD5634">
        <v>1</v>
      </c>
      <c r="AE5634">
        <v>0</v>
      </c>
      <c r="AF5634">
        <v>0</v>
      </c>
      <c r="AH5634">
        <v>1</v>
      </c>
      <c r="AI5634">
        <v>0</v>
      </c>
      <c r="AJ5634">
        <v>0</v>
      </c>
      <c r="AK5634">
        <v>1</v>
      </c>
      <c r="AL5634">
        <v>0</v>
      </c>
      <c r="AM5634">
        <v>0</v>
      </c>
      <c r="AN5634">
        <v>0</v>
      </c>
      <c r="AO5634">
        <v>0</v>
      </c>
      <c r="AP5634">
        <v>0</v>
      </c>
      <c r="AQ5634">
        <v>0</v>
      </c>
      <c r="AU5634">
        <v>0</v>
      </c>
      <c r="AV5634">
        <v>0</v>
      </c>
      <c r="AW5634">
        <v>0</v>
      </c>
    </row>
    <row r="5635" spans="1:49" x14ac:dyDescent="0.25">
      <c r="A5635" t="str">
        <f>"5631"</f>
        <v>5631</v>
      </c>
      <c r="B5635" t="str">
        <f t="shared" si="325"/>
        <v>1</v>
      </c>
      <c r="C5635" t="str">
        <f t="shared" si="327"/>
        <v>248</v>
      </c>
      <c r="D5635" t="str">
        <f>"4"</f>
        <v>4</v>
      </c>
      <c r="E5635" t="str">
        <f>"1-248-4"</f>
        <v>1-248-4</v>
      </c>
      <c r="F5635" t="s">
        <v>83</v>
      </c>
      <c r="G5635" t="s">
        <v>84</v>
      </c>
      <c r="H5635" t="s">
        <v>92</v>
      </c>
      <c r="I5635">
        <v>1</v>
      </c>
      <c r="J5635">
        <v>1</v>
      </c>
      <c r="N5635">
        <v>1</v>
      </c>
      <c r="O5635">
        <v>1</v>
      </c>
      <c r="P5635">
        <v>0</v>
      </c>
      <c r="Q5635">
        <v>0</v>
      </c>
      <c r="R5635">
        <v>0</v>
      </c>
      <c r="S5635">
        <v>1</v>
      </c>
      <c r="T5635">
        <v>0</v>
      </c>
      <c r="W5635">
        <v>1</v>
      </c>
      <c r="X5635">
        <v>1</v>
      </c>
      <c r="Y5635">
        <v>1</v>
      </c>
      <c r="Z5635">
        <v>0</v>
      </c>
      <c r="AA5635">
        <v>0</v>
      </c>
      <c r="AB5635">
        <v>1</v>
      </c>
    </row>
    <row r="5636" spans="1:49" x14ac:dyDescent="0.25">
      <c r="A5636" t="str">
        <f>"5632"</f>
        <v>5632</v>
      </c>
      <c r="B5636" t="str">
        <f t="shared" si="325"/>
        <v>1</v>
      </c>
      <c r="C5636" t="str">
        <f t="shared" si="327"/>
        <v>248</v>
      </c>
      <c r="D5636" t="str">
        <f>"23"</f>
        <v>23</v>
      </c>
      <c r="E5636" t="str">
        <f>"1-248-23"</f>
        <v>1-248-23</v>
      </c>
      <c r="F5636" t="s">
        <v>83</v>
      </c>
      <c r="G5636" t="s">
        <v>86</v>
      </c>
      <c r="H5636" t="s">
        <v>93</v>
      </c>
      <c r="I5636">
        <v>1</v>
      </c>
      <c r="K5636">
        <v>0</v>
      </c>
      <c r="L5636">
        <v>0</v>
      </c>
      <c r="M5636">
        <v>1</v>
      </c>
      <c r="N5636">
        <v>1</v>
      </c>
      <c r="O5636">
        <v>1</v>
      </c>
      <c r="P5636">
        <v>1</v>
      </c>
      <c r="Q5636">
        <v>1</v>
      </c>
      <c r="R5636">
        <v>1</v>
      </c>
      <c r="U5636">
        <v>0</v>
      </c>
      <c r="V5636">
        <v>1</v>
      </c>
      <c r="W5636">
        <v>1</v>
      </c>
      <c r="X5636">
        <v>1</v>
      </c>
      <c r="Y5636">
        <v>1</v>
      </c>
      <c r="Z5636">
        <v>1</v>
      </c>
      <c r="AA5636">
        <v>1</v>
      </c>
      <c r="AB5636">
        <v>1</v>
      </c>
    </row>
    <row r="5637" spans="1:49" x14ac:dyDescent="0.25">
      <c r="A5637" t="str">
        <f>"5633"</f>
        <v>5633</v>
      </c>
      <c r="B5637" t="str">
        <f t="shared" si="325"/>
        <v>1</v>
      </c>
      <c r="C5637" t="str">
        <f t="shared" si="327"/>
        <v>248</v>
      </c>
      <c r="D5637" t="str">
        <f>"22"</f>
        <v>22</v>
      </c>
      <c r="E5637" t="str">
        <f>"1-248-22"</f>
        <v>1-248-22</v>
      </c>
      <c r="F5637" t="s">
        <v>83</v>
      </c>
      <c r="G5637" t="s">
        <v>84</v>
      </c>
      <c r="H5637" t="s">
        <v>85</v>
      </c>
      <c r="AC5637">
        <v>1</v>
      </c>
      <c r="AD5637">
        <v>0</v>
      </c>
      <c r="AE5637">
        <v>0</v>
      </c>
      <c r="AF5637">
        <v>0</v>
      </c>
      <c r="AG5637">
        <v>1</v>
      </c>
      <c r="AJ5637">
        <v>1</v>
      </c>
      <c r="AK5637">
        <v>0</v>
      </c>
      <c r="AL5637">
        <v>0</v>
      </c>
      <c r="AM5637">
        <v>0</v>
      </c>
      <c r="AN5637">
        <v>1</v>
      </c>
      <c r="AO5637">
        <v>1</v>
      </c>
      <c r="AP5637">
        <v>1</v>
      </c>
      <c r="AQ5637">
        <v>1</v>
      </c>
      <c r="AR5637">
        <v>1</v>
      </c>
      <c r="AS5637">
        <v>1</v>
      </c>
      <c r="AT5637">
        <v>0</v>
      </c>
      <c r="AV5637">
        <v>1</v>
      </c>
      <c r="AW5637">
        <v>1</v>
      </c>
    </row>
    <row r="5638" spans="1:49" x14ac:dyDescent="0.25">
      <c r="A5638" t="str">
        <f>"5634"</f>
        <v>5634</v>
      </c>
      <c r="B5638" t="str">
        <f t="shared" si="325"/>
        <v>1</v>
      </c>
      <c r="C5638" t="str">
        <f t="shared" si="327"/>
        <v>248</v>
      </c>
      <c r="D5638" t="str">
        <f>"15"</f>
        <v>15</v>
      </c>
      <c r="E5638" t="str">
        <f>"1-248-15"</f>
        <v>1-248-15</v>
      </c>
      <c r="F5638" t="s">
        <v>83</v>
      </c>
      <c r="G5638" t="s">
        <v>86</v>
      </c>
      <c r="H5638" t="s">
        <v>87</v>
      </c>
      <c r="AC5638">
        <v>0</v>
      </c>
      <c r="AD5638">
        <v>1</v>
      </c>
      <c r="AE5638">
        <v>0</v>
      </c>
      <c r="AF5638">
        <v>0</v>
      </c>
      <c r="AH5638">
        <v>0</v>
      </c>
      <c r="AI5638">
        <v>1</v>
      </c>
      <c r="AJ5638">
        <v>0</v>
      </c>
      <c r="AK5638">
        <v>1</v>
      </c>
      <c r="AL5638">
        <v>0</v>
      </c>
      <c r="AM5638">
        <v>0</v>
      </c>
      <c r="AN5638">
        <v>1</v>
      </c>
      <c r="AO5638">
        <v>1</v>
      </c>
      <c r="AP5638">
        <v>1</v>
      </c>
      <c r="AQ5638">
        <v>1</v>
      </c>
      <c r="AU5638">
        <v>1</v>
      </c>
      <c r="AV5638">
        <v>1</v>
      </c>
      <c r="AW5638">
        <v>1</v>
      </c>
    </row>
    <row r="5639" spans="1:49" x14ac:dyDescent="0.25">
      <c r="A5639" t="str">
        <f>"5635"</f>
        <v>5635</v>
      </c>
      <c r="B5639" t="str">
        <f t="shared" si="325"/>
        <v>1</v>
      </c>
      <c r="C5639" t="str">
        <f t="shared" si="327"/>
        <v>248</v>
      </c>
      <c r="D5639" t="str">
        <f>"10"</f>
        <v>10</v>
      </c>
      <c r="E5639" t="str">
        <f>"1-248-10"</f>
        <v>1-248-10</v>
      </c>
      <c r="F5639" t="s">
        <v>83</v>
      </c>
      <c r="G5639" t="s">
        <v>84</v>
      </c>
      <c r="H5639" t="s">
        <v>85</v>
      </c>
      <c r="AC5639">
        <v>0</v>
      </c>
      <c r="AD5639">
        <v>1</v>
      </c>
      <c r="AE5639">
        <v>0</v>
      </c>
      <c r="AF5639">
        <v>0</v>
      </c>
      <c r="AG5639">
        <v>0</v>
      </c>
      <c r="AJ5639">
        <v>0</v>
      </c>
      <c r="AK5639">
        <v>1</v>
      </c>
      <c r="AL5639">
        <v>0</v>
      </c>
      <c r="AM5639">
        <v>0</v>
      </c>
      <c r="AN5639">
        <v>0</v>
      </c>
      <c r="AO5639">
        <v>0</v>
      </c>
      <c r="AP5639">
        <v>0</v>
      </c>
      <c r="AQ5639">
        <v>0</v>
      </c>
      <c r="AR5639">
        <v>0</v>
      </c>
      <c r="AS5639">
        <v>0</v>
      </c>
      <c r="AT5639">
        <v>0</v>
      </c>
      <c r="AV5639">
        <v>0</v>
      </c>
      <c r="AW5639">
        <v>0</v>
      </c>
    </row>
    <row r="5640" spans="1:49" x14ac:dyDescent="0.25">
      <c r="A5640" t="str">
        <f>"5636"</f>
        <v>5636</v>
      </c>
      <c r="B5640" t="str">
        <f t="shared" si="325"/>
        <v>1</v>
      </c>
      <c r="C5640" t="str">
        <f t="shared" si="327"/>
        <v>248</v>
      </c>
      <c r="D5640" t="str">
        <f>"5"</f>
        <v>5</v>
      </c>
      <c r="E5640" t="str">
        <f>"1-248-5"</f>
        <v>1-248-5</v>
      </c>
      <c r="F5640" t="s">
        <v>83</v>
      </c>
      <c r="G5640" t="s">
        <v>86</v>
      </c>
      <c r="H5640" t="s">
        <v>93</v>
      </c>
      <c r="I5640">
        <v>1</v>
      </c>
      <c r="K5640">
        <v>0</v>
      </c>
      <c r="L5640">
        <v>1</v>
      </c>
      <c r="M5640">
        <v>0</v>
      </c>
      <c r="N5640">
        <v>1</v>
      </c>
      <c r="O5640">
        <v>1</v>
      </c>
      <c r="P5640">
        <v>1</v>
      </c>
      <c r="Q5640">
        <v>1</v>
      </c>
      <c r="R5640">
        <v>1</v>
      </c>
      <c r="U5640">
        <v>0</v>
      </c>
      <c r="V5640">
        <v>1</v>
      </c>
      <c r="W5640">
        <v>1</v>
      </c>
      <c r="X5640">
        <v>1</v>
      </c>
      <c r="Y5640">
        <v>1</v>
      </c>
      <c r="Z5640">
        <v>1</v>
      </c>
      <c r="AA5640">
        <v>1</v>
      </c>
      <c r="AB5640">
        <v>1</v>
      </c>
    </row>
    <row r="5641" spans="1:49" x14ac:dyDescent="0.25">
      <c r="A5641" t="str">
        <f>"5637"</f>
        <v>5637</v>
      </c>
      <c r="B5641" t="str">
        <f t="shared" si="325"/>
        <v>1</v>
      </c>
      <c r="C5641" t="str">
        <f t="shared" si="327"/>
        <v>248</v>
      </c>
      <c r="D5641" t="str">
        <f>"19"</f>
        <v>19</v>
      </c>
      <c r="E5641" t="str">
        <f>"1-248-19"</f>
        <v>1-248-19</v>
      </c>
      <c r="F5641" t="s">
        <v>83</v>
      </c>
      <c r="G5641" t="s">
        <v>84</v>
      </c>
      <c r="H5641" t="s">
        <v>85</v>
      </c>
      <c r="AC5641">
        <v>0</v>
      </c>
      <c r="AD5641">
        <v>1</v>
      </c>
      <c r="AE5641">
        <v>0</v>
      </c>
      <c r="AF5641">
        <v>0</v>
      </c>
      <c r="AG5641">
        <v>1</v>
      </c>
      <c r="AJ5641">
        <v>0</v>
      </c>
      <c r="AK5641">
        <v>1</v>
      </c>
      <c r="AL5641">
        <v>0</v>
      </c>
      <c r="AM5641">
        <v>0</v>
      </c>
      <c r="AN5641">
        <v>1</v>
      </c>
      <c r="AO5641">
        <v>1</v>
      </c>
      <c r="AP5641">
        <v>1</v>
      </c>
      <c r="AQ5641">
        <v>1</v>
      </c>
      <c r="AR5641">
        <v>1</v>
      </c>
      <c r="AS5641">
        <v>1</v>
      </c>
      <c r="AT5641">
        <v>0</v>
      </c>
      <c r="AV5641">
        <v>1</v>
      </c>
      <c r="AW5641">
        <v>1</v>
      </c>
    </row>
    <row r="5642" spans="1:49" x14ac:dyDescent="0.25">
      <c r="A5642" t="str">
        <f>"5638"</f>
        <v>5638</v>
      </c>
      <c r="B5642" t="str">
        <f t="shared" si="325"/>
        <v>1</v>
      </c>
      <c r="C5642" t="str">
        <f t="shared" si="327"/>
        <v>248</v>
      </c>
      <c r="D5642" t="str">
        <f>"11"</f>
        <v>11</v>
      </c>
      <c r="E5642" t="str">
        <f>"1-248-11"</f>
        <v>1-248-11</v>
      </c>
      <c r="F5642" t="s">
        <v>83</v>
      </c>
      <c r="G5642" t="s">
        <v>84</v>
      </c>
      <c r="H5642" t="s">
        <v>85</v>
      </c>
      <c r="AC5642">
        <v>1</v>
      </c>
      <c r="AD5642">
        <v>0</v>
      </c>
      <c r="AE5642">
        <v>0</v>
      </c>
      <c r="AF5642">
        <v>0</v>
      </c>
      <c r="AG5642">
        <v>0</v>
      </c>
      <c r="AJ5642">
        <v>1</v>
      </c>
      <c r="AK5642">
        <v>0</v>
      </c>
      <c r="AL5642">
        <v>1</v>
      </c>
      <c r="AM5642">
        <v>0</v>
      </c>
      <c r="AN5642">
        <v>0</v>
      </c>
      <c r="AO5642">
        <v>0</v>
      </c>
      <c r="AP5642">
        <v>0</v>
      </c>
      <c r="AQ5642">
        <v>0</v>
      </c>
      <c r="AR5642">
        <v>0</v>
      </c>
      <c r="AS5642">
        <v>1</v>
      </c>
      <c r="AT5642">
        <v>0</v>
      </c>
      <c r="AV5642">
        <v>1</v>
      </c>
      <c r="AW5642">
        <v>0</v>
      </c>
    </row>
    <row r="5643" spans="1:49" x14ac:dyDescent="0.25">
      <c r="A5643" t="str">
        <f>"5639"</f>
        <v>5639</v>
      </c>
      <c r="B5643" t="str">
        <f t="shared" si="325"/>
        <v>1</v>
      </c>
      <c r="C5643" t="str">
        <f t="shared" si="327"/>
        <v>248</v>
      </c>
      <c r="D5643" t="str">
        <f>"7"</f>
        <v>7</v>
      </c>
      <c r="E5643" t="str">
        <f>"1-248-7"</f>
        <v>1-248-7</v>
      </c>
      <c r="F5643" t="s">
        <v>83</v>
      </c>
      <c r="G5643" t="s">
        <v>84</v>
      </c>
      <c r="H5643" t="s">
        <v>85</v>
      </c>
      <c r="AC5643">
        <v>1</v>
      </c>
      <c r="AD5643">
        <v>0</v>
      </c>
      <c r="AE5643">
        <v>0</v>
      </c>
      <c r="AF5643">
        <v>0</v>
      </c>
      <c r="AG5643">
        <v>1</v>
      </c>
      <c r="AJ5643">
        <v>0</v>
      </c>
      <c r="AK5643">
        <v>1</v>
      </c>
      <c r="AL5643">
        <v>0</v>
      </c>
      <c r="AM5643">
        <v>1</v>
      </c>
      <c r="AN5643">
        <v>0</v>
      </c>
      <c r="AO5643">
        <v>1</v>
      </c>
      <c r="AP5643">
        <v>1</v>
      </c>
      <c r="AQ5643">
        <v>1</v>
      </c>
      <c r="AR5643">
        <v>1</v>
      </c>
      <c r="AS5643">
        <v>0</v>
      </c>
      <c r="AT5643">
        <v>1</v>
      </c>
      <c r="AV5643">
        <v>1</v>
      </c>
      <c r="AW5643">
        <v>1</v>
      </c>
    </row>
    <row r="5644" spans="1:49" x14ac:dyDescent="0.25">
      <c r="A5644" t="str">
        <f>"5640"</f>
        <v>5640</v>
      </c>
      <c r="B5644" t="str">
        <f t="shared" si="325"/>
        <v>1</v>
      </c>
      <c r="C5644" t="str">
        <f t="shared" si="327"/>
        <v>248</v>
      </c>
      <c r="D5644" t="str">
        <f>"16"</f>
        <v>16</v>
      </c>
      <c r="E5644" t="str">
        <f>"1-248-16"</f>
        <v>1-248-16</v>
      </c>
      <c r="F5644" t="s">
        <v>83</v>
      </c>
      <c r="G5644" t="s">
        <v>86</v>
      </c>
      <c r="H5644" t="s">
        <v>87</v>
      </c>
      <c r="AC5644">
        <v>0</v>
      </c>
      <c r="AD5644">
        <v>1</v>
      </c>
      <c r="AE5644">
        <v>0</v>
      </c>
      <c r="AF5644">
        <v>0</v>
      </c>
      <c r="AH5644">
        <v>0</v>
      </c>
      <c r="AI5644">
        <v>1</v>
      </c>
      <c r="AJ5644">
        <v>1</v>
      </c>
      <c r="AK5644">
        <v>0</v>
      </c>
      <c r="AL5644">
        <v>0</v>
      </c>
      <c r="AM5644">
        <v>0</v>
      </c>
      <c r="AN5644">
        <v>1</v>
      </c>
      <c r="AO5644">
        <v>1</v>
      </c>
      <c r="AP5644">
        <v>1</v>
      </c>
      <c r="AQ5644">
        <v>1</v>
      </c>
      <c r="AU5644">
        <v>1</v>
      </c>
      <c r="AV5644">
        <v>1</v>
      </c>
      <c r="AW5644">
        <v>1</v>
      </c>
    </row>
    <row r="5645" spans="1:49" x14ac:dyDescent="0.25">
      <c r="A5645" t="str">
        <f>"5641"</f>
        <v>5641</v>
      </c>
      <c r="B5645" t="str">
        <f t="shared" si="325"/>
        <v>1</v>
      </c>
      <c r="C5645" t="str">
        <f t="shared" si="327"/>
        <v>248</v>
      </c>
      <c r="D5645" t="str">
        <f>"12"</f>
        <v>12</v>
      </c>
      <c r="E5645" t="str">
        <f>"1-248-12"</f>
        <v>1-248-12</v>
      </c>
      <c r="F5645" t="s">
        <v>83</v>
      </c>
      <c r="G5645" t="s">
        <v>86</v>
      </c>
      <c r="H5645" t="s">
        <v>87</v>
      </c>
      <c r="AC5645">
        <v>1</v>
      </c>
      <c r="AD5645">
        <v>0</v>
      </c>
      <c r="AE5645">
        <v>0</v>
      </c>
      <c r="AF5645">
        <v>0</v>
      </c>
      <c r="AH5645">
        <v>0</v>
      </c>
      <c r="AI5645">
        <v>1</v>
      </c>
      <c r="AJ5645">
        <v>1</v>
      </c>
      <c r="AK5645">
        <v>0</v>
      </c>
      <c r="AL5645">
        <v>1</v>
      </c>
      <c r="AM5645">
        <v>0</v>
      </c>
      <c r="AN5645">
        <v>0</v>
      </c>
      <c r="AO5645">
        <v>0</v>
      </c>
      <c r="AP5645">
        <v>0</v>
      </c>
      <c r="AQ5645">
        <v>0</v>
      </c>
      <c r="AU5645">
        <v>1</v>
      </c>
      <c r="AV5645">
        <v>0</v>
      </c>
      <c r="AW5645">
        <v>0</v>
      </c>
    </row>
    <row r="5646" spans="1:49" x14ac:dyDescent="0.25">
      <c r="A5646" t="str">
        <f>"5642"</f>
        <v>5642</v>
      </c>
      <c r="B5646" t="str">
        <f t="shared" si="325"/>
        <v>1</v>
      </c>
      <c r="C5646" t="str">
        <f t="shared" si="327"/>
        <v>248</v>
      </c>
      <c r="D5646" t="str">
        <f>"1"</f>
        <v>1</v>
      </c>
      <c r="E5646" t="str">
        <f>"1-248-1"</f>
        <v>1-248-1</v>
      </c>
      <c r="F5646" t="s">
        <v>83</v>
      </c>
      <c r="G5646" t="s">
        <v>84</v>
      </c>
      <c r="H5646" t="s">
        <v>85</v>
      </c>
      <c r="AC5646">
        <v>0</v>
      </c>
      <c r="AD5646">
        <v>1</v>
      </c>
      <c r="AE5646">
        <v>0</v>
      </c>
      <c r="AF5646">
        <v>0</v>
      </c>
      <c r="AG5646">
        <v>1</v>
      </c>
      <c r="AJ5646">
        <v>0</v>
      </c>
      <c r="AK5646">
        <v>1</v>
      </c>
      <c r="AL5646">
        <v>0</v>
      </c>
      <c r="AM5646">
        <v>1</v>
      </c>
      <c r="AN5646">
        <v>0</v>
      </c>
      <c r="AO5646">
        <v>1</v>
      </c>
      <c r="AP5646">
        <v>1</v>
      </c>
      <c r="AQ5646">
        <v>1</v>
      </c>
      <c r="AR5646">
        <v>1</v>
      </c>
      <c r="AS5646">
        <v>0</v>
      </c>
      <c r="AT5646">
        <v>1</v>
      </c>
      <c r="AV5646">
        <v>1</v>
      </c>
      <c r="AW5646">
        <v>1</v>
      </c>
    </row>
    <row r="5647" spans="1:49" x14ac:dyDescent="0.25">
      <c r="A5647" t="str">
        <f>"5643"</f>
        <v>5643</v>
      </c>
      <c r="B5647" t="str">
        <f t="shared" si="325"/>
        <v>1</v>
      </c>
      <c r="C5647" t="str">
        <f t="shared" si="327"/>
        <v>248</v>
      </c>
      <c r="D5647" t="str">
        <f>"20"</f>
        <v>20</v>
      </c>
      <c r="E5647" t="str">
        <f>"1-248-20"</f>
        <v>1-248-20</v>
      </c>
      <c r="F5647" t="s">
        <v>83</v>
      </c>
      <c r="G5647" t="s">
        <v>84</v>
      </c>
      <c r="H5647" t="s">
        <v>85</v>
      </c>
      <c r="AC5647">
        <v>0</v>
      </c>
      <c r="AD5647">
        <v>1</v>
      </c>
      <c r="AE5647">
        <v>0</v>
      </c>
      <c r="AF5647">
        <v>0</v>
      </c>
      <c r="AG5647">
        <v>1</v>
      </c>
      <c r="AJ5647">
        <v>0</v>
      </c>
      <c r="AK5647">
        <v>1</v>
      </c>
      <c r="AL5647">
        <v>0</v>
      </c>
      <c r="AM5647">
        <v>0</v>
      </c>
      <c r="AN5647">
        <v>1</v>
      </c>
      <c r="AO5647">
        <v>1</v>
      </c>
      <c r="AP5647">
        <v>1</v>
      </c>
      <c r="AQ5647">
        <v>1</v>
      </c>
      <c r="AR5647">
        <v>1</v>
      </c>
      <c r="AS5647">
        <v>0</v>
      </c>
      <c r="AT5647">
        <v>1</v>
      </c>
      <c r="AV5647">
        <v>1</v>
      </c>
      <c r="AW5647">
        <v>1</v>
      </c>
    </row>
    <row r="5648" spans="1:49" x14ac:dyDescent="0.25">
      <c r="A5648" t="str">
        <f>"5644"</f>
        <v>5644</v>
      </c>
      <c r="B5648" t="str">
        <f t="shared" si="325"/>
        <v>1</v>
      </c>
      <c r="C5648" t="str">
        <f t="shared" si="327"/>
        <v>248</v>
      </c>
      <c r="D5648" t="str">
        <f>"2"</f>
        <v>2</v>
      </c>
      <c r="E5648" t="str">
        <f>"1-248-2"</f>
        <v>1-248-2</v>
      </c>
      <c r="F5648" t="s">
        <v>83</v>
      </c>
      <c r="G5648" t="s">
        <v>84</v>
      </c>
      <c r="H5648" t="s">
        <v>92</v>
      </c>
      <c r="I5648">
        <v>1</v>
      </c>
      <c r="J5648">
        <v>1</v>
      </c>
      <c r="N5648">
        <v>1</v>
      </c>
      <c r="O5648">
        <v>1</v>
      </c>
      <c r="P5648">
        <v>1</v>
      </c>
      <c r="Q5648">
        <v>1</v>
      </c>
      <c r="R5648">
        <v>1</v>
      </c>
      <c r="S5648">
        <v>1</v>
      </c>
      <c r="T5648">
        <v>1</v>
      </c>
      <c r="W5648">
        <v>1</v>
      </c>
      <c r="X5648">
        <v>1</v>
      </c>
      <c r="Y5648">
        <v>1</v>
      </c>
      <c r="Z5648">
        <v>1</v>
      </c>
      <c r="AA5648">
        <v>1</v>
      </c>
      <c r="AB5648">
        <v>1</v>
      </c>
    </row>
    <row r="5649" spans="1:49" x14ac:dyDescent="0.25">
      <c r="A5649" t="str">
        <f>"5645"</f>
        <v>5645</v>
      </c>
      <c r="B5649" t="str">
        <f t="shared" si="325"/>
        <v>1</v>
      </c>
      <c r="C5649" t="str">
        <f t="shared" si="327"/>
        <v>248</v>
      </c>
      <c r="D5649" t="str">
        <f>"21"</f>
        <v>21</v>
      </c>
      <c r="E5649" t="str">
        <f>"1-248-21"</f>
        <v>1-248-21</v>
      </c>
      <c r="F5649" t="s">
        <v>83</v>
      </c>
      <c r="G5649" t="s">
        <v>84</v>
      </c>
      <c r="H5649" t="s">
        <v>85</v>
      </c>
      <c r="AC5649">
        <v>0</v>
      </c>
      <c r="AD5649">
        <v>1</v>
      </c>
      <c r="AE5649">
        <v>0</v>
      </c>
      <c r="AF5649">
        <v>0</v>
      </c>
      <c r="AG5649">
        <v>1</v>
      </c>
      <c r="AJ5649">
        <v>1</v>
      </c>
      <c r="AK5649">
        <v>0</v>
      </c>
      <c r="AL5649">
        <v>0</v>
      </c>
      <c r="AM5649">
        <v>0</v>
      </c>
      <c r="AN5649">
        <v>1</v>
      </c>
      <c r="AO5649">
        <v>1</v>
      </c>
      <c r="AP5649">
        <v>1</v>
      </c>
      <c r="AQ5649">
        <v>1</v>
      </c>
      <c r="AR5649">
        <v>1</v>
      </c>
      <c r="AS5649">
        <v>0</v>
      </c>
      <c r="AT5649">
        <v>1</v>
      </c>
      <c r="AV5649">
        <v>1</v>
      </c>
      <c r="AW5649">
        <v>1</v>
      </c>
    </row>
    <row r="5650" spans="1:49" x14ac:dyDescent="0.25">
      <c r="A5650" t="str">
        <f>"5646"</f>
        <v>5646</v>
      </c>
      <c r="B5650" t="str">
        <f t="shared" si="325"/>
        <v>1</v>
      </c>
      <c r="C5650" t="str">
        <f t="shared" si="327"/>
        <v>248</v>
      </c>
      <c r="D5650" t="str">
        <f>"6"</f>
        <v>6</v>
      </c>
      <c r="E5650" t="str">
        <f>"1-248-6"</f>
        <v>1-248-6</v>
      </c>
      <c r="F5650" t="s">
        <v>83</v>
      </c>
      <c r="G5650" t="s">
        <v>84</v>
      </c>
      <c r="H5650" t="s">
        <v>85</v>
      </c>
      <c r="AC5650">
        <v>1</v>
      </c>
      <c r="AD5650">
        <v>0</v>
      </c>
      <c r="AE5650">
        <v>0</v>
      </c>
      <c r="AF5650">
        <v>0</v>
      </c>
      <c r="AG5650">
        <v>0</v>
      </c>
      <c r="AJ5650">
        <v>1</v>
      </c>
      <c r="AK5650">
        <v>0</v>
      </c>
      <c r="AL5650">
        <v>0</v>
      </c>
      <c r="AM5650">
        <v>1</v>
      </c>
      <c r="AN5650">
        <v>0</v>
      </c>
      <c r="AO5650">
        <v>0</v>
      </c>
      <c r="AP5650">
        <v>0</v>
      </c>
      <c r="AQ5650">
        <v>0</v>
      </c>
      <c r="AR5650">
        <v>0</v>
      </c>
      <c r="AS5650">
        <v>1</v>
      </c>
      <c r="AT5650">
        <v>0</v>
      </c>
      <c r="AV5650">
        <v>0</v>
      </c>
      <c r="AW5650">
        <v>0</v>
      </c>
    </row>
    <row r="5651" spans="1:49" x14ac:dyDescent="0.25">
      <c r="A5651" t="str">
        <f>"5647"</f>
        <v>5647</v>
      </c>
      <c r="B5651" t="str">
        <f t="shared" si="325"/>
        <v>1</v>
      </c>
      <c r="C5651" t="str">
        <f t="shared" si="327"/>
        <v>248</v>
      </c>
      <c r="D5651" t="str">
        <f>"8"</f>
        <v>8</v>
      </c>
      <c r="E5651" t="str">
        <f>"1-248-8"</f>
        <v>1-248-8</v>
      </c>
      <c r="F5651" t="s">
        <v>83</v>
      </c>
      <c r="G5651" t="s">
        <v>86</v>
      </c>
      <c r="H5651" t="s">
        <v>93</v>
      </c>
      <c r="I5651">
        <v>1</v>
      </c>
      <c r="K5651">
        <v>0</v>
      </c>
      <c r="L5651">
        <v>0</v>
      </c>
      <c r="M5651">
        <v>1</v>
      </c>
      <c r="N5651">
        <v>1</v>
      </c>
      <c r="O5651">
        <v>0</v>
      </c>
      <c r="P5651">
        <v>0</v>
      </c>
      <c r="Q5651">
        <v>1</v>
      </c>
      <c r="R5651">
        <v>0</v>
      </c>
      <c r="U5651">
        <v>0</v>
      </c>
      <c r="V5651">
        <v>0</v>
      </c>
      <c r="W5651">
        <v>0</v>
      </c>
      <c r="X5651">
        <v>1</v>
      </c>
      <c r="Y5651">
        <v>0</v>
      </c>
      <c r="Z5651">
        <v>1</v>
      </c>
      <c r="AA5651">
        <v>0</v>
      </c>
      <c r="AB5651">
        <v>0</v>
      </c>
    </row>
    <row r="5652" spans="1:49" x14ac:dyDescent="0.25">
      <c r="A5652" t="str">
        <f>"5648"</f>
        <v>5648</v>
      </c>
      <c r="B5652" t="str">
        <f t="shared" si="325"/>
        <v>1</v>
      </c>
      <c r="C5652" t="str">
        <f t="shared" ref="C5652:C5666" si="328">"249"</f>
        <v>249</v>
      </c>
      <c r="D5652" t="str">
        <f>"15"</f>
        <v>15</v>
      </c>
      <c r="E5652" t="str">
        <f>"1-249-15"</f>
        <v>1-249-15</v>
      </c>
      <c r="F5652" t="s">
        <v>83</v>
      </c>
      <c r="G5652" t="s">
        <v>84</v>
      </c>
      <c r="H5652" t="s">
        <v>85</v>
      </c>
      <c r="AC5652">
        <v>0</v>
      </c>
      <c r="AD5652">
        <v>1</v>
      </c>
      <c r="AE5652">
        <v>0</v>
      </c>
      <c r="AF5652">
        <v>0</v>
      </c>
      <c r="AG5652">
        <v>1</v>
      </c>
      <c r="AJ5652">
        <v>0</v>
      </c>
      <c r="AK5652">
        <v>1</v>
      </c>
      <c r="AL5652">
        <v>0</v>
      </c>
      <c r="AM5652">
        <v>1</v>
      </c>
      <c r="AN5652">
        <v>0</v>
      </c>
      <c r="AO5652">
        <v>1</v>
      </c>
      <c r="AP5652">
        <v>1</v>
      </c>
      <c r="AQ5652">
        <v>1</v>
      </c>
      <c r="AR5652">
        <v>1</v>
      </c>
      <c r="AS5652">
        <v>0</v>
      </c>
      <c r="AT5652">
        <v>1</v>
      </c>
      <c r="AV5652">
        <v>1</v>
      </c>
      <c r="AW5652">
        <v>1</v>
      </c>
    </row>
    <row r="5653" spans="1:49" x14ac:dyDescent="0.25">
      <c r="A5653" t="str">
        <f>"5649"</f>
        <v>5649</v>
      </c>
      <c r="B5653" t="str">
        <f t="shared" si="325"/>
        <v>1</v>
      </c>
      <c r="C5653" t="str">
        <f t="shared" si="328"/>
        <v>249</v>
      </c>
      <c r="D5653" t="str">
        <f>"14"</f>
        <v>14</v>
      </c>
      <c r="E5653" t="str">
        <f>"1-249-14"</f>
        <v>1-249-14</v>
      </c>
      <c r="F5653" t="s">
        <v>83</v>
      </c>
      <c r="G5653" t="s">
        <v>84</v>
      </c>
      <c r="H5653" t="s">
        <v>85</v>
      </c>
      <c r="AC5653">
        <v>0</v>
      </c>
      <c r="AD5653">
        <v>1</v>
      </c>
      <c r="AE5653">
        <v>0</v>
      </c>
      <c r="AF5653">
        <v>0</v>
      </c>
      <c r="AG5653">
        <v>1</v>
      </c>
      <c r="AJ5653">
        <v>0</v>
      </c>
      <c r="AK5653">
        <v>1</v>
      </c>
      <c r="AL5653">
        <v>0</v>
      </c>
      <c r="AM5653">
        <v>1</v>
      </c>
      <c r="AN5653">
        <v>0</v>
      </c>
      <c r="AO5653">
        <v>1</v>
      </c>
      <c r="AP5653">
        <v>1</v>
      </c>
      <c r="AQ5653">
        <v>1</v>
      </c>
      <c r="AR5653">
        <v>1</v>
      </c>
      <c r="AS5653">
        <v>0</v>
      </c>
      <c r="AT5653">
        <v>1</v>
      </c>
      <c r="AV5653">
        <v>1</v>
      </c>
      <c r="AW5653">
        <v>1</v>
      </c>
    </row>
    <row r="5654" spans="1:49" x14ac:dyDescent="0.25">
      <c r="A5654" t="str">
        <f>"5650"</f>
        <v>5650</v>
      </c>
      <c r="B5654" t="str">
        <f t="shared" si="325"/>
        <v>1</v>
      </c>
      <c r="C5654" t="str">
        <f t="shared" si="328"/>
        <v>249</v>
      </c>
      <c r="D5654" t="str">
        <f>"11"</f>
        <v>11</v>
      </c>
      <c r="E5654" t="str">
        <f>"1-249-11"</f>
        <v>1-249-11</v>
      </c>
      <c r="F5654" t="s">
        <v>83</v>
      </c>
      <c r="G5654" t="s">
        <v>84</v>
      </c>
      <c r="H5654" t="s">
        <v>85</v>
      </c>
      <c r="AC5654">
        <v>0</v>
      </c>
      <c r="AD5654">
        <v>0</v>
      </c>
      <c r="AE5654">
        <v>0</v>
      </c>
      <c r="AF5654">
        <v>0</v>
      </c>
      <c r="AG5654">
        <v>0</v>
      </c>
      <c r="AJ5654">
        <v>0</v>
      </c>
      <c r="AK5654">
        <v>0</v>
      </c>
      <c r="AL5654">
        <v>0</v>
      </c>
      <c r="AM5654">
        <v>0</v>
      </c>
      <c r="AN5654">
        <v>1</v>
      </c>
      <c r="AO5654">
        <v>0</v>
      </c>
      <c r="AP5654">
        <v>0</v>
      </c>
      <c r="AQ5654">
        <v>0</v>
      </c>
      <c r="AR5654">
        <v>0</v>
      </c>
      <c r="AS5654">
        <v>0</v>
      </c>
      <c r="AT5654">
        <v>0</v>
      </c>
      <c r="AV5654">
        <v>0</v>
      </c>
      <c r="AW5654">
        <v>0</v>
      </c>
    </row>
    <row r="5655" spans="1:49" x14ac:dyDescent="0.25">
      <c r="A5655" t="str">
        <f>"5651"</f>
        <v>5651</v>
      </c>
      <c r="B5655" t="str">
        <f t="shared" si="325"/>
        <v>1</v>
      </c>
      <c r="C5655" t="str">
        <f t="shared" si="328"/>
        <v>249</v>
      </c>
      <c r="D5655" t="str">
        <f>"8"</f>
        <v>8</v>
      </c>
      <c r="E5655" t="str">
        <f>"1-249-8"</f>
        <v>1-249-8</v>
      </c>
      <c r="F5655" t="s">
        <v>83</v>
      </c>
      <c r="G5655" t="s">
        <v>84</v>
      </c>
      <c r="H5655" t="s">
        <v>92</v>
      </c>
      <c r="I5655">
        <v>1</v>
      </c>
      <c r="J5655">
        <v>1</v>
      </c>
      <c r="N5655">
        <v>1</v>
      </c>
      <c r="O5655">
        <v>1</v>
      </c>
      <c r="P5655">
        <v>1</v>
      </c>
      <c r="Q5655">
        <v>1</v>
      </c>
      <c r="R5655">
        <v>1</v>
      </c>
      <c r="S5655">
        <v>1</v>
      </c>
      <c r="T5655">
        <v>1</v>
      </c>
      <c r="W5655">
        <v>1</v>
      </c>
      <c r="X5655">
        <v>1</v>
      </c>
      <c r="Y5655">
        <v>1</v>
      </c>
      <c r="Z5655">
        <v>1</v>
      </c>
      <c r="AA5655">
        <v>1</v>
      </c>
      <c r="AB5655">
        <v>1</v>
      </c>
    </row>
    <row r="5656" spans="1:49" x14ac:dyDescent="0.25">
      <c r="A5656" t="str">
        <f>"5652"</f>
        <v>5652</v>
      </c>
      <c r="B5656" t="str">
        <f t="shared" si="325"/>
        <v>1</v>
      </c>
      <c r="C5656" t="str">
        <f t="shared" si="328"/>
        <v>249</v>
      </c>
      <c r="D5656" t="str">
        <f>"1"</f>
        <v>1</v>
      </c>
      <c r="E5656" t="str">
        <f>"1-249-1"</f>
        <v>1-249-1</v>
      </c>
      <c r="F5656" t="s">
        <v>83</v>
      </c>
      <c r="G5656" t="s">
        <v>84</v>
      </c>
      <c r="H5656" t="s">
        <v>85</v>
      </c>
      <c r="AC5656">
        <v>0</v>
      </c>
      <c r="AD5656">
        <v>1</v>
      </c>
      <c r="AE5656">
        <v>0</v>
      </c>
      <c r="AF5656">
        <v>0</v>
      </c>
      <c r="AG5656">
        <v>0</v>
      </c>
      <c r="AJ5656">
        <v>0</v>
      </c>
      <c r="AK5656">
        <v>0</v>
      </c>
      <c r="AL5656">
        <v>0</v>
      </c>
      <c r="AM5656">
        <v>0</v>
      </c>
      <c r="AN5656">
        <v>0</v>
      </c>
      <c r="AO5656">
        <v>0</v>
      </c>
      <c r="AP5656">
        <v>0</v>
      </c>
      <c r="AQ5656">
        <v>0</v>
      </c>
      <c r="AR5656">
        <v>0</v>
      </c>
      <c r="AS5656">
        <v>0</v>
      </c>
      <c r="AT5656">
        <v>0</v>
      </c>
      <c r="AV5656">
        <v>0</v>
      </c>
      <c r="AW5656">
        <v>0</v>
      </c>
    </row>
    <row r="5657" spans="1:49" x14ac:dyDescent="0.25">
      <c r="A5657" t="str">
        <f>"5653"</f>
        <v>5653</v>
      </c>
      <c r="B5657" t="str">
        <f t="shared" si="325"/>
        <v>1</v>
      </c>
      <c r="C5657" t="str">
        <f t="shared" si="328"/>
        <v>249</v>
      </c>
      <c r="D5657" t="str">
        <f>"9"</f>
        <v>9</v>
      </c>
      <c r="E5657" t="str">
        <f>"1-249-9"</f>
        <v>1-249-9</v>
      </c>
      <c r="F5657" t="s">
        <v>83</v>
      </c>
      <c r="G5657" t="s">
        <v>84</v>
      </c>
      <c r="H5657" t="s">
        <v>92</v>
      </c>
      <c r="I5657">
        <v>1</v>
      </c>
      <c r="J5657">
        <v>1</v>
      </c>
      <c r="N5657">
        <v>1</v>
      </c>
      <c r="O5657">
        <v>1</v>
      </c>
      <c r="P5657">
        <v>1</v>
      </c>
      <c r="Q5657">
        <v>1</v>
      </c>
      <c r="R5657">
        <v>1</v>
      </c>
      <c r="S5657">
        <v>1</v>
      </c>
      <c r="T5657">
        <v>1</v>
      </c>
      <c r="W5657">
        <v>1</v>
      </c>
      <c r="X5657">
        <v>1</v>
      </c>
      <c r="Y5657">
        <v>1</v>
      </c>
      <c r="Z5657">
        <v>1</v>
      </c>
      <c r="AA5657">
        <v>1</v>
      </c>
      <c r="AB5657">
        <v>1</v>
      </c>
    </row>
    <row r="5658" spans="1:49" x14ac:dyDescent="0.25">
      <c r="A5658" t="str">
        <f>"5654"</f>
        <v>5654</v>
      </c>
      <c r="B5658" t="str">
        <f t="shared" si="325"/>
        <v>1</v>
      </c>
      <c r="C5658" t="str">
        <f t="shared" si="328"/>
        <v>249</v>
      </c>
      <c r="D5658" t="str">
        <f>"7"</f>
        <v>7</v>
      </c>
      <c r="E5658" t="str">
        <f>"1-249-7"</f>
        <v>1-249-7</v>
      </c>
      <c r="F5658" t="s">
        <v>83</v>
      </c>
      <c r="G5658" t="s">
        <v>84</v>
      </c>
      <c r="H5658" t="s">
        <v>92</v>
      </c>
      <c r="I5658">
        <v>1</v>
      </c>
      <c r="J5658">
        <v>1</v>
      </c>
      <c r="N5658">
        <v>1</v>
      </c>
      <c r="O5658">
        <v>1</v>
      </c>
      <c r="P5658">
        <v>1</v>
      </c>
      <c r="Q5658">
        <v>1</v>
      </c>
      <c r="R5658">
        <v>1</v>
      </c>
      <c r="S5658">
        <v>1</v>
      </c>
      <c r="T5658">
        <v>1</v>
      </c>
      <c r="W5658">
        <v>1</v>
      </c>
      <c r="X5658">
        <v>1</v>
      </c>
      <c r="Y5658">
        <v>1</v>
      </c>
      <c r="Z5658">
        <v>1</v>
      </c>
      <c r="AA5658">
        <v>1</v>
      </c>
      <c r="AB5658">
        <v>1</v>
      </c>
    </row>
    <row r="5659" spans="1:49" x14ac:dyDescent="0.25">
      <c r="A5659" t="str">
        <f>"5655"</f>
        <v>5655</v>
      </c>
      <c r="B5659" t="str">
        <f t="shared" si="325"/>
        <v>1</v>
      </c>
      <c r="C5659" t="str">
        <f t="shared" si="328"/>
        <v>249</v>
      </c>
      <c r="D5659" t="str">
        <f>"10"</f>
        <v>10</v>
      </c>
      <c r="E5659" t="str">
        <f>"1-249-10"</f>
        <v>1-249-10</v>
      </c>
      <c r="F5659" t="s">
        <v>83</v>
      </c>
      <c r="G5659" t="s">
        <v>84</v>
      </c>
      <c r="H5659" t="s">
        <v>85</v>
      </c>
      <c r="AC5659">
        <v>0</v>
      </c>
      <c r="AD5659">
        <v>1</v>
      </c>
      <c r="AE5659">
        <v>0</v>
      </c>
      <c r="AF5659">
        <v>0</v>
      </c>
      <c r="AG5659">
        <v>0</v>
      </c>
      <c r="AJ5659">
        <v>1</v>
      </c>
      <c r="AK5659">
        <v>0</v>
      </c>
      <c r="AL5659">
        <v>0</v>
      </c>
      <c r="AM5659">
        <v>0</v>
      </c>
      <c r="AN5659">
        <v>1</v>
      </c>
      <c r="AO5659">
        <v>0</v>
      </c>
      <c r="AP5659">
        <v>0</v>
      </c>
      <c r="AQ5659">
        <v>0</v>
      </c>
      <c r="AR5659">
        <v>0</v>
      </c>
      <c r="AS5659">
        <v>0</v>
      </c>
      <c r="AT5659">
        <v>1</v>
      </c>
      <c r="AV5659">
        <v>0</v>
      </c>
      <c r="AW5659">
        <v>0</v>
      </c>
    </row>
    <row r="5660" spans="1:49" x14ac:dyDescent="0.25">
      <c r="A5660" t="str">
        <f>"5656"</f>
        <v>5656</v>
      </c>
      <c r="B5660" t="str">
        <f t="shared" si="325"/>
        <v>1</v>
      </c>
      <c r="C5660" t="str">
        <f t="shared" si="328"/>
        <v>249</v>
      </c>
      <c r="D5660" t="str">
        <f>"4"</f>
        <v>4</v>
      </c>
      <c r="E5660" t="str">
        <f>"1-249-4"</f>
        <v>1-249-4</v>
      </c>
      <c r="F5660" t="s">
        <v>83</v>
      </c>
      <c r="G5660" t="s">
        <v>84</v>
      </c>
      <c r="H5660" t="s">
        <v>85</v>
      </c>
      <c r="AC5660">
        <v>1</v>
      </c>
      <c r="AD5660">
        <v>0</v>
      </c>
      <c r="AE5660">
        <v>0</v>
      </c>
      <c r="AF5660">
        <v>0</v>
      </c>
      <c r="AG5660">
        <v>1</v>
      </c>
      <c r="AJ5660">
        <v>0</v>
      </c>
      <c r="AK5660">
        <v>1</v>
      </c>
      <c r="AL5660">
        <v>0</v>
      </c>
      <c r="AM5660">
        <v>1</v>
      </c>
      <c r="AN5660">
        <v>0</v>
      </c>
      <c r="AO5660">
        <v>1</v>
      </c>
      <c r="AP5660">
        <v>1</v>
      </c>
      <c r="AQ5660">
        <v>1</v>
      </c>
      <c r="AR5660">
        <v>1</v>
      </c>
      <c r="AS5660">
        <v>0</v>
      </c>
      <c r="AT5660">
        <v>1</v>
      </c>
      <c r="AV5660">
        <v>1</v>
      </c>
      <c r="AW5660">
        <v>1</v>
      </c>
    </row>
    <row r="5661" spans="1:49" x14ac:dyDescent="0.25">
      <c r="A5661" t="str">
        <f>"5657"</f>
        <v>5657</v>
      </c>
      <c r="B5661" t="str">
        <f t="shared" si="325"/>
        <v>1</v>
      </c>
      <c r="C5661" t="str">
        <f t="shared" si="328"/>
        <v>249</v>
      </c>
      <c r="D5661" t="str">
        <f>"12"</f>
        <v>12</v>
      </c>
      <c r="E5661" t="str">
        <f>"1-249-12"</f>
        <v>1-249-12</v>
      </c>
      <c r="F5661" t="s">
        <v>83</v>
      </c>
      <c r="G5661" t="s">
        <v>84</v>
      </c>
      <c r="H5661" t="s">
        <v>85</v>
      </c>
      <c r="AC5661">
        <v>0</v>
      </c>
      <c r="AD5661">
        <v>1</v>
      </c>
      <c r="AE5661">
        <v>0</v>
      </c>
      <c r="AF5661">
        <v>0</v>
      </c>
      <c r="AG5661">
        <v>0</v>
      </c>
      <c r="AJ5661">
        <v>0</v>
      </c>
      <c r="AK5661">
        <v>1</v>
      </c>
      <c r="AL5661">
        <v>0</v>
      </c>
      <c r="AM5661">
        <v>0</v>
      </c>
      <c r="AN5661">
        <v>1</v>
      </c>
      <c r="AO5661">
        <v>0</v>
      </c>
      <c r="AP5661">
        <v>0</v>
      </c>
      <c r="AQ5661">
        <v>0</v>
      </c>
      <c r="AR5661">
        <v>0</v>
      </c>
      <c r="AS5661">
        <v>1</v>
      </c>
      <c r="AT5661">
        <v>0</v>
      </c>
      <c r="AV5661">
        <v>0</v>
      </c>
      <c r="AW5661">
        <v>0</v>
      </c>
    </row>
    <row r="5662" spans="1:49" x14ac:dyDescent="0.25">
      <c r="A5662" t="str">
        <f>"5658"</f>
        <v>5658</v>
      </c>
      <c r="B5662" t="str">
        <f t="shared" ref="B5662:B5725" si="329">"1"</f>
        <v>1</v>
      </c>
      <c r="C5662" t="str">
        <f t="shared" si="328"/>
        <v>249</v>
      </c>
      <c r="D5662" t="str">
        <f>"5"</f>
        <v>5</v>
      </c>
      <c r="E5662" t="str">
        <f>"1-249-5"</f>
        <v>1-249-5</v>
      </c>
      <c r="F5662" t="s">
        <v>83</v>
      </c>
      <c r="G5662" t="s">
        <v>84</v>
      </c>
      <c r="H5662" t="s">
        <v>92</v>
      </c>
      <c r="I5662">
        <v>1</v>
      </c>
      <c r="J5662">
        <v>1</v>
      </c>
      <c r="N5662">
        <v>1</v>
      </c>
      <c r="O5662">
        <v>1</v>
      </c>
      <c r="P5662">
        <v>1</v>
      </c>
      <c r="Q5662">
        <v>1</v>
      </c>
      <c r="R5662">
        <v>1</v>
      </c>
      <c r="S5662">
        <v>1</v>
      </c>
      <c r="T5662">
        <v>1</v>
      </c>
      <c r="W5662">
        <v>1</v>
      </c>
      <c r="X5662">
        <v>1</v>
      </c>
      <c r="Y5662">
        <v>1</v>
      </c>
      <c r="Z5662">
        <v>1</v>
      </c>
      <c r="AA5662">
        <v>1</v>
      </c>
      <c r="AB5662">
        <v>1</v>
      </c>
    </row>
    <row r="5663" spans="1:49" x14ac:dyDescent="0.25">
      <c r="A5663" t="str">
        <f>"5659"</f>
        <v>5659</v>
      </c>
      <c r="B5663" t="str">
        <f t="shared" si="329"/>
        <v>1</v>
      </c>
      <c r="C5663" t="str">
        <f t="shared" si="328"/>
        <v>249</v>
      </c>
      <c r="D5663" t="str">
        <f>"13"</f>
        <v>13</v>
      </c>
      <c r="E5663" t="str">
        <f>"1-249-13"</f>
        <v>1-249-13</v>
      </c>
      <c r="F5663" t="s">
        <v>83</v>
      </c>
      <c r="G5663" t="s">
        <v>84</v>
      </c>
      <c r="H5663" t="s">
        <v>85</v>
      </c>
      <c r="AC5663">
        <v>0</v>
      </c>
      <c r="AD5663">
        <v>1</v>
      </c>
      <c r="AE5663">
        <v>0</v>
      </c>
      <c r="AF5663">
        <v>0</v>
      </c>
      <c r="AG5663">
        <v>1</v>
      </c>
      <c r="AJ5663">
        <v>0</v>
      </c>
      <c r="AK5663">
        <v>1</v>
      </c>
      <c r="AL5663">
        <v>0</v>
      </c>
      <c r="AM5663">
        <v>1</v>
      </c>
      <c r="AN5663">
        <v>0</v>
      </c>
      <c r="AO5663">
        <v>1</v>
      </c>
      <c r="AP5663">
        <v>1</v>
      </c>
      <c r="AQ5663">
        <v>1</v>
      </c>
      <c r="AR5663">
        <v>1</v>
      </c>
      <c r="AS5663">
        <v>0</v>
      </c>
      <c r="AT5663">
        <v>1</v>
      </c>
      <c r="AV5663">
        <v>1</v>
      </c>
      <c r="AW5663">
        <v>1</v>
      </c>
    </row>
    <row r="5664" spans="1:49" x14ac:dyDescent="0.25">
      <c r="A5664" t="str">
        <f>"5660"</f>
        <v>5660</v>
      </c>
      <c r="B5664" t="str">
        <f t="shared" si="329"/>
        <v>1</v>
      </c>
      <c r="C5664" t="str">
        <f t="shared" si="328"/>
        <v>249</v>
      </c>
      <c r="D5664" t="str">
        <f>"3"</f>
        <v>3</v>
      </c>
      <c r="E5664" t="str">
        <f>"1-249-3"</f>
        <v>1-249-3</v>
      </c>
      <c r="F5664" t="s">
        <v>83</v>
      </c>
      <c r="G5664" t="s">
        <v>84</v>
      </c>
      <c r="H5664" t="s">
        <v>85</v>
      </c>
      <c r="AC5664">
        <v>0</v>
      </c>
      <c r="AD5664">
        <v>1</v>
      </c>
      <c r="AE5664">
        <v>0</v>
      </c>
      <c r="AF5664">
        <v>0</v>
      </c>
      <c r="AG5664">
        <v>1</v>
      </c>
      <c r="AJ5664">
        <v>0</v>
      </c>
      <c r="AK5664">
        <v>1</v>
      </c>
      <c r="AL5664">
        <v>0</v>
      </c>
      <c r="AM5664">
        <v>1</v>
      </c>
      <c r="AN5664">
        <v>0</v>
      </c>
      <c r="AO5664">
        <v>1</v>
      </c>
      <c r="AP5664">
        <v>1</v>
      </c>
      <c r="AQ5664">
        <v>1</v>
      </c>
      <c r="AR5664">
        <v>1</v>
      </c>
      <c r="AS5664">
        <v>0</v>
      </c>
      <c r="AT5664">
        <v>1</v>
      </c>
      <c r="AV5664">
        <v>1</v>
      </c>
      <c r="AW5664">
        <v>1</v>
      </c>
    </row>
    <row r="5665" spans="1:49" x14ac:dyDescent="0.25">
      <c r="A5665" t="str">
        <f>"5661"</f>
        <v>5661</v>
      </c>
      <c r="B5665" t="str">
        <f t="shared" si="329"/>
        <v>1</v>
      </c>
      <c r="C5665" t="str">
        <f t="shared" si="328"/>
        <v>249</v>
      </c>
      <c r="D5665" t="str">
        <f>"6"</f>
        <v>6</v>
      </c>
      <c r="E5665" t="str">
        <f>"1-249-6"</f>
        <v>1-249-6</v>
      </c>
      <c r="F5665" t="s">
        <v>83</v>
      </c>
      <c r="G5665" t="s">
        <v>84</v>
      </c>
      <c r="H5665" t="s">
        <v>85</v>
      </c>
      <c r="AC5665">
        <v>1</v>
      </c>
      <c r="AD5665">
        <v>0</v>
      </c>
      <c r="AE5665">
        <v>0</v>
      </c>
      <c r="AF5665">
        <v>0</v>
      </c>
      <c r="AG5665">
        <v>1</v>
      </c>
      <c r="AJ5665">
        <v>1</v>
      </c>
      <c r="AK5665">
        <v>0</v>
      </c>
      <c r="AL5665">
        <v>0</v>
      </c>
      <c r="AM5665">
        <v>1</v>
      </c>
      <c r="AN5665">
        <v>0</v>
      </c>
      <c r="AO5665">
        <v>1</v>
      </c>
      <c r="AP5665">
        <v>1</v>
      </c>
      <c r="AQ5665">
        <v>1</v>
      </c>
      <c r="AR5665">
        <v>1</v>
      </c>
      <c r="AS5665">
        <v>0</v>
      </c>
      <c r="AT5665">
        <v>1</v>
      </c>
      <c r="AV5665">
        <v>1</v>
      </c>
      <c r="AW5665">
        <v>1</v>
      </c>
    </row>
    <row r="5666" spans="1:49" x14ac:dyDescent="0.25">
      <c r="A5666" t="str">
        <f>"5662"</f>
        <v>5662</v>
      </c>
      <c r="B5666" t="str">
        <f t="shared" si="329"/>
        <v>1</v>
      </c>
      <c r="C5666" t="str">
        <f t="shared" si="328"/>
        <v>249</v>
      </c>
      <c r="D5666" t="str">
        <f>"2"</f>
        <v>2</v>
      </c>
      <c r="E5666" t="str">
        <f>"1-249-2"</f>
        <v>1-249-2</v>
      </c>
      <c r="F5666" t="s">
        <v>83</v>
      </c>
      <c r="G5666" t="s">
        <v>84</v>
      </c>
      <c r="H5666" t="s">
        <v>85</v>
      </c>
      <c r="AC5666">
        <v>0</v>
      </c>
      <c r="AD5666">
        <v>1</v>
      </c>
      <c r="AE5666">
        <v>0</v>
      </c>
      <c r="AF5666">
        <v>0</v>
      </c>
      <c r="AG5666">
        <v>0</v>
      </c>
      <c r="AJ5666">
        <v>1</v>
      </c>
      <c r="AK5666">
        <v>0</v>
      </c>
      <c r="AL5666">
        <v>0</v>
      </c>
      <c r="AM5666">
        <v>0</v>
      </c>
      <c r="AN5666">
        <v>1</v>
      </c>
      <c r="AO5666">
        <v>0</v>
      </c>
      <c r="AP5666">
        <v>0</v>
      </c>
      <c r="AQ5666">
        <v>0</v>
      </c>
      <c r="AR5666">
        <v>0</v>
      </c>
      <c r="AS5666">
        <v>0</v>
      </c>
      <c r="AT5666">
        <v>1</v>
      </c>
      <c r="AV5666">
        <v>0</v>
      </c>
      <c r="AW5666">
        <v>0</v>
      </c>
    </row>
    <row r="5667" spans="1:49" x14ac:dyDescent="0.25">
      <c r="A5667" t="str">
        <f>"5663"</f>
        <v>5663</v>
      </c>
      <c r="B5667" t="str">
        <f t="shared" si="329"/>
        <v>1</v>
      </c>
      <c r="C5667" t="str">
        <f t="shared" ref="C5667:C5688" si="330">"250"</f>
        <v>250</v>
      </c>
      <c r="D5667" t="str">
        <f>"21"</f>
        <v>21</v>
      </c>
      <c r="E5667" t="str">
        <f>"1-250-21"</f>
        <v>1-250-21</v>
      </c>
      <c r="F5667" t="s">
        <v>83</v>
      </c>
      <c r="G5667" t="s">
        <v>84</v>
      </c>
      <c r="H5667" t="s">
        <v>85</v>
      </c>
      <c r="AC5667">
        <v>0</v>
      </c>
      <c r="AD5667">
        <v>1</v>
      </c>
      <c r="AE5667">
        <v>0</v>
      </c>
      <c r="AF5667">
        <v>0</v>
      </c>
      <c r="AG5667">
        <v>1</v>
      </c>
      <c r="AJ5667">
        <v>1</v>
      </c>
      <c r="AK5667">
        <v>0</v>
      </c>
      <c r="AL5667">
        <v>1</v>
      </c>
      <c r="AM5667">
        <v>0</v>
      </c>
      <c r="AN5667">
        <v>0</v>
      </c>
      <c r="AO5667">
        <v>1</v>
      </c>
      <c r="AP5667">
        <v>1</v>
      </c>
      <c r="AQ5667">
        <v>1</v>
      </c>
      <c r="AR5667">
        <v>1</v>
      </c>
      <c r="AS5667">
        <v>0</v>
      </c>
      <c r="AT5667">
        <v>1</v>
      </c>
      <c r="AV5667">
        <v>1</v>
      </c>
      <c r="AW5667">
        <v>1</v>
      </c>
    </row>
    <row r="5668" spans="1:49" x14ac:dyDescent="0.25">
      <c r="A5668" t="str">
        <f>"5664"</f>
        <v>5664</v>
      </c>
      <c r="B5668" t="str">
        <f t="shared" si="329"/>
        <v>1</v>
      </c>
      <c r="C5668" t="str">
        <f t="shared" si="330"/>
        <v>250</v>
      </c>
      <c r="D5668" t="str">
        <f>"20"</f>
        <v>20</v>
      </c>
      <c r="E5668" t="str">
        <f>"1-250-20"</f>
        <v>1-250-20</v>
      </c>
      <c r="F5668" t="s">
        <v>83</v>
      </c>
      <c r="G5668" t="s">
        <v>84</v>
      </c>
      <c r="H5668" t="s">
        <v>85</v>
      </c>
      <c r="AC5668">
        <v>1</v>
      </c>
      <c r="AD5668">
        <v>0</v>
      </c>
      <c r="AE5668">
        <v>0</v>
      </c>
      <c r="AF5668">
        <v>0</v>
      </c>
      <c r="AG5668">
        <v>1</v>
      </c>
      <c r="AJ5668">
        <v>0</v>
      </c>
      <c r="AK5668">
        <v>1</v>
      </c>
      <c r="AL5668">
        <v>0</v>
      </c>
      <c r="AM5668">
        <v>1</v>
      </c>
      <c r="AN5668">
        <v>0</v>
      </c>
      <c r="AO5668">
        <v>1</v>
      </c>
      <c r="AP5668">
        <v>1</v>
      </c>
      <c r="AQ5668">
        <v>1</v>
      </c>
      <c r="AR5668">
        <v>1</v>
      </c>
      <c r="AS5668">
        <v>1</v>
      </c>
      <c r="AT5668">
        <v>0</v>
      </c>
      <c r="AV5668">
        <v>1</v>
      </c>
      <c r="AW5668">
        <v>1</v>
      </c>
    </row>
    <row r="5669" spans="1:49" x14ac:dyDescent="0.25">
      <c r="A5669" t="str">
        <f>"5665"</f>
        <v>5665</v>
      </c>
      <c r="B5669" t="str">
        <f t="shared" si="329"/>
        <v>1</v>
      </c>
      <c r="C5669" t="str">
        <f t="shared" si="330"/>
        <v>250</v>
      </c>
      <c r="D5669" t="str">
        <f>"15"</f>
        <v>15</v>
      </c>
      <c r="E5669" t="str">
        <f>"1-250-15"</f>
        <v>1-250-15</v>
      </c>
      <c r="F5669" t="s">
        <v>83</v>
      </c>
      <c r="G5669" t="s">
        <v>84</v>
      </c>
      <c r="H5669" t="s">
        <v>92</v>
      </c>
      <c r="I5669">
        <v>1</v>
      </c>
      <c r="J5669">
        <v>1</v>
      </c>
      <c r="N5669">
        <v>1</v>
      </c>
      <c r="O5669">
        <v>1</v>
      </c>
      <c r="P5669">
        <v>1</v>
      </c>
      <c r="Q5669">
        <v>1</v>
      </c>
      <c r="R5669">
        <v>1</v>
      </c>
      <c r="S5669">
        <v>1</v>
      </c>
      <c r="T5669">
        <v>1</v>
      </c>
      <c r="W5669">
        <v>1</v>
      </c>
      <c r="X5669">
        <v>1</v>
      </c>
      <c r="Y5669">
        <v>1</v>
      </c>
      <c r="Z5669">
        <v>1</v>
      </c>
      <c r="AA5669">
        <v>1</v>
      </c>
      <c r="AB5669">
        <v>0</v>
      </c>
    </row>
    <row r="5670" spans="1:49" x14ac:dyDescent="0.25">
      <c r="A5670" t="str">
        <f>"5666"</f>
        <v>5666</v>
      </c>
      <c r="B5670" t="str">
        <f t="shared" si="329"/>
        <v>1</v>
      </c>
      <c r="C5670" t="str">
        <f t="shared" si="330"/>
        <v>250</v>
      </c>
      <c r="D5670" t="str">
        <f>"14"</f>
        <v>14</v>
      </c>
      <c r="E5670" t="str">
        <f>"1-250-14"</f>
        <v>1-250-14</v>
      </c>
      <c r="F5670" t="s">
        <v>83</v>
      </c>
      <c r="G5670" t="s">
        <v>84</v>
      </c>
      <c r="H5670" t="s">
        <v>92</v>
      </c>
      <c r="I5670">
        <v>1</v>
      </c>
      <c r="J5670">
        <v>0</v>
      </c>
      <c r="N5670">
        <v>1</v>
      </c>
      <c r="O5670">
        <v>1</v>
      </c>
      <c r="P5670">
        <v>1</v>
      </c>
      <c r="Q5670">
        <v>1</v>
      </c>
      <c r="R5670">
        <v>1</v>
      </c>
      <c r="S5670">
        <v>1</v>
      </c>
      <c r="T5670">
        <v>1</v>
      </c>
      <c r="W5670">
        <v>1</v>
      </c>
      <c r="X5670">
        <v>1</v>
      </c>
      <c r="Y5670">
        <v>1</v>
      </c>
      <c r="Z5670">
        <v>1</v>
      </c>
      <c r="AA5670">
        <v>1</v>
      </c>
      <c r="AB5670">
        <v>1</v>
      </c>
    </row>
    <row r="5671" spans="1:49" x14ac:dyDescent="0.25">
      <c r="A5671" t="str">
        <f>"5667"</f>
        <v>5667</v>
      </c>
      <c r="B5671" t="str">
        <f t="shared" si="329"/>
        <v>1</v>
      </c>
      <c r="C5671" t="str">
        <f t="shared" si="330"/>
        <v>250</v>
      </c>
      <c r="D5671" t="str">
        <f>"9"</f>
        <v>9</v>
      </c>
      <c r="E5671" t="str">
        <f>"1-250-9"</f>
        <v>1-250-9</v>
      </c>
      <c r="F5671" t="s">
        <v>83</v>
      </c>
      <c r="G5671" t="s">
        <v>84</v>
      </c>
      <c r="H5671" t="s">
        <v>92</v>
      </c>
      <c r="I5671">
        <v>1</v>
      </c>
      <c r="J5671">
        <v>1</v>
      </c>
      <c r="N5671">
        <v>1</v>
      </c>
      <c r="O5671">
        <v>1</v>
      </c>
      <c r="P5671">
        <v>1</v>
      </c>
      <c r="Q5671">
        <v>1</v>
      </c>
      <c r="R5671">
        <v>1</v>
      </c>
      <c r="S5671">
        <v>1</v>
      </c>
      <c r="T5671">
        <v>1</v>
      </c>
      <c r="W5671">
        <v>1</v>
      </c>
      <c r="X5671">
        <v>1</v>
      </c>
      <c r="Y5671">
        <v>1</v>
      </c>
      <c r="Z5671">
        <v>1</v>
      </c>
      <c r="AA5671">
        <v>1</v>
      </c>
      <c r="AB5671">
        <v>1</v>
      </c>
    </row>
    <row r="5672" spans="1:49" x14ac:dyDescent="0.25">
      <c r="A5672" t="str">
        <f>"5668"</f>
        <v>5668</v>
      </c>
      <c r="B5672" t="str">
        <f t="shared" si="329"/>
        <v>1</v>
      </c>
      <c r="C5672" t="str">
        <f t="shared" si="330"/>
        <v>250</v>
      </c>
      <c r="D5672" t="str">
        <f>"8"</f>
        <v>8</v>
      </c>
      <c r="E5672" t="str">
        <f>"1-250-8"</f>
        <v>1-250-8</v>
      </c>
      <c r="F5672" t="s">
        <v>83</v>
      </c>
      <c r="G5672" t="s">
        <v>84</v>
      </c>
      <c r="H5672" t="s">
        <v>92</v>
      </c>
      <c r="I5672">
        <v>1</v>
      </c>
      <c r="J5672">
        <v>1</v>
      </c>
      <c r="N5672">
        <v>1</v>
      </c>
      <c r="O5672">
        <v>1</v>
      </c>
      <c r="P5672">
        <v>1</v>
      </c>
      <c r="Q5672">
        <v>1</v>
      </c>
      <c r="R5672">
        <v>1</v>
      </c>
      <c r="S5672">
        <v>1</v>
      </c>
      <c r="T5672">
        <v>1</v>
      </c>
      <c r="W5672">
        <v>1</v>
      </c>
      <c r="X5672">
        <v>1</v>
      </c>
      <c r="Y5672">
        <v>1</v>
      </c>
      <c r="Z5672">
        <v>1</v>
      </c>
      <c r="AA5672">
        <v>1</v>
      </c>
      <c r="AB5672">
        <v>1</v>
      </c>
    </row>
    <row r="5673" spans="1:49" x14ac:dyDescent="0.25">
      <c r="A5673" t="str">
        <f>"5669"</f>
        <v>5669</v>
      </c>
      <c r="B5673" t="str">
        <f t="shared" si="329"/>
        <v>1</v>
      </c>
      <c r="C5673" t="str">
        <f t="shared" si="330"/>
        <v>250</v>
      </c>
      <c r="D5673" t="str">
        <f>"3"</f>
        <v>3</v>
      </c>
      <c r="E5673" t="str">
        <f>"1-250-3"</f>
        <v>1-250-3</v>
      </c>
      <c r="F5673" t="s">
        <v>83</v>
      </c>
      <c r="G5673" t="s">
        <v>84</v>
      </c>
      <c r="H5673" t="s">
        <v>92</v>
      </c>
      <c r="I5673">
        <v>1</v>
      </c>
      <c r="J5673">
        <v>1</v>
      </c>
      <c r="N5673">
        <v>1</v>
      </c>
      <c r="O5673">
        <v>1</v>
      </c>
      <c r="P5673">
        <v>1</v>
      </c>
      <c r="Q5673">
        <v>1</v>
      </c>
      <c r="R5673">
        <v>1</v>
      </c>
      <c r="S5673">
        <v>1</v>
      </c>
      <c r="T5673">
        <v>1</v>
      </c>
      <c r="W5673">
        <v>1</v>
      </c>
      <c r="X5673">
        <v>1</v>
      </c>
      <c r="Y5673">
        <v>1</v>
      </c>
      <c r="Z5673">
        <v>1</v>
      </c>
      <c r="AA5673">
        <v>1</v>
      </c>
      <c r="AB5673">
        <v>1</v>
      </c>
    </row>
    <row r="5674" spans="1:49" x14ac:dyDescent="0.25">
      <c r="A5674" t="str">
        <f>"5670"</f>
        <v>5670</v>
      </c>
      <c r="B5674" t="str">
        <f t="shared" si="329"/>
        <v>1</v>
      </c>
      <c r="C5674" t="str">
        <f t="shared" si="330"/>
        <v>250</v>
      </c>
      <c r="D5674" t="str">
        <f>"16"</f>
        <v>16</v>
      </c>
      <c r="E5674" t="str">
        <f>"1-250-16"</f>
        <v>1-250-16</v>
      </c>
      <c r="F5674" t="s">
        <v>83</v>
      </c>
      <c r="G5674" t="s">
        <v>84</v>
      </c>
      <c r="H5674" t="s">
        <v>92</v>
      </c>
      <c r="I5674">
        <v>1</v>
      </c>
      <c r="J5674">
        <v>1</v>
      </c>
      <c r="N5674">
        <v>1</v>
      </c>
      <c r="O5674">
        <v>1</v>
      </c>
      <c r="P5674">
        <v>1</v>
      </c>
      <c r="Q5674">
        <v>1</v>
      </c>
      <c r="R5674">
        <v>1</v>
      </c>
      <c r="S5674">
        <v>1</v>
      </c>
      <c r="T5674">
        <v>1</v>
      </c>
      <c r="W5674">
        <v>1</v>
      </c>
      <c r="X5674">
        <v>1</v>
      </c>
      <c r="Y5674">
        <v>1</v>
      </c>
      <c r="Z5674">
        <v>1</v>
      </c>
      <c r="AA5674">
        <v>1</v>
      </c>
      <c r="AB5674">
        <v>1</v>
      </c>
    </row>
    <row r="5675" spans="1:49" x14ac:dyDescent="0.25">
      <c r="A5675" t="str">
        <f>"5671"</f>
        <v>5671</v>
      </c>
      <c r="B5675" t="str">
        <f t="shared" si="329"/>
        <v>1</v>
      </c>
      <c r="C5675" t="str">
        <f t="shared" si="330"/>
        <v>250</v>
      </c>
      <c r="D5675" t="str">
        <f>"10"</f>
        <v>10</v>
      </c>
      <c r="E5675" t="str">
        <f>"1-250-10"</f>
        <v>1-250-10</v>
      </c>
      <c r="F5675" t="s">
        <v>83</v>
      </c>
      <c r="G5675" t="s">
        <v>84</v>
      </c>
      <c r="H5675" t="s">
        <v>92</v>
      </c>
      <c r="I5675">
        <v>1</v>
      </c>
      <c r="J5675">
        <v>1</v>
      </c>
      <c r="N5675">
        <v>1</v>
      </c>
      <c r="O5675">
        <v>1</v>
      </c>
      <c r="P5675">
        <v>1</v>
      </c>
      <c r="Q5675">
        <v>1</v>
      </c>
      <c r="R5675">
        <v>1</v>
      </c>
      <c r="S5675">
        <v>1</v>
      </c>
      <c r="T5675">
        <v>1</v>
      </c>
      <c r="W5675">
        <v>1</v>
      </c>
      <c r="X5675">
        <v>1</v>
      </c>
      <c r="Y5675">
        <v>1</v>
      </c>
      <c r="Z5675">
        <v>1</v>
      </c>
      <c r="AA5675">
        <v>1</v>
      </c>
      <c r="AB5675">
        <v>1</v>
      </c>
    </row>
    <row r="5676" spans="1:49" x14ac:dyDescent="0.25">
      <c r="A5676" t="str">
        <f>"5672"</f>
        <v>5672</v>
      </c>
      <c r="B5676" t="str">
        <f t="shared" si="329"/>
        <v>1</v>
      </c>
      <c r="C5676" t="str">
        <f t="shared" si="330"/>
        <v>250</v>
      </c>
      <c r="D5676" t="str">
        <f>"7"</f>
        <v>7</v>
      </c>
      <c r="E5676" t="str">
        <f>"1-250-7"</f>
        <v>1-250-7</v>
      </c>
      <c r="F5676" t="s">
        <v>83</v>
      </c>
      <c r="G5676" t="s">
        <v>84</v>
      </c>
      <c r="H5676" t="s">
        <v>92</v>
      </c>
      <c r="I5676">
        <v>1</v>
      </c>
      <c r="J5676">
        <v>1</v>
      </c>
      <c r="N5676">
        <v>1</v>
      </c>
      <c r="O5676">
        <v>1</v>
      </c>
      <c r="P5676">
        <v>1</v>
      </c>
      <c r="Q5676">
        <v>1</v>
      </c>
      <c r="R5676">
        <v>1</v>
      </c>
      <c r="S5676">
        <v>1</v>
      </c>
      <c r="T5676">
        <v>1</v>
      </c>
      <c r="W5676">
        <v>1</v>
      </c>
      <c r="X5676">
        <v>1</v>
      </c>
      <c r="Y5676">
        <v>1</v>
      </c>
      <c r="Z5676">
        <v>1</v>
      </c>
      <c r="AA5676">
        <v>1</v>
      </c>
      <c r="AB5676">
        <v>1</v>
      </c>
    </row>
    <row r="5677" spans="1:49" x14ac:dyDescent="0.25">
      <c r="A5677" t="str">
        <f>"5673"</f>
        <v>5673</v>
      </c>
      <c r="B5677" t="str">
        <f t="shared" si="329"/>
        <v>1</v>
      </c>
      <c r="C5677" t="str">
        <f t="shared" si="330"/>
        <v>250</v>
      </c>
      <c r="D5677" t="str">
        <f>"17"</f>
        <v>17</v>
      </c>
      <c r="E5677" t="str">
        <f>"1-250-17"</f>
        <v>1-250-17</v>
      </c>
      <c r="F5677" t="s">
        <v>83</v>
      </c>
      <c r="G5677" t="s">
        <v>84</v>
      </c>
      <c r="H5677" t="s">
        <v>92</v>
      </c>
      <c r="I5677">
        <v>1</v>
      </c>
      <c r="J5677">
        <v>1</v>
      </c>
      <c r="N5677">
        <v>1</v>
      </c>
      <c r="O5677">
        <v>1</v>
      </c>
      <c r="P5677">
        <v>1</v>
      </c>
      <c r="Q5677">
        <v>1</v>
      </c>
      <c r="R5677">
        <v>1</v>
      </c>
      <c r="S5677">
        <v>1</v>
      </c>
      <c r="T5677">
        <v>1</v>
      </c>
      <c r="W5677">
        <v>1</v>
      </c>
      <c r="X5677">
        <v>1</v>
      </c>
      <c r="Y5677">
        <v>1</v>
      </c>
      <c r="Z5677">
        <v>1</v>
      </c>
      <c r="AA5677">
        <v>1</v>
      </c>
      <c r="AB5677">
        <v>1</v>
      </c>
    </row>
    <row r="5678" spans="1:49" x14ac:dyDescent="0.25">
      <c r="A5678" t="str">
        <f>"5674"</f>
        <v>5674</v>
      </c>
      <c r="B5678" t="str">
        <f t="shared" si="329"/>
        <v>1</v>
      </c>
      <c r="C5678" t="str">
        <f t="shared" si="330"/>
        <v>250</v>
      </c>
      <c r="D5678" t="str">
        <f>"11"</f>
        <v>11</v>
      </c>
      <c r="E5678" t="str">
        <f>"1-250-11"</f>
        <v>1-250-11</v>
      </c>
      <c r="F5678" t="s">
        <v>83</v>
      </c>
      <c r="G5678" t="s">
        <v>84</v>
      </c>
      <c r="H5678" t="s">
        <v>92</v>
      </c>
      <c r="I5678">
        <v>1</v>
      </c>
      <c r="J5678">
        <v>1</v>
      </c>
      <c r="N5678">
        <v>1</v>
      </c>
      <c r="O5678">
        <v>1</v>
      </c>
      <c r="P5678">
        <v>1</v>
      </c>
      <c r="Q5678">
        <v>1</v>
      </c>
      <c r="R5678">
        <v>1</v>
      </c>
      <c r="S5678">
        <v>1</v>
      </c>
      <c r="T5678">
        <v>1</v>
      </c>
      <c r="W5678">
        <v>1</v>
      </c>
      <c r="X5678">
        <v>1</v>
      </c>
      <c r="Y5678">
        <v>1</v>
      </c>
      <c r="Z5678">
        <v>1</v>
      </c>
      <c r="AA5678">
        <v>1</v>
      </c>
      <c r="AB5678">
        <v>1</v>
      </c>
    </row>
    <row r="5679" spans="1:49" x14ac:dyDescent="0.25">
      <c r="A5679" t="str">
        <f>"5675"</f>
        <v>5675</v>
      </c>
      <c r="B5679" t="str">
        <f t="shared" si="329"/>
        <v>1</v>
      </c>
      <c r="C5679" t="str">
        <f t="shared" si="330"/>
        <v>250</v>
      </c>
      <c r="D5679" t="str">
        <f>"1"</f>
        <v>1</v>
      </c>
      <c r="E5679" t="str">
        <f>"1-250-1"</f>
        <v>1-250-1</v>
      </c>
      <c r="F5679" t="s">
        <v>83</v>
      </c>
      <c r="G5679" t="s">
        <v>88</v>
      </c>
      <c r="H5679" t="s">
        <v>89</v>
      </c>
      <c r="AC5679">
        <v>1</v>
      </c>
      <c r="AD5679">
        <v>0</v>
      </c>
      <c r="AE5679">
        <v>0</v>
      </c>
      <c r="AF5679">
        <v>0</v>
      </c>
      <c r="AH5679">
        <v>1</v>
      </c>
      <c r="AI5679">
        <v>0</v>
      </c>
      <c r="AJ5679">
        <v>1</v>
      </c>
      <c r="AK5679">
        <v>0</v>
      </c>
      <c r="AL5679">
        <v>1</v>
      </c>
      <c r="AM5679">
        <v>0</v>
      </c>
      <c r="AN5679">
        <v>0</v>
      </c>
      <c r="AO5679">
        <v>0</v>
      </c>
      <c r="AP5679">
        <v>0</v>
      </c>
      <c r="AQ5679">
        <v>0</v>
      </c>
      <c r="AR5679">
        <v>0</v>
      </c>
      <c r="AS5679">
        <v>0</v>
      </c>
      <c r="AT5679">
        <v>1</v>
      </c>
      <c r="AV5679">
        <v>1</v>
      </c>
      <c r="AW5679">
        <v>1</v>
      </c>
    </row>
    <row r="5680" spans="1:49" x14ac:dyDescent="0.25">
      <c r="A5680" t="str">
        <f>"5676"</f>
        <v>5676</v>
      </c>
      <c r="B5680" t="str">
        <f t="shared" si="329"/>
        <v>1</v>
      </c>
      <c r="C5680" t="str">
        <f t="shared" si="330"/>
        <v>250</v>
      </c>
      <c r="D5680" t="str">
        <f>"22"</f>
        <v>22</v>
      </c>
      <c r="E5680" t="str">
        <f>"1-250-22"</f>
        <v>1-250-22</v>
      </c>
      <c r="F5680" t="s">
        <v>83</v>
      </c>
      <c r="G5680" t="s">
        <v>84</v>
      </c>
      <c r="H5680" t="s">
        <v>92</v>
      </c>
      <c r="I5680">
        <v>1</v>
      </c>
      <c r="J5680">
        <v>1</v>
      </c>
      <c r="N5680">
        <v>1</v>
      </c>
      <c r="O5680">
        <v>1</v>
      </c>
      <c r="P5680">
        <v>1</v>
      </c>
      <c r="Q5680">
        <v>1</v>
      </c>
      <c r="R5680">
        <v>1</v>
      </c>
      <c r="S5680">
        <v>1</v>
      </c>
      <c r="T5680">
        <v>1</v>
      </c>
      <c r="W5680">
        <v>1</v>
      </c>
      <c r="X5680">
        <v>1</v>
      </c>
      <c r="Y5680">
        <v>1</v>
      </c>
      <c r="Z5680">
        <v>1</v>
      </c>
      <c r="AA5680">
        <v>1</v>
      </c>
      <c r="AB5680">
        <v>1</v>
      </c>
    </row>
    <row r="5681" spans="1:49" x14ac:dyDescent="0.25">
      <c r="A5681" t="str">
        <f>"5677"</f>
        <v>5677</v>
      </c>
      <c r="B5681" t="str">
        <f t="shared" si="329"/>
        <v>1</v>
      </c>
      <c r="C5681" t="str">
        <f t="shared" si="330"/>
        <v>250</v>
      </c>
      <c r="D5681" t="str">
        <f>"12"</f>
        <v>12</v>
      </c>
      <c r="E5681" t="str">
        <f>"1-250-12"</f>
        <v>1-250-12</v>
      </c>
      <c r="F5681" t="s">
        <v>83</v>
      </c>
      <c r="G5681" t="s">
        <v>84</v>
      </c>
      <c r="H5681" t="s">
        <v>85</v>
      </c>
      <c r="AC5681">
        <v>0</v>
      </c>
      <c r="AD5681">
        <v>1</v>
      </c>
      <c r="AE5681">
        <v>0</v>
      </c>
      <c r="AF5681">
        <v>0</v>
      </c>
      <c r="AG5681">
        <v>0</v>
      </c>
      <c r="AJ5681">
        <v>0</v>
      </c>
      <c r="AK5681">
        <v>1</v>
      </c>
      <c r="AL5681">
        <v>1</v>
      </c>
      <c r="AM5681">
        <v>0</v>
      </c>
      <c r="AN5681">
        <v>0</v>
      </c>
      <c r="AO5681">
        <v>0</v>
      </c>
      <c r="AP5681">
        <v>0</v>
      </c>
      <c r="AQ5681">
        <v>0</v>
      </c>
      <c r="AR5681">
        <v>0</v>
      </c>
      <c r="AS5681">
        <v>0</v>
      </c>
      <c r="AT5681">
        <v>1</v>
      </c>
      <c r="AV5681">
        <v>0</v>
      </c>
      <c r="AW5681">
        <v>0</v>
      </c>
    </row>
    <row r="5682" spans="1:49" x14ac:dyDescent="0.25">
      <c r="A5682" t="str">
        <f>"5678"</f>
        <v>5678</v>
      </c>
      <c r="B5682" t="str">
        <f t="shared" si="329"/>
        <v>1</v>
      </c>
      <c r="C5682" t="str">
        <f t="shared" si="330"/>
        <v>250</v>
      </c>
      <c r="D5682" t="str">
        <f>"2"</f>
        <v>2</v>
      </c>
      <c r="E5682" t="str">
        <f>"1-250-2"</f>
        <v>1-250-2</v>
      </c>
      <c r="F5682" t="s">
        <v>83</v>
      </c>
      <c r="G5682" t="s">
        <v>84</v>
      </c>
      <c r="H5682" t="s">
        <v>92</v>
      </c>
      <c r="I5682">
        <v>1</v>
      </c>
      <c r="J5682">
        <v>1</v>
      </c>
      <c r="N5682">
        <v>1</v>
      </c>
      <c r="O5682">
        <v>1</v>
      </c>
      <c r="P5682">
        <v>1</v>
      </c>
      <c r="Q5682">
        <v>1</v>
      </c>
      <c r="R5682">
        <v>1</v>
      </c>
      <c r="S5682">
        <v>1</v>
      </c>
      <c r="T5682">
        <v>1</v>
      </c>
      <c r="W5682">
        <v>1</v>
      </c>
      <c r="X5682">
        <v>1</v>
      </c>
      <c r="Y5682">
        <v>1</v>
      </c>
      <c r="Z5682">
        <v>1</v>
      </c>
      <c r="AA5682">
        <v>1</v>
      </c>
      <c r="AB5682">
        <v>1</v>
      </c>
    </row>
    <row r="5683" spans="1:49" x14ac:dyDescent="0.25">
      <c r="A5683" t="str">
        <f>"5679"</f>
        <v>5679</v>
      </c>
      <c r="B5683" t="str">
        <f t="shared" si="329"/>
        <v>1</v>
      </c>
      <c r="C5683" t="str">
        <f t="shared" si="330"/>
        <v>250</v>
      </c>
      <c r="D5683" t="str">
        <f>"13"</f>
        <v>13</v>
      </c>
      <c r="E5683" t="str">
        <f>"1-250-13"</f>
        <v>1-250-13</v>
      </c>
      <c r="F5683" t="s">
        <v>83</v>
      </c>
      <c r="G5683" t="s">
        <v>84</v>
      </c>
      <c r="H5683" t="s">
        <v>85</v>
      </c>
      <c r="AC5683">
        <v>0</v>
      </c>
      <c r="AD5683">
        <v>1</v>
      </c>
      <c r="AE5683">
        <v>0</v>
      </c>
      <c r="AF5683">
        <v>0</v>
      </c>
      <c r="AG5683">
        <v>1</v>
      </c>
      <c r="AJ5683">
        <v>1</v>
      </c>
      <c r="AK5683">
        <v>0</v>
      </c>
      <c r="AL5683">
        <v>0</v>
      </c>
      <c r="AM5683">
        <v>0</v>
      </c>
      <c r="AN5683">
        <v>1</v>
      </c>
      <c r="AO5683">
        <v>1</v>
      </c>
      <c r="AP5683">
        <v>1</v>
      </c>
      <c r="AQ5683">
        <v>1</v>
      </c>
      <c r="AR5683">
        <v>1</v>
      </c>
      <c r="AS5683">
        <v>0</v>
      </c>
      <c r="AT5683">
        <v>1</v>
      </c>
      <c r="AV5683">
        <v>1</v>
      </c>
      <c r="AW5683">
        <v>1</v>
      </c>
    </row>
    <row r="5684" spans="1:49" x14ac:dyDescent="0.25">
      <c r="A5684" t="str">
        <f>"5680"</f>
        <v>5680</v>
      </c>
      <c r="B5684" t="str">
        <f t="shared" si="329"/>
        <v>1</v>
      </c>
      <c r="C5684" t="str">
        <f t="shared" si="330"/>
        <v>250</v>
      </c>
      <c r="D5684" t="str">
        <f>"6"</f>
        <v>6</v>
      </c>
      <c r="E5684" t="str">
        <f>"1-250-6"</f>
        <v>1-250-6</v>
      </c>
      <c r="F5684" t="s">
        <v>83</v>
      </c>
      <c r="G5684" t="s">
        <v>84</v>
      </c>
      <c r="H5684" t="s">
        <v>85</v>
      </c>
      <c r="AC5684">
        <v>0</v>
      </c>
      <c r="AD5684">
        <v>1</v>
      </c>
      <c r="AE5684">
        <v>0</v>
      </c>
      <c r="AF5684">
        <v>0</v>
      </c>
      <c r="AG5684">
        <v>1</v>
      </c>
      <c r="AJ5684">
        <v>0</v>
      </c>
      <c r="AK5684">
        <v>1</v>
      </c>
      <c r="AL5684">
        <v>1</v>
      </c>
      <c r="AM5684">
        <v>0</v>
      </c>
      <c r="AN5684">
        <v>0</v>
      </c>
      <c r="AO5684">
        <v>1</v>
      </c>
      <c r="AP5684">
        <v>1</v>
      </c>
      <c r="AQ5684">
        <v>1</v>
      </c>
      <c r="AR5684">
        <v>1</v>
      </c>
      <c r="AS5684">
        <v>0</v>
      </c>
      <c r="AT5684">
        <v>1</v>
      </c>
      <c r="AV5684">
        <v>1</v>
      </c>
      <c r="AW5684">
        <v>0</v>
      </c>
    </row>
    <row r="5685" spans="1:49" x14ac:dyDescent="0.25">
      <c r="A5685" t="str">
        <f>"5681"</f>
        <v>5681</v>
      </c>
      <c r="B5685" t="str">
        <f t="shared" si="329"/>
        <v>1</v>
      </c>
      <c r="C5685" t="str">
        <f t="shared" si="330"/>
        <v>250</v>
      </c>
      <c r="D5685" t="str">
        <f>"18"</f>
        <v>18</v>
      </c>
      <c r="E5685" t="str">
        <f>"1-250-18"</f>
        <v>1-250-18</v>
      </c>
      <c r="F5685" t="s">
        <v>83</v>
      </c>
      <c r="G5685" t="s">
        <v>84</v>
      </c>
      <c r="H5685" t="s">
        <v>85</v>
      </c>
      <c r="AC5685">
        <v>1</v>
      </c>
      <c r="AD5685">
        <v>0</v>
      </c>
      <c r="AE5685">
        <v>0</v>
      </c>
      <c r="AF5685">
        <v>0</v>
      </c>
      <c r="AG5685">
        <v>1</v>
      </c>
      <c r="AJ5685">
        <v>0</v>
      </c>
      <c r="AK5685">
        <v>1</v>
      </c>
      <c r="AL5685">
        <v>0</v>
      </c>
      <c r="AM5685">
        <v>1</v>
      </c>
      <c r="AN5685">
        <v>0</v>
      </c>
      <c r="AO5685">
        <v>1</v>
      </c>
      <c r="AP5685">
        <v>1</v>
      </c>
      <c r="AQ5685">
        <v>1</v>
      </c>
      <c r="AR5685">
        <v>1</v>
      </c>
      <c r="AS5685">
        <v>1</v>
      </c>
      <c r="AT5685">
        <v>0</v>
      </c>
      <c r="AV5685">
        <v>1</v>
      </c>
      <c r="AW5685">
        <v>1</v>
      </c>
    </row>
    <row r="5686" spans="1:49" x14ac:dyDescent="0.25">
      <c r="A5686" t="str">
        <f>"5682"</f>
        <v>5682</v>
      </c>
      <c r="B5686" t="str">
        <f t="shared" si="329"/>
        <v>1</v>
      </c>
      <c r="C5686" t="str">
        <f t="shared" si="330"/>
        <v>250</v>
      </c>
      <c r="D5686" t="str">
        <f>"4"</f>
        <v>4</v>
      </c>
      <c r="E5686" t="str">
        <f>"1-250-4"</f>
        <v>1-250-4</v>
      </c>
      <c r="F5686" t="s">
        <v>83</v>
      </c>
      <c r="G5686" t="s">
        <v>84</v>
      </c>
      <c r="H5686" t="s">
        <v>92</v>
      </c>
      <c r="I5686">
        <v>1</v>
      </c>
      <c r="J5686">
        <v>0</v>
      </c>
      <c r="N5686">
        <v>1</v>
      </c>
      <c r="O5686">
        <v>0</v>
      </c>
      <c r="P5686">
        <v>0</v>
      </c>
      <c r="Q5686">
        <v>0</v>
      </c>
      <c r="R5686">
        <v>0</v>
      </c>
      <c r="S5686">
        <v>0</v>
      </c>
      <c r="T5686">
        <v>0</v>
      </c>
      <c r="W5686">
        <v>0</v>
      </c>
      <c r="X5686">
        <v>0</v>
      </c>
      <c r="Y5686">
        <v>1</v>
      </c>
      <c r="Z5686">
        <v>0</v>
      </c>
      <c r="AA5686">
        <v>0</v>
      </c>
      <c r="AB5686">
        <v>1</v>
      </c>
    </row>
    <row r="5687" spans="1:49" x14ac:dyDescent="0.25">
      <c r="A5687" t="str">
        <f>"5683"</f>
        <v>5683</v>
      </c>
      <c r="B5687" t="str">
        <f t="shared" si="329"/>
        <v>1</v>
      </c>
      <c r="C5687" t="str">
        <f t="shared" si="330"/>
        <v>250</v>
      </c>
      <c r="D5687" t="str">
        <f>"19"</f>
        <v>19</v>
      </c>
      <c r="E5687" t="str">
        <f>"1-250-19"</f>
        <v>1-250-19</v>
      </c>
      <c r="F5687" t="s">
        <v>83</v>
      </c>
      <c r="G5687" t="s">
        <v>84</v>
      </c>
      <c r="H5687" t="s">
        <v>92</v>
      </c>
      <c r="I5687">
        <v>1</v>
      </c>
      <c r="J5687">
        <v>1</v>
      </c>
      <c r="N5687">
        <v>1</v>
      </c>
      <c r="O5687">
        <v>1</v>
      </c>
      <c r="P5687">
        <v>1</v>
      </c>
      <c r="Q5687">
        <v>1</v>
      </c>
      <c r="R5687">
        <v>1</v>
      </c>
      <c r="S5687">
        <v>1</v>
      </c>
      <c r="T5687">
        <v>1</v>
      </c>
      <c r="W5687">
        <v>1</v>
      </c>
      <c r="X5687">
        <v>1</v>
      </c>
      <c r="Y5687">
        <v>1</v>
      </c>
      <c r="Z5687">
        <v>1</v>
      </c>
      <c r="AA5687">
        <v>1</v>
      </c>
      <c r="AB5687">
        <v>1</v>
      </c>
    </row>
    <row r="5688" spans="1:49" x14ac:dyDescent="0.25">
      <c r="A5688" t="str">
        <f>"5684"</f>
        <v>5684</v>
      </c>
      <c r="B5688" t="str">
        <f t="shared" si="329"/>
        <v>1</v>
      </c>
      <c r="C5688" t="str">
        <f t="shared" si="330"/>
        <v>250</v>
      </c>
      <c r="D5688" t="str">
        <f>"5"</f>
        <v>5</v>
      </c>
      <c r="E5688" t="str">
        <f>"1-250-5"</f>
        <v>1-250-5</v>
      </c>
      <c r="F5688" t="s">
        <v>83</v>
      </c>
      <c r="G5688" t="s">
        <v>88</v>
      </c>
      <c r="H5688" t="s">
        <v>89</v>
      </c>
      <c r="AC5688">
        <v>0</v>
      </c>
      <c r="AD5688">
        <v>1</v>
      </c>
      <c r="AE5688">
        <v>0</v>
      </c>
      <c r="AF5688">
        <v>0</v>
      </c>
      <c r="AH5688">
        <v>0</v>
      </c>
      <c r="AI5688">
        <v>1</v>
      </c>
      <c r="AJ5688">
        <v>0</v>
      </c>
      <c r="AK5688">
        <v>1</v>
      </c>
      <c r="AL5688">
        <v>0</v>
      </c>
      <c r="AM5688">
        <v>0</v>
      </c>
      <c r="AN5688">
        <v>1</v>
      </c>
      <c r="AO5688">
        <v>1</v>
      </c>
      <c r="AP5688">
        <v>1</v>
      </c>
      <c r="AQ5688">
        <v>1</v>
      </c>
      <c r="AR5688">
        <v>1</v>
      </c>
      <c r="AS5688">
        <v>1</v>
      </c>
      <c r="AT5688">
        <v>0</v>
      </c>
      <c r="AV5688">
        <v>1</v>
      </c>
      <c r="AW5688">
        <v>1</v>
      </c>
    </row>
    <row r="5689" spans="1:49" x14ac:dyDescent="0.25">
      <c r="A5689" t="str">
        <f>"5685"</f>
        <v>5685</v>
      </c>
      <c r="B5689" t="str">
        <f t="shared" si="329"/>
        <v>1</v>
      </c>
      <c r="C5689" t="str">
        <f t="shared" ref="C5689:C5713" si="331">"251"</f>
        <v>251</v>
      </c>
      <c r="D5689" t="str">
        <f>"21"</f>
        <v>21</v>
      </c>
      <c r="E5689" t="str">
        <f>"1-251-21"</f>
        <v>1-251-21</v>
      </c>
      <c r="F5689" t="s">
        <v>83</v>
      </c>
      <c r="G5689" t="s">
        <v>86</v>
      </c>
      <c r="H5689" t="s">
        <v>93</v>
      </c>
      <c r="I5689">
        <v>1</v>
      </c>
      <c r="K5689">
        <v>1</v>
      </c>
      <c r="L5689">
        <v>0</v>
      </c>
      <c r="M5689">
        <v>0</v>
      </c>
      <c r="N5689">
        <v>1</v>
      </c>
      <c r="O5689">
        <v>1</v>
      </c>
      <c r="P5689">
        <v>1</v>
      </c>
      <c r="Q5689">
        <v>1</v>
      </c>
      <c r="R5689">
        <v>1</v>
      </c>
      <c r="U5689">
        <v>0</v>
      </c>
      <c r="V5689">
        <v>1</v>
      </c>
      <c r="W5689">
        <v>1</v>
      </c>
      <c r="X5689">
        <v>1</v>
      </c>
      <c r="Y5689">
        <v>1</v>
      </c>
      <c r="Z5689">
        <v>1</v>
      </c>
      <c r="AA5689">
        <v>1</v>
      </c>
      <c r="AB5689">
        <v>1</v>
      </c>
    </row>
    <row r="5690" spans="1:49" x14ac:dyDescent="0.25">
      <c r="A5690" t="str">
        <f>"5686"</f>
        <v>5686</v>
      </c>
      <c r="B5690" t="str">
        <f t="shared" si="329"/>
        <v>1</v>
      </c>
      <c r="C5690" t="str">
        <f t="shared" si="331"/>
        <v>251</v>
      </c>
      <c r="D5690" t="str">
        <f>"20"</f>
        <v>20</v>
      </c>
      <c r="E5690" t="str">
        <f>"1-251-20"</f>
        <v>1-251-20</v>
      </c>
      <c r="F5690" t="s">
        <v>83</v>
      </c>
      <c r="G5690" t="s">
        <v>86</v>
      </c>
      <c r="H5690" t="s">
        <v>93</v>
      </c>
      <c r="I5690">
        <v>1</v>
      </c>
      <c r="K5690">
        <v>1</v>
      </c>
      <c r="L5690">
        <v>0</v>
      </c>
      <c r="M5690">
        <v>0</v>
      </c>
      <c r="N5690">
        <v>1</v>
      </c>
      <c r="O5690">
        <v>1</v>
      </c>
      <c r="P5690">
        <v>1</v>
      </c>
      <c r="Q5690">
        <v>1</v>
      </c>
      <c r="R5690">
        <v>1</v>
      </c>
      <c r="U5690">
        <v>0</v>
      </c>
      <c r="V5690">
        <v>1</v>
      </c>
      <c r="W5690">
        <v>1</v>
      </c>
      <c r="X5690">
        <v>1</v>
      </c>
      <c r="Y5690">
        <v>1</v>
      </c>
      <c r="Z5690">
        <v>1</v>
      </c>
      <c r="AA5690">
        <v>1</v>
      </c>
      <c r="AB5690">
        <v>1</v>
      </c>
    </row>
    <row r="5691" spans="1:49" x14ac:dyDescent="0.25">
      <c r="A5691" t="str">
        <f>"5687"</f>
        <v>5687</v>
      </c>
      <c r="B5691" t="str">
        <f t="shared" si="329"/>
        <v>1</v>
      </c>
      <c r="C5691" t="str">
        <f t="shared" si="331"/>
        <v>251</v>
      </c>
      <c r="D5691" t="str">
        <f>"15"</f>
        <v>15</v>
      </c>
      <c r="E5691" t="str">
        <f>"1-251-15"</f>
        <v>1-251-15</v>
      </c>
      <c r="F5691" t="s">
        <v>83</v>
      </c>
      <c r="G5691" t="s">
        <v>86</v>
      </c>
      <c r="H5691" t="s">
        <v>87</v>
      </c>
      <c r="AC5691">
        <v>1</v>
      </c>
      <c r="AD5691">
        <v>0</v>
      </c>
      <c r="AE5691">
        <v>0</v>
      </c>
      <c r="AF5691">
        <v>0</v>
      </c>
      <c r="AH5691">
        <v>0</v>
      </c>
      <c r="AI5691">
        <v>1</v>
      </c>
      <c r="AJ5691">
        <v>1</v>
      </c>
      <c r="AK5691">
        <v>0</v>
      </c>
      <c r="AL5691">
        <v>0</v>
      </c>
      <c r="AM5691">
        <v>0</v>
      </c>
      <c r="AN5691">
        <v>1</v>
      </c>
      <c r="AO5691">
        <v>1</v>
      </c>
      <c r="AP5691">
        <v>1</v>
      </c>
      <c r="AQ5691">
        <v>1</v>
      </c>
      <c r="AU5691">
        <v>1</v>
      </c>
      <c r="AV5691">
        <v>1</v>
      </c>
      <c r="AW5691">
        <v>1</v>
      </c>
    </row>
    <row r="5692" spans="1:49" x14ac:dyDescent="0.25">
      <c r="A5692" t="str">
        <f>"5688"</f>
        <v>5688</v>
      </c>
      <c r="B5692" t="str">
        <f t="shared" si="329"/>
        <v>1</v>
      </c>
      <c r="C5692" t="str">
        <f t="shared" si="331"/>
        <v>251</v>
      </c>
      <c r="D5692" t="str">
        <f>"14"</f>
        <v>14</v>
      </c>
      <c r="E5692" t="str">
        <f>"1-251-14"</f>
        <v>1-251-14</v>
      </c>
      <c r="F5692" t="s">
        <v>83</v>
      </c>
      <c r="G5692" t="s">
        <v>86</v>
      </c>
      <c r="H5692" t="s">
        <v>87</v>
      </c>
      <c r="AC5692">
        <v>0</v>
      </c>
      <c r="AD5692">
        <v>1</v>
      </c>
      <c r="AE5692">
        <v>0</v>
      </c>
      <c r="AF5692">
        <v>0</v>
      </c>
      <c r="AH5692">
        <v>0</v>
      </c>
      <c r="AI5692">
        <v>1</v>
      </c>
      <c r="AJ5692">
        <v>0</v>
      </c>
      <c r="AK5692">
        <v>1</v>
      </c>
      <c r="AL5692">
        <v>0</v>
      </c>
      <c r="AM5692">
        <v>0</v>
      </c>
      <c r="AN5692">
        <v>1</v>
      </c>
      <c r="AO5692">
        <v>0</v>
      </c>
      <c r="AP5692">
        <v>0</v>
      </c>
      <c r="AQ5692">
        <v>0</v>
      </c>
      <c r="AU5692">
        <v>0</v>
      </c>
      <c r="AV5692">
        <v>0</v>
      </c>
      <c r="AW5692">
        <v>0</v>
      </c>
    </row>
    <row r="5693" spans="1:49" x14ac:dyDescent="0.25">
      <c r="A5693" t="str">
        <f>"5689"</f>
        <v>5689</v>
      </c>
      <c r="B5693" t="str">
        <f t="shared" si="329"/>
        <v>1</v>
      </c>
      <c r="C5693" t="str">
        <f t="shared" si="331"/>
        <v>251</v>
      </c>
      <c r="D5693" t="str">
        <f>"11"</f>
        <v>11</v>
      </c>
      <c r="E5693" t="str">
        <f>"1-251-11"</f>
        <v>1-251-11</v>
      </c>
      <c r="F5693" t="s">
        <v>83</v>
      </c>
      <c r="G5693" t="s">
        <v>86</v>
      </c>
      <c r="H5693" t="s">
        <v>93</v>
      </c>
      <c r="I5693">
        <v>1</v>
      </c>
      <c r="K5693">
        <v>0</v>
      </c>
      <c r="L5693">
        <v>0</v>
      </c>
      <c r="M5693">
        <v>1</v>
      </c>
      <c r="N5693">
        <v>1</v>
      </c>
      <c r="O5693">
        <v>1</v>
      </c>
      <c r="P5693">
        <v>1</v>
      </c>
      <c r="Q5693">
        <v>1</v>
      </c>
      <c r="R5693">
        <v>1</v>
      </c>
      <c r="U5693">
        <v>0</v>
      </c>
      <c r="V5693">
        <v>1</v>
      </c>
      <c r="W5693">
        <v>1</v>
      </c>
      <c r="X5693">
        <v>1</v>
      </c>
      <c r="Y5693">
        <v>1</v>
      </c>
      <c r="Z5693">
        <v>1</v>
      </c>
      <c r="AA5693">
        <v>1</v>
      </c>
      <c r="AB5693">
        <v>1</v>
      </c>
    </row>
    <row r="5694" spans="1:49" x14ac:dyDescent="0.25">
      <c r="A5694" t="str">
        <f>"5690"</f>
        <v>5690</v>
      </c>
      <c r="B5694" t="str">
        <f t="shared" si="329"/>
        <v>1</v>
      </c>
      <c r="C5694" t="str">
        <f t="shared" si="331"/>
        <v>251</v>
      </c>
      <c r="D5694" t="str">
        <f>"8"</f>
        <v>8</v>
      </c>
      <c r="E5694" t="str">
        <f>"1-251-8"</f>
        <v>1-251-8</v>
      </c>
      <c r="F5694" t="s">
        <v>83</v>
      </c>
      <c r="G5694" t="s">
        <v>86</v>
      </c>
      <c r="H5694" t="s">
        <v>93</v>
      </c>
      <c r="I5694">
        <v>1</v>
      </c>
      <c r="K5694">
        <v>0</v>
      </c>
      <c r="L5694">
        <v>0</v>
      </c>
      <c r="M5694">
        <v>1</v>
      </c>
      <c r="N5694">
        <v>1</v>
      </c>
      <c r="O5694">
        <v>1</v>
      </c>
      <c r="P5694">
        <v>1</v>
      </c>
      <c r="Q5694">
        <v>1</v>
      </c>
      <c r="R5694">
        <v>1</v>
      </c>
      <c r="U5694">
        <v>1</v>
      </c>
      <c r="V5694">
        <v>0</v>
      </c>
      <c r="W5694">
        <v>1</v>
      </c>
      <c r="X5694">
        <v>1</v>
      </c>
      <c r="Y5694">
        <v>1</v>
      </c>
      <c r="Z5694">
        <v>1</v>
      </c>
      <c r="AA5694">
        <v>1</v>
      </c>
      <c r="AB5694">
        <v>1</v>
      </c>
    </row>
    <row r="5695" spans="1:49" x14ac:dyDescent="0.25">
      <c r="A5695" t="str">
        <f>"5691"</f>
        <v>5691</v>
      </c>
      <c r="B5695" t="str">
        <f t="shared" si="329"/>
        <v>1</v>
      </c>
      <c r="C5695" t="str">
        <f t="shared" si="331"/>
        <v>251</v>
      </c>
      <c r="D5695" t="str">
        <f>"1"</f>
        <v>1</v>
      </c>
      <c r="E5695" t="str">
        <f>"1-251-1"</f>
        <v>1-251-1</v>
      </c>
      <c r="F5695" t="s">
        <v>83</v>
      </c>
      <c r="G5695" t="s">
        <v>88</v>
      </c>
      <c r="H5695" t="s">
        <v>89</v>
      </c>
      <c r="AC5695">
        <v>0</v>
      </c>
      <c r="AD5695">
        <v>0</v>
      </c>
      <c r="AE5695">
        <v>0</v>
      </c>
      <c r="AF5695">
        <v>0</v>
      </c>
      <c r="AH5695">
        <v>1</v>
      </c>
      <c r="AI5695">
        <v>0</v>
      </c>
      <c r="AJ5695">
        <v>0</v>
      </c>
      <c r="AK5695">
        <v>0</v>
      </c>
      <c r="AL5695">
        <v>0</v>
      </c>
      <c r="AM5695">
        <v>0</v>
      </c>
      <c r="AN5695">
        <v>0</v>
      </c>
      <c r="AO5695">
        <v>0</v>
      </c>
      <c r="AP5695">
        <v>0</v>
      </c>
      <c r="AQ5695">
        <v>0</v>
      </c>
      <c r="AR5695">
        <v>0</v>
      </c>
      <c r="AS5695">
        <v>0</v>
      </c>
      <c r="AT5695">
        <v>0</v>
      </c>
      <c r="AV5695">
        <v>0</v>
      </c>
      <c r="AW5695">
        <v>0</v>
      </c>
    </row>
    <row r="5696" spans="1:49" x14ac:dyDescent="0.25">
      <c r="A5696" t="str">
        <f>"5692"</f>
        <v>5692</v>
      </c>
      <c r="B5696" t="str">
        <f t="shared" si="329"/>
        <v>1</v>
      </c>
      <c r="C5696" t="str">
        <f t="shared" si="331"/>
        <v>251</v>
      </c>
      <c r="D5696" t="str">
        <f>"17"</f>
        <v>17</v>
      </c>
      <c r="E5696" t="str">
        <f>"1-251-17"</f>
        <v>1-251-17</v>
      </c>
      <c r="F5696" t="s">
        <v>83</v>
      </c>
      <c r="G5696" t="s">
        <v>86</v>
      </c>
      <c r="H5696" t="s">
        <v>93</v>
      </c>
      <c r="I5696">
        <v>1</v>
      </c>
      <c r="K5696">
        <v>1</v>
      </c>
      <c r="L5696">
        <v>0</v>
      </c>
      <c r="M5696">
        <v>0</v>
      </c>
      <c r="N5696">
        <v>1</v>
      </c>
      <c r="O5696">
        <v>1</v>
      </c>
      <c r="P5696">
        <v>1</v>
      </c>
      <c r="Q5696">
        <v>1</v>
      </c>
      <c r="R5696">
        <v>1</v>
      </c>
      <c r="U5696">
        <v>0</v>
      </c>
      <c r="V5696">
        <v>1</v>
      </c>
      <c r="W5696">
        <v>1</v>
      </c>
      <c r="X5696">
        <v>1</v>
      </c>
      <c r="Y5696">
        <v>1</v>
      </c>
      <c r="Z5696">
        <v>1</v>
      </c>
      <c r="AA5696">
        <v>1</v>
      </c>
      <c r="AB5696">
        <v>1</v>
      </c>
    </row>
    <row r="5697" spans="1:49" x14ac:dyDescent="0.25">
      <c r="A5697" t="str">
        <f>"5693"</f>
        <v>5693</v>
      </c>
      <c r="B5697" t="str">
        <f t="shared" si="329"/>
        <v>1</v>
      </c>
      <c r="C5697" t="str">
        <f t="shared" si="331"/>
        <v>251</v>
      </c>
      <c r="D5697" t="str">
        <f>"9"</f>
        <v>9</v>
      </c>
      <c r="E5697" t="str">
        <f>"1-251-9"</f>
        <v>1-251-9</v>
      </c>
      <c r="F5697" t="s">
        <v>83</v>
      </c>
      <c r="G5697" t="s">
        <v>86</v>
      </c>
      <c r="H5697" t="s">
        <v>93</v>
      </c>
      <c r="I5697">
        <v>1</v>
      </c>
      <c r="K5697">
        <v>0</v>
      </c>
      <c r="L5697">
        <v>0</v>
      </c>
      <c r="M5697">
        <v>1</v>
      </c>
      <c r="N5697">
        <v>1</v>
      </c>
      <c r="O5697">
        <v>1</v>
      </c>
      <c r="P5697">
        <v>1</v>
      </c>
      <c r="Q5697">
        <v>1</v>
      </c>
      <c r="R5697">
        <v>1</v>
      </c>
      <c r="U5697">
        <v>0</v>
      </c>
      <c r="V5697">
        <v>1</v>
      </c>
      <c r="W5697">
        <v>1</v>
      </c>
      <c r="X5697">
        <v>1</v>
      </c>
      <c r="Y5697">
        <v>1</v>
      </c>
      <c r="Z5697">
        <v>1</v>
      </c>
      <c r="AA5697">
        <v>1</v>
      </c>
      <c r="AB5697">
        <v>1</v>
      </c>
    </row>
    <row r="5698" spans="1:49" x14ac:dyDescent="0.25">
      <c r="A5698" t="str">
        <f>"5694"</f>
        <v>5694</v>
      </c>
      <c r="B5698" t="str">
        <f t="shared" si="329"/>
        <v>1</v>
      </c>
      <c r="C5698" t="str">
        <f t="shared" si="331"/>
        <v>251</v>
      </c>
      <c r="D5698" t="str">
        <f>"4"</f>
        <v>4</v>
      </c>
      <c r="E5698" t="str">
        <f>"1-251-4"</f>
        <v>1-251-4</v>
      </c>
      <c r="F5698" t="s">
        <v>83</v>
      </c>
      <c r="G5698" t="s">
        <v>86</v>
      </c>
      <c r="H5698" t="s">
        <v>87</v>
      </c>
      <c r="AC5698">
        <v>0</v>
      </c>
      <c r="AD5698">
        <v>0</v>
      </c>
      <c r="AE5698">
        <v>0</v>
      </c>
      <c r="AF5698">
        <v>0</v>
      </c>
      <c r="AH5698">
        <v>0</v>
      </c>
      <c r="AI5698">
        <v>1</v>
      </c>
      <c r="AJ5698">
        <v>0</v>
      </c>
      <c r="AK5698">
        <v>0</v>
      </c>
      <c r="AL5698">
        <v>0</v>
      </c>
      <c r="AM5698">
        <v>0</v>
      </c>
      <c r="AN5698">
        <v>0</v>
      </c>
      <c r="AO5698">
        <v>0</v>
      </c>
      <c r="AP5698">
        <v>0</v>
      </c>
      <c r="AQ5698">
        <v>0</v>
      </c>
      <c r="AU5698">
        <v>0</v>
      </c>
      <c r="AV5698">
        <v>0</v>
      </c>
      <c r="AW5698">
        <v>0</v>
      </c>
    </row>
    <row r="5699" spans="1:49" x14ac:dyDescent="0.25">
      <c r="A5699" t="str">
        <f>"5695"</f>
        <v>5695</v>
      </c>
      <c r="B5699" t="str">
        <f t="shared" si="329"/>
        <v>1</v>
      </c>
      <c r="C5699" t="str">
        <f t="shared" si="331"/>
        <v>251</v>
      </c>
      <c r="D5699" t="str">
        <f>"25"</f>
        <v>25</v>
      </c>
      <c r="E5699" t="str">
        <f>"1-251-25"</f>
        <v>1-251-25</v>
      </c>
      <c r="F5699" t="s">
        <v>83</v>
      </c>
      <c r="G5699" t="s">
        <v>86</v>
      </c>
      <c r="H5699" t="s">
        <v>87</v>
      </c>
      <c r="AC5699">
        <v>0</v>
      </c>
      <c r="AD5699">
        <v>1</v>
      </c>
      <c r="AE5699">
        <v>0</v>
      </c>
      <c r="AF5699">
        <v>0</v>
      </c>
      <c r="AH5699">
        <v>0</v>
      </c>
      <c r="AI5699">
        <v>1</v>
      </c>
      <c r="AJ5699">
        <v>0</v>
      </c>
      <c r="AK5699">
        <v>0</v>
      </c>
      <c r="AL5699">
        <v>0</v>
      </c>
      <c r="AM5699">
        <v>0</v>
      </c>
      <c r="AN5699">
        <v>1</v>
      </c>
      <c r="AO5699">
        <v>0</v>
      </c>
      <c r="AP5699">
        <v>0</v>
      </c>
      <c r="AQ5699">
        <v>0</v>
      </c>
      <c r="AU5699">
        <v>0</v>
      </c>
      <c r="AV5699">
        <v>0</v>
      </c>
      <c r="AW5699">
        <v>0</v>
      </c>
    </row>
    <row r="5700" spans="1:49" x14ac:dyDescent="0.25">
      <c r="A5700" t="str">
        <f>"5696"</f>
        <v>5696</v>
      </c>
      <c r="B5700" t="str">
        <f t="shared" si="329"/>
        <v>1</v>
      </c>
      <c r="C5700" t="str">
        <f t="shared" si="331"/>
        <v>251</v>
      </c>
      <c r="D5700" t="str">
        <f>"24"</f>
        <v>24</v>
      </c>
      <c r="E5700" t="str">
        <f>"1-251-24"</f>
        <v>1-251-24</v>
      </c>
      <c r="F5700" t="s">
        <v>83</v>
      </c>
      <c r="G5700" t="s">
        <v>86</v>
      </c>
      <c r="H5700" t="s">
        <v>93</v>
      </c>
      <c r="I5700">
        <v>1</v>
      </c>
      <c r="K5700">
        <v>0</v>
      </c>
      <c r="L5700">
        <v>0</v>
      </c>
      <c r="M5700">
        <v>0</v>
      </c>
      <c r="N5700">
        <v>1</v>
      </c>
      <c r="O5700">
        <v>1</v>
      </c>
      <c r="P5700">
        <v>1</v>
      </c>
      <c r="Q5700">
        <v>1</v>
      </c>
      <c r="R5700">
        <v>1</v>
      </c>
      <c r="U5700">
        <v>0</v>
      </c>
      <c r="V5700">
        <v>1</v>
      </c>
      <c r="W5700">
        <v>1</v>
      </c>
      <c r="X5700">
        <v>1</v>
      </c>
      <c r="Y5700">
        <v>1</v>
      </c>
      <c r="Z5700">
        <v>1</v>
      </c>
      <c r="AA5700">
        <v>1</v>
      </c>
      <c r="AB5700">
        <v>1</v>
      </c>
    </row>
    <row r="5701" spans="1:49" x14ac:dyDescent="0.25">
      <c r="A5701" t="str">
        <f>"5697"</f>
        <v>5697</v>
      </c>
      <c r="B5701" t="str">
        <f t="shared" si="329"/>
        <v>1</v>
      </c>
      <c r="C5701" t="str">
        <f t="shared" si="331"/>
        <v>251</v>
      </c>
      <c r="D5701" t="str">
        <f>"10"</f>
        <v>10</v>
      </c>
      <c r="E5701" t="str">
        <f>"1-251-10"</f>
        <v>1-251-10</v>
      </c>
      <c r="F5701" t="s">
        <v>83</v>
      </c>
      <c r="G5701" t="s">
        <v>86</v>
      </c>
      <c r="H5701" t="s">
        <v>87</v>
      </c>
      <c r="AC5701">
        <v>0</v>
      </c>
      <c r="AD5701">
        <v>1</v>
      </c>
      <c r="AE5701">
        <v>0</v>
      </c>
      <c r="AF5701">
        <v>0</v>
      </c>
      <c r="AH5701">
        <v>0</v>
      </c>
      <c r="AI5701">
        <v>1</v>
      </c>
      <c r="AJ5701">
        <v>0</v>
      </c>
      <c r="AK5701">
        <v>1</v>
      </c>
      <c r="AL5701">
        <v>0</v>
      </c>
      <c r="AM5701">
        <v>0</v>
      </c>
      <c r="AN5701">
        <v>1</v>
      </c>
      <c r="AO5701">
        <v>1</v>
      </c>
      <c r="AP5701">
        <v>1</v>
      </c>
      <c r="AQ5701">
        <v>1</v>
      </c>
      <c r="AU5701">
        <v>1</v>
      </c>
      <c r="AV5701">
        <v>1</v>
      </c>
      <c r="AW5701">
        <v>1</v>
      </c>
    </row>
    <row r="5702" spans="1:49" x14ac:dyDescent="0.25">
      <c r="A5702" t="str">
        <f>"5698"</f>
        <v>5698</v>
      </c>
      <c r="B5702" t="str">
        <f t="shared" si="329"/>
        <v>1</v>
      </c>
      <c r="C5702" t="str">
        <f t="shared" si="331"/>
        <v>251</v>
      </c>
      <c r="D5702" t="str">
        <f>"6"</f>
        <v>6</v>
      </c>
      <c r="E5702" t="str">
        <f>"1-251-6"</f>
        <v>1-251-6</v>
      </c>
      <c r="F5702" t="s">
        <v>83</v>
      </c>
      <c r="G5702" t="s">
        <v>86</v>
      </c>
      <c r="H5702" t="s">
        <v>93</v>
      </c>
      <c r="I5702">
        <v>1</v>
      </c>
      <c r="K5702">
        <v>1</v>
      </c>
      <c r="L5702">
        <v>0</v>
      </c>
      <c r="M5702">
        <v>0</v>
      </c>
      <c r="N5702">
        <v>1</v>
      </c>
      <c r="O5702">
        <v>0</v>
      </c>
      <c r="P5702">
        <v>1</v>
      </c>
      <c r="Q5702">
        <v>1</v>
      </c>
      <c r="R5702">
        <v>1</v>
      </c>
      <c r="U5702">
        <v>0</v>
      </c>
      <c r="V5702">
        <v>0</v>
      </c>
      <c r="W5702">
        <v>1</v>
      </c>
      <c r="X5702">
        <v>1</v>
      </c>
      <c r="Y5702">
        <v>1</v>
      </c>
      <c r="Z5702">
        <v>1</v>
      </c>
      <c r="AA5702">
        <v>1</v>
      </c>
      <c r="AB5702">
        <v>1</v>
      </c>
    </row>
    <row r="5703" spans="1:49" x14ac:dyDescent="0.25">
      <c r="A5703" t="str">
        <f>"5699"</f>
        <v>5699</v>
      </c>
      <c r="B5703" t="str">
        <f t="shared" si="329"/>
        <v>1</v>
      </c>
      <c r="C5703" t="str">
        <f t="shared" si="331"/>
        <v>251</v>
      </c>
      <c r="D5703" t="str">
        <f>"23"</f>
        <v>23</v>
      </c>
      <c r="E5703" t="str">
        <f>"1-251-23"</f>
        <v>1-251-23</v>
      </c>
      <c r="F5703" t="s">
        <v>83</v>
      </c>
      <c r="G5703" t="s">
        <v>86</v>
      </c>
      <c r="H5703" t="s">
        <v>87</v>
      </c>
      <c r="AC5703">
        <v>1</v>
      </c>
      <c r="AD5703">
        <v>0</v>
      </c>
      <c r="AE5703">
        <v>0</v>
      </c>
      <c r="AF5703">
        <v>0</v>
      </c>
      <c r="AH5703">
        <v>1</v>
      </c>
      <c r="AI5703">
        <v>0</v>
      </c>
      <c r="AJ5703">
        <v>0</v>
      </c>
      <c r="AK5703">
        <v>1</v>
      </c>
      <c r="AL5703">
        <v>0</v>
      </c>
      <c r="AM5703">
        <v>0</v>
      </c>
      <c r="AN5703">
        <v>1</v>
      </c>
      <c r="AO5703">
        <v>1</v>
      </c>
      <c r="AP5703">
        <v>1</v>
      </c>
      <c r="AQ5703">
        <v>1</v>
      </c>
      <c r="AU5703">
        <v>1</v>
      </c>
      <c r="AV5703">
        <v>1</v>
      </c>
      <c r="AW5703">
        <v>1</v>
      </c>
    </row>
    <row r="5704" spans="1:49" x14ac:dyDescent="0.25">
      <c r="A5704" t="str">
        <f>"5700"</f>
        <v>5700</v>
      </c>
      <c r="B5704" t="str">
        <f t="shared" si="329"/>
        <v>1</v>
      </c>
      <c r="C5704" t="str">
        <f t="shared" si="331"/>
        <v>251</v>
      </c>
      <c r="D5704" t="str">
        <f>"12"</f>
        <v>12</v>
      </c>
      <c r="E5704" t="str">
        <f>"1-251-12"</f>
        <v>1-251-12</v>
      </c>
      <c r="F5704" t="s">
        <v>83</v>
      </c>
      <c r="G5704" t="s">
        <v>86</v>
      </c>
      <c r="H5704" t="s">
        <v>87</v>
      </c>
      <c r="AC5704">
        <v>0</v>
      </c>
      <c r="AD5704">
        <v>0</v>
      </c>
      <c r="AE5704">
        <v>0</v>
      </c>
      <c r="AF5704">
        <v>0</v>
      </c>
      <c r="AH5704">
        <v>1</v>
      </c>
      <c r="AI5704">
        <v>0</v>
      </c>
      <c r="AJ5704">
        <v>0</v>
      </c>
      <c r="AK5704">
        <v>0</v>
      </c>
      <c r="AL5704">
        <v>0</v>
      </c>
      <c r="AM5704">
        <v>0</v>
      </c>
      <c r="AN5704">
        <v>0</v>
      </c>
      <c r="AO5704">
        <v>0</v>
      </c>
      <c r="AP5704">
        <v>0</v>
      </c>
      <c r="AQ5704">
        <v>0</v>
      </c>
      <c r="AU5704">
        <v>0</v>
      </c>
      <c r="AV5704">
        <v>0</v>
      </c>
      <c r="AW5704">
        <v>0</v>
      </c>
    </row>
    <row r="5705" spans="1:49" x14ac:dyDescent="0.25">
      <c r="A5705" t="str">
        <f>"5701"</f>
        <v>5701</v>
      </c>
      <c r="B5705" t="str">
        <f t="shared" si="329"/>
        <v>1</v>
      </c>
      <c r="C5705" t="str">
        <f t="shared" si="331"/>
        <v>251</v>
      </c>
      <c r="D5705" t="str">
        <f>"3"</f>
        <v>3</v>
      </c>
      <c r="E5705" t="str">
        <f>"1-251-3"</f>
        <v>1-251-3</v>
      </c>
      <c r="F5705" t="s">
        <v>83</v>
      </c>
      <c r="G5705" t="s">
        <v>86</v>
      </c>
      <c r="H5705" t="s">
        <v>87</v>
      </c>
      <c r="AC5705">
        <v>0</v>
      </c>
      <c r="AD5705">
        <v>1</v>
      </c>
      <c r="AE5705">
        <v>0</v>
      </c>
      <c r="AF5705">
        <v>0</v>
      </c>
      <c r="AH5705">
        <v>0</v>
      </c>
      <c r="AI5705">
        <v>1</v>
      </c>
      <c r="AJ5705">
        <v>0</v>
      </c>
      <c r="AK5705">
        <v>1</v>
      </c>
      <c r="AL5705">
        <v>0</v>
      </c>
      <c r="AM5705">
        <v>0</v>
      </c>
      <c r="AN5705">
        <v>1</v>
      </c>
      <c r="AO5705">
        <v>1</v>
      </c>
      <c r="AP5705">
        <v>1</v>
      </c>
      <c r="AQ5705">
        <v>1</v>
      </c>
      <c r="AU5705">
        <v>1</v>
      </c>
      <c r="AV5705">
        <v>1</v>
      </c>
      <c r="AW5705">
        <v>1</v>
      </c>
    </row>
    <row r="5706" spans="1:49" x14ac:dyDescent="0.25">
      <c r="A5706" t="str">
        <f>"5702"</f>
        <v>5702</v>
      </c>
      <c r="B5706" t="str">
        <f t="shared" si="329"/>
        <v>1</v>
      </c>
      <c r="C5706" t="str">
        <f t="shared" si="331"/>
        <v>251</v>
      </c>
      <c r="D5706" t="str">
        <f>"13"</f>
        <v>13</v>
      </c>
      <c r="E5706" t="str">
        <f>"1-251-13"</f>
        <v>1-251-13</v>
      </c>
      <c r="F5706" t="s">
        <v>83</v>
      </c>
      <c r="G5706" t="s">
        <v>86</v>
      </c>
      <c r="H5706" t="s">
        <v>87</v>
      </c>
      <c r="AC5706">
        <v>0</v>
      </c>
      <c r="AD5706">
        <v>1</v>
      </c>
      <c r="AE5706">
        <v>0</v>
      </c>
      <c r="AF5706">
        <v>0</v>
      </c>
      <c r="AH5706">
        <v>0</v>
      </c>
      <c r="AI5706">
        <v>1</v>
      </c>
      <c r="AJ5706">
        <v>0</v>
      </c>
      <c r="AK5706">
        <v>1</v>
      </c>
      <c r="AL5706">
        <v>0</v>
      </c>
      <c r="AM5706">
        <v>0</v>
      </c>
      <c r="AN5706">
        <v>1</v>
      </c>
      <c r="AO5706">
        <v>1</v>
      </c>
      <c r="AP5706">
        <v>1</v>
      </c>
      <c r="AQ5706">
        <v>1</v>
      </c>
      <c r="AU5706">
        <v>1</v>
      </c>
      <c r="AV5706">
        <v>1</v>
      </c>
      <c r="AW5706">
        <v>1</v>
      </c>
    </row>
    <row r="5707" spans="1:49" x14ac:dyDescent="0.25">
      <c r="A5707" t="str">
        <f>"5703"</f>
        <v>5703</v>
      </c>
      <c r="B5707" t="str">
        <f t="shared" si="329"/>
        <v>1</v>
      </c>
      <c r="C5707" t="str">
        <f t="shared" si="331"/>
        <v>251</v>
      </c>
      <c r="D5707" t="str">
        <f>"5"</f>
        <v>5</v>
      </c>
      <c r="E5707" t="str">
        <f>"1-251-5"</f>
        <v>1-251-5</v>
      </c>
      <c r="F5707" t="s">
        <v>83</v>
      </c>
      <c r="G5707" t="s">
        <v>86</v>
      </c>
      <c r="H5707" t="s">
        <v>93</v>
      </c>
      <c r="I5707">
        <v>1</v>
      </c>
      <c r="K5707">
        <v>0</v>
      </c>
      <c r="L5707">
        <v>1</v>
      </c>
      <c r="M5707">
        <v>0</v>
      </c>
      <c r="N5707">
        <v>1</v>
      </c>
      <c r="O5707">
        <v>1</v>
      </c>
      <c r="P5707">
        <v>1</v>
      </c>
      <c r="Q5707">
        <v>1</v>
      </c>
      <c r="R5707">
        <v>1</v>
      </c>
      <c r="U5707">
        <v>1</v>
      </c>
      <c r="V5707">
        <v>0</v>
      </c>
      <c r="W5707">
        <v>1</v>
      </c>
      <c r="X5707">
        <v>1</v>
      </c>
      <c r="Y5707">
        <v>1</v>
      </c>
      <c r="Z5707">
        <v>1</v>
      </c>
      <c r="AA5707">
        <v>1</v>
      </c>
      <c r="AB5707">
        <v>1</v>
      </c>
    </row>
    <row r="5708" spans="1:49" x14ac:dyDescent="0.25">
      <c r="A5708" t="str">
        <f>"5704"</f>
        <v>5704</v>
      </c>
      <c r="B5708" t="str">
        <f t="shared" si="329"/>
        <v>1</v>
      </c>
      <c r="C5708" t="str">
        <f t="shared" si="331"/>
        <v>251</v>
      </c>
      <c r="D5708" t="str">
        <f>"18"</f>
        <v>18</v>
      </c>
      <c r="E5708" t="str">
        <f>"1-251-18"</f>
        <v>1-251-18</v>
      </c>
      <c r="F5708" t="s">
        <v>83</v>
      </c>
      <c r="G5708" t="s">
        <v>86</v>
      </c>
      <c r="H5708" t="s">
        <v>87</v>
      </c>
      <c r="AC5708">
        <v>0</v>
      </c>
      <c r="AD5708">
        <v>1</v>
      </c>
      <c r="AE5708">
        <v>0</v>
      </c>
      <c r="AF5708">
        <v>0</v>
      </c>
      <c r="AH5708">
        <v>0</v>
      </c>
      <c r="AI5708">
        <v>1</v>
      </c>
      <c r="AJ5708">
        <v>0</v>
      </c>
      <c r="AK5708">
        <v>1</v>
      </c>
      <c r="AL5708">
        <v>0</v>
      </c>
      <c r="AM5708">
        <v>0</v>
      </c>
      <c r="AN5708">
        <v>1</v>
      </c>
      <c r="AO5708">
        <v>0</v>
      </c>
      <c r="AP5708">
        <v>0</v>
      </c>
      <c r="AQ5708">
        <v>0</v>
      </c>
      <c r="AU5708">
        <v>0</v>
      </c>
      <c r="AV5708">
        <v>1</v>
      </c>
      <c r="AW5708">
        <v>0</v>
      </c>
    </row>
    <row r="5709" spans="1:49" x14ac:dyDescent="0.25">
      <c r="A5709" t="str">
        <f>"5705"</f>
        <v>5705</v>
      </c>
      <c r="B5709" t="str">
        <f t="shared" si="329"/>
        <v>1</v>
      </c>
      <c r="C5709" t="str">
        <f t="shared" si="331"/>
        <v>251</v>
      </c>
      <c r="D5709" t="str">
        <f>"2"</f>
        <v>2</v>
      </c>
      <c r="E5709" t="str">
        <f>"1-251-2"</f>
        <v>1-251-2</v>
      </c>
      <c r="F5709" t="s">
        <v>83</v>
      </c>
      <c r="G5709" t="s">
        <v>86</v>
      </c>
      <c r="H5709" t="s">
        <v>87</v>
      </c>
      <c r="AC5709">
        <v>1</v>
      </c>
      <c r="AD5709">
        <v>0</v>
      </c>
      <c r="AE5709">
        <v>0</v>
      </c>
      <c r="AF5709">
        <v>0</v>
      </c>
      <c r="AH5709">
        <v>1</v>
      </c>
      <c r="AI5709">
        <v>0</v>
      </c>
      <c r="AJ5709">
        <v>1</v>
      </c>
      <c r="AK5709">
        <v>0</v>
      </c>
      <c r="AL5709">
        <v>1</v>
      </c>
      <c r="AM5709">
        <v>0</v>
      </c>
      <c r="AN5709">
        <v>0</v>
      </c>
      <c r="AO5709">
        <v>1</v>
      </c>
      <c r="AP5709">
        <v>1</v>
      </c>
      <c r="AQ5709">
        <v>1</v>
      </c>
      <c r="AU5709">
        <v>1</v>
      </c>
      <c r="AV5709">
        <v>1</v>
      </c>
      <c r="AW5709">
        <v>1</v>
      </c>
    </row>
    <row r="5710" spans="1:49" x14ac:dyDescent="0.25">
      <c r="A5710" t="str">
        <f>"5706"</f>
        <v>5706</v>
      </c>
      <c r="B5710" t="str">
        <f t="shared" si="329"/>
        <v>1</v>
      </c>
      <c r="C5710" t="str">
        <f t="shared" si="331"/>
        <v>251</v>
      </c>
      <c r="D5710" t="str">
        <f>"19"</f>
        <v>19</v>
      </c>
      <c r="E5710" t="str">
        <f>"1-251-19"</f>
        <v>1-251-19</v>
      </c>
      <c r="F5710" t="s">
        <v>83</v>
      </c>
      <c r="G5710" t="s">
        <v>86</v>
      </c>
      <c r="H5710" t="s">
        <v>87</v>
      </c>
      <c r="AC5710">
        <v>1</v>
      </c>
      <c r="AD5710">
        <v>0</v>
      </c>
      <c r="AE5710">
        <v>0</v>
      </c>
      <c r="AF5710">
        <v>0</v>
      </c>
      <c r="AH5710">
        <v>1</v>
      </c>
      <c r="AI5710">
        <v>0</v>
      </c>
      <c r="AJ5710">
        <v>0</v>
      </c>
      <c r="AK5710">
        <v>1</v>
      </c>
      <c r="AL5710">
        <v>0</v>
      </c>
      <c r="AM5710">
        <v>0</v>
      </c>
      <c r="AN5710">
        <v>1</v>
      </c>
      <c r="AO5710">
        <v>1</v>
      </c>
      <c r="AP5710">
        <v>1</v>
      </c>
      <c r="AQ5710">
        <v>1</v>
      </c>
      <c r="AU5710">
        <v>1</v>
      </c>
      <c r="AV5710">
        <v>1</v>
      </c>
      <c r="AW5710">
        <v>1</v>
      </c>
    </row>
    <row r="5711" spans="1:49" x14ac:dyDescent="0.25">
      <c r="A5711" t="str">
        <f>"5707"</f>
        <v>5707</v>
      </c>
      <c r="B5711" t="str">
        <f t="shared" si="329"/>
        <v>1</v>
      </c>
      <c r="C5711" t="str">
        <f t="shared" si="331"/>
        <v>251</v>
      </c>
      <c r="D5711" t="str">
        <f>"7"</f>
        <v>7</v>
      </c>
      <c r="E5711" t="str">
        <f>"1-251-7"</f>
        <v>1-251-7</v>
      </c>
      <c r="F5711" t="s">
        <v>83</v>
      </c>
      <c r="G5711" t="s">
        <v>86</v>
      </c>
      <c r="H5711" t="s">
        <v>87</v>
      </c>
      <c r="AC5711">
        <v>0</v>
      </c>
      <c r="AD5711">
        <v>1</v>
      </c>
      <c r="AE5711">
        <v>0</v>
      </c>
      <c r="AF5711">
        <v>0</v>
      </c>
      <c r="AH5711">
        <v>0</v>
      </c>
      <c r="AI5711">
        <v>1</v>
      </c>
      <c r="AJ5711">
        <v>0</v>
      </c>
      <c r="AK5711">
        <v>1</v>
      </c>
      <c r="AL5711">
        <v>0</v>
      </c>
      <c r="AM5711">
        <v>0</v>
      </c>
      <c r="AN5711">
        <v>1</v>
      </c>
      <c r="AO5711">
        <v>1</v>
      </c>
      <c r="AP5711">
        <v>1</v>
      </c>
      <c r="AQ5711">
        <v>1</v>
      </c>
      <c r="AU5711">
        <v>1</v>
      </c>
      <c r="AV5711">
        <v>1</v>
      </c>
      <c r="AW5711">
        <v>1</v>
      </c>
    </row>
    <row r="5712" spans="1:49" x14ac:dyDescent="0.25">
      <c r="A5712" t="str">
        <f>"5708"</f>
        <v>5708</v>
      </c>
      <c r="B5712" t="str">
        <f t="shared" si="329"/>
        <v>1</v>
      </c>
      <c r="C5712" t="str">
        <f t="shared" si="331"/>
        <v>251</v>
      </c>
      <c r="D5712" t="str">
        <f>"16"</f>
        <v>16</v>
      </c>
      <c r="E5712" t="str">
        <f>"1-251-16"</f>
        <v>1-251-16</v>
      </c>
      <c r="F5712" t="s">
        <v>83</v>
      </c>
      <c r="G5712" t="s">
        <v>86</v>
      </c>
      <c r="H5712" t="s">
        <v>87</v>
      </c>
      <c r="AC5712">
        <v>0</v>
      </c>
      <c r="AD5712">
        <v>0</v>
      </c>
      <c r="AE5712">
        <v>0</v>
      </c>
      <c r="AF5712">
        <v>0</v>
      </c>
      <c r="AH5712">
        <v>0</v>
      </c>
      <c r="AI5712">
        <v>1</v>
      </c>
      <c r="AJ5712">
        <v>0</v>
      </c>
      <c r="AK5712">
        <v>0</v>
      </c>
      <c r="AL5712">
        <v>0</v>
      </c>
      <c r="AM5712">
        <v>0</v>
      </c>
      <c r="AN5712">
        <v>1</v>
      </c>
      <c r="AO5712">
        <v>1</v>
      </c>
      <c r="AP5712">
        <v>1</v>
      </c>
      <c r="AQ5712">
        <v>1</v>
      </c>
      <c r="AU5712">
        <v>1</v>
      </c>
      <c r="AV5712">
        <v>1</v>
      </c>
      <c r="AW5712">
        <v>1</v>
      </c>
    </row>
    <row r="5713" spans="1:49" x14ac:dyDescent="0.25">
      <c r="A5713" t="str">
        <f>"5709"</f>
        <v>5709</v>
      </c>
      <c r="B5713" t="str">
        <f t="shared" si="329"/>
        <v>1</v>
      </c>
      <c r="C5713" t="str">
        <f t="shared" si="331"/>
        <v>251</v>
      </c>
      <c r="D5713" t="str">
        <f>"22"</f>
        <v>22</v>
      </c>
      <c r="E5713" t="str">
        <f>"1-251-22"</f>
        <v>1-251-22</v>
      </c>
      <c r="F5713" t="s">
        <v>83</v>
      </c>
      <c r="G5713" t="s">
        <v>86</v>
      </c>
      <c r="H5713" t="s">
        <v>87</v>
      </c>
      <c r="AC5713">
        <v>0</v>
      </c>
      <c r="AD5713">
        <v>1</v>
      </c>
      <c r="AE5713">
        <v>0</v>
      </c>
      <c r="AF5713">
        <v>0</v>
      </c>
      <c r="AH5713">
        <v>1</v>
      </c>
      <c r="AI5713">
        <v>0</v>
      </c>
      <c r="AJ5713">
        <v>0</v>
      </c>
      <c r="AK5713">
        <v>1</v>
      </c>
      <c r="AL5713">
        <v>1</v>
      </c>
      <c r="AM5713">
        <v>0</v>
      </c>
      <c r="AN5713">
        <v>0</v>
      </c>
      <c r="AO5713">
        <v>1</v>
      </c>
      <c r="AP5713">
        <v>1</v>
      </c>
      <c r="AQ5713">
        <v>1</v>
      </c>
      <c r="AU5713">
        <v>1</v>
      </c>
      <c r="AV5713">
        <v>1</v>
      </c>
      <c r="AW5713">
        <v>1</v>
      </c>
    </row>
    <row r="5714" spans="1:49" x14ac:dyDescent="0.25">
      <c r="A5714" t="str">
        <f>"5710"</f>
        <v>5710</v>
      </c>
      <c r="B5714" t="str">
        <f t="shared" si="329"/>
        <v>1</v>
      </c>
      <c r="C5714" t="str">
        <f t="shared" ref="C5714:C5735" si="332">"252"</f>
        <v>252</v>
      </c>
      <c r="D5714" t="str">
        <f>"21"</f>
        <v>21</v>
      </c>
      <c r="E5714" t="str">
        <f>"1-252-21"</f>
        <v>1-252-21</v>
      </c>
      <c r="F5714" t="s">
        <v>83</v>
      </c>
      <c r="G5714" t="s">
        <v>84</v>
      </c>
      <c r="H5714" t="s">
        <v>85</v>
      </c>
      <c r="AC5714">
        <v>0</v>
      </c>
      <c r="AD5714">
        <v>1</v>
      </c>
      <c r="AE5714">
        <v>0</v>
      </c>
      <c r="AF5714">
        <v>0</v>
      </c>
      <c r="AG5714">
        <v>1</v>
      </c>
      <c r="AJ5714">
        <v>0</v>
      </c>
      <c r="AK5714">
        <v>0</v>
      </c>
      <c r="AL5714">
        <v>0</v>
      </c>
      <c r="AM5714">
        <v>0</v>
      </c>
      <c r="AN5714">
        <v>0</v>
      </c>
      <c r="AO5714">
        <v>1</v>
      </c>
      <c r="AP5714">
        <v>1</v>
      </c>
      <c r="AQ5714">
        <v>1</v>
      </c>
      <c r="AR5714">
        <v>1</v>
      </c>
      <c r="AS5714">
        <v>0</v>
      </c>
      <c r="AT5714">
        <v>1</v>
      </c>
      <c r="AV5714">
        <v>1</v>
      </c>
      <c r="AW5714">
        <v>1</v>
      </c>
    </row>
    <row r="5715" spans="1:49" x14ac:dyDescent="0.25">
      <c r="A5715" t="str">
        <f>"5711"</f>
        <v>5711</v>
      </c>
      <c r="B5715" t="str">
        <f t="shared" si="329"/>
        <v>1</v>
      </c>
      <c r="C5715" t="str">
        <f t="shared" si="332"/>
        <v>252</v>
      </c>
      <c r="D5715" t="str">
        <f>"20"</f>
        <v>20</v>
      </c>
      <c r="E5715" t="str">
        <f>"1-252-20"</f>
        <v>1-252-20</v>
      </c>
      <c r="F5715" t="s">
        <v>83</v>
      </c>
      <c r="G5715" t="s">
        <v>84</v>
      </c>
      <c r="H5715" t="s">
        <v>85</v>
      </c>
      <c r="AC5715">
        <v>1</v>
      </c>
      <c r="AD5715">
        <v>0</v>
      </c>
      <c r="AE5715">
        <v>0</v>
      </c>
      <c r="AF5715">
        <v>0</v>
      </c>
      <c r="AG5715">
        <v>0</v>
      </c>
      <c r="AJ5715">
        <v>1</v>
      </c>
      <c r="AK5715">
        <v>0</v>
      </c>
      <c r="AL5715">
        <v>1</v>
      </c>
      <c r="AM5715">
        <v>0</v>
      </c>
      <c r="AN5715">
        <v>0</v>
      </c>
      <c r="AO5715">
        <v>0</v>
      </c>
      <c r="AP5715">
        <v>0</v>
      </c>
      <c r="AQ5715">
        <v>0</v>
      </c>
      <c r="AR5715">
        <v>0</v>
      </c>
      <c r="AS5715">
        <v>0</v>
      </c>
      <c r="AT5715">
        <v>1</v>
      </c>
      <c r="AV5715">
        <v>0</v>
      </c>
      <c r="AW5715">
        <v>0</v>
      </c>
    </row>
    <row r="5716" spans="1:49" x14ac:dyDescent="0.25">
      <c r="A5716" t="str">
        <f>"5712"</f>
        <v>5712</v>
      </c>
      <c r="B5716" t="str">
        <f t="shared" si="329"/>
        <v>1</v>
      </c>
      <c r="C5716" t="str">
        <f t="shared" si="332"/>
        <v>252</v>
      </c>
      <c r="D5716" t="str">
        <f>"13"</f>
        <v>13</v>
      </c>
      <c r="E5716" t="str">
        <f>"1-252-13"</f>
        <v>1-252-13</v>
      </c>
      <c r="F5716" t="s">
        <v>83</v>
      </c>
      <c r="G5716" t="s">
        <v>84</v>
      </c>
      <c r="H5716" t="s">
        <v>85</v>
      </c>
      <c r="AC5716">
        <v>1</v>
      </c>
      <c r="AD5716">
        <v>0</v>
      </c>
      <c r="AE5716">
        <v>0</v>
      </c>
      <c r="AF5716">
        <v>0</v>
      </c>
      <c r="AG5716">
        <v>1</v>
      </c>
      <c r="AJ5716">
        <v>0</v>
      </c>
      <c r="AK5716">
        <v>1</v>
      </c>
      <c r="AL5716">
        <v>1</v>
      </c>
      <c r="AM5716">
        <v>0</v>
      </c>
      <c r="AN5716">
        <v>0</v>
      </c>
      <c r="AO5716">
        <v>1</v>
      </c>
      <c r="AP5716">
        <v>1</v>
      </c>
      <c r="AQ5716">
        <v>1</v>
      </c>
      <c r="AR5716">
        <v>1</v>
      </c>
      <c r="AS5716">
        <v>0</v>
      </c>
      <c r="AT5716">
        <v>1</v>
      </c>
      <c r="AV5716">
        <v>1</v>
      </c>
      <c r="AW5716">
        <v>1</v>
      </c>
    </row>
    <row r="5717" spans="1:49" x14ac:dyDescent="0.25">
      <c r="A5717" t="str">
        <f>"5713"</f>
        <v>5713</v>
      </c>
      <c r="B5717" t="str">
        <f t="shared" si="329"/>
        <v>1</v>
      </c>
      <c r="C5717" t="str">
        <f t="shared" si="332"/>
        <v>252</v>
      </c>
      <c r="D5717" t="str">
        <f>"8"</f>
        <v>8</v>
      </c>
      <c r="E5717" t="str">
        <f>"1-252-8"</f>
        <v>1-252-8</v>
      </c>
      <c r="F5717" t="s">
        <v>83</v>
      </c>
      <c r="G5717" t="s">
        <v>84</v>
      </c>
      <c r="H5717" t="s">
        <v>85</v>
      </c>
      <c r="AC5717">
        <v>0</v>
      </c>
      <c r="AD5717">
        <v>1</v>
      </c>
      <c r="AE5717">
        <v>0</v>
      </c>
      <c r="AF5717">
        <v>0</v>
      </c>
      <c r="AG5717">
        <v>1</v>
      </c>
      <c r="AJ5717">
        <v>0</v>
      </c>
      <c r="AK5717">
        <v>1</v>
      </c>
      <c r="AL5717">
        <v>0</v>
      </c>
      <c r="AM5717">
        <v>0</v>
      </c>
      <c r="AN5717">
        <v>1</v>
      </c>
      <c r="AO5717">
        <v>1</v>
      </c>
      <c r="AP5717">
        <v>1</v>
      </c>
      <c r="AQ5717">
        <v>1</v>
      </c>
      <c r="AR5717">
        <v>1</v>
      </c>
      <c r="AS5717">
        <v>1</v>
      </c>
      <c r="AT5717">
        <v>0</v>
      </c>
      <c r="AV5717">
        <v>1</v>
      </c>
      <c r="AW5717">
        <v>1</v>
      </c>
    </row>
    <row r="5718" spans="1:49" x14ac:dyDescent="0.25">
      <c r="A5718" t="str">
        <f>"5714"</f>
        <v>5714</v>
      </c>
      <c r="B5718" t="str">
        <f t="shared" si="329"/>
        <v>1</v>
      </c>
      <c r="C5718" t="str">
        <f t="shared" si="332"/>
        <v>252</v>
      </c>
      <c r="D5718" t="str">
        <f>"3"</f>
        <v>3</v>
      </c>
      <c r="E5718" t="str">
        <f>"1-252-3"</f>
        <v>1-252-3</v>
      </c>
      <c r="F5718" t="s">
        <v>83</v>
      </c>
      <c r="G5718" t="s">
        <v>84</v>
      </c>
      <c r="H5718" t="s">
        <v>85</v>
      </c>
      <c r="AC5718">
        <v>0</v>
      </c>
      <c r="AD5718">
        <v>1</v>
      </c>
      <c r="AE5718">
        <v>0</v>
      </c>
      <c r="AF5718">
        <v>0</v>
      </c>
      <c r="AG5718">
        <v>0</v>
      </c>
      <c r="AJ5718">
        <v>0</v>
      </c>
      <c r="AK5718">
        <v>1</v>
      </c>
      <c r="AL5718">
        <v>0</v>
      </c>
      <c r="AM5718">
        <v>0</v>
      </c>
      <c r="AN5718">
        <v>1</v>
      </c>
      <c r="AO5718">
        <v>0</v>
      </c>
      <c r="AP5718">
        <v>0</v>
      </c>
      <c r="AQ5718">
        <v>0</v>
      </c>
      <c r="AR5718">
        <v>0</v>
      </c>
      <c r="AS5718">
        <v>0</v>
      </c>
      <c r="AT5718">
        <v>1</v>
      </c>
      <c r="AV5718">
        <v>0</v>
      </c>
      <c r="AW5718">
        <v>0</v>
      </c>
    </row>
    <row r="5719" spans="1:49" x14ac:dyDescent="0.25">
      <c r="A5719" t="str">
        <f>"5715"</f>
        <v>5715</v>
      </c>
      <c r="B5719" t="str">
        <f t="shared" si="329"/>
        <v>1</v>
      </c>
      <c r="C5719" t="str">
        <f t="shared" si="332"/>
        <v>252</v>
      </c>
      <c r="D5719" t="str">
        <f>"22"</f>
        <v>22</v>
      </c>
      <c r="E5719" t="str">
        <f>"1-252-22"</f>
        <v>1-252-22</v>
      </c>
      <c r="F5719" t="s">
        <v>83</v>
      </c>
      <c r="G5719" t="s">
        <v>88</v>
      </c>
      <c r="H5719" t="s">
        <v>89</v>
      </c>
      <c r="AC5719">
        <v>0</v>
      </c>
      <c r="AD5719">
        <v>1</v>
      </c>
      <c r="AE5719">
        <v>0</v>
      </c>
      <c r="AF5719">
        <v>0</v>
      </c>
      <c r="AH5719">
        <v>1</v>
      </c>
      <c r="AI5719">
        <v>0</v>
      </c>
      <c r="AJ5719">
        <v>0</v>
      </c>
      <c r="AK5719">
        <v>0</v>
      </c>
      <c r="AL5719">
        <v>0</v>
      </c>
      <c r="AM5719">
        <v>0</v>
      </c>
      <c r="AN5719">
        <v>0</v>
      </c>
      <c r="AO5719">
        <v>0</v>
      </c>
      <c r="AP5719">
        <v>0</v>
      </c>
      <c r="AQ5719">
        <v>0</v>
      </c>
      <c r="AR5719">
        <v>1</v>
      </c>
      <c r="AS5719">
        <v>0</v>
      </c>
      <c r="AT5719">
        <v>1</v>
      </c>
      <c r="AV5719">
        <v>0</v>
      </c>
      <c r="AW5719">
        <v>0</v>
      </c>
    </row>
    <row r="5720" spans="1:49" x14ac:dyDescent="0.25">
      <c r="A5720" t="str">
        <f>"5716"</f>
        <v>5716</v>
      </c>
      <c r="B5720" t="str">
        <f t="shared" si="329"/>
        <v>1</v>
      </c>
      <c r="C5720" t="str">
        <f t="shared" si="332"/>
        <v>252</v>
      </c>
      <c r="D5720" t="str">
        <f>"15"</f>
        <v>15</v>
      </c>
      <c r="E5720" t="str">
        <f>"1-252-15"</f>
        <v>1-252-15</v>
      </c>
      <c r="F5720" t="s">
        <v>83</v>
      </c>
      <c r="G5720" t="s">
        <v>84</v>
      </c>
      <c r="H5720" t="s">
        <v>85</v>
      </c>
      <c r="AC5720">
        <v>0</v>
      </c>
      <c r="AD5720">
        <v>1</v>
      </c>
      <c r="AE5720">
        <v>0</v>
      </c>
      <c r="AF5720">
        <v>0</v>
      </c>
      <c r="AG5720">
        <v>1</v>
      </c>
      <c r="AJ5720">
        <v>1</v>
      </c>
      <c r="AK5720">
        <v>0</v>
      </c>
      <c r="AL5720">
        <v>0</v>
      </c>
      <c r="AM5720">
        <v>1</v>
      </c>
      <c r="AN5720">
        <v>0</v>
      </c>
      <c r="AO5720">
        <v>1</v>
      </c>
      <c r="AP5720">
        <v>1</v>
      </c>
      <c r="AQ5720">
        <v>1</v>
      </c>
      <c r="AR5720">
        <v>1</v>
      </c>
      <c r="AS5720">
        <v>0</v>
      </c>
      <c r="AT5720">
        <v>1</v>
      </c>
      <c r="AV5720">
        <v>1</v>
      </c>
      <c r="AW5720">
        <v>1</v>
      </c>
    </row>
    <row r="5721" spans="1:49" x14ac:dyDescent="0.25">
      <c r="A5721" t="str">
        <f>"5717"</f>
        <v>5717</v>
      </c>
      <c r="B5721" t="str">
        <f t="shared" si="329"/>
        <v>1</v>
      </c>
      <c r="C5721" t="str">
        <f t="shared" si="332"/>
        <v>252</v>
      </c>
      <c r="D5721" t="str">
        <f>"9"</f>
        <v>9</v>
      </c>
      <c r="E5721" t="str">
        <f>"1-252-9"</f>
        <v>1-252-9</v>
      </c>
      <c r="F5721" t="s">
        <v>83</v>
      </c>
      <c r="G5721" t="s">
        <v>84</v>
      </c>
      <c r="H5721" t="s">
        <v>85</v>
      </c>
      <c r="AC5721">
        <v>1</v>
      </c>
      <c r="AD5721">
        <v>0</v>
      </c>
      <c r="AE5721">
        <v>0</v>
      </c>
      <c r="AF5721">
        <v>0</v>
      </c>
      <c r="AG5721">
        <v>1</v>
      </c>
      <c r="AJ5721">
        <v>0</v>
      </c>
      <c r="AK5721">
        <v>1</v>
      </c>
      <c r="AL5721">
        <v>1</v>
      </c>
      <c r="AM5721">
        <v>0</v>
      </c>
      <c r="AN5721">
        <v>0</v>
      </c>
      <c r="AO5721">
        <v>1</v>
      </c>
      <c r="AP5721">
        <v>1</v>
      </c>
      <c r="AQ5721">
        <v>1</v>
      </c>
      <c r="AR5721">
        <v>1</v>
      </c>
      <c r="AS5721">
        <v>1</v>
      </c>
      <c r="AT5721">
        <v>0</v>
      </c>
      <c r="AV5721">
        <v>1</v>
      </c>
      <c r="AW5721">
        <v>1</v>
      </c>
    </row>
    <row r="5722" spans="1:49" x14ac:dyDescent="0.25">
      <c r="A5722" t="str">
        <f>"5718"</f>
        <v>5718</v>
      </c>
      <c r="B5722" t="str">
        <f t="shared" si="329"/>
        <v>1</v>
      </c>
      <c r="C5722" t="str">
        <f t="shared" si="332"/>
        <v>252</v>
      </c>
      <c r="D5722" t="str">
        <f>"2"</f>
        <v>2</v>
      </c>
      <c r="E5722" t="str">
        <f>"1-252-2"</f>
        <v>1-252-2</v>
      </c>
      <c r="F5722" t="s">
        <v>83</v>
      </c>
      <c r="G5722" t="s">
        <v>84</v>
      </c>
      <c r="H5722" t="s">
        <v>85</v>
      </c>
      <c r="AC5722">
        <v>0</v>
      </c>
      <c r="AD5722">
        <v>1</v>
      </c>
      <c r="AE5722">
        <v>0</v>
      </c>
      <c r="AF5722">
        <v>0</v>
      </c>
      <c r="AG5722">
        <v>1</v>
      </c>
      <c r="AJ5722">
        <v>0</v>
      </c>
      <c r="AK5722">
        <v>1</v>
      </c>
      <c r="AL5722">
        <v>0</v>
      </c>
      <c r="AM5722">
        <v>0</v>
      </c>
      <c r="AN5722">
        <v>1</v>
      </c>
      <c r="AO5722">
        <v>0</v>
      </c>
      <c r="AP5722">
        <v>0</v>
      </c>
      <c r="AQ5722">
        <v>0</v>
      </c>
      <c r="AR5722">
        <v>0</v>
      </c>
      <c r="AS5722">
        <v>0</v>
      </c>
      <c r="AT5722">
        <v>1</v>
      </c>
      <c r="AV5722">
        <v>0</v>
      </c>
      <c r="AW5722">
        <v>0</v>
      </c>
    </row>
    <row r="5723" spans="1:49" x14ac:dyDescent="0.25">
      <c r="A5723" t="str">
        <f>"5719"</f>
        <v>5719</v>
      </c>
      <c r="B5723" t="str">
        <f t="shared" si="329"/>
        <v>1</v>
      </c>
      <c r="C5723" t="str">
        <f t="shared" si="332"/>
        <v>252</v>
      </c>
      <c r="D5723" t="str">
        <f>"14"</f>
        <v>14</v>
      </c>
      <c r="E5723" t="str">
        <f>"1-252-14"</f>
        <v>1-252-14</v>
      </c>
      <c r="F5723" t="s">
        <v>83</v>
      </c>
      <c r="G5723" t="s">
        <v>88</v>
      </c>
      <c r="H5723" t="s">
        <v>89</v>
      </c>
      <c r="AC5723">
        <v>0</v>
      </c>
      <c r="AD5723">
        <v>1</v>
      </c>
      <c r="AE5723">
        <v>0</v>
      </c>
      <c r="AF5723">
        <v>0</v>
      </c>
      <c r="AH5723">
        <v>1</v>
      </c>
      <c r="AI5723">
        <v>0</v>
      </c>
      <c r="AJ5723">
        <v>0</v>
      </c>
      <c r="AK5723">
        <v>0</v>
      </c>
      <c r="AL5723">
        <v>0</v>
      </c>
      <c r="AM5723">
        <v>0</v>
      </c>
      <c r="AN5723">
        <v>0</v>
      </c>
      <c r="AO5723">
        <v>0</v>
      </c>
      <c r="AP5723">
        <v>0</v>
      </c>
      <c r="AQ5723">
        <v>0</v>
      </c>
      <c r="AR5723">
        <v>1</v>
      </c>
      <c r="AS5723">
        <v>0</v>
      </c>
      <c r="AT5723">
        <v>1</v>
      </c>
      <c r="AV5723">
        <v>0</v>
      </c>
      <c r="AW5723">
        <v>0</v>
      </c>
    </row>
    <row r="5724" spans="1:49" x14ac:dyDescent="0.25">
      <c r="A5724" t="str">
        <f>"5720"</f>
        <v>5720</v>
      </c>
      <c r="B5724" t="str">
        <f t="shared" si="329"/>
        <v>1</v>
      </c>
      <c r="C5724" t="str">
        <f t="shared" si="332"/>
        <v>252</v>
      </c>
      <c r="D5724" t="str">
        <f>"10"</f>
        <v>10</v>
      </c>
      <c r="E5724" t="str">
        <f>"1-252-10"</f>
        <v>1-252-10</v>
      </c>
      <c r="F5724" t="s">
        <v>83</v>
      </c>
      <c r="G5724" t="s">
        <v>84</v>
      </c>
      <c r="H5724" t="s">
        <v>85</v>
      </c>
      <c r="AC5724">
        <v>0</v>
      </c>
      <c r="AD5724">
        <v>1</v>
      </c>
      <c r="AE5724">
        <v>0</v>
      </c>
      <c r="AF5724">
        <v>0</v>
      </c>
      <c r="AG5724">
        <v>1</v>
      </c>
      <c r="AJ5724">
        <v>1</v>
      </c>
      <c r="AK5724">
        <v>0</v>
      </c>
      <c r="AL5724">
        <v>0</v>
      </c>
      <c r="AM5724">
        <v>0</v>
      </c>
      <c r="AN5724">
        <v>0</v>
      </c>
      <c r="AO5724">
        <v>1</v>
      </c>
      <c r="AP5724">
        <v>1</v>
      </c>
      <c r="AQ5724">
        <v>1</v>
      </c>
      <c r="AR5724">
        <v>1</v>
      </c>
      <c r="AS5724">
        <v>0</v>
      </c>
      <c r="AT5724">
        <v>0</v>
      </c>
      <c r="AV5724">
        <v>1</v>
      </c>
      <c r="AW5724">
        <v>1</v>
      </c>
    </row>
    <row r="5725" spans="1:49" x14ac:dyDescent="0.25">
      <c r="A5725" t="str">
        <f>"5721"</f>
        <v>5721</v>
      </c>
      <c r="B5725" t="str">
        <f t="shared" si="329"/>
        <v>1</v>
      </c>
      <c r="C5725" t="str">
        <f t="shared" si="332"/>
        <v>252</v>
      </c>
      <c r="D5725" t="str">
        <f>"5"</f>
        <v>5</v>
      </c>
      <c r="E5725" t="str">
        <f>"1-252-5"</f>
        <v>1-252-5</v>
      </c>
      <c r="F5725" t="s">
        <v>83</v>
      </c>
      <c r="G5725" t="s">
        <v>84</v>
      </c>
      <c r="H5725" t="s">
        <v>85</v>
      </c>
      <c r="AC5725">
        <v>1</v>
      </c>
      <c r="AD5725">
        <v>0</v>
      </c>
      <c r="AE5725">
        <v>0</v>
      </c>
      <c r="AF5725">
        <v>0</v>
      </c>
      <c r="AG5725">
        <v>1</v>
      </c>
      <c r="AJ5725">
        <v>1</v>
      </c>
      <c r="AK5725">
        <v>0</v>
      </c>
      <c r="AL5725">
        <v>1</v>
      </c>
      <c r="AM5725">
        <v>0</v>
      </c>
      <c r="AN5725">
        <v>0</v>
      </c>
      <c r="AO5725">
        <v>1</v>
      </c>
      <c r="AP5725">
        <v>1</v>
      </c>
      <c r="AQ5725">
        <v>1</v>
      </c>
      <c r="AR5725">
        <v>1</v>
      </c>
      <c r="AS5725">
        <v>1</v>
      </c>
      <c r="AT5725">
        <v>0</v>
      </c>
      <c r="AV5725">
        <v>1</v>
      </c>
      <c r="AW5725">
        <v>1</v>
      </c>
    </row>
    <row r="5726" spans="1:49" x14ac:dyDescent="0.25">
      <c r="A5726" t="str">
        <f>"5722"</f>
        <v>5722</v>
      </c>
      <c r="B5726" t="str">
        <f t="shared" ref="B5726:B5789" si="333">"1"</f>
        <v>1</v>
      </c>
      <c r="C5726" t="str">
        <f t="shared" si="332"/>
        <v>252</v>
      </c>
      <c r="D5726" t="str">
        <f>"17"</f>
        <v>17</v>
      </c>
      <c r="E5726" t="str">
        <f>"1-252-17"</f>
        <v>1-252-17</v>
      </c>
      <c r="F5726" t="s">
        <v>83</v>
      </c>
      <c r="G5726" t="s">
        <v>84</v>
      </c>
      <c r="H5726" t="s">
        <v>85</v>
      </c>
      <c r="AC5726">
        <v>0</v>
      </c>
      <c r="AD5726">
        <v>1</v>
      </c>
      <c r="AE5726">
        <v>0</v>
      </c>
      <c r="AF5726">
        <v>0</v>
      </c>
      <c r="AG5726">
        <v>1</v>
      </c>
      <c r="AJ5726">
        <v>1</v>
      </c>
      <c r="AK5726">
        <v>0</v>
      </c>
      <c r="AL5726">
        <v>0</v>
      </c>
      <c r="AM5726">
        <v>1</v>
      </c>
      <c r="AN5726">
        <v>0</v>
      </c>
      <c r="AO5726">
        <v>1</v>
      </c>
      <c r="AP5726">
        <v>1</v>
      </c>
      <c r="AQ5726">
        <v>1</v>
      </c>
      <c r="AR5726">
        <v>1</v>
      </c>
      <c r="AS5726">
        <v>0</v>
      </c>
      <c r="AT5726">
        <v>1</v>
      </c>
      <c r="AV5726">
        <v>1</v>
      </c>
      <c r="AW5726">
        <v>1</v>
      </c>
    </row>
    <row r="5727" spans="1:49" x14ac:dyDescent="0.25">
      <c r="A5727" t="str">
        <f>"5723"</f>
        <v>5723</v>
      </c>
      <c r="B5727" t="str">
        <f t="shared" si="333"/>
        <v>1</v>
      </c>
      <c r="C5727" t="str">
        <f t="shared" si="332"/>
        <v>252</v>
      </c>
      <c r="D5727" t="str">
        <f>"11"</f>
        <v>11</v>
      </c>
      <c r="E5727" t="str">
        <f>"1-252-11"</f>
        <v>1-252-11</v>
      </c>
      <c r="F5727" t="s">
        <v>83</v>
      </c>
      <c r="G5727" t="s">
        <v>88</v>
      </c>
      <c r="H5727" t="s">
        <v>89</v>
      </c>
      <c r="AC5727">
        <v>0</v>
      </c>
      <c r="AD5727">
        <v>1</v>
      </c>
      <c r="AE5727">
        <v>0</v>
      </c>
      <c r="AF5727">
        <v>0</v>
      </c>
      <c r="AH5727">
        <v>1</v>
      </c>
      <c r="AI5727">
        <v>0</v>
      </c>
      <c r="AJ5727">
        <v>0</v>
      </c>
      <c r="AK5727">
        <v>1</v>
      </c>
      <c r="AL5727">
        <v>0</v>
      </c>
      <c r="AM5727">
        <v>0</v>
      </c>
      <c r="AN5727">
        <v>1</v>
      </c>
      <c r="AO5727">
        <v>1</v>
      </c>
      <c r="AP5727">
        <v>1</v>
      </c>
      <c r="AQ5727">
        <v>1</v>
      </c>
      <c r="AR5727">
        <v>1</v>
      </c>
      <c r="AS5727">
        <v>0</v>
      </c>
      <c r="AT5727">
        <v>1</v>
      </c>
      <c r="AV5727">
        <v>1</v>
      </c>
      <c r="AW5727">
        <v>1</v>
      </c>
    </row>
    <row r="5728" spans="1:49" x14ac:dyDescent="0.25">
      <c r="A5728" t="str">
        <f>"5724"</f>
        <v>5724</v>
      </c>
      <c r="B5728" t="str">
        <f t="shared" si="333"/>
        <v>1</v>
      </c>
      <c r="C5728" t="str">
        <f t="shared" si="332"/>
        <v>252</v>
      </c>
      <c r="D5728" t="str">
        <f>"1"</f>
        <v>1</v>
      </c>
      <c r="E5728" t="str">
        <f>"1-252-1"</f>
        <v>1-252-1</v>
      </c>
      <c r="F5728" t="s">
        <v>83</v>
      </c>
      <c r="G5728" t="s">
        <v>84</v>
      </c>
      <c r="H5728" t="s">
        <v>85</v>
      </c>
      <c r="AC5728">
        <v>1</v>
      </c>
      <c r="AD5728">
        <v>0</v>
      </c>
      <c r="AE5728">
        <v>0</v>
      </c>
      <c r="AF5728">
        <v>0</v>
      </c>
      <c r="AG5728">
        <v>1</v>
      </c>
      <c r="AJ5728">
        <v>1</v>
      </c>
      <c r="AK5728">
        <v>0</v>
      </c>
      <c r="AL5728">
        <v>1</v>
      </c>
      <c r="AM5728">
        <v>0</v>
      </c>
      <c r="AN5728">
        <v>0</v>
      </c>
      <c r="AO5728">
        <v>1</v>
      </c>
      <c r="AP5728">
        <v>1</v>
      </c>
      <c r="AQ5728">
        <v>1</v>
      </c>
      <c r="AR5728">
        <v>1</v>
      </c>
      <c r="AS5728">
        <v>1</v>
      </c>
      <c r="AT5728">
        <v>0</v>
      </c>
      <c r="AV5728">
        <v>1</v>
      </c>
      <c r="AW5728">
        <v>1</v>
      </c>
    </row>
    <row r="5729" spans="1:49" x14ac:dyDescent="0.25">
      <c r="A5729" t="str">
        <f>"5725"</f>
        <v>5725</v>
      </c>
      <c r="B5729" t="str">
        <f t="shared" si="333"/>
        <v>1</v>
      </c>
      <c r="C5729" t="str">
        <f t="shared" si="332"/>
        <v>252</v>
      </c>
      <c r="D5729" t="str">
        <f>"16"</f>
        <v>16</v>
      </c>
      <c r="E5729" t="str">
        <f>"1-252-16"</f>
        <v>1-252-16</v>
      </c>
      <c r="F5729" t="s">
        <v>83</v>
      </c>
      <c r="G5729" t="s">
        <v>84</v>
      </c>
      <c r="H5729" t="s">
        <v>85</v>
      </c>
      <c r="AC5729">
        <v>0</v>
      </c>
      <c r="AD5729">
        <v>1</v>
      </c>
      <c r="AE5729">
        <v>0</v>
      </c>
      <c r="AF5729">
        <v>0</v>
      </c>
      <c r="AG5729">
        <v>1</v>
      </c>
      <c r="AJ5729">
        <v>1</v>
      </c>
      <c r="AK5729">
        <v>0</v>
      </c>
      <c r="AL5729">
        <v>0</v>
      </c>
      <c r="AM5729">
        <v>1</v>
      </c>
      <c r="AN5729">
        <v>0</v>
      </c>
      <c r="AO5729">
        <v>1</v>
      </c>
      <c r="AP5729">
        <v>1</v>
      </c>
      <c r="AQ5729">
        <v>1</v>
      </c>
      <c r="AR5729">
        <v>1</v>
      </c>
      <c r="AS5729">
        <v>0</v>
      </c>
      <c r="AT5729">
        <v>1</v>
      </c>
      <c r="AV5729">
        <v>1</v>
      </c>
      <c r="AW5729">
        <v>1</v>
      </c>
    </row>
    <row r="5730" spans="1:49" x14ac:dyDescent="0.25">
      <c r="A5730" t="str">
        <f>"5726"</f>
        <v>5726</v>
      </c>
      <c r="B5730" t="str">
        <f t="shared" si="333"/>
        <v>1</v>
      </c>
      <c r="C5730" t="str">
        <f t="shared" si="332"/>
        <v>252</v>
      </c>
      <c r="D5730" t="str">
        <f>"12"</f>
        <v>12</v>
      </c>
      <c r="E5730" t="str">
        <f>"1-252-12"</f>
        <v>1-252-12</v>
      </c>
      <c r="F5730" t="s">
        <v>83</v>
      </c>
      <c r="G5730" t="s">
        <v>88</v>
      </c>
      <c r="H5730" t="s">
        <v>89</v>
      </c>
      <c r="AC5730">
        <v>1</v>
      </c>
      <c r="AD5730">
        <v>0</v>
      </c>
      <c r="AE5730">
        <v>0</v>
      </c>
      <c r="AF5730">
        <v>0</v>
      </c>
      <c r="AH5730">
        <v>1</v>
      </c>
      <c r="AI5730">
        <v>0</v>
      </c>
      <c r="AJ5730">
        <v>1</v>
      </c>
      <c r="AK5730">
        <v>0</v>
      </c>
      <c r="AL5730">
        <v>1</v>
      </c>
      <c r="AM5730">
        <v>0</v>
      </c>
      <c r="AN5730">
        <v>0</v>
      </c>
      <c r="AO5730">
        <v>1</v>
      </c>
      <c r="AP5730">
        <v>1</v>
      </c>
      <c r="AQ5730">
        <v>1</v>
      </c>
      <c r="AR5730">
        <v>1</v>
      </c>
      <c r="AS5730">
        <v>1</v>
      </c>
      <c r="AT5730">
        <v>0</v>
      </c>
      <c r="AV5730">
        <v>1</v>
      </c>
      <c r="AW5730">
        <v>1</v>
      </c>
    </row>
    <row r="5731" spans="1:49" x14ac:dyDescent="0.25">
      <c r="A5731" t="str">
        <f>"5727"</f>
        <v>5727</v>
      </c>
      <c r="B5731" t="str">
        <f t="shared" si="333"/>
        <v>1</v>
      </c>
      <c r="C5731" t="str">
        <f t="shared" si="332"/>
        <v>252</v>
      </c>
      <c r="D5731" t="str">
        <f>"6"</f>
        <v>6</v>
      </c>
      <c r="E5731" t="str">
        <f>"1-252-6"</f>
        <v>1-252-6</v>
      </c>
      <c r="F5731" t="s">
        <v>83</v>
      </c>
      <c r="G5731" t="s">
        <v>84</v>
      </c>
      <c r="H5731" t="s">
        <v>85</v>
      </c>
      <c r="AC5731">
        <v>0</v>
      </c>
      <c r="AD5731">
        <v>1</v>
      </c>
      <c r="AE5731">
        <v>0</v>
      </c>
      <c r="AF5731">
        <v>0</v>
      </c>
      <c r="AG5731">
        <v>0</v>
      </c>
      <c r="AJ5731">
        <v>0</v>
      </c>
      <c r="AK5731">
        <v>1</v>
      </c>
      <c r="AL5731">
        <v>0</v>
      </c>
      <c r="AM5731">
        <v>0</v>
      </c>
      <c r="AN5731">
        <v>0</v>
      </c>
      <c r="AO5731">
        <v>0</v>
      </c>
      <c r="AP5731">
        <v>0</v>
      </c>
      <c r="AQ5731">
        <v>0</v>
      </c>
      <c r="AR5731">
        <v>1</v>
      </c>
      <c r="AS5731">
        <v>0</v>
      </c>
      <c r="AT5731">
        <v>1</v>
      </c>
      <c r="AV5731">
        <v>0</v>
      </c>
      <c r="AW5731">
        <v>1</v>
      </c>
    </row>
    <row r="5732" spans="1:49" x14ac:dyDescent="0.25">
      <c r="A5732" t="str">
        <f>"5728"</f>
        <v>5728</v>
      </c>
      <c r="B5732" t="str">
        <f t="shared" si="333"/>
        <v>1</v>
      </c>
      <c r="C5732" t="str">
        <f t="shared" si="332"/>
        <v>252</v>
      </c>
      <c r="D5732" t="str">
        <f>"18"</f>
        <v>18</v>
      </c>
      <c r="E5732" t="str">
        <f>"1-252-18"</f>
        <v>1-252-18</v>
      </c>
      <c r="F5732" t="s">
        <v>83</v>
      </c>
      <c r="G5732" t="s">
        <v>84</v>
      </c>
      <c r="H5732" t="s">
        <v>85</v>
      </c>
      <c r="AC5732">
        <v>0</v>
      </c>
      <c r="AD5732">
        <v>1</v>
      </c>
      <c r="AE5732">
        <v>0</v>
      </c>
      <c r="AF5732">
        <v>0</v>
      </c>
      <c r="AG5732">
        <v>1</v>
      </c>
      <c r="AJ5732">
        <v>1</v>
      </c>
      <c r="AK5732">
        <v>0</v>
      </c>
      <c r="AL5732">
        <v>0</v>
      </c>
      <c r="AM5732">
        <v>1</v>
      </c>
      <c r="AN5732">
        <v>0</v>
      </c>
      <c r="AO5732">
        <v>1</v>
      </c>
      <c r="AP5732">
        <v>1</v>
      </c>
      <c r="AQ5732">
        <v>1</v>
      </c>
      <c r="AR5732">
        <v>1</v>
      </c>
      <c r="AS5732">
        <v>0</v>
      </c>
      <c r="AT5732">
        <v>1</v>
      </c>
      <c r="AV5732">
        <v>1</v>
      </c>
      <c r="AW5732">
        <v>1</v>
      </c>
    </row>
    <row r="5733" spans="1:49" x14ac:dyDescent="0.25">
      <c r="A5733" t="str">
        <f>"5729"</f>
        <v>5729</v>
      </c>
      <c r="B5733" t="str">
        <f t="shared" si="333"/>
        <v>1</v>
      </c>
      <c r="C5733" t="str">
        <f t="shared" si="332"/>
        <v>252</v>
      </c>
      <c r="D5733" t="str">
        <f>"4"</f>
        <v>4</v>
      </c>
      <c r="E5733" t="str">
        <f>"1-252-4"</f>
        <v>1-252-4</v>
      </c>
      <c r="F5733" t="s">
        <v>83</v>
      </c>
      <c r="G5733" t="s">
        <v>88</v>
      </c>
      <c r="H5733" t="s">
        <v>89</v>
      </c>
      <c r="AC5733">
        <v>0</v>
      </c>
      <c r="AD5733">
        <v>1</v>
      </c>
      <c r="AE5733">
        <v>0</v>
      </c>
      <c r="AF5733">
        <v>0</v>
      </c>
      <c r="AH5733">
        <v>1</v>
      </c>
      <c r="AI5733">
        <v>0</v>
      </c>
      <c r="AJ5733">
        <v>0</v>
      </c>
      <c r="AK5733">
        <v>1</v>
      </c>
      <c r="AL5733">
        <v>0</v>
      </c>
      <c r="AM5733">
        <v>0</v>
      </c>
      <c r="AN5733">
        <v>1</v>
      </c>
      <c r="AO5733">
        <v>1</v>
      </c>
      <c r="AP5733">
        <v>1</v>
      </c>
      <c r="AQ5733">
        <v>1</v>
      </c>
      <c r="AR5733">
        <v>1</v>
      </c>
      <c r="AS5733">
        <v>0</v>
      </c>
      <c r="AT5733">
        <v>1</v>
      </c>
      <c r="AV5733">
        <v>1</v>
      </c>
      <c r="AW5733">
        <v>1</v>
      </c>
    </row>
    <row r="5734" spans="1:49" x14ac:dyDescent="0.25">
      <c r="A5734" t="str">
        <f>"5730"</f>
        <v>5730</v>
      </c>
      <c r="B5734" t="str">
        <f t="shared" si="333"/>
        <v>1</v>
      </c>
      <c r="C5734" t="str">
        <f t="shared" si="332"/>
        <v>252</v>
      </c>
      <c r="D5734" t="str">
        <f>"19"</f>
        <v>19</v>
      </c>
      <c r="E5734" t="str">
        <f>"1-252-19"</f>
        <v>1-252-19</v>
      </c>
      <c r="F5734" t="s">
        <v>83</v>
      </c>
      <c r="G5734" t="s">
        <v>84</v>
      </c>
      <c r="H5734" t="s">
        <v>85</v>
      </c>
      <c r="AC5734">
        <v>1</v>
      </c>
      <c r="AD5734">
        <v>0</v>
      </c>
      <c r="AE5734">
        <v>0</v>
      </c>
      <c r="AF5734">
        <v>0</v>
      </c>
      <c r="AG5734">
        <v>0</v>
      </c>
      <c r="AJ5734">
        <v>1</v>
      </c>
      <c r="AK5734">
        <v>0</v>
      </c>
      <c r="AL5734">
        <v>1</v>
      </c>
      <c r="AM5734">
        <v>0</v>
      </c>
      <c r="AN5734">
        <v>0</v>
      </c>
      <c r="AO5734">
        <v>0</v>
      </c>
      <c r="AP5734">
        <v>0</v>
      </c>
      <c r="AQ5734">
        <v>0</v>
      </c>
      <c r="AR5734">
        <v>0</v>
      </c>
      <c r="AS5734">
        <v>0</v>
      </c>
      <c r="AT5734">
        <v>1</v>
      </c>
      <c r="AV5734">
        <v>0</v>
      </c>
      <c r="AW5734">
        <v>0</v>
      </c>
    </row>
    <row r="5735" spans="1:49" x14ac:dyDescent="0.25">
      <c r="A5735" t="str">
        <f>"5731"</f>
        <v>5731</v>
      </c>
      <c r="B5735" t="str">
        <f t="shared" si="333"/>
        <v>1</v>
      </c>
      <c r="C5735" t="str">
        <f t="shared" si="332"/>
        <v>252</v>
      </c>
      <c r="D5735" t="str">
        <f>"7"</f>
        <v>7</v>
      </c>
      <c r="E5735" t="str">
        <f>"1-252-7"</f>
        <v>1-252-7</v>
      </c>
      <c r="F5735" t="s">
        <v>83</v>
      </c>
      <c r="G5735" t="s">
        <v>84</v>
      </c>
      <c r="H5735" t="s">
        <v>85</v>
      </c>
      <c r="AC5735">
        <v>0</v>
      </c>
      <c r="AD5735">
        <v>1</v>
      </c>
      <c r="AE5735">
        <v>0</v>
      </c>
      <c r="AF5735">
        <v>0</v>
      </c>
      <c r="AG5735">
        <v>0</v>
      </c>
      <c r="AJ5735">
        <v>0</v>
      </c>
      <c r="AK5735">
        <v>1</v>
      </c>
      <c r="AL5735">
        <v>0</v>
      </c>
      <c r="AM5735">
        <v>0</v>
      </c>
      <c r="AN5735">
        <v>0</v>
      </c>
      <c r="AO5735">
        <v>0</v>
      </c>
      <c r="AP5735">
        <v>0</v>
      </c>
      <c r="AQ5735">
        <v>0</v>
      </c>
      <c r="AR5735">
        <v>1</v>
      </c>
      <c r="AS5735">
        <v>0</v>
      </c>
      <c r="AT5735">
        <v>1</v>
      </c>
      <c r="AV5735">
        <v>0</v>
      </c>
      <c r="AW5735">
        <v>1</v>
      </c>
    </row>
    <row r="5736" spans="1:49" x14ac:dyDescent="0.25">
      <c r="A5736" t="str">
        <f>"5732"</f>
        <v>5732</v>
      </c>
      <c r="B5736" t="str">
        <f t="shared" si="333"/>
        <v>1</v>
      </c>
      <c r="C5736" t="str">
        <f t="shared" ref="C5736:C5760" si="334">"253"</f>
        <v>253</v>
      </c>
      <c r="D5736" t="str">
        <f>"21"</f>
        <v>21</v>
      </c>
      <c r="E5736" t="str">
        <f>"1-253-21"</f>
        <v>1-253-21</v>
      </c>
      <c r="F5736" t="s">
        <v>83</v>
      </c>
      <c r="G5736" t="s">
        <v>84</v>
      </c>
      <c r="H5736" t="s">
        <v>85</v>
      </c>
      <c r="AC5736">
        <v>1</v>
      </c>
      <c r="AD5736">
        <v>0</v>
      </c>
      <c r="AE5736">
        <v>0</v>
      </c>
      <c r="AF5736">
        <v>0</v>
      </c>
      <c r="AG5736">
        <v>1</v>
      </c>
      <c r="AJ5736">
        <v>0</v>
      </c>
      <c r="AK5736">
        <v>1</v>
      </c>
      <c r="AL5736">
        <v>0</v>
      </c>
      <c r="AM5736">
        <v>1</v>
      </c>
      <c r="AN5736">
        <v>0</v>
      </c>
      <c r="AO5736">
        <v>0</v>
      </c>
      <c r="AP5736">
        <v>0</v>
      </c>
      <c r="AQ5736">
        <v>0</v>
      </c>
      <c r="AR5736">
        <v>0</v>
      </c>
      <c r="AS5736">
        <v>1</v>
      </c>
      <c r="AT5736">
        <v>0</v>
      </c>
      <c r="AV5736">
        <v>1</v>
      </c>
      <c r="AW5736">
        <v>1</v>
      </c>
    </row>
    <row r="5737" spans="1:49" x14ac:dyDescent="0.25">
      <c r="A5737" t="str">
        <f>"5733"</f>
        <v>5733</v>
      </c>
      <c r="B5737" t="str">
        <f t="shared" si="333"/>
        <v>1</v>
      </c>
      <c r="C5737" t="str">
        <f t="shared" si="334"/>
        <v>253</v>
      </c>
      <c r="D5737" t="str">
        <f>"20"</f>
        <v>20</v>
      </c>
      <c r="E5737" t="str">
        <f>"1-253-20"</f>
        <v>1-253-20</v>
      </c>
      <c r="F5737" t="s">
        <v>83</v>
      </c>
      <c r="G5737" t="s">
        <v>88</v>
      </c>
      <c r="H5737" t="s">
        <v>89</v>
      </c>
      <c r="AC5737">
        <v>1</v>
      </c>
      <c r="AD5737">
        <v>0</v>
      </c>
      <c r="AE5737">
        <v>0</v>
      </c>
      <c r="AF5737">
        <v>0</v>
      </c>
      <c r="AH5737">
        <v>1</v>
      </c>
      <c r="AI5737">
        <v>0</v>
      </c>
      <c r="AJ5737">
        <v>1</v>
      </c>
      <c r="AK5737">
        <v>0</v>
      </c>
      <c r="AL5737">
        <v>1</v>
      </c>
      <c r="AM5737">
        <v>0</v>
      </c>
      <c r="AN5737">
        <v>0</v>
      </c>
      <c r="AO5737">
        <v>1</v>
      </c>
      <c r="AP5737">
        <v>1</v>
      </c>
      <c r="AQ5737">
        <v>1</v>
      </c>
      <c r="AR5737">
        <v>1</v>
      </c>
      <c r="AS5737">
        <v>1</v>
      </c>
      <c r="AT5737">
        <v>0</v>
      </c>
      <c r="AV5737">
        <v>1</v>
      </c>
      <c r="AW5737">
        <v>1</v>
      </c>
    </row>
    <row r="5738" spans="1:49" x14ac:dyDescent="0.25">
      <c r="A5738" t="str">
        <f>"5734"</f>
        <v>5734</v>
      </c>
      <c r="B5738" t="str">
        <f t="shared" si="333"/>
        <v>1</v>
      </c>
      <c r="C5738" t="str">
        <f t="shared" si="334"/>
        <v>253</v>
      </c>
      <c r="D5738" t="str">
        <f>"15"</f>
        <v>15</v>
      </c>
      <c r="E5738" t="str">
        <f>"1-253-15"</f>
        <v>1-253-15</v>
      </c>
      <c r="F5738" t="s">
        <v>83</v>
      </c>
      <c r="G5738" t="s">
        <v>84</v>
      </c>
      <c r="H5738" t="s">
        <v>85</v>
      </c>
      <c r="AC5738">
        <v>1</v>
      </c>
      <c r="AD5738">
        <v>0</v>
      </c>
      <c r="AE5738">
        <v>0</v>
      </c>
      <c r="AF5738">
        <v>0</v>
      </c>
      <c r="AG5738">
        <v>1</v>
      </c>
      <c r="AJ5738">
        <v>1</v>
      </c>
      <c r="AK5738">
        <v>0</v>
      </c>
      <c r="AL5738">
        <v>1</v>
      </c>
      <c r="AM5738">
        <v>0</v>
      </c>
      <c r="AN5738">
        <v>0</v>
      </c>
      <c r="AO5738">
        <v>1</v>
      </c>
      <c r="AP5738">
        <v>1</v>
      </c>
      <c r="AQ5738">
        <v>1</v>
      </c>
      <c r="AR5738">
        <v>1</v>
      </c>
      <c r="AS5738">
        <v>1</v>
      </c>
      <c r="AT5738">
        <v>0</v>
      </c>
      <c r="AV5738">
        <v>1</v>
      </c>
      <c r="AW5738">
        <v>1</v>
      </c>
    </row>
    <row r="5739" spans="1:49" x14ac:dyDescent="0.25">
      <c r="A5739" t="str">
        <f>"5735"</f>
        <v>5735</v>
      </c>
      <c r="B5739" t="str">
        <f t="shared" si="333"/>
        <v>1</v>
      </c>
      <c r="C5739" t="str">
        <f t="shared" si="334"/>
        <v>253</v>
      </c>
      <c r="D5739" t="str">
        <f>"14"</f>
        <v>14</v>
      </c>
      <c r="E5739" t="str">
        <f>"1-253-14"</f>
        <v>1-253-14</v>
      </c>
      <c r="F5739" t="s">
        <v>83</v>
      </c>
      <c r="G5739" t="s">
        <v>84</v>
      </c>
      <c r="H5739" t="s">
        <v>85</v>
      </c>
      <c r="AC5739">
        <v>0</v>
      </c>
      <c r="AD5739">
        <v>1</v>
      </c>
      <c r="AE5739">
        <v>0</v>
      </c>
      <c r="AF5739">
        <v>0</v>
      </c>
      <c r="AG5739">
        <v>0</v>
      </c>
      <c r="AJ5739">
        <v>1</v>
      </c>
      <c r="AK5739">
        <v>0</v>
      </c>
      <c r="AL5739">
        <v>0</v>
      </c>
      <c r="AM5739">
        <v>0</v>
      </c>
      <c r="AN5739">
        <v>0</v>
      </c>
      <c r="AO5739">
        <v>0</v>
      </c>
      <c r="AP5739">
        <v>0</v>
      </c>
      <c r="AQ5739">
        <v>0</v>
      </c>
      <c r="AR5739">
        <v>0</v>
      </c>
      <c r="AS5739">
        <v>1</v>
      </c>
      <c r="AT5739">
        <v>0</v>
      </c>
      <c r="AV5739">
        <v>0</v>
      </c>
      <c r="AW5739">
        <v>0</v>
      </c>
    </row>
    <row r="5740" spans="1:49" x14ac:dyDescent="0.25">
      <c r="A5740" t="str">
        <f>"5736"</f>
        <v>5736</v>
      </c>
      <c r="B5740" t="str">
        <f t="shared" si="333"/>
        <v>1</v>
      </c>
      <c r="C5740" t="str">
        <f t="shared" si="334"/>
        <v>253</v>
      </c>
      <c r="D5740" t="str">
        <f>"9"</f>
        <v>9</v>
      </c>
      <c r="E5740" t="str">
        <f>"1-253-9"</f>
        <v>1-253-9</v>
      </c>
      <c r="F5740" t="s">
        <v>83</v>
      </c>
      <c r="G5740" t="s">
        <v>84</v>
      </c>
      <c r="H5740" t="s">
        <v>85</v>
      </c>
      <c r="AC5740">
        <v>0</v>
      </c>
      <c r="AD5740">
        <v>1</v>
      </c>
      <c r="AE5740">
        <v>0</v>
      </c>
      <c r="AF5740">
        <v>0</v>
      </c>
      <c r="AG5740">
        <v>1</v>
      </c>
      <c r="AJ5740">
        <v>0</v>
      </c>
      <c r="AK5740">
        <v>1</v>
      </c>
      <c r="AL5740">
        <v>0</v>
      </c>
      <c r="AM5740">
        <v>1</v>
      </c>
      <c r="AN5740">
        <v>0</v>
      </c>
      <c r="AO5740">
        <v>1</v>
      </c>
      <c r="AP5740">
        <v>1</v>
      </c>
      <c r="AQ5740">
        <v>1</v>
      </c>
      <c r="AR5740">
        <v>1</v>
      </c>
      <c r="AS5740">
        <v>0</v>
      </c>
      <c r="AT5740">
        <v>1</v>
      </c>
      <c r="AV5740">
        <v>0</v>
      </c>
      <c r="AW5740">
        <v>1</v>
      </c>
    </row>
    <row r="5741" spans="1:49" x14ac:dyDescent="0.25">
      <c r="A5741" t="str">
        <f>"5737"</f>
        <v>5737</v>
      </c>
      <c r="B5741" t="str">
        <f t="shared" si="333"/>
        <v>1</v>
      </c>
      <c r="C5741" t="str">
        <f t="shared" si="334"/>
        <v>253</v>
      </c>
      <c r="D5741" t="str">
        <f>"8"</f>
        <v>8</v>
      </c>
      <c r="E5741" t="str">
        <f>"1-253-8"</f>
        <v>1-253-8</v>
      </c>
      <c r="F5741" t="s">
        <v>83</v>
      </c>
      <c r="G5741" t="s">
        <v>84</v>
      </c>
      <c r="H5741" t="s">
        <v>85</v>
      </c>
      <c r="AC5741">
        <v>1</v>
      </c>
      <c r="AD5741">
        <v>0</v>
      </c>
      <c r="AE5741">
        <v>0</v>
      </c>
      <c r="AF5741">
        <v>0</v>
      </c>
      <c r="AG5741">
        <v>1</v>
      </c>
      <c r="AJ5741">
        <v>0</v>
      </c>
      <c r="AK5741">
        <v>1</v>
      </c>
      <c r="AL5741">
        <v>1</v>
      </c>
      <c r="AM5741">
        <v>0</v>
      </c>
      <c r="AN5741">
        <v>0</v>
      </c>
      <c r="AO5741">
        <v>1</v>
      </c>
      <c r="AP5741">
        <v>1</v>
      </c>
      <c r="AQ5741">
        <v>1</v>
      </c>
      <c r="AR5741">
        <v>1</v>
      </c>
      <c r="AS5741">
        <v>0</v>
      </c>
      <c r="AT5741">
        <v>1</v>
      </c>
      <c r="AV5741">
        <v>1</v>
      </c>
      <c r="AW5741">
        <v>1</v>
      </c>
    </row>
    <row r="5742" spans="1:49" x14ac:dyDescent="0.25">
      <c r="A5742" t="str">
        <f>"5738"</f>
        <v>5738</v>
      </c>
      <c r="B5742" t="str">
        <f t="shared" si="333"/>
        <v>1</v>
      </c>
      <c r="C5742" t="str">
        <f t="shared" si="334"/>
        <v>253</v>
      </c>
      <c r="D5742" t="str">
        <f>"2"</f>
        <v>2</v>
      </c>
      <c r="E5742" t="str">
        <f>"1-253-2"</f>
        <v>1-253-2</v>
      </c>
      <c r="F5742" t="s">
        <v>83</v>
      </c>
      <c r="G5742" t="s">
        <v>84</v>
      </c>
      <c r="H5742" t="s">
        <v>85</v>
      </c>
      <c r="AC5742">
        <v>1</v>
      </c>
      <c r="AD5742">
        <v>0</v>
      </c>
      <c r="AE5742">
        <v>0</v>
      </c>
      <c r="AF5742">
        <v>0</v>
      </c>
      <c r="AG5742">
        <v>0</v>
      </c>
      <c r="AJ5742">
        <v>1</v>
      </c>
      <c r="AK5742">
        <v>0</v>
      </c>
      <c r="AL5742">
        <v>0</v>
      </c>
      <c r="AM5742">
        <v>0</v>
      </c>
      <c r="AN5742">
        <v>0</v>
      </c>
      <c r="AO5742">
        <v>1</v>
      </c>
      <c r="AP5742">
        <v>1</v>
      </c>
      <c r="AQ5742">
        <v>0</v>
      </c>
      <c r="AR5742">
        <v>1</v>
      </c>
      <c r="AS5742">
        <v>1</v>
      </c>
      <c r="AT5742">
        <v>0</v>
      </c>
      <c r="AV5742">
        <v>0</v>
      </c>
      <c r="AW5742">
        <v>1</v>
      </c>
    </row>
    <row r="5743" spans="1:49" x14ac:dyDescent="0.25">
      <c r="A5743" t="str">
        <f>"5739"</f>
        <v>5739</v>
      </c>
      <c r="B5743" t="str">
        <f t="shared" si="333"/>
        <v>1</v>
      </c>
      <c r="C5743" t="str">
        <f t="shared" si="334"/>
        <v>253</v>
      </c>
      <c r="D5743" t="str">
        <f>"25"</f>
        <v>25</v>
      </c>
      <c r="E5743" t="str">
        <f>"1-253-25"</f>
        <v>1-253-25</v>
      </c>
      <c r="F5743" t="s">
        <v>83</v>
      </c>
      <c r="G5743" t="s">
        <v>84</v>
      </c>
      <c r="H5743" t="s">
        <v>85</v>
      </c>
      <c r="AC5743">
        <v>0</v>
      </c>
      <c r="AD5743">
        <v>1</v>
      </c>
      <c r="AE5743">
        <v>0</v>
      </c>
      <c r="AF5743">
        <v>0</v>
      </c>
      <c r="AG5743">
        <v>1</v>
      </c>
      <c r="AJ5743">
        <v>1</v>
      </c>
      <c r="AK5743">
        <v>0</v>
      </c>
      <c r="AL5743">
        <v>0</v>
      </c>
      <c r="AM5743">
        <v>0</v>
      </c>
      <c r="AN5743">
        <v>1</v>
      </c>
      <c r="AO5743">
        <v>0</v>
      </c>
      <c r="AP5743">
        <v>1</v>
      </c>
      <c r="AQ5743">
        <v>0</v>
      </c>
      <c r="AR5743">
        <v>1</v>
      </c>
      <c r="AS5743">
        <v>0</v>
      </c>
      <c r="AT5743">
        <v>1</v>
      </c>
      <c r="AV5743">
        <v>1</v>
      </c>
      <c r="AW5743">
        <v>1</v>
      </c>
    </row>
    <row r="5744" spans="1:49" x14ac:dyDescent="0.25">
      <c r="A5744" t="str">
        <f>"5740"</f>
        <v>5740</v>
      </c>
      <c r="B5744" t="str">
        <f t="shared" si="333"/>
        <v>1</v>
      </c>
      <c r="C5744" t="str">
        <f t="shared" si="334"/>
        <v>253</v>
      </c>
      <c r="D5744" t="str">
        <f>"24"</f>
        <v>24</v>
      </c>
      <c r="E5744" t="str">
        <f>"1-253-24"</f>
        <v>1-253-24</v>
      </c>
      <c r="F5744" t="s">
        <v>83</v>
      </c>
      <c r="G5744" t="s">
        <v>84</v>
      </c>
      <c r="H5744" t="s">
        <v>85</v>
      </c>
      <c r="AC5744">
        <v>1</v>
      </c>
      <c r="AD5744">
        <v>0</v>
      </c>
      <c r="AE5744">
        <v>0</v>
      </c>
      <c r="AF5744">
        <v>0</v>
      </c>
      <c r="AG5744">
        <v>0</v>
      </c>
      <c r="AJ5744">
        <v>1</v>
      </c>
      <c r="AK5744">
        <v>0</v>
      </c>
      <c r="AL5744">
        <v>1</v>
      </c>
      <c r="AM5744">
        <v>0</v>
      </c>
      <c r="AN5744">
        <v>0</v>
      </c>
      <c r="AO5744">
        <v>0</v>
      </c>
      <c r="AP5744">
        <v>0</v>
      </c>
      <c r="AQ5744">
        <v>0</v>
      </c>
      <c r="AR5744">
        <v>1</v>
      </c>
      <c r="AS5744">
        <v>0</v>
      </c>
      <c r="AT5744">
        <v>1</v>
      </c>
      <c r="AV5744">
        <v>1</v>
      </c>
      <c r="AW5744">
        <v>1</v>
      </c>
    </row>
    <row r="5745" spans="1:49" x14ac:dyDescent="0.25">
      <c r="A5745" t="str">
        <f>"5741"</f>
        <v>5741</v>
      </c>
      <c r="B5745" t="str">
        <f t="shared" si="333"/>
        <v>1</v>
      </c>
      <c r="C5745" t="str">
        <f t="shared" si="334"/>
        <v>253</v>
      </c>
      <c r="D5745" t="str">
        <f>"16"</f>
        <v>16</v>
      </c>
      <c r="E5745" t="str">
        <f>"1-253-16"</f>
        <v>1-253-16</v>
      </c>
      <c r="F5745" t="s">
        <v>83</v>
      </c>
      <c r="G5745" t="s">
        <v>84</v>
      </c>
      <c r="H5745" t="s">
        <v>85</v>
      </c>
      <c r="AC5745">
        <v>1</v>
      </c>
      <c r="AD5745">
        <v>0</v>
      </c>
      <c r="AE5745">
        <v>0</v>
      </c>
      <c r="AF5745">
        <v>0</v>
      </c>
      <c r="AG5745">
        <v>0</v>
      </c>
      <c r="AJ5745">
        <v>0</v>
      </c>
      <c r="AK5745">
        <v>1</v>
      </c>
      <c r="AL5745">
        <v>0</v>
      </c>
      <c r="AM5745">
        <v>1</v>
      </c>
      <c r="AN5745">
        <v>0</v>
      </c>
      <c r="AO5745">
        <v>0</v>
      </c>
      <c r="AP5745">
        <v>0</v>
      </c>
      <c r="AQ5745">
        <v>0</v>
      </c>
      <c r="AR5745">
        <v>0</v>
      </c>
      <c r="AS5745">
        <v>1</v>
      </c>
      <c r="AT5745">
        <v>0</v>
      </c>
      <c r="AV5745">
        <v>1</v>
      </c>
      <c r="AW5745">
        <v>1</v>
      </c>
    </row>
    <row r="5746" spans="1:49" x14ac:dyDescent="0.25">
      <c r="A5746" t="str">
        <f>"5742"</f>
        <v>5742</v>
      </c>
      <c r="B5746" t="str">
        <f t="shared" si="333"/>
        <v>1</v>
      </c>
      <c r="C5746" t="str">
        <f t="shared" si="334"/>
        <v>253</v>
      </c>
      <c r="D5746" t="str">
        <f>"10"</f>
        <v>10</v>
      </c>
      <c r="E5746" t="str">
        <f>"1-253-10"</f>
        <v>1-253-10</v>
      </c>
      <c r="F5746" t="s">
        <v>83</v>
      </c>
      <c r="G5746" t="s">
        <v>84</v>
      </c>
      <c r="H5746" t="s">
        <v>85</v>
      </c>
      <c r="AC5746">
        <v>1</v>
      </c>
      <c r="AD5746">
        <v>0</v>
      </c>
      <c r="AE5746">
        <v>0</v>
      </c>
      <c r="AF5746">
        <v>0</v>
      </c>
      <c r="AG5746">
        <v>1</v>
      </c>
      <c r="AJ5746">
        <v>0</v>
      </c>
      <c r="AK5746">
        <v>1</v>
      </c>
      <c r="AL5746">
        <v>1</v>
      </c>
      <c r="AM5746">
        <v>0</v>
      </c>
      <c r="AN5746">
        <v>0</v>
      </c>
      <c r="AO5746">
        <v>1</v>
      </c>
      <c r="AP5746">
        <v>1</v>
      </c>
      <c r="AQ5746">
        <v>1</v>
      </c>
      <c r="AR5746">
        <v>1</v>
      </c>
      <c r="AS5746">
        <v>1</v>
      </c>
      <c r="AT5746">
        <v>0</v>
      </c>
      <c r="AV5746">
        <v>1</v>
      </c>
      <c r="AW5746">
        <v>1</v>
      </c>
    </row>
    <row r="5747" spans="1:49" x14ac:dyDescent="0.25">
      <c r="A5747" t="str">
        <f>"5743"</f>
        <v>5743</v>
      </c>
      <c r="B5747" t="str">
        <f t="shared" si="333"/>
        <v>1</v>
      </c>
      <c r="C5747" t="str">
        <f t="shared" si="334"/>
        <v>253</v>
      </c>
      <c r="D5747" t="str">
        <f>"1"</f>
        <v>1</v>
      </c>
      <c r="E5747" t="str">
        <f>"1-253-1"</f>
        <v>1-253-1</v>
      </c>
      <c r="F5747" t="s">
        <v>83</v>
      </c>
      <c r="G5747" t="s">
        <v>84</v>
      </c>
      <c r="H5747" t="s">
        <v>85</v>
      </c>
      <c r="AC5747">
        <v>1</v>
      </c>
      <c r="AD5747">
        <v>0</v>
      </c>
      <c r="AE5747">
        <v>0</v>
      </c>
      <c r="AF5747">
        <v>0</v>
      </c>
      <c r="AG5747">
        <v>1</v>
      </c>
      <c r="AJ5747">
        <v>1</v>
      </c>
      <c r="AK5747">
        <v>0</v>
      </c>
      <c r="AL5747">
        <v>1</v>
      </c>
      <c r="AM5747">
        <v>0</v>
      </c>
      <c r="AN5747">
        <v>0</v>
      </c>
      <c r="AO5747">
        <v>1</v>
      </c>
      <c r="AP5747">
        <v>1</v>
      </c>
      <c r="AQ5747">
        <v>1</v>
      </c>
      <c r="AR5747">
        <v>1</v>
      </c>
      <c r="AS5747">
        <v>1</v>
      </c>
      <c r="AT5747">
        <v>0</v>
      </c>
      <c r="AV5747">
        <v>1</v>
      </c>
      <c r="AW5747">
        <v>1</v>
      </c>
    </row>
    <row r="5748" spans="1:49" x14ac:dyDescent="0.25">
      <c r="A5748" t="str">
        <f>"5744"</f>
        <v>5744</v>
      </c>
      <c r="B5748" t="str">
        <f t="shared" si="333"/>
        <v>1</v>
      </c>
      <c r="C5748" t="str">
        <f t="shared" si="334"/>
        <v>253</v>
      </c>
      <c r="D5748" t="str">
        <f>"17"</f>
        <v>17</v>
      </c>
      <c r="E5748" t="str">
        <f>"1-253-17"</f>
        <v>1-253-17</v>
      </c>
      <c r="F5748" t="s">
        <v>83</v>
      </c>
      <c r="G5748" t="s">
        <v>84</v>
      </c>
      <c r="H5748" t="s">
        <v>85</v>
      </c>
      <c r="AC5748">
        <v>0</v>
      </c>
      <c r="AD5748">
        <v>1</v>
      </c>
      <c r="AE5748">
        <v>0</v>
      </c>
      <c r="AF5748">
        <v>0</v>
      </c>
      <c r="AG5748">
        <v>0</v>
      </c>
      <c r="AJ5748">
        <v>0</v>
      </c>
      <c r="AK5748">
        <v>1</v>
      </c>
      <c r="AL5748">
        <v>0</v>
      </c>
      <c r="AM5748">
        <v>0</v>
      </c>
      <c r="AN5748">
        <v>1</v>
      </c>
      <c r="AO5748">
        <v>1</v>
      </c>
      <c r="AP5748">
        <v>1</v>
      </c>
      <c r="AQ5748">
        <v>1</v>
      </c>
      <c r="AR5748">
        <v>1</v>
      </c>
      <c r="AS5748">
        <v>1</v>
      </c>
      <c r="AT5748">
        <v>0</v>
      </c>
      <c r="AV5748">
        <v>1</v>
      </c>
      <c r="AW5748">
        <v>1</v>
      </c>
    </row>
    <row r="5749" spans="1:49" x14ac:dyDescent="0.25">
      <c r="A5749" t="str">
        <f>"5745"</f>
        <v>5745</v>
      </c>
      <c r="B5749" t="str">
        <f t="shared" si="333"/>
        <v>1</v>
      </c>
      <c r="C5749" t="str">
        <f t="shared" si="334"/>
        <v>253</v>
      </c>
      <c r="D5749" t="str">
        <f>"11"</f>
        <v>11</v>
      </c>
      <c r="E5749" t="str">
        <f>"1-253-11"</f>
        <v>1-253-11</v>
      </c>
      <c r="F5749" t="s">
        <v>83</v>
      </c>
      <c r="G5749" t="s">
        <v>84</v>
      </c>
      <c r="H5749" t="s">
        <v>85</v>
      </c>
      <c r="AC5749">
        <v>0</v>
      </c>
      <c r="AD5749">
        <v>1</v>
      </c>
      <c r="AE5749">
        <v>0</v>
      </c>
      <c r="AF5749">
        <v>0</v>
      </c>
      <c r="AG5749">
        <v>0</v>
      </c>
      <c r="AJ5749">
        <v>0</v>
      </c>
      <c r="AK5749">
        <v>1</v>
      </c>
      <c r="AL5749">
        <v>0</v>
      </c>
      <c r="AM5749">
        <v>1</v>
      </c>
      <c r="AN5749">
        <v>0</v>
      </c>
      <c r="AO5749">
        <v>0</v>
      </c>
      <c r="AP5749">
        <v>0</v>
      </c>
      <c r="AQ5749">
        <v>0</v>
      </c>
      <c r="AR5749">
        <v>0</v>
      </c>
      <c r="AS5749">
        <v>1</v>
      </c>
      <c r="AT5749">
        <v>0</v>
      </c>
      <c r="AV5749">
        <v>0</v>
      </c>
      <c r="AW5749">
        <v>0</v>
      </c>
    </row>
    <row r="5750" spans="1:49" x14ac:dyDescent="0.25">
      <c r="A5750" t="str">
        <f>"5746"</f>
        <v>5746</v>
      </c>
      <c r="B5750" t="str">
        <f t="shared" si="333"/>
        <v>1</v>
      </c>
      <c r="C5750" t="str">
        <f t="shared" si="334"/>
        <v>253</v>
      </c>
      <c r="D5750" t="str">
        <f>"4"</f>
        <v>4</v>
      </c>
      <c r="E5750" t="str">
        <f>"1-253-4"</f>
        <v>1-253-4</v>
      </c>
      <c r="F5750" t="s">
        <v>83</v>
      </c>
      <c r="G5750" t="s">
        <v>84</v>
      </c>
      <c r="H5750" t="s">
        <v>85</v>
      </c>
      <c r="AC5750">
        <v>1</v>
      </c>
      <c r="AD5750">
        <v>0</v>
      </c>
      <c r="AE5750">
        <v>0</v>
      </c>
      <c r="AF5750">
        <v>0</v>
      </c>
      <c r="AG5750">
        <v>1</v>
      </c>
      <c r="AJ5750">
        <v>0</v>
      </c>
      <c r="AK5750">
        <v>1</v>
      </c>
      <c r="AL5750">
        <v>0</v>
      </c>
      <c r="AM5750">
        <v>1</v>
      </c>
      <c r="AN5750">
        <v>0</v>
      </c>
      <c r="AO5750">
        <v>1</v>
      </c>
      <c r="AP5750">
        <v>1</v>
      </c>
      <c r="AQ5750">
        <v>0</v>
      </c>
      <c r="AR5750">
        <v>1</v>
      </c>
      <c r="AS5750">
        <v>0</v>
      </c>
      <c r="AT5750">
        <v>1</v>
      </c>
      <c r="AV5750">
        <v>0</v>
      </c>
      <c r="AW5750">
        <v>0</v>
      </c>
    </row>
    <row r="5751" spans="1:49" x14ac:dyDescent="0.25">
      <c r="A5751" t="str">
        <f>"5747"</f>
        <v>5747</v>
      </c>
      <c r="B5751" t="str">
        <f t="shared" si="333"/>
        <v>1</v>
      </c>
      <c r="C5751" t="str">
        <f t="shared" si="334"/>
        <v>253</v>
      </c>
      <c r="D5751" t="str">
        <f>"23"</f>
        <v>23</v>
      </c>
      <c r="E5751" t="str">
        <f>"1-253-23"</f>
        <v>1-253-23</v>
      </c>
      <c r="F5751" t="s">
        <v>83</v>
      </c>
      <c r="G5751" t="s">
        <v>84</v>
      </c>
      <c r="H5751" t="s">
        <v>85</v>
      </c>
      <c r="AC5751">
        <v>0</v>
      </c>
      <c r="AD5751">
        <v>1</v>
      </c>
      <c r="AE5751">
        <v>0</v>
      </c>
      <c r="AF5751">
        <v>0</v>
      </c>
      <c r="AG5751">
        <v>1</v>
      </c>
      <c r="AJ5751">
        <v>0</v>
      </c>
      <c r="AK5751">
        <v>1</v>
      </c>
      <c r="AL5751">
        <v>0</v>
      </c>
      <c r="AM5751">
        <v>0</v>
      </c>
      <c r="AN5751">
        <v>1</v>
      </c>
      <c r="AO5751">
        <v>1</v>
      </c>
      <c r="AP5751">
        <v>1</v>
      </c>
      <c r="AQ5751">
        <v>1</v>
      </c>
      <c r="AR5751">
        <v>1</v>
      </c>
      <c r="AS5751">
        <v>1</v>
      </c>
      <c r="AT5751">
        <v>0</v>
      </c>
      <c r="AV5751">
        <v>1</v>
      </c>
      <c r="AW5751">
        <v>1</v>
      </c>
    </row>
    <row r="5752" spans="1:49" x14ac:dyDescent="0.25">
      <c r="A5752" t="str">
        <f>"5748"</f>
        <v>5748</v>
      </c>
      <c r="B5752" t="str">
        <f t="shared" si="333"/>
        <v>1</v>
      </c>
      <c r="C5752" t="str">
        <f t="shared" si="334"/>
        <v>253</v>
      </c>
      <c r="D5752" t="str">
        <f>"12"</f>
        <v>12</v>
      </c>
      <c r="E5752" t="str">
        <f>"1-253-12"</f>
        <v>1-253-12</v>
      </c>
      <c r="F5752" t="s">
        <v>83</v>
      </c>
      <c r="G5752" t="s">
        <v>84</v>
      </c>
      <c r="H5752" t="s">
        <v>85</v>
      </c>
      <c r="AC5752">
        <v>1</v>
      </c>
      <c r="AD5752">
        <v>0</v>
      </c>
      <c r="AE5752">
        <v>0</v>
      </c>
      <c r="AF5752">
        <v>0</v>
      </c>
      <c r="AG5752">
        <v>1</v>
      </c>
      <c r="AJ5752">
        <v>1</v>
      </c>
      <c r="AK5752">
        <v>0</v>
      </c>
      <c r="AL5752">
        <v>1</v>
      </c>
      <c r="AM5752">
        <v>0</v>
      </c>
      <c r="AN5752">
        <v>0</v>
      </c>
      <c r="AO5752">
        <v>1</v>
      </c>
      <c r="AP5752">
        <v>1</v>
      </c>
      <c r="AQ5752">
        <v>1</v>
      </c>
      <c r="AR5752">
        <v>1</v>
      </c>
      <c r="AS5752">
        <v>0</v>
      </c>
      <c r="AT5752">
        <v>1</v>
      </c>
      <c r="AV5752">
        <v>1</v>
      </c>
      <c r="AW5752">
        <v>1</v>
      </c>
    </row>
    <row r="5753" spans="1:49" x14ac:dyDescent="0.25">
      <c r="A5753" t="str">
        <f>"5749"</f>
        <v>5749</v>
      </c>
      <c r="B5753" t="str">
        <f t="shared" si="333"/>
        <v>1</v>
      </c>
      <c r="C5753" t="str">
        <f t="shared" si="334"/>
        <v>253</v>
      </c>
      <c r="D5753" t="str">
        <f>"6"</f>
        <v>6</v>
      </c>
      <c r="E5753" t="str">
        <f>"1-253-6"</f>
        <v>1-253-6</v>
      </c>
      <c r="F5753" t="s">
        <v>83</v>
      </c>
      <c r="G5753" t="s">
        <v>84</v>
      </c>
      <c r="H5753" t="s">
        <v>85</v>
      </c>
      <c r="AC5753">
        <v>1</v>
      </c>
      <c r="AD5753">
        <v>0</v>
      </c>
      <c r="AE5753">
        <v>0</v>
      </c>
      <c r="AF5753">
        <v>0</v>
      </c>
      <c r="AG5753">
        <v>1</v>
      </c>
      <c r="AJ5753">
        <v>1</v>
      </c>
      <c r="AK5753">
        <v>0</v>
      </c>
      <c r="AL5753">
        <v>1</v>
      </c>
      <c r="AM5753">
        <v>0</v>
      </c>
      <c r="AN5753">
        <v>0</v>
      </c>
      <c r="AO5753">
        <v>0</v>
      </c>
      <c r="AP5753">
        <v>1</v>
      </c>
      <c r="AQ5753">
        <v>0</v>
      </c>
      <c r="AR5753">
        <v>0</v>
      </c>
      <c r="AS5753">
        <v>0</v>
      </c>
      <c r="AT5753">
        <v>1</v>
      </c>
      <c r="AV5753">
        <v>0</v>
      </c>
      <c r="AW5753">
        <v>0</v>
      </c>
    </row>
    <row r="5754" spans="1:49" x14ac:dyDescent="0.25">
      <c r="A5754" t="str">
        <f>"5750"</f>
        <v>5750</v>
      </c>
      <c r="B5754" t="str">
        <f t="shared" si="333"/>
        <v>1</v>
      </c>
      <c r="C5754" t="str">
        <f t="shared" si="334"/>
        <v>253</v>
      </c>
      <c r="D5754" t="str">
        <f>"22"</f>
        <v>22</v>
      </c>
      <c r="E5754" t="str">
        <f>"1-253-22"</f>
        <v>1-253-22</v>
      </c>
      <c r="F5754" t="s">
        <v>83</v>
      </c>
      <c r="G5754" t="s">
        <v>84</v>
      </c>
      <c r="H5754" t="s">
        <v>85</v>
      </c>
      <c r="AC5754">
        <v>1</v>
      </c>
      <c r="AD5754">
        <v>0</v>
      </c>
      <c r="AE5754">
        <v>0</v>
      </c>
      <c r="AF5754">
        <v>0</v>
      </c>
      <c r="AG5754">
        <v>1</v>
      </c>
      <c r="AJ5754">
        <v>1</v>
      </c>
      <c r="AK5754">
        <v>0</v>
      </c>
      <c r="AL5754">
        <v>0</v>
      </c>
      <c r="AM5754">
        <v>0</v>
      </c>
      <c r="AN5754">
        <v>1</v>
      </c>
      <c r="AO5754">
        <v>1</v>
      </c>
      <c r="AP5754">
        <v>1</v>
      </c>
      <c r="AQ5754">
        <v>1</v>
      </c>
      <c r="AR5754">
        <v>1</v>
      </c>
      <c r="AS5754">
        <v>1</v>
      </c>
      <c r="AT5754">
        <v>0</v>
      </c>
      <c r="AV5754">
        <v>1</v>
      </c>
      <c r="AW5754">
        <v>1</v>
      </c>
    </row>
    <row r="5755" spans="1:49" x14ac:dyDescent="0.25">
      <c r="A5755" t="str">
        <f>"5751"</f>
        <v>5751</v>
      </c>
      <c r="B5755" t="str">
        <f t="shared" si="333"/>
        <v>1</v>
      </c>
      <c r="C5755" t="str">
        <f t="shared" si="334"/>
        <v>253</v>
      </c>
      <c r="D5755" t="str">
        <f>"13"</f>
        <v>13</v>
      </c>
      <c r="E5755" t="str">
        <f>"1-253-13"</f>
        <v>1-253-13</v>
      </c>
      <c r="F5755" t="s">
        <v>83</v>
      </c>
      <c r="G5755" t="s">
        <v>84</v>
      </c>
      <c r="H5755" t="s">
        <v>85</v>
      </c>
      <c r="AC5755">
        <v>1</v>
      </c>
      <c r="AD5755">
        <v>0</v>
      </c>
      <c r="AE5755">
        <v>0</v>
      </c>
      <c r="AF5755">
        <v>0</v>
      </c>
      <c r="AG5755">
        <v>1</v>
      </c>
      <c r="AJ5755">
        <v>1</v>
      </c>
      <c r="AK5755">
        <v>0</v>
      </c>
      <c r="AL5755">
        <v>0</v>
      </c>
      <c r="AM5755">
        <v>0</v>
      </c>
      <c r="AN5755">
        <v>1</v>
      </c>
      <c r="AO5755">
        <v>1</v>
      </c>
      <c r="AP5755">
        <v>1</v>
      </c>
      <c r="AQ5755">
        <v>1</v>
      </c>
      <c r="AR5755">
        <v>1</v>
      </c>
      <c r="AS5755">
        <v>1</v>
      </c>
      <c r="AT5755">
        <v>0</v>
      </c>
      <c r="AV5755">
        <v>1</v>
      </c>
      <c r="AW5755">
        <v>1</v>
      </c>
    </row>
    <row r="5756" spans="1:49" x14ac:dyDescent="0.25">
      <c r="A5756" t="str">
        <f>"5752"</f>
        <v>5752</v>
      </c>
      <c r="B5756" t="str">
        <f t="shared" si="333"/>
        <v>1</v>
      </c>
      <c r="C5756" t="str">
        <f t="shared" si="334"/>
        <v>253</v>
      </c>
      <c r="D5756" t="str">
        <f>"5"</f>
        <v>5</v>
      </c>
      <c r="E5756" t="str">
        <f>"1-253-5"</f>
        <v>1-253-5</v>
      </c>
      <c r="F5756" t="s">
        <v>83</v>
      </c>
      <c r="G5756" t="s">
        <v>84</v>
      </c>
      <c r="H5756" t="s">
        <v>85</v>
      </c>
      <c r="AC5756">
        <v>0</v>
      </c>
      <c r="AD5756">
        <v>1</v>
      </c>
      <c r="AE5756">
        <v>0</v>
      </c>
      <c r="AF5756">
        <v>0</v>
      </c>
      <c r="AG5756">
        <v>1</v>
      </c>
      <c r="AJ5756">
        <v>1</v>
      </c>
      <c r="AK5756">
        <v>0</v>
      </c>
      <c r="AL5756">
        <v>0</v>
      </c>
      <c r="AM5756">
        <v>1</v>
      </c>
      <c r="AN5756">
        <v>0</v>
      </c>
      <c r="AO5756">
        <v>1</v>
      </c>
      <c r="AP5756">
        <v>1</v>
      </c>
      <c r="AQ5756">
        <v>1</v>
      </c>
      <c r="AR5756">
        <v>1</v>
      </c>
      <c r="AS5756">
        <v>1</v>
      </c>
      <c r="AT5756">
        <v>0</v>
      </c>
      <c r="AV5756">
        <v>1</v>
      </c>
      <c r="AW5756">
        <v>1</v>
      </c>
    </row>
    <row r="5757" spans="1:49" x14ac:dyDescent="0.25">
      <c r="A5757" t="str">
        <f>"5753"</f>
        <v>5753</v>
      </c>
      <c r="B5757" t="str">
        <f t="shared" si="333"/>
        <v>1</v>
      </c>
      <c r="C5757" t="str">
        <f t="shared" si="334"/>
        <v>253</v>
      </c>
      <c r="D5757" t="str">
        <f>"18"</f>
        <v>18</v>
      </c>
      <c r="E5757" t="str">
        <f>"1-253-18"</f>
        <v>1-253-18</v>
      </c>
      <c r="F5757" t="s">
        <v>83</v>
      </c>
      <c r="G5757" t="s">
        <v>84</v>
      </c>
      <c r="H5757" t="s">
        <v>85</v>
      </c>
      <c r="AC5757">
        <v>0</v>
      </c>
      <c r="AD5757">
        <v>1</v>
      </c>
      <c r="AE5757">
        <v>0</v>
      </c>
      <c r="AF5757">
        <v>0</v>
      </c>
      <c r="AG5757">
        <v>1</v>
      </c>
      <c r="AJ5757">
        <v>0</v>
      </c>
      <c r="AK5757">
        <v>1</v>
      </c>
      <c r="AL5757">
        <v>0</v>
      </c>
      <c r="AM5757">
        <v>0</v>
      </c>
      <c r="AN5757">
        <v>1</v>
      </c>
      <c r="AO5757">
        <v>1</v>
      </c>
      <c r="AP5757">
        <v>1</v>
      </c>
      <c r="AQ5757">
        <v>1</v>
      </c>
      <c r="AR5757">
        <v>1</v>
      </c>
      <c r="AS5757">
        <v>1</v>
      </c>
      <c r="AT5757">
        <v>0</v>
      </c>
      <c r="AV5757">
        <v>1</v>
      </c>
      <c r="AW5757">
        <v>1</v>
      </c>
    </row>
    <row r="5758" spans="1:49" x14ac:dyDescent="0.25">
      <c r="A5758" t="str">
        <f>"5754"</f>
        <v>5754</v>
      </c>
      <c r="B5758" t="str">
        <f t="shared" si="333"/>
        <v>1</v>
      </c>
      <c r="C5758" t="str">
        <f t="shared" si="334"/>
        <v>253</v>
      </c>
      <c r="D5758" t="str">
        <f>"3"</f>
        <v>3</v>
      </c>
      <c r="E5758" t="str">
        <f>"1-253-3"</f>
        <v>1-253-3</v>
      </c>
      <c r="F5758" t="s">
        <v>83</v>
      </c>
      <c r="G5758" t="s">
        <v>84</v>
      </c>
      <c r="H5758" t="s">
        <v>85</v>
      </c>
      <c r="AC5758">
        <v>1</v>
      </c>
      <c r="AD5758">
        <v>0</v>
      </c>
      <c r="AE5758">
        <v>0</v>
      </c>
      <c r="AF5758">
        <v>0</v>
      </c>
      <c r="AG5758">
        <v>0</v>
      </c>
      <c r="AJ5758">
        <v>1</v>
      </c>
      <c r="AK5758">
        <v>0</v>
      </c>
      <c r="AL5758">
        <v>1</v>
      </c>
      <c r="AM5758">
        <v>0</v>
      </c>
      <c r="AN5758">
        <v>0</v>
      </c>
      <c r="AO5758">
        <v>0</v>
      </c>
      <c r="AP5758">
        <v>0</v>
      </c>
      <c r="AQ5758">
        <v>0</v>
      </c>
      <c r="AR5758">
        <v>0</v>
      </c>
      <c r="AS5758">
        <v>0</v>
      </c>
      <c r="AT5758">
        <v>1</v>
      </c>
      <c r="AV5758">
        <v>0</v>
      </c>
      <c r="AW5758">
        <v>0</v>
      </c>
    </row>
    <row r="5759" spans="1:49" x14ac:dyDescent="0.25">
      <c r="A5759" t="str">
        <f>"5755"</f>
        <v>5755</v>
      </c>
      <c r="B5759" t="str">
        <f t="shared" si="333"/>
        <v>1</v>
      </c>
      <c r="C5759" t="str">
        <f t="shared" si="334"/>
        <v>253</v>
      </c>
      <c r="D5759" t="str">
        <f>"19"</f>
        <v>19</v>
      </c>
      <c r="E5759" t="str">
        <f>"1-253-19"</f>
        <v>1-253-19</v>
      </c>
      <c r="F5759" t="s">
        <v>83</v>
      </c>
      <c r="G5759" t="s">
        <v>84</v>
      </c>
      <c r="H5759" t="s">
        <v>85</v>
      </c>
      <c r="AC5759">
        <v>1</v>
      </c>
      <c r="AD5759">
        <v>0</v>
      </c>
      <c r="AE5759">
        <v>0</v>
      </c>
      <c r="AF5759">
        <v>0</v>
      </c>
      <c r="AG5759">
        <v>0</v>
      </c>
      <c r="AJ5759">
        <v>1</v>
      </c>
      <c r="AK5759">
        <v>0</v>
      </c>
      <c r="AL5759">
        <v>0</v>
      </c>
      <c r="AM5759">
        <v>0</v>
      </c>
      <c r="AN5759">
        <v>0</v>
      </c>
      <c r="AO5759">
        <v>0</v>
      </c>
      <c r="AP5759">
        <v>0</v>
      </c>
      <c r="AQ5759">
        <v>0</v>
      </c>
      <c r="AR5759">
        <v>0</v>
      </c>
      <c r="AS5759">
        <v>1</v>
      </c>
      <c r="AT5759">
        <v>0</v>
      </c>
      <c r="AV5759">
        <v>0</v>
      </c>
      <c r="AW5759">
        <v>0</v>
      </c>
    </row>
    <row r="5760" spans="1:49" x14ac:dyDescent="0.25">
      <c r="A5760" t="str">
        <f>"5756"</f>
        <v>5756</v>
      </c>
      <c r="B5760" t="str">
        <f t="shared" si="333"/>
        <v>1</v>
      </c>
      <c r="C5760" t="str">
        <f t="shared" si="334"/>
        <v>253</v>
      </c>
      <c r="D5760" t="str">
        <f>"7"</f>
        <v>7</v>
      </c>
      <c r="E5760" t="str">
        <f>"1-253-7"</f>
        <v>1-253-7</v>
      </c>
      <c r="F5760" t="s">
        <v>83</v>
      </c>
      <c r="G5760" t="s">
        <v>84</v>
      </c>
      <c r="H5760" t="s">
        <v>85</v>
      </c>
      <c r="AC5760">
        <v>1</v>
      </c>
      <c r="AD5760">
        <v>0</v>
      </c>
      <c r="AE5760">
        <v>0</v>
      </c>
      <c r="AF5760">
        <v>0</v>
      </c>
      <c r="AG5760">
        <v>1</v>
      </c>
      <c r="AJ5760">
        <v>0</v>
      </c>
      <c r="AK5760">
        <v>1</v>
      </c>
      <c r="AL5760">
        <v>1</v>
      </c>
      <c r="AM5760">
        <v>0</v>
      </c>
      <c r="AN5760">
        <v>0</v>
      </c>
      <c r="AO5760">
        <v>1</v>
      </c>
      <c r="AP5760">
        <v>1</v>
      </c>
      <c r="AQ5760">
        <v>1</v>
      </c>
      <c r="AR5760">
        <v>1</v>
      </c>
      <c r="AS5760">
        <v>0</v>
      </c>
      <c r="AT5760">
        <v>1</v>
      </c>
      <c r="AV5760">
        <v>1</v>
      </c>
      <c r="AW5760">
        <v>1</v>
      </c>
    </row>
    <row r="5761" spans="1:49" x14ac:dyDescent="0.25">
      <c r="A5761" t="str">
        <f>"5757"</f>
        <v>5757</v>
      </c>
      <c r="B5761" t="str">
        <f t="shared" si="333"/>
        <v>1</v>
      </c>
      <c r="C5761" t="str">
        <f t="shared" ref="C5761:C5785" si="335">"254"</f>
        <v>254</v>
      </c>
      <c r="D5761" t="str">
        <f>"18"</f>
        <v>18</v>
      </c>
      <c r="E5761" t="str">
        <f>"1-254-18"</f>
        <v>1-254-18</v>
      </c>
      <c r="F5761" t="s">
        <v>83</v>
      </c>
      <c r="G5761" t="s">
        <v>84</v>
      </c>
      <c r="H5761" t="s">
        <v>85</v>
      </c>
      <c r="AC5761">
        <v>1</v>
      </c>
      <c r="AD5761">
        <v>0</v>
      </c>
      <c r="AE5761">
        <v>0</v>
      </c>
      <c r="AF5761">
        <v>0</v>
      </c>
      <c r="AG5761">
        <v>1</v>
      </c>
      <c r="AJ5761">
        <v>1</v>
      </c>
      <c r="AK5761">
        <v>0</v>
      </c>
      <c r="AL5761">
        <v>1</v>
      </c>
      <c r="AM5761">
        <v>0</v>
      </c>
      <c r="AN5761">
        <v>0</v>
      </c>
      <c r="AO5761">
        <v>1</v>
      </c>
      <c r="AP5761">
        <v>1</v>
      </c>
      <c r="AQ5761">
        <v>1</v>
      </c>
      <c r="AR5761">
        <v>1</v>
      </c>
      <c r="AS5761">
        <v>0</v>
      </c>
      <c r="AT5761">
        <v>1</v>
      </c>
      <c r="AV5761">
        <v>1</v>
      </c>
      <c r="AW5761">
        <v>1</v>
      </c>
    </row>
    <row r="5762" spans="1:49" x14ac:dyDescent="0.25">
      <c r="A5762" t="str">
        <f>"5758"</f>
        <v>5758</v>
      </c>
      <c r="B5762" t="str">
        <f t="shared" si="333"/>
        <v>1</v>
      </c>
      <c r="C5762" t="str">
        <f t="shared" si="335"/>
        <v>254</v>
      </c>
      <c r="D5762" t="str">
        <f>"17"</f>
        <v>17</v>
      </c>
      <c r="E5762" t="str">
        <f>"1-254-17"</f>
        <v>1-254-17</v>
      </c>
      <c r="F5762" t="s">
        <v>83</v>
      </c>
      <c r="G5762" t="s">
        <v>84</v>
      </c>
      <c r="H5762" t="s">
        <v>85</v>
      </c>
      <c r="AC5762">
        <v>1</v>
      </c>
      <c r="AD5762">
        <v>0</v>
      </c>
      <c r="AE5762">
        <v>0</v>
      </c>
      <c r="AF5762">
        <v>0</v>
      </c>
      <c r="AG5762">
        <v>1</v>
      </c>
      <c r="AJ5762">
        <v>1</v>
      </c>
      <c r="AK5762">
        <v>0</v>
      </c>
      <c r="AL5762">
        <v>1</v>
      </c>
      <c r="AM5762">
        <v>0</v>
      </c>
      <c r="AN5762">
        <v>0</v>
      </c>
      <c r="AO5762">
        <v>1</v>
      </c>
      <c r="AP5762">
        <v>1</v>
      </c>
      <c r="AQ5762">
        <v>1</v>
      </c>
      <c r="AR5762">
        <v>1</v>
      </c>
      <c r="AS5762">
        <v>0</v>
      </c>
      <c r="AT5762">
        <v>1</v>
      </c>
      <c r="AV5762">
        <v>1</v>
      </c>
      <c r="AW5762">
        <v>1</v>
      </c>
    </row>
    <row r="5763" spans="1:49" x14ac:dyDescent="0.25">
      <c r="A5763" t="str">
        <f>"5759"</f>
        <v>5759</v>
      </c>
      <c r="B5763" t="str">
        <f t="shared" si="333"/>
        <v>1</v>
      </c>
      <c r="C5763" t="str">
        <f t="shared" si="335"/>
        <v>254</v>
      </c>
      <c r="D5763" t="str">
        <f>"13"</f>
        <v>13</v>
      </c>
      <c r="E5763" t="str">
        <f>"1-254-13"</f>
        <v>1-254-13</v>
      </c>
      <c r="F5763" t="s">
        <v>83</v>
      </c>
      <c r="G5763" t="s">
        <v>84</v>
      </c>
      <c r="H5763" t="s">
        <v>85</v>
      </c>
      <c r="AC5763">
        <v>0</v>
      </c>
      <c r="AD5763">
        <v>1</v>
      </c>
      <c r="AE5763">
        <v>0</v>
      </c>
      <c r="AF5763">
        <v>0</v>
      </c>
      <c r="AG5763">
        <v>1</v>
      </c>
      <c r="AJ5763">
        <v>0</v>
      </c>
      <c r="AK5763">
        <v>1</v>
      </c>
      <c r="AL5763">
        <v>0</v>
      </c>
      <c r="AM5763">
        <v>0</v>
      </c>
      <c r="AN5763">
        <v>1</v>
      </c>
      <c r="AO5763">
        <v>1</v>
      </c>
      <c r="AP5763">
        <v>1</v>
      </c>
      <c r="AQ5763">
        <v>1</v>
      </c>
      <c r="AR5763">
        <v>1</v>
      </c>
      <c r="AS5763">
        <v>0</v>
      </c>
      <c r="AT5763">
        <v>1</v>
      </c>
      <c r="AV5763">
        <v>1</v>
      </c>
      <c r="AW5763">
        <v>1</v>
      </c>
    </row>
    <row r="5764" spans="1:49" x14ac:dyDescent="0.25">
      <c r="A5764" t="str">
        <f>"5760"</f>
        <v>5760</v>
      </c>
      <c r="B5764" t="str">
        <f t="shared" si="333"/>
        <v>1</v>
      </c>
      <c r="C5764" t="str">
        <f t="shared" si="335"/>
        <v>254</v>
      </c>
      <c r="D5764" t="str">
        <f>"8"</f>
        <v>8</v>
      </c>
      <c r="E5764" t="str">
        <f>"1-254-8"</f>
        <v>1-254-8</v>
      </c>
      <c r="F5764" t="s">
        <v>83</v>
      </c>
      <c r="G5764" t="s">
        <v>84</v>
      </c>
      <c r="H5764" t="s">
        <v>85</v>
      </c>
      <c r="AC5764">
        <v>1</v>
      </c>
      <c r="AD5764">
        <v>0</v>
      </c>
      <c r="AE5764">
        <v>0</v>
      </c>
      <c r="AF5764">
        <v>0</v>
      </c>
      <c r="AG5764">
        <v>0</v>
      </c>
      <c r="AJ5764">
        <v>1</v>
      </c>
      <c r="AK5764">
        <v>0</v>
      </c>
      <c r="AL5764">
        <v>1</v>
      </c>
      <c r="AM5764">
        <v>0</v>
      </c>
      <c r="AN5764">
        <v>0</v>
      </c>
      <c r="AO5764">
        <v>0</v>
      </c>
      <c r="AP5764">
        <v>0</v>
      </c>
      <c r="AQ5764">
        <v>0</v>
      </c>
      <c r="AR5764">
        <v>0</v>
      </c>
      <c r="AS5764">
        <v>1</v>
      </c>
      <c r="AT5764">
        <v>0</v>
      </c>
      <c r="AV5764">
        <v>0</v>
      </c>
      <c r="AW5764">
        <v>1</v>
      </c>
    </row>
    <row r="5765" spans="1:49" x14ac:dyDescent="0.25">
      <c r="A5765" t="str">
        <f>"5761"</f>
        <v>5761</v>
      </c>
      <c r="B5765" t="str">
        <f t="shared" si="333"/>
        <v>1</v>
      </c>
      <c r="C5765" t="str">
        <f t="shared" si="335"/>
        <v>254</v>
      </c>
      <c r="D5765" t="str">
        <f>"2"</f>
        <v>2</v>
      </c>
      <c r="E5765" t="str">
        <f>"1-254-2"</f>
        <v>1-254-2</v>
      </c>
      <c r="F5765" t="s">
        <v>83</v>
      </c>
      <c r="G5765" t="s">
        <v>84</v>
      </c>
      <c r="H5765" t="s">
        <v>85</v>
      </c>
      <c r="AC5765">
        <v>1</v>
      </c>
      <c r="AD5765">
        <v>0</v>
      </c>
      <c r="AE5765">
        <v>0</v>
      </c>
      <c r="AF5765">
        <v>0</v>
      </c>
      <c r="AG5765">
        <v>1</v>
      </c>
      <c r="AJ5765">
        <v>0</v>
      </c>
      <c r="AK5765">
        <v>1</v>
      </c>
      <c r="AL5765">
        <v>1</v>
      </c>
      <c r="AM5765">
        <v>0</v>
      </c>
      <c r="AN5765">
        <v>0</v>
      </c>
      <c r="AO5765">
        <v>1</v>
      </c>
      <c r="AP5765">
        <v>1</v>
      </c>
      <c r="AQ5765">
        <v>1</v>
      </c>
      <c r="AR5765">
        <v>1</v>
      </c>
      <c r="AS5765">
        <v>1</v>
      </c>
      <c r="AT5765">
        <v>0</v>
      </c>
      <c r="AV5765">
        <v>1</v>
      </c>
      <c r="AW5765">
        <v>1</v>
      </c>
    </row>
    <row r="5766" spans="1:49" x14ac:dyDescent="0.25">
      <c r="A5766" t="str">
        <f>"5762"</f>
        <v>5762</v>
      </c>
      <c r="B5766" t="str">
        <f t="shared" si="333"/>
        <v>1</v>
      </c>
      <c r="C5766" t="str">
        <f t="shared" si="335"/>
        <v>254</v>
      </c>
      <c r="D5766" t="str">
        <f>"25"</f>
        <v>25</v>
      </c>
      <c r="E5766" t="str">
        <f>"1-254-25"</f>
        <v>1-254-25</v>
      </c>
      <c r="F5766" t="s">
        <v>83</v>
      </c>
      <c r="G5766" t="s">
        <v>84</v>
      </c>
      <c r="H5766" t="s">
        <v>85</v>
      </c>
      <c r="AC5766">
        <v>0</v>
      </c>
      <c r="AD5766">
        <v>1</v>
      </c>
      <c r="AE5766">
        <v>0</v>
      </c>
      <c r="AF5766">
        <v>0</v>
      </c>
      <c r="AG5766">
        <v>1</v>
      </c>
      <c r="AJ5766">
        <v>0</v>
      </c>
      <c r="AK5766">
        <v>1</v>
      </c>
      <c r="AL5766">
        <v>1</v>
      </c>
      <c r="AM5766">
        <v>0</v>
      </c>
      <c r="AN5766">
        <v>0</v>
      </c>
      <c r="AO5766">
        <v>1</v>
      </c>
      <c r="AP5766">
        <v>1</v>
      </c>
      <c r="AQ5766">
        <v>1</v>
      </c>
      <c r="AR5766">
        <v>1</v>
      </c>
      <c r="AS5766">
        <v>1</v>
      </c>
      <c r="AT5766">
        <v>0</v>
      </c>
      <c r="AV5766">
        <v>1</v>
      </c>
      <c r="AW5766">
        <v>1</v>
      </c>
    </row>
    <row r="5767" spans="1:49" x14ac:dyDescent="0.25">
      <c r="A5767" t="str">
        <f>"5763"</f>
        <v>5763</v>
      </c>
      <c r="B5767" t="str">
        <f t="shared" si="333"/>
        <v>1</v>
      </c>
      <c r="C5767" t="str">
        <f t="shared" si="335"/>
        <v>254</v>
      </c>
      <c r="D5767" t="str">
        <f>"24"</f>
        <v>24</v>
      </c>
      <c r="E5767" t="str">
        <f>"1-254-24"</f>
        <v>1-254-24</v>
      </c>
      <c r="F5767" t="s">
        <v>83</v>
      </c>
      <c r="G5767" t="s">
        <v>84</v>
      </c>
      <c r="H5767" t="s">
        <v>85</v>
      </c>
      <c r="AC5767">
        <v>1</v>
      </c>
      <c r="AD5767">
        <v>0</v>
      </c>
      <c r="AE5767">
        <v>0</v>
      </c>
      <c r="AF5767">
        <v>0</v>
      </c>
      <c r="AG5767">
        <v>1</v>
      </c>
      <c r="AJ5767">
        <v>0</v>
      </c>
      <c r="AK5767">
        <v>1</v>
      </c>
      <c r="AL5767">
        <v>0</v>
      </c>
      <c r="AM5767">
        <v>0</v>
      </c>
      <c r="AN5767">
        <v>1</v>
      </c>
      <c r="AO5767">
        <v>1</v>
      </c>
      <c r="AP5767">
        <v>1</v>
      </c>
      <c r="AQ5767">
        <v>1</v>
      </c>
      <c r="AR5767">
        <v>1</v>
      </c>
      <c r="AS5767">
        <v>1</v>
      </c>
      <c r="AT5767">
        <v>0</v>
      </c>
      <c r="AV5767">
        <v>1</v>
      </c>
      <c r="AW5767">
        <v>1</v>
      </c>
    </row>
    <row r="5768" spans="1:49" x14ac:dyDescent="0.25">
      <c r="A5768" t="str">
        <f>"5764"</f>
        <v>5764</v>
      </c>
      <c r="B5768" t="str">
        <f t="shared" si="333"/>
        <v>1</v>
      </c>
      <c r="C5768" t="str">
        <f t="shared" si="335"/>
        <v>254</v>
      </c>
      <c r="D5768" t="str">
        <f>"15"</f>
        <v>15</v>
      </c>
      <c r="E5768" t="str">
        <f>"1-254-15"</f>
        <v>1-254-15</v>
      </c>
      <c r="F5768" t="s">
        <v>83</v>
      </c>
      <c r="G5768" t="s">
        <v>84</v>
      </c>
      <c r="H5768" t="s">
        <v>85</v>
      </c>
      <c r="AC5768">
        <v>0</v>
      </c>
      <c r="AD5768">
        <v>1</v>
      </c>
      <c r="AE5768">
        <v>0</v>
      </c>
      <c r="AF5768">
        <v>0</v>
      </c>
      <c r="AG5768">
        <v>1</v>
      </c>
      <c r="AJ5768">
        <v>0</v>
      </c>
      <c r="AK5768">
        <v>1</v>
      </c>
      <c r="AL5768">
        <v>0</v>
      </c>
      <c r="AM5768">
        <v>0</v>
      </c>
      <c r="AN5768">
        <v>1</v>
      </c>
      <c r="AO5768">
        <v>1</v>
      </c>
      <c r="AP5768">
        <v>1</v>
      </c>
      <c r="AQ5768">
        <v>1</v>
      </c>
      <c r="AR5768">
        <v>1</v>
      </c>
      <c r="AS5768">
        <v>0</v>
      </c>
      <c r="AT5768">
        <v>1</v>
      </c>
      <c r="AV5768">
        <v>1</v>
      </c>
      <c r="AW5768">
        <v>1</v>
      </c>
    </row>
    <row r="5769" spans="1:49" x14ac:dyDescent="0.25">
      <c r="A5769" t="str">
        <f>"5765"</f>
        <v>5765</v>
      </c>
      <c r="B5769" t="str">
        <f t="shared" si="333"/>
        <v>1</v>
      </c>
      <c r="C5769" t="str">
        <f t="shared" si="335"/>
        <v>254</v>
      </c>
      <c r="D5769" t="str">
        <f>"9"</f>
        <v>9</v>
      </c>
      <c r="E5769" t="str">
        <f>"1-254-9"</f>
        <v>1-254-9</v>
      </c>
      <c r="F5769" t="s">
        <v>83</v>
      </c>
      <c r="G5769" t="s">
        <v>84</v>
      </c>
      <c r="H5769" t="s">
        <v>85</v>
      </c>
      <c r="AC5769">
        <v>1</v>
      </c>
      <c r="AD5769">
        <v>0</v>
      </c>
      <c r="AE5769">
        <v>0</v>
      </c>
      <c r="AF5769">
        <v>0</v>
      </c>
      <c r="AG5769">
        <v>1</v>
      </c>
      <c r="AJ5769">
        <v>0</v>
      </c>
      <c r="AK5769">
        <v>1</v>
      </c>
      <c r="AL5769">
        <v>1</v>
      </c>
      <c r="AM5769">
        <v>0</v>
      </c>
      <c r="AN5769">
        <v>0</v>
      </c>
      <c r="AO5769">
        <v>1</v>
      </c>
      <c r="AP5769">
        <v>1</v>
      </c>
      <c r="AQ5769">
        <v>1</v>
      </c>
      <c r="AR5769">
        <v>1</v>
      </c>
      <c r="AS5769">
        <v>1</v>
      </c>
      <c r="AT5769">
        <v>0</v>
      </c>
      <c r="AV5769">
        <v>1</v>
      </c>
      <c r="AW5769">
        <v>1</v>
      </c>
    </row>
    <row r="5770" spans="1:49" x14ac:dyDescent="0.25">
      <c r="A5770" t="str">
        <f>"5766"</f>
        <v>5766</v>
      </c>
      <c r="B5770" t="str">
        <f t="shared" si="333"/>
        <v>1</v>
      </c>
      <c r="C5770" t="str">
        <f t="shared" si="335"/>
        <v>254</v>
      </c>
      <c r="D5770" t="str">
        <f>"7"</f>
        <v>7</v>
      </c>
      <c r="E5770" t="str">
        <f>"1-254-7"</f>
        <v>1-254-7</v>
      </c>
      <c r="F5770" t="s">
        <v>83</v>
      </c>
      <c r="G5770" t="s">
        <v>84</v>
      </c>
      <c r="H5770" t="s">
        <v>85</v>
      </c>
      <c r="AC5770">
        <v>1</v>
      </c>
      <c r="AD5770">
        <v>0</v>
      </c>
      <c r="AE5770">
        <v>0</v>
      </c>
      <c r="AF5770">
        <v>0</v>
      </c>
      <c r="AG5770">
        <v>1</v>
      </c>
      <c r="AJ5770">
        <v>0</v>
      </c>
      <c r="AK5770">
        <v>1</v>
      </c>
      <c r="AL5770">
        <v>0</v>
      </c>
      <c r="AM5770">
        <v>0</v>
      </c>
      <c r="AN5770">
        <v>1</v>
      </c>
      <c r="AO5770">
        <v>1</v>
      </c>
      <c r="AP5770">
        <v>1</v>
      </c>
      <c r="AQ5770">
        <v>1</v>
      </c>
      <c r="AR5770">
        <v>1</v>
      </c>
      <c r="AS5770">
        <v>0</v>
      </c>
      <c r="AT5770">
        <v>1</v>
      </c>
      <c r="AV5770">
        <v>1</v>
      </c>
      <c r="AW5770">
        <v>1</v>
      </c>
    </row>
    <row r="5771" spans="1:49" x14ac:dyDescent="0.25">
      <c r="A5771" t="str">
        <f>"5767"</f>
        <v>5767</v>
      </c>
      <c r="B5771" t="str">
        <f t="shared" si="333"/>
        <v>1</v>
      </c>
      <c r="C5771" t="str">
        <f t="shared" si="335"/>
        <v>254</v>
      </c>
      <c r="D5771" t="str">
        <f>"23"</f>
        <v>23</v>
      </c>
      <c r="E5771" t="str">
        <f>"1-254-23"</f>
        <v>1-254-23</v>
      </c>
      <c r="F5771" t="s">
        <v>83</v>
      </c>
      <c r="G5771" t="s">
        <v>84</v>
      </c>
      <c r="H5771" t="s">
        <v>85</v>
      </c>
      <c r="AC5771">
        <v>0</v>
      </c>
      <c r="AD5771">
        <v>1</v>
      </c>
      <c r="AE5771">
        <v>0</v>
      </c>
      <c r="AF5771">
        <v>0</v>
      </c>
      <c r="AG5771">
        <v>1</v>
      </c>
      <c r="AJ5771">
        <v>1</v>
      </c>
      <c r="AK5771">
        <v>0</v>
      </c>
      <c r="AL5771">
        <v>1</v>
      </c>
      <c r="AM5771">
        <v>0</v>
      </c>
      <c r="AN5771">
        <v>0</v>
      </c>
      <c r="AO5771">
        <v>1</v>
      </c>
      <c r="AP5771">
        <v>1</v>
      </c>
      <c r="AQ5771">
        <v>1</v>
      </c>
      <c r="AR5771">
        <v>1</v>
      </c>
      <c r="AS5771">
        <v>0</v>
      </c>
      <c r="AT5771">
        <v>1</v>
      </c>
      <c r="AV5771">
        <v>1</v>
      </c>
      <c r="AW5771">
        <v>1</v>
      </c>
    </row>
    <row r="5772" spans="1:49" x14ac:dyDescent="0.25">
      <c r="A5772" t="str">
        <f>"5768"</f>
        <v>5768</v>
      </c>
      <c r="B5772" t="str">
        <f t="shared" si="333"/>
        <v>1</v>
      </c>
      <c r="C5772" t="str">
        <f t="shared" si="335"/>
        <v>254</v>
      </c>
      <c r="D5772" t="str">
        <f>"22"</f>
        <v>22</v>
      </c>
      <c r="E5772" t="str">
        <f>"1-254-22"</f>
        <v>1-254-22</v>
      </c>
      <c r="F5772" t="s">
        <v>83</v>
      </c>
      <c r="G5772" t="s">
        <v>84</v>
      </c>
      <c r="H5772" t="s">
        <v>85</v>
      </c>
      <c r="AC5772">
        <v>1</v>
      </c>
      <c r="AD5772">
        <v>0</v>
      </c>
      <c r="AE5772">
        <v>0</v>
      </c>
      <c r="AF5772">
        <v>0</v>
      </c>
      <c r="AG5772">
        <v>0</v>
      </c>
      <c r="AJ5772">
        <v>1</v>
      </c>
      <c r="AK5772">
        <v>0</v>
      </c>
      <c r="AL5772">
        <v>0</v>
      </c>
      <c r="AM5772">
        <v>1</v>
      </c>
      <c r="AN5772">
        <v>0</v>
      </c>
      <c r="AO5772">
        <v>0</v>
      </c>
      <c r="AP5772">
        <v>0</v>
      </c>
      <c r="AQ5772">
        <v>0</v>
      </c>
      <c r="AR5772">
        <v>0</v>
      </c>
      <c r="AS5772">
        <v>0</v>
      </c>
      <c r="AT5772">
        <v>1</v>
      </c>
      <c r="AV5772">
        <v>0</v>
      </c>
      <c r="AW5772">
        <v>0</v>
      </c>
    </row>
    <row r="5773" spans="1:49" x14ac:dyDescent="0.25">
      <c r="A5773" t="str">
        <f>"5769"</f>
        <v>5769</v>
      </c>
      <c r="B5773" t="str">
        <f t="shared" si="333"/>
        <v>1</v>
      </c>
      <c r="C5773" t="str">
        <f t="shared" si="335"/>
        <v>254</v>
      </c>
      <c r="D5773" t="str">
        <f>"14"</f>
        <v>14</v>
      </c>
      <c r="E5773" t="str">
        <f>"1-254-14"</f>
        <v>1-254-14</v>
      </c>
      <c r="F5773" t="s">
        <v>83</v>
      </c>
      <c r="G5773" t="s">
        <v>84</v>
      </c>
      <c r="H5773" t="s">
        <v>85</v>
      </c>
      <c r="AC5773">
        <v>0</v>
      </c>
      <c r="AD5773">
        <v>1</v>
      </c>
      <c r="AE5773">
        <v>0</v>
      </c>
      <c r="AF5773">
        <v>0</v>
      </c>
      <c r="AG5773">
        <v>0</v>
      </c>
      <c r="AJ5773">
        <v>0</v>
      </c>
      <c r="AK5773">
        <v>0</v>
      </c>
      <c r="AL5773">
        <v>0</v>
      </c>
      <c r="AM5773">
        <v>0</v>
      </c>
      <c r="AN5773">
        <v>1</v>
      </c>
      <c r="AO5773">
        <v>1</v>
      </c>
      <c r="AP5773">
        <v>1</v>
      </c>
      <c r="AQ5773">
        <v>1</v>
      </c>
      <c r="AR5773">
        <v>1</v>
      </c>
      <c r="AS5773">
        <v>0</v>
      </c>
      <c r="AT5773">
        <v>1</v>
      </c>
      <c r="AV5773">
        <v>1</v>
      </c>
      <c r="AW5773">
        <v>1</v>
      </c>
    </row>
    <row r="5774" spans="1:49" x14ac:dyDescent="0.25">
      <c r="A5774" t="str">
        <f>"5770"</f>
        <v>5770</v>
      </c>
      <c r="B5774" t="str">
        <f t="shared" si="333"/>
        <v>1</v>
      </c>
      <c r="C5774" t="str">
        <f t="shared" si="335"/>
        <v>254</v>
      </c>
      <c r="D5774" t="str">
        <f>"10"</f>
        <v>10</v>
      </c>
      <c r="E5774" t="str">
        <f>"1-254-10"</f>
        <v>1-254-10</v>
      </c>
      <c r="F5774" t="s">
        <v>83</v>
      </c>
      <c r="G5774" t="s">
        <v>84</v>
      </c>
      <c r="H5774" t="s">
        <v>85</v>
      </c>
      <c r="AC5774">
        <v>1</v>
      </c>
      <c r="AD5774">
        <v>0</v>
      </c>
      <c r="AE5774">
        <v>0</v>
      </c>
      <c r="AF5774">
        <v>0</v>
      </c>
      <c r="AG5774">
        <v>1</v>
      </c>
      <c r="AJ5774">
        <v>0</v>
      </c>
      <c r="AK5774">
        <v>1</v>
      </c>
      <c r="AL5774">
        <v>1</v>
      </c>
      <c r="AM5774">
        <v>0</v>
      </c>
      <c r="AN5774">
        <v>0</v>
      </c>
      <c r="AO5774">
        <v>1</v>
      </c>
      <c r="AP5774">
        <v>1</v>
      </c>
      <c r="AQ5774">
        <v>1</v>
      </c>
      <c r="AR5774">
        <v>1</v>
      </c>
      <c r="AS5774">
        <v>1</v>
      </c>
      <c r="AT5774">
        <v>0</v>
      </c>
      <c r="AV5774">
        <v>1</v>
      </c>
      <c r="AW5774">
        <v>1</v>
      </c>
    </row>
    <row r="5775" spans="1:49" x14ac:dyDescent="0.25">
      <c r="A5775" t="str">
        <f>"5771"</f>
        <v>5771</v>
      </c>
      <c r="B5775" t="str">
        <f t="shared" si="333"/>
        <v>1</v>
      </c>
      <c r="C5775" t="str">
        <f t="shared" si="335"/>
        <v>254</v>
      </c>
      <c r="D5775" t="str">
        <f>"3"</f>
        <v>3</v>
      </c>
      <c r="E5775" t="str">
        <f>"1-254-3"</f>
        <v>1-254-3</v>
      </c>
      <c r="F5775" t="s">
        <v>83</v>
      </c>
      <c r="G5775" t="s">
        <v>84</v>
      </c>
      <c r="H5775" t="s">
        <v>85</v>
      </c>
      <c r="AC5775">
        <v>0</v>
      </c>
      <c r="AD5775">
        <v>1</v>
      </c>
      <c r="AE5775">
        <v>0</v>
      </c>
      <c r="AF5775">
        <v>0</v>
      </c>
      <c r="AG5775">
        <v>0</v>
      </c>
      <c r="AJ5775">
        <v>0</v>
      </c>
      <c r="AK5775">
        <v>0</v>
      </c>
      <c r="AL5775">
        <v>0</v>
      </c>
      <c r="AM5775">
        <v>0</v>
      </c>
      <c r="AN5775">
        <v>1</v>
      </c>
      <c r="AO5775">
        <v>1</v>
      </c>
      <c r="AP5775">
        <v>1</v>
      </c>
      <c r="AQ5775">
        <v>1</v>
      </c>
      <c r="AR5775">
        <v>1</v>
      </c>
      <c r="AS5775">
        <v>0</v>
      </c>
      <c r="AT5775">
        <v>1</v>
      </c>
      <c r="AV5775">
        <v>1</v>
      </c>
      <c r="AW5775">
        <v>1</v>
      </c>
    </row>
    <row r="5776" spans="1:49" x14ac:dyDescent="0.25">
      <c r="A5776" t="str">
        <f>"5772"</f>
        <v>5772</v>
      </c>
      <c r="B5776" t="str">
        <f t="shared" si="333"/>
        <v>1</v>
      </c>
      <c r="C5776" t="str">
        <f t="shared" si="335"/>
        <v>254</v>
      </c>
      <c r="D5776" t="str">
        <f>"16"</f>
        <v>16</v>
      </c>
      <c r="E5776" t="str">
        <f>"1-254-16"</f>
        <v>1-254-16</v>
      </c>
      <c r="F5776" t="s">
        <v>83</v>
      </c>
      <c r="G5776" t="s">
        <v>84</v>
      </c>
      <c r="H5776" t="s">
        <v>85</v>
      </c>
      <c r="AC5776">
        <v>0</v>
      </c>
      <c r="AD5776">
        <v>1</v>
      </c>
      <c r="AE5776">
        <v>0</v>
      </c>
      <c r="AF5776">
        <v>0</v>
      </c>
      <c r="AG5776">
        <v>1</v>
      </c>
      <c r="AJ5776">
        <v>0</v>
      </c>
      <c r="AK5776">
        <v>1</v>
      </c>
      <c r="AL5776">
        <v>0</v>
      </c>
      <c r="AM5776">
        <v>0</v>
      </c>
      <c r="AN5776">
        <v>1</v>
      </c>
      <c r="AO5776">
        <v>1</v>
      </c>
      <c r="AP5776">
        <v>1</v>
      </c>
      <c r="AQ5776">
        <v>1</v>
      </c>
      <c r="AR5776">
        <v>1</v>
      </c>
      <c r="AS5776">
        <v>0</v>
      </c>
      <c r="AT5776">
        <v>1</v>
      </c>
      <c r="AV5776">
        <v>1</v>
      </c>
      <c r="AW5776">
        <v>1</v>
      </c>
    </row>
    <row r="5777" spans="1:49" x14ac:dyDescent="0.25">
      <c r="A5777" t="str">
        <f>"5773"</f>
        <v>5773</v>
      </c>
      <c r="B5777" t="str">
        <f t="shared" si="333"/>
        <v>1</v>
      </c>
      <c r="C5777" t="str">
        <f t="shared" si="335"/>
        <v>254</v>
      </c>
      <c r="D5777" t="str">
        <f>"11"</f>
        <v>11</v>
      </c>
      <c r="E5777" t="str">
        <f>"1-254-11"</f>
        <v>1-254-11</v>
      </c>
      <c r="F5777" t="s">
        <v>83</v>
      </c>
      <c r="G5777" t="s">
        <v>84</v>
      </c>
      <c r="H5777" t="s">
        <v>85</v>
      </c>
      <c r="AC5777">
        <v>0</v>
      </c>
      <c r="AD5777">
        <v>0</v>
      </c>
      <c r="AE5777">
        <v>0</v>
      </c>
      <c r="AF5777">
        <v>0</v>
      </c>
      <c r="AG5777">
        <v>0</v>
      </c>
      <c r="AJ5777">
        <v>0</v>
      </c>
      <c r="AK5777">
        <v>1</v>
      </c>
      <c r="AL5777">
        <v>0</v>
      </c>
      <c r="AM5777">
        <v>0</v>
      </c>
      <c r="AN5777">
        <v>0</v>
      </c>
      <c r="AO5777">
        <v>0</v>
      </c>
      <c r="AP5777">
        <v>0</v>
      </c>
      <c r="AQ5777">
        <v>0</v>
      </c>
      <c r="AR5777">
        <v>0</v>
      </c>
      <c r="AS5777">
        <v>0</v>
      </c>
      <c r="AT5777">
        <v>0</v>
      </c>
      <c r="AV5777">
        <v>0</v>
      </c>
      <c r="AW5777">
        <v>1</v>
      </c>
    </row>
    <row r="5778" spans="1:49" x14ac:dyDescent="0.25">
      <c r="A5778" t="str">
        <f>"5774"</f>
        <v>5774</v>
      </c>
      <c r="B5778" t="str">
        <f t="shared" si="333"/>
        <v>1</v>
      </c>
      <c r="C5778" t="str">
        <f t="shared" si="335"/>
        <v>254</v>
      </c>
      <c r="D5778" t="str">
        <f>"6"</f>
        <v>6</v>
      </c>
      <c r="E5778" t="str">
        <f>"1-254-6"</f>
        <v>1-254-6</v>
      </c>
      <c r="F5778" t="s">
        <v>83</v>
      </c>
      <c r="G5778" t="s">
        <v>84</v>
      </c>
      <c r="H5778" t="s">
        <v>85</v>
      </c>
      <c r="AC5778">
        <v>1</v>
      </c>
      <c r="AD5778">
        <v>0</v>
      </c>
      <c r="AE5778">
        <v>0</v>
      </c>
      <c r="AF5778">
        <v>0</v>
      </c>
      <c r="AG5778">
        <v>1</v>
      </c>
      <c r="AJ5778">
        <v>0</v>
      </c>
      <c r="AK5778">
        <v>1</v>
      </c>
      <c r="AL5778">
        <v>0</v>
      </c>
      <c r="AM5778">
        <v>0</v>
      </c>
      <c r="AN5778">
        <v>1</v>
      </c>
      <c r="AO5778">
        <v>1</v>
      </c>
      <c r="AP5778">
        <v>1</v>
      </c>
      <c r="AQ5778">
        <v>1</v>
      </c>
      <c r="AR5778">
        <v>1</v>
      </c>
      <c r="AS5778">
        <v>0</v>
      </c>
      <c r="AT5778">
        <v>1</v>
      </c>
      <c r="AV5778">
        <v>1</v>
      </c>
      <c r="AW5778">
        <v>1</v>
      </c>
    </row>
    <row r="5779" spans="1:49" x14ac:dyDescent="0.25">
      <c r="A5779" t="str">
        <f>"5775"</f>
        <v>5775</v>
      </c>
      <c r="B5779" t="str">
        <f t="shared" si="333"/>
        <v>1</v>
      </c>
      <c r="C5779" t="str">
        <f t="shared" si="335"/>
        <v>254</v>
      </c>
      <c r="D5779" t="str">
        <f>"21"</f>
        <v>21</v>
      </c>
      <c r="E5779" t="str">
        <f>"1-254-21"</f>
        <v>1-254-21</v>
      </c>
      <c r="F5779" t="s">
        <v>83</v>
      </c>
      <c r="G5779" t="s">
        <v>84</v>
      </c>
      <c r="H5779" t="s">
        <v>85</v>
      </c>
      <c r="AC5779">
        <v>0</v>
      </c>
      <c r="AD5779">
        <v>1</v>
      </c>
      <c r="AE5779">
        <v>0</v>
      </c>
      <c r="AF5779">
        <v>0</v>
      </c>
      <c r="AG5779">
        <v>1</v>
      </c>
      <c r="AJ5779">
        <v>0</v>
      </c>
      <c r="AK5779">
        <v>1</v>
      </c>
      <c r="AL5779">
        <v>0</v>
      </c>
      <c r="AM5779">
        <v>0</v>
      </c>
      <c r="AN5779">
        <v>1</v>
      </c>
      <c r="AO5779">
        <v>1</v>
      </c>
      <c r="AP5779">
        <v>1</v>
      </c>
      <c r="AQ5779">
        <v>1</v>
      </c>
      <c r="AR5779">
        <v>1</v>
      </c>
      <c r="AS5779">
        <v>0</v>
      </c>
      <c r="AT5779">
        <v>1</v>
      </c>
      <c r="AV5779">
        <v>1</v>
      </c>
      <c r="AW5779">
        <v>1</v>
      </c>
    </row>
    <row r="5780" spans="1:49" x14ac:dyDescent="0.25">
      <c r="A5780" t="str">
        <f>"5776"</f>
        <v>5776</v>
      </c>
      <c r="B5780" t="str">
        <f t="shared" si="333"/>
        <v>1</v>
      </c>
      <c r="C5780" t="str">
        <f t="shared" si="335"/>
        <v>254</v>
      </c>
      <c r="D5780" t="str">
        <f>"12"</f>
        <v>12</v>
      </c>
      <c r="E5780" t="str">
        <f>"1-254-12"</f>
        <v>1-254-12</v>
      </c>
      <c r="F5780" t="s">
        <v>83</v>
      </c>
      <c r="G5780" t="s">
        <v>84</v>
      </c>
      <c r="H5780" t="s">
        <v>85</v>
      </c>
      <c r="AC5780">
        <v>0</v>
      </c>
      <c r="AD5780">
        <v>1</v>
      </c>
      <c r="AE5780">
        <v>0</v>
      </c>
      <c r="AF5780">
        <v>0</v>
      </c>
      <c r="AG5780">
        <v>1</v>
      </c>
      <c r="AJ5780">
        <v>0</v>
      </c>
      <c r="AK5780">
        <v>1</v>
      </c>
      <c r="AL5780">
        <v>0</v>
      </c>
      <c r="AM5780">
        <v>0</v>
      </c>
      <c r="AN5780">
        <v>1</v>
      </c>
      <c r="AO5780">
        <v>1</v>
      </c>
      <c r="AP5780">
        <v>1</v>
      </c>
      <c r="AQ5780">
        <v>1</v>
      </c>
      <c r="AR5780">
        <v>1</v>
      </c>
      <c r="AS5780">
        <v>1</v>
      </c>
      <c r="AT5780">
        <v>0</v>
      </c>
      <c r="AV5780">
        <v>1</v>
      </c>
      <c r="AW5780">
        <v>1</v>
      </c>
    </row>
    <row r="5781" spans="1:49" x14ac:dyDescent="0.25">
      <c r="A5781" t="str">
        <f>"5777"</f>
        <v>5777</v>
      </c>
      <c r="B5781" t="str">
        <f t="shared" si="333"/>
        <v>1</v>
      </c>
      <c r="C5781" t="str">
        <f t="shared" si="335"/>
        <v>254</v>
      </c>
      <c r="D5781" t="str">
        <f>"1"</f>
        <v>1</v>
      </c>
      <c r="E5781" t="str">
        <f>"1-254-1"</f>
        <v>1-254-1</v>
      </c>
      <c r="F5781" t="s">
        <v>83</v>
      </c>
      <c r="G5781" t="s">
        <v>84</v>
      </c>
      <c r="H5781" t="s">
        <v>85</v>
      </c>
      <c r="AC5781">
        <v>0</v>
      </c>
      <c r="AD5781">
        <v>1</v>
      </c>
      <c r="AE5781">
        <v>0</v>
      </c>
      <c r="AF5781">
        <v>0</v>
      </c>
      <c r="AG5781">
        <v>1</v>
      </c>
      <c r="AJ5781">
        <v>1</v>
      </c>
      <c r="AK5781">
        <v>0</v>
      </c>
      <c r="AL5781">
        <v>1</v>
      </c>
      <c r="AM5781">
        <v>0</v>
      </c>
      <c r="AN5781">
        <v>0</v>
      </c>
      <c r="AO5781">
        <v>1</v>
      </c>
      <c r="AP5781">
        <v>1</v>
      </c>
      <c r="AQ5781">
        <v>1</v>
      </c>
      <c r="AR5781">
        <v>1</v>
      </c>
      <c r="AS5781">
        <v>0</v>
      </c>
      <c r="AT5781">
        <v>1</v>
      </c>
      <c r="AV5781">
        <v>1</v>
      </c>
      <c r="AW5781">
        <v>1</v>
      </c>
    </row>
    <row r="5782" spans="1:49" x14ac:dyDescent="0.25">
      <c r="A5782" t="str">
        <f>"5778"</f>
        <v>5778</v>
      </c>
      <c r="B5782" t="str">
        <f t="shared" si="333"/>
        <v>1</v>
      </c>
      <c r="C5782" t="str">
        <f t="shared" si="335"/>
        <v>254</v>
      </c>
      <c r="D5782" t="str">
        <f>"19"</f>
        <v>19</v>
      </c>
      <c r="E5782" t="str">
        <f>"1-254-19"</f>
        <v>1-254-19</v>
      </c>
      <c r="F5782" t="s">
        <v>83</v>
      </c>
      <c r="G5782" t="s">
        <v>84</v>
      </c>
      <c r="H5782" t="s">
        <v>85</v>
      </c>
      <c r="AC5782">
        <v>1</v>
      </c>
      <c r="AD5782">
        <v>0</v>
      </c>
      <c r="AE5782">
        <v>0</v>
      </c>
      <c r="AF5782">
        <v>0</v>
      </c>
      <c r="AG5782">
        <v>0</v>
      </c>
      <c r="AJ5782">
        <v>0</v>
      </c>
      <c r="AK5782">
        <v>1</v>
      </c>
      <c r="AL5782">
        <v>0</v>
      </c>
      <c r="AM5782">
        <v>1</v>
      </c>
      <c r="AN5782">
        <v>0</v>
      </c>
      <c r="AO5782">
        <v>0</v>
      </c>
      <c r="AP5782">
        <v>0</v>
      </c>
      <c r="AQ5782">
        <v>0</v>
      </c>
      <c r="AR5782">
        <v>0</v>
      </c>
      <c r="AS5782">
        <v>1</v>
      </c>
      <c r="AT5782">
        <v>0</v>
      </c>
      <c r="AV5782">
        <v>0</v>
      </c>
      <c r="AW5782">
        <v>1</v>
      </c>
    </row>
    <row r="5783" spans="1:49" x14ac:dyDescent="0.25">
      <c r="A5783" t="str">
        <f>"5779"</f>
        <v>5779</v>
      </c>
      <c r="B5783" t="str">
        <f t="shared" si="333"/>
        <v>1</v>
      </c>
      <c r="C5783" t="str">
        <f t="shared" si="335"/>
        <v>254</v>
      </c>
      <c r="D5783" t="str">
        <f>"5"</f>
        <v>5</v>
      </c>
      <c r="E5783" t="str">
        <f>"1-254-5"</f>
        <v>1-254-5</v>
      </c>
      <c r="F5783" t="s">
        <v>83</v>
      </c>
      <c r="G5783" t="s">
        <v>84</v>
      </c>
      <c r="H5783" t="s">
        <v>85</v>
      </c>
      <c r="AC5783">
        <v>0</v>
      </c>
      <c r="AD5783">
        <v>1</v>
      </c>
      <c r="AE5783">
        <v>0</v>
      </c>
      <c r="AF5783">
        <v>0</v>
      </c>
      <c r="AG5783">
        <v>1</v>
      </c>
      <c r="AJ5783">
        <v>1</v>
      </c>
      <c r="AK5783">
        <v>0</v>
      </c>
      <c r="AL5783">
        <v>1</v>
      </c>
      <c r="AM5783">
        <v>0</v>
      </c>
      <c r="AN5783">
        <v>0</v>
      </c>
      <c r="AO5783">
        <v>1</v>
      </c>
      <c r="AP5783">
        <v>1</v>
      </c>
      <c r="AQ5783">
        <v>1</v>
      </c>
      <c r="AR5783">
        <v>1</v>
      </c>
      <c r="AS5783">
        <v>1</v>
      </c>
      <c r="AT5783">
        <v>0</v>
      </c>
      <c r="AV5783">
        <v>1</v>
      </c>
      <c r="AW5783">
        <v>1</v>
      </c>
    </row>
    <row r="5784" spans="1:49" x14ac:dyDescent="0.25">
      <c r="A5784" t="str">
        <f>"5780"</f>
        <v>5780</v>
      </c>
      <c r="B5784" t="str">
        <f t="shared" si="333"/>
        <v>1</v>
      </c>
      <c r="C5784" t="str">
        <f t="shared" si="335"/>
        <v>254</v>
      </c>
      <c r="D5784" t="str">
        <f>"20"</f>
        <v>20</v>
      </c>
      <c r="E5784" t="str">
        <f>"1-254-20"</f>
        <v>1-254-20</v>
      </c>
      <c r="F5784" t="s">
        <v>83</v>
      </c>
      <c r="G5784" t="s">
        <v>84</v>
      </c>
      <c r="H5784" t="s">
        <v>85</v>
      </c>
      <c r="AC5784">
        <v>0</v>
      </c>
      <c r="AD5784">
        <v>1</v>
      </c>
      <c r="AE5784">
        <v>0</v>
      </c>
      <c r="AF5784">
        <v>0</v>
      </c>
      <c r="AG5784">
        <v>1</v>
      </c>
      <c r="AJ5784">
        <v>0</v>
      </c>
      <c r="AK5784">
        <v>1</v>
      </c>
      <c r="AL5784">
        <v>0</v>
      </c>
      <c r="AM5784">
        <v>0</v>
      </c>
      <c r="AN5784">
        <v>1</v>
      </c>
      <c r="AO5784">
        <v>1</v>
      </c>
      <c r="AP5784">
        <v>1</v>
      </c>
      <c r="AQ5784">
        <v>1</v>
      </c>
      <c r="AR5784">
        <v>1</v>
      </c>
      <c r="AS5784">
        <v>0</v>
      </c>
      <c r="AT5784">
        <v>1</v>
      </c>
      <c r="AV5784">
        <v>1</v>
      </c>
      <c r="AW5784">
        <v>1</v>
      </c>
    </row>
    <row r="5785" spans="1:49" x14ac:dyDescent="0.25">
      <c r="A5785" t="str">
        <f>"5781"</f>
        <v>5781</v>
      </c>
      <c r="B5785" t="str">
        <f t="shared" si="333"/>
        <v>1</v>
      </c>
      <c r="C5785" t="str">
        <f t="shared" si="335"/>
        <v>254</v>
      </c>
      <c r="D5785" t="str">
        <f>"4"</f>
        <v>4</v>
      </c>
      <c r="E5785" t="str">
        <f>"1-254-4"</f>
        <v>1-254-4</v>
      </c>
      <c r="F5785" t="s">
        <v>83</v>
      </c>
      <c r="G5785" t="s">
        <v>84</v>
      </c>
      <c r="H5785" t="s">
        <v>85</v>
      </c>
      <c r="AC5785">
        <v>1</v>
      </c>
      <c r="AD5785">
        <v>0</v>
      </c>
      <c r="AE5785">
        <v>0</v>
      </c>
      <c r="AF5785">
        <v>0</v>
      </c>
      <c r="AG5785">
        <v>1</v>
      </c>
      <c r="AJ5785">
        <v>0</v>
      </c>
      <c r="AK5785">
        <v>1</v>
      </c>
      <c r="AL5785">
        <v>0</v>
      </c>
      <c r="AM5785">
        <v>1</v>
      </c>
      <c r="AN5785">
        <v>0</v>
      </c>
      <c r="AO5785">
        <v>1</v>
      </c>
      <c r="AP5785">
        <v>1</v>
      </c>
      <c r="AQ5785">
        <v>1</v>
      </c>
      <c r="AR5785">
        <v>1</v>
      </c>
      <c r="AS5785">
        <v>0</v>
      </c>
      <c r="AT5785">
        <v>1</v>
      </c>
      <c r="AV5785">
        <v>1</v>
      </c>
      <c r="AW5785">
        <v>1</v>
      </c>
    </row>
    <row r="5786" spans="1:49" x14ac:dyDescent="0.25">
      <c r="A5786" t="str">
        <f>"5782"</f>
        <v>5782</v>
      </c>
      <c r="B5786" t="str">
        <f t="shared" si="333"/>
        <v>1</v>
      </c>
      <c r="C5786" t="str">
        <f t="shared" ref="C5786:C5810" si="336">"255"</f>
        <v>255</v>
      </c>
      <c r="D5786" t="str">
        <f>"19"</f>
        <v>19</v>
      </c>
      <c r="E5786" t="str">
        <f>"1-255-19"</f>
        <v>1-255-19</v>
      </c>
      <c r="F5786" t="s">
        <v>83</v>
      </c>
      <c r="G5786" t="s">
        <v>84</v>
      </c>
      <c r="H5786" t="s">
        <v>85</v>
      </c>
      <c r="AC5786">
        <v>0</v>
      </c>
      <c r="AD5786">
        <v>1</v>
      </c>
      <c r="AE5786">
        <v>0</v>
      </c>
      <c r="AF5786">
        <v>0</v>
      </c>
      <c r="AG5786">
        <v>1</v>
      </c>
      <c r="AJ5786">
        <v>1</v>
      </c>
      <c r="AK5786">
        <v>0</v>
      </c>
      <c r="AL5786">
        <v>0</v>
      </c>
      <c r="AM5786">
        <v>0</v>
      </c>
      <c r="AN5786">
        <v>1</v>
      </c>
      <c r="AO5786">
        <v>1</v>
      </c>
      <c r="AP5786">
        <v>1</v>
      </c>
      <c r="AQ5786">
        <v>1</v>
      </c>
      <c r="AR5786">
        <v>1</v>
      </c>
      <c r="AS5786">
        <v>1</v>
      </c>
      <c r="AT5786">
        <v>0</v>
      </c>
      <c r="AV5786">
        <v>1</v>
      </c>
      <c r="AW5786">
        <v>1</v>
      </c>
    </row>
    <row r="5787" spans="1:49" x14ac:dyDescent="0.25">
      <c r="A5787" t="str">
        <f>"5783"</f>
        <v>5783</v>
      </c>
      <c r="B5787" t="str">
        <f t="shared" si="333"/>
        <v>1</v>
      </c>
      <c r="C5787" t="str">
        <f t="shared" si="336"/>
        <v>255</v>
      </c>
      <c r="D5787" t="str">
        <f>"18"</f>
        <v>18</v>
      </c>
      <c r="E5787" t="str">
        <f>"1-255-18"</f>
        <v>1-255-18</v>
      </c>
      <c r="F5787" t="s">
        <v>83</v>
      </c>
      <c r="G5787" t="s">
        <v>84</v>
      </c>
      <c r="H5787" t="s">
        <v>85</v>
      </c>
      <c r="AC5787">
        <v>1</v>
      </c>
      <c r="AD5787">
        <v>0</v>
      </c>
      <c r="AE5787">
        <v>0</v>
      </c>
      <c r="AF5787">
        <v>0</v>
      </c>
      <c r="AG5787">
        <v>1</v>
      </c>
      <c r="AJ5787">
        <v>0</v>
      </c>
      <c r="AK5787">
        <v>1</v>
      </c>
      <c r="AL5787">
        <v>0</v>
      </c>
      <c r="AM5787">
        <v>1</v>
      </c>
      <c r="AN5787">
        <v>0</v>
      </c>
      <c r="AO5787">
        <v>1</v>
      </c>
      <c r="AP5787">
        <v>1</v>
      </c>
      <c r="AQ5787">
        <v>1</v>
      </c>
      <c r="AR5787">
        <v>1</v>
      </c>
      <c r="AS5787">
        <v>0</v>
      </c>
      <c r="AT5787">
        <v>1</v>
      </c>
      <c r="AV5787">
        <v>1</v>
      </c>
      <c r="AW5787">
        <v>1</v>
      </c>
    </row>
    <row r="5788" spans="1:49" x14ac:dyDescent="0.25">
      <c r="A5788" t="str">
        <f>"5784"</f>
        <v>5784</v>
      </c>
      <c r="B5788" t="str">
        <f t="shared" si="333"/>
        <v>1</v>
      </c>
      <c r="C5788" t="str">
        <f t="shared" si="336"/>
        <v>255</v>
      </c>
      <c r="D5788" t="str">
        <f>"13"</f>
        <v>13</v>
      </c>
      <c r="E5788" t="str">
        <f>"1-255-13"</f>
        <v>1-255-13</v>
      </c>
      <c r="F5788" t="s">
        <v>83</v>
      </c>
      <c r="G5788" t="s">
        <v>84</v>
      </c>
      <c r="H5788" t="s">
        <v>85</v>
      </c>
      <c r="AC5788">
        <v>1</v>
      </c>
      <c r="AD5788">
        <v>0</v>
      </c>
      <c r="AE5788">
        <v>0</v>
      </c>
      <c r="AF5788">
        <v>0</v>
      </c>
      <c r="AG5788">
        <v>1</v>
      </c>
      <c r="AJ5788">
        <v>0</v>
      </c>
      <c r="AK5788">
        <v>1</v>
      </c>
      <c r="AL5788">
        <v>1</v>
      </c>
      <c r="AM5788">
        <v>0</v>
      </c>
      <c r="AN5788">
        <v>0</v>
      </c>
      <c r="AO5788">
        <v>1</v>
      </c>
      <c r="AP5788">
        <v>1</v>
      </c>
      <c r="AQ5788">
        <v>1</v>
      </c>
      <c r="AR5788">
        <v>1</v>
      </c>
      <c r="AS5788">
        <v>0</v>
      </c>
      <c r="AT5788">
        <v>1</v>
      </c>
      <c r="AV5788">
        <v>1</v>
      </c>
      <c r="AW5788">
        <v>1</v>
      </c>
    </row>
    <row r="5789" spans="1:49" x14ac:dyDescent="0.25">
      <c r="A5789" t="str">
        <f>"5785"</f>
        <v>5785</v>
      </c>
      <c r="B5789" t="str">
        <f t="shared" si="333"/>
        <v>1</v>
      </c>
      <c r="C5789" t="str">
        <f t="shared" si="336"/>
        <v>255</v>
      </c>
      <c r="D5789" t="str">
        <f>"8"</f>
        <v>8</v>
      </c>
      <c r="E5789" t="str">
        <f>"1-255-8"</f>
        <v>1-255-8</v>
      </c>
      <c r="F5789" t="s">
        <v>83</v>
      </c>
      <c r="G5789" t="s">
        <v>84</v>
      </c>
      <c r="H5789" t="s">
        <v>85</v>
      </c>
      <c r="AC5789">
        <v>1</v>
      </c>
      <c r="AD5789">
        <v>0</v>
      </c>
      <c r="AE5789">
        <v>0</v>
      </c>
      <c r="AF5789">
        <v>0</v>
      </c>
      <c r="AG5789">
        <v>1</v>
      </c>
      <c r="AJ5789">
        <v>0</v>
      </c>
      <c r="AK5789">
        <v>1</v>
      </c>
      <c r="AL5789">
        <v>0</v>
      </c>
      <c r="AM5789">
        <v>1</v>
      </c>
      <c r="AN5789">
        <v>0</v>
      </c>
      <c r="AO5789">
        <v>1</v>
      </c>
      <c r="AP5789">
        <v>1</v>
      </c>
      <c r="AQ5789">
        <v>1</v>
      </c>
      <c r="AR5789">
        <v>1</v>
      </c>
      <c r="AS5789">
        <v>1</v>
      </c>
      <c r="AT5789">
        <v>0</v>
      </c>
      <c r="AV5789">
        <v>1</v>
      </c>
      <c r="AW5789">
        <v>1</v>
      </c>
    </row>
    <row r="5790" spans="1:49" x14ac:dyDescent="0.25">
      <c r="A5790" t="str">
        <f>"5786"</f>
        <v>5786</v>
      </c>
      <c r="B5790" t="str">
        <f t="shared" ref="B5790:B5853" si="337">"1"</f>
        <v>1</v>
      </c>
      <c r="C5790" t="str">
        <f t="shared" si="336"/>
        <v>255</v>
      </c>
      <c r="D5790" t="str">
        <f>"4"</f>
        <v>4</v>
      </c>
      <c r="E5790" t="str">
        <f>"1-255-4"</f>
        <v>1-255-4</v>
      </c>
      <c r="F5790" t="s">
        <v>83</v>
      </c>
      <c r="G5790" t="s">
        <v>84</v>
      </c>
      <c r="H5790" t="s">
        <v>85</v>
      </c>
      <c r="AC5790">
        <v>0</v>
      </c>
      <c r="AD5790">
        <v>1</v>
      </c>
      <c r="AE5790">
        <v>0</v>
      </c>
      <c r="AF5790">
        <v>0</v>
      </c>
      <c r="AG5790">
        <v>1</v>
      </c>
      <c r="AJ5790">
        <v>0</v>
      </c>
      <c r="AK5790">
        <v>1</v>
      </c>
      <c r="AL5790">
        <v>0</v>
      </c>
      <c r="AM5790">
        <v>0</v>
      </c>
      <c r="AN5790">
        <v>1</v>
      </c>
      <c r="AO5790">
        <v>1</v>
      </c>
      <c r="AP5790">
        <v>1</v>
      </c>
      <c r="AQ5790">
        <v>1</v>
      </c>
      <c r="AR5790">
        <v>1</v>
      </c>
      <c r="AS5790">
        <v>0</v>
      </c>
      <c r="AT5790">
        <v>1</v>
      </c>
      <c r="AV5790">
        <v>1</v>
      </c>
      <c r="AW5790">
        <v>1</v>
      </c>
    </row>
    <row r="5791" spans="1:49" x14ac:dyDescent="0.25">
      <c r="A5791" t="str">
        <f>"5787"</f>
        <v>5787</v>
      </c>
      <c r="B5791" t="str">
        <f t="shared" si="337"/>
        <v>1</v>
      </c>
      <c r="C5791" t="str">
        <f t="shared" si="336"/>
        <v>255</v>
      </c>
      <c r="D5791" t="str">
        <f>"23"</f>
        <v>23</v>
      </c>
      <c r="E5791" t="str">
        <f>"1-255-23"</f>
        <v>1-255-23</v>
      </c>
      <c r="F5791" t="s">
        <v>83</v>
      </c>
      <c r="G5791" t="s">
        <v>84</v>
      </c>
      <c r="H5791" t="s">
        <v>85</v>
      </c>
      <c r="AC5791">
        <v>1</v>
      </c>
      <c r="AD5791">
        <v>0</v>
      </c>
      <c r="AE5791">
        <v>0</v>
      </c>
      <c r="AF5791">
        <v>0</v>
      </c>
      <c r="AG5791">
        <v>1</v>
      </c>
      <c r="AJ5791">
        <v>0</v>
      </c>
      <c r="AK5791">
        <v>1</v>
      </c>
      <c r="AL5791">
        <v>0</v>
      </c>
      <c r="AM5791">
        <v>0</v>
      </c>
      <c r="AN5791">
        <v>1</v>
      </c>
      <c r="AO5791">
        <v>1</v>
      </c>
      <c r="AP5791">
        <v>1</v>
      </c>
      <c r="AQ5791">
        <v>1</v>
      </c>
      <c r="AR5791">
        <v>1</v>
      </c>
      <c r="AS5791">
        <v>0</v>
      </c>
      <c r="AT5791">
        <v>1</v>
      </c>
      <c r="AV5791">
        <v>1</v>
      </c>
      <c r="AW5791">
        <v>1</v>
      </c>
    </row>
    <row r="5792" spans="1:49" x14ac:dyDescent="0.25">
      <c r="A5792" t="str">
        <f>"5788"</f>
        <v>5788</v>
      </c>
      <c r="B5792" t="str">
        <f t="shared" si="337"/>
        <v>1</v>
      </c>
      <c r="C5792" t="str">
        <f t="shared" si="336"/>
        <v>255</v>
      </c>
      <c r="D5792" t="str">
        <f>"22"</f>
        <v>22</v>
      </c>
      <c r="E5792" t="str">
        <f>"1-255-22"</f>
        <v>1-255-22</v>
      </c>
      <c r="F5792" t="s">
        <v>83</v>
      </c>
      <c r="G5792" t="s">
        <v>84</v>
      </c>
      <c r="H5792" t="s">
        <v>85</v>
      </c>
      <c r="AC5792">
        <v>1</v>
      </c>
      <c r="AD5792">
        <v>0</v>
      </c>
      <c r="AE5792">
        <v>0</v>
      </c>
      <c r="AF5792">
        <v>0</v>
      </c>
      <c r="AG5792">
        <v>1</v>
      </c>
      <c r="AJ5792">
        <v>1</v>
      </c>
      <c r="AK5792">
        <v>0</v>
      </c>
      <c r="AL5792">
        <v>0</v>
      </c>
      <c r="AM5792">
        <v>1</v>
      </c>
      <c r="AN5792">
        <v>0</v>
      </c>
      <c r="AO5792">
        <v>1</v>
      </c>
      <c r="AP5792">
        <v>1</v>
      </c>
      <c r="AQ5792">
        <v>1</v>
      </c>
      <c r="AR5792">
        <v>1</v>
      </c>
      <c r="AS5792">
        <v>0</v>
      </c>
      <c r="AT5792">
        <v>1</v>
      </c>
      <c r="AV5792">
        <v>1</v>
      </c>
      <c r="AW5792">
        <v>1</v>
      </c>
    </row>
    <row r="5793" spans="1:49" x14ac:dyDescent="0.25">
      <c r="A5793" t="str">
        <f>"5789"</f>
        <v>5789</v>
      </c>
      <c r="B5793" t="str">
        <f t="shared" si="337"/>
        <v>1</v>
      </c>
      <c r="C5793" t="str">
        <f t="shared" si="336"/>
        <v>255</v>
      </c>
      <c r="D5793" t="str">
        <f>"14"</f>
        <v>14</v>
      </c>
      <c r="E5793" t="str">
        <f>"1-255-14"</f>
        <v>1-255-14</v>
      </c>
      <c r="F5793" t="s">
        <v>83</v>
      </c>
      <c r="G5793" t="s">
        <v>84</v>
      </c>
      <c r="H5793" t="s">
        <v>85</v>
      </c>
      <c r="AC5793">
        <v>0</v>
      </c>
      <c r="AD5793">
        <v>1</v>
      </c>
      <c r="AE5793">
        <v>0</v>
      </c>
      <c r="AF5793">
        <v>0</v>
      </c>
      <c r="AG5793">
        <v>1</v>
      </c>
      <c r="AJ5793">
        <v>1</v>
      </c>
      <c r="AK5793">
        <v>0</v>
      </c>
      <c r="AL5793">
        <v>1</v>
      </c>
      <c r="AM5793">
        <v>0</v>
      </c>
      <c r="AN5793">
        <v>0</v>
      </c>
      <c r="AO5793">
        <v>1</v>
      </c>
      <c r="AP5793">
        <v>1</v>
      </c>
      <c r="AQ5793">
        <v>1</v>
      </c>
      <c r="AR5793">
        <v>1</v>
      </c>
      <c r="AS5793">
        <v>0</v>
      </c>
      <c r="AT5793">
        <v>1</v>
      </c>
      <c r="AV5793">
        <v>1</v>
      </c>
      <c r="AW5793">
        <v>1</v>
      </c>
    </row>
    <row r="5794" spans="1:49" x14ac:dyDescent="0.25">
      <c r="A5794" t="str">
        <f>"5790"</f>
        <v>5790</v>
      </c>
      <c r="B5794" t="str">
        <f t="shared" si="337"/>
        <v>1</v>
      </c>
      <c r="C5794" t="str">
        <f t="shared" si="336"/>
        <v>255</v>
      </c>
      <c r="D5794" t="str">
        <f>"9"</f>
        <v>9</v>
      </c>
      <c r="E5794" t="str">
        <f>"1-255-9"</f>
        <v>1-255-9</v>
      </c>
      <c r="F5794" t="s">
        <v>83</v>
      </c>
      <c r="G5794" t="s">
        <v>84</v>
      </c>
      <c r="H5794" t="s">
        <v>85</v>
      </c>
      <c r="AC5794">
        <v>0</v>
      </c>
      <c r="AD5794">
        <v>1</v>
      </c>
      <c r="AE5794">
        <v>0</v>
      </c>
      <c r="AF5794">
        <v>0</v>
      </c>
      <c r="AG5794">
        <v>1</v>
      </c>
      <c r="AJ5794">
        <v>0</v>
      </c>
      <c r="AK5794">
        <v>1</v>
      </c>
      <c r="AL5794">
        <v>0</v>
      </c>
      <c r="AM5794">
        <v>0</v>
      </c>
      <c r="AN5794">
        <v>1</v>
      </c>
      <c r="AO5794">
        <v>1</v>
      </c>
      <c r="AP5794">
        <v>1</v>
      </c>
      <c r="AQ5794">
        <v>1</v>
      </c>
      <c r="AR5794">
        <v>1</v>
      </c>
      <c r="AS5794">
        <v>0</v>
      </c>
      <c r="AT5794">
        <v>1</v>
      </c>
      <c r="AV5794">
        <v>1</v>
      </c>
      <c r="AW5794">
        <v>1</v>
      </c>
    </row>
    <row r="5795" spans="1:49" x14ac:dyDescent="0.25">
      <c r="A5795" t="str">
        <f>"5791"</f>
        <v>5791</v>
      </c>
      <c r="B5795" t="str">
        <f t="shared" si="337"/>
        <v>1</v>
      </c>
      <c r="C5795" t="str">
        <f t="shared" si="336"/>
        <v>255</v>
      </c>
      <c r="D5795" t="str">
        <f>"3"</f>
        <v>3</v>
      </c>
      <c r="E5795" t="str">
        <f>"1-255-3"</f>
        <v>1-255-3</v>
      </c>
      <c r="F5795" t="s">
        <v>83</v>
      </c>
      <c r="G5795" t="s">
        <v>84</v>
      </c>
      <c r="H5795" t="s">
        <v>85</v>
      </c>
      <c r="AC5795">
        <v>0</v>
      </c>
      <c r="AD5795">
        <v>1</v>
      </c>
      <c r="AE5795">
        <v>0</v>
      </c>
      <c r="AF5795">
        <v>0</v>
      </c>
      <c r="AG5795">
        <v>1</v>
      </c>
      <c r="AJ5795">
        <v>1</v>
      </c>
      <c r="AK5795">
        <v>0</v>
      </c>
      <c r="AL5795">
        <v>0</v>
      </c>
      <c r="AM5795">
        <v>1</v>
      </c>
      <c r="AN5795">
        <v>0</v>
      </c>
      <c r="AO5795">
        <v>1</v>
      </c>
      <c r="AP5795">
        <v>1</v>
      </c>
      <c r="AQ5795">
        <v>1</v>
      </c>
      <c r="AR5795">
        <v>1</v>
      </c>
      <c r="AS5795">
        <v>0</v>
      </c>
      <c r="AT5795">
        <v>1</v>
      </c>
      <c r="AV5795">
        <v>1</v>
      </c>
      <c r="AW5795">
        <v>1</v>
      </c>
    </row>
    <row r="5796" spans="1:49" x14ac:dyDescent="0.25">
      <c r="A5796" t="str">
        <f>"5792"</f>
        <v>5792</v>
      </c>
      <c r="B5796" t="str">
        <f t="shared" si="337"/>
        <v>1</v>
      </c>
      <c r="C5796" t="str">
        <f t="shared" si="336"/>
        <v>255</v>
      </c>
      <c r="D5796" t="str">
        <f>"25"</f>
        <v>25</v>
      </c>
      <c r="E5796" t="str">
        <f>"1-255-25"</f>
        <v>1-255-25</v>
      </c>
      <c r="F5796" t="s">
        <v>83</v>
      </c>
      <c r="G5796" t="s">
        <v>84</v>
      </c>
      <c r="H5796" t="s">
        <v>85</v>
      </c>
      <c r="AC5796">
        <v>1</v>
      </c>
      <c r="AD5796">
        <v>0</v>
      </c>
      <c r="AE5796">
        <v>0</v>
      </c>
      <c r="AF5796">
        <v>0</v>
      </c>
      <c r="AG5796">
        <v>0</v>
      </c>
      <c r="AJ5796">
        <v>1</v>
      </c>
      <c r="AK5796">
        <v>0</v>
      </c>
      <c r="AL5796">
        <v>1</v>
      </c>
      <c r="AM5796">
        <v>0</v>
      </c>
      <c r="AN5796">
        <v>0</v>
      </c>
      <c r="AO5796">
        <v>0</v>
      </c>
      <c r="AP5796">
        <v>0</v>
      </c>
      <c r="AQ5796">
        <v>0</v>
      </c>
      <c r="AR5796">
        <v>0</v>
      </c>
      <c r="AS5796">
        <v>0</v>
      </c>
      <c r="AT5796">
        <v>0</v>
      </c>
      <c r="AV5796">
        <v>0</v>
      </c>
      <c r="AW5796">
        <v>0</v>
      </c>
    </row>
    <row r="5797" spans="1:49" x14ac:dyDescent="0.25">
      <c r="A5797" t="str">
        <f>"5793"</f>
        <v>5793</v>
      </c>
      <c r="B5797" t="str">
        <f t="shared" si="337"/>
        <v>1</v>
      </c>
      <c r="C5797" t="str">
        <f t="shared" si="336"/>
        <v>255</v>
      </c>
      <c r="D5797" t="str">
        <f>"24"</f>
        <v>24</v>
      </c>
      <c r="E5797" t="str">
        <f>"1-255-24"</f>
        <v>1-255-24</v>
      </c>
      <c r="F5797" t="s">
        <v>83</v>
      </c>
      <c r="G5797" t="s">
        <v>84</v>
      </c>
      <c r="H5797" t="s">
        <v>85</v>
      </c>
      <c r="AC5797">
        <v>1</v>
      </c>
      <c r="AD5797">
        <v>0</v>
      </c>
      <c r="AE5797">
        <v>0</v>
      </c>
      <c r="AF5797">
        <v>0</v>
      </c>
      <c r="AG5797">
        <v>1</v>
      </c>
      <c r="AJ5797">
        <v>1</v>
      </c>
      <c r="AK5797">
        <v>0</v>
      </c>
      <c r="AL5797">
        <v>0</v>
      </c>
      <c r="AM5797">
        <v>1</v>
      </c>
      <c r="AN5797">
        <v>0</v>
      </c>
      <c r="AO5797">
        <v>1</v>
      </c>
      <c r="AP5797">
        <v>1</v>
      </c>
      <c r="AQ5797">
        <v>1</v>
      </c>
      <c r="AR5797">
        <v>1</v>
      </c>
      <c r="AS5797">
        <v>0</v>
      </c>
      <c r="AT5797">
        <v>1</v>
      </c>
      <c r="AV5797">
        <v>1</v>
      </c>
      <c r="AW5797">
        <v>1</v>
      </c>
    </row>
    <row r="5798" spans="1:49" x14ac:dyDescent="0.25">
      <c r="A5798" t="str">
        <f>"5794"</f>
        <v>5794</v>
      </c>
      <c r="B5798" t="str">
        <f t="shared" si="337"/>
        <v>1</v>
      </c>
      <c r="C5798" t="str">
        <f t="shared" si="336"/>
        <v>255</v>
      </c>
      <c r="D5798" t="str">
        <f>"10"</f>
        <v>10</v>
      </c>
      <c r="E5798" t="str">
        <f>"1-255-10"</f>
        <v>1-255-10</v>
      </c>
      <c r="F5798" t="s">
        <v>83</v>
      </c>
      <c r="G5798" t="s">
        <v>84</v>
      </c>
      <c r="H5798" t="s">
        <v>85</v>
      </c>
      <c r="AC5798">
        <v>0</v>
      </c>
      <c r="AD5798">
        <v>1</v>
      </c>
      <c r="AE5798">
        <v>0</v>
      </c>
      <c r="AF5798">
        <v>0</v>
      </c>
      <c r="AG5798">
        <v>0</v>
      </c>
      <c r="AJ5798">
        <v>1</v>
      </c>
      <c r="AK5798">
        <v>0</v>
      </c>
      <c r="AL5798">
        <v>0</v>
      </c>
      <c r="AM5798">
        <v>0</v>
      </c>
      <c r="AN5798">
        <v>1</v>
      </c>
      <c r="AO5798">
        <v>0</v>
      </c>
      <c r="AP5798">
        <v>0</v>
      </c>
      <c r="AQ5798">
        <v>0</v>
      </c>
      <c r="AR5798">
        <v>0</v>
      </c>
      <c r="AS5798">
        <v>0</v>
      </c>
      <c r="AT5798">
        <v>0</v>
      </c>
      <c r="AV5798">
        <v>0</v>
      </c>
      <c r="AW5798">
        <v>0</v>
      </c>
    </row>
    <row r="5799" spans="1:49" x14ac:dyDescent="0.25">
      <c r="A5799" t="str">
        <f>"5795"</f>
        <v>5795</v>
      </c>
      <c r="B5799" t="str">
        <f t="shared" si="337"/>
        <v>1</v>
      </c>
      <c r="C5799" t="str">
        <f t="shared" si="336"/>
        <v>255</v>
      </c>
      <c r="D5799" t="str">
        <f>"5"</f>
        <v>5</v>
      </c>
      <c r="E5799" t="str">
        <f>"1-255-5"</f>
        <v>1-255-5</v>
      </c>
      <c r="F5799" t="s">
        <v>83</v>
      </c>
      <c r="G5799" t="s">
        <v>84</v>
      </c>
      <c r="H5799" t="s">
        <v>85</v>
      </c>
      <c r="AC5799">
        <v>0</v>
      </c>
      <c r="AD5799">
        <v>1</v>
      </c>
      <c r="AE5799">
        <v>0</v>
      </c>
      <c r="AF5799">
        <v>0</v>
      </c>
      <c r="AG5799">
        <v>0</v>
      </c>
      <c r="AJ5799">
        <v>0</v>
      </c>
      <c r="AK5799">
        <v>1</v>
      </c>
      <c r="AL5799">
        <v>0</v>
      </c>
      <c r="AM5799">
        <v>0</v>
      </c>
      <c r="AN5799">
        <v>0</v>
      </c>
      <c r="AO5799">
        <v>0</v>
      </c>
      <c r="AP5799">
        <v>0</v>
      </c>
      <c r="AQ5799">
        <v>0</v>
      </c>
      <c r="AR5799">
        <v>0</v>
      </c>
      <c r="AS5799">
        <v>0</v>
      </c>
      <c r="AT5799">
        <v>0</v>
      </c>
      <c r="AV5799">
        <v>0</v>
      </c>
      <c r="AW5799">
        <v>0</v>
      </c>
    </row>
    <row r="5800" spans="1:49" x14ac:dyDescent="0.25">
      <c r="A5800" t="str">
        <f>"5796"</f>
        <v>5796</v>
      </c>
      <c r="B5800" t="str">
        <f t="shared" si="337"/>
        <v>1</v>
      </c>
      <c r="C5800" t="str">
        <f t="shared" si="336"/>
        <v>255</v>
      </c>
      <c r="D5800" t="str">
        <f>"16"</f>
        <v>16</v>
      </c>
      <c r="E5800" t="str">
        <f>"1-255-16"</f>
        <v>1-255-16</v>
      </c>
      <c r="F5800" t="s">
        <v>83</v>
      </c>
      <c r="G5800" t="s">
        <v>84</v>
      </c>
      <c r="H5800" t="s">
        <v>85</v>
      </c>
      <c r="AC5800">
        <v>1</v>
      </c>
      <c r="AD5800">
        <v>0</v>
      </c>
      <c r="AE5800">
        <v>0</v>
      </c>
      <c r="AF5800">
        <v>0</v>
      </c>
      <c r="AG5800">
        <v>1</v>
      </c>
      <c r="AJ5800">
        <v>1</v>
      </c>
      <c r="AK5800">
        <v>0</v>
      </c>
      <c r="AL5800">
        <v>0</v>
      </c>
      <c r="AM5800">
        <v>0</v>
      </c>
      <c r="AN5800">
        <v>1</v>
      </c>
      <c r="AO5800">
        <v>1</v>
      </c>
      <c r="AP5800">
        <v>1</v>
      </c>
      <c r="AQ5800">
        <v>1</v>
      </c>
      <c r="AR5800">
        <v>1</v>
      </c>
      <c r="AS5800">
        <v>0</v>
      </c>
      <c r="AT5800">
        <v>1</v>
      </c>
      <c r="AV5800">
        <v>1</v>
      </c>
      <c r="AW5800">
        <v>1</v>
      </c>
    </row>
    <row r="5801" spans="1:49" x14ac:dyDescent="0.25">
      <c r="A5801" t="str">
        <f>"5797"</f>
        <v>5797</v>
      </c>
      <c r="B5801" t="str">
        <f t="shared" si="337"/>
        <v>1</v>
      </c>
      <c r="C5801" t="str">
        <f t="shared" si="336"/>
        <v>255</v>
      </c>
      <c r="D5801" t="str">
        <f>"11"</f>
        <v>11</v>
      </c>
      <c r="E5801" t="str">
        <f>"1-255-11"</f>
        <v>1-255-11</v>
      </c>
      <c r="F5801" t="s">
        <v>83</v>
      </c>
      <c r="G5801" t="s">
        <v>84</v>
      </c>
      <c r="H5801" t="s">
        <v>85</v>
      </c>
      <c r="AC5801">
        <v>0</v>
      </c>
      <c r="AD5801">
        <v>1</v>
      </c>
      <c r="AE5801">
        <v>0</v>
      </c>
      <c r="AF5801">
        <v>0</v>
      </c>
      <c r="AG5801">
        <v>1</v>
      </c>
      <c r="AJ5801">
        <v>0</v>
      </c>
      <c r="AK5801">
        <v>1</v>
      </c>
      <c r="AL5801">
        <v>1</v>
      </c>
      <c r="AM5801">
        <v>0</v>
      </c>
      <c r="AN5801">
        <v>0</v>
      </c>
      <c r="AO5801">
        <v>1</v>
      </c>
      <c r="AP5801">
        <v>1</v>
      </c>
      <c r="AQ5801">
        <v>1</v>
      </c>
      <c r="AR5801">
        <v>1</v>
      </c>
      <c r="AS5801">
        <v>0</v>
      </c>
      <c r="AT5801">
        <v>1</v>
      </c>
      <c r="AV5801">
        <v>1</v>
      </c>
      <c r="AW5801">
        <v>0</v>
      </c>
    </row>
    <row r="5802" spans="1:49" x14ac:dyDescent="0.25">
      <c r="A5802" t="str">
        <f>"5798"</f>
        <v>5798</v>
      </c>
      <c r="B5802" t="str">
        <f t="shared" si="337"/>
        <v>1</v>
      </c>
      <c r="C5802" t="str">
        <f t="shared" si="336"/>
        <v>255</v>
      </c>
      <c r="D5802" t="str">
        <f>"6"</f>
        <v>6</v>
      </c>
      <c r="E5802" t="str">
        <f>"1-255-6"</f>
        <v>1-255-6</v>
      </c>
      <c r="F5802" t="s">
        <v>83</v>
      </c>
      <c r="G5802" t="s">
        <v>84</v>
      </c>
      <c r="H5802" t="s">
        <v>85</v>
      </c>
      <c r="AC5802">
        <v>0</v>
      </c>
      <c r="AD5802">
        <v>1</v>
      </c>
      <c r="AE5802">
        <v>0</v>
      </c>
      <c r="AF5802">
        <v>0</v>
      </c>
      <c r="AG5802">
        <v>1</v>
      </c>
      <c r="AJ5802">
        <v>0</v>
      </c>
      <c r="AK5802">
        <v>1</v>
      </c>
      <c r="AL5802">
        <v>1</v>
      </c>
      <c r="AM5802">
        <v>0</v>
      </c>
      <c r="AN5802">
        <v>0</v>
      </c>
      <c r="AO5802">
        <v>1</v>
      </c>
      <c r="AP5802">
        <v>1</v>
      </c>
      <c r="AQ5802">
        <v>1</v>
      </c>
      <c r="AR5802">
        <v>1</v>
      </c>
      <c r="AS5802">
        <v>1</v>
      </c>
      <c r="AT5802">
        <v>0</v>
      </c>
      <c r="AV5802">
        <v>1</v>
      </c>
      <c r="AW5802">
        <v>1</v>
      </c>
    </row>
    <row r="5803" spans="1:49" x14ac:dyDescent="0.25">
      <c r="A5803" t="str">
        <f>"5799"</f>
        <v>5799</v>
      </c>
      <c r="B5803" t="str">
        <f t="shared" si="337"/>
        <v>1</v>
      </c>
      <c r="C5803" t="str">
        <f t="shared" si="336"/>
        <v>255</v>
      </c>
      <c r="D5803" t="str">
        <f>"17"</f>
        <v>17</v>
      </c>
      <c r="E5803" t="str">
        <f>"1-255-17"</f>
        <v>1-255-17</v>
      </c>
      <c r="F5803" t="s">
        <v>83</v>
      </c>
      <c r="G5803" t="s">
        <v>84</v>
      </c>
      <c r="H5803" t="s">
        <v>85</v>
      </c>
      <c r="AC5803">
        <v>1</v>
      </c>
      <c r="AD5803">
        <v>0</v>
      </c>
      <c r="AE5803">
        <v>0</v>
      </c>
      <c r="AF5803">
        <v>0</v>
      </c>
      <c r="AG5803">
        <v>1</v>
      </c>
      <c r="AJ5803">
        <v>0</v>
      </c>
      <c r="AK5803">
        <v>1</v>
      </c>
      <c r="AL5803">
        <v>0</v>
      </c>
      <c r="AM5803">
        <v>1</v>
      </c>
      <c r="AN5803">
        <v>0</v>
      </c>
      <c r="AO5803">
        <v>1</v>
      </c>
      <c r="AP5803">
        <v>1</v>
      </c>
      <c r="AQ5803">
        <v>1</v>
      </c>
      <c r="AR5803">
        <v>1</v>
      </c>
      <c r="AS5803">
        <v>0</v>
      </c>
      <c r="AT5803">
        <v>1</v>
      </c>
      <c r="AV5803">
        <v>1</v>
      </c>
      <c r="AW5803">
        <v>1</v>
      </c>
    </row>
    <row r="5804" spans="1:49" x14ac:dyDescent="0.25">
      <c r="A5804" t="str">
        <f>"5800"</f>
        <v>5800</v>
      </c>
      <c r="B5804" t="str">
        <f t="shared" si="337"/>
        <v>1</v>
      </c>
      <c r="C5804" t="str">
        <f t="shared" si="336"/>
        <v>255</v>
      </c>
      <c r="D5804" t="str">
        <f>"12"</f>
        <v>12</v>
      </c>
      <c r="E5804" t="str">
        <f>"1-255-12"</f>
        <v>1-255-12</v>
      </c>
      <c r="F5804" t="s">
        <v>83</v>
      </c>
      <c r="G5804" t="s">
        <v>84</v>
      </c>
      <c r="H5804" t="s">
        <v>85</v>
      </c>
      <c r="AC5804">
        <v>1</v>
      </c>
      <c r="AD5804">
        <v>0</v>
      </c>
      <c r="AE5804">
        <v>0</v>
      </c>
      <c r="AF5804">
        <v>0</v>
      </c>
      <c r="AG5804">
        <v>1</v>
      </c>
      <c r="AJ5804">
        <v>1</v>
      </c>
      <c r="AK5804">
        <v>0</v>
      </c>
      <c r="AL5804">
        <v>0</v>
      </c>
      <c r="AM5804">
        <v>0</v>
      </c>
      <c r="AN5804">
        <v>1</v>
      </c>
      <c r="AO5804">
        <v>1</v>
      </c>
      <c r="AP5804">
        <v>1</v>
      </c>
      <c r="AQ5804">
        <v>1</v>
      </c>
      <c r="AR5804">
        <v>1</v>
      </c>
      <c r="AS5804">
        <v>0</v>
      </c>
      <c r="AT5804">
        <v>1</v>
      </c>
      <c r="AV5804">
        <v>1</v>
      </c>
      <c r="AW5804">
        <v>1</v>
      </c>
    </row>
    <row r="5805" spans="1:49" x14ac:dyDescent="0.25">
      <c r="A5805" t="str">
        <f>"5801"</f>
        <v>5801</v>
      </c>
      <c r="B5805" t="str">
        <f t="shared" si="337"/>
        <v>1</v>
      </c>
      <c r="C5805" t="str">
        <f t="shared" si="336"/>
        <v>255</v>
      </c>
      <c r="D5805" t="str">
        <f>"1"</f>
        <v>1</v>
      </c>
      <c r="E5805" t="str">
        <f>"1-255-1"</f>
        <v>1-255-1</v>
      </c>
      <c r="F5805" t="s">
        <v>83</v>
      </c>
      <c r="G5805" t="s">
        <v>84</v>
      </c>
      <c r="H5805" t="s">
        <v>85</v>
      </c>
      <c r="AC5805">
        <v>0</v>
      </c>
      <c r="AD5805">
        <v>1</v>
      </c>
      <c r="AE5805">
        <v>0</v>
      </c>
      <c r="AF5805">
        <v>0</v>
      </c>
      <c r="AG5805">
        <v>0</v>
      </c>
      <c r="AJ5805">
        <v>1</v>
      </c>
      <c r="AK5805">
        <v>0</v>
      </c>
      <c r="AL5805">
        <v>0</v>
      </c>
      <c r="AM5805">
        <v>0</v>
      </c>
      <c r="AN5805">
        <v>1</v>
      </c>
      <c r="AO5805">
        <v>0</v>
      </c>
      <c r="AP5805">
        <v>0</v>
      </c>
      <c r="AQ5805">
        <v>0</v>
      </c>
      <c r="AR5805">
        <v>0</v>
      </c>
      <c r="AS5805">
        <v>0</v>
      </c>
      <c r="AT5805">
        <v>0</v>
      </c>
      <c r="AV5805">
        <v>0</v>
      </c>
      <c r="AW5805">
        <v>0</v>
      </c>
    </row>
    <row r="5806" spans="1:49" x14ac:dyDescent="0.25">
      <c r="A5806" t="str">
        <f>"5802"</f>
        <v>5802</v>
      </c>
      <c r="B5806" t="str">
        <f t="shared" si="337"/>
        <v>1</v>
      </c>
      <c r="C5806" t="str">
        <f t="shared" si="336"/>
        <v>255</v>
      </c>
      <c r="D5806" t="str">
        <f>"20"</f>
        <v>20</v>
      </c>
      <c r="E5806" t="str">
        <f>"1-255-20"</f>
        <v>1-255-20</v>
      </c>
      <c r="F5806" t="s">
        <v>83</v>
      </c>
      <c r="G5806" t="s">
        <v>84</v>
      </c>
      <c r="H5806" t="s">
        <v>85</v>
      </c>
      <c r="AC5806">
        <v>0</v>
      </c>
      <c r="AD5806">
        <v>1</v>
      </c>
      <c r="AE5806">
        <v>0</v>
      </c>
      <c r="AF5806">
        <v>0</v>
      </c>
      <c r="AG5806">
        <v>1</v>
      </c>
      <c r="AJ5806">
        <v>0</v>
      </c>
      <c r="AK5806">
        <v>0</v>
      </c>
      <c r="AL5806">
        <v>0</v>
      </c>
      <c r="AM5806">
        <v>0</v>
      </c>
      <c r="AN5806">
        <v>1</v>
      </c>
      <c r="AO5806">
        <v>1</v>
      </c>
      <c r="AP5806">
        <v>1</v>
      </c>
      <c r="AQ5806">
        <v>1</v>
      </c>
      <c r="AR5806">
        <v>1</v>
      </c>
      <c r="AS5806">
        <v>0</v>
      </c>
      <c r="AT5806">
        <v>0</v>
      </c>
      <c r="AV5806">
        <v>1</v>
      </c>
      <c r="AW5806">
        <v>1</v>
      </c>
    </row>
    <row r="5807" spans="1:49" x14ac:dyDescent="0.25">
      <c r="A5807" t="str">
        <f>"5803"</f>
        <v>5803</v>
      </c>
      <c r="B5807" t="str">
        <f t="shared" si="337"/>
        <v>1</v>
      </c>
      <c r="C5807" t="str">
        <f t="shared" si="336"/>
        <v>255</v>
      </c>
      <c r="D5807" t="str">
        <f>"2"</f>
        <v>2</v>
      </c>
      <c r="E5807" t="str">
        <f>"1-255-2"</f>
        <v>1-255-2</v>
      </c>
      <c r="F5807" t="s">
        <v>83</v>
      </c>
      <c r="G5807" t="s">
        <v>84</v>
      </c>
      <c r="H5807" t="s">
        <v>85</v>
      </c>
      <c r="AC5807">
        <v>0</v>
      </c>
      <c r="AD5807">
        <v>1</v>
      </c>
      <c r="AE5807">
        <v>0</v>
      </c>
      <c r="AF5807">
        <v>0</v>
      </c>
      <c r="AG5807">
        <v>1</v>
      </c>
      <c r="AJ5807">
        <v>1</v>
      </c>
      <c r="AK5807">
        <v>0</v>
      </c>
      <c r="AL5807">
        <v>0</v>
      </c>
      <c r="AM5807">
        <v>1</v>
      </c>
      <c r="AN5807">
        <v>0</v>
      </c>
      <c r="AO5807">
        <v>1</v>
      </c>
      <c r="AP5807">
        <v>1</v>
      </c>
      <c r="AQ5807">
        <v>1</v>
      </c>
      <c r="AR5807">
        <v>1</v>
      </c>
      <c r="AS5807">
        <v>0</v>
      </c>
      <c r="AT5807">
        <v>1</v>
      </c>
      <c r="AV5807">
        <v>1</v>
      </c>
      <c r="AW5807">
        <v>1</v>
      </c>
    </row>
    <row r="5808" spans="1:49" x14ac:dyDescent="0.25">
      <c r="A5808" t="str">
        <f>"5804"</f>
        <v>5804</v>
      </c>
      <c r="B5808" t="str">
        <f t="shared" si="337"/>
        <v>1</v>
      </c>
      <c r="C5808" t="str">
        <f t="shared" si="336"/>
        <v>255</v>
      </c>
      <c r="D5808" t="str">
        <f>"21"</f>
        <v>21</v>
      </c>
      <c r="E5808" t="str">
        <f>"1-255-21"</f>
        <v>1-255-21</v>
      </c>
      <c r="F5808" t="s">
        <v>83</v>
      </c>
      <c r="G5808" t="s">
        <v>84</v>
      </c>
      <c r="H5808" t="s">
        <v>85</v>
      </c>
      <c r="AC5808">
        <v>0</v>
      </c>
      <c r="AD5808">
        <v>1</v>
      </c>
      <c r="AE5808">
        <v>0</v>
      </c>
      <c r="AF5808">
        <v>0</v>
      </c>
      <c r="AG5808">
        <v>1</v>
      </c>
      <c r="AJ5808">
        <v>1</v>
      </c>
      <c r="AK5808">
        <v>0</v>
      </c>
      <c r="AL5808">
        <v>0</v>
      </c>
      <c r="AM5808">
        <v>0</v>
      </c>
      <c r="AN5808">
        <v>1</v>
      </c>
      <c r="AO5808">
        <v>1</v>
      </c>
      <c r="AP5808">
        <v>1</v>
      </c>
      <c r="AQ5808">
        <v>1</v>
      </c>
      <c r="AR5808">
        <v>1</v>
      </c>
      <c r="AS5808">
        <v>1</v>
      </c>
      <c r="AT5808">
        <v>0</v>
      </c>
      <c r="AV5808">
        <v>1</v>
      </c>
      <c r="AW5808">
        <v>1</v>
      </c>
    </row>
    <row r="5809" spans="1:49" x14ac:dyDescent="0.25">
      <c r="A5809" t="str">
        <f>"5805"</f>
        <v>5805</v>
      </c>
      <c r="B5809" t="str">
        <f t="shared" si="337"/>
        <v>1</v>
      </c>
      <c r="C5809" t="str">
        <f t="shared" si="336"/>
        <v>255</v>
      </c>
      <c r="D5809" t="str">
        <f>"7"</f>
        <v>7</v>
      </c>
      <c r="E5809" t="str">
        <f>"1-255-7"</f>
        <v>1-255-7</v>
      </c>
      <c r="F5809" t="s">
        <v>83</v>
      </c>
      <c r="G5809" t="s">
        <v>84</v>
      </c>
      <c r="H5809" t="s">
        <v>85</v>
      </c>
      <c r="AC5809">
        <v>0</v>
      </c>
      <c r="AD5809">
        <v>1</v>
      </c>
      <c r="AE5809">
        <v>0</v>
      </c>
      <c r="AF5809">
        <v>0</v>
      </c>
      <c r="AG5809">
        <v>1</v>
      </c>
      <c r="AJ5809">
        <v>1</v>
      </c>
      <c r="AK5809">
        <v>0</v>
      </c>
      <c r="AL5809">
        <v>1</v>
      </c>
      <c r="AM5809">
        <v>0</v>
      </c>
      <c r="AN5809">
        <v>0</v>
      </c>
      <c r="AO5809">
        <v>1</v>
      </c>
      <c r="AP5809">
        <v>1</v>
      </c>
      <c r="AQ5809">
        <v>1</v>
      </c>
      <c r="AR5809">
        <v>1</v>
      </c>
      <c r="AS5809">
        <v>0</v>
      </c>
      <c r="AT5809">
        <v>1</v>
      </c>
      <c r="AV5809">
        <v>1</v>
      </c>
      <c r="AW5809">
        <v>1</v>
      </c>
    </row>
    <row r="5810" spans="1:49" x14ac:dyDescent="0.25">
      <c r="A5810" t="str">
        <f>"5806"</f>
        <v>5806</v>
      </c>
      <c r="B5810" t="str">
        <f t="shared" si="337"/>
        <v>1</v>
      </c>
      <c r="C5810" t="str">
        <f t="shared" si="336"/>
        <v>255</v>
      </c>
      <c r="D5810" t="str">
        <f>"15"</f>
        <v>15</v>
      </c>
      <c r="E5810" t="str">
        <f>"1-255-15"</f>
        <v>1-255-15</v>
      </c>
      <c r="F5810" t="s">
        <v>83</v>
      </c>
      <c r="G5810" t="s">
        <v>84</v>
      </c>
      <c r="H5810" t="s">
        <v>85</v>
      </c>
      <c r="AC5810">
        <v>0</v>
      </c>
      <c r="AD5810">
        <v>1</v>
      </c>
      <c r="AE5810">
        <v>0</v>
      </c>
      <c r="AF5810">
        <v>0</v>
      </c>
      <c r="AG5810">
        <v>1</v>
      </c>
      <c r="AJ5810">
        <v>1</v>
      </c>
      <c r="AK5810">
        <v>0</v>
      </c>
      <c r="AL5810">
        <v>0</v>
      </c>
      <c r="AM5810">
        <v>1</v>
      </c>
      <c r="AN5810">
        <v>0</v>
      </c>
      <c r="AO5810">
        <v>1</v>
      </c>
      <c r="AP5810">
        <v>1</v>
      </c>
      <c r="AQ5810">
        <v>1</v>
      </c>
      <c r="AR5810">
        <v>1</v>
      </c>
      <c r="AS5810">
        <v>0</v>
      </c>
      <c r="AT5810">
        <v>1</v>
      </c>
      <c r="AV5810">
        <v>1</v>
      </c>
      <c r="AW5810">
        <v>1</v>
      </c>
    </row>
    <row r="5811" spans="1:49" x14ac:dyDescent="0.25">
      <c r="A5811" t="str">
        <f>"5807"</f>
        <v>5807</v>
      </c>
      <c r="B5811" t="str">
        <f t="shared" si="337"/>
        <v>1</v>
      </c>
      <c r="C5811" t="str">
        <f t="shared" ref="C5811:C5833" si="338">"256"</f>
        <v>256</v>
      </c>
      <c r="D5811" t="str">
        <f>"16"</f>
        <v>16</v>
      </c>
      <c r="E5811" t="str">
        <f>"1-256-16"</f>
        <v>1-256-16</v>
      </c>
      <c r="F5811" t="s">
        <v>83</v>
      </c>
      <c r="G5811" t="s">
        <v>84</v>
      </c>
      <c r="H5811" t="s">
        <v>92</v>
      </c>
      <c r="I5811">
        <v>1</v>
      </c>
      <c r="J5811">
        <v>1</v>
      </c>
      <c r="N5811">
        <v>1</v>
      </c>
      <c r="O5811">
        <v>1</v>
      </c>
      <c r="P5811">
        <v>1</v>
      </c>
      <c r="Q5811">
        <v>1</v>
      </c>
      <c r="R5811">
        <v>1</v>
      </c>
      <c r="S5811">
        <v>1</v>
      </c>
      <c r="T5811">
        <v>1</v>
      </c>
      <c r="W5811">
        <v>1</v>
      </c>
      <c r="X5811">
        <v>1</v>
      </c>
      <c r="Y5811">
        <v>1</v>
      </c>
      <c r="Z5811">
        <v>1</v>
      </c>
      <c r="AA5811">
        <v>1</v>
      </c>
      <c r="AB5811">
        <v>1</v>
      </c>
    </row>
    <row r="5812" spans="1:49" x14ac:dyDescent="0.25">
      <c r="A5812" t="str">
        <f>"5808"</f>
        <v>5808</v>
      </c>
      <c r="B5812" t="str">
        <f t="shared" si="337"/>
        <v>1</v>
      </c>
      <c r="C5812" t="str">
        <f t="shared" si="338"/>
        <v>256</v>
      </c>
      <c r="D5812" t="str">
        <f>"13"</f>
        <v>13</v>
      </c>
      <c r="E5812" t="str">
        <f>"1-256-13"</f>
        <v>1-256-13</v>
      </c>
      <c r="F5812" t="s">
        <v>83</v>
      </c>
      <c r="G5812" t="s">
        <v>84</v>
      </c>
      <c r="H5812" t="s">
        <v>92</v>
      </c>
      <c r="I5812">
        <v>1</v>
      </c>
      <c r="J5812">
        <v>1</v>
      </c>
      <c r="N5812">
        <v>1</v>
      </c>
      <c r="O5812">
        <v>1</v>
      </c>
      <c r="P5812">
        <v>1</v>
      </c>
      <c r="Q5812">
        <v>1</v>
      </c>
      <c r="R5812">
        <v>1</v>
      </c>
      <c r="S5812">
        <v>1</v>
      </c>
      <c r="T5812">
        <v>1</v>
      </c>
      <c r="W5812">
        <v>1</v>
      </c>
      <c r="X5812">
        <v>1</v>
      </c>
      <c r="Y5812">
        <v>1</v>
      </c>
      <c r="Z5812">
        <v>1</v>
      </c>
      <c r="AA5812">
        <v>1</v>
      </c>
      <c r="AB5812">
        <v>1</v>
      </c>
    </row>
    <row r="5813" spans="1:49" x14ac:dyDescent="0.25">
      <c r="A5813" t="str">
        <f>"5809"</f>
        <v>5809</v>
      </c>
      <c r="B5813" t="str">
        <f t="shared" si="337"/>
        <v>1</v>
      </c>
      <c r="C5813" t="str">
        <f t="shared" si="338"/>
        <v>256</v>
      </c>
      <c r="D5813" t="str">
        <f>"8"</f>
        <v>8</v>
      </c>
      <c r="E5813" t="str">
        <f>"1-256-8"</f>
        <v>1-256-8</v>
      </c>
      <c r="F5813" t="s">
        <v>83</v>
      </c>
      <c r="G5813" t="s">
        <v>84</v>
      </c>
      <c r="H5813" t="s">
        <v>85</v>
      </c>
      <c r="AC5813">
        <v>0</v>
      </c>
      <c r="AD5813">
        <v>1</v>
      </c>
      <c r="AE5813">
        <v>0</v>
      </c>
      <c r="AF5813">
        <v>0</v>
      </c>
      <c r="AG5813">
        <v>0</v>
      </c>
      <c r="AJ5813">
        <v>0</v>
      </c>
      <c r="AK5813">
        <v>1</v>
      </c>
      <c r="AL5813">
        <v>0</v>
      </c>
      <c r="AM5813">
        <v>0</v>
      </c>
      <c r="AN5813">
        <v>1</v>
      </c>
      <c r="AO5813">
        <v>0</v>
      </c>
      <c r="AP5813">
        <v>0</v>
      </c>
      <c r="AQ5813">
        <v>0</v>
      </c>
      <c r="AR5813">
        <v>0</v>
      </c>
      <c r="AS5813">
        <v>0</v>
      </c>
      <c r="AT5813">
        <v>1</v>
      </c>
      <c r="AV5813">
        <v>0</v>
      </c>
      <c r="AW5813">
        <v>0</v>
      </c>
    </row>
    <row r="5814" spans="1:49" x14ac:dyDescent="0.25">
      <c r="A5814" t="str">
        <f>"5810"</f>
        <v>5810</v>
      </c>
      <c r="B5814" t="str">
        <f t="shared" si="337"/>
        <v>1</v>
      </c>
      <c r="C5814" t="str">
        <f t="shared" si="338"/>
        <v>256</v>
      </c>
      <c r="D5814" t="str">
        <f>"3"</f>
        <v>3</v>
      </c>
      <c r="E5814" t="str">
        <f>"1-256-3"</f>
        <v>1-256-3</v>
      </c>
      <c r="F5814" t="s">
        <v>83</v>
      </c>
      <c r="G5814" t="s">
        <v>84</v>
      </c>
      <c r="H5814" t="s">
        <v>92</v>
      </c>
      <c r="I5814">
        <v>1</v>
      </c>
      <c r="J5814">
        <v>1</v>
      </c>
      <c r="N5814">
        <v>1</v>
      </c>
      <c r="O5814">
        <v>1</v>
      </c>
      <c r="P5814">
        <v>1</v>
      </c>
      <c r="Q5814">
        <v>1</v>
      </c>
      <c r="R5814">
        <v>1</v>
      </c>
      <c r="S5814">
        <v>1</v>
      </c>
      <c r="T5814">
        <v>1</v>
      </c>
      <c r="W5814">
        <v>1</v>
      </c>
      <c r="X5814">
        <v>1</v>
      </c>
      <c r="Y5814">
        <v>1</v>
      </c>
      <c r="Z5814">
        <v>1</v>
      </c>
      <c r="AA5814">
        <v>1</v>
      </c>
      <c r="AB5814">
        <v>1</v>
      </c>
    </row>
    <row r="5815" spans="1:49" x14ac:dyDescent="0.25">
      <c r="A5815" t="str">
        <f>"5811"</f>
        <v>5811</v>
      </c>
      <c r="B5815" t="str">
        <f t="shared" si="337"/>
        <v>1</v>
      </c>
      <c r="C5815" t="str">
        <f t="shared" si="338"/>
        <v>256</v>
      </c>
      <c r="D5815" t="str">
        <f>"23"</f>
        <v>23</v>
      </c>
      <c r="E5815" t="str">
        <f>"1-256-23"</f>
        <v>1-256-23</v>
      </c>
      <c r="F5815" t="s">
        <v>83</v>
      </c>
      <c r="G5815" t="s">
        <v>86</v>
      </c>
      <c r="H5815" t="s">
        <v>93</v>
      </c>
      <c r="I5815">
        <v>1</v>
      </c>
      <c r="K5815">
        <v>0</v>
      </c>
      <c r="L5815">
        <v>1</v>
      </c>
      <c r="M5815">
        <v>0</v>
      </c>
      <c r="N5815">
        <v>1</v>
      </c>
      <c r="O5815">
        <v>1</v>
      </c>
      <c r="P5815">
        <v>1</v>
      </c>
      <c r="Q5815">
        <v>1</v>
      </c>
      <c r="R5815">
        <v>1</v>
      </c>
      <c r="U5815">
        <v>1</v>
      </c>
      <c r="V5815">
        <v>0</v>
      </c>
      <c r="W5815">
        <v>1</v>
      </c>
      <c r="X5815">
        <v>1</v>
      </c>
      <c r="Y5815">
        <v>0</v>
      </c>
      <c r="Z5815">
        <v>1</v>
      </c>
      <c r="AA5815">
        <v>1</v>
      </c>
      <c r="AB5815">
        <v>1</v>
      </c>
    </row>
    <row r="5816" spans="1:49" x14ac:dyDescent="0.25">
      <c r="A5816" t="str">
        <f>"5812"</f>
        <v>5812</v>
      </c>
      <c r="B5816" t="str">
        <f t="shared" si="337"/>
        <v>1</v>
      </c>
      <c r="C5816" t="str">
        <f t="shared" si="338"/>
        <v>256</v>
      </c>
      <c r="D5816" t="str">
        <f>"22"</f>
        <v>22</v>
      </c>
      <c r="E5816" t="str">
        <f>"1-256-22"</f>
        <v>1-256-22</v>
      </c>
      <c r="F5816" t="s">
        <v>83</v>
      </c>
      <c r="G5816" t="s">
        <v>86</v>
      </c>
      <c r="H5816" t="s">
        <v>93</v>
      </c>
      <c r="I5816">
        <v>1</v>
      </c>
      <c r="K5816">
        <v>0</v>
      </c>
      <c r="L5816">
        <v>0</v>
      </c>
      <c r="M5816">
        <v>1</v>
      </c>
      <c r="N5816">
        <v>1</v>
      </c>
      <c r="O5816">
        <v>1</v>
      </c>
      <c r="P5816">
        <v>1</v>
      </c>
      <c r="Q5816">
        <v>1</v>
      </c>
      <c r="R5816">
        <v>1</v>
      </c>
      <c r="U5816">
        <v>1</v>
      </c>
      <c r="V5816">
        <v>0</v>
      </c>
      <c r="W5816">
        <v>1</v>
      </c>
      <c r="X5816">
        <v>1</v>
      </c>
      <c r="Y5816">
        <v>1</v>
      </c>
      <c r="Z5816">
        <v>1</v>
      </c>
      <c r="AA5816">
        <v>1</v>
      </c>
      <c r="AB5816">
        <v>1</v>
      </c>
    </row>
    <row r="5817" spans="1:49" x14ac:dyDescent="0.25">
      <c r="A5817" t="str">
        <f>"5813"</f>
        <v>5813</v>
      </c>
      <c r="B5817" t="str">
        <f t="shared" si="337"/>
        <v>1</v>
      </c>
      <c r="C5817" t="str">
        <f t="shared" si="338"/>
        <v>256</v>
      </c>
      <c r="D5817" t="str">
        <f>"14"</f>
        <v>14</v>
      </c>
      <c r="E5817" t="str">
        <f>"1-256-14"</f>
        <v>1-256-14</v>
      </c>
      <c r="F5817" t="s">
        <v>83</v>
      </c>
      <c r="G5817" t="s">
        <v>84</v>
      </c>
      <c r="H5817" t="s">
        <v>85</v>
      </c>
      <c r="AC5817">
        <v>0</v>
      </c>
      <c r="AD5817">
        <v>1</v>
      </c>
      <c r="AE5817">
        <v>0</v>
      </c>
      <c r="AF5817">
        <v>0</v>
      </c>
      <c r="AG5817">
        <v>1</v>
      </c>
      <c r="AJ5817">
        <v>0</v>
      </c>
      <c r="AK5817">
        <v>1</v>
      </c>
      <c r="AL5817">
        <v>0</v>
      </c>
      <c r="AM5817">
        <v>0</v>
      </c>
      <c r="AN5817">
        <v>1</v>
      </c>
      <c r="AO5817">
        <v>1</v>
      </c>
      <c r="AP5817">
        <v>1</v>
      </c>
      <c r="AQ5817">
        <v>1</v>
      </c>
      <c r="AR5817">
        <v>1</v>
      </c>
      <c r="AS5817">
        <v>1</v>
      </c>
      <c r="AT5817">
        <v>0</v>
      </c>
      <c r="AV5817">
        <v>1</v>
      </c>
      <c r="AW5817">
        <v>1</v>
      </c>
    </row>
    <row r="5818" spans="1:49" x14ac:dyDescent="0.25">
      <c r="A5818" t="str">
        <f>"5814"</f>
        <v>5814</v>
      </c>
      <c r="B5818" t="str">
        <f t="shared" si="337"/>
        <v>1</v>
      </c>
      <c r="C5818" t="str">
        <f t="shared" si="338"/>
        <v>256</v>
      </c>
      <c r="D5818" t="str">
        <f>"9"</f>
        <v>9</v>
      </c>
      <c r="E5818" t="str">
        <f>"1-256-9"</f>
        <v>1-256-9</v>
      </c>
      <c r="F5818" t="s">
        <v>83</v>
      </c>
      <c r="G5818" t="s">
        <v>84</v>
      </c>
      <c r="H5818" t="s">
        <v>85</v>
      </c>
      <c r="AC5818">
        <v>0</v>
      </c>
      <c r="AD5818">
        <v>1</v>
      </c>
      <c r="AE5818">
        <v>0</v>
      </c>
      <c r="AF5818">
        <v>0</v>
      </c>
      <c r="AG5818">
        <v>0</v>
      </c>
      <c r="AJ5818">
        <v>0</v>
      </c>
      <c r="AK5818">
        <v>1</v>
      </c>
      <c r="AL5818">
        <v>0</v>
      </c>
      <c r="AM5818">
        <v>1</v>
      </c>
      <c r="AN5818">
        <v>0</v>
      </c>
      <c r="AO5818">
        <v>1</v>
      </c>
      <c r="AP5818">
        <v>1</v>
      </c>
      <c r="AQ5818">
        <v>1</v>
      </c>
      <c r="AR5818">
        <v>1</v>
      </c>
      <c r="AS5818">
        <v>1</v>
      </c>
      <c r="AT5818">
        <v>0</v>
      </c>
      <c r="AV5818">
        <v>1</v>
      </c>
      <c r="AW5818">
        <v>1</v>
      </c>
    </row>
    <row r="5819" spans="1:49" x14ac:dyDescent="0.25">
      <c r="A5819" t="str">
        <f>"5815"</f>
        <v>5815</v>
      </c>
      <c r="B5819" t="str">
        <f t="shared" si="337"/>
        <v>1</v>
      </c>
      <c r="C5819" t="str">
        <f t="shared" si="338"/>
        <v>256</v>
      </c>
      <c r="D5819" t="str">
        <f>"4"</f>
        <v>4</v>
      </c>
      <c r="E5819" t="str">
        <f>"1-256-4"</f>
        <v>1-256-4</v>
      </c>
      <c r="F5819" t="s">
        <v>83</v>
      </c>
      <c r="G5819" t="s">
        <v>84</v>
      </c>
      <c r="H5819" t="s">
        <v>92</v>
      </c>
      <c r="I5819">
        <v>1</v>
      </c>
      <c r="J5819">
        <v>1</v>
      </c>
      <c r="N5819">
        <v>1</v>
      </c>
      <c r="O5819">
        <v>1</v>
      </c>
      <c r="P5819">
        <v>1</v>
      </c>
      <c r="Q5819">
        <v>1</v>
      </c>
      <c r="R5819">
        <v>1</v>
      </c>
      <c r="S5819">
        <v>1</v>
      </c>
      <c r="T5819">
        <v>1</v>
      </c>
      <c r="W5819">
        <v>1</v>
      </c>
      <c r="X5819">
        <v>1</v>
      </c>
      <c r="Y5819">
        <v>1</v>
      </c>
      <c r="Z5819">
        <v>1</v>
      </c>
      <c r="AA5819">
        <v>1</v>
      </c>
      <c r="AB5819">
        <v>1</v>
      </c>
    </row>
    <row r="5820" spans="1:49" x14ac:dyDescent="0.25">
      <c r="A5820" t="str">
        <f>"5816"</f>
        <v>5816</v>
      </c>
      <c r="B5820" t="str">
        <f t="shared" si="337"/>
        <v>1</v>
      </c>
      <c r="C5820" t="str">
        <f t="shared" si="338"/>
        <v>256</v>
      </c>
      <c r="D5820" t="str">
        <f>"21"</f>
        <v>21</v>
      </c>
      <c r="E5820" t="str">
        <f>"1-256-21"</f>
        <v>1-256-21</v>
      </c>
      <c r="F5820" t="s">
        <v>83</v>
      </c>
      <c r="G5820" t="s">
        <v>86</v>
      </c>
      <c r="H5820" t="s">
        <v>87</v>
      </c>
      <c r="AC5820">
        <v>0</v>
      </c>
      <c r="AD5820">
        <v>0</v>
      </c>
      <c r="AE5820">
        <v>0</v>
      </c>
      <c r="AF5820">
        <v>0</v>
      </c>
      <c r="AH5820">
        <v>0</v>
      </c>
      <c r="AI5820">
        <v>1</v>
      </c>
      <c r="AJ5820">
        <v>0</v>
      </c>
      <c r="AK5820">
        <v>0</v>
      </c>
      <c r="AL5820">
        <v>0</v>
      </c>
      <c r="AM5820">
        <v>0</v>
      </c>
      <c r="AN5820">
        <v>0</v>
      </c>
      <c r="AO5820">
        <v>0</v>
      </c>
      <c r="AP5820">
        <v>0</v>
      </c>
      <c r="AQ5820">
        <v>0</v>
      </c>
      <c r="AU5820">
        <v>0</v>
      </c>
      <c r="AV5820">
        <v>0</v>
      </c>
      <c r="AW5820">
        <v>0</v>
      </c>
    </row>
    <row r="5821" spans="1:49" x14ac:dyDescent="0.25">
      <c r="A5821" t="str">
        <f>"5817"</f>
        <v>5817</v>
      </c>
      <c r="B5821" t="str">
        <f t="shared" si="337"/>
        <v>1</v>
      </c>
      <c r="C5821" t="str">
        <f t="shared" si="338"/>
        <v>256</v>
      </c>
      <c r="D5821" t="str">
        <f>"10"</f>
        <v>10</v>
      </c>
      <c r="E5821" t="str">
        <f>"1-256-10"</f>
        <v>1-256-10</v>
      </c>
      <c r="F5821" t="s">
        <v>83</v>
      </c>
      <c r="G5821" t="s">
        <v>84</v>
      </c>
      <c r="H5821" t="s">
        <v>85</v>
      </c>
      <c r="AC5821">
        <v>0</v>
      </c>
      <c r="AD5821">
        <v>1</v>
      </c>
      <c r="AE5821">
        <v>0</v>
      </c>
      <c r="AF5821">
        <v>0</v>
      </c>
      <c r="AG5821">
        <v>0</v>
      </c>
      <c r="AJ5821">
        <v>0</v>
      </c>
      <c r="AK5821">
        <v>0</v>
      </c>
      <c r="AL5821">
        <v>0</v>
      </c>
      <c r="AM5821">
        <v>0</v>
      </c>
      <c r="AN5821">
        <v>1</v>
      </c>
      <c r="AO5821">
        <v>0</v>
      </c>
      <c r="AP5821">
        <v>0</v>
      </c>
      <c r="AQ5821">
        <v>0</v>
      </c>
      <c r="AR5821">
        <v>0</v>
      </c>
      <c r="AS5821">
        <v>0</v>
      </c>
      <c r="AT5821">
        <v>1</v>
      </c>
      <c r="AV5821">
        <v>0</v>
      </c>
      <c r="AW5821">
        <v>1</v>
      </c>
    </row>
    <row r="5822" spans="1:49" x14ac:dyDescent="0.25">
      <c r="A5822" t="str">
        <f>"5818"</f>
        <v>5818</v>
      </c>
      <c r="B5822" t="str">
        <f t="shared" si="337"/>
        <v>1</v>
      </c>
      <c r="C5822" t="str">
        <f t="shared" si="338"/>
        <v>256</v>
      </c>
      <c r="D5822" t="str">
        <f>"1"</f>
        <v>1</v>
      </c>
      <c r="E5822" t="str">
        <f>"1-256-1"</f>
        <v>1-256-1</v>
      </c>
      <c r="F5822" t="s">
        <v>83</v>
      </c>
      <c r="G5822" t="s">
        <v>84</v>
      </c>
      <c r="H5822" t="s">
        <v>85</v>
      </c>
      <c r="AC5822">
        <v>0</v>
      </c>
      <c r="AD5822">
        <v>1</v>
      </c>
      <c r="AE5822">
        <v>0</v>
      </c>
      <c r="AF5822">
        <v>0</v>
      </c>
      <c r="AG5822">
        <v>0</v>
      </c>
      <c r="AJ5822">
        <v>0</v>
      </c>
      <c r="AK5822">
        <v>1</v>
      </c>
      <c r="AL5822">
        <v>0</v>
      </c>
      <c r="AM5822">
        <v>0</v>
      </c>
      <c r="AN5822">
        <v>1</v>
      </c>
      <c r="AO5822">
        <v>0</v>
      </c>
      <c r="AP5822">
        <v>0</v>
      </c>
      <c r="AQ5822">
        <v>0</v>
      </c>
      <c r="AR5822">
        <v>0</v>
      </c>
      <c r="AS5822">
        <v>0</v>
      </c>
      <c r="AT5822">
        <v>0</v>
      </c>
      <c r="AV5822">
        <v>0</v>
      </c>
      <c r="AW5822">
        <v>0</v>
      </c>
    </row>
    <row r="5823" spans="1:49" x14ac:dyDescent="0.25">
      <c r="A5823" t="str">
        <f>"5819"</f>
        <v>5819</v>
      </c>
      <c r="B5823" t="str">
        <f t="shared" si="337"/>
        <v>1</v>
      </c>
      <c r="C5823" t="str">
        <f t="shared" si="338"/>
        <v>256</v>
      </c>
      <c r="D5823" t="str">
        <f>"18"</f>
        <v>18</v>
      </c>
      <c r="E5823" t="str">
        <f>"1-256-18"</f>
        <v>1-256-18</v>
      </c>
      <c r="F5823" t="s">
        <v>83</v>
      </c>
      <c r="G5823" t="s">
        <v>84</v>
      </c>
      <c r="H5823" t="s">
        <v>85</v>
      </c>
      <c r="AC5823">
        <v>0</v>
      </c>
      <c r="AD5823">
        <v>0</v>
      </c>
      <c r="AE5823">
        <v>0</v>
      </c>
      <c r="AF5823">
        <v>0</v>
      </c>
      <c r="AG5823">
        <v>1</v>
      </c>
      <c r="AJ5823">
        <v>0</v>
      </c>
      <c r="AK5823">
        <v>1</v>
      </c>
      <c r="AL5823">
        <v>0</v>
      </c>
      <c r="AM5823">
        <v>1</v>
      </c>
      <c r="AN5823">
        <v>0</v>
      </c>
      <c r="AO5823">
        <v>1</v>
      </c>
      <c r="AP5823">
        <v>1</v>
      </c>
      <c r="AQ5823">
        <v>1</v>
      </c>
      <c r="AR5823">
        <v>0</v>
      </c>
      <c r="AS5823">
        <v>0</v>
      </c>
      <c r="AT5823">
        <v>1</v>
      </c>
      <c r="AV5823">
        <v>1</v>
      </c>
      <c r="AW5823">
        <v>1</v>
      </c>
    </row>
    <row r="5824" spans="1:49" x14ac:dyDescent="0.25">
      <c r="A5824" t="str">
        <f>"5820"</f>
        <v>5820</v>
      </c>
      <c r="B5824" t="str">
        <f t="shared" si="337"/>
        <v>1</v>
      </c>
      <c r="C5824" t="str">
        <f t="shared" si="338"/>
        <v>256</v>
      </c>
      <c r="D5824" t="str">
        <f>"11"</f>
        <v>11</v>
      </c>
      <c r="E5824" t="str">
        <f>"1-256-11"</f>
        <v>1-256-11</v>
      </c>
      <c r="F5824" t="s">
        <v>83</v>
      </c>
      <c r="G5824" t="s">
        <v>84</v>
      </c>
      <c r="H5824" t="s">
        <v>92</v>
      </c>
      <c r="I5824">
        <v>1</v>
      </c>
      <c r="J5824">
        <v>1</v>
      </c>
      <c r="N5824">
        <v>1</v>
      </c>
      <c r="O5824">
        <v>1</v>
      </c>
      <c r="P5824">
        <v>1</v>
      </c>
      <c r="Q5824">
        <v>1</v>
      </c>
      <c r="R5824">
        <v>1</v>
      </c>
      <c r="S5824">
        <v>1</v>
      </c>
      <c r="T5824">
        <v>1</v>
      </c>
      <c r="W5824">
        <v>1</v>
      </c>
      <c r="X5824">
        <v>1</v>
      </c>
      <c r="Y5824">
        <v>1</v>
      </c>
      <c r="Z5824">
        <v>1</v>
      </c>
      <c r="AA5824">
        <v>1</v>
      </c>
      <c r="AB5824">
        <v>1</v>
      </c>
    </row>
    <row r="5825" spans="1:49" x14ac:dyDescent="0.25">
      <c r="A5825" t="str">
        <f>"5821"</f>
        <v>5821</v>
      </c>
      <c r="B5825" t="str">
        <f t="shared" si="337"/>
        <v>1</v>
      </c>
      <c r="C5825" t="str">
        <f t="shared" si="338"/>
        <v>256</v>
      </c>
      <c r="D5825" t="str">
        <f>"7"</f>
        <v>7</v>
      </c>
      <c r="E5825" t="str">
        <f>"1-256-7"</f>
        <v>1-256-7</v>
      </c>
      <c r="F5825" t="s">
        <v>83</v>
      </c>
      <c r="G5825" t="s">
        <v>84</v>
      </c>
      <c r="H5825" t="s">
        <v>85</v>
      </c>
      <c r="AC5825">
        <v>0</v>
      </c>
      <c r="AD5825">
        <v>1</v>
      </c>
      <c r="AE5825">
        <v>0</v>
      </c>
      <c r="AF5825">
        <v>0</v>
      </c>
      <c r="AG5825">
        <v>0</v>
      </c>
      <c r="AJ5825">
        <v>0</v>
      </c>
      <c r="AK5825">
        <v>1</v>
      </c>
      <c r="AL5825">
        <v>0</v>
      </c>
      <c r="AM5825">
        <v>0</v>
      </c>
      <c r="AN5825">
        <v>1</v>
      </c>
      <c r="AO5825">
        <v>0</v>
      </c>
      <c r="AP5825">
        <v>0</v>
      </c>
      <c r="AQ5825">
        <v>0</v>
      </c>
      <c r="AR5825">
        <v>0</v>
      </c>
      <c r="AS5825">
        <v>0</v>
      </c>
      <c r="AT5825">
        <v>1</v>
      </c>
      <c r="AV5825">
        <v>0</v>
      </c>
      <c r="AW5825">
        <v>0</v>
      </c>
    </row>
    <row r="5826" spans="1:49" x14ac:dyDescent="0.25">
      <c r="A5826" t="str">
        <f>"5822"</f>
        <v>5822</v>
      </c>
      <c r="B5826" t="str">
        <f t="shared" si="337"/>
        <v>1</v>
      </c>
      <c r="C5826" t="str">
        <f t="shared" si="338"/>
        <v>256</v>
      </c>
      <c r="D5826" t="str">
        <f>"15"</f>
        <v>15</v>
      </c>
      <c r="E5826" t="str">
        <f>"1-256-15"</f>
        <v>1-256-15</v>
      </c>
      <c r="F5826" t="s">
        <v>83</v>
      </c>
      <c r="G5826" t="s">
        <v>84</v>
      </c>
      <c r="H5826" t="s">
        <v>85</v>
      </c>
      <c r="AC5826">
        <v>0</v>
      </c>
      <c r="AD5826">
        <v>1</v>
      </c>
      <c r="AE5826">
        <v>0</v>
      </c>
      <c r="AF5826">
        <v>0</v>
      </c>
      <c r="AG5826">
        <v>1</v>
      </c>
      <c r="AJ5826">
        <v>0</v>
      </c>
      <c r="AK5826">
        <v>1</v>
      </c>
      <c r="AL5826">
        <v>0</v>
      </c>
      <c r="AM5826">
        <v>0</v>
      </c>
      <c r="AN5826">
        <v>1</v>
      </c>
      <c r="AO5826">
        <v>1</v>
      </c>
      <c r="AP5826">
        <v>1</v>
      </c>
      <c r="AQ5826">
        <v>1</v>
      </c>
      <c r="AR5826">
        <v>1</v>
      </c>
      <c r="AS5826">
        <v>1</v>
      </c>
      <c r="AT5826">
        <v>0</v>
      </c>
      <c r="AV5826">
        <v>0</v>
      </c>
      <c r="AW5826">
        <v>1</v>
      </c>
    </row>
    <row r="5827" spans="1:49" x14ac:dyDescent="0.25">
      <c r="A5827" t="str">
        <f>"5823"</f>
        <v>5823</v>
      </c>
      <c r="B5827" t="str">
        <f t="shared" si="337"/>
        <v>1</v>
      </c>
      <c r="C5827" t="str">
        <f t="shared" si="338"/>
        <v>256</v>
      </c>
      <c r="D5827" t="str">
        <f>"12"</f>
        <v>12</v>
      </c>
      <c r="E5827" t="str">
        <f>"1-256-12"</f>
        <v>1-256-12</v>
      </c>
      <c r="F5827" t="s">
        <v>83</v>
      </c>
      <c r="G5827" t="s">
        <v>84</v>
      </c>
      <c r="H5827" t="s">
        <v>85</v>
      </c>
      <c r="AC5827">
        <v>0</v>
      </c>
      <c r="AD5827">
        <v>1</v>
      </c>
      <c r="AE5827">
        <v>0</v>
      </c>
      <c r="AF5827">
        <v>0</v>
      </c>
      <c r="AG5827">
        <v>0</v>
      </c>
      <c r="AJ5827">
        <v>0</v>
      </c>
      <c r="AK5827">
        <v>1</v>
      </c>
      <c r="AL5827">
        <v>0</v>
      </c>
      <c r="AM5827">
        <v>0</v>
      </c>
      <c r="AN5827">
        <v>1</v>
      </c>
      <c r="AO5827">
        <v>0</v>
      </c>
      <c r="AP5827">
        <v>0</v>
      </c>
      <c r="AQ5827">
        <v>0</v>
      </c>
      <c r="AR5827">
        <v>0</v>
      </c>
      <c r="AS5827">
        <v>0</v>
      </c>
      <c r="AT5827">
        <v>1</v>
      </c>
      <c r="AV5827">
        <v>0</v>
      </c>
      <c r="AW5827">
        <v>0</v>
      </c>
    </row>
    <row r="5828" spans="1:49" x14ac:dyDescent="0.25">
      <c r="A5828" t="str">
        <f>"5824"</f>
        <v>5824</v>
      </c>
      <c r="B5828" t="str">
        <f t="shared" si="337"/>
        <v>1</v>
      </c>
      <c r="C5828" t="str">
        <f t="shared" si="338"/>
        <v>256</v>
      </c>
      <c r="D5828" t="str">
        <f>"5"</f>
        <v>5</v>
      </c>
      <c r="E5828" t="str">
        <f>"1-256-5"</f>
        <v>1-256-5</v>
      </c>
      <c r="F5828" t="s">
        <v>83</v>
      </c>
      <c r="G5828" t="s">
        <v>84</v>
      </c>
      <c r="H5828" t="s">
        <v>85</v>
      </c>
      <c r="AC5828">
        <v>1</v>
      </c>
      <c r="AD5828">
        <v>0</v>
      </c>
      <c r="AE5828">
        <v>0</v>
      </c>
      <c r="AF5828">
        <v>0</v>
      </c>
      <c r="AG5828">
        <v>1</v>
      </c>
      <c r="AJ5828">
        <v>0</v>
      </c>
      <c r="AK5828">
        <v>1</v>
      </c>
      <c r="AL5828">
        <v>0</v>
      </c>
      <c r="AM5828">
        <v>0</v>
      </c>
      <c r="AN5828">
        <v>1</v>
      </c>
      <c r="AO5828">
        <v>1</v>
      </c>
      <c r="AP5828">
        <v>1</v>
      </c>
      <c r="AQ5828">
        <v>1</v>
      </c>
      <c r="AR5828">
        <v>1</v>
      </c>
      <c r="AS5828">
        <v>0</v>
      </c>
      <c r="AT5828">
        <v>1</v>
      </c>
      <c r="AV5828">
        <v>1</v>
      </c>
      <c r="AW5828">
        <v>1</v>
      </c>
    </row>
    <row r="5829" spans="1:49" x14ac:dyDescent="0.25">
      <c r="A5829" t="str">
        <f>"5825"</f>
        <v>5825</v>
      </c>
      <c r="B5829" t="str">
        <f t="shared" si="337"/>
        <v>1</v>
      </c>
      <c r="C5829" t="str">
        <f t="shared" si="338"/>
        <v>256</v>
      </c>
      <c r="D5829" t="str">
        <f>"19"</f>
        <v>19</v>
      </c>
      <c r="E5829" t="str">
        <f>"1-256-19"</f>
        <v>1-256-19</v>
      </c>
      <c r="F5829" t="s">
        <v>83</v>
      </c>
      <c r="G5829" t="s">
        <v>84</v>
      </c>
      <c r="H5829" t="s">
        <v>92</v>
      </c>
      <c r="I5829">
        <v>1</v>
      </c>
      <c r="J5829">
        <v>1</v>
      </c>
      <c r="N5829">
        <v>1</v>
      </c>
      <c r="O5829">
        <v>1</v>
      </c>
      <c r="P5829">
        <v>1</v>
      </c>
      <c r="Q5829">
        <v>1</v>
      </c>
      <c r="R5829">
        <v>1</v>
      </c>
      <c r="S5829">
        <v>1</v>
      </c>
      <c r="T5829">
        <v>1</v>
      </c>
      <c r="W5829">
        <v>1</v>
      </c>
      <c r="X5829">
        <v>1</v>
      </c>
      <c r="Y5829">
        <v>1</v>
      </c>
      <c r="Z5829">
        <v>1</v>
      </c>
      <c r="AA5829">
        <v>1</v>
      </c>
      <c r="AB5829">
        <v>0</v>
      </c>
    </row>
    <row r="5830" spans="1:49" x14ac:dyDescent="0.25">
      <c r="A5830" t="str">
        <f>"5826"</f>
        <v>5826</v>
      </c>
      <c r="B5830" t="str">
        <f t="shared" si="337"/>
        <v>1</v>
      </c>
      <c r="C5830" t="str">
        <f t="shared" si="338"/>
        <v>256</v>
      </c>
      <c r="D5830" t="str">
        <f>"2"</f>
        <v>2</v>
      </c>
      <c r="E5830" t="str">
        <f>"1-256-2"</f>
        <v>1-256-2</v>
      </c>
      <c r="F5830" t="s">
        <v>83</v>
      </c>
      <c r="G5830" t="s">
        <v>84</v>
      </c>
      <c r="H5830" t="s">
        <v>85</v>
      </c>
      <c r="AC5830">
        <v>0</v>
      </c>
      <c r="AD5830">
        <v>1</v>
      </c>
      <c r="AE5830">
        <v>0</v>
      </c>
      <c r="AF5830">
        <v>0</v>
      </c>
      <c r="AG5830">
        <v>0</v>
      </c>
      <c r="AJ5830">
        <v>0</v>
      </c>
      <c r="AK5830">
        <v>1</v>
      </c>
      <c r="AL5830">
        <v>0</v>
      </c>
      <c r="AM5830">
        <v>0</v>
      </c>
      <c r="AN5830">
        <v>1</v>
      </c>
      <c r="AO5830">
        <v>0</v>
      </c>
      <c r="AP5830">
        <v>0</v>
      </c>
      <c r="AQ5830">
        <v>0</v>
      </c>
      <c r="AR5830">
        <v>0</v>
      </c>
      <c r="AS5830">
        <v>0</v>
      </c>
      <c r="AT5830">
        <v>1</v>
      </c>
      <c r="AV5830">
        <v>0</v>
      </c>
      <c r="AW5830">
        <v>0</v>
      </c>
    </row>
    <row r="5831" spans="1:49" x14ac:dyDescent="0.25">
      <c r="A5831" t="str">
        <f>"5827"</f>
        <v>5827</v>
      </c>
      <c r="B5831" t="str">
        <f t="shared" si="337"/>
        <v>1</v>
      </c>
      <c r="C5831" t="str">
        <f t="shared" si="338"/>
        <v>256</v>
      </c>
      <c r="D5831" t="str">
        <f>"20"</f>
        <v>20</v>
      </c>
      <c r="E5831" t="str">
        <f>"1-256-20"</f>
        <v>1-256-20</v>
      </c>
      <c r="F5831" t="s">
        <v>83</v>
      </c>
      <c r="G5831" t="s">
        <v>84</v>
      </c>
      <c r="H5831" t="s">
        <v>92</v>
      </c>
      <c r="I5831">
        <v>1</v>
      </c>
      <c r="J5831">
        <v>1</v>
      </c>
      <c r="N5831">
        <v>1</v>
      </c>
      <c r="O5831">
        <v>1</v>
      </c>
      <c r="P5831">
        <v>1</v>
      </c>
      <c r="Q5831">
        <v>1</v>
      </c>
      <c r="R5831">
        <v>1</v>
      </c>
      <c r="S5831">
        <v>1</v>
      </c>
      <c r="T5831">
        <v>1</v>
      </c>
      <c r="W5831">
        <v>1</v>
      </c>
      <c r="X5831">
        <v>1</v>
      </c>
      <c r="Y5831">
        <v>1</v>
      </c>
      <c r="Z5831">
        <v>1</v>
      </c>
      <c r="AA5831">
        <v>1</v>
      </c>
      <c r="AB5831">
        <v>1</v>
      </c>
    </row>
    <row r="5832" spans="1:49" x14ac:dyDescent="0.25">
      <c r="A5832" t="str">
        <f>"5828"</f>
        <v>5828</v>
      </c>
      <c r="B5832" t="str">
        <f t="shared" si="337"/>
        <v>1</v>
      </c>
      <c r="C5832" t="str">
        <f t="shared" si="338"/>
        <v>256</v>
      </c>
      <c r="D5832" t="str">
        <f>"6"</f>
        <v>6</v>
      </c>
      <c r="E5832" t="str">
        <f>"1-256-6"</f>
        <v>1-256-6</v>
      </c>
      <c r="F5832" t="s">
        <v>83</v>
      </c>
      <c r="G5832" t="s">
        <v>84</v>
      </c>
      <c r="H5832" t="s">
        <v>85</v>
      </c>
      <c r="AC5832">
        <v>0</v>
      </c>
      <c r="AD5832">
        <v>1</v>
      </c>
      <c r="AE5832">
        <v>0</v>
      </c>
      <c r="AF5832">
        <v>0</v>
      </c>
      <c r="AG5832">
        <v>1</v>
      </c>
      <c r="AJ5832">
        <v>0</v>
      </c>
      <c r="AK5832">
        <v>1</v>
      </c>
      <c r="AL5832">
        <v>0</v>
      </c>
      <c r="AM5832">
        <v>0</v>
      </c>
      <c r="AN5832">
        <v>0</v>
      </c>
      <c r="AO5832">
        <v>1</v>
      </c>
      <c r="AP5832">
        <v>1</v>
      </c>
      <c r="AQ5832">
        <v>1</v>
      </c>
      <c r="AR5832">
        <v>1</v>
      </c>
      <c r="AS5832">
        <v>0</v>
      </c>
      <c r="AT5832">
        <v>1</v>
      </c>
      <c r="AV5832">
        <v>1</v>
      </c>
      <c r="AW5832">
        <v>1</v>
      </c>
    </row>
    <row r="5833" spans="1:49" x14ac:dyDescent="0.25">
      <c r="A5833" t="str">
        <f>"5829"</f>
        <v>5829</v>
      </c>
      <c r="B5833" t="str">
        <f t="shared" si="337"/>
        <v>1</v>
      </c>
      <c r="C5833" t="str">
        <f t="shared" si="338"/>
        <v>256</v>
      </c>
      <c r="D5833" t="str">
        <f>"17"</f>
        <v>17</v>
      </c>
      <c r="E5833" t="str">
        <f>"1-256-17"</f>
        <v>1-256-17</v>
      </c>
      <c r="F5833" t="s">
        <v>83</v>
      </c>
      <c r="G5833" t="s">
        <v>84</v>
      </c>
      <c r="H5833" t="s">
        <v>85</v>
      </c>
      <c r="AC5833">
        <v>0</v>
      </c>
      <c r="AD5833">
        <v>1</v>
      </c>
      <c r="AE5833">
        <v>0</v>
      </c>
      <c r="AF5833">
        <v>0</v>
      </c>
      <c r="AG5833">
        <v>0</v>
      </c>
      <c r="AJ5833">
        <v>0</v>
      </c>
      <c r="AK5833">
        <v>1</v>
      </c>
      <c r="AL5833">
        <v>0</v>
      </c>
      <c r="AM5833">
        <v>0</v>
      </c>
      <c r="AN5833">
        <v>1</v>
      </c>
      <c r="AO5833">
        <v>0</v>
      </c>
      <c r="AP5833">
        <v>0</v>
      </c>
      <c r="AQ5833">
        <v>0</v>
      </c>
      <c r="AR5833">
        <v>0</v>
      </c>
      <c r="AS5833">
        <v>0</v>
      </c>
      <c r="AT5833">
        <v>1</v>
      </c>
      <c r="AV5833">
        <v>0</v>
      </c>
      <c r="AW5833">
        <v>0</v>
      </c>
    </row>
    <row r="5834" spans="1:49" x14ac:dyDescent="0.25">
      <c r="A5834" t="str">
        <f>"5830"</f>
        <v>5830</v>
      </c>
      <c r="B5834" t="str">
        <f t="shared" si="337"/>
        <v>1</v>
      </c>
      <c r="C5834" t="str">
        <f t="shared" ref="C5834:C5858" si="339">"257"</f>
        <v>257</v>
      </c>
      <c r="D5834" t="str">
        <f>"19"</f>
        <v>19</v>
      </c>
      <c r="E5834" t="str">
        <f>"1-257-19"</f>
        <v>1-257-19</v>
      </c>
      <c r="F5834" t="s">
        <v>83</v>
      </c>
      <c r="G5834" t="s">
        <v>84</v>
      </c>
      <c r="H5834" t="s">
        <v>92</v>
      </c>
      <c r="I5834">
        <v>1</v>
      </c>
      <c r="J5834">
        <v>1</v>
      </c>
      <c r="N5834">
        <v>1</v>
      </c>
      <c r="O5834">
        <v>1</v>
      </c>
      <c r="P5834">
        <v>1</v>
      </c>
      <c r="Q5834">
        <v>1</v>
      </c>
      <c r="R5834">
        <v>1</v>
      </c>
      <c r="S5834">
        <v>1</v>
      </c>
      <c r="T5834">
        <v>1</v>
      </c>
      <c r="W5834">
        <v>1</v>
      </c>
      <c r="X5834">
        <v>1</v>
      </c>
      <c r="Y5834">
        <v>1</v>
      </c>
      <c r="Z5834">
        <v>1</v>
      </c>
      <c r="AA5834">
        <v>1</v>
      </c>
      <c r="AB5834">
        <v>1</v>
      </c>
    </row>
    <row r="5835" spans="1:49" x14ac:dyDescent="0.25">
      <c r="A5835" t="str">
        <f>"5831"</f>
        <v>5831</v>
      </c>
      <c r="B5835" t="str">
        <f t="shared" si="337"/>
        <v>1</v>
      </c>
      <c r="C5835" t="str">
        <f t="shared" si="339"/>
        <v>257</v>
      </c>
      <c r="D5835" t="str">
        <f>"18"</f>
        <v>18</v>
      </c>
      <c r="E5835" t="str">
        <f>"1-257-18"</f>
        <v>1-257-18</v>
      </c>
      <c r="F5835" t="s">
        <v>83</v>
      </c>
      <c r="G5835" t="s">
        <v>84</v>
      </c>
      <c r="H5835" t="s">
        <v>92</v>
      </c>
      <c r="I5835">
        <v>1</v>
      </c>
      <c r="J5835">
        <v>1</v>
      </c>
      <c r="N5835">
        <v>1</v>
      </c>
      <c r="O5835">
        <v>1</v>
      </c>
      <c r="P5835">
        <v>1</v>
      </c>
      <c r="Q5835">
        <v>1</v>
      </c>
      <c r="R5835">
        <v>1</v>
      </c>
      <c r="S5835">
        <v>1</v>
      </c>
      <c r="T5835">
        <v>1</v>
      </c>
      <c r="W5835">
        <v>1</v>
      </c>
      <c r="X5835">
        <v>1</v>
      </c>
      <c r="Y5835">
        <v>1</v>
      </c>
      <c r="Z5835">
        <v>1</v>
      </c>
      <c r="AA5835">
        <v>1</v>
      </c>
      <c r="AB5835">
        <v>1</v>
      </c>
    </row>
    <row r="5836" spans="1:49" x14ac:dyDescent="0.25">
      <c r="A5836" t="str">
        <f>"5832"</f>
        <v>5832</v>
      </c>
      <c r="B5836" t="str">
        <f t="shared" si="337"/>
        <v>1</v>
      </c>
      <c r="C5836" t="str">
        <f t="shared" si="339"/>
        <v>257</v>
      </c>
      <c r="D5836" t="str">
        <f>"13"</f>
        <v>13</v>
      </c>
      <c r="E5836" t="str">
        <f>"1-257-13"</f>
        <v>1-257-13</v>
      </c>
      <c r="F5836" t="s">
        <v>83</v>
      </c>
      <c r="G5836" t="s">
        <v>84</v>
      </c>
      <c r="H5836" t="s">
        <v>92</v>
      </c>
      <c r="I5836">
        <v>1</v>
      </c>
      <c r="J5836">
        <v>1</v>
      </c>
      <c r="N5836">
        <v>1</v>
      </c>
      <c r="O5836">
        <v>1</v>
      </c>
      <c r="P5836">
        <v>1</v>
      </c>
      <c r="Q5836">
        <v>1</v>
      </c>
      <c r="R5836">
        <v>1</v>
      </c>
      <c r="S5836">
        <v>1</v>
      </c>
      <c r="T5836">
        <v>1</v>
      </c>
      <c r="W5836">
        <v>1</v>
      </c>
      <c r="X5836">
        <v>1</v>
      </c>
      <c r="Y5836">
        <v>1</v>
      </c>
      <c r="Z5836">
        <v>1</v>
      </c>
      <c r="AA5836">
        <v>1</v>
      </c>
      <c r="AB5836">
        <v>1</v>
      </c>
    </row>
    <row r="5837" spans="1:49" x14ac:dyDescent="0.25">
      <c r="A5837" t="str">
        <f>"5833"</f>
        <v>5833</v>
      </c>
      <c r="B5837" t="str">
        <f t="shared" si="337"/>
        <v>1</v>
      </c>
      <c r="C5837" t="str">
        <f t="shared" si="339"/>
        <v>257</v>
      </c>
      <c r="D5837" t="str">
        <f>"8"</f>
        <v>8</v>
      </c>
      <c r="E5837" t="str">
        <f>"1-257-8"</f>
        <v>1-257-8</v>
      </c>
      <c r="F5837" t="s">
        <v>83</v>
      </c>
      <c r="G5837" t="s">
        <v>86</v>
      </c>
      <c r="H5837" t="s">
        <v>87</v>
      </c>
      <c r="AC5837">
        <v>0</v>
      </c>
      <c r="AD5837">
        <v>1</v>
      </c>
      <c r="AE5837">
        <v>0</v>
      </c>
      <c r="AF5837">
        <v>0</v>
      </c>
      <c r="AH5837">
        <v>1</v>
      </c>
      <c r="AI5837">
        <v>0</v>
      </c>
      <c r="AJ5837">
        <v>0</v>
      </c>
      <c r="AK5837">
        <v>1</v>
      </c>
      <c r="AL5837">
        <v>0</v>
      </c>
      <c r="AM5837">
        <v>0</v>
      </c>
      <c r="AN5837">
        <v>1</v>
      </c>
      <c r="AO5837">
        <v>1</v>
      </c>
      <c r="AP5837">
        <v>1</v>
      </c>
      <c r="AQ5837">
        <v>1</v>
      </c>
      <c r="AU5837">
        <v>1</v>
      </c>
      <c r="AV5837">
        <v>1</v>
      </c>
      <c r="AW5837">
        <v>1</v>
      </c>
    </row>
    <row r="5838" spans="1:49" x14ac:dyDescent="0.25">
      <c r="A5838" t="str">
        <f>"5834"</f>
        <v>5834</v>
      </c>
      <c r="B5838" t="str">
        <f t="shared" si="337"/>
        <v>1</v>
      </c>
      <c r="C5838" t="str">
        <f t="shared" si="339"/>
        <v>257</v>
      </c>
      <c r="D5838" t="str">
        <f>"3"</f>
        <v>3</v>
      </c>
      <c r="E5838" t="str">
        <f>"1-257-3"</f>
        <v>1-257-3</v>
      </c>
      <c r="F5838" t="s">
        <v>83</v>
      </c>
      <c r="G5838" t="s">
        <v>86</v>
      </c>
      <c r="H5838" t="s">
        <v>93</v>
      </c>
      <c r="I5838">
        <v>1</v>
      </c>
      <c r="K5838">
        <v>0</v>
      </c>
      <c r="L5838">
        <v>0</v>
      </c>
      <c r="M5838">
        <v>1</v>
      </c>
      <c r="N5838">
        <v>1</v>
      </c>
      <c r="O5838">
        <v>1</v>
      </c>
      <c r="P5838">
        <v>1</v>
      </c>
      <c r="Q5838">
        <v>1</v>
      </c>
      <c r="R5838">
        <v>1</v>
      </c>
      <c r="U5838">
        <v>1</v>
      </c>
      <c r="V5838">
        <v>0</v>
      </c>
      <c r="W5838">
        <v>1</v>
      </c>
      <c r="X5838">
        <v>1</v>
      </c>
      <c r="Y5838">
        <v>1</v>
      </c>
      <c r="Z5838">
        <v>1</v>
      </c>
      <c r="AA5838">
        <v>1</v>
      </c>
      <c r="AB5838">
        <v>1</v>
      </c>
    </row>
    <row r="5839" spans="1:49" x14ac:dyDescent="0.25">
      <c r="A5839" t="str">
        <f>"5835"</f>
        <v>5835</v>
      </c>
      <c r="B5839" t="str">
        <f t="shared" si="337"/>
        <v>1</v>
      </c>
      <c r="C5839" t="str">
        <f t="shared" si="339"/>
        <v>257</v>
      </c>
      <c r="D5839" t="str">
        <f>"23"</f>
        <v>23</v>
      </c>
      <c r="E5839" t="str">
        <f>"1-257-23"</f>
        <v>1-257-23</v>
      </c>
      <c r="F5839" t="s">
        <v>83</v>
      </c>
      <c r="G5839" t="s">
        <v>84</v>
      </c>
      <c r="H5839" t="s">
        <v>85</v>
      </c>
      <c r="AC5839">
        <v>0</v>
      </c>
      <c r="AD5839">
        <v>1</v>
      </c>
      <c r="AE5839">
        <v>0</v>
      </c>
      <c r="AF5839">
        <v>0</v>
      </c>
      <c r="AG5839">
        <v>1</v>
      </c>
      <c r="AJ5839">
        <v>0</v>
      </c>
      <c r="AK5839">
        <v>1</v>
      </c>
      <c r="AL5839">
        <v>0</v>
      </c>
      <c r="AM5839">
        <v>1</v>
      </c>
      <c r="AN5839">
        <v>0</v>
      </c>
      <c r="AO5839">
        <v>1</v>
      </c>
      <c r="AP5839">
        <v>1</v>
      </c>
      <c r="AQ5839">
        <v>1</v>
      </c>
      <c r="AR5839">
        <v>1</v>
      </c>
      <c r="AS5839">
        <v>0</v>
      </c>
      <c r="AT5839">
        <v>1</v>
      </c>
      <c r="AV5839">
        <v>1</v>
      </c>
      <c r="AW5839">
        <v>1</v>
      </c>
    </row>
    <row r="5840" spans="1:49" x14ac:dyDescent="0.25">
      <c r="A5840" t="str">
        <f>"5836"</f>
        <v>5836</v>
      </c>
      <c r="B5840" t="str">
        <f t="shared" si="337"/>
        <v>1</v>
      </c>
      <c r="C5840" t="str">
        <f t="shared" si="339"/>
        <v>257</v>
      </c>
      <c r="D5840" t="str">
        <f>"22"</f>
        <v>22</v>
      </c>
      <c r="E5840" t="str">
        <f>"1-257-22"</f>
        <v>1-257-22</v>
      </c>
      <c r="F5840" t="s">
        <v>83</v>
      </c>
      <c r="G5840" t="s">
        <v>84</v>
      </c>
      <c r="H5840" t="s">
        <v>92</v>
      </c>
      <c r="I5840">
        <v>1</v>
      </c>
      <c r="J5840">
        <v>1</v>
      </c>
      <c r="N5840">
        <v>1</v>
      </c>
      <c r="O5840">
        <v>1</v>
      </c>
      <c r="P5840">
        <v>1</v>
      </c>
      <c r="Q5840">
        <v>1</v>
      </c>
      <c r="R5840">
        <v>1</v>
      </c>
      <c r="S5840">
        <v>1</v>
      </c>
      <c r="T5840">
        <v>1</v>
      </c>
      <c r="W5840">
        <v>1</v>
      </c>
      <c r="X5840">
        <v>1</v>
      </c>
      <c r="Y5840">
        <v>1</v>
      </c>
      <c r="Z5840">
        <v>1</v>
      </c>
      <c r="AA5840">
        <v>1</v>
      </c>
      <c r="AB5840">
        <v>1</v>
      </c>
    </row>
    <row r="5841" spans="1:49" x14ac:dyDescent="0.25">
      <c r="A5841" t="str">
        <f>"5837"</f>
        <v>5837</v>
      </c>
      <c r="B5841" t="str">
        <f t="shared" si="337"/>
        <v>1</v>
      </c>
      <c r="C5841" t="str">
        <f t="shared" si="339"/>
        <v>257</v>
      </c>
      <c r="D5841" t="str">
        <f>"9"</f>
        <v>9</v>
      </c>
      <c r="E5841" t="str">
        <f>"1-257-9"</f>
        <v>1-257-9</v>
      </c>
      <c r="F5841" t="s">
        <v>83</v>
      </c>
      <c r="G5841" t="s">
        <v>86</v>
      </c>
      <c r="H5841" t="s">
        <v>87</v>
      </c>
      <c r="AC5841">
        <v>1</v>
      </c>
      <c r="AD5841">
        <v>0</v>
      </c>
      <c r="AE5841">
        <v>0</v>
      </c>
      <c r="AF5841">
        <v>0</v>
      </c>
      <c r="AH5841">
        <v>1</v>
      </c>
      <c r="AI5841">
        <v>0</v>
      </c>
      <c r="AJ5841">
        <v>1</v>
      </c>
      <c r="AK5841">
        <v>0</v>
      </c>
      <c r="AL5841">
        <v>1</v>
      </c>
      <c r="AM5841">
        <v>0</v>
      </c>
      <c r="AN5841">
        <v>0</v>
      </c>
      <c r="AO5841">
        <v>1</v>
      </c>
      <c r="AP5841">
        <v>1</v>
      </c>
      <c r="AQ5841">
        <v>1</v>
      </c>
      <c r="AU5841">
        <v>1</v>
      </c>
      <c r="AV5841">
        <v>1</v>
      </c>
      <c r="AW5841">
        <v>1</v>
      </c>
    </row>
    <row r="5842" spans="1:49" x14ac:dyDescent="0.25">
      <c r="A5842" t="str">
        <f>"5838"</f>
        <v>5838</v>
      </c>
      <c r="B5842" t="str">
        <f t="shared" si="337"/>
        <v>1</v>
      </c>
      <c r="C5842" t="str">
        <f t="shared" si="339"/>
        <v>257</v>
      </c>
      <c r="D5842" t="str">
        <f>"6"</f>
        <v>6</v>
      </c>
      <c r="E5842" t="str">
        <f>"1-257-6"</f>
        <v>1-257-6</v>
      </c>
      <c r="F5842" t="s">
        <v>83</v>
      </c>
      <c r="G5842" t="s">
        <v>86</v>
      </c>
      <c r="H5842" t="s">
        <v>93</v>
      </c>
      <c r="I5842">
        <v>1</v>
      </c>
      <c r="K5842">
        <v>1</v>
      </c>
      <c r="L5842">
        <v>0</v>
      </c>
      <c r="M5842">
        <v>0</v>
      </c>
      <c r="N5842">
        <v>1</v>
      </c>
      <c r="O5842">
        <v>1</v>
      </c>
      <c r="P5842">
        <v>1</v>
      </c>
      <c r="Q5842">
        <v>1</v>
      </c>
      <c r="R5842">
        <v>1</v>
      </c>
      <c r="U5842">
        <v>0</v>
      </c>
      <c r="V5842">
        <v>1</v>
      </c>
      <c r="W5842">
        <v>1</v>
      </c>
      <c r="X5842">
        <v>1</v>
      </c>
      <c r="Y5842">
        <v>1</v>
      </c>
      <c r="Z5842">
        <v>1</v>
      </c>
      <c r="AA5842">
        <v>1</v>
      </c>
      <c r="AB5842">
        <v>1</v>
      </c>
    </row>
    <row r="5843" spans="1:49" x14ac:dyDescent="0.25">
      <c r="A5843" t="str">
        <f>"5839"</f>
        <v>5839</v>
      </c>
      <c r="B5843" t="str">
        <f t="shared" si="337"/>
        <v>1</v>
      </c>
      <c r="C5843" t="str">
        <f t="shared" si="339"/>
        <v>257</v>
      </c>
      <c r="D5843" t="str">
        <f>"25"</f>
        <v>25</v>
      </c>
      <c r="E5843" t="str">
        <f>"1-257-25"</f>
        <v>1-257-25</v>
      </c>
      <c r="F5843" t="s">
        <v>83</v>
      </c>
      <c r="G5843" t="s">
        <v>84</v>
      </c>
      <c r="H5843" t="s">
        <v>85</v>
      </c>
      <c r="AC5843">
        <v>1</v>
      </c>
      <c r="AD5843">
        <v>0</v>
      </c>
      <c r="AE5843">
        <v>0</v>
      </c>
      <c r="AF5843">
        <v>0</v>
      </c>
      <c r="AG5843">
        <v>1</v>
      </c>
      <c r="AJ5843">
        <v>0</v>
      </c>
      <c r="AK5843">
        <v>1</v>
      </c>
      <c r="AL5843">
        <v>0</v>
      </c>
      <c r="AM5843">
        <v>0</v>
      </c>
      <c r="AN5843">
        <v>1</v>
      </c>
      <c r="AO5843">
        <v>1</v>
      </c>
      <c r="AP5843">
        <v>1</v>
      </c>
      <c r="AQ5843">
        <v>1</v>
      </c>
      <c r="AR5843">
        <v>1</v>
      </c>
      <c r="AS5843">
        <v>1</v>
      </c>
      <c r="AT5843">
        <v>0</v>
      </c>
      <c r="AV5843">
        <v>1</v>
      </c>
      <c r="AW5843">
        <v>1</v>
      </c>
    </row>
    <row r="5844" spans="1:49" x14ac:dyDescent="0.25">
      <c r="A5844" t="str">
        <f>"5840"</f>
        <v>5840</v>
      </c>
      <c r="B5844" t="str">
        <f t="shared" si="337"/>
        <v>1</v>
      </c>
      <c r="C5844" t="str">
        <f t="shared" si="339"/>
        <v>257</v>
      </c>
      <c r="D5844" t="str">
        <f>"24"</f>
        <v>24</v>
      </c>
      <c r="E5844" t="str">
        <f>"1-257-24"</f>
        <v>1-257-24</v>
      </c>
      <c r="F5844" t="s">
        <v>83</v>
      </c>
      <c r="G5844" t="s">
        <v>84</v>
      </c>
      <c r="H5844" t="s">
        <v>92</v>
      </c>
      <c r="I5844">
        <v>1</v>
      </c>
      <c r="J5844">
        <v>1</v>
      </c>
      <c r="N5844">
        <v>1</v>
      </c>
      <c r="O5844">
        <v>1</v>
      </c>
      <c r="P5844">
        <v>1</v>
      </c>
      <c r="Q5844">
        <v>1</v>
      </c>
      <c r="R5844">
        <v>1</v>
      </c>
      <c r="S5844">
        <v>1</v>
      </c>
      <c r="T5844">
        <v>1</v>
      </c>
      <c r="W5844">
        <v>1</v>
      </c>
      <c r="X5844">
        <v>1</v>
      </c>
      <c r="Y5844">
        <v>1</v>
      </c>
      <c r="Z5844">
        <v>1</v>
      </c>
      <c r="AA5844">
        <v>1</v>
      </c>
      <c r="AB5844">
        <v>1</v>
      </c>
    </row>
    <row r="5845" spans="1:49" x14ac:dyDescent="0.25">
      <c r="A5845" t="str">
        <f>"5841"</f>
        <v>5841</v>
      </c>
      <c r="B5845" t="str">
        <f t="shared" si="337"/>
        <v>1</v>
      </c>
      <c r="C5845" t="str">
        <f t="shared" si="339"/>
        <v>257</v>
      </c>
      <c r="D5845" t="str">
        <f>"10"</f>
        <v>10</v>
      </c>
      <c r="E5845" t="str">
        <f>"1-257-10"</f>
        <v>1-257-10</v>
      </c>
      <c r="F5845" t="s">
        <v>83</v>
      </c>
      <c r="G5845" t="s">
        <v>86</v>
      </c>
      <c r="H5845" t="s">
        <v>87</v>
      </c>
      <c r="AC5845">
        <v>0</v>
      </c>
      <c r="AD5845">
        <v>1</v>
      </c>
      <c r="AE5845">
        <v>0</v>
      </c>
      <c r="AF5845">
        <v>0</v>
      </c>
      <c r="AH5845">
        <v>0</v>
      </c>
      <c r="AI5845">
        <v>1</v>
      </c>
      <c r="AJ5845">
        <v>0</v>
      </c>
      <c r="AK5845">
        <v>1</v>
      </c>
      <c r="AL5845">
        <v>0</v>
      </c>
      <c r="AM5845">
        <v>0</v>
      </c>
      <c r="AN5845">
        <v>1</v>
      </c>
      <c r="AO5845">
        <v>1</v>
      </c>
      <c r="AP5845">
        <v>1</v>
      </c>
      <c r="AQ5845">
        <v>1</v>
      </c>
      <c r="AU5845">
        <v>1</v>
      </c>
      <c r="AV5845">
        <v>1</v>
      </c>
      <c r="AW5845">
        <v>1</v>
      </c>
    </row>
    <row r="5846" spans="1:49" x14ac:dyDescent="0.25">
      <c r="A5846" t="str">
        <f>"5842"</f>
        <v>5842</v>
      </c>
      <c r="B5846" t="str">
        <f t="shared" si="337"/>
        <v>1</v>
      </c>
      <c r="C5846" t="str">
        <f t="shared" si="339"/>
        <v>257</v>
      </c>
      <c r="D5846" t="str">
        <f>"2"</f>
        <v>2</v>
      </c>
      <c r="E5846" t="str">
        <f>"1-257-2"</f>
        <v>1-257-2</v>
      </c>
      <c r="F5846" t="s">
        <v>83</v>
      </c>
      <c r="G5846" t="s">
        <v>86</v>
      </c>
      <c r="H5846" t="s">
        <v>93</v>
      </c>
      <c r="I5846">
        <v>1</v>
      </c>
      <c r="K5846">
        <v>0</v>
      </c>
      <c r="L5846">
        <v>0</v>
      </c>
      <c r="M5846">
        <v>1</v>
      </c>
      <c r="N5846">
        <v>1</v>
      </c>
      <c r="O5846">
        <v>1</v>
      </c>
      <c r="P5846">
        <v>1</v>
      </c>
      <c r="Q5846">
        <v>1</v>
      </c>
      <c r="R5846">
        <v>1</v>
      </c>
      <c r="U5846">
        <v>1</v>
      </c>
      <c r="V5846">
        <v>0</v>
      </c>
      <c r="W5846">
        <v>1</v>
      </c>
      <c r="X5846">
        <v>1</v>
      </c>
      <c r="Y5846">
        <v>1</v>
      </c>
      <c r="Z5846">
        <v>1</v>
      </c>
      <c r="AA5846">
        <v>1</v>
      </c>
      <c r="AB5846">
        <v>1</v>
      </c>
    </row>
    <row r="5847" spans="1:49" x14ac:dyDescent="0.25">
      <c r="A5847" t="str">
        <f>"5843"</f>
        <v>5843</v>
      </c>
      <c r="B5847" t="str">
        <f t="shared" si="337"/>
        <v>1</v>
      </c>
      <c r="C5847" t="str">
        <f t="shared" si="339"/>
        <v>257</v>
      </c>
      <c r="D5847" t="str">
        <f>"17"</f>
        <v>17</v>
      </c>
      <c r="E5847" t="str">
        <f>"1-257-17"</f>
        <v>1-257-17</v>
      </c>
      <c r="F5847" t="s">
        <v>83</v>
      </c>
      <c r="G5847" t="s">
        <v>84</v>
      </c>
      <c r="H5847" t="s">
        <v>92</v>
      </c>
      <c r="I5847">
        <v>1</v>
      </c>
      <c r="J5847">
        <v>1</v>
      </c>
      <c r="N5847">
        <v>1</v>
      </c>
      <c r="O5847">
        <v>1</v>
      </c>
      <c r="P5847">
        <v>1</v>
      </c>
      <c r="Q5847">
        <v>1</v>
      </c>
      <c r="R5847">
        <v>1</v>
      </c>
      <c r="S5847">
        <v>1</v>
      </c>
      <c r="T5847">
        <v>1</v>
      </c>
      <c r="W5847">
        <v>1</v>
      </c>
      <c r="X5847">
        <v>1</v>
      </c>
      <c r="Y5847">
        <v>1</v>
      </c>
      <c r="Z5847">
        <v>1</v>
      </c>
      <c r="AA5847">
        <v>1</v>
      </c>
      <c r="AB5847">
        <v>1</v>
      </c>
    </row>
    <row r="5848" spans="1:49" x14ac:dyDescent="0.25">
      <c r="A5848" t="str">
        <f>"5844"</f>
        <v>5844</v>
      </c>
      <c r="B5848" t="str">
        <f t="shared" si="337"/>
        <v>1</v>
      </c>
      <c r="C5848" t="str">
        <f t="shared" si="339"/>
        <v>257</v>
      </c>
      <c r="D5848" t="str">
        <f>"11"</f>
        <v>11</v>
      </c>
      <c r="E5848" t="str">
        <f>"1-257-11"</f>
        <v>1-257-11</v>
      </c>
      <c r="F5848" t="s">
        <v>83</v>
      </c>
      <c r="G5848" t="s">
        <v>84</v>
      </c>
      <c r="H5848" t="s">
        <v>85</v>
      </c>
      <c r="AC5848">
        <v>1</v>
      </c>
      <c r="AD5848">
        <v>0</v>
      </c>
      <c r="AE5848">
        <v>0</v>
      </c>
      <c r="AF5848">
        <v>0</v>
      </c>
      <c r="AG5848">
        <v>1</v>
      </c>
      <c r="AJ5848">
        <v>0</v>
      </c>
      <c r="AK5848">
        <v>1</v>
      </c>
      <c r="AL5848">
        <v>1</v>
      </c>
      <c r="AM5848">
        <v>0</v>
      </c>
      <c r="AN5848">
        <v>0</v>
      </c>
      <c r="AO5848">
        <v>1</v>
      </c>
      <c r="AP5848">
        <v>1</v>
      </c>
      <c r="AQ5848">
        <v>1</v>
      </c>
      <c r="AR5848">
        <v>1</v>
      </c>
      <c r="AS5848">
        <v>1</v>
      </c>
      <c r="AT5848">
        <v>0</v>
      </c>
      <c r="AV5848">
        <v>1</v>
      </c>
      <c r="AW5848">
        <v>1</v>
      </c>
    </row>
    <row r="5849" spans="1:49" x14ac:dyDescent="0.25">
      <c r="A5849" t="str">
        <f>"5845"</f>
        <v>5845</v>
      </c>
      <c r="B5849" t="str">
        <f t="shared" si="337"/>
        <v>1</v>
      </c>
      <c r="C5849" t="str">
        <f t="shared" si="339"/>
        <v>257</v>
      </c>
      <c r="D5849" t="str">
        <f>"1"</f>
        <v>1</v>
      </c>
      <c r="E5849" t="str">
        <f>"1-257-1"</f>
        <v>1-257-1</v>
      </c>
      <c r="F5849" t="s">
        <v>83</v>
      </c>
      <c r="G5849" t="s">
        <v>84</v>
      </c>
      <c r="H5849" t="s">
        <v>85</v>
      </c>
      <c r="AC5849">
        <v>0</v>
      </c>
      <c r="AD5849">
        <v>1</v>
      </c>
      <c r="AE5849">
        <v>0</v>
      </c>
      <c r="AF5849">
        <v>0</v>
      </c>
      <c r="AG5849">
        <v>0</v>
      </c>
      <c r="AJ5849">
        <v>1</v>
      </c>
      <c r="AK5849">
        <v>0</v>
      </c>
      <c r="AL5849">
        <v>0</v>
      </c>
      <c r="AM5849">
        <v>0</v>
      </c>
      <c r="AN5849">
        <v>1</v>
      </c>
      <c r="AO5849">
        <v>0</v>
      </c>
      <c r="AP5849">
        <v>0</v>
      </c>
      <c r="AQ5849">
        <v>0</v>
      </c>
      <c r="AR5849">
        <v>0</v>
      </c>
      <c r="AS5849">
        <v>0</v>
      </c>
      <c r="AT5849">
        <v>1</v>
      </c>
      <c r="AV5849">
        <v>0</v>
      </c>
      <c r="AW5849">
        <v>1</v>
      </c>
    </row>
    <row r="5850" spans="1:49" x14ac:dyDescent="0.25">
      <c r="A5850" t="str">
        <f>"5846"</f>
        <v>5846</v>
      </c>
      <c r="B5850" t="str">
        <f t="shared" si="337"/>
        <v>1</v>
      </c>
      <c r="C5850" t="str">
        <f t="shared" si="339"/>
        <v>257</v>
      </c>
      <c r="D5850" t="str">
        <f>"16"</f>
        <v>16</v>
      </c>
      <c r="E5850" t="str">
        <f>"1-257-16"</f>
        <v>1-257-16</v>
      </c>
      <c r="F5850" t="s">
        <v>83</v>
      </c>
      <c r="G5850" t="s">
        <v>84</v>
      </c>
      <c r="H5850" t="s">
        <v>92</v>
      </c>
      <c r="I5850">
        <v>1</v>
      </c>
      <c r="J5850">
        <v>1</v>
      </c>
      <c r="N5850">
        <v>1</v>
      </c>
      <c r="O5850">
        <v>1</v>
      </c>
      <c r="P5850">
        <v>1</v>
      </c>
      <c r="Q5850">
        <v>1</v>
      </c>
      <c r="R5850">
        <v>1</v>
      </c>
      <c r="S5850">
        <v>1</v>
      </c>
      <c r="T5850">
        <v>1</v>
      </c>
      <c r="W5850">
        <v>1</v>
      </c>
      <c r="X5850">
        <v>1</v>
      </c>
      <c r="Y5850">
        <v>1</v>
      </c>
      <c r="Z5850">
        <v>1</v>
      </c>
      <c r="AA5850">
        <v>1</v>
      </c>
      <c r="AB5850">
        <v>1</v>
      </c>
    </row>
    <row r="5851" spans="1:49" x14ac:dyDescent="0.25">
      <c r="A5851" t="str">
        <f>"5847"</f>
        <v>5847</v>
      </c>
      <c r="B5851" t="str">
        <f t="shared" si="337"/>
        <v>1</v>
      </c>
      <c r="C5851" t="str">
        <f t="shared" si="339"/>
        <v>257</v>
      </c>
      <c r="D5851" t="str">
        <f>"12"</f>
        <v>12</v>
      </c>
      <c r="E5851" t="str">
        <f>"1-257-12"</f>
        <v>1-257-12</v>
      </c>
      <c r="F5851" t="s">
        <v>83</v>
      </c>
      <c r="G5851" t="s">
        <v>84</v>
      </c>
      <c r="H5851" t="s">
        <v>85</v>
      </c>
      <c r="AC5851">
        <v>0</v>
      </c>
      <c r="AD5851">
        <v>1</v>
      </c>
      <c r="AE5851">
        <v>0</v>
      </c>
      <c r="AF5851">
        <v>0</v>
      </c>
      <c r="AG5851">
        <v>1</v>
      </c>
      <c r="AJ5851">
        <v>0</v>
      </c>
      <c r="AK5851">
        <v>1</v>
      </c>
      <c r="AL5851">
        <v>0</v>
      </c>
      <c r="AM5851">
        <v>0</v>
      </c>
      <c r="AN5851">
        <v>1</v>
      </c>
      <c r="AO5851">
        <v>1</v>
      </c>
      <c r="AP5851">
        <v>1</v>
      </c>
      <c r="AQ5851">
        <v>1</v>
      </c>
      <c r="AR5851">
        <v>1</v>
      </c>
      <c r="AS5851">
        <v>0</v>
      </c>
      <c r="AT5851">
        <v>1</v>
      </c>
      <c r="AV5851">
        <v>1</v>
      </c>
      <c r="AW5851">
        <v>1</v>
      </c>
    </row>
    <row r="5852" spans="1:49" x14ac:dyDescent="0.25">
      <c r="A5852" t="str">
        <f>"5848"</f>
        <v>5848</v>
      </c>
      <c r="B5852" t="str">
        <f t="shared" si="337"/>
        <v>1</v>
      </c>
      <c r="C5852" t="str">
        <f t="shared" si="339"/>
        <v>257</v>
      </c>
      <c r="D5852" t="str">
        <f>"5"</f>
        <v>5</v>
      </c>
      <c r="E5852" t="str">
        <f>"1-257-5"</f>
        <v>1-257-5</v>
      </c>
      <c r="F5852" t="s">
        <v>83</v>
      </c>
      <c r="G5852" t="s">
        <v>86</v>
      </c>
      <c r="H5852" t="s">
        <v>87</v>
      </c>
      <c r="AC5852">
        <v>0</v>
      </c>
      <c r="AD5852">
        <v>1</v>
      </c>
      <c r="AE5852">
        <v>0</v>
      </c>
      <c r="AF5852">
        <v>0</v>
      </c>
      <c r="AH5852">
        <v>1</v>
      </c>
      <c r="AI5852">
        <v>0</v>
      </c>
      <c r="AJ5852">
        <v>0</v>
      </c>
      <c r="AK5852">
        <v>1</v>
      </c>
      <c r="AL5852">
        <v>0</v>
      </c>
      <c r="AM5852">
        <v>0</v>
      </c>
      <c r="AN5852">
        <v>1</v>
      </c>
      <c r="AO5852">
        <v>1</v>
      </c>
      <c r="AP5852">
        <v>1</v>
      </c>
      <c r="AQ5852">
        <v>1</v>
      </c>
      <c r="AU5852">
        <v>1</v>
      </c>
      <c r="AV5852">
        <v>1</v>
      </c>
      <c r="AW5852">
        <v>1</v>
      </c>
    </row>
    <row r="5853" spans="1:49" x14ac:dyDescent="0.25">
      <c r="A5853" t="str">
        <f>"5849"</f>
        <v>5849</v>
      </c>
      <c r="B5853" t="str">
        <f t="shared" si="337"/>
        <v>1</v>
      </c>
      <c r="C5853" t="str">
        <f t="shared" si="339"/>
        <v>257</v>
      </c>
      <c r="D5853" t="str">
        <f>"20"</f>
        <v>20</v>
      </c>
      <c r="E5853" t="str">
        <f>"1-257-20"</f>
        <v>1-257-20</v>
      </c>
      <c r="F5853" t="s">
        <v>83</v>
      </c>
      <c r="G5853" t="s">
        <v>84</v>
      </c>
      <c r="H5853" t="s">
        <v>92</v>
      </c>
      <c r="I5853">
        <v>1</v>
      </c>
      <c r="J5853">
        <v>1</v>
      </c>
      <c r="N5853">
        <v>1</v>
      </c>
      <c r="O5853">
        <v>1</v>
      </c>
      <c r="P5853">
        <v>1</v>
      </c>
      <c r="Q5853">
        <v>1</v>
      </c>
      <c r="R5853">
        <v>1</v>
      </c>
      <c r="S5853">
        <v>1</v>
      </c>
      <c r="T5853">
        <v>1</v>
      </c>
      <c r="W5853">
        <v>1</v>
      </c>
      <c r="X5853">
        <v>1</v>
      </c>
      <c r="Y5853">
        <v>1</v>
      </c>
      <c r="Z5853">
        <v>1</v>
      </c>
      <c r="AA5853">
        <v>1</v>
      </c>
      <c r="AB5853">
        <v>1</v>
      </c>
    </row>
    <row r="5854" spans="1:49" x14ac:dyDescent="0.25">
      <c r="A5854" t="str">
        <f>"5850"</f>
        <v>5850</v>
      </c>
      <c r="B5854" t="str">
        <f t="shared" ref="B5854:B5917" si="340">"1"</f>
        <v>1</v>
      </c>
      <c r="C5854" t="str">
        <f t="shared" si="339"/>
        <v>257</v>
      </c>
      <c r="D5854" t="str">
        <f>"4"</f>
        <v>4</v>
      </c>
      <c r="E5854" t="str">
        <f>"1-257-4"</f>
        <v>1-257-4</v>
      </c>
      <c r="F5854" t="s">
        <v>83</v>
      </c>
      <c r="G5854" t="s">
        <v>86</v>
      </c>
      <c r="H5854" t="s">
        <v>87</v>
      </c>
      <c r="AC5854">
        <v>0</v>
      </c>
      <c r="AD5854">
        <v>1</v>
      </c>
      <c r="AE5854">
        <v>0</v>
      </c>
      <c r="AF5854">
        <v>0</v>
      </c>
      <c r="AH5854">
        <v>0</v>
      </c>
      <c r="AI5854">
        <v>1</v>
      </c>
      <c r="AJ5854">
        <v>0</v>
      </c>
      <c r="AK5854">
        <v>1</v>
      </c>
      <c r="AL5854">
        <v>0</v>
      </c>
      <c r="AM5854">
        <v>1</v>
      </c>
      <c r="AN5854">
        <v>0</v>
      </c>
      <c r="AO5854">
        <v>0</v>
      </c>
      <c r="AP5854">
        <v>0</v>
      </c>
      <c r="AQ5854">
        <v>0</v>
      </c>
      <c r="AU5854">
        <v>1</v>
      </c>
      <c r="AV5854">
        <v>0</v>
      </c>
      <c r="AW5854">
        <v>1</v>
      </c>
    </row>
    <row r="5855" spans="1:49" x14ac:dyDescent="0.25">
      <c r="A5855" t="str">
        <f>"5851"</f>
        <v>5851</v>
      </c>
      <c r="B5855" t="str">
        <f t="shared" si="340"/>
        <v>1</v>
      </c>
      <c r="C5855" t="str">
        <f t="shared" si="339"/>
        <v>257</v>
      </c>
      <c r="D5855" t="str">
        <f>"21"</f>
        <v>21</v>
      </c>
      <c r="E5855" t="str">
        <f>"1-257-21"</f>
        <v>1-257-21</v>
      </c>
      <c r="F5855" t="s">
        <v>83</v>
      </c>
      <c r="G5855" t="s">
        <v>84</v>
      </c>
      <c r="H5855" t="s">
        <v>85</v>
      </c>
      <c r="AC5855">
        <v>0</v>
      </c>
      <c r="AD5855">
        <v>0</v>
      </c>
      <c r="AE5855">
        <v>0</v>
      </c>
      <c r="AF5855">
        <v>0</v>
      </c>
      <c r="AG5855">
        <v>0</v>
      </c>
      <c r="AJ5855">
        <v>0</v>
      </c>
      <c r="AK5855">
        <v>1</v>
      </c>
      <c r="AL5855">
        <v>0</v>
      </c>
      <c r="AM5855">
        <v>0</v>
      </c>
      <c r="AN5855">
        <v>0</v>
      </c>
      <c r="AO5855">
        <v>0</v>
      </c>
      <c r="AP5855">
        <v>0</v>
      </c>
      <c r="AQ5855">
        <v>0</v>
      </c>
      <c r="AR5855">
        <v>0</v>
      </c>
      <c r="AS5855">
        <v>0</v>
      </c>
      <c r="AT5855">
        <v>0</v>
      </c>
      <c r="AV5855">
        <v>0</v>
      </c>
      <c r="AW5855">
        <v>0</v>
      </c>
    </row>
    <row r="5856" spans="1:49" x14ac:dyDescent="0.25">
      <c r="A5856" t="str">
        <f>"5852"</f>
        <v>5852</v>
      </c>
      <c r="B5856" t="str">
        <f t="shared" si="340"/>
        <v>1</v>
      </c>
      <c r="C5856" t="str">
        <f t="shared" si="339"/>
        <v>257</v>
      </c>
      <c r="D5856" t="str">
        <f>"7"</f>
        <v>7</v>
      </c>
      <c r="E5856" t="str">
        <f>"1-257-7"</f>
        <v>1-257-7</v>
      </c>
      <c r="F5856" t="s">
        <v>83</v>
      </c>
      <c r="G5856" t="s">
        <v>86</v>
      </c>
      <c r="H5856" t="s">
        <v>87</v>
      </c>
      <c r="AC5856">
        <v>0</v>
      </c>
      <c r="AD5856">
        <v>0</v>
      </c>
      <c r="AE5856">
        <v>0</v>
      </c>
      <c r="AF5856">
        <v>0</v>
      </c>
      <c r="AH5856">
        <v>0</v>
      </c>
      <c r="AI5856">
        <v>1</v>
      </c>
      <c r="AJ5856">
        <v>0</v>
      </c>
      <c r="AK5856">
        <v>0</v>
      </c>
      <c r="AL5856">
        <v>0</v>
      </c>
      <c r="AM5856">
        <v>0</v>
      </c>
      <c r="AN5856">
        <v>0</v>
      </c>
      <c r="AO5856">
        <v>0</v>
      </c>
      <c r="AP5856">
        <v>0</v>
      </c>
      <c r="AQ5856">
        <v>0</v>
      </c>
      <c r="AU5856">
        <v>0</v>
      </c>
      <c r="AV5856">
        <v>0</v>
      </c>
      <c r="AW5856">
        <v>0</v>
      </c>
    </row>
    <row r="5857" spans="1:49" x14ac:dyDescent="0.25">
      <c r="A5857" t="str">
        <f>"5853"</f>
        <v>5853</v>
      </c>
      <c r="B5857" t="str">
        <f t="shared" si="340"/>
        <v>1</v>
      </c>
      <c r="C5857" t="str">
        <f t="shared" si="339"/>
        <v>257</v>
      </c>
      <c r="D5857" t="str">
        <f>"14"</f>
        <v>14</v>
      </c>
      <c r="E5857" t="str">
        <f>"1-257-14"</f>
        <v>1-257-14</v>
      </c>
      <c r="F5857" t="s">
        <v>83</v>
      </c>
      <c r="G5857" t="s">
        <v>84</v>
      </c>
      <c r="H5857" t="s">
        <v>85</v>
      </c>
      <c r="AC5857">
        <v>0</v>
      </c>
      <c r="AD5857">
        <v>0</v>
      </c>
      <c r="AE5857">
        <v>0</v>
      </c>
      <c r="AF5857">
        <v>0</v>
      </c>
      <c r="AG5857">
        <v>0</v>
      </c>
      <c r="AJ5857">
        <v>0</v>
      </c>
      <c r="AK5857">
        <v>1</v>
      </c>
      <c r="AL5857">
        <v>0</v>
      </c>
      <c r="AM5857">
        <v>0</v>
      </c>
      <c r="AN5857">
        <v>1</v>
      </c>
      <c r="AO5857">
        <v>0</v>
      </c>
      <c r="AP5857">
        <v>0</v>
      </c>
      <c r="AQ5857">
        <v>0</v>
      </c>
      <c r="AR5857">
        <v>0</v>
      </c>
      <c r="AS5857">
        <v>1</v>
      </c>
      <c r="AT5857">
        <v>0</v>
      </c>
      <c r="AV5857">
        <v>0</v>
      </c>
      <c r="AW5857">
        <v>0</v>
      </c>
    </row>
    <row r="5858" spans="1:49" x14ac:dyDescent="0.25">
      <c r="A5858" t="str">
        <f>"5854"</f>
        <v>5854</v>
      </c>
      <c r="B5858" t="str">
        <f t="shared" si="340"/>
        <v>1</v>
      </c>
      <c r="C5858" t="str">
        <f t="shared" si="339"/>
        <v>257</v>
      </c>
      <c r="D5858" t="str">
        <f>"15"</f>
        <v>15</v>
      </c>
      <c r="E5858" t="str">
        <f>"1-257-15"</f>
        <v>1-257-15</v>
      </c>
      <c r="F5858" t="s">
        <v>83</v>
      </c>
      <c r="G5858" t="s">
        <v>84</v>
      </c>
      <c r="H5858" t="s">
        <v>85</v>
      </c>
      <c r="AC5858">
        <v>0</v>
      </c>
      <c r="AD5858">
        <v>0</v>
      </c>
      <c r="AE5858">
        <v>0</v>
      </c>
      <c r="AF5858">
        <v>0</v>
      </c>
      <c r="AG5858">
        <v>0</v>
      </c>
      <c r="AJ5858">
        <v>0</v>
      </c>
      <c r="AK5858">
        <v>1</v>
      </c>
      <c r="AL5858">
        <v>0</v>
      </c>
      <c r="AM5858">
        <v>0</v>
      </c>
      <c r="AN5858">
        <v>1</v>
      </c>
      <c r="AO5858">
        <v>0</v>
      </c>
      <c r="AP5858">
        <v>0</v>
      </c>
      <c r="AQ5858">
        <v>0</v>
      </c>
      <c r="AR5858">
        <v>0</v>
      </c>
      <c r="AS5858">
        <v>1</v>
      </c>
      <c r="AT5858">
        <v>0</v>
      </c>
      <c r="AV5858">
        <v>0</v>
      </c>
      <c r="AW5858">
        <v>0</v>
      </c>
    </row>
    <row r="5859" spans="1:49" x14ac:dyDescent="0.25">
      <c r="A5859" t="str">
        <f>"5855"</f>
        <v>5855</v>
      </c>
      <c r="B5859" t="str">
        <f t="shared" si="340"/>
        <v>1</v>
      </c>
      <c r="C5859" t="str">
        <f t="shared" ref="C5859:C5881" si="341">"258"</f>
        <v>258</v>
      </c>
      <c r="D5859" t="str">
        <f>"21"</f>
        <v>21</v>
      </c>
      <c r="E5859" t="str">
        <f>"1-258-21"</f>
        <v>1-258-21</v>
      </c>
      <c r="F5859" t="s">
        <v>83</v>
      </c>
      <c r="G5859" t="s">
        <v>84</v>
      </c>
      <c r="H5859" t="s">
        <v>85</v>
      </c>
      <c r="AC5859">
        <v>0</v>
      </c>
      <c r="AD5859">
        <v>1</v>
      </c>
      <c r="AE5859">
        <v>0</v>
      </c>
      <c r="AF5859">
        <v>0</v>
      </c>
      <c r="AG5859">
        <v>0</v>
      </c>
      <c r="AJ5859">
        <v>0</v>
      </c>
      <c r="AK5859">
        <v>1</v>
      </c>
      <c r="AL5859">
        <v>0</v>
      </c>
      <c r="AM5859">
        <v>0</v>
      </c>
      <c r="AN5859">
        <v>1</v>
      </c>
      <c r="AO5859">
        <v>0</v>
      </c>
      <c r="AP5859">
        <v>0</v>
      </c>
      <c r="AQ5859">
        <v>0</v>
      </c>
      <c r="AR5859">
        <v>0</v>
      </c>
      <c r="AS5859">
        <v>0</v>
      </c>
      <c r="AT5859">
        <v>1</v>
      </c>
      <c r="AV5859">
        <v>0</v>
      </c>
      <c r="AW5859">
        <v>0</v>
      </c>
    </row>
    <row r="5860" spans="1:49" x14ac:dyDescent="0.25">
      <c r="A5860" t="str">
        <f>"5856"</f>
        <v>5856</v>
      </c>
      <c r="B5860" t="str">
        <f t="shared" si="340"/>
        <v>1</v>
      </c>
      <c r="C5860" t="str">
        <f t="shared" si="341"/>
        <v>258</v>
      </c>
      <c r="D5860" t="str">
        <f>"20"</f>
        <v>20</v>
      </c>
      <c r="E5860" t="str">
        <f>"1-258-20"</f>
        <v>1-258-20</v>
      </c>
      <c r="F5860" t="s">
        <v>83</v>
      </c>
      <c r="G5860" t="s">
        <v>84</v>
      </c>
      <c r="H5860" t="s">
        <v>92</v>
      </c>
      <c r="I5860">
        <v>1</v>
      </c>
      <c r="J5860">
        <v>1</v>
      </c>
      <c r="N5860">
        <v>1</v>
      </c>
      <c r="O5860">
        <v>1</v>
      </c>
      <c r="P5860">
        <v>1</v>
      </c>
      <c r="Q5860">
        <v>1</v>
      </c>
      <c r="R5860">
        <v>1</v>
      </c>
      <c r="S5860">
        <v>1</v>
      </c>
      <c r="T5860">
        <v>1</v>
      </c>
      <c r="W5860">
        <v>1</v>
      </c>
      <c r="X5860">
        <v>1</v>
      </c>
      <c r="Y5860">
        <v>1</v>
      </c>
      <c r="Z5860">
        <v>1</v>
      </c>
      <c r="AA5860">
        <v>1</v>
      </c>
      <c r="AB5860">
        <v>1</v>
      </c>
    </row>
    <row r="5861" spans="1:49" x14ac:dyDescent="0.25">
      <c r="A5861" t="str">
        <f>"5857"</f>
        <v>5857</v>
      </c>
      <c r="B5861" t="str">
        <f t="shared" si="340"/>
        <v>1</v>
      </c>
      <c r="C5861" t="str">
        <f t="shared" si="341"/>
        <v>258</v>
      </c>
      <c r="D5861" t="str">
        <f>"15"</f>
        <v>15</v>
      </c>
      <c r="E5861" t="str">
        <f>"1-258-15"</f>
        <v>1-258-15</v>
      </c>
      <c r="F5861" t="s">
        <v>83</v>
      </c>
      <c r="G5861" t="s">
        <v>84</v>
      </c>
      <c r="H5861" t="s">
        <v>85</v>
      </c>
      <c r="AC5861">
        <v>0</v>
      </c>
      <c r="AD5861">
        <v>1</v>
      </c>
      <c r="AE5861">
        <v>0</v>
      </c>
      <c r="AF5861">
        <v>0</v>
      </c>
      <c r="AG5861">
        <v>0</v>
      </c>
      <c r="AJ5861">
        <v>0</v>
      </c>
      <c r="AK5861">
        <v>1</v>
      </c>
      <c r="AL5861">
        <v>0</v>
      </c>
      <c r="AM5861">
        <v>0</v>
      </c>
      <c r="AN5861">
        <v>1</v>
      </c>
      <c r="AO5861">
        <v>0</v>
      </c>
      <c r="AP5861">
        <v>0</v>
      </c>
      <c r="AQ5861">
        <v>0</v>
      </c>
      <c r="AR5861">
        <v>0</v>
      </c>
      <c r="AS5861">
        <v>1</v>
      </c>
      <c r="AT5861">
        <v>0</v>
      </c>
      <c r="AV5861">
        <v>0</v>
      </c>
      <c r="AW5861">
        <v>0</v>
      </c>
    </row>
    <row r="5862" spans="1:49" x14ac:dyDescent="0.25">
      <c r="A5862" t="str">
        <f>"5858"</f>
        <v>5858</v>
      </c>
      <c r="B5862" t="str">
        <f t="shared" si="340"/>
        <v>1</v>
      </c>
      <c r="C5862" t="str">
        <f t="shared" si="341"/>
        <v>258</v>
      </c>
      <c r="D5862" t="str">
        <f>"14"</f>
        <v>14</v>
      </c>
      <c r="E5862" t="str">
        <f>"1-258-14"</f>
        <v>1-258-14</v>
      </c>
      <c r="F5862" t="s">
        <v>83</v>
      </c>
      <c r="G5862" t="s">
        <v>84</v>
      </c>
      <c r="H5862" t="s">
        <v>92</v>
      </c>
      <c r="I5862">
        <v>1</v>
      </c>
      <c r="J5862">
        <v>1</v>
      </c>
      <c r="N5862">
        <v>1</v>
      </c>
      <c r="O5862">
        <v>1</v>
      </c>
      <c r="P5862">
        <v>1</v>
      </c>
      <c r="Q5862">
        <v>1</v>
      </c>
      <c r="R5862">
        <v>1</v>
      </c>
      <c r="S5862">
        <v>1</v>
      </c>
      <c r="T5862">
        <v>1</v>
      </c>
      <c r="W5862">
        <v>1</v>
      </c>
      <c r="X5862">
        <v>1</v>
      </c>
      <c r="Y5862">
        <v>1</v>
      </c>
      <c r="Z5862">
        <v>1</v>
      </c>
      <c r="AA5862">
        <v>1</v>
      </c>
      <c r="AB5862">
        <v>1</v>
      </c>
    </row>
    <row r="5863" spans="1:49" x14ac:dyDescent="0.25">
      <c r="A5863" t="str">
        <f>"5859"</f>
        <v>5859</v>
      </c>
      <c r="B5863" t="str">
        <f t="shared" si="340"/>
        <v>1</v>
      </c>
      <c r="C5863" t="str">
        <f t="shared" si="341"/>
        <v>258</v>
      </c>
      <c r="D5863" t="str">
        <f>"11"</f>
        <v>11</v>
      </c>
      <c r="E5863" t="str">
        <f>"1-258-11"</f>
        <v>1-258-11</v>
      </c>
      <c r="F5863" t="s">
        <v>83</v>
      </c>
      <c r="G5863" t="s">
        <v>84</v>
      </c>
      <c r="H5863" t="s">
        <v>85</v>
      </c>
      <c r="AC5863">
        <v>1</v>
      </c>
      <c r="AD5863">
        <v>0</v>
      </c>
      <c r="AE5863">
        <v>0</v>
      </c>
      <c r="AF5863">
        <v>0</v>
      </c>
      <c r="AG5863">
        <v>0</v>
      </c>
      <c r="AJ5863">
        <v>0</v>
      </c>
      <c r="AK5863">
        <v>1</v>
      </c>
      <c r="AL5863">
        <v>0</v>
      </c>
      <c r="AM5863">
        <v>0</v>
      </c>
      <c r="AN5863">
        <v>1</v>
      </c>
      <c r="AO5863">
        <v>0</v>
      </c>
      <c r="AP5863">
        <v>0</v>
      </c>
      <c r="AQ5863">
        <v>0</v>
      </c>
      <c r="AR5863">
        <v>0</v>
      </c>
      <c r="AS5863">
        <v>0</v>
      </c>
      <c r="AT5863">
        <v>1</v>
      </c>
      <c r="AV5863">
        <v>0</v>
      </c>
      <c r="AW5863">
        <v>0</v>
      </c>
    </row>
    <row r="5864" spans="1:49" x14ac:dyDescent="0.25">
      <c r="A5864" t="str">
        <f>"5860"</f>
        <v>5860</v>
      </c>
      <c r="B5864" t="str">
        <f t="shared" si="340"/>
        <v>1</v>
      </c>
      <c r="C5864" t="str">
        <f t="shared" si="341"/>
        <v>258</v>
      </c>
      <c r="D5864" t="str">
        <f>"8"</f>
        <v>8</v>
      </c>
      <c r="E5864" t="str">
        <f>"1-258-8"</f>
        <v>1-258-8</v>
      </c>
      <c r="F5864" t="s">
        <v>83</v>
      </c>
      <c r="G5864" t="s">
        <v>84</v>
      </c>
      <c r="H5864" t="s">
        <v>85</v>
      </c>
      <c r="AC5864">
        <v>0</v>
      </c>
      <c r="AD5864">
        <v>1</v>
      </c>
      <c r="AE5864">
        <v>0</v>
      </c>
      <c r="AF5864">
        <v>0</v>
      </c>
      <c r="AG5864">
        <v>1</v>
      </c>
      <c r="AJ5864">
        <v>0</v>
      </c>
      <c r="AK5864">
        <v>1</v>
      </c>
      <c r="AL5864">
        <v>0</v>
      </c>
      <c r="AM5864">
        <v>0</v>
      </c>
      <c r="AN5864">
        <v>1</v>
      </c>
      <c r="AO5864">
        <v>1</v>
      </c>
      <c r="AP5864">
        <v>1</v>
      </c>
      <c r="AQ5864">
        <v>1</v>
      </c>
      <c r="AR5864">
        <v>1</v>
      </c>
      <c r="AS5864">
        <v>0</v>
      </c>
      <c r="AT5864">
        <v>1</v>
      </c>
      <c r="AV5864">
        <v>1</v>
      </c>
      <c r="AW5864">
        <v>1</v>
      </c>
    </row>
    <row r="5865" spans="1:49" x14ac:dyDescent="0.25">
      <c r="A5865" t="str">
        <f>"5861"</f>
        <v>5861</v>
      </c>
      <c r="B5865" t="str">
        <f t="shared" si="340"/>
        <v>1</v>
      </c>
      <c r="C5865" t="str">
        <f t="shared" si="341"/>
        <v>258</v>
      </c>
      <c r="D5865" t="str">
        <f>"1"</f>
        <v>1</v>
      </c>
      <c r="E5865" t="str">
        <f>"1-258-1"</f>
        <v>1-258-1</v>
      </c>
      <c r="F5865" t="s">
        <v>83</v>
      </c>
      <c r="G5865" t="s">
        <v>84</v>
      </c>
      <c r="H5865" t="s">
        <v>92</v>
      </c>
      <c r="I5865">
        <v>1</v>
      </c>
      <c r="J5865">
        <v>1</v>
      </c>
      <c r="N5865">
        <v>1</v>
      </c>
      <c r="O5865">
        <v>1</v>
      </c>
      <c r="P5865">
        <v>1</v>
      </c>
      <c r="Q5865">
        <v>1</v>
      </c>
      <c r="R5865">
        <v>1</v>
      </c>
      <c r="S5865">
        <v>1</v>
      </c>
      <c r="T5865">
        <v>1</v>
      </c>
      <c r="W5865">
        <v>1</v>
      </c>
      <c r="X5865">
        <v>1</v>
      </c>
      <c r="Y5865">
        <v>1</v>
      </c>
      <c r="Z5865">
        <v>1</v>
      </c>
      <c r="AA5865">
        <v>1</v>
      </c>
      <c r="AB5865">
        <v>1</v>
      </c>
    </row>
    <row r="5866" spans="1:49" x14ac:dyDescent="0.25">
      <c r="A5866" t="str">
        <f>"5862"</f>
        <v>5862</v>
      </c>
      <c r="B5866" t="str">
        <f t="shared" si="340"/>
        <v>1</v>
      </c>
      <c r="C5866" t="str">
        <f t="shared" si="341"/>
        <v>258</v>
      </c>
      <c r="D5866" t="str">
        <f>"16"</f>
        <v>16</v>
      </c>
      <c r="E5866" t="str">
        <f>"1-258-16"</f>
        <v>1-258-16</v>
      </c>
      <c r="F5866" t="s">
        <v>83</v>
      </c>
      <c r="G5866" t="s">
        <v>84</v>
      </c>
      <c r="H5866" t="s">
        <v>85</v>
      </c>
      <c r="AC5866">
        <v>0</v>
      </c>
      <c r="AD5866">
        <v>1</v>
      </c>
      <c r="AE5866">
        <v>0</v>
      </c>
      <c r="AF5866">
        <v>0</v>
      </c>
      <c r="AG5866">
        <v>1</v>
      </c>
      <c r="AJ5866">
        <v>0</v>
      </c>
      <c r="AK5866">
        <v>1</v>
      </c>
      <c r="AL5866">
        <v>0</v>
      </c>
      <c r="AM5866">
        <v>0</v>
      </c>
      <c r="AN5866">
        <v>1</v>
      </c>
      <c r="AO5866">
        <v>0</v>
      </c>
      <c r="AP5866">
        <v>0</v>
      </c>
      <c r="AQ5866">
        <v>0</v>
      </c>
      <c r="AR5866">
        <v>0</v>
      </c>
      <c r="AS5866">
        <v>1</v>
      </c>
      <c r="AT5866">
        <v>0</v>
      </c>
      <c r="AV5866">
        <v>0</v>
      </c>
      <c r="AW5866">
        <v>1</v>
      </c>
    </row>
    <row r="5867" spans="1:49" x14ac:dyDescent="0.25">
      <c r="A5867" t="str">
        <f>"5863"</f>
        <v>5863</v>
      </c>
      <c r="B5867" t="str">
        <f t="shared" si="340"/>
        <v>1</v>
      </c>
      <c r="C5867" t="str">
        <f t="shared" si="341"/>
        <v>258</v>
      </c>
      <c r="D5867" t="str">
        <f>"9"</f>
        <v>9</v>
      </c>
      <c r="E5867" t="str">
        <f>"1-258-9"</f>
        <v>1-258-9</v>
      </c>
      <c r="F5867" t="s">
        <v>83</v>
      </c>
      <c r="G5867" t="s">
        <v>84</v>
      </c>
      <c r="H5867" t="s">
        <v>92</v>
      </c>
      <c r="I5867">
        <v>1</v>
      </c>
      <c r="J5867">
        <v>1</v>
      </c>
      <c r="N5867">
        <v>1</v>
      </c>
      <c r="O5867">
        <v>1</v>
      </c>
      <c r="P5867">
        <v>1</v>
      </c>
      <c r="Q5867">
        <v>1</v>
      </c>
      <c r="R5867">
        <v>1</v>
      </c>
      <c r="S5867">
        <v>1</v>
      </c>
      <c r="T5867">
        <v>1</v>
      </c>
      <c r="W5867">
        <v>1</v>
      </c>
      <c r="X5867">
        <v>1</v>
      </c>
      <c r="Y5867">
        <v>1</v>
      </c>
      <c r="Z5867">
        <v>1</v>
      </c>
      <c r="AA5867">
        <v>1</v>
      </c>
      <c r="AB5867">
        <v>1</v>
      </c>
    </row>
    <row r="5868" spans="1:49" x14ac:dyDescent="0.25">
      <c r="A5868" t="str">
        <f>"5864"</f>
        <v>5864</v>
      </c>
      <c r="B5868" t="str">
        <f t="shared" si="340"/>
        <v>1</v>
      </c>
      <c r="C5868" t="str">
        <f t="shared" si="341"/>
        <v>258</v>
      </c>
      <c r="D5868" t="str">
        <f>"2"</f>
        <v>2</v>
      </c>
      <c r="E5868" t="str">
        <f>"1-258-2"</f>
        <v>1-258-2</v>
      </c>
      <c r="F5868" t="s">
        <v>83</v>
      </c>
      <c r="G5868" t="s">
        <v>84</v>
      </c>
      <c r="H5868" t="s">
        <v>85</v>
      </c>
      <c r="AC5868">
        <v>0</v>
      </c>
      <c r="AD5868">
        <v>1</v>
      </c>
      <c r="AE5868">
        <v>0</v>
      </c>
      <c r="AF5868">
        <v>0</v>
      </c>
      <c r="AG5868">
        <v>0</v>
      </c>
      <c r="AJ5868">
        <v>0</v>
      </c>
      <c r="AK5868">
        <v>1</v>
      </c>
      <c r="AL5868">
        <v>0</v>
      </c>
      <c r="AM5868">
        <v>0</v>
      </c>
      <c r="AN5868">
        <v>1</v>
      </c>
      <c r="AO5868">
        <v>0</v>
      </c>
      <c r="AP5868">
        <v>0</v>
      </c>
      <c r="AQ5868">
        <v>0</v>
      </c>
      <c r="AR5868">
        <v>0</v>
      </c>
      <c r="AS5868">
        <v>0</v>
      </c>
      <c r="AT5868">
        <v>1</v>
      </c>
      <c r="AV5868">
        <v>0</v>
      </c>
      <c r="AW5868">
        <v>0</v>
      </c>
    </row>
    <row r="5869" spans="1:49" x14ac:dyDescent="0.25">
      <c r="A5869" t="str">
        <f>"5865"</f>
        <v>5865</v>
      </c>
      <c r="B5869" t="str">
        <f t="shared" si="340"/>
        <v>1</v>
      </c>
      <c r="C5869" t="str">
        <f t="shared" si="341"/>
        <v>258</v>
      </c>
      <c r="D5869" t="str">
        <f>"17"</f>
        <v>17</v>
      </c>
      <c r="E5869" t="str">
        <f>"1-258-17"</f>
        <v>1-258-17</v>
      </c>
      <c r="F5869" t="s">
        <v>83</v>
      </c>
      <c r="G5869" t="s">
        <v>84</v>
      </c>
      <c r="H5869" t="s">
        <v>85</v>
      </c>
      <c r="AC5869">
        <v>1</v>
      </c>
      <c r="AD5869">
        <v>0</v>
      </c>
      <c r="AE5869">
        <v>0</v>
      </c>
      <c r="AF5869">
        <v>0</v>
      </c>
      <c r="AG5869">
        <v>1</v>
      </c>
      <c r="AJ5869">
        <v>1</v>
      </c>
      <c r="AK5869">
        <v>0</v>
      </c>
      <c r="AL5869">
        <v>0</v>
      </c>
      <c r="AM5869">
        <v>1</v>
      </c>
      <c r="AN5869">
        <v>0</v>
      </c>
      <c r="AO5869">
        <v>1</v>
      </c>
      <c r="AP5869">
        <v>1</v>
      </c>
      <c r="AQ5869">
        <v>1</v>
      </c>
      <c r="AR5869">
        <v>1</v>
      </c>
      <c r="AS5869">
        <v>0</v>
      </c>
      <c r="AT5869">
        <v>1</v>
      </c>
      <c r="AV5869">
        <v>1</v>
      </c>
      <c r="AW5869">
        <v>1</v>
      </c>
    </row>
    <row r="5870" spans="1:49" x14ac:dyDescent="0.25">
      <c r="A5870" t="str">
        <f>"5866"</f>
        <v>5866</v>
      </c>
      <c r="B5870" t="str">
        <f t="shared" si="340"/>
        <v>1</v>
      </c>
      <c r="C5870" t="str">
        <f t="shared" si="341"/>
        <v>258</v>
      </c>
      <c r="D5870" t="str">
        <f>"10"</f>
        <v>10</v>
      </c>
      <c r="E5870" t="str">
        <f>"1-258-10"</f>
        <v>1-258-10</v>
      </c>
      <c r="F5870" t="s">
        <v>83</v>
      </c>
      <c r="G5870" t="s">
        <v>84</v>
      </c>
      <c r="H5870" t="s">
        <v>85</v>
      </c>
      <c r="AC5870">
        <v>0</v>
      </c>
      <c r="AD5870">
        <v>1</v>
      </c>
      <c r="AE5870">
        <v>0</v>
      </c>
      <c r="AF5870">
        <v>0</v>
      </c>
      <c r="AG5870">
        <v>1</v>
      </c>
      <c r="AJ5870">
        <v>0</v>
      </c>
      <c r="AK5870">
        <v>1</v>
      </c>
      <c r="AL5870">
        <v>0</v>
      </c>
      <c r="AM5870">
        <v>1</v>
      </c>
      <c r="AN5870">
        <v>0</v>
      </c>
      <c r="AO5870">
        <v>1</v>
      </c>
      <c r="AP5870">
        <v>1</v>
      </c>
      <c r="AQ5870">
        <v>1</v>
      </c>
      <c r="AR5870">
        <v>1</v>
      </c>
      <c r="AS5870">
        <v>1</v>
      </c>
      <c r="AT5870">
        <v>0</v>
      </c>
      <c r="AV5870">
        <v>1</v>
      </c>
      <c r="AW5870">
        <v>1</v>
      </c>
    </row>
    <row r="5871" spans="1:49" x14ac:dyDescent="0.25">
      <c r="A5871" t="str">
        <f>"5867"</f>
        <v>5867</v>
      </c>
      <c r="B5871" t="str">
        <f t="shared" si="340"/>
        <v>1</v>
      </c>
      <c r="C5871" t="str">
        <f t="shared" si="341"/>
        <v>258</v>
      </c>
      <c r="D5871" t="str">
        <f>"4"</f>
        <v>4</v>
      </c>
      <c r="E5871" t="str">
        <f>"1-258-4"</f>
        <v>1-258-4</v>
      </c>
      <c r="F5871" t="s">
        <v>83</v>
      </c>
      <c r="G5871" t="s">
        <v>84</v>
      </c>
      <c r="H5871" t="s">
        <v>85</v>
      </c>
      <c r="AC5871">
        <v>0</v>
      </c>
      <c r="AD5871">
        <v>1</v>
      </c>
      <c r="AE5871">
        <v>0</v>
      </c>
      <c r="AF5871">
        <v>0</v>
      </c>
      <c r="AG5871">
        <v>1</v>
      </c>
      <c r="AJ5871">
        <v>0</v>
      </c>
      <c r="AK5871">
        <v>1</v>
      </c>
      <c r="AL5871">
        <v>0</v>
      </c>
      <c r="AM5871">
        <v>0</v>
      </c>
      <c r="AN5871">
        <v>1</v>
      </c>
      <c r="AO5871">
        <v>1</v>
      </c>
      <c r="AP5871">
        <v>1</v>
      </c>
      <c r="AQ5871">
        <v>1</v>
      </c>
      <c r="AR5871">
        <v>1</v>
      </c>
      <c r="AS5871">
        <v>0</v>
      </c>
      <c r="AT5871">
        <v>1</v>
      </c>
      <c r="AV5871">
        <v>0</v>
      </c>
      <c r="AW5871">
        <v>0</v>
      </c>
    </row>
    <row r="5872" spans="1:49" x14ac:dyDescent="0.25">
      <c r="A5872" t="str">
        <f>"5868"</f>
        <v>5868</v>
      </c>
      <c r="B5872" t="str">
        <f t="shared" si="340"/>
        <v>1</v>
      </c>
      <c r="C5872" t="str">
        <f t="shared" si="341"/>
        <v>258</v>
      </c>
      <c r="D5872" t="str">
        <f>"22"</f>
        <v>22</v>
      </c>
      <c r="E5872" t="str">
        <f>"1-258-22"</f>
        <v>1-258-22</v>
      </c>
      <c r="F5872" t="s">
        <v>83</v>
      </c>
      <c r="G5872" t="s">
        <v>88</v>
      </c>
      <c r="H5872" t="s">
        <v>89</v>
      </c>
      <c r="AC5872">
        <v>0</v>
      </c>
      <c r="AD5872">
        <v>1</v>
      </c>
      <c r="AE5872">
        <v>0</v>
      </c>
      <c r="AF5872">
        <v>0</v>
      </c>
      <c r="AH5872">
        <v>1</v>
      </c>
      <c r="AI5872">
        <v>0</v>
      </c>
      <c r="AJ5872">
        <v>0</v>
      </c>
      <c r="AK5872">
        <v>1</v>
      </c>
      <c r="AL5872">
        <v>0</v>
      </c>
      <c r="AM5872">
        <v>0</v>
      </c>
      <c r="AN5872">
        <v>1</v>
      </c>
      <c r="AO5872">
        <v>1</v>
      </c>
      <c r="AP5872">
        <v>1</v>
      </c>
      <c r="AQ5872">
        <v>1</v>
      </c>
      <c r="AR5872">
        <v>1</v>
      </c>
      <c r="AS5872">
        <v>1</v>
      </c>
      <c r="AT5872">
        <v>0</v>
      </c>
      <c r="AV5872">
        <v>1</v>
      </c>
      <c r="AW5872">
        <v>1</v>
      </c>
    </row>
    <row r="5873" spans="1:49" x14ac:dyDescent="0.25">
      <c r="A5873" t="str">
        <f>"5869"</f>
        <v>5869</v>
      </c>
      <c r="B5873" t="str">
        <f t="shared" si="340"/>
        <v>1</v>
      </c>
      <c r="C5873" t="str">
        <f t="shared" si="341"/>
        <v>258</v>
      </c>
      <c r="D5873" t="str">
        <f>"12"</f>
        <v>12</v>
      </c>
      <c r="E5873" t="str">
        <f>"1-258-12"</f>
        <v>1-258-12</v>
      </c>
      <c r="F5873" t="s">
        <v>83</v>
      </c>
      <c r="G5873" t="s">
        <v>84</v>
      </c>
      <c r="H5873" t="s">
        <v>85</v>
      </c>
      <c r="AC5873">
        <v>1</v>
      </c>
      <c r="AD5873">
        <v>0</v>
      </c>
      <c r="AE5873">
        <v>0</v>
      </c>
      <c r="AF5873">
        <v>0</v>
      </c>
      <c r="AG5873">
        <v>1</v>
      </c>
      <c r="AJ5873">
        <v>0</v>
      </c>
      <c r="AK5873">
        <v>1</v>
      </c>
      <c r="AL5873">
        <v>0</v>
      </c>
      <c r="AM5873">
        <v>1</v>
      </c>
      <c r="AN5873">
        <v>0</v>
      </c>
      <c r="AO5873">
        <v>1</v>
      </c>
      <c r="AP5873">
        <v>1</v>
      </c>
      <c r="AQ5873">
        <v>1</v>
      </c>
      <c r="AR5873">
        <v>1</v>
      </c>
      <c r="AS5873">
        <v>0</v>
      </c>
      <c r="AT5873">
        <v>1</v>
      </c>
      <c r="AV5873">
        <v>1</v>
      </c>
      <c r="AW5873">
        <v>1</v>
      </c>
    </row>
    <row r="5874" spans="1:49" x14ac:dyDescent="0.25">
      <c r="A5874" t="str">
        <f>"5870"</f>
        <v>5870</v>
      </c>
      <c r="B5874" t="str">
        <f t="shared" si="340"/>
        <v>1</v>
      </c>
      <c r="C5874" t="str">
        <f t="shared" si="341"/>
        <v>258</v>
      </c>
      <c r="D5874" t="str">
        <f>"5"</f>
        <v>5</v>
      </c>
      <c r="E5874" t="str">
        <f>"1-258-5"</f>
        <v>1-258-5</v>
      </c>
      <c r="F5874" t="s">
        <v>83</v>
      </c>
      <c r="G5874" t="s">
        <v>84</v>
      </c>
      <c r="H5874" t="s">
        <v>92</v>
      </c>
      <c r="I5874">
        <v>1</v>
      </c>
      <c r="J5874">
        <v>1</v>
      </c>
      <c r="N5874">
        <v>1</v>
      </c>
      <c r="O5874">
        <v>1</v>
      </c>
      <c r="P5874">
        <v>1</v>
      </c>
      <c r="Q5874">
        <v>1</v>
      </c>
      <c r="R5874">
        <v>1</v>
      </c>
      <c r="S5874">
        <v>1</v>
      </c>
      <c r="T5874">
        <v>1</v>
      </c>
      <c r="W5874">
        <v>1</v>
      </c>
      <c r="X5874">
        <v>1</v>
      </c>
      <c r="Y5874">
        <v>1</v>
      </c>
      <c r="Z5874">
        <v>1</v>
      </c>
      <c r="AA5874">
        <v>1</v>
      </c>
      <c r="AB5874">
        <v>1</v>
      </c>
    </row>
    <row r="5875" spans="1:49" x14ac:dyDescent="0.25">
      <c r="A5875" t="str">
        <f>"5871"</f>
        <v>5871</v>
      </c>
      <c r="B5875" t="str">
        <f t="shared" si="340"/>
        <v>1</v>
      </c>
      <c r="C5875" t="str">
        <f t="shared" si="341"/>
        <v>258</v>
      </c>
      <c r="D5875" t="str">
        <f>"23"</f>
        <v>23</v>
      </c>
      <c r="E5875" t="str">
        <f>"1-258-23"</f>
        <v>1-258-23</v>
      </c>
      <c r="F5875" t="s">
        <v>83</v>
      </c>
      <c r="G5875" t="s">
        <v>84</v>
      </c>
      <c r="H5875" t="s">
        <v>85</v>
      </c>
      <c r="AC5875">
        <v>1</v>
      </c>
      <c r="AD5875">
        <v>0</v>
      </c>
      <c r="AE5875">
        <v>0</v>
      </c>
      <c r="AF5875">
        <v>0</v>
      </c>
      <c r="AG5875">
        <v>0</v>
      </c>
      <c r="AJ5875">
        <v>1</v>
      </c>
      <c r="AK5875">
        <v>0</v>
      </c>
      <c r="AL5875">
        <v>0</v>
      </c>
      <c r="AM5875">
        <v>0</v>
      </c>
      <c r="AN5875">
        <v>0</v>
      </c>
      <c r="AO5875">
        <v>0</v>
      </c>
      <c r="AP5875">
        <v>0</v>
      </c>
      <c r="AQ5875">
        <v>0</v>
      </c>
      <c r="AR5875">
        <v>0</v>
      </c>
      <c r="AS5875">
        <v>1</v>
      </c>
      <c r="AT5875">
        <v>0</v>
      </c>
      <c r="AV5875">
        <v>0</v>
      </c>
      <c r="AW5875">
        <v>1</v>
      </c>
    </row>
    <row r="5876" spans="1:49" x14ac:dyDescent="0.25">
      <c r="A5876" t="str">
        <f>"5872"</f>
        <v>5872</v>
      </c>
      <c r="B5876" t="str">
        <f t="shared" si="340"/>
        <v>1</v>
      </c>
      <c r="C5876" t="str">
        <f t="shared" si="341"/>
        <v>258</v>
      </c>
      <c r="D5876" t="str">
        <f>"13"</f>
        <v>13</v>
      </c>
      <c r="E5876" t="str">
        <f>"1-258-13"</f>
        <v>1-258-13</v>
      </c>
      <c r="F5876" t="s">
        <v>83</v>
      </c>
      <c r="G5876" t="s">
        <v>84</v>
      </c>
      <c r="H5876" t="s">
        <v>85</v>
      </c>
      <c r="AC5876">
        <v>0</v>
      </c>
      <c r="AD5876">
        <v>1</v>
      </c>
      <c r="AE5876">
        <v>0</v>
      </c>
      <c r="AF5876">
        <v>0</v>
      </c>
      <c r="AG5876">
        <v>0</v>
      </c>
      <c r="AJ5876">
        <v>1</v>
      </c>
      <c r="AK5876">
        <v>0</v>
      </c>
      <c r="AL5876">
        <v>0</v>
      </c>
      <c r="AM5876">
        <v>0</v>
      </c>
      <c r="AN5876">
        <v>1</v>
      </c>
      <c r="AO5876">
        <v>0</v>
      </c>
      <c r="AP5876">
        <v>0</v>
      </c>
      <c r="AQ5876">
        <v>0</v>
      </c>
      <c r="AR5876">
        <v>0</v>
      </c>
      <c r="AS5876">
        <v>0</v>
      </c>
      <c r="AT5876">
        <v>1</v>
      </c>
      <c r="AV5876">
        <v>0</v>
      </c>
      <c r="AW5876">
        <v>0</v>
      </c>
    </row>
    <row r="5877" spans="1:49" x14ac:dyDescent="0.25">
      <c r="A5877" t="str">
        <f>"5873"</f>
        <v>5873</v>
      </c>
      <c r="B5877" t="str">
        <f t="shared" si="340"/>
        <v>1</v>
      </c>
      <c r="C5877" t="str">
        <f t="shared" si="341"/>
        <v>258</v>
      </c>
      <c r="D5877" t="str">
        <f>"7"</f>
        <v>7</v>
      </c>
      <c r="E5877" t="str">
        <f>"1-258-7"</f>
        <v>1-258-7</v>
      </c>
      <c r="F5877" t="s">
        <v>83</v>
      </c>
      <c r="G5877" t="s">
        <v>84</v>
      </c>
      <c r="H5877" t="s">
        <v>85</v>
      </c>
      <c r="AC5877">
        <v>1</v>
      </c>
      <c r="AD5877">
        <v>0</v>
      </c>
      <c r="AE5877">
        <v>0</v>
      </c>
      <c r="AF5877">
        <v>0</v>
      </c>
      <c r="AG5877">
        <v>1</v>
      </c>
      <c r="AJ5877">
        <v>1</v>
      </c>
      <c r="AK5877">
        <v>0</v>
      </c>
      <c r="AL5877">
        <v>1</v>
      </c>
      <c r="AM5877">
        <v>0</v>
      </c>
      <c r="AN5877">
        <v>0</v>
      </c>
      <c r="AO5877">
        <v>1</v>
      </c>
      <c r="AP5877">
        <v>1</v>
      </c>
      <c r="AQ5877">
        <v>1</v>
      </c>
      <c r="AR5877">
        <v>1</v>
      </c>
      <c r="AS5877">
        <v>1</v>
      </c>
      <c r="AT5877">
        <v>0</v>
      </c>
      <c r="AV5877">
        <v>1</v>
      </c>
      <c r="AW5877">
        <v>1</v>
      </c>
    </row>
    <row r="5878" spans="1:49" x14ac:dyDescent="0.25">
      <c r="A5878" t="str">
        <f>"5874"</f>
        <v>5874</v>
      </c>
      <c r="B5878" t="str">
        <f t="shared" si="340"/>
        <v>1</v>
      </c>
      <c r="C5878" t="str">
        <f t="shared" si="341"/>
        <v>258</v>
      </c>
      <c r="D5878" t="str">
        <f>"18"</f>
        <v>18</v>
      </c>
      <c r="E5878" t="str">
        <f>"1-258-18"</f>
        <v>1-258-18</v>
      </c>
      <c r="F5878" t="s">
        <v>83</v>
      </c>
      <c r="G5878" t="s">
        <v>84</v>
      </c>
      <c r="H5878" t="s">
        <v>85</v>
      </c>
      <c r="AC5878">
        <v>0</v>
      </c>
      <c r="AD5878">
        <v>1</v>
      </c>
      <c r="AE5878">
        <v>0</v>
      </c>
      <c r="AF5878">
        <v>0</v>
      </c>
      <c r="AG5878">
        <v>0</v>
      </c>
      <c r="AJ5878">
        <v>0</v>
      </c>
      <c r="AK5878">
        <v>1</v>
      </c>
      <c r="AL5878">
        <v>0</v>
      </c>
      <c r="AM5878">
        <v>0</v>
      </c>
      <c r="AN5878">
        <v>1</v>
      </c>
      <c r="AO5878">
        <v>1</v>
      </c>
      <c r="AP5878">
        <v>1</v>
      </c>
      <c r="AQ5878">
        <v>1</v>
      </c>
      <c r="AR5878">
        <v>1</v>
      </c>
      <c r="AS5878">
        <v>1</v>
      </c>
      <c r="AT5878">
        <v>0</v>
      </c>
      <c r="AV5878">
        <v>1</v>
      </c>
      <c r="AW5878">
        <v>1</v>
      </c>
    </row>
    <row r="5879" spans="1:49" x14ac:dyDescent="0.25">
      <c r="A5879" t="str">
        <f>"5875"</f>
        <v>5875</v>
      </c>
      <c r="B5879" t="str">
        <f t="shared" si="340"/>
        <v>1</v>
      </c>
      <c r="C5879" t="str">
        <f t="shared" si="341"/>
        <v>258</v>
      </c>
      <c r="D5879" t="str">
        <f>"6"</f>
        <v>6</v>
      </c>
      <c r="E5879" t="str">
        <f>"1-258-6"</f>
        <v>1-258-6</v>
      </c>
      <c r="F5879" t="s">
        <v>83</v>
      </c>
      <c r="G5879" t="s">
        <v>84</v>
      </c>
      <c r="H5879" t="s">
        <v>92</v>
      </c>
      <c r="I5879">
        <v>1</v>
      </c>
      <c r="J5879">
        <v>1</v>
      </c>
      <c r="N5879">
        <v>1</v>
      </c>
      <c r="O5879">
        <v>1</v>
      </c>
      <c r="P5879">
        <v>1</v>
      </c>
      <c r="Q5879">
        <v>1</v>
      </c>
      <c r="R5879">
        <v>1</v>
      </c>
      <c r="S5879">
        <v>1</v>
      </c>
      <c r="T5879">
        <v>1</v>
      </c>
      <c r="W5879">
        <v>1</v>
      </c>
      <c r="X5879">
        <v>1</v>
      </c>
      <c r="Y5879">
        <v>1</v>
      </c>
      <c r="Z5879">
        <v>1</v>
      </c>
      <c r="AA5879">
        <v>1</v>
      </c>
      <c r="AB5879">
        <v>1</v>
      </c>
    </row>
    <row r="5880" spans="1:49" x14ac:dyDescent="0.25">
      <c r="A5880" t="str">
        <f>"5876"</f>
        <v>5876</v>
      </c>
      <c r="B5880" t="str">
        <f t="shared" si="340"/>
        <v>1</v>
      </c>
      <c r="C5880" t="str">
        <f t="shared" si="341"/>
        <v>258</v>
      </c>
      <c r="D5880" t="str">
        <f>"19"</f>
        <v>19</v>
      </c>
      <c r="E5880" t="str">
        <f>"1-258-19"</f>
        <v>1-258-19</v>
      </c>
      <c r="F5880" t="s">
        <v>83</v>
      </c>
      <c r="G5880" t="s">
        <v>84</v>
      </c>
      <c r="H5880" t="s">
        <v>85</v>
      </c>
      <c r="AC5880">
        <v>0</v>
      </c>
      <c r="AD5880">
        <v>1</v>
      </c>
      <c r="AE5880">
        <v>0</v>
      </c>
      <c r="AF5880">
        <v>0</v>
      </c>
      <c r="AG5880">
        <v>1</v>
      </c>
      <c r="AJ5880">
        <v>0</v>
      </c>
      <c r="AK5880">
        <v>1</v>
      </c>
      <c r="AL5880">
        <v>0</v>
      </c>
      <c r="AM5880">
        <v>1</v>
      </c>
      <c r="AN5880">
        <v>0</v>
      </c>
      <c r="AO5880">
        <v>1</v>
      </c>
      <c r="AP5880">
        <v>1</v>
      </c>
      <c r="AQ5880">
        <v>1</v>
      </c>
      <c r="AR5880">
        <v>1</v>
      </c>
      <c r="AS5880">
        <v>0</v>
      </c>
      <c r="AT5880">
        <v>1</v>
      </c>
      <c r="AV5880">
        <v>1</v>
      </c>
      <c r="AW5880">
        <v>1</v>
      </c>
    </row>
    <row r="5881" spans="1:49" x14ac:dyDescent="0.25">
      <c r="A5881" t="str">
        <f>"5877"</f>
        <v>5877</v>
      </c>
      <c r="B5881" t="str">
        <f t="shared" si="340"/>
        <v>1</v>
      </c>
      <c r="C5881" t="str">
        <f t="shared" si="341"/>
        <v>258</v>
      </c>
      <c r="D5881" t="str">
        <f>"3"</f>
        <v>3</v>
      </c>
      <c r="E5881" t="str">
        <f>"1-258-3"</f>
        <v>1-258-3</v>
      </c>
      <c r="F5881" t="s">
        <v>83</v>
      </c>
      <c r="G5881" t="s">
        <v>84</v>
      </c>
      <c r="H5881" t="s">
        <v>85</v>
      </c>
      <c r="AC5881">
        <v>1</v>
      </c>
      <c r="AD5881">
        <v>0</v>
      </c>
      <c r="AE5881">
        <v>0</v>
      </c>
      <c r="AF5881">
        <v>0</v>
      </c>
      <c r="AG5881">
        <v>0</v>
      </c>
      <c r="AJ5881">
        <v>0</v>
      </c>
      <c r="AK5881">
        <v>1</v>
      </c>
      <c r="AL5881">
        <v>1</v>
      </c>
      <c r="AM5881">
        <v>0</v>
      </c>
      <c r="AN5881">
        <v>0</v>
      </c>
      <c r="AO5881">
        <v>0</v>
      </c>
      <c r="AP5881">
        <v>0</v>
      </c>
      <c r="AQ5881">
        <v>0</v>
      </c>
      <c r="AR5881">
        <v>0</v>
      </c>
      <c r="AS5881">
        <v>1</v>
      </c>
      <c r="AT5881">
        <v>0</v>
      </c>
      <c r="AV5881">
        <v>1</v>
      </c>
      <c r="AW5881">
        <v>0</v>
      </c>
    </row>
    <row r="5882" spans="1:49" x14ac:dyDescent="0.25">
      <c r="A5882" t="str">
        <f>"5878"</f>
        <v>5878</v>
      </c>
      <c r="B5882" t="str">
        <f t="shared" si="340"/>
        <v>1</v>
      </c>
      <c r="C5882" t="str">
        <f t="shared" ref="C5882:C5906" si="342">"259"</f>
        <v>259</v>
      </c>
      <c r="D5882" t="str">
        <f>"21"</f>
        <v>21</v>
      </c>
      <c r="E5882" t="str">
        <f>"1-259-21"</f>
        <v>1-259-21</v>
      </c>
      <c r="F5882" t="s">
        <v>83</v>
      </c>
      <c r="G5882" t="s">
        <v>84</v>
      </c>
      <c r="H5882" t="s">
        <v>85</v>
      </c>
      <c r="AC5882">
        <v>1</v>
      </c>
      <c r="AD5882">
        <v>0</v>
      </c>
      <c r="AE5882">
        <v>0</v>
      </c>
      <c r="AF5882">
        <v>0</v>
      </c>
      <c r="AG5882">
        <v>1</v>
      </c>
      <c r="AJ5882">
        <v>1</v>
      </c>
      <c r="AK5882">
        <v>0</v>
      </c>
      <c r="AL5882">
        <v>0</v>
      </c>
      <c r="AM5882">
        <v>1</v>
      </c>
      <c r="AN5882">
        <v>0</v>
      </c>
      <c r="AO5882">
        <v>1</v>
      </c>
      <c r="AP5882">
        <v>1</v>
      </c>
      <c r="AQ5882">
        <v>1</v>
      </c>
      <c r="AR5882">
        <v>1</v>
      </c>
      <c r="AS5882">
        <v>1</v>
      </c>
      <c r="AT5882">
        <v>0</v>
      </c>
      <c r="AV5882">
        <v>1</v>
      </c>
      <c r="AW5882">
        <v>1</v>
      </c>
    </row>
    <row r="5883" spans="1:49" x14ac:dyDescent="0.25">
      <c r="A5883" t="str">
        <f>"5879"</f>
        <v>5879</v>
      </c>
      <c r="B5883" t="str">
        <f t="shared" si="340"/>
        <v>1</v>
      </c>
      <c r="C5883" t="str">
        <f t="shared" si="342"/>
        <v>259</v>
      </c>
      <c r="D5883" t="str">
        <f>"20"</f>
        <v>20</v>
      </c>
      <c r="E5883" t="str">
        <f>"1-259-20"</f>
        <v>1-259-20</v>
      </c>
      <c r="F5883" t="s">
        <v>83</v>
      </c>
      <c r="G5883" t="s">
        <v>84</v>
      </c>
      <c r="H5883" t="s">
        <v>85</v>
      </c>
      <c r="AC5883">
        <v>0</v>
      </c>
      <c r="AD5883">
        <v>1</v>
      </c>
      <c r="AE5883">
        <v>0</v>
      </c>
      <c r="AF5883">
        <v>0</v>
      </c>
      <c r="AG5883">
        <v>1</v>
      </c>
      <c r="AJ5883">
        <v>0</v>
      </c>
      <c r="AK5883">
        <v>1</v>
      </c>
      <c r="AL5883">
        <v>0</v>
      </c>
      <c r="AM5883">
        <v>0</v>
      </c>
      <c r="AN5883">
        <v>1</v>
      </c>
      <c r="AO5883">
        <v>0</v>
      </c>
      <c r="AP5883">
        <v>0</v>
      </c>
      <c r="AQ5883">
        <v>0</v>
      </c>
      <c r="AR5883">
        <v>0</v>
      </c>
      <c r="AS5883">
        <v>0</v>
      </c>
      <c r="AT5883">
        <v>1</v>
      </c>
      <c r="AV5883">
        <v>0</v>
      </c>
      <c r="AW5883">
        <v>0</v>
      </c>
    </row>
    <row r="5884" spans="1:49" x14ac:dyDescent="0.25">
      <c r="A5884" t="str">
        <f>"5880"</f>
        <v>5880</v>
      </c>
      <c r="B5884" t="str">
        <f t="shared" si="340"/>
        <v>1</v>
      </c>
      <c r="C5884" t="str">
        <f t="shared" si="342"/>
        <v>259</v>
      </c>
      <c r="D5884" t="str">
        <f>"15"</f>
        <v>15</v>
      </c>
      <c r="E5884" t="str">
        <f>"1-259-15"</f>
        <v>1-259-15</v>
      </c>
      <c r="F5884" t="s">
        <v>83</v>
      </c>
      <c r="G5884" t="s">
        <v>84</v>
      </c>
      <c r="H5884" t="s">
        <v>85</v>
      </c>
      <c r="AC5884">
        <v>0</v>
      </c>
      <c r="AD5884">
        <v>1</v>
      </c>
      <c r="AE5884">
        <v>0</v>
      </c>
      <c r="AF5884">
        <v>0</v>
      </c>
      <c r="AG5884">
        <v>1</v>
      </c>
      <c r="AJ5884">
        <v>0</v>
      </c>
      <c r="AK5884">
        <v>1</v>
      </c>
      <c r="AL5884">
        <v>0</v>
      </c>
      <c r="AM5884">
        <v>0</v>
      </c>
      <c r="AN5884">
        <v>1</v>
      </c>
      <c r="AO5884">
        <v>1</v>
      </c>
      <c r="AP5884">
        <v>1</v>
      </c>
      <c r="AQ5884">
        <v>1</v>
      </c>
      <c r="AR5884">
        <v>1</v>
      </c>
      <c r="AS5884">
        <v>1</v>
      </c>
      <c r="AT5884">
        <v>0</v>
      </c>
      <c r="AV5884">
        <v>1</v>
      </c>
      <c r="AW5884">
        <v>1</v>
      </c>
    </row>
    <row r="5885" spans="1:49" x14ac:dyDescent="0.25">
      <c r="A5885" t="str">
        <f>"5881"</f>
        <v>5881</v>
      </c>
      <c r="B5885" t="str">
        <f t="shared" si="340"/>
        <v>1</v>
      </c>
      <c r="C5885" t="str">
        <f t="shared" si="342"/>
        <v>259</v>
      </c>
      <c r="D5885" t="str">
        <f>"14"</f>
        <v>14</v>
      </c>
      <c r="E5885" t="str">
        <f>"1-259-14"</f>
        <v>1-259-14</v>
      </c>
      <c r="F5885" t="s">
        <v>83</v>
      </c>
      <c r="G5885" t="s">
        <v>84</v>
      </c>
      <c r="H5885" t="s">
        <v>85</v>
      </c>
      <c r="AC5885">
        <v>1</v>
      </c>
      <c r="AD5885">
        <v>0</v>
      </c>
      <c r="AE5885">
        <v>0</v>
      </c>
      <c r="AF5885">
        <v>0</v>
      </c>
      <c r="AG5885">
        <v>0</v>
      </c>
      <c r="AJ5885">
        <v>0</v>
      </c>
      <c r="AK5885">
        <v>1</v>
      </c>
      <c r="AL5885">
        <v>0</v>
      </c>
      <c r="AM5885">
        <v>0</v>
      </c>
      <c r="AN5885">
        <v>1</v>
      </c>
      <c r="AO5885">
        <v>0</v>
      </c>
      <c r="AP5885">
        <v>0</v>
      </c>
      <c r="AQ5885">
        <v>0</v>
      </c>
      <c r="AR5885">
        <v>0</v>
      </c>
      <c r="AS5885">
        <v>0</v>
      </c>
      <c r="AT5885">
        <v>0</v>
      </c>
      <c r="AV5885">
        <v>0</v>
      </c>
      <c r="AW5885">
        <v>0</v>
      </c>
    </row>
    <row r="5886" spans="1:49" x14ac:dyDescent="0.25">
      <c r="A5886" t="str">
        <f>"5882"</f>
        <v>5882</v>
      </c>
      <c r="B5886" t="str">
        <f t="shared" si="340"/>
        <v>1</v>
      </c>
      <c r="C5886" t="str">
        <f t="shared" si="342"/>
        <v>259</v>
      </c>
      <c r="D5886" t="str">
        <f>"9"</f>
        <v>9</v>
      </c>
      <c r="E5886" t="str">
        <f>"1-259-9"</f>
        <v>1-259-9</v>
      </c>
      <c r="F5886" t="s">
        <v>83</v>
      </c>
      <c r="G5886" t="s">
        <v>84</v>
      </c>
      <c r="H5886" t="s">
        <v>92</v>
      </c>
      <c r="I5886">
        <v>1</v>
      </c>
      <c r="J5886">
        <v>1</v>
      </c>
      <c r="N5886">
        <v>1</v>
      </c>
      <c r="O5886">
        <v>1</v>
      </c>
      <c r="P5886">
        <v>1</v>
      </c>
      <c r="Q5886">
        <v>1</v>
      </c>
      <c r="R5886">
        <v>1</v>
      </c>
      <c r="S5886">
        <v>1</v>
      </c>
      <c r="T5886">
        <v>1</v>
      </c>
      <c r="W5886">
        <v>1</v>
      </c>
      <c r="X5886">
        <v>1</v>
      </c>
      <c r="Y5886">
        <v>1</v>
      </c>
      <c r="Z5886">
        <v>1</v>
      </c>
      <c r="AA5886">
        <v>1</v>
      </c>
      <c r="AB5886">
        <v>1</v>
      </c>
    </row>
    <row r="5887" spans="1:49" x14ac:dyDescent="0.25">
      <c r="A5887" t="str">
        <f>"5883"</f>
        <v>5883</v>
      </c>
      <c r="B5887" t="str">
        <f t="shared" si="340"/>
        <v>1</v>
      </c>
      <c r="C5887" t="str">
        <f t="shared" si="342"/>
        <v>259</v>
      </c>
      <c r="D5887" t="str">
        <f>"8"</f>
        <v>8</v>
      </c>
      <c r="E5887" t="str">
        <f>"1-259-8"</f>
        <v>1-259-8</v>
      </c>
      <c r="F5887" t="s">
        <v>83</v>
      </c>
      <c r="G5887" t="s">
        <v>84</v>
      </c>
      <c r="H5887" t="s">
        <v>85</v>
      </c>
      <c r="AC5887">
        <v>0</v>
      </c>
      <c r="AD5887">
        <v>1</v>
      </c>
      <c r="AE5887">
        <v>0</v>
      </c>
      <c r="AF5887">
        <v>0</v>
      </c>
      <c r="AG5887">
        <v>0</v>
      </c>
      <c r="AJ5887">
        <v>0</v>
      </c>
      <c r="AK5887">
        <v>1</v>
      </c>
      <c r="AL5887">
        <v>0</v>
      </c>
      <c r="AM5887">
        <v>0</v>
      </c>
      <c r="AN5887">
        <v>1</v>
      </c>
      <c r="AO5887">
        <v>0</v>
      </c>
      <c r="AP5887">
        <v>0</v>
      </c>
      <c r="AQ5887">
        <v>0</v>
      </c>
      <c r="AR5887">
        <v>0</v>
      </c>
      <c r="AS5887">
        <v>1</v>
      </c>
      <c r="AT5887">
        <v>0</v>
      </c>
      <c r="AV5887">
        <v>0</v>
      </c>
      <c r="AW5887">
        <v>0</v>
      </c>
    </row>
    <row r="5888" spans="1:49" x14ac:dyDescent="0.25">
      <c r="A5888" t="str">
        <f>"5884"</f>
        <v>5884</v>
      </c>
      <c r="B5888" t="str">
        <f t="shared" si="340"/>
        <v>1</v>
      </c>
      <c r="C5888" t="str">
        <f t="shared" si="342"/>
        <v>259</v>
      </c>
      <c r="D5888" t="str">
        <f>"2"</f>
        <v>2</v>
      </c>
      <c r="E5888" t="str">
        <f>"1-259-2"</f>
        <v>1-259-2</v>
      </c>
      <c r="F5888" t="s">
        <v>83</v>
      </c>
      <c r="G5888" t="s">
        <v>84</v>
      </c>
      <c r="H5888" t="s">
        <v>85</v>
      </c>
      <c r="AC5888">
        <v>0</v>
      </c>
      <c r="AD5888">
        <v>1</v>
      </c>
      <c r="AE5888">
        <v>0</v>
      </c>
      <c r="AF5888">
        <v>0</v>
      </c>
      <c r="AG5888">
        <v>1</v>
      </c>
      <c r="AJ5888">
        <v>1</v>
      </c>
      <c r="AK5888">
        <v>0</v>
      </c>
      <c r="AL5888">
        <v>0</v>
      </c>
      <c r="AM5888">
        <v>0</v>
      </c>
      <c r="AN5888">
        <v>1</v>
      </c>
      <c r="AO5888">
        <v>1</v>
      </c>
      <c r="AP5888">
        <v>1</v>
      </c>
      <c r="AQ5888">
        <v>1</v>
      </c>
      <c r="AR5888">
        <v>1</v>
      </c>
      <c r="AS5888">
        <v>0</v>
      </c>
      <c r="AT5888">
        <v>0</v>
      </c>
      <c r="AV5888">
        <v>1</v>
      </c>
      <c r="AW5888">
        <v>1</v>
      </c>
    </row>
    <row r="5889" spans="1:49" x14ac:dyDescent="0.25">
      <c r="A5889" t="str">
        <f>"5885"</f>
        <v>5885</v>
      </c>
      <c r="B5889" t="str">
        <f t="shared" si="340"/>
        <v>1</v>
      </c>
      <c r="C5889" t="str">
        <f t="shared" si="342"/>
        <v>259</v>
      </c>
      <c r="D5889" t="str">
        <f>"25"</f>
        <v>25</v>
      </c>
      <c r="E5889" t="str">
        <f>"1-259-25"</f>
        <v>1-259-25</v>
      </c>
      <c r="F5889" t="s">
        <v>83</v>
      </c>
      <c r="G5889" t="s">
        <v>84</v>
      </c>
      <c r="H5889" t="s">
        <v>85</v>
      </c>
      <c r="AC5889">
        <v>1</v>
      </c>
      <c r="AD5889">
        <v>0</v>
      </c>
      <c r="AE5889">
        <v>0</v>
      </c>
      <c r="AF5889">
        <v>0</v>
      </c>
      <c r="AG5889">
        <v>1</v>
      </c>
      <c r="AJ5889">
        <v>1</v>
      </c>
      <c r="AK5889">
        <v>0</v>
      </c>
      <c r="AL5889">
        <v>0</v>
      </c>
      <c r="AM5889">
        <v>1</v>
      </c>
      <c r="AN5889">
        <v>0</v>
      </c>
      <c r="AO5889">
        <v>1</v>
      </c>
      <c r="AP5889">
        <v>1</v>
      </c>
      <c r="AQ5889">
        <v>1</v>
      </c>
      <c r="AR5889">
        <v>1</v>
      </c>
      <c r="AS5889">
        <v>0</v>
      </c>
      <c r="AT5889">
        <v>1</v>
      </c>
      <c r="AV5889">
        <v>1</v>
      </c>
      <c r="AW5889">
        <v>1</v>
      </c>
    </row>
    <row r="5890" spans="1:49" x14ac:dyDescent="0.25">
      <c r="A5890" t="str">
        <f>"5886"</f>
        <v>5886</v>
      </c>
      <c r="B5890" t="str">
        <f t="shared" si="340"/>
        <v>1</v>
      </c>
      <c r="C5890" t="str">
        <f t="shared" si="342"/>
        <v>259</v>
      </c>
      <c r="D5890" t="str">
        <f>"24"</f>
        <v>24</v>
      </c>
      <c r="E5890" t="str">
        <f>"1-259-24"</f>
        <v>1-259-24</v>
      </c>
      <c r="F5890" t="s">
        <v>83</v>
      </c>
      <c r="G5890" t="s">
        <v>84</v>
      </c>
      <c r="H5890" t="s">
        <v>85</v>
      </c>
      <c r="AC5890">
        <v>1</v>
      </c>
      <c r="AD5890">
        <v>0</v>
      </c>
      <c r="AE5890">
        <v>0</v>
      </c>
      <c r="AF5890">
        <v>0</v>
      </c>
      <c r="AG5890">
        <v>1</v>
      </c>
      <c r="AJ5890">
        <v>1</v>
      </c>
      <c r="AK5890">
        <v>0</v>
      </c>
      <c r="AL5890">
        <v>1</v>
      </c>
      <c r="AM5890">
        <v>0</v>
      </c>
      <c r="AN5890">
        <v>0</v>
      </c>
      <c r="AO5890">
        <v>1</v>
      </c>
      <c r="AP5890">
        <v>1</v>
      </c>
      <c r="AQ5890">
        <v>1</v>
      </c>
      <c r="AR5890">
        <v>1</v>
      </c>
      <c r="AS5890">
        <v>1</v>
      </c>
      <c r="AT5890">
        <v>0</v>
      </c>
      <c r="AV5890">
        <v>1</v>
      </c>
      <c r="AW5890">
        <v>1</v>
      </c>
    </row>
    <row r="5891" spans="1:49" x14ac:dyDescent="0.25">
      <c r="A5891" t="str">
        <f>"5887"</f>
        <v>5887</v>
      </c>
      <c r="B5891" t="str">
        <f t="shared" si="340"/>
        <v>1</v>
      </c>
      <c r="C5891" t="str">
        <f t="shared" si="342"/>
        <v>259</v>
      </c>
      <c r="D5891" t="str">
        <f>"16"</f>
        <v>16</v>
      </c>
      <c r="E5891" t="str">
        <f>"1-259-16"</f>
        <v>1-259-16</v>
      </c>
      <c r="F5891" t="s">
        <v>83</v>
      </c>
      <c r="G5891" t="s">
        <v>84</v>
      </c>
      <c r="H5891" t="s">
        <v>85</v>
      </c>
      <c r="AC5891">
        <v>0</v>
      </c>
      <c r="AD5891">
        <v>1</v>
      </c>
      <c r="AE5891">
        <v>0</v>
      </c>
      <c r="AF5891">
        <v>0</v>
      </c>
      <c r="AG5891">
        <v>0</v>
      </c>
      <c r="AJ5891">
        <v>0</v>
      </c>
      <c r="AK5891">
        <v>1</v>
      </c>
      <c r="AL5891">
        <v>0</v>
      </c>
      <c r="AM5891">
        <v>1</v>
      </c>
      <c r="AN5891">
        <v>0</v>
      </c>
      <c r="AO5891">
        <v>0</v>
      </c>
      <c r="AP5891">
        <v>0</v>
      </c>
      <c r="AQ5891">
        <v>0</v>
      </c>
      <c r="AR5891">
        <v>0</v>
      </c>
      <c r="AS5891">
        <v>0</v>
      </c>
      <c r="AT5891">
        <v>1</v>
      </c>
      <c r="AV5891">
        <v>0</v>
      </c>
      <c r="AW5891">
        <v>0</v>
      </c>
    </row>
    <row r="5892" spans="1:49" x14ac:dyDescent="0.25">
      <c r="A5892" t="str">
        <f>"5888"</f>
        <v>5888</v>
      </c>
      <c r="B5892" t="str">
        <f t="shared" si="340"/>
        <v>1</v>
      </c>
      <c r="C5892" t="str">
        <f t="shared" si="342"/>
        <v>259</v>
      </c>
      <c r="D5892" t="str">
        <f>"10"</f>
        <v>10</v>
      </c>
      <c r="E5892" t="str">
        <f>"1-259-10"</f>
        <v>1-259-10</v>
      </c>
      <c r="F5892" t="s">
        <v>83</v>
      </c>
      <c r="G5892" t="s">
        <v>84</v>
      </c>
      <c r="H5892" t="s">
        <v>85</v>
      </c>
      <c r="AC5892">
        <v>1</v>
      </c>
      <c r="AD5892">
        <v>0</v>
      </c>
      <c r="AE5892">
        <v>0</v>
      </c>
      <c r="AF5892">
        <v>0</v>
      </c>
      <c r="AG5892">
        <v>1</v>
      </c>
      <c r="AJ5892">
        <v>1</v>
      </c>
      <c r="AK5892">
        <v>0</v>
      </c>
      <c r="AL5892">
        <v>0</v>
      </c>
      <c r="AM5892">
        <v>1</v>
      </c>
      <c r="AN5892">
        <v>0</v>
      </c>
      <c r="AO5892">
        <v>1</v>
      </c>
      <c r="AP5892">
        <v>1</v>
      </c>
      <c r="AQ5892">
        <v>1</v>
      </c>
      <c r="AR5892">
        <v>1</v>
      </c>
      <c r="AS5892">
        <v>0</v>
      </c>
      <c r="AT5892">
        <v>1</v>
      </c>
      <c r="AV5892">
        <v>1</v>
      </c>
      <c r="AW5892">
        <v>1</v>
      </c>
    </row>
    <row r="5893" spans="1:49" x14ac:dyDescent="0.25">
      <c r="A5893" t="str">
        <f>"5889"</f>
        <v>5889</v>
      </c>
      <c r="B5893" t="str">
        <f t="shared" si="340"/>
        <v>1</v>
      </c>
      <c r="C5893" t="str">
        <f t="shared" si="342"/>
        <v>259</v>
      </c>
      <c r="D5893" t="str">
        <f>"1"</f>
        <v>1</v>
      </c>
      <c r="E5893" t="str">
        <f>"1-259-1"</f>
        <v>1-259-1</v>
      </c>
      <c r="F5893" t="s">
        <v>83</v>
      </c>
      <c r="G5893" t="s">
        <v>84</v>
      </c>
      <c r="H5893" t="s">
        <v>85</v>
      </c>
      <c r="AC5893">
        <v>0</v>
      </c>
      <c r="AD5893">
        <v>1</v>
      </c>
      <c r="AE5893">
        <v>0</v>
      </c>
      <c r="AF5893">
        <v>0</v>
      </c>
      <c r="AG5893">
        <v>1</v>
      </c>
      <c r="AJ5893">
        <v>0</v>
      </c>
      <c r="AK5893">
        <v>1</v>
      </c>
      <c r="AL5893">
        <v>0</v>
      </c>
      <c r="AM5893">
        <v>0</v>
      </c>
      <c r="AN5893">
        <v>1</v>
      </c>
      <c r="AO5893">
        <v>1</v>
      </c>
      <c r="AP5893">
        <v>1</v>
      </c>
      <c r="AQ5893">
        <v>1</v>
      </c>
      <c r="AR5893">
        <v>1</v>
      </c>
      <c r="AS5893">
        <v>0</v>
      </c>
      <c r="AT5893">
        <v>1</v>
      </c>
      <c r="AV5893">
        <v>1</v>
      </c>
      <c r="AW5893">
        <v>1</v>
      </c>
    </row>
    <row r="5894" spans="1:49" x14ac:dyDescent="0.25">
      <c r="A5894" t="str">
        <f>"5890"</f>
        <v>5890</v>
      </c>
      <c r="B5894" t="str">
        <f t="shared" si="340"/>
        <v>1</v>
      </c>
      <c r="C5894" t="str">
        <f t="shared" si="342"/>
        <v>259</v>
      </c>
      <c r="D5894" t="str">
        <f>"18"</f>
        <v>18</v>
      </c>
      <c r="E5894" t="str">
        <f>"1-259-18"</f>
        <v>1-259-18</v>
      </c>
      <c r="F5894" t="s">
        <v>83</v>
      </c>
      <c r="G5894" t="s">
        <v>84</v>
      </c>
      <c r="H5894" t="s">
        <v>85</v>
      </c>
      <c r="AC5894">
        <v>0</v>
      </c>
      <c r="AD5894">
        <v>1</v>
      </c>
      <c r="AE5894">
        <v>0</v>
      </c>
      <c r="AF5894">
        <v>0</v>
      </c>
      <c r="AG5894">
        <v>1</v>
      </c>
      <c r="AJ5894">
        <v>1</v>
      </c>
      <c r="AK5894">
        <v>0</v>
      </c>
      <c r="AL5894">
        <v>0</v>
      </c>
      <c r="AM5894">
        <v>1</v>
      </c>
      <c r="AN5894">
        <v>0</v>
      </c>
      <c r="AO5894">
        <v>1</v>
      </c>
      <c r="AP5894">
        <v>1</v>
      </c>
      <c r="AQ5894">
        <v>1</v>
      </c>
      <c r="AR5894">
        <v>1</v>
      </c>
      <c r="AS5894">
        <v>0</v>
      </c>
      <c r="AT5894">
        <v>1</v>
      </c>
      <c r="AV5894">
        <v>1</v>
      </c>
      <c r="AW5894">
        <v>1</v>
      </c>
    </row>
    <row r="5895" spans="1:49" x14ac:dyDescent="0.25">
      <c r="A5895" t="str">
        <f>"5891"</f>
        <v>5891</v>
      </c>
      <c r="B5895" t="str">
        <f t="shared" si="340"/>
        <v>1</v>
      </c>
      <c r="C5895" t="str">
        <f t="shared" si="342"/>
        <v>259</v>
      </c>
      <c r="D5895" t="str">
        <f>"11"</f>
        <v>11</v>
      </c>
      <c r="E5895" t="str">
        <f>"1-259-11"</f>
        <v>1-259-11</v>
      </c>
      <c r="F5895" t="s">
        <v>83</v>
      </c>
      <c r="G5895" t="s">
        <v>84</v>
      </c>
      <c r="H5895" t="s">
        <v>92</v>
      </c>
      <c r="I5895">
        <v>1</v>
      </c>
      <c r="J5895">
        <v>1</v>
      </c>
      <c r="N5895">
        <v>1</v>
      </c>
      <c r="O5895">
        <v>1</v>
      </c>
      <c r="P5895">
        <v>1</v>
      </c>
      <c r="Q5895">
        <v>1</v>
      </c>
      <c r="R5895">
        <v>1</v>
      </c>
      <c r="S5895">
        <v>1</v>
      </c>
      <c r="T5895">
        <v>1</v>
      </c>
      <c r="W5895">
        <v>1</v>
      </c>
      <c r="X5895">
        <v>1</v>
      </c>
      <c r="Y5895">
        <v>1</v>
      </c>
      <c r="Z5895">
        <v>1</v>
      </c>
      <c r="AA5895">
        <v>1</v>
      </c>
      <c r="AB5895">
        <v>1</v>
      </c>
    </row>
    <row r="5896" spans="1:49" x14ac:dyDescent="0.25">
      <c r="A5896" t="str">
        <f>"5892"</f>
        <v>5892</v>
      </c>
      <c r="B5896" t="str">
        <f t="shared" si="340"/>
        <v>1</v>
      </c>
      <c r="C5896" t="str">
        <f t="shared" si="342"/>
        <v>259</v>
      </c>
      <c r="D5896" t="str">
        <f>"7"</f>
        <v>7</v>
      </c>
      <c r="E5896" t="str">
        <f>"1-259-7"</f>
        <v>1-259-7</v>
      </c>
      <c r="F5896" t="s">
        <v>83</v>
      </c>
      <c r="G5896" t="s">
        <v>84</v>
      </c>
      <c r="H5896" t="s">
        <v>92</v>
      </c>
      <c r="I5896">
        <v>1</v>
      </c>
      <c r="J5896">
        <v>1</v>
      </c>
      <c r="N5896">
        <v>1</v>
      </c>
      <c r="O5896">
        <v>1</v>
      </c>
      <c r="P5896">
        <v>1</v>
      </c>
      <c r="Q5896">
        <v>1</v>
      </c>
      <c r="R5896">
        <v>1</v>
      </c>
      <c r="S5896">
        <v>1</v>
      </c>
      <c r="T5896">
        <v>1</v>
      </c>
      <c r="W5896">
        <v>0</v>
      </c>
      <c r="X5896">
        <v>1</v>
      </c>
      <c r="Y5896">
        <v>1</v>
      </c>
      <c r="Z5896">
        <v>1</v>
      </c>
      <c r="AA5896">
        <v>1</v>
      </c>
      <c r="AB5896">
        <v>1</v>
      </c>
    </row>
    <row r="5897" spans="1:49" x14ac:dyDescent="0.25">
      <c r="A5897" t="str">
        <f>"5893"</f>
        <v>5893</v>
      </c>
      <c r="B5897" t="str">
        <f t="shared" si="340"/>
        <v>1</v>
      </c>
      <c r="C5897" t="str">
        <f t="shared" si="342"/>
        <v>259</v>
      </c>
      <c r="D5897" t="str">
        <f>"22"</f>
        <v>22</v>
      </c>
      <c r="E5897" t="str">
        <f>"1-259-22"</f>
        <v>1-259-22</v>
      </c>
      <c r="F5897" t="s">
        <v>83</v>
      </c>
      <c r="G5897" t="s">
        <v>84</v>
      </c>
      <c r="H5897" t="s">
        <v>85</v>
      </c>
      <c r="AC5897">
        <v>0</v>
      </c>
      <c r="AD5897">
        <v>1</v>
      </c>
      <c r="AE5897">
        <v>0</v>
      </c>
      <c r="AF5897">
        <v>0</v>
      </c>
      <c r="AG5897">
        <v>1</v>
      </c>
      <c r="AJ5897">
        <v>0</v>
      </c>
      <c r="AK5897">
        <v>1</v>
      </c>
      <c r="AL5897">
        <v>0</v>
      </c>
      <c r="AM5897">
        <v>0</v>
      </c>
      <c r="AN5897">
        <v>1</v>
      </c>
      <c r="AO5897">
        <v>0</v>
      </c>
      <c r="AP5897">
        <v>0</v>
      </c>
      <c r="AQ5897">
        <v>0</v>
      </c>
      <c r="AR5897">
        <v>0</v>
      </c>
      <c r="AS5897">
        <v>0</v>
      </c>
      <c r="AT5897">
        <v>1</v>
      </c>
      <c r="AV5897">
        <v>0</v>
      </c>
      <c r="AW5897">
        <v>0</v>
      </c>
    </row>
    <row r="5898" spans="1:49" x14ac:dyDescent="0.25">
      <c r="A5898" t="str">
        <f>"5894"</f>
        <v>5894</v>
      </c>
      <c r="B5898" t="str">
        <f t="shared" si="340"/>
        <v>1</v>
      </c>
      <c r="C5898" t="str">
        <f t="shared" si="342"/>
        <v>259</v>
      </c>
      <c r="D5898" t="str">
        <f>"12"</f>
        <v>12</v>
      </c>
      <c r="E5898" t="str">
        <f>"1-259-12"</f>
        <v>1-259-12</v>
      </c>
      <c r="F5898" t="s">
        <v>83</v>
      </c>
      <c r="G5898" t="s">
        <v>84</v>
      </c>
      <c r="H5898" t="s">
        <v>92</v>
      </c>
      <c r="I5898">
        <v>1</v>
      </c>
      <c r="J5898">
        <v>1</v>
      </c>
      <c r="N5898">
        <v>1</v>
      </c>
      <c r="O5898">
        <v>1</v>
      </c>
      <c r="P5898">
        <v>1</v>
      </c>
      <c r="Q5898">
        <v>1</v>
      </c>
      <c r="R5898">
        <v>1</v>
      </c>
      <c r="S5898">
        <v>1</v>
      </c>
      <c r="T5898">
        <v>1</v>
      </c>
      <c r="W5898">
        <v>1</v>
      </c>
      <c r="X5898">
        <v>1</v>
      </c>
      <c r="Y5898">
        <v>1</v>
      </c>
      <c r="Z5898">
        <v>1</v>
      </c>
      <c r="AA5898">
        <v>1</v>
      </c>
      <c r="AB5898">
        <v>1</v>
      </c>
    </row>
    <row r="5899" spans="1:49" x14ac:dyDescent="0.25">
      <c r="A5899" t="str">
        <f>"5895"</f>
        <v>5895</v>
      </c>
      <c r="B5899" t="str">
        <f t="shared" si="340"/>
        <v>1</v>
      </c>
      <c r="C5899" t="str">
        <f t="shared" si="342"/>
        <v>259</v>
      </c>
      <c r="D5899" t="str">
        <f>"4"</f>
        <v>4</v>
      </c>
      <c r="E5899" t="str">
        <f>"1-259-4"</f>
        <v>1-259-4</v>
      </c>
      <c r="F5899" t="s">
        <v>83</v>
      </c>
      <c r="G5899" t="s">
        <v>84</v>
      </c>
      <c r="H5899" t="s">
        <v>92</v>
      </c>
      <c r="I5899">
        <v>1</v>
      </c>
      <c r="J5899">
        <v>1</v>
      </c>
      <c r="N5899">
        <v>1</v>
      </c>
      <c r="O5899">
        <v>1</v>
      </c>
      <c r="P5899">
        <v>1</v>
      </c>
      <c r="Q5899">
        <v>1</v>
      </c>
      <c r="R5899">
        <v>1</v>
      </c>
      <c r="S5899">
        <v>1</v>
      </c>
      <c r="T5899">
        <v>1</v>
      </c>
      <c r="W5899">
        <v>1</v>
      </c>
      <c r="X5899">
        <v>1</v>
      </c>
      <c r="Y5899">
        <v>1</v>
      </c>
      <c r="Z5899">
        <v>1</v>
      </c>
      <c r="AA5899">
        <v>1</v>
      </c>
      <c r="AB5899">
        <v>1</v>
      </c>
    </row>
    <row r="5900" spans="1:49" x14ac:dyDescent="0.25">
      <c r="A5900" t="str">
        <f>"5896"</f>
        <v>5896</v>
      </c>
      <c r="B5900" t="str">
        <f t="shared" si="340"/>
        <v>1</v>
      </c>
      <c r="C5900" t="str">
        <f t="shared" si="342"/>
        <v>259</v>
      </c>
      <c r="D5900" t="str">
        <f>"23"</f>
        <v>23</v>
      </c>
      <c r="E5900" t="str">
        <f>"1-259-23"</f>
        <v>1-259-23</v>
      </c>
      <c r="F5900" t="s">
        <v>83</v>
      </c>
      <c r="G5900" t="s">
        <v>84</v>
      </c>
      <c r="H5900" t="s">
        <v>92</v>
      </c>
      <c r="I5900">
        <v>1</v>
      </c>
      <c r="J5900">
        <v>1</v>
      </c>
      <c r="N5900">
        <v>1</v>
      </c>
      <c r="O5900">
        <v>1</v>
      </c>
      <c r="P5900">
        <v>1</v>
      </c>
      <c r="Q5900">
        <v>1</v>
      </c>
      <c r="R5900">
        <v>1</v>
      </c>
      <c r="S5900">
        <v>1</v>
      </c>
      <c r="T5900">
        <v>1</v>
      </c>
      <c r="W5900">
        <v>1</v>
      </c>
      <c r="X5900">
        <v>1</v>
      </c>
      <c r="Y5900">
        <v>1</v>
      </c>
      <c r="Z5900">
        <v>1</v>
      </c>
      <c r="AA5900">
        <v>1</v>
      </c>
      <c r="AB5900">
        <v>1</v>
      </c>
    </row>
    <row r="5901" spans="1:49" x14ac:dyDescent="0.25">
      <c r="A5901" t="str">
        <f>"5897"</f>
        <v>5897</v>
      </c>
      <c r="B5901" t="str">
        <f t="shared" si="340"/>
        <v>1</v>
      </c>
      <c r="C5901" t="str">
        <f t="shared" si="342"/>
        <v>259</v>
      </c>
      <c r="D5901" t="str">
        <f>"13"</f>
        <v>13</v>
      </c>
      <c r="E5901" t="str">
        <f>"1-259-13"</f>
        <v>1-259-13</v>
      </c>
      <c r="F5901" t="s">
        <v>83</v>
      </c>
      <c r="G5901" t="s">
        <v>84</v>
      </c>
      <c r="H5901" t="s">
        <v>85</v>
      </c>
      <c r="AC5901">
        <v>1</v>
      </c>
      <c r="AD5901">
        <v>0</v>
      </c>
      <c r="AE5901">
        <v>0</v>
      </c>
      <c r="AF5901">
        <v>0</v>
      </c>
      <c r="AG5901">
        <v>0</v>
      </c>
      <c r="AJ5901">
        <v>0</v>
      </c>
      <c r="AK5901">
        <v>1</v>
      </c>
      <c r="AL5901">
        <v>0</v>
      </c>
      <c r="AM5901">
        <v>0</v>
      </c>
      <c r="AN5901">
        <v>1</v>
      </c>
      <c r="AO5901">
        <v>0</v>
      </c>
      <c r="AP5901">
        <v>0</v>
      </c>
      <c r="AQ5901">
        <v>0</v>
      </c>
      <c r="AR5901">
        <v>0</v>
      </c>
      <c r="AS5901">
        <v>0</v>
      </c>
      <c r="AT5901">
        <v>0</v>
      </c>
      <c r="AV5901">
        <v>0</v>
      </c>
      <c r="AW5901">
        <v>0</v>
      </c>
    </row>
    <row r="5902" spans="1:49" x14ac:dyDescent="0.25">
      <c r="A5902" t="str">
        <f>"5898"</f>
        <v>5898</v>
      </c>
      <c r="B5902" t="str">
        <f t="shared" si="340"/>
        <v>1</v>
      </c>
      <c r="C5902" t="str">
        <f t="shared" si="342"/>
        <v>259</v>
      </c>
      <c r="D5902" t="str">
        <f>"17"</f>
        <v>17</v>
      </c>
      <c r="E5902" t="str">
        <f>"1-259-17"</f>
        <v>1-259-17</v>
      </c>
      <c r="F5902" t="s">
        <v>83</v>
      </c>
      <c r="G5902" t="s">
        <v>84</v>
      </c>
      <c r="H5902" t="s">
        <v>85</v>
      </c>
      <c r="AC5902">
        <v>0</v>
      </c>
      <c r="AD5902">
        <v>1</v>
      </c>
      <c r="AE5902">
        <v>0</v>
      </c>
      <c r="AF5902">
        <v>0</v>
      </c>
      <c r="AG5902">
        <v>0</v>
      </c>
      <c r="AJ5902">
        <v>1</v>
      </c>
      <c r="AK5902">
        <v>0</v>
      </c>
      <c r="AL5902">
        <v>0</v>
      </c>
      <c r="AM5902">
        <v>0</v>
      </c>
      <c r="AN5902">
        <v>1</v>
      </c>
      <c r="AO5902">
        <v>0</v>
      </c>
      <c r="AP5902">
        <v>0</v>
      </c>
      <c r="AQ5902">
        <v>0</v>
      </c>
      <c r="AR5902">
        <v>0</v>
      </c>
      <c r="AS5902">
        <v>0</v>
      </c>
      <c r="AT5902">
        <v>1</v>
      </c>
      <c r="AV5902">
        <v>0</v>
      </c>
      <c r="AW5902">
        <v>0</v>
      </c>
    </row>
    <row r="5903" spans="1:49" x14ac:dyDescent="0.25">
      <c r="A5903" t="str">
        <f>"5899"</f>
        <v>5899</v>
      </c>
      <c r="B5903" t="str">
        <f t="shared" si="340"/>
        <v>1</v>
      </c>
      <c r="C5903" t="str">
        <f t="shared" si="342"/>
        <v>259</v>
      </c>
      <c r="D5903" t="str">
        <f>"3"</f>
        <v>3</v>
      </c>
      <c r="E5903" t="str">
        <f>"1-259-3"</f>
        <v>1-259-3</v>
      </c>
      <c r="F5903" t="s">
        <v>83</v>
      </c>
      <c r="G5903" t="s">
        <v>84</v>
      </c>
      <c r="H5903" t="s">
        <v>92</v>
      </c>
      <c r="I5903">
        <v>1</v>
      </c>
      <c r="J5903">
        <v>1</v>
      </c>
      <c r="N5903">
        <v>1</v>
      </c>
      <c r="O5903">
        <v>1</v>
      </c>
      <c r="P5903">
        <v>1</v>
      </c>
      <c r="Q5903">
        <v>1</v>
      </c>
      <c r="R5903">
        <v>1</v>
      </c>
      <c r="S5903">
        <v>1</v>
      </c>
      <c r="T5903">
        <v>1</v>
      </c>
      <c r="W5903">
        <v>1</v>
      </c>
      <c r="X5903">
        <v>1</v>
      </c>
      <c r="Y5903">
        <v>1</v>
      </c>
      <c r="Z5903">
        <v>1</v>
      </c>
      <c r="AA5903">
        <v>1</v>
      </c>
      <c r="AB5903">
        <v>1</v>
      </c>
    </row>
    <row r="5904" spans="1:49" x14ac:dyDescent="0.25">
      <c r="A5904" t="str">
        <f>"5900"</f>
        <v>5900</v>
      </c>
      <c r="B5904" t="str">
        <f t="shared" si="340"/>
        <v>1</v>
      </c>
      <c r="C5904" t="str">
        <f t="shared" si="342"/>
        <v>259</v>
      </c>
      <c r="D5904" t="str">
        <f>"19"</f>
        <v>19</v>
      </c>
      <c r="E5904" t="str">
        <f>"1-259-19"</f>
        <v>1-259-19</v>
      </c>
      <c r="F5904" t="s">
        <v>83</v>
      </c>
      <c r="G5904" t="s">
        <v>84</v>
      </c>
      <c r="H5904" t="s">
        <v>92</v>
      </c>
      <c r="I5904">
        <v>1</v>
      </c>
      <c r="J5904">
        <v>1</v>
      </c>
      <c r="N5904">
        <v>1</v>
      </c>
      <c r="O5904">
        <v>1</v>
      </c>
      <c r="P5904">
        <v>1</v>
      </c>
      <c r="Q5904">
        <v>1</v>
      </c>
      <c r="R5904">
        <v>1</v>
      </c>
      <c r="S5904">
        <v>1</v>
      </c>
      <c r="T5904">
        <v>1</v>
      </c>
      <c r="W5904">
        <v>1</v>
      </c>
      <c r="X5904">
        <v>1</v>
      </c>
      <c r="Y5904">
        <v>1</v>
      </c>
      <c r="Z5904">
        <v>1</v>
      </c>
      <c r="AA5904">
        <v>1</v>
      </c>
      <c r="AB5904">
        <v>1</v>
      </c>
    </row>
    <row r="5905" spans="1:49" x14ac:dyDescent="0.25">
      <c r="A5905" t="str">
        <f>"5901"</f>
        <v>5901</v>
      </c>
      <c r="B5905" t="str">
        <f t="shared" si="340"/>
        <v>1</v>
      </c>
      <c r="C5905" t="str">
        <f t="shared" si="342"/>
        <v>259</v>
      </c>
      <c r="D5905" t="str">
        <f>"6"</f>
        <v>6</v>
      </c>
      <c r="E5905" t="str">
        <f>"1-259-6"</f>
        <v>1-259-6</v>
      </c>
      <c r="F5905" t="s">
        <v>83</v>
      </c>
      <c r="G5905" t="s">
        <v>84</v>
      </c>
      <c r="H5905" t="s">
        <v>85</v>
      </c>
      <c r="AC5905">
        <v>1</v>
      </c>
      <c r="AD5905">
        <v>0</v>
      </c>
      <c r="AE5905">
        <v>0</v>
      </c>
      <c r="AF5905">
        <v>0</v>
      </c>
      <c r="AG5905">
        <v>0</v>
      </c>
      <c r="AJ5905">
        <v>1</v>
      </c>
      <c r="AK5905">
        <v>0</v>
      </c>
      <c r="AL5905">
        <v>1</v>
      </c>
      <c r="AM5905">
        <v>0</v>
      </c>
      <c r="AN5905">
        <v>0</v>
      </c>
      <c r="AO5905">
        <v>0</v>
      </c>
      <c r="AP5905">
        <v>0</v>
      </c>
      <c r="AQ5905">
        <v>0</v>
      </c>
      <c r="AR5905">
        <v>0</v>
      </c>
      <c r="AS5905">
        <v>1</v>
      </c>
      <c r="AT5905">
        <v>0</v>
      </c>
      <c r="AV5905">
        <v>0</v>
      </c>
      <c r="AW5905">
        <v>0</v>
      </c>
    </row>
    <row r="5906" spans="1:49" x14ac:dyDescent="0.25">
      <c r="A5906" t="str">
        <f>"5902"</f>
        <v>5902</v>
      </c>
      <c r="B5906" t="str">
        <f t="shared" si="340"/>
        <v>1</v>
      </c>
      <c r="C5906" t="str">
        <f t="shared" si="342"/>
        <v>259</v>
      </c>
      <c r="D5906" t="str">
        <f>"5"</f>
        <v>5</v>
      </c>
      <c r="E5906" t="str">
        <f>"1-259-5"</f>
        <v>1-259-5</v>
      </c>
      <c r="F5906" t="s">
        <v>83</v>
      </c>
      <c r="G5906" t="s">
        <v>84</v>
      </c>
      <c r="H5906" t="s">
        <v>85</v>
      </c>
      <c r="AC5906">
        <v>0</v>
      </c>
      <c r="AD5906">
        <v>1</v>
      </c>
      <c r="AE5906">
        <v>0</v>
      </c>
      <c r="AF5906">
        <v>0</v>
      </c>
      <c r="AG5906">
        <v>1</v>
      </c>
      <c r="AJ5906">
        <v>0</v>
      </c>
      <c r="AK5906">
        <v>1</v>
      </c>
      <c r="AL5906">
        <v>0</v>
      </c>
      <c r="AM5906">
        <v>0</v>
      </c>
      <c r="AN5906">
        <v>1</v>
      </c>
      <c r="AO5906">
        <v>1</v>
      </c>
      <c r="AP5906">
        <v>1</v>
      </c>
      <c r="AQ5906">
        <v>1</v>
      </c>
      <c r="AR5906">
        <v>1</v>
      </c>
      <c r="AS5906">
        <v>0</v>
      </c>
      <c r="AT5906">
        <v>1</v>
      </c>
      <c r="AV5906">
        <v>1</v>
      </c>
      <c r="AW5906">
        <v>1</v>
      </c>
    </row>
    <row r="5907" spans="1:49" x14ac:dyDescent="0.25">
      <c r="A5907" t="str">
        <f>"5903"</f>
        <v>5903</v>
      </c>
      <c r="B5907" t="str">
        <f t="shared" si="340"/>
        <v>1</v>
      </c>
      <c r="C5907" t="str">
        <f t="shared" ref="C5907:C5930" si="343">"260"</f>
        <v>260</v>
      </c>
      <c r="D5907" t="str">
        <f>"21"</f>
        <v>21</v>
      </c>
      <c r="E5907" t="str">
        <f>"1-260-21"</f>
        <v>1-260-21</v>
      </c>
      <c r="F5907" t="s">
        <v>83</v>
      </c>
      <c r="G5907" t="s">
        <v>84</v>
      </c>
      <c r="H5907" t="s">
        <v>85</v>
      </c>
      <c r="AC5907">
        <v>1</v>
      </c>
      <c r="AD5907">
        <v>0</v>
      </c>
      <c r="AE5907">
        <v>0</v>
      </c>
      <c r="AF5907">
        <v>0</v>
      </c>
      <c r="AG5907">
        <v>1</v>
      </c>
      <c r="AJ5907">
        <v>1</v>
      </c>
      <c r="AK5907">
        <v>0</v>
      </c>
      <c r="AL5907">
        <v>1</v>
      </c>
      <c r="AM5907">
        <v>0</v>
      </c>
      <c r="AN5907">
        <v>0</v>
      </c>
      <c r="AO5907">
        <v>1</v>
      </c>
      <c r="AP5907">
        <v>1</v>
      </c>
      <c r="AQ5907">
        <v>1</v>
      </c>
      <c r="AR5907">
        <v>0</v>
      </c>
      <c r="AS5907">
        <v>1</v>
      </c>
      <c r="AT5907">
        <v>0</v>
      </c>
      <c r="AV5907">
        <v>1</v>
      </c>
      <c r="AW5907">
        <v>1</v>
      </c>
    </row>
    <row r="5908" spans="1:49" x14ac:dyDescent="0.25">
      <c r="A5908" t="str">
        <f>"5904"</f>
        <v>5904</v>
      </c>
      <c r="B5908" t="str">
        <f t="shared" si="340"/>
        <v>1</v>
      </c>
      <c r="C5908" t="str">
        <f t="shared" si="343"/>
        <v>260</v>
      </c>
      <c r="D5908" t="str">
        <f>"20"</f>
        <v>20</v>
      </c>
      <c r="E5908" t="str">
        <f>"1-260-20"</f>
        <v>1-260-20</v>
      </c>
      <c r="F5908" t="s">
        <v>83</v>
      </c>
      <c r="G5908" t="s">
        <v>84</v>
      </c>
      <c r="H5908" t="s">
        <v>85</v>
      </c>
      <c r="AC5908">
        <v>0</v>
      </c>
      <c r="AD5908">
        <v>1</v>
      </c>
      <c r="AE5908">
        <v>0</v>
      </c>
      <c r="AF5908">
        <v>0</v>
      </c>
      <c r="AG5908">
        <v>0</v>
      </c>
      <c r="AJ5908">
        <v>0</v>
      </c>
      <c r="AK5908">
        <v>1</v>
      </c>
      <c r="AL5908">
        <v>0</v>
      </c>
      <c r="AM5908">
        <v>0</v>
      </c>
      <c r="AN5908">
        <v>1</v>
      </c>
      <c r="AO5908">
        <v>0</v>
      </c>
      <c r="AP5908">
        <v>0</v>
      </c>
      <c r="AQ5908">
        <v>0</v>
      </c>
      <c r="AR5908">
        <v>0</v>
      </c>
      <c r="AS5908">
        <v>0</v>
      </c>
      <c r="AT5908">
        <v>1</v>
      </c>
      <c r="AV5908">
        <v>0</v>
      </c>
      <c r="AW5908">
        <v>1</v>
      </c>
    </row>
    <row r="5909" spans="1:49" x14ac:dyDescent="0.25">
      <c r="A5909" t="str">
        <f>"5905"</f>
        <v>5905</v>
      </c>
      <c r="B5909" t="str">
        <f t="shared" si="340"/>
        <v>1</v>
      </c>
      <c r="C5909" t="str">
        <f t="shared" si="343"/>
        <v>260</v>
      </c>
      <c r="D5909" t="str">
        <f>"15"</f>
        <v>15</v>
      </c>
      <c r="E5909" t="str">
        <f>"1-260-15"</f>
        <v>1-260-15</v>
      </c>
      <c r="F5909" t="s">
        <v>83</v>
      </c>
      <c r="G5909" t="s">
        <v>88</v>
      </c>
      <c r="H5909" t="s">
        <v>89</v>
      </c>
      <c r="AC5909">
        <v>1</v>
      </c>
      <c r="AD5909">
        <v>0</v>
      </c>
      <c r="AE5909">
        <v>0</v>
      </c>
      <c r="AF5909">
        <v>0</v>
      </c>
      <c r="AH5909">
        <v>1</v>
      </c>
      <c r="AI5909">
        <v>0</v>
      </c>
      <c r="AJ5909">
        <v>1</v>
      </c>
      <c r="AK5909">
        <v>0</v>
      </c>
      <c r="AL5909">
        <v>1</v>
      </c>
      <c r="AM5909">
        <v>0</v>
      </c>
      <c r="AN5909">
        <v>0</v>
      </c>
      <c r="AO5909">
        <v>1</v>
      </c>
      <c r="AP5909">
        <v>1</v>
      </c>
      <c r="AQ5909">
        <v>1</v>
      </c>
      <c r="AR5909">
        <v>1</v>
      </c>
      <c r="AS5909">
        <v>0</v>
      </c>
      <c r="AT5909">
        <v>1</v>
      </c>
      <c r="AV5909">
        <v>1</v>
      </c>
      <c r="AW5909">
        <v>1</v>
      </c>
    </row>
    <row r="5910" spans="1:49" x14ac:dyDescent="0.25">
      <c r="A5910" t="str">
        <f>"5906"</f>
        <v>5906</v>
      </c>
      <c r="B5910" t="str">
        <f t="shared" si="340"/>
        <v>1</v>
      </c>
      <c r="C5910" t="str">
        <f t="shared" si="343"/>
        <v>260</v>
      </c>
      <c r="D5910" t="str">
        <f>"14"</f>
        <v>14</v>
      </c>
      <c r="E5910" t="str">
        <f>"1-260-14"</f>
        <v>1-260-14</v>
      </c>
      <c r="F5910" t="s">
        <v>83</v>
      </c>
      <c r="G5910" t="s">
        <v>84</v>
      </c>
      <c r="H5910" t="s">
        <v>85</v>
      </c>
      <c r="AC5910">
        <v>1</v>
      </c>
      <c r="AD5910">
        <v>0</v>
      </c>
      <c r="AE5910">
        <v>0</v>
      </c>
      <c r="AF5910">
        <v>0</v>
      </c>
      <c r="AG5910">
        <v>0</v>
      </c>
      <c r="AJ5910">
        <v>1</v>
      </c>
      <c r="AK5910">
        <v>0</v>
      </c>
      <c r="AL5910">
        <v>1</v>
      </c>
      <c r="AM5910">
        <v>0</v>
      </c>
      <c r="AN5910">
        <v>0</v>
      </c>
      <c r="AO5910">
        <v>0</v>
      </c>
      <c r="AP5910">
        <v>0</v>
      </c>
      <c r="AQ5910">
        <v>0</v>
      </c>
      <c r="AR5910">
        <v>0</v>
      </c>
      <c r="AS5910">
        <v>0</v>
      </c>
      <c r="AT5910">
        <v>0</v>
      </c>
      <c r="AV5910">
        <v>0</v>
      </c>
      <c r="AW5910">
        <v>0</v>
      </c>
    </row>
    <row r="5911" spans="1:49" x14ac:dyDescent="0.25">
      <c r="A5911" t="str">
        <f>"5907"</f>
        <v>5907</v>
      </c>
      <c r="B5911" t="str">
        <f t="shared" si="340"/>
        <v>1</v>
      </c>
      <c r="C5911" t="str">
        <f t="shared" si="343"/>
        <v>260</v>
      </c>
      <c r="D5911" t="str">
        <f>"11"</f>
        <v>11</v>
      </c>
      <c r="E5911" t="str">
        <f>"1-260-11"</f>
        <v>1-260-11</v>
      </c>
      <c r="F5911" t="s">
        <v>83</v>
      </c>
      <c r="G5911" t="s">
        <v>84</v>
      </c>
      <c r="H5911" t="s">
        <v>85</v>
      </c>
      <c r="AC5911">
        <v>0</v>
      </c>
      <c r="AD5911">
        <v>0</v>
      </c>
      <c r="AE5911">
        <v>0</v>
      </c>
      <c r="AF5911">
        <v>0</v>
      </c>
      <c r="AG5911">
        <v>0</v>
      </c>
      <c r="AJ5911">
        <v>0</v>
      </c>
      <c r="AK5911">
        <v>0</v>
      </c>
      <c r="AL5911">
        <v>1</v>
      </c>
      <c r="AM5911">
        <v>0</v>
      </c>
      <c r="AN5911">
        <v>0</v>
      </c>
      <c r="AO5911">
        <v>0</v>
      </c>
      <c r="AP5911">
        <v>0</v>
      </c>
      <c r="AQ5911">
        <v>0</v>
      </c>
      <c r="AR5911">
        <v>1</v>
      </c>
      <c r="AS5911">
        <v>1</v>
      </c>
      <c r="AT5911">
        <v>0</v>
      </c>
      <c r="AV5911">
        <v>0</v>
      </c>
      <c r="AW5911">
        <v>0</v>
      </c>
    </row>
    <row r="5912" spans="1:49" x14ac:dyDescent="0.25">
      <c r="A5912" t="str">
        <f>"5908"</f>
        <v>5908</v>
      </c>
      <c r="B5912" t="str">
        <f t="shared" si="340"/>
        <v>1</v>
      </c>
      <c r="C5912" t="str">
        <f t="shared" si="343"/>
        <v>260</v>
      </c>
      <c r="D5912" t="str">
        <f>"8"</f>
        <v>8</v>
      </c>
      <c r="E5912" t="str">
        <f>"1-260-8"</f>
        <v>1-260-8</v>
      </c>
      <c r="F5912" t="s">
        <v>83</v>
      </c>
      <c r="G5912" t="s">
        <v>84</v>
      </c>
      <c r="H5912" t="s">
        <v>85</v>
      </c>
      <c r="AC5912">
        <v>1</v>
      </c>
      <c r="AD5912">
        <v>0</v>
      </c>
      <c r="AE5912">
        <v>0</v>
      </c>
      <c r="AF5912">
        <v>0</v>
      </c>
      <c r="AG5912">
        <v>1</v>
      </c>
      <c r="AJ5912">
        <v>0</v>
      </c>
      <c r="AK5912">
        <v>1</v>
      </c>
      <c r="AL5912">
        <v>0</v>
      </c>
      <c r="AM5912">
        <v>0</v>
      </c>
      <c r="AN5912">
        <v>1</v>
      </c>
      <c r="AO5912">
        <v>1</v>
      </c>
      <c r="AP5912">
        <v>1</v>
      </c>
      <c r="AQ5912">
        <v>1</v>
      </c>
      <c r="AR5912">
        <v>1</v>
      </c>
      <c r="AS5912">
        <v>1</v>
      </c>
      <c r="AT5912">
        <v>0</v>
      </c>
      <c r="AV5912">
        <v>1</v>
      </c>
      <c r="AW5912">
        <v>1</v>
      </c>
    </row>
    <row r="5913" spans="1:49" x14ac:dyDescent="0.25">
      <c r="A5913" t="str">
        <f>"5909"</f>
        <v>5909</v>
      </c>
      <c r="B5913" t="str">
        <f t="shared" si="340"/>
        <v>1</v>
      </c>
      <c r="C5913" t="str">
        <f t="shared" si="343"/>
        <v>260</v>
      </c>
      <c r="D5913" t="str">
        <f>"1"</f>
        <v>1</v>
      </c>
      <c r="E5913" t="str">
        <f>"1-260-1"</f>
        <v>1-260-1</v>
      </c>
      <c r="F5913" t="s">
        <v>83</v>
      </c>
      <c r="G5913" t="s">
        <v>84</v>
      </c>
      <c r="H5913" t="s">
        <v>85</v>
      </c>
      <c r="AC5913">
        <v>1</v>
      </c>
      <c r="AD5913">
        <v>0</v>
      </c>
      <c r="AE5913">
        <v>0</v>
      </c>
      <c r="AF5913">
        <v>0</v>
      </c>
      <c r="AG5913">
        <v>0</v>
      </c>
      <c r="AJ5913">
        <v>1</v>
      </c>
      <c r="AK5913">
        <v>0</v>
      </c>
      <c r="AL5913">
        <v>0</v>
      </c>
      <c r="AM5913">
        <v>1</v>
      </c>
      <c r="AN5913">
        <v>0</v>
      </c>
      <c r="AO5913">
        <v>0</v>
      </c>
      <c r="AP5913">
        <v>0</v>
      </c>
      <c r="AQ5913">
        <v>0</v>
      </c>
      <c r="AR5913">
        <v>0</v>
      </c>
      <c r="AS5913">
        <v>1</v>
      </c>
      <c r="AT5913">
        <v>0</v>
      </c>
      <c r="AV5913">
        <v>0</v>
      </c>
      <c r="AW5913">
        <v>1</v>
      </c>
    </row>
    <row r="5914" spans="1:49" x14ac:dyDescent="0.25">
      <c r="A5914" t="str">
        <f>"5910"</f>
        <v>5910</v>
      </c>
      <c r="B5914" t="str">
        <f t="shared" si="340"/>
        <v>1</v>
      </c>
      <c r="C5914" t="str">
        <f t="shared" si="343"/>
        <v>260</v>
      </c>
      <c r="D5914" t="str">
        <f>"17"</f>
        <v>17</v>
      </c>
      <c r="E5914" t="str">
        <f>"1-260-17"</f>
        <v>1-260-17</v>
      </c>
      <c r="F5914" t="s">
        <v>83</v>
      </c>
      <c r="G5914" t="s">
        <v>84</v>
      </c>
      <c r="H5914" t="s">
        <v>85</v>
      </c>
      <c r="AC5914">
        <v>0</v>
      </c>
      <c r="AD5914">
        <v>1</v>
      </c>
      <c r="AE5914">
        <v>0</v>
      </c>
      <c r="AF5914">
        <v>0</v>
      </c>
      <c r="AG5914">
        <v>1</v>
      </c>
      <c r="AJ5914">
        <v>0</v>
      </c>
      <c r="AK5914">
        <v>1</v>
      </c>
      <c r="AL5914">
        <v>0</v>
      </c>
      <c r="AM5914">
        <v>1</v>
      </c>
      <c r="AN5914">
        <v>0</v>
      </c>
      <c r="AO5914">
        <v>1</v>
      </c>
      <c r="AP5914">
        <v>1</v>
      </c>
      <c r="AQ5914">
        <v>1</v>
      </c>
      <c r="AR5914">
        <v>1</v>
      </c>
      <c r="AS5914">
        <v>0</v>
      </c>
      <c r="AT5914">
        <v>1</v>
      </c>
      <c r="AV5914">
        <v>1</v>
      </c>
      <c r="AW5914">
        <v>1</v>
      </c>
    </row>
    <row r="5915" spans="1:49" x14ac:dyDescent="0.25">
      <c r="A5915" t="str">
        <f>"5911"</f>
        <v>5911</v>
      </c>
      <c r="B5915" t="str">
        <f t="shared" si="340"/>
        <v>1</v>
      </c>
      <c r="C5915" t="str">
        <f t="shared" si="343"/>
        <v>260</v>
      </c>
      <c r="D5915" t="str">
        <f>"9"</f>
        <v>9</v>
      </c>
      <c r="E5915" t="str">
        <f>"1-260-9"</f>
        <v>1-260-9</v>
      </c>
      <c r="F5915" t="s">
        <v>83</v>
      </c>
      <c r="G5915" t="s">
        <v>84</v>
      </c>
      <c r="H5915" t="s">
        <v>85</v>
      </c>
      <c r="AC5915">
        <v>1</v>
      </c>
      <c r="AD5915">
        <v>0</v>
      </c>
      <c r="AE5915">
        <v>0</v>
      </c>
      <c r="AF5915">
        <v>0</v>
      </c>
      <c r="AG5915">
        <v>1</v>
      </c>
      <c r="AJ5915">
        <v>1</v>
      </c>
      <c r="AK5915">
        <v>0</v>
      </c>
      <c r="AL5915">
        <v>1</v>
      </c>
      <c r="AM5915">
        <v>0</v>
      </c>
      <c r="AN5915">
        <v>0</v>
      </c>
      <c r="AO5915">
        <v>1</v>
      </c>
      <c r="AP5915">
        <v>1</v>
      </c>
      <c r="AQ5915">
        <v>1</v>
      </c>
      <c r="AR5915">
        <v>1</v>
      </c>
      <c r="AS5915">
        <v>1</v>
      </c>
      <c r="AT5915">
        <v>0</v>
      </c>
      <c r="AV5915">
        <v>1</v>
      </c>
      <c r="AW5915">
        <v>1</v>
      </c>
    </row>
    <row r="5916" spans="1:49" x14ac:dyDescent="0.25">
      <c r="A5916" t="str">
        <f>"5912"</f>
        <v>5912</v>
      </c>
      <c r="B5916" t="str">
        <f t="shared" si="340"/>
        <v>1</v>
      </c>
      <c r="C5916" t="str">
        <f t="shared" si="343"/>
        <v>260</v>
      </c>
      <c r="D5916" t="str">
        <f>"6"</f>
        <v>6</v>
      </c>
      <c r="E5916" t="str">
        <f>"1-260-6"</f>
        <v>1-260-6</v>
      </c>
      <c r="F5916" t="s">
        <v>83</v>
      </c>
      <c r="G5916" t="s">
        <v>84</v>
      </c>
      <c r="H5916" t="s">
        <v>85</v>
      </c>
      <c r="AC5916">
        <v>1</v>
      </c>
      <c r="AD5916">
        <v>0</v>
      </c>
      <c r="AE5916">
        <v>0</v>
      </c>
      <c r="AF5916">
        <v>0</v>
      </c>
      <c r="AG5916">
        <v>1</v>
      </c>
      <c r="AJ5916">
        <v>1</v>
      </c>
      <c r="AK5916">
        <v>0</v>
      </c>
      <c r="AL5916">
        <v>1</v>
      </c>
      <c r="AM5916">
        <v>0</v>
      </c>
      <c r="AN5916">
        <v>0</v>
      </c>
      <c r="AO5916">
        <v>1</v>
      </c>
      <c r="AP5916">
        <v>1</v>
      </c>
      <c r="AQ5916">
        <v>1</v>
      </c>
      <c r="AR5916">
        <v>1</v>
      </c>
      <c r="AS5916">
        <v>0</v>
      </c>
      <c r="AT5916">
        <v>1</v>
      </c>
      <c r="AV5916">
        <v>1</v>
      </c>
      <c r="AW5916">
        <v>1</v>
      </c>
    </row>
    <row r="5917" spans="1:49" x14ac:dyDescent="0.25">
      <c r="A5917" t="str">
        <f>"5913"</f>
        <v>5913</v>
      </c>
      <c r="B5917" t="str">
        <f t="shared" si="340"/>
        <v>1</v>
      </c>
      <c r="C5917" t="str">
        <f t="shared" si="343"/>
        <v>260</v>
      </c>
      <c r="D5917" t="str">
        <f>"24"</f>
        <v>24</v>
      </c>
      <c r="E5917" t="str">
        <f>"1-260-24"</f>
        <v>1-260-24</v>
      </c>
      <c r="F5917" t="s">
        <v>83</v>
      </c>
      <c r="G5917" t="s">
        <v>84</v>
      </c>
      <c r="H5917" t="s">
        <v>85</v>
      </c>
      <c r="AC5917">
        <v>0</v>
      </c>
      <c r="AD5917">
        <v>1</v>
      </c>
      <c r="AE5917">
        <v>0</v>
      </c>
      <c r="AF5917">
        <v>0</v>
      </c>
      <c r="AG5917">
        <v>1</v>
      </c>
      <c r="AJ5917">
        <v>1</v>
      </c>
      <c r="AK5917">
        <v>0</v>
      </c>
      <c r="AL5917">
        <v>1</v>
      </c>
      <c r="AM5917">
        <v>0</v>
      </c>
      <c r="AN5917">
        <v>0</v>
      </c>
      <c r="AO5917">
        <v>1</v>
      </c>
      <c r="AP5917">
        <v>1</v>
      </c>
      <c r="AQ5917">
        <v>1</v>
      </c>
      <c r="AR5917">
        <v>1</v>
      </c>
      <c r="AS5917">
        <v>0</v>
      </c>
      <c r="AT5917">
        <v>1</v>
      </c>
      <c r="AV5917">
        <v>1</v>
      </c>
      <c r="AW5917">
        <v>1</v>
      </c>
    </row>
    <row r="5918" spans="1:49" x14ac:dyDescent="0.25">
      <c r="A5918" t="str">
        <f>"5914"</f>
        <v>5914</v>
      </c>
      <c r="B5918" t="str">
        <f t="shared" ref="B5918:B5981" si="344">"1"</f>
        <v>1</v>
      </c>
      <c r="C5918" t="str">
        <f t="shared" si="343"/>
        <v>260</v>
      </c>
      <c r="D5918" t="str">
        <f>"16"</f>
        <v>16</v>
      </c>
      <c r="E5918" t="str">
        <f>"1-260-16"</f>
        <v>1-260-16</v>
      </c>
      <c r="F5918" t="s">
        <v>83</v>
      </c>
      <c r="G5918" t="s">
        <v>84</v>
      </c>
      <c r="H5918" t="s">
        <v>85</v>
      </c>
      <c r="AC5918">
        <v>0</v>
      </c>
      <c r="AD5918">
        <v>1</v>
      </c>
      <c r="AE5918">
        <v>0</v>
      </c>
      <c r="AF5918">
        <v>0</v>
      </c>
      <c r="AG5918">
        <v>1</v>
      </c>
      <c r="AJ5918">
        <v>0</v>
      </c>
      <c r="AK5918">
        <v>1</v>
      </c>
      <c r="AL5918">
        <v>0</v>
      </c>
      <c r="AM5918">
        <v>0</v>
      </c>
      <c r="AN5918">
        <v>1</v>
      </c>
      <c r="AO5918">
        <v>1</v>
      </c>
      <c r="AP5918">
        <v>1</v>
      </c>
      <c r="AQ5918">
        <v>1</v>
      </c>
      <c r="AR5918">
        <v>1</v>
      </c>
      <c r="AS5918">
        <v>1</v>
      </c>
      <c r="AT5918">
        <v>0</v>
      </c>
      <c r="AV5918">
        <v>1</v>
      </c>
      <c r="AW5918">
        <v>1</v>
      </c>
    </row>
    <row r="5919" spans="1:49" x14ac:dyDescent="0.25">
      <c r="A5919" t="str">
        <f>"5915"</f>
        <v>5915</v>
      </c>
      <c r="B5919" t="str">
        <f t="shared" si="344"/>
        <v>1</v>
      </c>
      <c r="C5919" t="str">
        <f t="shared" si="343"/>
        <v>260</v>
      </c>
      <c r="D5919" t="str">
        <f>"10"</f>
        <v>10</v>
      </c>
      <c r="E5919" t="str">
        <f>"1-260-10"</f>
        <v>1-260-10</v>
      </c>
      <c r="F5919" t="s">
        <v>83</v>
      </c>
      <c r="G5919" t="s">
        <v>84</v>
      </c>
      <c r="H5919" t="s">
        <v>85</v>
      </c>
      <c r="AC5919">
        <v>1</v>
      </c>
      <c r="AD5919">
        <v>0</v>
      </c>
      <c r="AE5919">
        <v>0</v>
      </c>
      <c r="AF5919">
        <v>0</v>
      </c>
      <c r="AG5919">
        <v>0</v>
      </c>
      <c r="AJ5919">
        <v>1</v>
      </c>
      <c r="AK5919">
        <v>0</v>
      </c>
      <c r="AL5919">
        <v>1</v>
      </c>
      <c r="AM5919">
        <v>0</v>
      </c>
      <c r="AN5919">
        <v>0</v>
      </c>
      <c r="AO5919">
        <v>0</v>
      </c>
      <c r="AP5919">
        <v>0</v>
      </c>
      <c r="AQ5919">
        <v>0</v>
      </c>
      <c r="AR5919">
        <v>0</v>
      </c>
      <c r="AS5919">
        <v>0</v>
      </c>
      <c r="AT5919">
        <v>0</v>
      </c>
      <c r="AV5919">
        <v>0</v>
      </c>
      <c r="AW5919">
        <v>0</v>
      </c>
    </row>
    <row r="5920" spans="1:49" x14ac:dyDescent="0.25">
      <c r="A5920" t="str">
        <f>"5916"</f>
        <v>5916</v>
      </c>
      <c r="B5920" t="str">
        <f t="shared" si="344"/>
        <v>1</v>
      </c>
      <c r="C5920" t="str">
        <f t="shared" si="343"/>
        <v>260</v>
      </c>
      <c r="D5920" t="str">
        <f>"3"</f>
        <v>3</v>
      </c>
      <c r="E5920" t="str">
        <f>"1-260-3"</f>
        <v>1-260-3</v>
      </c>
      <c r="F5920" t="s">
        <v>83</v>
      </c>
      <c r="G5920" t="s">
        <v>84</v>
      </c>
      <c r="H5920" t="s">
        <v>85</v>
      </c>
      <c r="AC5920">
        <v>1</v>
      </c>
      <c r="AD5920">
        <v>0</v>
      </c>
      <c r="AE5920">
        <v>0</v>
      </c>
      <c r="AF5920">
        <v>0</v>
      </c>
      <c r="AG5920">
        <v>1</v>
      </c>
      <c r="AJ5920">
        <v>0</v>
      </c>
      <c r="AK5920">
        <v>1</v>
      </c>
      <c r="AL5920">
        <v>0</v>
      </c>
      <c r="AM5920">
        <v>0</v>
      </c>
      <c r="AN5920">
        <v>1</v>
      </c>
      <c r="AO5920">
        <v>1</v>
      </c>
      <c r="AP5920">
        <v>1</v>
      </c>
      <c r="AQ5920">
        <v>1</v>
      </c>
      <c r="AR5920">
        <v>1</v>
      </c>
      <c r="AS5920">
        <v>0</v>
      </c>
      <c r="AT5920">
        <v>1</v>
      </c>
      <c r="AV5920">
        <v>1</v>
      </c>
      <c r="AW5920">
        <v>1</v>
      </c>
    </row>
    <row r="5921" spans="1:49" x14ac:dyDescent="0.25">
      <c r="A5921" t="str">
        <f>"5917"</f>
        <v>5917</v>
      </c>
      <c r="B5921" t="str">
        <f t="shared" si="344"/>
        <v>1</v>
      </c>
      <c r="C5921" t="str">
        <f t="shared" si="343"/>
        <v>260</v>
      </c>
      <c r="D5921" t="str">
        <f>"22"</f>
        <v>22</v>
      </c>
      <c r="E5921" t="str">
        <f>"1-260-22"</f>
        <v>1-260-22</v>
      </c>
      <c r="F5921" t="s">
        <v>83</v>
      </c>
      <c r="G5921" t="s">
        <v>84</v>
      </c>
      <c r="H5921" t="s">
        <v>85</v>
      </c>
      <c r="AC5921">
        <v>0</v>
      </c>
      <c r="AD5921">
        <v>1</v>
      </c>
      <c r="AE5921">
        <v>0</v>
      </c>
      <c r="AF5921">
        <v>0</v>
      </c>
      <c r="AG5921">
        <v>1</v>
      </c>
      <c r="AJ5921">
        <v>1</v>
      </c>
      <c r="AK5921">
        <v>0</v>
      </c>
      <c r="AL5921">
        <v>1</v>
      </c>
      <c r="AM5921">
        <v>0</v>
      </c>
      <c r="AN5921">
        <v>0</v>
      </c>
      <c r="AO5921">
        <v>1</v>
      </c>
      <c r="AP5921">
        <v>1</v>
      </c>
      <c r="AQ5921">
        <v>1</v>
      </c>
      <c r="AR5921">
        <v>1</v>
      </c>
      <c r="AS5921">
        <v>1</v>
      </c>
      <c r="AT5921">
        <v>0</v>
      </c>
      <c r="AV5921">
        <v>1</v>
      </c>
      <c r="AW5921">
        <v>1</v>
      </c>
    </row>
    <row r="5922" spans="1:49" x14ac:dyDescent="0.25">
      <c r="A5922" t="str">
        <f>"5918"</f>
        <v>5918</v>
      </c>
      <c r="B5922" t="str">
        <f t="shared" si="344"/>
        <v>1</v>
      </c>
      <c r="C5922" t="str">
        <f t="shared" si="343"/>
        <v>260</v>
      </c>
      <c r="D5922" t="str">
        <f>"12"</f>
        <v>12</v>
      </c>
      <c r="E5922" t="str">
        <f>"1-260-12"</f>
        <v>1-260-12</v>
      </c>
      <c r="F5922" t="s">
        <v>83</v>
      </c>
      <c r="G5922" t="s">
        <v>84</v>
      </c>
      <c r="H5922" t="s">
        <v>85</v>
      </c>
      <c r="AC5922">
        <v>1</v>
      </c>
      <c r="AD5922">
        <v>0</v>
      </c>
      <c r="AE5922">
        <v>0</v>
      </c>
      <c r="AF5922">
        <v>0</v>
      </c>
      <c r="AG5922">
        <v>1</v>
      </c>
      <c r="AJ5922">
        <v>0</v>
      </c>
      <c r="AK5922">
        <v>1</v>
      </c>
      <c r="AL5922">
        <v>0</v>
      </c>
      <c r="AM5922">
        <v>0</v>
      </c>
      <c r="AN5922">
        <v>1</v>
      </c>
      <c r="AO5922">
        <v>1</v>
      </c>
      <c r="AP5922">
        <v>1</v>
      </c>
      <c r="AQ5922">
        <v>1</v>
      </c>
      <c r="AR5922">
        <v>1</v>
      </c>
      <c r="AS5922">
        <v>0</v>
      </c>
      <c r="AT5922">
        <v>1</v>
      </c>
      <c r="AV5922">
        <v>1</v>
      </c>
      <c r="AW5922">
        <v>1</v>
      </c>
    </row>
    <row r="5923" spans="1:49" x14ac:dyDescent="0.25">
      <c r="A5923" t="str">
        <f>"5919"</f>
        <v>5919</v>
      </c>
      <c r="B5923" t="str">
        <f t="shared" si="344"/>
        <v>1</v>
      </c>
      <c r="C5923" t="str">
        <f t="shared" si="343"/>
        <v>260</v>
      </c>
      <c r="D5923" t="str">
        <f>"23"</f>
        <v>23</v>
      </c>
      <c r="E5923" t="str">
        <f>"1-260-23"</f>
        <v>1-260-23</v>
      </c>
      <c r="F5923" t="s">
        <v>83</v>
      </c>
      <c r="G5923" t="s">
        <v>84</v>
      </c>
      <c r="H5923" t="s">
        <v>85</v>
      </c>
      <c r="AC5923">
        <v>1</v>
      </c>
      <c r="AD5923">
        <v>0</v>
      </c>
      <c r="AE5923">
        <v>0</v>
      </c>
      <c r="AF5923">
        <v>0</v>
      </c>
      <c r="AG5923">
        <v>0</v>
      </c>
      <c r="AJ5923">
        <v>1</v>
      </c>
      <c r="AK5923">
        <v>0</v>
      </c>
      <c r="AL5923">
        <v>1</v>
      </c>
      <c r="AM5923">
        <v>0</v>
      </c>
      <c r="AN5923">
        <v>0</v>
      </c>
      <c r="AO5923">
        <v>0</v>
      </c>
      <c r="AP5923">
        <v>0</v>
      </c>
      <c r="AQ5923">
        <v>0</v>
      </c>
      <c r="AR5923">
        <v>0</v>
      </c>
      <c r="AS5923">
        <v>0</v>
      </c>
      <c r="AT5923">
        <v>0</v>
      </c>
      <c r="AV5923">
        <v>0</v>
      </c>
      <c r="AW5923">
        <v>1</v>
      </c>
    </row>
    <row r="5924" spans="1:49" x14ac:dyDescent="0.25">
      <c r="A5924" t="str">
        <f>"5920"</f>
        <v>5920</v>
      </c>
      <c r="B5924" t="str">
        <f t="shared" si="344"/>
        <v>1</v>
      </c>
      <c r="C5924" t="str">
        <f t="shared" si="343"/>
        <v>260</v>
      </c>
      <c r="D5924" t="str">
        <f>"13"</f>
        <v>13</v>
      </c>
      <c r="E5924" t="str">
        <f>"1-260-13"</f>
        <v>1-260-13</v>
      </c>
      <c r="F5924" t="s">
        <v>83</v>
      </c>
      <c r="G5924" t="s">
        <v>84</v>
      </c>
      <c r="H5924" t="s">
        <v>85</v>
      </c>
      <c r="AC5924">
        <v>0</v>
      </c>
      <c r="AD5924">
        <v>0</v>
      </c>
      <c r="AE5924">
        <v>0</v>
      </c>
      <c r="AF5924">
        <v>0</v>
      </c>
      <c r="AG5924">
        <v>0</v>
      </c>
      <c r="AJ5924">
        <v>1</v>
      </c>
      <c r="AK5924">
        <v>0</v>
      </c>
      <c r="AL5924">
        <v>0</v>
      </c>
      <c r="AM5924">
        <v>1</v>
      </c>
      <c r="AN5924">
        <v>0</v>
      </c>
      <c r="AO5924">
        <v>0</v>
      </c>
      <c r="AP5924">
        <v>0</v>
      </c>
      <c r="AQ5924">
        <v>0</v>
      </c>
      <c r="AR5924">
        <v>0</v>
      </c>
      <c r="AS5924">
        <v>0</v>
      </c>
      <c r="AT5924">
        <v>1</v>
      </c>
      <c r="AV5924">
        <v>0</v>
      </c>
      <c r="AW5924">
        <v>1</v>
      </c>
    </row>
    <row r="5925" spans="1:49" x14ac:dyDescent="0.25">
      <c r="A5925" t="str">
        <f>"5921"</f>
        <v>5921</v>
      </c>
      <c r="B5925" t="str">
        <f t="shared" si="344"/>
        <v>1</v>
      </c>
      <c r="C5925" t="str">
        <f t="shared" si="343"/>
        <v>260</v>
      </c>
      <c r="D5925" t="str">
        <f>"4"</f>
        <v>4</v>
      </c>
      <c r="E5925" t="str">
        <f>"1-260-4"</f>
        <v>1-260-4</v>
      </c>
      <c r="F5925" t="s">
        <v>83</v>
      </c>
      <c r="G5925" t="s">
        <v>84</v>
      </c>
      <c r="H5925" t="s">
        <v>85</v>
      </c>
      <c r="AC5925">
        <v>0</v>
      </c>
      <c r="AD5925">
        <v>1</v>
      </c>
      <c r="AE5925">
        <v>0</v>
      </c>
      <c r="AF5925">
        <v>0</v>
      </c>
      <c r="AG5925">
        <v>0</v>
      </c>
      <c r="AJ5925">
        <v>1</v>
      </c>
      <c r="AK5925">
        <v>0</v>
      </c>
      <c r="AL5925">
        <v>0</v>
      </c>
      <c r="AM5925">
        <v>0</v>
      </c>
      <c r="AN5925">
        <v>1</v>
      </c>
      <c r="AO5925">
        <v>0</v>
      </c>
      <c r="AP5925">
        <v>0</v>
      </c>
      <c r="AQ5925">
        <v>0</v>
      </c>
      <c r="AR5925">
        <v>1</v>
      </c>
      <c r="AS5925">
        <v>0</v>
      </c>
      <c r="AT5925">
        <v>1</v>
      </c>
      <c r="AV5925">
        <v>1</v>
      </c>
      <c r="AW5925">
        <v>1</v>
      </c>
    </row>
    <row r="5926" spans="1:49" x14ac:dyDescent="0.25">
      <c r="A5926" t="str">
        <f>"5922"</f>
        <v>5922</v>
      </c>
      <c r="B5926" t="str">
        <f t="shared" si="344"/>
        <v>1</v>
      </c>
      <c r="C5926" t="str">
        <f t="shared" si="343"/>
        <v>260</v>
      </c>
      <c r="D5926" t="str">
        <f>"18"</f>
        <v>18</v>
      </c>
      <c r="E5926" t="str">
        <f>"1-260-18"</f>
        <v>1-260-18</v>
      </c>
      <c r="F5926" t="s">
        <v>83</v>
      </c>
      <c r="G5926" t="s">
        <v>84</v>
      </c>
      <c r="H5926" t="s">
        <v>85</v>
      </c>
      <c r="AC5926">
        <v>0</v>
      </c>
      <c r="AD5926">
        <v>1</v>
      </c>
      <c r="AE5926">
        <v>0</v>
      </c>
      <c r="AF5926">
        <v>0</v>
      </c>
      <c r="AG5926">
        <v>1</v>
      </c>
      <c r="AJ5926">
        <v>0</v>
      </c>
      <c r="AK5926">
        <v>1</v>
      </c>
      <c r="AL5926">
        <v>0</v>
      </c>
      <c r="AM5926">
        <v>0</v>
      </c>
      <c r="AN5926">
        <v>1</v>
      </c>
      <c r="AO5926">
        <v>1</v>
      </c>
      <c r="AP5926">
        <v>1</v>
      </c>
      <c r="AQ5926">
        <v>1</v>
      </c>
      <c r="AR5926">
        <v>1</v>
      </c>
      <c r="AS5926">
        <v>1</v>
      </c>
      <c r="AT5926">
        <v>0</v>
      </c>
      <c r="AV5926">
        <v>1</v>
      </c>
      <c r="AW5926">
        <v>1</v>
      </c>
    </row>
    <row r="5927" spans="1:49" x14ac:dyDescent="0.25">
      <c r="A5927" t="str">
        <f>"5923"</f>
        <v>5923</v>
      </c>
      <c r="B5927" t="str">
        <f t="shared" si="344"/>
        <v>1</v>
      </c>
      <c r="C5927" t="str">
        <f t="shared" si="343"/>
        <v>260</v>
      </c>
      <c r="D5927" t="str">
        <f>"2"</f>
        <v>2</v>
      </c>
      <c r="E5927" t="str">
        <f>"1-260-2"</f>
        <v>1-260-2</v>
      </c>
      <c r="F5927" t="s">
        <v>83</v>
      </c>
      <c r="G5927" t="s">
        <v>84</v>
      </c>
      <c r="H5927" t="s">
        <v>85</v>
      </c>
      <c r="AC5927">
        <v>0</v>
      </c>
      <c r="AD5927">
        <v>1</v>
      </c>
      <c r="AE5927">
        <v>0</v>
      </c>
      <c r="AF5927">
        <v>0</v>
      </c>
      <c r="AG5927">
        <v>0</v>
      </c>
      <c r="AJ5927">
        <v>0</v>
      </c>
      <c r="AK5927">
        <v>1</v>
      </c>
      <c r="AL5927">
        <v>0</v>
      </c>
      <c r="AM5927">
        <v>1</v>
      </c>
      <c r="AN5927">
        <v>0</v>
      </c>
      <c r="AO5927">
        <v>0</v>
      </c>
      <c r="AP5927">
        <v>0</v>
      </c>
      <c r="AQ5927">
        <v>0</v>
      </c>
      <c r="AR5927">
        <v>0</v>
      </c>
      <c r="AS5927">
        <v>0</v>
      </c>
      <c r="AT5927">
        <v>1</v>
      </c>
      <c r="AV5927">
        <v>0</v>
      </c>
      <c r="AW5927">
        <v>0</v>
      </c>
    </row>
    <row r="5928" spans="1:49" x14ac:dyDescent="0.25">
      <c r="A5928" t="str">
        <f>"5924"</f>
        <v>5924</v>
      </c>
      <c r="B5928" t="str">
        <f t="shared" si="344"/>
        <v>1</v>
      </c>
      <c r="C5928" t="str">
        <f t="shared" si="343"/>
        <v>260</v>
      </c>
      <c r="D5928" t="str">
        <f>"19"</f>
        <v>19</v>
      </c>
      <c r="E5928" t="str">
        <f>"1-260-19"</f>
        <v>1-260-19</v>
      </c>
      <c r="F5928" t="s">
        <v>83</v>
      </c>
      <c r="G5928" t="s">
        <v>84</v>
      </c>
      <c r="H5928" t="s">
        <v>85</v>
      </c>
      <c r="AC5928">
        <v>1</v>
      </c>
      <c r="AD5928">
        <v>0</v>
      </c>
      <c r="AE5928">
        <v>0</v>
      </c>
      <c r="AF5928">
        <v>0</v>
      </c>
      <c r="AG5928">
        <v>0</v>
      </c>
      <c r="AJ5928">
        <v>1</v>
      </c>
      <c r="AK5928">
        <v>0</v>
      </c>
      <c r="AL5928">
        <v>1</v>
      </c>
      <c r="AM5928">
        <v>0</v>
      </c>
      <c r="AN5928">
        <v>0</v>
      </c>
      <c r="AO5928">
        <v>0</v>
      </c>
      <c r="AP5928">
        <v>0</v>
      </c>
      <c r="AQ5928">
        <v>0</v>
      </c>
      <c r="AR5928">
        <v>0</v>
      </c>
      <c r="AS5928">
        <v>0</v>
      </c>
      <c r="AT5928">
        <v>1</v>
      </c>
      <c r="AV5928">
        <v>0</v>
      </c>
      <c r="AW5928">
        <v>1</v>
      </c>
    </row>
    <row r="5929" spans="1:49" x14ac:dyDescent="0.25">
      <c r="A5929" t="str">
        <f>"5925"</f>
        <v>5925</v>
      </c>
      <c r="B5929" t="str">
        <f t="shared" si="344"/>
        <v>1</v>
      </c>
      <c r="C5929" t="str">
        <f t="shared" si="343"/>
        <v>260</v>
      </c>
      <c r="D5929" t="str">
        <f>"7"</f>
        <v>7</v>
      </c>
      <c r="E5929" t="str">
        <f>"1-260-7"</f>
        <v>1-260-7</v>
      </c>
      <c r="F5929" t="s">
        <v>83</v>
      </c>
      <c r="G5929" t="s">
        <v>84</v>
      </c>
      <c r="H5929" t="s">
        <v>85</v>
      </c>
      <c r="AC5929">
        <v>0</v>
      </c>
      <c r="AD5929">
        <v>1</v>
      </c>
      <c r="AE5929">
        <v>0</v>
      </c>
      <c r="AF5929">
        <v>0</v>
      </c>
      <c r="AG5929">
        <v>1</v>
      </c>
      <c r="AJ5929">
        <v>1</v>
      </c>
      <c r="AK5929">
        <v>0</v>
      </c>
      <c r="AL5929">
        <v>0</v>
      </c>
      <c r="AM5929">
        <v>1</v>
      </c>
      <c r="AN5929">
        <v>0</v>
      </c>
      <c r="AO5929">
        <v>1</v>
      </c>
      <c r="AP5929">
        <v>1</v>
      </c>
      <c r="AQ5929">
        <v>1</v>
      </c>
      <c r="AR5929">
        <v>1</v>
      </c>
      <c r="AS5929">
        <v>0</v>
      </c>
      <c r="AT5929">
        <v>1</v>
      </c>
      <c r="AV5929">
        <v>1</v>
      </c>
      <c r="AW5929">
        <v>0</v>
      </c>
    </row>
    <row r="5930" spans="1:49" x14ac:dyDescent="0.25">
      <c r="A5930" t="str">
        <f>"5926"</f>
        <v>5926</v>
      </c>
      <c r="B5930" t="str">
        <f t="shared" si="344"/>
        <v>1</v>
      </c>
      <c r="C5930" t="str">
        <f t="shared" si="343"/>
        <v>260</v>
      </c>
      <c r="D5930" t="str">
        <f>"5"</f>
        <v>5</v>
      </c>
      <c r="E5930" t="str">
        <f>"1-260-5"</f>
        <v>1-260-5</v>
      </c>
      <c r="F5930" t="s">
        <v>83</v>
      </c>
      <c r="G5930" t="s">
        <v>84</v>
      </c>
      <c r="H5930" t="s">
        <v>85</v>
      </c>
      <c r="AC5930">
        <v>1</v>
      </c>
      <c r="AD5930">
        <v>0</v>
      </c>
      <c r="AE5930">
        <v>0</v>
      </c>
      <c r="AF5930">
        <v>0</v>
      </c>
      <c r="AG5930">
        <v>1</v>
      </c>
      <c r="AJ5930">
        <v>0</v>
      </c>
      <c r="AK5930">
        <v>1</v>
      </c>
      <c r="AL5930">
        <v>0</v>
      </c>
      <c r="AM5930">
        <v>0</v>
      </c>
      <c r="AN5930">
        <v>1</v>
      </c>
      <c r="AO5930">
        <v>1</v>
      </c>
      <c r="AP5930">
        <v>1</v>
      </c>
      <c r="AQ5930">
        <v>1</v>
      </c>
      <c r="AR5930">
        <v>1</v>
      </c>
      <c r="AS5930">
        <v>0</v>
      </c>
      <c r="AT5930">
        <v>1</v>
      </c>
      <c r="AV5930">
        <v>1</v>
      </c>
      <c r="AW5930">
        <v>1</v>
      </c>
    </row>
    <row r="5931" spans="1:49" x14ac:dyDescent="0.25">
      <c r="A5931" t="str">
        <f>"5927"</f>
        <v>5927</v>
      </c>
      <c r="B5931" t="str">
        <f t="shared" si="344"/>
        <v>1</v>
      </c>
      <c r="C5931" t="str">
        <f t="shared" ref="C5931:C5955" si="345">"261"</f>
        <v>261</v>
      </c>
      <c r="D5931" t="str">
        <f>"21"</f>
        <v>21</v>
      </c>
      <c r="E5931" t="str">
        <f>"1-261-21"</f>
        <v>1-261-21</v>
      </c>
      <c r="F5931" t="s">
        <v>83</v>
      </c>
      <c r="G5931" t="s">
        <v>86</v>
      </c>
      <c r="H5931" t="s">
        <v>87</v>
      </c>
      <c r="AC5931">
        <v>1</v>
      </c>
      <c r="AD5931">
        <v>0</v>
      </c>
      <c r="AE5931">
        <v>0</v>
      </c>
      <c r="AF5931">
        <v>0</v>
      </c>
      <c r="AH5931">
        <v>1</v>
      </c>
      <c r="AI5931">
        <v>0</v>
      </c>
      <c r="AJ5931">
        <v>0</v>
      </c>
      <c r="AK5931">
        <v>1</v>
      </c>
      <c r="AL5931">
        <v>0</v>
      </c>
      <c r="AM5931">
        <v>0</v>
      </c>
      <c r="AN5931">
        <v>1</v>
      </c>
      <c r="AO5931">
        <v>1</v>
      </c>
      <c r="AP5931">
        <v>1</v>
      </c>
      <c r="AQ5931">
        <v>1</v>
      </c>
      <c r="AU5931">
        <v>1</v>
      </c>
      <c r="AV5931">
        <v>1</v>
      </c>
      <c r="AW5931">
        <v>1</v>
      </c>
    </row>
    <row r="5932" spans="1:49" x14ac:dyDescent="0.25">
      <c r="A5932" t="str">
        <f>"5928"</f>
        <v>5928</v>
      </c>
      <c r="B5932" t="str">
        <f t="shared" si="344"/>
        <v>1</v>
      </c>
      <c r="C5932" t="str">
        <f t="shared" si="345"/>
        <v>261</v>
      </c>
      <c r="D5932" t="str">
        <f>"20"</f>
        <v>20</v>
      </c>
      <c r="E5932" t="str">
        <f>"1-261-20"</f>
        <v>1-261-20</v>
      </c>
      <c r="F5932" t="s">
        <v>83</v>
      </c>
      <c r="G5932" t="s">
        <v>84</v>
      </c>
      <c r="H5932" t="s">
        <v>85</v>
      </c>
      <c r="AC5932">
        <v>1</v>
      </c>
      <c r="AD5932">
        <v>0</v>
      </c>
      <c r="AE5932">
        <v>0</v>
      </c>
      <c r="AF5932">
        <v>0</v>
      </c>
      <c r="AG5932">
        <v>1</v>
      </c>
      <c r="AJ5932">
        <v>1</v>
      </c>
      <c r="AK5932">
        <v>0</v>
      </c>
      <c r="AL5932">
        <v>1</v>
      </c>
      <c r="AM5932">
        <v>0</v>
      </c>
      <c r="AN5932">
        <v>0</v>
      </c>
      <c r="AO5932">
        <v>1</v>
      </c>
      <c r="AP5932">
        <v>1</v>
      </c>
      <c r="AQ5932">
        <v>1</v>
      </c>
      <c r="AR5932">
        <v>1</v>
      </c>
      <c r="AS5932">
        <v>1</v>
      </c>
      <c r="AT5932">
        <v>0</v>
      </c>
      <c r="AV5932">
        <v>1</v>
      </c>
      <c r="AW5932">
        <v>1</v>
      </c>
    </row>
    <row r="5933" spans="1:49" x14ac:dyDescent="0.25">
      <c r="A5933" t="str">
        <f>"5929"</f>
        <v>5929</v>
      </c>
      <c r="B5933" t="str">
        <f t="shared" si="344"/>
        <v>1</v>
      </c>
      <c r="C5933" t="str">
        <f t="shared" si="345"/>
        <v>261</v>
      </c>
      <c r="D5933" t="str">
        <f>"15"</f>
        <v>15</v>
      </c>
      <c r="E5933" t="str">
        <f>"1-261-15"</f>
        <v>1-261-15</v>
      </c>
      <c r="F5933" t="s">
        <v>83</v>
      </c>
      <c r="G5933" t="s">
        <v>84</v>
      </c>
      <c r="H5933" t="s">
        <v>85</v>
      </c>
      <c r="AC5933">
        <v>0</v>
      </c>
      <c r="AD5933">
        <v>1</v>
      </c>
      <c r="AE5933">
        <v>0</v>
      </c>
      <c r="AF5933">
        <v>0</v>
      </c>
      <c r="AG5933">
        <v>1</v>
      </c>
      <c r="AJ5933">
        <v>1</v>
      </c>
      <c r="AK5933">
        <v>0</v>
      </c>
      <c r="AL5933">
        <v>1</v>
      </c>
      <c r="AM5933">
        <v>0</v>
      </c>
      <c r="AN5933">
        <v>0</v>
      </c>
      <c r="AO5933">
        <v>1</v>
      </c>
      <c r="AP5933">
        <v>1</v>
      </c>
      <c r="AQ5933">
        <v>1</v>
      </c>
      <c r="AR5933">
        <v>1</v>
      </c>
      <c r="AS5933">
        <v>0</v>
      </c>
      <c r="AT5933">
        <v>1</v>
      </c>
      <c r="AV5933">
        <v>1</v>
      </c>
      <c r="AW5933">
        <v>1</v>
      </c>
    </row>
    <row r="5934" spans="1:49" x14ac:dyDescent="0.25">
      <c r="A5934" t="str">
        <f>"5930"</f>
        <v>5930</v>
      </c>
      <c r="B5934" t="str">
        <f t="shared" si="344"/>
        <v>1</v>
      </c>
      <c r="C5934" t="str">
        <f t="shared" si="345"/>
        <v>261</v>
      </c>
      <c r="D5934" t="str">
        <f>"14"</f>
        <v>14</v>
      </c>
      <c r="E5934" t="str">
        <f>"1-261-14"</f>
        <v>1-261-14</v>
      </c>
      <c r="F5934" t="s">
        <v>83</v>
      </c>
      <c r="G5934" t="s">
        <v>84</v>
      </c>
      <c r="H5934" t="s">
        <v>85</v>
      </c>
      <c r="AC5934">
        <v>1</v>
      </c>
      <c r="AD5934">
        <v>0</v>
      </c>
      <c r="AE5934">
        <v>0</v>
      </c>
      <c r="AF5934">
        <v>0</v>
      </c>
      <c r="AG5934">
        <v>1</v>
      </c>
      <c r="AJ5934">
        <v>1</v>
      </c>
      <c r="AK5934">
        <v>0</v>
      </c>
      <c r="AL5934">
        <v>1</v>
      </c>
      <c r="AM5934">
        <v>0</v>
      </c>
      <c r="AN5934">
        <v>0</v>
      </c>
      <c r="AO5934">
        <v>1</v>
      </c>
      <c r="AP5934">
        <v>1</v>
      </c>
      <c r="AQ5934">
        <v>1</v>
      </c>
      <c r="AR5934">
        <v>1</v>
      </c>
      <c r="AS5934">
        <v>1</v>
      </c>
      <c r="AT5934">
        <v>0</v>
      </c>
      <c r="AV5934">
        <v>1</v>
      </c>
      <c r="AW5934">
        <v>1</v>
      </c>
    </row>
    <row r="5935" spans="1:49" x14ac:dyDescent="0.25">
      <c r="A5935" t="str">
        <f>"5931"</f>
        <v>5931</v>
      </c>
      <c r="B5935" t="str">
        <f t="shared" si="344"/>
        <v>1</v>
      </c>
      <c r="C5935" t="str">
        <f t="shared" si="345"/>
        <v>261</v>
      </c>
      <c r="D5935" t="str">
        <f>"11"</f>
        <v>11</v>
      </c>
      <c r="E5935" t="str">
        <f>"1-261-11"</f>
        <v>1-261-11</v>
      </c>
      <c r="F5935" t="s">
        <v>83</v>
      </c>
      <c r="G5935" t="s">
        <v>86</v>
      </c>
      <c r="H5935" t="s">
        <v>87</v>
      </c>
      <c r="AC5935">
        <v>0</v>
      </c>
      <c r="AD5935">
        <v>0</v>
      </c>
      <c r="AE5935">
        <v>0</v>
      </c>
      <c r="AF5935">
        <v>0</v>
      </c>
      <c r="AH5935">
        <v>0</v>
      </c>
      <c r="AI5935">
        <v>1</v>
      </c>
      <c r="AJ5935">
        <v>0</v>
      </c>
      <c r="AK5935">
        <v>1</v>
      </c>
      <c r="AL5935">
        <v>0</v>
      </c>
      <c r="AM5935">
        <v>0</v>
      </c>
      <c r="AN5935">
        <v>0</v>
      </c>
      <c r="AO5935">
        <v>0</v>
      </c>
      <c r="AP5935">
        <v>0</v>
      </c>
      <c r="AQ5935">
        <v>0</v>
      </c>
      <c r="AU5935">
        <v>0</v>
      </c>
      <c r="AV5935">
        <v>0</v>
      </c>
      <c r="AW5935">
        <v>1</v>
      </c>
    </row>
    <row r="5936" spans="1:49" x14ac:dyDescent="0.25">
      <c r="A5936" t="str">
        <f>"5932"</f>
        <v>5932</v>
      </c>
      <c r="B5936" t="str">
        <f t="shared" si="344"/>
        <v>1</v>
      </c>
      <c r="C5936" t="str">
        <f t="shared" si="345"/>
        <v>261</v>
      </c>
      <c r="D5936" t="str">
        <f>"8"</f>
        <v>8</v>
      </c>
      <c r="E5936" t="str">
        <f>"1-261-8"</f>
        <v>1-261-8</v>
      </c>
      <c r="F5936" t="s">
        <v>83</v>
      </c>
      <c r="G5936" t="s">
        <v>86</v>
      </c>
      <c r="H5936" t="s">
        <v>87</v>
      </c>
      <c r="AC5936">
        <v>1</v>
      </c>
      <c r="AD5936">
        <v>0</v>
      </c>
      <c r="AE5936">
        <v>0</v>
      </c>
      <c r="AF5936">
        <v>0</v>
      </c>
      <c r="AH5936">
        <v>1</v>
      </c>
      <c r="AI5936">
        <v>0</v>
      </c>
      <c r="AJ5936">
        <v>0</v>
      </c>
      <c r="AK5936">
        <v>1</v>
      </c>
      <c r="AL5936">
        <v>0</v>
      </c>
      <c r="AM5936">
        <v>0</v>
      </c>
      <c r="AN5936">
        <v>1</v>
      </c>
      <c r="AO5936">
        <v>1</v>
      </c>
      <c r="AP5936">
        <v>1</v>
      </c>
      <c r="AQ5936">
        <v>1</v>
      </c>
      <c r="AU5936">
        <v>1</v>
      </c>
      <c r="AV5936">
        <v>1</v>
      </c>
      <c r="AW5936">
        <v>1</v>
      </c>
    </row>
    <row r="5937" spans="1:49" x14ac:dyDescent="0.25">
      <c r="A5937" t="str">
        <f>"5933"</f>
        <v>5933</v>
      </c>
      <c r="B5937" t="str">
        <f t="shared" si="344"/>
        <v>1</v>
      </c>
      <c r="C5937" t="str">
        <f t="shared" si="345"/>
        <v>261</v>
      </c>
      <c r="D5937" t="str">
        <f>"2"</f>
        <v>2</v>
      </c>
      <c r="E5937" t="str">
        <f>"1-261-2"</f>
        <v>1-261-2</v>
      </c>
      <c r="F5937" t="s">
        <v>83</v>
      </c>
      <c r="G5937" t="s">
        <v>84</v>
      </c>
      <c r="H5937" t="s">
        <v>85</v>
      </c>
      <c r="AC5937">
        <v>0</v>
      </c>
      <c r="AD5937">
        <v>1</v>
      </c>
      <c r="AE5937">
        <v>0</v>
      </c>
      <c r="AF5937">
        <v>0</v>
      </c>
      <c r="AG5937">
        <v>1</v>
      </c>
      <c r="AJ5937">
        <v>0</v>
      </c>
      <c r="AK5937">
        <v>1</v>
      </c>
      <c r="AL5937">
        <v>0</v>
      </c>
      <c r="AM5937">
        <v>0</v>
      </c>
      <c r="AN5937">
        <v>1</v>
      </c>
      <c r="AO5937">
        <v>1</v>
      </c>
      <c r="AP5937">
        <v>1</v>
      </c>
      <c r="AQ5937">
        <v>1</v>
      </c>
      <c r="AR5937">
        <v>1</v>
      </c>
      <c r="AS5937">
        <v>0</v>
      </c>
      <c r="AT5937">
        <v>1</v>
      </c>
      <c r="AV5937">
        <v>1</v>
      </c>
      <c r="AW5937">
        <v>1</v>
      </c>
    </row>
    <row r="5938" spans="1:49" x14ac:dyDescent="0.25">
      <c r="A5938" t="str">
        <f>"5934"</f>
        <v>5934</v>
      </c>
      <c r="B5938" t="str">
        <f t="shared" si="344"/>
        <v>1</v>
      </c>
      <c r="C5938" t="str">
        <f t="shared" si="345"/>
        <v>261</v>
      </c>
      <c r="D5938" t="str">
        <f>"25"</f>
        <v>25</v>
      </c>
      <c r="E5938" t="str">
        <f>"1-261-25"</f>
        <v>1-261-25</v>
      </c>
      <c r="F5938" t="s">
        <v>83</v>
      </c>
      <c r="G5938" t="s">
        <v>86</v>
      </c>
      <c r="H5938" t="s">
        <v>87</v>
      </c>
      <c r="AC5938">
        <v>0</v>
      </c>
      <c r="AD5938">
        <v>1</v>
      </c>
      <c r="AE5938">
        <v>0</v>
      </c>
      <c r="AF5938">
        <v>0</v>
      </c>
      <c r="AH5938">
        <v>1</v>
      </c>
      <c r="AI5938">
        <v>0</v>
      </c>
      <c r="AJ5938">
        <v>1</v>
      </c>
      <c r="AK5938">
        <v>0</v>
      </c>
      <c r="AL5938">
        <v>0</v>
      </c>
      <c r="AM5938">
        <v>1</v>
      </c>
      <c r="AN5938">
        <v>0</v>
      </c>
      <c r="AO5938">
        <v>1</v>
      </c>
      <c r="AP5938">
        <v>1</v>
      </c>
      <c r="AQ5938">
        <v>1</v>
      </c>
      <c r="AU5938">
        <v>1</v>
      </c>
      <c r="AV5938">
        <v>0</v>
      </c>
      <c r="AW5938">
        <v>0</v>
      </c>
    </row>
    <row r="5939" spans="1:49" x14ac:dyDescent="0.25">
      <c r="A5939" t="str">
        <f>"5935"</f>
        <v>5935</v>
      </c>
      <c r="B5939" t="str">
        <f t="shared" si="344"/>
        <v>1</v>
      </c>
      <c r="C5939" t="str">
        <f t="shared" si="345"/>
        <v>261</v>
      </c>
      <c r="D5939" t="str">
        <f>"24"</f>
        <v>24</v>
      </c>
      <c r="E5939" t="str">
        <f>"1-261-24"</f>
        <v>1-261-24</v>
      </c>
      <c r="F5939" t="s">
        <v>83</v>
      </c>
      <c r="G5939" t="s">
        <v>86</v>
      </c>
      <c r="H5939" t="s">
        <v>87</v>
      </c>
      <c r="AC5939">
        <v>1</v>
      </c>
      <c r="AD5939">
        <v>0</v>
      </c>
      <c r="AE5939">
        <v>0</v>
      </c>
      <c r="AF5939">
        <v>0</v>
      </c>
      <c r="AH5939">
        <v>1</v>
      </c>
      <c r="AI5939">
        <v>0</v>
      </c>
      <c r="AJ5939">
        <v>0</v>
      </c>
      <c r="AK5939">
        <v>1</v>
      </c>
      <c r="AL5939">
        <v>1</v>
      </c>
      <c r="AM5939">
        <v>0</v>
      </c>
      <c r="AN5939">
        <v>0</v>
      </c>
      <c r="AO5939">
        <v>1</v>
      </c>
      <c r="AP5939">
        <v>1</v>
      </c>
      <c r="AQ5939">
        <v>1</v>
      </c>
      <c r="AU5939">
        <v>1</v>
      </c>
      <c r="AV5939">
        <v>1</v>
      </c>
      <c r="AW5939">
        <v>1</v>
      </c>
    </row>
    <row r="5940" spans="1:49" x14ac:dyDescent="0.25">
      <c r="A5940" t="str">
        <f>"5936"</f>
        <v>5936</v>
      </c>
      <c r="B5940" t="str">
        <f t="shared" si="344"/>
        <v>1</v>
      </c>
      <c r="C5940" t="str">
        <f t="shared" si="345"/>
        <v>261</v>
      </c>
      <c r="D5940" t="str">
        <f>"16"</f>
        <v>16</v>
      </c>
      <c r="E5940" t="str">
        <f>"1-261-16"</f>
        <v>1-261-16</v>
      </c>
      <c r="F5940" t="s">
        <v>83</v>
      </c>
      <c r="G5940" t="s">
        <v>84</v>
      </c>
      <c r="H5940" t="s">
        <v>85</v>
      </c>
      <c r="AC5940">
        <v>0</v>
      </c>
      <c r="AD5940">
        <v>0</v>
      </c>
      <c r="AE5940">
        <v>0</v>
      </c>
      <c r="AF5940">
        <v>0</v>
      </c>
      <c r="AG5940">
        <v>0</v>
      </c>
      <c r="AJ5940">
        <v>0</v>
      </c>
      <c r="AK5940">
        <v>0</v>
      </c>
      <c r="AL5940">
        <v>1</v>
      </c>
      <c r="AM5940">
        <v>0</v>
      </c>
      <c r="AN5940">
        <v>0</v>
      </c>
      <c r="AO5940">
        <v>0</v>
      </c>
      <c r="AP5940">
        <v>0</v>
      </c>
      <c r="AQ5940">
        <v>0</v>
      </c>
      <c r="AR5940">
        <v>1</v>
      </c>
      <c r="AS5940">
        <v>1</v>
      </c>
      <c r="AT5940">
        <v>0</v>
      </c>
      <c r="AV5940">
        <v>0</v>
      </c>
      <c r="AW5940">
        <v>0</v>
      </c>
    </row>
    <row r="5941" spans="1:49" x14ac:dyDescent="0.25">
      <c r="A5941" t="str">
        <f>"5937"</f>
        <v>5937</v>
      </c>
      <c r="B5941" t="str">
        <f t="shared" si="344"/>
        <v>1</v>
      </c>
      <c r="C5941" t="str">
        <f t="shared" si="345"/>
        <v>261</v>
      </c>
      <c r="D5941" t="str">
        <f>"1"</f>
        <v>1</v>
      </c>
      <c r="E5941" t="str">
        <f>"1-261-1"</f>
        <v>1-261-1</v>
      </c>
      <c r="F5941" t="s">
        <v>83</v>
      </c>
      <c r="G5941" t="s">
        <v>86</v>
      </c>
      <c r="H5941" t="s">
        <v>87</v>
      </c>
      <c r="AC5941">
        <v>0</v>
      </c>
      <c r="AD5941">
        <v>1</v>
      </c>
      <c r="AE5941">
        <v>0</v>
      </c>
      <c r="AF5941">
        <v>0</v>
      </c>
      <c r="AH5941">
        <v>0</v>
      </c>
      <c r="AI5941">
        <v>1</v>
      </c>
      <c r="AJ5941">
        <v>0</v>
      </c>
      <c r="AK5941">
        <v>1</v>
      </c>
      <c r="AL5941">
        <v>0</v>
      </c>
      <c r="AM5941">
        <v>0</v>
      </c>
      <c r="AN5941">
        <v>1</v>
      </c>
      <c r="AO5941">
        <v>0</v>
      </c>
      <c r="AP5941">
        <v>0</v>
      </c>
      <c r="AQ5941">
        <v>0</v>
      </c>
      <c r="AU5941">
        <v>0</v>
      </c>
      <c r="AV5941">
        <v>0</v>
      </c>
      <c r="AW5941">
        <v>0</v>
      </c>
    </row>
    <row r="5942" spans="1:49" x14ac:dyDescent="0.25">
      <c r="A5942" t="str">
        <f>"5938"</f>
        <v>5938</v>
      </c>
      <c r="B5942" t="str">
        <f t="shared" si="344"/>
        <v>1</v>
      </c>
      <c r="C5942" t="str">
        <f t="shared" si="345"/>
        <v>261</v>
      </c>
      <c r="D5942" t="str">
        <f>"17"</f>
        <v>17</v>
      </c>
      <c r="E5942" t="str">
        <f>"1-261-17"</f>
        <v>1-261-17</v>
      </c>
      <c r="F5942" t="s">
        <v>83</v>
      </c>
      <c r="G5942" t="s">
        <v>84</v>
      </c>
      <c r="H5942" t="s">
        <v>85</v>
      </c>
      <c r="AC5942">
        <v>0</v>
      </c>
      <c r="AD5942">
        <v>1</v>
      </c>
      <c r="AE5942">
        <v>0</v>
      </c>
      <c r="AF5942">
        <v>0</v>
      </c>
      <c r="AG5942">
        <v>1</v>
      </c>
      <c r="AJ5942">
        <v>1</v>
      </c>
      <c r="AK5942">
        <v>0</v>
      </c>
      <c r="AL5942">
        <v>1</v>
      </c>
      <c r="AM5942">
        <v>0</v>
      </c>
      <c r="AN5942">
        <v>0</v>
      </c>
      <c r="AO5942">
        <v>1</v>
      </c>
      <c r="AP5942">
        <v>1</v>
      </c>
      <c r="AQ5942">
        <v>1</v>
      </c>
      <c r="AR5942">
        <v>1</v>
      </c>
      <c r="AS5942">
        <v>0</v>
      </c>
      <c r="AT5942">
        <v>1</v>
      </c>
      <c r="AV5942">
        <v>1</v>
      </c>
      <c r="AW5942">
        <v>1</v>
      </c>
    </row>
    <row r="5943" spans="1:49" x14ac:dyDescent="0.25">
      <c r="A5943" t="str">
        <f>"5939"</f>
        <v>5939</v>
      </c>
      <c r="B5943" t="str">
        <f t="shared" si="344"/>
        <v>1</v>
      </c>
      <c r="C5943" t="str">
        <f t="shared" si="345"/>
        <v>261</v>
      </c>
      <c r="D5943" t="str">
        <f>"10"</f>
        <v>10</v>
      </c>
      <c r="E5943" t="str">
        <f>"1-261-10"</f>
        <v>1-261-10</v>
      </c>
      <c r="F5943" t="s">
        <v>83</v>
      </c>
      <c r="G5943" t="s">
        <v>86</v>
      </c>
      <c r="H5943" t="s">
        <v>87</v>
      </c>
      <c r="AC5943">
        <v>0</v>
      </c>
      <c r="AD5943">
        <v>1</v>
      </c>
      <c r="AE5943">
        <v>0</v>
      </c>
      <c r="AF5943">
        <v>0</v>
      </c>
      <c r="AH5943">
        <v>0</v>
      </c>
      <c r="AI5943">
        <v>1</v>
      </c>
      <c r="AJ5943">
        <v>0</v>
      </c>
      <c r="AK5943">
        <v>1</v>
      </c>
      <c r="AL5943">
        <v>0</v>
      </c>
      <c r="AM5943">
        <v>0</v>
      </c>
      <c r="AN5943">
        <v>1</v>
      </c>
      <c r="AO5943">
        <v>0</v>
      </c>
      <c r="AP5943">
        <v>0</v>
      </c>
      <c r="AQ5943">
        <v>0</v>
      </c>
      <c r="AU5943">
        <v>0</v>
      </c>
      <c r="AV5943">
        <v>0</v>
      </c>
      <c r="AW5943">
        <v>0</v>
      </c>
    </row>
    <row r="5944" spans="1:49" x14ac:dyDescent="0.25">
      <c r="A5944" t="str">
        <f>"5940"</f>
        <v>5940</v>
      </c>
      <c r="B5944" t="str">
        <f t="shared" si="344"/>
        <v>1</v>
      </c>
      <c r="C5944" t="str">
        <f t="shared" si="345"/>
        <v>261</v>
      </c>
      <c r="D5944" t="str">
        <f>"6"</f>
        <v>6</v>
      </c>
      <c r="E5944" t="str">
        <f>"1-261-6"</f>
        <v>1-261-6</v>
      </c>
      <c r="F5944" t="s">
        <v>83</v>
      </c>
      <c r="G5944" t="s">
        <v>86</v>
      </c>
      <c r="H5944" t="s">
        <v>87</v>
      </c>
      <c r="AC5944">
        <v>0</v>
      </c>
      <c r="AD5944">
        <v>1</v>
      </c>
      <c r="AE5944">
        <v>0</v>
      </c>
      <c r="AF5944">
        <v>0</v>
      </c>
      <c r="AH5944">
        <v>0</v>
      </c>
      <c r="AI5944">
        <v>1</v>
      </c>
      <c r="AJ5944">
        <v>0</v>
      </c>
      <c r="AK5944">
        <v>1</v>
      </c>
      <c r="AL5944">
        <v>1</v>
      </c>
      <c r="AM5944">
        <v>0</v>
      </c>
      <c r="AN5944">
        <v>0</v>
      </c>
      <c r="AO5944">
        <v>1</v>
      </c>
      <c r="AP5944">
        <v>1</v>
      </c>
      <c r="AQ5944">
        <v>1</v>
      </c>
      <c r="AU5944">
        <v>1</v>
      </c>
      <c r="AV5944">
        <v>1</v>
      </c>
      <c r="AW5944">
        <v>1</v>
      </c>
    </row>
    <row r="5945" spans="1:49" x14ac:dyDescent="0.25">
      <c r="A5945" t="str">
        <f>"5941"</f>
        <v>5941</v>
      </c>
      <c r="B5945" t="str">
        <f t="shared" si="344"/>
        <v>1</v>
      </c>
      <c r="C5945" t="str">
        <f t="shared" si="345"/>
        <v>261</v>
      </c>
      <c r="D5945" t="str">
        <f>"23"</f>
        <v>23</v>
      </c>
      <c r="E5945" t="str">
        <f>"1-261-23"</f>
        <v>1-261-23</v>
      </c>
      <c r="F5945" t="s">
        <v>83</v>
      </c>
      <c r="G5945" t="s">
        <v>86</v>
      </c>
      <c r="H5945" t="s">
        <v>87</v>
      </c>
      <c r="AC5945">
        <v>1</v>
      </c>
      <c r="AD5945">
        <v>0</v>
      </c>
      <c r="AE5945">
        <v>0</v>
      </c>
      <c r="AF5945">
        <v>0</v>
      </c>
      <c r="AH5945">
        <v>1</v>
      </c>
      <c r="AI5945">
        <v>0</v>
      </c>
      <c r="AJ5945">
        <v>1</v>
      </c>
      <c r="AK5945">
        <v>0</v>
      </c>
      <c r="AL5945">
        <v>0</v>
      </c>
      <c r="AM5945">
        <v>1</v>
      </c>
      <c r="AN5945">
        <v>0</v>
      </c>
      <c r="AO5945">
        <v>1</v>
      </c>
      <c r="AP5945">
        <v>1</v>
      </c>
      <c r="AQ5945">
        <v>1</v>
      </c>
      <c r="AU5945">
        <v>1</v>
      </c>
      <c r="AV5945">
        <v>1</v>
      </c>
      <c r="AW5945">
        <v>0</v>
      </c>
    </row>
    <row r="5946" spans="1:49" x14ac:dyDescent="0.25">
      <c r="A5946" t="str">
        <f>"5942"</f>
        <v>5942</v>
      </c>
      <c r="B5946" t="str">
        <f t="shared" si="344"/>
        <v>1</v>
      </c>
      <c r="C5946" t="str">
        <f t="shared" si="345"/>
        <v>261</v>
      </c>
      <c r="D5946" t="str">
        <f>"12"</f>
        <v>12</v>
      </c>
      <c r="E5946" t="str">
        <f>"1-261-12"</f>
        <v>1-261-12</v>
      </c>
      <c r="F5946" t="s">
        <v>83</v>
      </c>
      <c r="G5946" t="s">
        <v>84</v>
      </c>
      <c r="H5946" t="s">
        <v>85</v>
      </c>
      <c r="AC5946">
        <v>0</v>
      </c>
      <c r="AD5946">
        <v>1</v>
      </c>
      <c r="AE5946">
        <v>0</v>
      </c>
      <c r="AF5946">
        <v>0</v>
      </c>
      <c r="AG5946">
        <v>1</v>
      </c>
      <c r="AJ5946">
        <v>1</v>
      </c>
      <c r="AK5946">
        <v>0</v>
      </c>
      <c r="AL5946">
        <v>0</v>
      </c>
      <c r="AM5946">
        <v>1</v>
      </c>
      <c r="AN5946">
        <v>0</v>
      </c>
      <c r="AO5946">
        <v>1</v>
      </c>
      <c r="AP5946">
        <v>1</v>
      </c>
      <c r="AQ5946">
        <v>1</v>
      </c>
      <c r="AR5946">
        <v>1</v>
      </c>
      <c r="AS5946">
        <v>0</v>
      </c>
      <c r="AT5946">
        <v>1</v>
      </c>
      <c r="AV5946">
        <v>1</v>
      </c>
      <c r="AW5946">
        <v>0</v>
      </c>
    </row>
    <row r="5947" spans="1:49" x14ac:dyDescent="0.25">
      <c r="A5947" t="str">
        <f>"5943"</f>
        <v>5943</v>
      </c>
      <c r="B5947" t="str">
        <f t="shared" si="344"/>
        <v>1</v>
      </c>
      <c r="C5947" t="str">
        <f t="shared" si="345"/>
        <v>261</v>
      </c>
      <c r="D5947" t="str">
        <f>"22"</f>
        <v>22</v>
      </c>
      <c r="E5947" t="str">
        <f>"1-261-22"</f>
        <v>1-261-22</v>
      </c>
      <c r="F5947" t="s">
        <v>83</v>
      </c>
      <c r="G5947" t="s">
        <v>86</v>
      </c>
      <c r="H5947" t="s">
        <v>87</v>
      </c>
      <c r="AC5947">
        <v>0</v>
      </c>
      <c r="AD5947">
        <v>1</v>
      </c>
      <c r="AE5947">
        <v>0</v>
      </c>
      <c r="AF5947">
        <v>0</v>
      </c>
      <c r="AH5947">
        <v>1</v>
      </c>
      <c r="AI5947">
        <v>0</v>
      </c>
      <c r="AJ5947">
        <v>1</v>
      </c>
      <c r="AK5947">
        <v>0</v>
      </c>
      <c r="AL5947">
        <v>0</v>
      </c>
      <c r="AM5947">
        <v>1</v>
      </c>
      <c r="AN5947">
        <v>0</v>
      </c>
      <c r="AO5947">
        <v>1</v>
      </c>
      <c r="AP5947">
        <v>1</v>
      </c>
      <c r="AQ5947">
        <v>1</v>
      </c>
      <c r="AU5947">
        <v>1</v>
      </c>
      <c r="AV5947">
        <v>1</v>
      </c>
      <c r="AW5947">
        <v>0</v>
      </c>
    </row>
    <row r="5948" spans="1:49" x14ac:dyDescent="0.25">
      <c r="A5948" t="str">
        <f>"5944"</f>
        <v>5944</v>
      </c>
      <c r="B5948" t="str">
        <f t="shared" si="344"/>
        <v>1</v>
      </c>
      <c r="C5948" t="str">
        <f t="shared" si="345"/>
        <v>261</v>
      </c>
      <c r="D5948" t="str">
        <f>"13"</f>
        <v>13</v>
      </c>
      <c r="E5948" t="str">
        <f>"1-261-13"</f>
        <v>1-261-13</v>
      </c>
      <c r="F5948" t="s">
        <v>83</v>
      </c>
      <c r="G5948" t="s">
        <v>84</v>
      </c>
      <c r="H5948" t="s">
        <v>85</v>
      </c>
      <c r="AC5948">
        <v>0</v>
      </c>
      <c r="AD5948">
        <v>1</v>
      </c>
      <c r="AE5948">
        <v>0</v>
      </c>
      <c r="AF5948">
        <v>0</v>
      </c>
      <c r="AG5948">
        <v>1</v>
      </c>
      <c r="AJ5948">
        <v>0</v>
      </c>
      <c r="AK5948">
        <v>1</v>
      </c>
      <c r="AL5948">
        <v>0</v>
      </c>
      <c r="AM5948">
        <v>0</v>
      </c>
      <c r="AN5948">
        <v>1</v>
      </c>
      <c r="AO5948">
        <v>1</v>
      </c>
      <c r="AP5948">
        <v>1</v>
      </c>
      <c r="AQ5948">
        <v>1</v>
      </c>
      <c r="AR5948">
        <v>1</v>
      </c>
      <c r="AS5948">
        <v>0</v>
      </c>
      <c r="AT5948">
        <v>0</v>
      </c>
      <c r="AV5948">
        <v>1</v>
      </c>
      <c r="AW5948">
        <v>1</v>
      </c>
    </row>
    <row r="5949" spans="1:49" x14ac:dyDescent="0.25">
      <c r="A5949" t="str">
        <f>"5945"</f>
        <v>5945</v>
      </c>
      <c r="B5949" t="str">
        <f t="shared" si="344"/>
        <v>1</v>
      </c>
      <c r="C5949" t="str">
        <f t="shared" si="345"/>
        <v>261</v>
      </c>
      <c r="D5949" t="str">
        <f>"3"</f>
        <v>3</v>
      </c>
      <c r="E5949" t="str">
        <f>"1-261-3"</f>
        <v>1-261-3</v>
      </c>
      <c r="F5949" t="s">
        <v>83</v>
      </c>
      <c r="G5949" t="s">
        <v>84</v>
      </c>
      <c r="H5949" t="s">
        <v>85</v>
      </c>
      <c r="AC5949">
        <v>1</v>
      </c>
      <c r="AD5949">
        <v>0</v>
      </c>
      <c r="AE5949">
        <v>0</v>
      </c>
      <c r="AF5949">
        <v>0</v>
      </c>
      <c r="AG5949">
        <v>1</v>
      </c>
      <c r="AJ5949">
        <v>0</v>
      </c>
      <c r="AK5949">
        <v>1</v>
      </c>
      <c r="AL5949">
        <v>1</v>
      </c>
      <c r="AM5949">
        <v>0</v>
      </c>
      <c r="AN5949">
        <v>0</v>
      </c>
      <c r="AO5949">
        <v>1</v>
      </c>
      <c r="AP5949">
        <v>1</v>
      </c>
      <c r="AQ5949">
        <v>1</v>
      </c>
      <c r="AR5949">
        <v>1</v>
      </c>
      <c r="AS5949">
        <v>1</v>
      </c>
      <c r="AT5949">
        <v>0</v>
      </c>
      <c r="AV5949">
        <v>1</v>
      </c>
      <c r="AW5949">
        <v>1</v>
      </c>
    </row>
    <row r="5950" spans="1:49" x14ac:dyDescent="0.25">
      <c r="A5950" t="str">
        <f>"5946"</f>
        <v>5946</v>
      </c>
      <c r="B5950" t="str">
        <f t="shared" si="344"/>
        <v>1</v>
      </c>
      <c r="C5950" t="str">
        <f t="shared" si="345"/>
        <v>261</v>
      </c>
      <c r="D5950" t="str">
        <f>"18"</f>
        <v>18</v>
      </c>
      <c r="E5950" t="str">
        <f>"1-261-18"</f>
        <v>1-261-18</v>
      </c>
      <c r="F5950" t="s">
        <v>83</v>
      </c>
      <c r="G5950" t="s">
        <v>84</v>
      </c>
      <c r="H5950" t="s">
        <v>85</v>
      </c>
      <c r="AC5950">
        <v>0</v>
      </c>
      <c r="AD5950">
        <v>1</v>
      </c>
      <c r="AE5950">
        <v>0</v>
      </c>
      <c r="AF5950">
        <v>0</v>
      </c>
      <c r="AG5950">
        <v>0</v>
      </c>
      <c r="AJ5950">
        <v>0</v>
      </c>
      <c r="AK5950">
        <v>1</v>
      </c>
      <c r="AL5950">
        <v>0</v>
      </c>
      <c r="AM5950">
        <v>0</v>
      </c>
      <c r="AN5950">
        <v>1</v>
      </c>
      <c r="AO5950">
        <v>0</v>
      </c>
      <c r="AP5950">
        <v>0</v>
      </c>
      <c r="AQ5950">
        <v>0</v>
      </c>
      <c r="AR5950">
        <v>0</v>
      </c>
      <c r="AS5950">
        <v>0</v>
      </c>
      <c r="AT5950">
        <v>1</v>
      </c>
      <c r="AV5950">
        <v>0</v>
      </c>
      <c r="AW5950">
        <v>0</v>
      </c>
    </row>
    <row r="5951" spans="1:49" x14ac:dyDescent="0.25">
      <c r="A5951" t="str">
        <f>"5947"</f>
        <v>5947</v>
      </c>
      <c r="B5951" t="str">
        <f t="shared" si="344"/>
        <v>1</v>
      </c>
      <c r="C5951" t="str">
        <f t="shared" si="345"/>
        <v>261</v>
      </c>
      <c r="D5951" t="str">
        <f>"4"</f>
        <v>4</v>
      </c>
      <c r="E5951" t="str">
        <f>"1-261-4"</f>
        <v>1-261-4</v>
      </c>
      <c r="F5951" t="s">
        <v>83</v>
      </c>
      <c r="G5951" t="s">
        <v>86</v>
      </c>
      <c r="H5951" t="s">
        <v>87</v>
      </c>
      <c r="AC5951">
        <v>0</v>
      </c>
      <c r="AD5951">
        <v>1</v>
      </c>
      <c r="AE5951">
        <v>0</v>
      </c>
      <c r="AF5951">
        <v>0</v>
      </c>
      <c r="AH5951">
        <v>1</v>
      </c>
      <c r="AI5951">
        <v>0</v>
      </c>
      <c r="AJ5951">
        <v>1</v>
      </c>
      <c r="AK5951">
        <v>0</v>
      </c>
      <c r="AL5951">
        <v>0</v>
      </c>
      <c r="AM5951">
        <v>0</v>
      </c>
      <c r="AN5951">
        <v>1</v>
      </c>
      <c r="AO5951">
        <v>1</v>
      </c>
      <c r="AP5951">
        <v>1</v>
      </c>
      <c r="AQ5951">
        <v>1</v>
      </c>
      <c r="AU5951">
        <v>1</v>
      </c>
      <c r="AV5951">
        <v>1</v>
      </c>
      <c r="AW5951">
        <v>1</v>
      </c>
    </row>
    <row r="5952" spans="1:49" x14ac:dyDescent="0.25">
      <c r="A5952" t="str">
        <f>"5948"</f>
        <v>5948</v>
      </c>
      <c r="B5952" t="str">
        <f t="shared" si="344"/>
        <v>1</v>
      </c>
      <c r="C5952" t="str">
        <f t="shared" si="345"/>
        <v>261</v>
      </c>
      <c r="D5952" t="str">
        <f>"19"</f>
        <v>19</v>
      </c>
      <c r="E5952" t="str">
        <f>"1-261-19"</f>
        <v>1-261-19</v>
      </c>
      <c r="F5952" t="s">
        <v>83</v>
      </c>
      <c r="G5952" t="s">
        <v>84</v>
      </c>
      <c r="H5952" t="s">
        <v>85</v>
      </c>
      <c r="AC5952">
        <v>0</v>
      </c>
      <c r="AD5952">
        <v>1</v>
      </c>
      <c r="AE5952">
        <v>0</v>
      </c>
      <c r="AF5952">
        <v>0</v>
      </c>
      <c r="AG5952">
        <v>0</v>
      </c>
      <c r="AJ5952">
        <v>0</v>
      </c>
      <c r="AK5952">
        <v>1</v>
      </c>
      <c r="AL5952">
        <v>0</v>
      </c>
      <c r="AM5952">
        <v>1</v>
      </c>
      <c r="AN5952">
        <v>0</v>
      </c>
      <c r="AO5952">
        <v>0</v>
      </c>
      <c r="AP5952">
        <v>0</v>
      </c>
      <c r="AQ5952">
        <v>0</v>
      </c>
      <c r="AR5952">
        <v>0</v>
      </c>
      <c r="AS5952">
        <v>0</v>
      </c>
      <c r="AT5952">
        <v>1</v>
      </c>
      <c r="AV5952">
        <v>0</v>
      </c>
      <c r="AW5952">
        <v>0</v>
      </c>
    </row>
    <row r="5953" spans="1:49" x14ac:dyDescent="0.25">
      <c r="A5953" t="str">
        <f>"5949"</f>
        <v>5949</v>
      </c>
      <c r="B5953" t="str">
        <f t="shared" si="344"/>
        <v>1</v>
      </c>
      <c r="C5953" t="str">
        <f t="shared" si="345"/>
        <v>261</v>
      </c>
      <c r="D5953" t="str">
        <f>"5"</f>
        <v>5</v>
      </c>
      <c r="E5953" t="str">
        <f>"1-261-5"</f>
        <v>1-261-5</v>
      </c>
      <c r="F5953" t="s">
        <v>83</v>
      </c>
      <c r="G5953" t="s">
        <v>84</v>
      </c>
      <c r="H5953" t="s">
        <v>85</v>
      </c>
      <c r="AC5953">
        <v>1</v>
      </c>
      <c r="AD5953">
        <v>0</v>
      </c>
      <c r="AE5953">
        <v>0</v>
      </c>
      <c r="AF5953">
        <v>0</v>
      </c>
      <c r="AG5953">
        <v>1</v>
      </c>
      <c r="AJ5953">
        <v>1</v>
      </c>
      <c r="AK5953">
        <v>0</v>
      </c>
      <c r="AL5953">
        <v>1</v>
      </c>
      <c r="AM5953">
        <v>0</v>
      </c>
      <c r="AN5953">
        <v>0</v>
      </c>
      <c r="AO5953">
        <v>1</v>
      </c>
      <c r="AP5953">
        <v>1</v>
      </c>
      <c r="AQ5953">
        <v>1</v>
      </c>
      <c r="AR5953">
        <v>1</v>
      </c>
      <c r="AS5953">
        <v>1</v>
      </c>
      <c r="AT5953">
        <v>0</v>
      </c>
      <c r="AV5953">
        <v>1</v>
      </c>
      <c r="AW5953">
        <v>1</v>
      </c>
    </row>
    <row r="5954" spans="1:49" x14ac:dyDescent="0.25">
      <c r="A5954" t="str">
        <f>"5950"</f>
        <v>5950</v>
      </c>
      <c r="B5954" t="str">
        <f t="shared" si="344"/>
        <v>1</v>
      </c>
      <c r="C5954" t="str">
        <f t="shared" si="345"/>
        <v>261</v>
      </c>
      <c r="D5954" t="str">
        <f>"9"</f>
        <v>9</v>
      </c>
      <c r="E5954" t="str">
        <f>"1-261-9"</f>
        <v>1-261-9</v>
      </c>
      <c r="F5954" t="s">
        <v>83</v>
      </c>
      <c r="G5954" t="s">
        <v>86</v>
      </c>
      <c r="H5954" t="s">
        <v>87</v>
      </c>
      <c r="AC5954">
        <v>1</v>
      </c>
      <c r="AD5954">
        <v>0</v>
      </c>
      <c r="AE5954">
        <v>0</v>
      </c>
      <c r="AF5954">
        <v>0</v>
      </c>
      <c r="AH5954">
        <v>1</v>
      </c>
      <c r="AI5954">
        <v>0</v>
      </c>
      <c r="AJ5954">
        <v>1</v>
      </c>
      <c r="AK5954">
        <v>0</v>
      </c>
      <c r="AL5954">
        <v>1</v>
      </c>
      <c r="AM5954">
        <v>0</v>
      </c>
      <c r="AN5954">
        <v>0</v>
      </c>
      <c r="AO5954">
        <v>0</v>
      </c>
      <c r="AP5954">
        <v>0</v>
      </c>
      <c r="AQ5954">
        <v>0</v>
      </c>
      <c r="AU5954">
        <v>0</v>
      </c>
      <c r="AV5954">
        <v>0</v>
      </c>
      <c r="AW5954">
        <v>0</v>
      </c>
    </row>
    <row r="5955" spans="1:49" x14ac:dyDescent="0.25">
      <c r="A5955" t="str">
        <f>"5951"</f>
        <v>5951</v>
      </c>
      <c r="B5955" t="str">
        <f t="shared" si="344"/>
        <v>1</v>
      </c>
      <c r="C5955" t="str">
        <f t="shared" si="345"/>
        <v>261</v>
      </c>
      <c r="D5955" t="str">
        <f>"7"</f>
        <v>7</v>
      </c>
      <c r="E5955" t="str">
        <f>"1-261-7"</f>
        <v>1-261-7</v>
      </c>
      <c r="F5955" t="s">
        <v>83</v>
      </c>
      <c r="G5955" t="s">
        <v>86</v>
      </c>
      <c r="H5955" t="s">
        <v>87</v>
      </c>
      <c r="AC5955">
        <v>1</v>
      </c>
      <c r="AD5955">
        <v>0</v>
      </c>
      <c r="AE5955">
        <v>0</v>
      </c>
      <c r="AF5955">
        <v>0</v>
      </c>
      <c r="AH5955">
        <v>1</v>
      </c>
      <c r="AI5955">
        <v>0</v>
      </c>
      <c r="AJ5955">
        <v>0</v>
      </c>
      <c r="AK5955">
        <v>1</v>
      </c>
      <c r="AL5955">
        <v>0</v>
      </c>
      <c r="AM5955">
        <v>1</v>
      </c>
      <c r="AN5955">
        <v>0</v>
      </c>
      <c r="AO5955">
        <v>1</v>
      </c>
      <c r="AP5955">
        <v>1</v>
      </c>
      <c r="AQ5955">
        <v>1</v>
      </c>
      <c r="AU5955">
        <v>1</v>
      </c>
      <c r="AV5955">
        <v>1</v>
      </c>
      <c r="AW5955">
        <v>0</v>
      </c>
    </row>
    <row r="5956" spans="1:49" x14ac:dyDescent="0.25">
      <c r="A5956" t="str">
        <f>"5952"</f>
        <v>5952</v>
      </c>
      <c r="B5956" t="str">
        <f t="shared" si="344"/>
        <v>1</v>
      </c>
      <c r="C5956" t="str">
        <f t="shared" ref="C5956:C5980" si="346">"262"</f>
        <v>262</v>
      </c>
      <c r="D5956" t="str">
        <f>"21"</f>
        <v>21</v>
      </c>
      <c r="E5956" t="str">
        <f>"1-262-21"</f>
        <v>1-262-21</v>
      </c>
      <c r="F5956" t="s">
        <v>83</v>
      </c>
      <c r="G5956" t="s">
        <v>84</v>
      </c>
      <c r="H5956" t="s">
        <v>85</v>
      </c>
      <c r="AC5956">
        <v>0</v>
      </c>
      <c r="AD5956">
        <v>1</v>
      </c>
      <c r="AE5956">
        <v>0</v>
      </c>
      <c r="AF5956">
        <v>0</v>
      </c>
      <c r="AG5956">
        <v>1</v>
      </c>
      <c r="AJ5956">
        <v>1</v>
      </c>
      <c r="AK5956">
        <v>0</v>
      </c>
      <c r="AL5956">
        <v>0</v>
      </c>
      <c r="AM5956">
        <v>1</v>
      </c>
      <c r="AN5956">
        <v>0</v>
      </c>
      <c r="AO5956">
        <v>1</v>
      </c>
      <c r="AP5956">
        <v>1</v>
      </c>
      <c r="AQ5956">
        <v>1</v>
      </c>
      <c r="AR5956">
        <v>1</v>
      </c>
      <c r="AS5956">
        <v>1</v>
      </c>
      <c r="AT5956">
        <v>0</v>
      </c>
      <c r="AV5956">
        <v>1</v>
      </c>
      <c r="AW5956">
        <v>1</v>
      </c>
    </row>
    <row r="5957" spans="1:49" x14ac:dyDescent="0.25">
      <c r="A5957" t="str">
        <f>"5953"</f>
        <v>5953</v>
      </c>
      <c r="B5957" t="str">
        <f t="shared" si="344"/>
        <v>1</v>
      </c>
      <c r="C5957" t="str">
        <f t="shared" si="346"/>
        <v>262</v>
      </c>
      <c r="D5957" t="str">
        <f>"20"</f>
        <v>20</v>
      </c>
      <c r="E5957" t="str">
        <f>"1-262-20"</f>
        <v>1-262-20</v>
      </c>
      <c r="F5957" t="s">
        <v>83</v>
      </c>
      <c r="G5957" t="s">
        <v>84</v>
      </c>
      <c r="H5957" t="s">
        <v>85</v>
      </c>
      <c r="AC5957">
        <v>0</v>
      </c>
      <c r="AD5957">
        <v>1</v>
      </c>
      <c r="AE5957">
        <v>0</v>
      </c>
      <c r="AF5957">
        <v>0</v>
      </c>
      <c r="AG5957">
        <v>0</v>
      </c>
      <c r="AJ5957">
        <v>0</v>
      </c>
      <c r="AK5957">
        <v>1</v>
      </c>
      <c r="AL5957">
        <v>0</v>
      </c>
      <c r="AM5957">
        <v>0</v>
      </c>
      <c r="AN5957">
        <v>1</v>
      </c>
      <c r="AO5957">
        <v>0</v>
      </c>
      <c r="AP5957">
        <v>0</v>
      </c>
      <c r="AQ5957">
        <v>0</v>
      </c>
      <c r="AR5957">
        <v>0</v>
      </c>
      <c r="AS5957">
        <v>0</v>
      </c>
      <c r="AT5957">
        <v>0</v>
      </c>
      <c r="AV5957">
        <v>0</v>
      </c>
      <c r="AW5957">
        <v>0</v>
      </c>
    </row>
    <row r="5958" spans="1:49" x14ac:dyDescent="0.25">
      <c r="A5958" t="str">
        <f>"5954"</f>
        <v>5954</v>
      </c>
      <c r="B5958" t="str">
        <f t="shared" si="344"/>
        <v>1</v>
      </c>
      <c r="C5958" t="str">
        <f t="shared" si="346"/>
        <v>262</v>
      </c>
      <c r="D5958" t="str">
        <f>"15"</f>
        <v>15</v>
      </c>
      <c r="E5958" t="str">
        <f>"1-262-15"</f>
        <v>1-262-15</v>
      </c>
      <c r="F5958" t="s">
        <v>83</v>
      </c>
      <c r="G5958" t="s">
        <v>84</v>
      </c>
      <c r="H5958" t="s">
        <v>85</v>
      </c>
      <c r="AC5958">
        <v>0</v>
      </c>
      <c r="AD5958">
        <v>1</v>
      </c>
      <c r="AE5958">
        <v>0</v>
      </c>
      <c r="AF5958">
        <v>0</v>
      </c>
      <c r="AG5958">
        <v>1</v>
      </c>
      <c r="AJ5958">
        <v>1</v>
      </c>
      <c r="AK5958">
        <v>0</v>
      </c>
      <c r="AL5958">
        <v>0</v>
      </c>
      <c r="AM5958">
        <v>1</v>
      </c>
      <c r="AN5958">
        <v>0</v>
      </c>
      <c r="AO5958">
        <v>1</v>
      </c>
      <c r="AP5958">
        <v>1</v>
      </c>
      <c r="AQ5958">
        <v>1</v>
      </c>
      <c r="AR5958">
        <v>1</v>
      </c>
      <c r="AS5958">
        <v>1</v>
      </c>
      <c r="AT5958">
        <v>0</v>
      </c>
      <c r="AV5958">
        <v>1</v>
      </c>
      <c r="AW5958">
        <v>1</v>
      </c>
    </row>
    <row r="5959" spans="1:49" x14ac:dyDescent="0.25">
      <c r="A5959" t="str">
        <f>"5955"</f>
        <v>5955</v>
      </c>
      <c r="B5959" t="str">
        <f t="shared" si="344"/>
        <v>1</v>
      </c>
      <c r="C5959" t="str">
        <f t="shared" si="346"/>
        <v>262</v>
      </c>
      <c r="D5959" t="str">
        <f>"14"</f>
        <v>14</v>
      </c>
      <c r="E5959" t="str">
        <f>"1-262-14"</f>
        <v>1-262-14</v>
      </c>
      <c r="F5959" t="s">
        <v>83</v>
      </c>
      <c r="G5959" t="s">
        <v>84</v>
      </c>
      <c r="H5959" t="s">
        <v>85</v>
      </c>
      <c r="AC5959">
        <v>0</v>
      </c>
      <c r="AD5959">
        <v>1</v>
      </c>
      <c r="AE5959">
        <v>0</v>
      </c>
      <c r="AF5959">
        <v>0</v>
      </c>
      <c r="AG5959">
        <v>1</v>
      </c>
      <c r="AJ5959">
        <v>0</v>
      </c>
      <c r="AK5959">
        <v>1</v>
      </c>
      <c r="AL5959">
        <v>0</v>
      </c>
      <c r="AM5959">
        <v>0</v>
      </c>
      <c r="AN5959">
        <v>1</v>
      </c>
      <c r="AO5959">
        <v>1</v>
      </c>
      <c r="AP5959">
        <v>1</v>
      </c>
      <c r="AQ5959">
        <v>1</v>
      </c>
      <c r="AR5959">
        <v>1</v>
      </c>
      <c r="AS5959">
        <v>1</v>
      </c>
      <c r="AT5959">
        <v>0</v>
      </c>
      <c r="AV5959">
        <v>1</v>
      </c>
      <c r="AW5959">
        <v>1</v>
      </c>
    </row>
    <row r="5960" spans="1:49" x14ac:dyDescent="0.25">
      <c r="A5960" t="str">
        <f>"5956"</f>
        <v>5956</v>
      </c>
      <c r="B5960" t="str">
        <f t="shared" si="344"/>
        <v>1</v>
      </c>
      <c r="C5960" t="str">
        <f t="shared" si="346"/>
        <v>262</v>
      </c>
      <c r="D5960" t="str">
        <f>"11"</f>
        <v>11</v>
      </c>
      <c r="E5960" t="str">
        <f>"1-262-11"</f>
        <v>1-262-11</v>
      </c>
      <c r="F5960" t="s">
        <v>83</v>
      </c>
      <c r="G5960" t="s">
        <v>84</v>
      </c>
      <c r="H5960" t="s">
        <v>85</v>
      </c>
      <c r="AC5960">
        <v>1</v>
      </c>
      <c r="AD5960">
        <v>0</v>
      </c>
      <c r="AE5960">
        <v>0</v>
      </c>
      <c r="AF5960">
        <v>0</v>
      </c>
      <c r="AG5960">
        <v>1</v>
      </c>
      <c r="AJ5960">
        <v>0</v>
      </c>
      <c r="AK5960">
        <v>1</v>
      </c>
      <c r="AL5960">
        <v>1</v>
      </c>
      <c r="AM5960">
        <v>0</v>
      </c>
      <c r="AN5960">
        <v>0</v>
      </c>
      <c r="AO5960">
        <v>1</v>
      </c>
      <c r="AP5960">
        <v>1</v>
      </c>
      <c r="AQ5960">
        <v>1</v>
      </c>
      <c r="AR5960">
        <v>1</v>
      </c>
      <c r="AS5960">
        <v>0</v>
      </c>
      <c r="AT5960">
        <v>1</v>
      </c>
      <c r="AV5960">
        <v>1</v>
      </c>
      <c r="AW5960">
        <v>1</v>
      </c>
    </row>
    <row r="5961" spans="1:49" x14ac:dyDescent="0.25">
      <c r="A5961" t="str">
        <f>"5957"</f>
        <v>5957</v>
      </c>
      <c r="B5961" t="str">
        <f t="shared" si="344"/>
        <v>1</v>
      </c>
      <c r="C5961" t="str">
        <f t="shared" si="346"/>
        <v>262</v>
      </c>
      <c r="D5961" t="str">
        <f>"8"</f>
        <v>8</v>
      </c>
      <c r="E5961" t="str">
        <f>"1-262-8"</f>
        <v>1-262-8</v>
      </c>
      <c r="F5961" t="s">
        <v>83</v>
      </c>
      <c r="G5961" t="s">
        <v>84</v>
      </c>
      <c r="H5961" t="s">
        <v>85</v>
      </c>
      <c r="AC5961">
        <v>0</v>
      </c>
      <c r="AD5961">
        <v>1</v>
      </c>
      <c r="AE5961">
        <v>0</v>
      </c>
      <c r="AF5961">
        <v>0</v>
      </c>
      <c r="AG5961">
        <v>0</v>
      </c>
      <c r="AJ5961">
        <v>0</v>
      </c>
      <c r="AK5961">
        <v>1</v>
      </c>
      <c r="AL5961">
        <v>0</v>
      </c>
      <c r="AM5961">
        <v>0</v>
      </c>
      <c r="AN5961">
        <v>1</v>
      </c>
      <c r="AO5961">
        <v>0</v>
      </c>
      <c r="AP5961">
        <v>0</v>
      </c>
      <c r="AQ5961">
        <v>0</v>
      </c>
      <c r="AR5961">
        <v>0</v>
      </c>
      <c r="AS5961">
        <v>0</v>
      </c>
      <c r="AT5961">
        <v>0</v>
      </c>
      <c r="AV5961">
        <v>0</v>
      </c>
      <c r="AW5961">
        <v>1</v>
      </c>
    </row>
    <row r="5962" spans="1:49" x14ac:dyDescent="0.25">
      <c r="A5962" t="str">
        <f>"5958"</f>
        <v>5958</v>
      </c>
      <c r="B5962" t="str">
        <f t="shared" si="344"/>
        <v>1</v>
      </c>
      <c r="C5962" t="str">
        <f t="shared" si="346"/>
        <v>262</v>
      </c>
      <c r="D5962" t="str">
        <f>"1"</f>
        <v>1</v>
      </c>
      <c r="E5962" t="str">
        <f>"1-262-1"</f>
        <v>1-262-1</v>
      </c>
      <c r="F5962" t="s">
        <v>83</v>
      </c>
      <c r="G5962" t="s">
        <v>84</v>
      </c>
      <c r="H5962" t="s">
        <v>85</v>
      </c>
      <c r="AC5962">
        <v>1</v>
      </c>
      <c r="AD5962">
        <v>0</v>
      </c>
      <c r="AE5962">
        <v>0</v>
      </c>
      <c r="AF5962">
        <v>0</v>
      </c>
      <c r="AG5962">
        <v>0</v>
      </c>
      <c r="AJ5962">
        <v>1</v>
      </c>
      <c r="AK5962">
        <v>0</v>
      </c>
      <c r="AL5962">
        <v>1</v>
      </c>
      <c r="AM5962">
        <v>0</v>
      </c>
      <c r="AN5962">
        <v>0</v>
      </c>
      <c r="AO5962">
        <v>0</v>
      </c>
      <c r="AP5962">
        <v>0</v>
      </c>
      <c r="AQ5962">
        <v>0</v>
      </c>
      <c r="AR5962">
        <v>0</v>
      </c>
      <c r="AS5962">
        <v>0</v>
      </c>
      <c r="AT5962">
        <v>1</v>
      </c>
      <c r="AV5962">
        <v>0</v>
      </c>
      <c r="AW5962">
        <v>0</v>
      </c>
    </row>
    <row r="5963" spans="1:49" x14ac:dyDescent="0.25">
      <c r="A5963" t="str">
        <f>"5959"</f>
        <v>5959</v>
      </c>
      <c r="B5963" t="str">
        <f t="shared" si="344"/>
        <v>1</v>
      </c>
      <c r="C5963" t="str">
        <f t="shared" si="346"/>
        <v>262</v>
      </c>
      <c r="D5963" t="str">
        <f>"25"</f>
        <v>25</v>
      </c>
      <c r="E5963" t="str">
        <f>"1-262-25"</f>
        <v>1-262-25</v>
      </c>
      <c r="F5963" t="s">
        <v>83</v>
      </c>
      <c r="G5963" t="s">
        <v>84</v>
      </c>
      <c r="H5963" t="s">
        <v>85</v>
      </c>
      <c r="AC5963">
        <v>0</v>
      </c>
      <c r="AD5963">
        <v>1</v>
      </c>
      <c r="AE5963">
        <v>0</v>
      </c>
      <c r="AF5963">
        <v>0</v>
      </c>
      <c r="AG5963">
        <v>1</v>
      </c>
      <c r="AJ5963">
        <v>1</v>
      </c>
      <c r="AK5963">
        <v>0</v>
      </c>
      <c r="AL5963">
        <v>0</v>
      </c>
      <c r="AM5963">
        <v>1</v>
      </c>
      <c r="AN5963">
        <v>0</v>
      </c>
      <c r="AO5963">
        <v>1</v>
      </c>
      <c r="AP5963">
        <v>1</v>
      </c>
      <c r="AQ5963">
        <v>1</v>
      </c>
      <c r="AR5963">
        <v>1</v>
      </c>
      <c r="AS5963">
        <v>1</v>
      </c>
      <c r="AT5963">
        <v>0</v>
      </c>
      <c r="AV5963">
        <v>1</v>
      </c>
      <c r="AW5963">
        <v>1</v>
      </c>
    </row>
    <row r="5964" spans="1:49" x14ac:dyDescent="0.25">
      <c r="A5964" t="str">
        <f>"5960"</f>
        <v>5960</v>
      </c>
      <c r="B5964" t="str">
        <f t="shared" si="344"/>
        <v>1</v>
      </c>
      <c r="C5964" t="str">
        <f t="shared" si="346"/>
        <v>262</v>
      </c>
      <c r="D5964" t="str">
        <f>"17"</f>
        <v>17</v>
      </c>
      <c r="E5964" t="str">
        <f>"1-262-17"</f>
        <v>1-262-17</v>
      </c>
      <c r="F5964" t="s">
        <v>83</v>
      </c>
      <c r="G5964" t="s">
        <v>84</v>
      </c>
      <c r="H5964" t="s">
        <v>85</v>
      </c>
      <c r="AC5964">
        <v>0</v>
      </c>
      <c r="AD5964">
        <v>1</v>
      </c>
      <c r="AE5964">
        <v>0</v>
      </c>
      <c r="AF5964">
        <v>0</v>
      </c>
      <c r="AG5964">
        <v>0</v>
      </c>
      <c r="AJ5964">
        <v>0</v>
      </c>
      <c r="AK5964">
        <v>0</v>
      </c>
      <c r="AL5964">
        <v>0</v>
      </c>
      <c r="AM5964">
        <v>0</v>
      </c>
      <c r="AN5964">
        <v>1</v>
      </c>
      <c r="AO5964">
        <v>0</v>
      </c>
      <c r="AP5964">
        <v>0</v>
      </c>
      <c r="AQ5964">
        <v>0</v>
      </c>
      <c r="AR5964">
        <v>0</v>
      </c>
      <c r="AS5964">
        <v>0</v>
      </c>
      <c r="AT5964">
        <v>0</v>
      </c>
      <c r="AV5964">
        <v>0</v>
      </c>
      <c r="AW5964">
        <v>1</v>
      </c>
    </row>
    <row r="5965" spans="1:49" x14ac:dyDescent="0.25">
      <c r="A5965" t="str">
        <f>"5961"</f>
        <v>5961</v>
      </c>
      <c r="B5965" t="str">
        <f t="shared" si="344"/>
        <v>1</v>
      </c>
      <c r="C5965" t="str">
        <f t="shared" si="346"/>
        <v>262</v>
      </c>
      <c r="D5965" t="str">
        <f>"9"</f>
        <v>9</v>
      </c>
      <c r="E5965" t="str">
        <f>"1-262-9"</f>
        <v>1-262-9</v>
      </c>
      <c r="F5965" t="s">
        <v>83</v>
      </c>
      <c r="G5965" t="s">
        <v>84</v>
      </c>
      <c r="H5965" t="s">
        <v>85</v>
      </c>
      <c r="AC5965">
        <v>0</v>
      </c>
      <c r="AD5965">
        <v>1</v>
      </c>
      <c r="AE5965">
        <v>0</v>
      </c>
      <c r="AF5965">
        <v>0</v>
      </c>
      <c r="AG5965">
        <v>1</v>
      </c>
      <c r="AJ5965">
        <v>0</v>
      </c>
      <c r="AK5965">
        <v>1</v>
      </c>
      <c r="AL5965">
        <v>0</v>
      </c>
      <c r="AM5965">
        <v>1</v>
      </c>
      <c r="AN5965">
        <v>0</v>
      </c>
      <c r="AO5965">
        <v>1</v>
      </c>
      <c r="AP5965">
        <v>1</v>
      </c>
      <c r="AQ5965">
        <v>0</v>
      </c>
      <c r="AR5965">
        <v>1</v>
      </c>
      <c r="AS5965">
        <v>0</v>
      </c>
      <c r="AT5965">
        <v>1</v>
      </c>
      <c r="AV5965">
        <v>1</v>
      </c>
      <c r="AW5965">
        <v>1</v>
      </c>
    </row>
    <row r="5966" spans="1:49" x14ac:dyDescent="0.25">
      <c r="A5966" t="str">
        <f>"5962"</f>
        <v>5962</v>
      </c>
      <c r="B5966" t="str">
        <f t="shared" si="344"/>
        <v>1</v>
      </c>
      <c r="C5966" t="str">
        <f t="shared" si="346"/>
        <v>262</v>
      </c>
      <c r="D5966" t="str">
        <f>"24"</f>
        <v>24</v>
      </c>
      <c r="E5966" t="str">
        <f>"1-262-24"</f>
        <v>1-262-24</v>
      </c>
      <c r="F5966" t="s">
        <v>83</v>
      </c>
      <c r="G5966" t="s">
        <v>84</v>
      </c>
      <c r="H5966" t="s">
        <v>85</v>
      </c>
      <c r="AC5966">
        <v>0</v>
      </c>
      <c r="AD5966">
        <v>1</v>
      </c>
      <c r="AE5966">
        <v>0</v>
      </c>
      <c r="AF5966">
        <v>0</v>
      </c>
      <c r="AG5966">
        <v>1</v>
      </c>
      <c r="AJ5966">
        <v>0</v>
      </c>
      <c r="AK5966">
        <v>1</v>
      </c>
      <c r="AL5966">
        <v>0</v>
      </c>
      <c r="AM5966">
        <v>0</v>
      </c>
      <c r="AN5966">
        <v>1</v>
      </c>
      <c r="AO5966">
        <v>0</v>
      </c>
      <c r="AP5966">
        <v>0</v>
      </c>
      <c r="AQ5966">
        <v>1</v>
      </c>
      <c r="AR5966">
        <v>1</v>
      </c>
      <c r="AS5966">
        <v>0</v>
      </c>
      <c r="AT5966">
        <v>1</v>
      </c>
      <c r="AV5966">
        <v>1</v>
      </c>
      <c r="AW5966">
        <v>1</v>
      </c>
    </row>
    <row r="5967" spans="1:49" x14ac:dyDescent="0.25">
      <c r="A5967" t="str">
        <f>"5963"</f>
        <v>5963</v>
      </c>
      <c r="B5967" t="str">
        <f t="shared" si="344"/>
        <v>1</v>
      </c>
      <c r="C5967" t="str">
        <f t="shared" si="346"/>
        <v>262</v>
      </c>
      <c r="D5967" t="str">
        <f>"23"</f>
        <v>23</v>
      </c>
      <c r="E5967" t="str">
        <f>"1-262-23"</f>
        <v>1-262-23</v>
      </c>
      <c r="F5967" t="s">
        <v>83</v>
      </c>
      <c r="G5967" t="s">
        <v>84</v>
      </c>
      <c r="H5967" t="s">
        <v>85</v>
      </c>
      <c r="AC5967">
        <v>0</v>
      </c>
      <c r="AD5967">
        <v>1</v>
      </c>
      <c r="AE5967">
        <v>0</v>
      </c>
      <c r="AF5967">
        <v>0</v>
      </c>
      <c r="AG5967">
        <v>0</v>
      </c>
      <c r="AJ5967">
        <v>0</v>
      </c>
      <c r="AK5967">
        <v>1</v>
      </c>
      <c r="AL5967">
        <v>0</v>
      </c>
      <c r="AM5967">
        <v>0</v>
      </c>
      <c r="AN5967">
        <v>1</v>
      </c>
      <c r="AO5967">
        <v>0</v>
      </c>
      <c r="AP5967">
        <v>0</v>
      </c>
      <c r="AQ5967">
        <v>0</v>
      </c>
      <c r="AR5967">
        <v>1</v>
      </c>
      <c r="AS5967">
        <v>1</v>
      </c>
      <c r="AT5967">
        <v>0</v>
      </c>
      <c r="AV5967">
        <v>0</v>
      </c>
      <c r="AW5967">
        <v>1</v>
      </c>
    </row>
    <row r="5968" spans="1:49" x14ac:dyDescent="0.25">
      <c r="A5968" t="str">
        <f>"5964"</f>
        <v>5964</v>
      </c>
      <c r="B5968" t="str">
        <f t="shared" si="344"/>
        <v>1</v>
      </c>
      <c r="C5968" t="str">
        <f t="shared" si="346"/>
        <v>262</v>
      </c>
      <c r="D5968" t="str">
        <f>"16"</f>
        <v>16</v>
      </c>
      <c r="E5968" t="str">
        <f>"1-262-16"</f>
        <v>1-262-16</v>
      </c>
      <c r="F5968" t="s">
        <v>83</v>
      </c>
      <c r="G5968" t="s">
        <v>84</v>
      </c>
      <c r="H5968" t="s">
        <v>85</v>
      </c>
      <c r="AC5968">
        <v>0</v>
      </c>
      <c r="AD5968">
        <v>1</v>
      </c>
      <c r="AE5968">
        <v>0</v>
      </c>
      <c r="AF5968">
        <v>0</v>
      </c>
      <c r="AG5968">
        <v>1</v>
      </c>
      <c r="AJ5968">
        <v>0</v>
      </c>
      <c r="AK5968">
        <v>1</v>
      </c>
      <c r="AL5968">
        <v>0</v>
      </c>
      <c r="AM5968">
        <v>1</v>
      </c>
      <c r="AN5968">
        <v>0</v>
      </c>
      <c r="AO5968">
        <v>1</v>
      </c>
      <c r="AP5968">
        <v>1</v>
      </c>
      <c r="AQ5968">
        <v>1</v>
      </c>
      <c r="AR5968">
        <v>1</v>
      </c>
      <c r="AS5968">
        <v>1</v>
      </c>
      <c r="AT5968">
        <v>0</v>
      </c>
      <c r="AV5968">
        <v>1</v>
      </c>
      <c r="AW5968">
        <v>1</v>
      </c>
    </row>
    <row r="5969" spans="1:49" x14ac:dyDescent="0.25">
      <c r="A5969" t="str">
        <f>"5965"</f>
        <v>5965</v>
      </c>
      <c r="B5969" t="str">
        <f t="shared" si="344"/>
        <v>1</v>
      </c>
      <c r="C5969" t="str">
        <f t="shared" si="346"/>
        <v>262</v>
      </c>
      <c r="D5969" t="str">
        <f>"10"</f>
        <v>10</v>
      </c>
      <c r="E5969" t="str">
        <f>"1-262-10"</f>
        <v>1-262-10</v>
      </c>
      <c r="F5969" t="s">
        <v>83</v>
      </c>
      <c r="G5969" t="s">
        <v>84</v>
      </c>
      <c r="H5969" t="s">
        <v>85</v>
      </c>
      <c r="AC5969">
        <v>1</v>
      </c>
      <c r="AD5969">
        <v>0</v>
      </c>
      <c r="AE5969">
        <v>0</v>
      </c>
      <c r="AF5969">
        <v>0</v>
      </c>
      <c r="AG5969">
        <v>1</v>
      </c>
      <c r="AJ5969">
        <v>0</v>
      </c>
      <c r="AK5969">
        <v>1</v>
      </c>
      <c r="AL5969">
        <v>1</v>
      </c>
      <c r="AM5969">
        <v>0</v>
      </c>
      <c r="AN5969">
        <v>0</v>
      </c>
      <c r="AO5969">
        <v>1</v>
      </c>
      <c r="AP5969">
        <v>1</v>
      </c>
      <c r="AQ5969">
        <v>1</v>
      </c>
      <c r="AR5969">
        <v>1</v>
      </c>
      <c r="AS5969">
        <v>0</v>
      </c>
      <c r="AT5969">
        <v>1</v>
      </c>
      <c r="AV5969">
        <v>1</v>
      </c>
      <c r="AW5969">
        <v>1</v>
      </c>
    </row>
    <row r="5970" spans="1:49" x14ac:dyDescent="0.25">
      <c r="A5970" t="str">
        <f>"5966"</f>
        <v>5966</v>
      </c>
      <c r="B5970" t="str">
        <f t="shared" si="344"/>
        <v>1</v>
      </c>
      <c r="C5970" t="str">
        <f t="shared" si="346"/>
        <v>262</v>
      </c>
      <c r="D5970" t="str">
        <f>"6"</f>
        <v>6</v>
      </c>
      <c r="E5970" t="str">
        <f>"1-262-6"</f>
        <v>1-262-6</v>
      </c>
      <c r="F5970" t="s">
        <v>83</v>
      </c>
      <c r="G5970" t="s">
        <v>84</v>
      </c>
      <c r="H5970" t="s">
        <v>85</v>
      </c>
      <c r="AC5970">
        <v>0</v>
      </c>
      <c r="AD5970">
        <v>1</v>
      </c>
      <c r="AE5970">
        <v>0</v>
      </c>
      <c r="AF5970">
        <v>0</v>
      </c>
      <c r="AG5970">
        <v>1</v>
      </c>
      <c r="AJ5970">
        <v>0</v>
      </c>
      <c r="AK5970">
        <v>1</v>
      </c>
      <c r="AL5970">
        <v>0</v>
      </c>
      <c r="AM5970">
        <v>0</v>
      </c>
      <c r="AN5970">
        <v>1</v>
      </c>
      <c r="AO5970">
        <v>1</v>
      </c>
      <c r="AP5970">
        <v>1</v>
      </c>
      <c r="AQ5970">
        <v>1</v>
      </c>
      <c r="AR5970">
        <v>1</v>
      </c>
      <c r="AS5970">
        <v>1</v>
      </c>
      <c r="AT5970">
        <v>0</v>
      </c>
      <c r="AV5970">
        <v>1</v>
      </c>
      <c r="AW5970">
        <v>1</v>
      </c>
    </row>
    <row r="5971" spans="1:49" x14ac:dyDescent="0.25">
      <c r="A5971" t="str">
        <f>"5967"</f>
        <v>5967</v>
      </c>
      <c r="B5971" t="str">
        <f t="shared" si="344"/>
        <v>1</v>
      </c>
      <c r="C5971" t="str">
        <f t="shared" si="346"/>
        <v>262</v>
      </c>
      <c r="D5971" t="str">
        <f>"22"</f>
        <v>22</v>
      </c>
      <c r="E5971" t="str">
        <f>"1-262-22"</f>
        <v>1-262-22</v>
      </c>
      <c r="F5971" t="s">
        <v>83</v>
      </c>
      <c r="G5971" t="s">
        <v>84</v>
      </c>
      <c r="H5971" t="s">
        <v>85</v>
      </c>
      <c r="AC5971">
        <v>0</v>
      </c>
      <c r="AD5971">
        <v>1</v>
      </c>
      <c r="AE5971">
        <v>0</v>
      </c>
      <c r="AF5971">
        <v>0</v>
      </c>
      <c r="AG5971">
        <v>1</v>
      </c>
      <c r="AJ5971">
        <v>0</v>
      </c>
      <c r="AK5971">
        <v>1</v>
      </c>
      <c r="AL5971">
        <v>1</v>
      </c>
      <c r="AM5971">
        <v>0</v>
      </c>
      <c r="AN5971">
        <v>0</v>
      </c>
      <c r="AO5971">
        <v>1</v>
      </c>
      <c r="AP5971">
        <v>1</v>
      </c>
      <c r="AQ5971">
        <v>1</v>
      </c>
      <c r="AR5971">
        <v>0</v>
      </c>
      <c r="AS5971">
        <v>1</v>
      </c>
      <c r="AT5971">
        <v>0</v>
      </c>
      <c r="AV5971">
        <v>1</v>
      </c>
      <c r="AW5971">
        <v>1</v>
      </c>
    </row>
    <row r="5972" spans="1:49" x14ac:dyDescent="0.25">
      <c r="A5972" t="str">
        <f>"5968"</f>
        <v>5968</v>
      </c>
      <c r="B5972" t="str">
        <f t="shared" si="344"/>
        <v>1</v>
      </c>
      <c r="C5972" t="str">
        <f t="shared" si="346"/>
        <v>262</v>
      </c>
      <c r="D5972" t="str">
        <f>"12"</f>
        <v>12</v>
      </c>
      <c r="E5972" t="str">
        <f>"1-262-12"</f>
        <v>1-262-12</v>
      </c>
      <c r="F5972" t="s">
        <v>83</v>
      </c>
      <c r="G5972" t="s">
        <v>84</v>
      </c>
      <c r="H5972" t="s">
        <v>85</v>
      </c>
      <c r="AC5972">
        <v>0</v>
      </c>
      <c r="AD5972">
        <v>1</v>
      </c>
      <c r="AE5972">
        <v>0</v>
      </c>
      <c r="AF5972">
        <v>0</v>
      </c>
      <c r="AG5972">
        <v>0</v>
      </c>
      <c r="AJ5972">
        <v>0</v>
      </c>
      <c r="AK5972">
        <v>1</v>
      </c>
      <c r="AL5972">
        <v>1</v>
      </c>
      <c r="AM5972">
        <v>0</v>
      </c>
      <c r="AN5972">
        <v>0</v>
      </c>
      <c r="AO5972">
        <v>1</v>
      </c>
      <c r="AP5972">
        <v>1</v>
      </c>
      <c r="AQ5972">
        <v>1</v>
      </c>
      <c r="AR5972">
        <v>1</v>
      </c>
      <c r="AS5972">
        <v>0</v>
      </c>
      <c r="AT5972">
        <v>1</v>
      </c>
      <c r="AV5972">
        <v>1</v>
      </c>
      <c r="AW5972">
        <v>1</v>
      </c>
    </row>
    <row r="5973" spans="1:49" x14ac:dyDescent="0.25">
      <c r="A5973" t="str">
        <f>"5969"</f>
        <v>5969</v>
      </c>
      <c r="B5973" t="str">
        <f t="shared" si="344"/>
        <v>1</v>
      </c>
      <c r="C5973" t="str">
        <f t="shared" si="346"/>
        <v>262</v>
      </c>
      <c r="D5973" t="str">
        <f>"2"</f>
        <v>2</v>
      </c>
      <c r="E5973" t="str">
        <f>"1-262-2"</f>
        <v>1-262-2</v>
      </c>
      <c r="F5973" t="s">
        <v>83</v>
      </c>
      <c r="G5973" t="s">
        <v>84</v>
      </c>
      <c r="H5973" t="s">
        <v>85</v>
      </c>
      <c r="AC5973">
        <v>1</v>
      </c>
      <c r="AD5973">
        <v>0</v>
      </c>
      <c r="AE5973">
        <v>0</v>
      </c>
      <c r="AF5973">
        <v>0</v>
      </c>
      <c r="AG5973">
        <v>0</v>
      </c>
      <c r="AJ5973">
        <v>1</v>
      </c>
      <c r="AK5973">
        <v>0</v>
      </c>
      <c r="AL5973">
        <v>1</v>
      </c>
      <c r="AM5973">
        <v>0</v>
      </c>
      <c r="AN5973">
        <v>0</v>
      </c>
      <c r="AO5973">
        <v>0</v>
      </c>
      <c r="AP5973">
        <v>0</v>
      </c>
      <c r="AQ5973">
        <v>0</v>
      </c>
      <c r="AR5973">
        <v>0</v>
      </c>
      <c r="AS5973">
        <v>0</v>
      </c>
      <c r="AT5973">
        <v>1</v>
      </c>
      <c r="AV5973">
        <v>0</v>
      </c>
      <c r="AW5973">
        <v>0</v>
      </c>
    </row>
    <row r="5974" spans="1:49" x14ac:dyDescent="0.25">
      <c r="A5974" t="str">
        <f>"5970"</f>
        <v>5970</v>
      </c>
      <c r="B5974" t="str">
        <f t="shared" si="344"/>
        <v>1</v>
      </c>
      <c r="C5974" t="str">
        <f t="shared" si="346"/>
        <v>262</v>
      </c>
      <c r="D5974" t="str">
        <f>"13"</f>
        <v>13</v>
      </c>
      <c r="E5974" t="str">
        <f>"1-262-13"</f>
        <v>1-262-13</v>
      </c>
      <c r="F5974" t="s">
        <v>83</v>
      </c>
      <c r="G5974" t="s">
        <v>84</v>
      </c>
      <c r="H5974" t="s">
        <v>85</v>
      </c>
      <c r="AC5974">
        <v>0</v>
      </c>
      <c r="AD5974">
        <v>1</v>
      </c>
      <c r="AE5974">
        <v>0</v>
      </c>
      <c r="AF5974">
        <v>0</v>
      </c>
      <c r="AG5974">
        <v>1</v>
      </c>
      <c r="AJ5974">
        <v>0</v>
      </c>
      <c r="AK5974">
        <v>1</v>
      </c>
      <c r="AL5974">
        <v>1</v>
      </c>
      <c r="AM5974">
        <v>0</v>
      </c>
      <c r="AN5974">
        <v>0</v>
      </c>
      <c r="AO5974">
        <v>1</v>
      </c>
      <c r="AP5974">
        <v>1</v>
      </c>
      <c r="AQ5974">
        <v>1</v>
      </c>
      <c r="AR5974">
        <v>1</v>
      </c>
      <c r="AS5974">
        <v>0</v>
      </c>
      <c r="AT5974">
        <v>1</v>
      </c>
      <c r="AV5974">
        <v>1</v>
      </c>
      <c r="AW5974">
        <v>1</v>
      </c>
    </row>
    <row r="5975" spans="1:49" x14ac:dyDescent="0.25">
      <c r="A5975" t="str">
        <f>"5971"</f>
        <v>5971</v>
      </c>
      <c r="B5975" t="str">
        <f t="shared" si="344"/>
        <v>1</v>
      </c>
      <c r="C5975" t="str">
        <f t="shared" si="346"/>
        <v>262</v>
      </c>
      <c r="D5975" t="str">
        <f>"7"</f>
        <v>7</v>
      </c>
      <c r="E5975" t="str">
        <f>"1-262-7"</f>
        <v>1-262-7</v>
      </c>
      <c r="F5975" t="s">
        <v>83</v>
      </c>
      <c r="G5975" t="s">
        <v>84</v>
      </c>
      <c r="H5975" t="s">
        <v>85</v>
      </c>
      <c r="AC5975">
        <v>0</v>
      </c>
      <c r="AD5975">
        <v>1</v>
      </c>
      <c r="AE5975">
        <v>0</v>
      </c>
      <c r="AF5975">
        <v>0</v>
      </c>
      <c r="AG5975">
        <v>0</v>
      </c>
      <c r="AJ5975">
        <v>0</v>
      </c>
      <c r="AK5975">
        <v>1</v>
      </c>
      <c r="AL5975">
        <v>0</v>
      </c>
      <c r="AM5975">
        <v>0</v>
      </c>
      <c r="AN5975">
        <v>1</v>
      </c>
      <c r="AO5975">
        <v>0</v>
      </c>
      <c r="AP5975">
        <v>0</v>
      </c>
      <c r="AQ5975">
        <v>0</v>
      </c>
      <c r="AR5975">
        <v>0</v>
      </c>
      <c r="AS5975">
        <v>0</v>
      </c>
      <c r="AT5975">
        <v>1</v>
      </c>
      <c r="AV5975">
        <v>0</v>
      </c>
      <c r="AW5975">
        <v>0</v>
      </c>
    </row>
    <row r="5976" spans="1:49" x14ac:dyDescent="0.25">
      <c r="A5976" t="str">
        <f>"5972"</f>
        <v>5972</v>
      </c>
      <c r="B5976" t="str">
        <f t="shared" si="344"/>
        <v>1</v>
      </c>
      <c r="C5976" t="str">
        <f t="shared" si="346"/>
        <v>262</v>
      </c>
      <c r="D5976" t="str">
        <f>"18"</f>
        <v>18</v>
      </c>
      <c r="E5976" t="str">
        <f>"1-262-18"</f>
        <v>1-262-18</v>
      </c>
      <c r="F5976" t="s">
        <v>83</v>
      </c>
      <c r="G5976" t="s">
        <v>84</v>
      </c>
      <c r="H5976" t="s">
        <v>85</v>
      </c>
      <c r="AC5976">
        <v>0</v>
      </c>
      <c r="AD5976">
        <v>1</v>
      </c>
      <c r="AE5976">
        <v>0</v>
      </c>
      <c r="AF5976">
        <v>0</v>
      </c>
      <c r="AG5976">
        <v>0</v>
      </c>
      <c r="AJ5976">
        <v>0</v>
      </c>
      <c r="AK5976">
        <v>0</v>
      </c>
      <c r="AL5976">
        <v>1</v>
      </c>
      <c r="AM5976">
        <v>0</v>
      </c>
      <c r="AN5976">
        <v>0</v>
      </c>
      <c r="AO5976">
        <v>0</v>
      </c>
      <c r="AP5976">
        <v>0</v>
      </c>
      <c r="AQ5976">
        <v>0</v>
      </c>
      <c r="AR5976">
        <v>0</v>
      </c>
      <c r="AS5976">
        <v>0</v>
      </c>
      <c r="AT5976">
        <v>0</v>
      </c>
      <c r="AV5976">
        <v>0</v>
      </c>
      <c r="AW5976">
        <v>0</v>
      </c>
    </row>
    <row r="5977" spans="1:49" x14ac:dyDescent="0.25">
      <c r="A5977" t="str">
        <f>"5973"</f>
        <v>5973</v>
      </c>
      <c r="B5977" t="str">
        <f t="shared" si="344"/>
        <v>1</v>
      </c>
      <c r="C5977" t="str">
        <f t="shared" si="346"/>
        <v>262</v>
      </c>
      <c r="D5977" t="str">
        <f>"4"</f>
        <v>4</v>
      </c>
      <c r="E5977" t="str">
        <f>"1-262-4"</f>
        <v>1-262-4</v>
      </c>
      <c r="F5977" t="s">
        <v>83</v>
      </c>
      <c r="G5977" t="s">
        <v>84</v>
      </c>
      <c r="H5977" t="s">
        <v>85</v>
      </c>
      <c r="AC5977">
        <v>1</v>
      </c>
      <c r="AD5977">
        <v>0</v>
      </c>
      <c r="AE5977">
        <v>0</v>
      </c>
      <c r="AF5977">
        <v>0</v>
      </c>
      <c r="AG5977">
        <v>1</v>
      </c>
      <c r="AJ5977">
        <v>0</v>
      </c>
      <c r="AK5977">
        <v>1</v>
      </c>
      <c r="AL5977">
        <v>0</v>
      </c>
      <c r="AM5977">
        <v>1</v>
      </c>
      <c r="AN5977">
        <v>0</v>
      </c>
      <c r="AO5977">
        <v>1</v>
      </c>
      <c r="AP5977">
        <v>1</v>
      </c>
      <c r="AQ5977">
        <v>1</v>
      </c>
      <c r="AR5977">
        <v>1</v>
      </c>
      <c r="AS5977">
        <v>1</v>
      </c>
      <c r="AT5977">
        <v>0</v>
      </c>
      <c r="AV5977">
        <v>1</v>
      </c>
      <c r="AW5977">
        <v>1</v>
      </c>
    </row>
    <row r="5978" spans="1:49" x14ac:dyDescent="0.25">
      <c r="A5978" t="str">
        <f>"5974"</f>
        <v>5974</v>
      </c>
      <c r="B5978" t="str">
        <f t="shared" si="344"/>
        <v>1</v>
      </c>
      <c r="C5978" t="str">
        <f t="shared" si="346"/>
        <v>262</v>
      </c>
      <c r="D5978" t="str">
        <f>"19"</f>
        <v>19</v>
      </c>
      <c r="E5978" t="str">
        <f>"1-262-19"</f>
        <v>1-262-19</v>
      </c>
      <c r="F5978" t="s">
        <v>83</v>
      </c>
      <c r="G5978" t="s">
        <v>84</v>
      </c>
      <c r="H5978" t="s">
        <v>85</v>
      </c>
      <c r="AC5978">
        <v>0</v>
      </c>
      <c r="AD5978">
        <v>1</v>
      </c>
      <c r="AE5978">
        <v>0</v>
      </c>
      <c r="AF5978">
        <v>0</v>
      </c>
      <c r="AG5978">
        <v>1</v>
      </c>
      <c r="AJ5978">
        <v>1</v>
      </c>
      <c r="AK5978">
        <v>0</v>
      </c>
      <c r="AL5978">
        <v>0</v>
      </c>
      <c r="AM5978">
        <v>0</v>
      </c>
      <c r="AN5978">
        <v>1</v>
      </c>
      <c r="AO5978">
        <v>1</v>
      </c>
      <c r="AP5978">
        <v>1</v>
      </c>
      <c r="AQ5978">
        <v>1</v>
      </c>
      <c r="AR5978">
        <v>1</v>
      </c>
      <c r="AS5978">
        <v>1</v>
      </c>
      <c r="AT5978">
        <v>0</v>
      </c>
      <c r="AV5978">
        <v>1</v>
      </c>
      <c r="AW5978">
        <v>1</v>
      </c>
    </row>
    <row r="5979" spans="1:49" x14ac:dyDescent="0.25">
      <c r="A5979" t="str">
        <f>"5975"</f>
        <v>5975</v>
      </c>
      <c r="B5979" t="str">
        <f t="shared" si="344"/>
        <v>1</v>
      </c>
      <c r="C5979" t="str">
        <f t="shared" si="346"/>
        <v>262</v>
      </c>
      <c r="D5979" t="str">
        <f>"5"</f>
        <v>5</v>
      </c>
      <c r="E5979" t="str">
        <f>"1-262-5"</f>
        <v>1-262-5</v>
      </c>
      <c r="F5979" t="s">
        <v>83</v>
      </c>
      <c r="G5979" t="s">
        <v>84</v>
      </c>
      <c r="H5979" t="s">
        <v>85</v>
      </c>
      <c r="AC5979">
        <v>0</v>
      </c>
      <c r="AD5979">
        <v>1</v>
      </c>
      <c r="AE5979">
        <v>0</v>
      </c>
      <c r="AF5979">
        <v>0</v>
      </c>
      <c r="AG5979">
        <v>1</v>
      </c>
      <c r="AJ5979">
        <v>0</v>
      </c>
      <c r="AK5979">
        <v>1</v>
      </c>
      <c r="AL5979">
        <v>0</v>
      </c>
      <c r="AM5979">
        <v>0</v>
      </c>
      <c r="AN5979">
        <v>1</v>
      </c>
      <c r="AO5979">
        <v>1</v>
      </c>
      <c r="AP5979">
        <v>1</v>
      </c>
      <c r="AQ5979">
        <v>1</v>
      </c>
      <c r="AR5979">
        <v>1</v>
      </c>
      <c r="AS5979">
        <v>0</v>
      </c>
      <c r="AT5979">
        <v>1</v>
      </c>
      <c r="AV5979">
        <v>1</v>
      </c>
      <c r="AW5979">
        <v>1</v>
      </c>
    </row>
    <row r="5980" spans="1:49" x14ac:dyDescent="0.25">
      <c r="A5980" t="str">
        <f>"5976"</f>
        <v>5976</v>
      </c>
      <c r="B5980" t="str">
        <f t="shared" si="344"/>
        <v>1</v>
      </c>
      <c r="C5980" t="str">
        <f t="shared" si="346"/>
        <v>262</v>
      </c>
      <c r="D5980" t="str">
        <f>"3"</f>
        <v>3</v>
      </c>
      <c r="E5980" t="str">
        <f>"1-262-3"</f>
        <v>1-262-3</v>
      </c>
      <c r="F5980" t="s">
        <v>83</v>
      </c>
      <c r="G5980" t="s">
        <v>84</v>
      </c>
      <c r="H5980" t="s">
        <v>85</v>
      </c>
      <c r="AC5980">
        <v>0</v>
      </c>
      <c r="AD5980">
        <v>0</v>
      </c>
      <c r="AE5980">
        <v>0</v>
      </c>
      <c r="AF5980">
        <v>0</v>
      </c>
      <c r="AG5980">
        <v>0</v>
      </c>
      <c r="AJ5980">
        <v>0</v>
      </c>
      <c r="AK5980">
        <v>0</v>
      </c>
      <c r="AL5980">
        <v>0</v>
      </c>
      <c r="AM5980">
        <v>0</v>
      </c>
      <c r="AN5980">
        <v>0</v>
      </c>
      <c r="AO5980">
        <v>0</v>
      </c>
      <c r="AP5980">
        <v>0</v>
      </c>
      <c r="AQ5980">
        <v>0</v>
      </c>
      <c r="AR5980">
        <v>0</v>
      </c>
      <c r="AS5980">
        <v>0</v>
      </c>
      <c r="AT5980">
        <v>0</v>
      </c>
      <c r="AV5980">
        <v>0</v>
      </c>
      <c r="AW5980">
        <v>0</v>
      </c>
    </row>
    <row r="5981" spans="1:49" x14ac:dyDescent="0.25">
      <c r="A5981" t="str">
        <f>"5977"</f>
        <v>5977</v>
      </c>
      <c r="B5981" t="str">
        <f t="shared" si="344"/>
        <v>1</v>
      </c>
      <c r="C5981" t="str">
        <f t="shared" ref="C5981:C6005" si="347">"263"</f>
        <v>263</v>
      </c>
      <c r="D5981" t="str">
        <f>"21"</f>
        <v>21</v>
      </c>
      <c r="E5981" t="str">
        <f>"1-263-21"</f>
        <v>1-263-21</v>
      </c>
      <c r="F5981" t="s">
        <v>83</v>
      </c>
      <c r="G5981" t="s">
        <v>84</v>
      </c>
      <c r="H5981" t="s">
        <v>85</v>
      </c>
      <c r="AC5981">
        <v>1</v>
      </c>
      <c r="AD5981">
        <v>0</v>
      </c>
      <c r="AE5981">
        <v>0</v>
      </c>
      <c r="AF5981">
        <v>0</v>
      </c>
      <c r="AG5981">
        <v>0</v>
      </c>
      <c r="AJ5981">
        <v>1</v>
      </c>
      <c r="AK5981">
        <v>0</v>
      </c>
      <c r="AL5981">
        <v>0</v>
      </c>
      <c r="AM5981">
        <v>0</v>
      </c>
      <c r="AN5981">
        <v>0</v>
      </c>
      <c r="AO5981">
        <v>0</v>
      </c>
      <c r="AP5981">
        <v>0</v>
      </c>
      <c r="AQ5981">
        <v>0</v>
      </c>
      <c r="AR5981">
        <v>0</v>
      </c>
      <c r="AS5981">
        <v>0</v>
      </c>
      <c r="AT5981">
        <v>1</v>
      </c>
      <c r="AV5981">
        <v>0</v>
      </c>
      <c r="AW5981">
        <v>0</v>
      </c>
    </row>
    <row r="5982" spans="1:49" x14ac:dyDescent="0.25">
      <c r="A5982" t="str">
        <f>"5978"</f>
        <v>5978</v>
      </c>
      <c r="B5982" t="str">
        <f t="shared" ref="B5982:B6045" si="348">"1"</f>
        <v>1</v>
      </c>
      <c r="C5982" t="str">
        <f t="shared" si="347"/>
        <v>263</v>
      </c>
      <c r="D5982" t="str">
        <f>"20"</f>
        <v>20</v>
      </c>
      <c r="E5982" t="str">
        <f>"1-263-20"</f>
        <v>1-263-20</v>
      </c>
      <c r="F5982" t="s">
        <v>83</v>
      </c>
      <c r="G5982" t="s">
        <v>84</v>
      </c>
      <c r="H5982" t="s">
        <v>85</v>
      </c>
      <c r="AC5982">
        <v>1</v>
      </c>
      <c r="AD5982">
        <v>0</v>
      </c>
      <c r="AE5982">
        <v>0</v>
      </c>
      <c r="AF5982">
        <v>0</v>
      </c>
      <c r="AG5982">
        <v>0</v>
      </c>
      <c r="AJ5982">
        <v>1</v>
      </c>
      <c r="AK5982">
        <v>0</v>
      </c>
      <c r="AL5982">
        <v>1</v>
      </c>
      <c r="AM5982">
        <v>0</v>
      </c>
      <c r="AN5982">
        <v>0</v>
      </c>
      <c r="AO5982">
        <v>1</v>
      </c>
      <c r="AP5982">
        <v>1</v>
      </c>
      <c r="AQ5982">
        <v>1</v>
      </c>
      <c r="AR5982">
        <v>1</v>
      </c>
      <c r="AS5982">
        <v>1</v>
      </c>
      <c r="AT5982">
        <v>0</v>
      </c>
      <c r="AV5982">
        <v>1</v>
      </c>
      <c r="AW5982">
        <v>1</v>
      </c>
    </row>
    <row r="5983" spans="1:49" x14ac:dyDescent="0.25">
      <c r="A5983" t="str">
        <f>"5979"</f>
        <v>5979</v>
      </c>
      <c r="B5983" t="str">
        <f t="shared" si="348"/>
        <v>1</v>
      </c>
      <c r="C5983" t="str">
        <f t="shared" si="347"/>
        <v>263</v>
      </c>
      <c r="D5983" t="str">
        <f>"15"</f>
        <v>15</v>
      </c>
      <c r="E5983" t="str">
        <f>"1-263-15"</f>
        <v>1-263-15</v>
      </c>
      <c r="F5983" t="s">
        <v>83</v>
      </c>
      <c r="G5983" t="s">
        <v>84</v>
      </c>
      <c r="H5983" t="s">
        <v>85</v>
      </c>
      <c r="AC5983">
        <v>1</v>
      </c>
      <c r="AD5983">
        <v>0</v>
      </c>
      <c r="AE5983">
        <v>0</v>
      </c>
      <c r="AF5983">
        <v>0</v>
      </c>
      <c r="AG5983">
        <v>1</v>
      </c>
      <c r="AJ5983">
        <v>0</v>
      </c>
      <c r="AK5983">
        <v>1</v>
      </c>
      <c r="AL5983">
        <v>0</v>
      </c>
      <c r="AM5983">
        <v>0</v>
      </c>
      <c r="AN5983">
        <v>1</v>
      </c>
      <c r="AO5983">
        <v>1</v>
      </c>
      <c r="AP5983">
        <v>1</v>
      </c>
      <c r="AQ5983">
        <v>1</v>
      </c>
      <c r="AR5983">
        <v>1</v>
      </c>
      <c r="AS5983">
        <v>1</v>
      </c>
      <c r="AT5983">
        <v>0</v>
      </c>
      <c r="AV5983">
        <v>1</v>
      </c>
      <c r="AW5983">
        <v>1</v>
      </c>
    </row>
    <row r="5984" spans="1:49" x14ac:dyDescent="0.25">
      <c r="A5984" t="str">
        <f>"5980"</f>
        <v>5980</v>
      </c>
      <c r="B5984" t="str">
        <f t="shared" si="348"/>
        <v>1</v>
      </c>
      <c r="C5984" t="str">
        <f t="shared" si="347"/>
        <v>263</v>
      </c>
      <c r="D5984" t="str">
        <f>"14"</f>
        <v>14</v>
      </c>
      <c r="E5984" t="str">
        <f>"1-263-14"</f>
        <v>1-263-14</v>
      </c>
      <c r="F5984" t="s">
        <v>83</v>
      </c>
      <c r="G5984" t="s">
        <v>84</v>
      </c>
      <c r="H5984" t="s">
        <v>85</v>
      </c>
      <c r="AC5984">
        <v>0</v>
      </c>
      <c r="AD5984">
        <v>1</v>
      </c>
      <c r="AE5984">
        <v>0</v>
      </c>
      <c r="AF5984">
        <v>0</v>
      </c>
      <c r="AG5984">
        <v>1</v>
      </c>
      <c r="AJ5984">
        <v>0</v>
      </c>
      <c r="AK5984">
        <v>1</v>
      </c>
      <c r="AL5984">
        <v>1</v>
      </c>
      <c r="AM5984">
        <v>0</v>
      </c>
      <c r="AN5984">
        <v>0</v>
      </c>
      <c r="AO5984">
        <v>1</v>
      </c>
      <c r="AP5984">
        <v>1</v>
      </c>
      <c r="AQ5984">
        <v>1</v>
      </c>
      <c r="AR5984">
        <v>1</v>
      </c>
      <c r="AS5984">
        <v>1</v>
      </c>
      <c r="AT5984">
        <v>0</v>
      </c>
      <c r="AV5984">
        <v>1</v>
      </c>
      <c r="AW5984">
        <v>1</v>
      </c>
    </row>
    <row r="5985" spans="1:49" x14ac:dyDescent="0.25">
      <c r="A5985" t="str">
        <f>"5981"</f>
        <v>5981</v>
      </c>
      <c r="B5985" t="str">
        <f t="shared" si="348"/>
        <v>1</v>
      </c>
      <c r="C5985" t="str">
        <f t="shared" si="347"/>
        <v>263</v>
      </c>
      <c r="D5985" t="str">
        <f>"11"</f>
        <v>11</v>
      </c>
      <c r="E5985" t="str">
        <f>"1-263-11"</f>
        <v>1-263-11</v>
      </c>
      <c r="F5985" t="s">
        <v>83</v>
      </c>
      <c r="G5985" t="s">
        <v>84</v>
      </c>
      <c r="H5985" t="s">
        <v>85</v>
      </c>
      <c r="AC5985">
        <v>0</v>
      </c>
      <c r="AD5985">
        <v>1</v>
      </c>
      <c r="AE5985">
        <v>0</v>
      </c>
      <c r="AF5985">
        <v>0</v>
      </c>
      <c r="AG5985">
        <v>1</v>
      </c>
      <c r="AJ5985">
        <v>0</v>
      </c>
      <c r="AK5985">
        <v>1</v>
      </c>
      <c r="AL5985">
        <v>0</v>
      </c>
      <c r="AM5985">
        <v>1</v>
      </c>
      <c r="AN5985">
        <v>0</v>
      </c>
      <c r="AO5985">
        <v>1</v>
      </c>
      <c r="AP5985">
        <v>1</v>
      </c>
      <c r="AQ5985">
        <v>1</v>
      </c>
      <c r="AR5985">
        <v>1</v>
      </c>
      <c r="AS5985">
        <v>0</v>
      </c>
      <c r="AT5985">
        <v>1</v>
      </c>
      <c r="AV5985">
        <v>1</v>
      </c>
      <c r="AW5985">
        <v>1</v>
      </c>
    </row>
    <row r="5986" spans="1:49" x14ac:dyDescent="0.25">
      <c r="A5986" t="str">
        <f>"5982"</f>
        <v>5982</v>
      </c>
      <c r="B5986" t="str">
        <f t="shared" si="348"/>
        <v>1</v>
      </c>
      <c r="C5986" t="str">
        <f t="shared" si="347"/>
        <v>263</v>
      </c>
      <c r="D5986" t="str">
        <f>"8"</f>
        <v>8</v>
      </c>
      <c r="E5986" t="str">
        <f>"1-263-8"</f>
        <v>1-263-8</v>
      </c>
      <c r="F5986" t="s">
        <v>83</v>
      </c>
      <c r="G5986" t="s">
        <v>84</v>
      </c>
      <c r="H5986" t="s">
        <v>85</v>
      </c>
      <c r="AC5986">
        <v>0</v>
      </c>
      <c r="AD5986">
        <v>1</v>
      </c>
      <c r="AE5986">
        <v>0</v>
      </c>
      <c r="AF5986">
        <v>0</v>
      </c>
      <c r="AG5986">
        <v>0</v>
      </c>
      <c r="AJ5986">
        <v>1</v>
      </c>
      <c r="AK5986">
        <v>0</v>
      </c>
      <c r="AL5986">
        <v>0</v>
      </c>
      <c r="AM5986">
        <v>0</v>
      </c>
      <c r="AN5986">
        <v>1</v>
      </c>
      <c r="AO5986">
        <v>0</v>
      </c>
      <c r="AP5986">
        <v>0</v>
      </c>
      <c r="AQ5986">
        <v>0</v>
      </c>
      <c r="AR5986">
        <v>0</v>
      </c>
      <c r="AS5986">
        <v>1</v>
      </c>
      <c r="AT5986">
        <v>0</v>
      </c>
      <c r="AV5986">
        <v>0</v>
      </c>
      <c r="AW5986">
        <v>0</v>
      </c>
    </row>
    <row r="5987" spans="1:49" x14ac:dyDescent="0.25">
      <c r="A5987" t="str">
        <f>"5983"</f>
        <v>5983</v>
      </c>
      <c r="B5987" t="str">
        <f t="shared" si="348"/>
        <v>1</v>
      </c>
      <c r="C5987" t="str">
        <f t="shared" si="347"/>
        <v>263</v>
      </c>
      <c r="D5987" t="str">
        <f>"1"</f>
        <v>1</v>
      </c>
      <c r="E5987" t="str">
        <f>"1-263-1"</f>
        <v>1-263-1</v>
      </c>
      <c r="F5987" t="s">
        <v>83</v>
      </c>
      <c r="G5987" t="s">
        <v>84</v>
      </c>
      <c r="H5987" t="s">
        <v>85</v>
      </c>
      <c r="AC5987">
        <v>1</v>
      </c>
      <c r="AD5987">
        <v>0</v>
      </c>
      <c r="AE5987">
        <v>0</v>
      </c>
      <c r="AF5987">
        <v>0</v>
      </c>
      <c r="AG5987">
        <v>1</v>
      </c>
      <c r="AJ5987">
        <v>1</v>
      </c>
      <c r="AK5987">
        <v>0</v>
      </c>
      <c r="AL5987">
        <v>0</v>
      </c>
      <c r="AM5987">
        <v>0</v>
      </c>
      <c r="AN5987">
        <v>1</v>
      </c>
      <c r="AO5987">
        <v>1</v>
      </c>
      <c r="AP5987">
        <v>1</v>
      </c>
      <c r="AQ5987">
        <v>1</v>
      </c>
      <c r="AR5987">
        <v>1</v>
      </c>
      <c r="AS5987">
        <v>0</v>
      </c>
      <c r="AT5987">
        <v>1</v>
      </c>
      <c r="AV5987">
        <v>1</v>
      </c>
      <c r="AW5987">
        <v>1</v>
      </c>
    </row>
    <row r="5988" spans="1:49" x14ac:dyDescent="0.25">
      <c r="A5988" t="str">
        <f>"5984"</f>
        <v>5984</v>
      </c>
      <c r="B5988" t="str">
        <f t="shared" si="348"/>
        <v>1</v>
      </c>
      <c r="C5988" t="str">
        <f t="shared" si="347"/>
        <v>263</v>
      </c>
      <c r="D5988" t="str">
        <f>"17"</f>
        <v>17</v>
      </c>
      <c r="E5988" t="str">
        <f>"1-263-17"</f>
        <v>1-263-17</v>
      </c>
      <c r="F5988" t="s">
        <v>83</v>
      </c>
      <c r="G5988" t="s">
        <v>84</v>
      </c>
      <c r="H5988" t="s">
        <v>85</v>
      </c>
      <c r="AC5988">
        <v>0</v>
      </c>
      <c r="AD5988">
        <v>1</v>
      </c>
      <c r="AE5988">
        <v>0</v>
      </c>
      <c r="AF5988">
        <v>0</v>
      </c>
      <c r="AG5988">
        <v>1</v>
      </c>
      <c r="AJ5988">
        <v>1</v>
      </c>
      <c r="AK5988">
        <v>0</v>
      </c>
      <c r="AL5988">
        <v>0</v>
      </c>
      <c r="AM5988">
        <v>0</v>
      </c>
      <c r="AN5988">
        <v>1</v>
      </c>
      <c r="AO5988">
        <v>1</v>
      </c>
      <c r="AP5988">
        <v>1</v>
      </c>
      <c r="AQ5988">
        <v>1</v>
      </c>
      <c r="AR5988">
        <v>1</v>
      </c>
      <c r="AS5988">
        <v>1</v>
      </c>
      <c r="AT5988">
        <v>0</v>
      </c>
      <c r="AV5988">
        <v>1</v>
      </c>
      <c r="AW5988">
        <v>1</v>
      </c>
    </row>
    <row r="5989" spans="1:49" x14ac:dyDescent="0.25">
      <c r="A5989" t="str">
        <f>"5985"</f>
        <v>5985</v>
      </c>
      <c r="B5989" t="str">
        <f t="shared" si="348"/>
        <v>1</v>
      </c>
      <c r="C5989" t="str">
        <f t="shared" si="347"/>
        <v>263</v>
      </c>
      <c r="D5989" t="str">
        <f>"9"</f>
        <v>9</v>
      </c>
      <c r="E5989" t="str">
        <f>"1-263-9"</f>
        <v>1-263-9</v>
      </c>
      <c r="F5989" t="s">
        <v>83</v>
      </c>
      <c r="G5989" t="s">
        <v>84</v>
      </c>
      <c r="H5989" t="s">
        <v>85</v>
      </c>
      <c r="AC5989">
        <v>1</v>
      </c>
      <c r="AD5989">
        <v>0</v>
      </c>
      <c r="AE5989">
        <v>0</v>
      </c>
      <c r="AF5989">
        <v>0</v>
      </c>
      <c r="AG5989">
        <v>0</v>
      </c>
      <c r="AJ5989">
        <v>0</v>
      </c>
      <c r="AK5989">
        <v>0</v>
      </c>
      <c r="AL5989">
        <v>0</v>
      </c>
      <c r="AM5989">
        <v>0</v>
      </c>
      <c r="AN5989">
        <v>0</v>
      </c>
      <c r="AO5989">
        <v>0</v>
      </c>
      <c r="AP5989">
        <v>0</v>
      </c>
      <c r="AQ5989">
        <v>0</v>
      </c>
      <c r="AR5989">
        <v>0</v>
      </c>
      <c r="AS5989">
        <v>0</v>
      </c>
      <c r="AT5989">
        <v>1</v>
      </c>
      <c r="AV5989">
        <v>1</v>
      </c>
      <c r="AW5989">
        <v>1</v>
      </c>
    </row>
    <row r="5990" spans="1:49" x14ac:dyDescent="0.25">
      <c r="A5990" t="str">
        <f>"5986"</f>
        <v>5986</v>
      </c>
      <c r="B5990" t="str">
        <f t="shared" si="348"/>
        <v>1</v>
      </c>
      <c r="C5990" t="str">
        <f t="shared" si="347"/>
        <v>263</v>
      </c>
      <c r="D5990" t="str">
        <f>"4"</f>
        <v>4</v>
      </c>
      <c r="E5990" t="str">
        <f>"1-263-4"</f>
        <v>1-263-4</v>
      </c>
      <c r="F5990" t="s">
        <v>83</v>
      </c>
      <c r="G5990" t="s">
        <v>84</v>
      </c>
      <c r="H5990" t="s">
        <v>85</v>
      </c>
      <c r="AC5990">
        <v>0</v>
      </c>
      <c r="AD5990">
        <v>1</v>
      </c>
      <c r="AE5990">
        <v>0</v>
      </c>
      <c r="AF5990">
        <v>0</v>
      </c>
      <c r="AG5990">
        <v>0</v>
      </c>
      <c r="AJ5990">
        <v>0</v>
      </c>
      <c r="AK5990">
        <v>1</v>
      </c>
      <c r="AL5990">
        <v>0</v>
      </c>
      <c r="AM5990">
        <v>0</v>
      </c>
      <c r="AN5990">
        <v>0</v>
      </c>
      <c r="AO5990">
        <v>0</v>
      </c>
      <c r="AP5990">
        <v>0</v>
      </c>
      <c r="AQ5990">
        <v>0</v>
      </c>
      <c r="AR5990">
        <v>1</v>
      </c>
      <c r="AS5990">
        <v>1</v>
      </c>
      <c r="AT5990">
        <v>0</v>
      </c>
      <c r="AV5990">
        <v>0</v>
      </c>
      <c r="AW5990">
        <v>1</v>
      </c>
    </row>
    <row r="5991" spans="1:49" x14ac:dyDescent="0.25">
      <c r="A5991" t="str">
        <f>"5987"</f>
        <v>5987</v>
      </c>
      <c r="B5991" t="str">
        <f t="shared" si="348"/>
        <v>1</v>
      </c>
      <c r="C5991" t="str">
        <f t="shared" si="347"/>
        <v>263</v>
      </c>
      <c r="D5991" t="str">
        <f>"25"</f>
        <v>25</v>
      </c>
      <c r="E5991" t="str">
        <f>"1-263-25"</f>
        <v>1-263-25</v>
      </c>
      <c r="F5991" t="s">
        <v>83</v>
      </c>
      <c r="G5991" t="s">
        <v>84</v>
      </c>
      <c r="H5991" t="s">
        <v>85</v>
      </c>
      <c r="AC5991">
        <v>1</v>
      </c>
      <c r="AD5991">
        <v>0</v>
      </c>
      <c r="AE5991">
        <v>0</v>
      </c>
      <c r="AF5991">
        <v>0</v>
      </c>
      <c r="AG5991">
        <v>0</v>
      </c>
      <c r="AJ5991">
        <v>1</v>
      </c>
      <c r="AK5991">
        <v>0</v>
      </c>
      <c r="AL5991">
        <v>1</v>
      </c>
      <c r="AM5991">
        <v>0</v>
      </c>
      <c r="AN5991">
        <v>0</v>
      </c>
      <c r="AO5991">
        <v>1</v>
      </c>
      <c r="AP5991">
        <v>1</v>
      </c>
      <c r="AQ5991">
        <v>1</v>
      </c>
      <c r="AR5991">
        <v>1</v>
      </c>
      <c r="AS5991">
        <v>1</v>
      </c>
      <c r="AT5991">
        <v>0</v>
      </c>
      <c r="AV5991">
        <v>1</v>
      </c>
      <c r="AW5991">
        <v>1</v>
      </c>
    </row>
    <row r="5992" spans="1:49" x14ac:dyDescent="0.25">
      <c r="A5992" t="str">
        <f>"5988"</f>
        <v>5988</v>
      </c>
      <c r="B5992" t="str">
        <f t="shared" si="348"/>
        <v>1</v>
      </c>
      <c r="C5992" t="str">
        <f t="shared" si="347"/>
        <v>263</v>
      </c>
      <c r="D5992" t="str">
        <f>"24"</f>
        <v>24</v>
      </c>
      <c r="E5992" t="str">
        <f>"1-263-24"</f>
        <v>1-263-24</v>
      </c>
      <c r="F5992" t="s">
        <v>83</v>
      </c>
      <c r="G5992" t="s">
        <v>84</v>
      </c>
      <c r="H5992" t="s">
        <v>85</v>
      </c>
      <c r="AC5992">
        <v>0</v>
      </c>
      <c r="AD5992">
        <v>1</v>
      </c>
      <c r="AE5992">
        <v>0</v>
      </c>
      <c r="AF5992">
        <v>0</v>
      </c>
      <c r="AG5992">
        <v>1</v>
      </c>
      <c r="AJ5992">
        <v>1</v>
      </c>
      <c r="AK5992">
        <v>0</v>
      </c>
      <c r="AL5992">
        <v>0</v>
      </c>
      <c r="AM5992">
        <v>0</v>
      </c>
      <c r="AN5992">
        <v>1</v>
      </c>
      <c r="AO5992">
        <v>1</v>
      </c>
      <c r="AP5992">
        <v>1</v>
      </c>
      <c r="AQ5992">
        <v>1</v>
      </c>
      <c r="AR5992">
        <v>1</v>
      </c>
      <c r="AS5992">
        <v>1</v>
      </c>
      <c r="AT5992">
        <v>0</v>
      </c>
      <c r="AV5992">
        <v>1</v>
      </c>
      <c r="AW5992">
        <v>1</v>
      </c>
    </row>
    <row r="5993" spans="1:49" x14ac:dyDescent="0.25">
      <c r="A5993" t="str">
        <f>"5989"</f>
        <v>5989</v>
      </c>
      <c r="B5993" t="str">
        <f t="shared" si="348"/>
        <v>1</v>
      </c>
      <c r="C5993" t="str">
        <f t="shared" si="347"/>
        <v>263</v>
      </c>
      <c r="D5993" t="str">
        <f>"16"</f>
        <v>16</v>
      </c>
      <c r="E5993" t="str">
        <f>"1-263-16"</f>
        <v>1-263-16</v>
      </c>
      <c r="F5993" t="s">
        <v>83</v>
      </c>
      <c r="G5993" t="s">
        <v>84</v>
      </c>
      <c r="H5993" t="s">
        <v>85</v>
      </c>
      <c r="AC5993">
        <v>1</v>
      </c>
      <c r="AD5993">
        <v>0</v>
      </c>
      <c r="AE5993">
        <v>0</v>
      </c>
      <c r="AF5993">
        <v>0</v>
      </c>
      <c r="AG5993">
        <v>1</v>
      </c>
      <c r="AJ5993">
        <v>1</v>
      </c>
      <c r="AK5993">
        <v>0</v>
      </c>
      <c r="AL5993">
        <v>1</v>
      </c>
      <c r="AM5993">
        <v>0</v>
      </c>
      <c r="AN5993">
        <v>0</v>
      </c>
      <c r="AO5993">
        <v>1</v>
      </c>
      <c r="AP5993">
        <v>1</v>
      </c>
      <c r="AQ5993">
        <v>1</v>
      </c>
      <c r="AR5993">
        <v>1</v>
      </c>
      <c r="AS5993">
        <v>0</v>
      </c>
      <c r="AT5993">
        <v>1</v>
      </c>
      <c r="AV5993">
        <v>1</v>
      </c>
      <c r="AW5993">
        <v>1</v>
      </c>
    </row>
    <row r="5994" spans="1:49" x14ac:dyDescent="0.25">
      <c r="A5994" t="str">
        <f>"5990"</f>
        <v>5990</v>
      </c>
      <c r="B5994" t="str">
        <f t="shared" si="348"/>
        <v>1</v>
      </c>
      <c r="C5994" t="str">
        <f t="shared" si="347"/>
        <v>263</v>
      </c>
      <c r="D5994" t="str">
        <f>"10"</f>
        <v>10</v>
      </c>
      <c r="E5994" t="str">
        <f>"1-263-10"</f>
        <v>1-263-10</v>
      </c>
      <c r="F5994" t="s">
        <v>83</v>
      </c>
      <c r="G5994" t="s">
        <v>84</v>
      </c>
      <c r="H5994" t="s">
        <v>85</v>
      </c>
      <c r="AC5994">
        <v>0</v>
      </c>
      <c r="AD5994">
        <v>1</v>
      </c>
      <c r="AE5994">
        <v>0</v>
      </c>
      <c r="AF5994">
        <v>0</v>
      </c>
      <c r="AG5994">
        <v>1</v>
      </c>
      <c r="AJ5994">
        <v>0</v>
      </c>
      <c r="AK5994">
        <v>1</v>
      </c>
      <c r="AL5994">
        <v>0</v>
      </c>
      <c r="AM5994">
        <v>0</v>
      </c>
      <c r="AN5994">
        <v>1</v>
      </c>
      <c r="AO5994">
        <v>1</v>
      </c>
      <c r="AP5994">
        <v>1</v>
      </c>
      <c r="AQ5994">
        <v>1</v>
      </c>
      <c r="AR5994">
        <v>1</v>
      </c>
      <c r="AS5994">
        <v>1</v>
      </c>
      <c r="AT5994">
        <v>0</v>
      </c>
      <c r="AV5994">
        <v>1</v>
      </c>
      <c r="AW5994">
        <v>1</v>
      </c>
    </row>
    <row r="5995" spans="1:49" x14ac:dyDescent="0.25">
      <c r="A5995" t="str">
        <f>"5991"</f>
        <v>5991</v>
      </c>
      <c r="B5995" t="str">
        <f t="shared" si="348"/>
        <v>1</v>
      </c>
      <c r="C5995" t="str">
        <f t="shared" si="347"/>
        <v>263</v>
      </c>
      <c r="D5995" t="str">
        <f>"5"</f>
        <v>5</v>
      </c>
      <c r="E5995" t="str">
        <f>"1-263-5"</f>
        <v>1-263-5</v>
      </c>
      <c r="F5995" t="s">
        <v>83</v>
      </c>
      <c r="G5995" t="s">
        <v>84</v>
      </c>
      <c r="H5995" t="s">
        <v>85</v>
      </c>
      <c r="AC5995">
        <v>0</v>
      </c>
      <c r="AD5995">
        <v>1</v>
      </c>
      <c r="AE5995">
        <v>0</v>
      </c>
      <c r="AF5995">
        <v>0</v>
      </c>
      <c r="AG5995">
        <v>1</v>
      </c>
      <c r="AJ5995">
        <v>1</v>
      </c>
      <c r="AK5995">
        <v>0</v>
      </c>
      <c r="AL5995">
        <v>0</v>
      </c>
      <c r="AM5995">
        <v>1</v>
      </c>
      <c r="AN5995">
        <v>0</v>
      </c>
      <c r="AO5995">
        <v>1</v>
      </c>
      <c r="AP5995">
        <v>1</v>
      </c>
      <c r="AQ5995">
        <v>1</v>
      </c>
      <c r="AR5995">
        <v>1</v>
      </c>
      <c r="AS5995">
        <v>0</v>
      </c>
      <c r="AT5995">
        <v>1</v>
      </c>
      <c r="AV5995">
        <v>1</v>
      </c>
      <c r="AW5995">
        <v>1</v>
      </c>
    </row>
    <row r="5996" spans="1:49" x14ac:dyDescent="0.25">
      <c r="A5996" t="str">
        <f>"5992"</f>
        <v>5992</v>
      </c>
      <c r="B5996" t="str">
        <f t="shared" si="348"/>
        <v>1</v>
      </c>
      <c r="C5996" t="str">
        <f t="shared" si="347"/>
        <v>263</v>
      </c>
      <c r="D5996" t="str">
        <f>"23"</f>
        <v>23</v>
      </c>
      <c r="E5996" t="str">
        <f>"1-263-23"</f>
        <v>1-263-23</v>
      </c>
      <c r="F5996" t="s">
        <v>83</v>
      </c>
      <c r="G5996" t="s">
        <v>84</v>
      </c>
      <c r="H5996" t="s">
        <v>85</v>
      </c>
      <c r="AC5996">
        <v>1</v>
      </c>
      <c r="AD5996">
        <v>0</v>
      </c>
      <c r="AE5996">
        <v>0</v>
      </c>
      <c r="AF5996">
        <v>0</v>
      </c>
      <c r="AG5996">
        <v>1</v>
      </c>
      <c r="AJ5996">
        <v>1</v>
      </c>
      <c r="AK5996">
        <v>0</v>
      </c>
      <c r="AL5996">
        <v>0</v>
      </c>
      <c r="AM5996">
        <v>0</v>
      </c>
      <c r="AN5996">
        <v>1</v>
      </c>
      <c r="AO5996">
        <v>1</v>
      </c>
      <c r="AP5996">
        <v>1</v>
      </c>
      <c r="AQ5996">
        <v>1</v>
      </c>
      <c r="AR5996">
        <v>1</v>
      </c>
      <c r="AS5996">
        <v>0</v>
      </c>
      <c r="AT5996">
        <v>1</v>
      </c>
      <c r="AV5996">
        <v>1</v>
      </c>
      <c r="AW5996">
        <v>1</v>
      </c>
    </row>
    <row r="5997" spans="1:49" x14ac:dyDescent="0.25">
      <c r="A5997" t="str">
        <f>"5993"</f>
        <v>5993</v>
      </c>
      <c r="B5997" t="str">
        <f t="shared" si="348"/>
        <v>1</v>
      </c>
      <c r="C5997" t="str">
        <f t="shared" si="347"/>
        <v>263</v>
      </c>
      <c r="D5997" t="str">
        <f>"12"</f>
        <v>12</v>
      </c>
      <c r="E5997" t="str">
        <f>"1-263-12"</f>
        <v>1-263-12</v>
      </c>
      <c r="F5997" t="s">
        <v>83</v>
      </c>
      <c r="G5997" t="s">
        <v>84</v>
      </c>
      <c r="H5997" t="s">
        <v>85</v>
      </c>
      <c r="AC5997">
        <v>0</v>
      </c>
      <c r="AD5997">
        <v>1</v>
      </c>
      <c r="AE5997">
        <v>0</v>
      </c>
      <c r="AF5997">
        <v>0</v>
      </c>
      <c r="AG5997">
        <v>0</v>
      </c>
      <c r="AJ5997">
        <v>0</v>
      </c>
      <c r="AK5997">
        <v>1</v>
      </c>
      <c r="AL5997">
        <v>0</v>
      </c>
      <c r="AM5997">
        <v>1</v>
      </c>
      <c r="AN5997">
        <v>0</v>
      </c>
      <c r="AO5997">
        <v>0</v>
      </c>
      <c r="AP5997">
        <v>0</v>
      </c>
      <c r="AQ5997">
        <v>0</v>
      </c>
      <c r="AR5997">
        <v>0</v>
      </c>
      <c r="AS5997">
        <v>0</v>
      </c>
      <c r="AT5997">
        <v>1</v>
      </c>
      <c r="AV5997">
        <v>0</v>
      </c>
      <c r="AW5997">
        <v>1</v>
      </c>
    </row>
    <row r="5998" spans="1:49" x14ac:dyDescent="0.25">
      <c r="A5998" t="str">
        <f>"5994"</f>
        <v>5994</v>
      </c>
      <c r="B5998" t="str">
        <f t="shared" si="348"/>
        <v>1</v>
      </c>
      <c r="C5998" t="str">
        <f t="shared" si="347"/>
        <v>263</v>
      </c>
      <c r="D5998" t="str">
        <f>"7"</f>
        <v>7</v>
      </c>
      <c r="E5998" t="str">
        <f>"1-263-7"</f>
        <v>1-263-7</v>
      </c>
      <c r="F5998" t="s">
        <v>83</v>
      </c>
      <c r="G5998" t="s">
        <v>84</v>
      </c>
      <c r="H5998" t="s">
        <v>85</v>
      </c>
      <c r="AC5998">
        <v>0</v>
      </c>
      <c r="AD5998">
        <v>1</v>
      </c>
      <c r="AE5998">
        <v>0</v>
      </c>
      <c r="AF5998">
        <v>0</v>
      </c>
      <c r="AG5998">
        <v>0</v>
      </c>
      <c r="AJ5998">
        <v>0</v>
      </c>
      <c r="AK5998">
        <v>1</v>
      </c>
      <c r="AL5998">
        <v>1</v>
      </c>
      <c r="AM5998">
        <v>0</v>
      </c>
      <c r="AN5998">
        <v>0</v>
      </c>
      <c r="AO5998">
        <v>0</v>
      </c>
      <c r="AP5998">
        <v>0</v>
      </c>
      <c r="AQ5998">
        <v>0</v>
      </c>
      <c r="AR5998">
        <v>0</v>
      </c>
      <c r="AS5998">
        <v>0</v>
      </c>
      <c r="AT5998">
        <v>0</v>
      </c>
      <c r="AV5998">
        <v>0</v>
      </c>
      <c r="AW5998">
        <v>0</v>
      </c>
    </row>
    <row r="5999" spans="1:49" x14ac:dyDescent="0.25">
      <c r="A5999" t="str">
        <f>"5995"</f>
        <v>5995</v>
      </c>
      <c r="B5999" t="str">
        <f t="shared" si="348"/>
        <v>1</v>
      </c>
      <c r="C5999" t="str">
        <f t="shared" si="347"/>
        <v>263</v>
      </c>
      <c r="D5999" t="str">
        <f>"22"</f>
        <v>22</v>
      </c>
      <c r="E5999" t="str">
        <f>"1-263-22"</f>
        <v>1-263-22</v>
      </c>
      <c r="F5999" t="s">
        <v>83</v>
      </c>
      <c r="G5999" t="s">
        <v>84</v>
      </c>
      <c r="H5999" t="s">
        <v>85</v>
      </c>
      <c r="AC5999">
        <v>1</v>
      </c>
      <c r="AD5999">
        <v>0</v>
      </c>
      <c r="AE5999">
        <v>0</v>
      </c>
      <c r="AF5999">
        <v>0</v>
      </c>
      <c r="AG5999">
        <v>1</v>
      </c>
      <c r="AJ5999">
        <v>1</v>
      </c>
      <c r="AK5999">
        <v>0</v>
      </c>
      <c r="AL5999">
        <v>0</v>
      </c>
      <c r="AM5999">
        <v>0</v>
      </c>
      <c r="AN5999">
        <v>1</v>
      </c>
      <c r="AO5999">
        <v>1</v>
      </c>
      <c r="AP5999">
        <v>1</v>
      </c>
      <c r="AQ5999">
        <v>1</v>
      </c>
      <c r="AR5999">
        <v>1</v>
      </c>
      <c r="AS5999">
        <v>0</v>
      </c>
      <c r="AT5999">
        <v>1</v>
      </c>
      <c r="AV5999">
        <v>1</v>
      </c>
      <c r="AW5999">
        <v>1</v>
      </c>
    </row>
    <row r="6000" spans="1:49" x14ac:dyDescent="0.25">
      <c r="A6000" t="str">
        <f>"5996"</f>
        <v>5996</v>
      </c>
      <c r="B6000" t="str">
        <f t="shared" si="348"/>
        <v>1</v>
      </c>
      <c r="C6000" t="str">
        <f t="shared" si="347"/>
        <v>263</v>
      </c>
      <c r="D6000" t="str">
        <f>"13"</f>
        <v>13</v>
      </c>
      <c r="E6000" t="str">
        <f>"1-263-13"</f>
        <v>1-263-13</v>
      </c>
      <c r="F6000" t="s">
        <v>83</v>
      </c>
      <c r="G6000" t="s">
        <v>84</v>
      </c>
      <c r="H6000" t="s">
        <v>85</v>
      </c>
      <c r="AC6000">
        <v>1</v>
      </c>
      <c r="AD6000">
        <v>0</v>
      </c>
      <c r="AE6000">
        <v>0</v>
      </c>
      <c r="AF6000">
        <v>0</v>
      </c>
      <c r="AG6000">
        <v>1</v>
      </c>
      <c r="AJ6000">
        <v>1</v>
      </c>
      <c r="AK6000">
        <v>0</v>
      </c>
      <c r="AL6000">
        <v>1</v>
      </c>
      <c r="AM6000">
        <v>0</v>
      </c>
      <c r="AN6000">
        <v>0</v>
      </c>
      <c r="AO6000">
        <v>1</v>
      </c>
      <c r="AP6000">
        <v>1</v>
      </c>
      <c r="AQ6000">
        <v>1</v>
      </c>
      <c r="AR6000">
        <v>1</v>
      </c>
      <c r="AS6000">
        <v>1</v>
      </c>
      <c r="AT6000">
        <v>0</v>
      </c>
      <c r="AV6000">
        <v>1</v>
      </c>
      <c r="AW6000">
        <v>1</v>
      </c>
    </row>
    <row r="6001" spans="1:49" x14ac:dyDescent="0.25">
      <c r="A6001" t="str">
        <f>"5997"</f>
        <v>5997</v>
      </c>
      <c r="B6001" t="str">
        <f t="shared" si="348"/>
        <v>1</v>
      </c>
      <c r="C6001" t="str">
        <f t="shared" si="347"/>
        <v>263</v>
      </c>
      <c r="D6001" t="str">
        <f>"3"</f>
        <v>3</v>
      </c>
      <c r="E6001" t="str">
        <f>"1-263-3"</f>
        <v>1-263-3</v>
      </c>
      <c r="F6001" t="s">
        <v>83</v>
      </c>
      <c r="G6001" t="s">
        <v>84</v>
      </c>
      <c r="H6001" t="s">
        <v>85</v>
      </c>
      <c r="AC6001">
        <v>0</v>
      </c>
      <c r="AD6001">
        <v>1</v>
      </c>
      <c r="AE6001">
        <v>0</v>
      </c>
      <c r="AF6001">
        <v>0</v>
      </c>
      <c r="AG6001">
        <v>1</v>
      </c>
      <c r="AJ6001">
        <v>0</v>
      </c>
      <c r="AK6001">
        <v>1</v>
      </c>
      <c r="AL6001">
        <v>1</v>
      </c>
      <c r="AM6001">
        <v>0</v>
      </c>
      <c r="AN6001">
        <v>0</v>
      </c>
      <c r="AO6001">
        <v>1</v>
      </c>
      <c r="AP6001">
        <v>1</v>
      </c>
      <c r="AQ6001">
        <v>1</v>
      </c>
      <c r="AR6001">
        <v>1</v>
      </c>
      <c r="AS6001">
        <v>1</v>
      </c>
      <c r="AT6001">
        <v>0</v>
      </c>
      <c r="AV6001">
        <v>1</v>
      </c>
      <c r="AW6001">
        <v>1</v>
      </c>
    </row>
    <row r="6002" spans="1:49" x14ac:dyDescent="0.25">
      <c r="A6002" t="str">
        <f>"5998"</f>
        <v>5998</v>
      </c>
      <c r="B6002" t="str">
        <f t="shared" si="348"/>
        <v>1</v>
      </c>
      <c r="C6002" t="str">
        <f t="shared" si="347"/>
        <v>263</v>
      </c>
      <c r="D6002" t="str">
        <f>"18"</f>
        <v>18</v>
      </c>
      <c r="E6002" t="str">
        <f>"1-263-18"</f>
        <v>1-263-18</v>
      </c>
      <c r="F6002" t="s">
        <v>83</v>
      </c>
      <c r="G6002" t="s">
        <v>84</v>
      </c>
      <c r="H6002" t="s">
        <v>85</v>
      </c>
      <c r="AC6002">
        <v>0</v>
      </c>
      <c r="AD6002">
        <v>1</v>
      </c>
      <c r="AE6002">
        <v>0</v>
      </c>
      <c r="AF6002">
        <v>0</v>
      </c>
      <c r="AG6002">
        <v>1</v>
      </c>
      <c r="AJ6002">
        <v>1</v>
      </c>
      <c r="AK6002">
        <v>0</v>
      </c>
      <c r="AL6002">
        <v>1</v>
      </c>
      <c r="AM6002">
        <v>0</v>
      </c>
      <c r="AN6002">
        <v>0</v>
      </c>
      <c r="AO6002">
        <v>1</v>
      </c>
      <c r="AP6002">
        <v>1</v>
      </c>
      <c r="AQ6002">
        <v>1</v>
      </c>
      <c r="AR6002">
        <v>1</v>
      </c>
      <c r="AS6002">
        <v>0</v>
      </c>
      <c r="AT6002">
        <v>1</v>
      </c>
      <c r="AV6002">
        <v>1</v>
      </c>
      <c r="AW6002">
        <v>1</v>
      </c>
    </row>
    <row r="6003" spans="1:49" x14ac:dyDescent="0.25">
      <c r="A6003" t="str">
        <f>"5999"</f>
        <v>5999</v>
      </c>
      <c r="B6003" t="str">
        <f t="shared" si="348"/>
        <v>1</v>
      </c>
      <c r="C6003" t="str">
        <f t="shared" si="347"/>
        <v>263</v>
      </c>
      <c r="D6003" t="str">
        <f>"19"</f>
        <v>19</v>
      </c>
      <c r="E6003" t="str">
        <f>"1-263-19"</f>
        <v>1-263-19</v>
      </c>
      <c r="F6003" t="s">
        <v>83</v>
      </c>
      <c r="G6003" t="s">
        <v>84</v>
      </c>
      <c r="H6003" t="s">
        <v>85</v>
      </c>
      <c r="AC6003">
        <v>0</v>
      </c>
      <c r="AD6003">
        <v>1</v>
      </c>
      <c r="AE6003">
        <v>0</v>
      </c>
      <c r="AF6003">
        <v>0</v>
      </c>
      <c r="AG6003">
        <v>1</v>
      </c>
      <c r="AJ6003">
        <v>0</v>
      </c>
      <c r="AK6003">
        <v>1</v>
      </c>
      <c r="AL6003">
        <v>0</v>
      </c>
      <c r="AM6003">
        <v>1</v>
      </c>
      <c r="AN6003">
        <v>0</v>
      </c>
      <c r="AO6003">
        <v>1</v>
      </c>
      <c r="AP6003">
        <v>1</v>
      </c>
      <c r="AQ6003">
        <v>1</v>
      </c>
      <c r="AR6003">
        <v>1</v>
      </c>
      <c r="AS6003">
        <v>0</v>
      </c>
      <c r="AT6003">
        <v>1</v>
      </c>
      <c r="AV6003">
        <v>1</v>
      </c>
      <c r="AW6003">
        <v>1</v>
      </c>
    </row>
    <row r="6004" spans="1:49" x14ac:dyDescent="0.25">
      <c r="A6004" t="str">
        <f>"6000"</f>
        <v>6000</v>
      </c>
      <c r="B6004" t="str">
        <f t="shared" si="348"/>
        <v>1</v>
      </c>
      <c r="C6004" t="str">
        <f t="shared" si="347"/>
        <v>263</v>
      </c>
      <c r="D6004" t="str">
        <f>"6"</f>
        <v>6</v>
      </c>
      <c r="E6004" t="str">
        <f>"1-263-6"</f>
        <v>1-263-6</v>
      </c>
      <c r="F6004" t="s">
        <v>83</v>
      </c>
      <c r="G6004" t="s">
        <v>84</v>
      </c>
      <c r="H6004" t="s">
        <v>85</v>
      </c>
      <c r="AC6004">
        <v>0</v>
      </c>
      <c r="AD6004">
        <v>1</v>
      </c>
      <c r="AE6004">
        <v>0</v>
      </c>
      <c r="AF6004">
        <v>0</v>
      </c>
      <c r="AG6004">
        <v>0</v>
      </c>
      <c r="AJ6004">
        <v>0</v>
      </c>
      <c r="AK6004">
        <v>1</v>
      </c>
      <c r="AL6004">
        <v>0</v>
      </c>
      <c r="AM6004">
        <v>1</v>
      </c>
      <c r="AN6004">
        <v>0</v>
      </c>
      <c r="AO6004">
        <v>0</v>
      </c>
      <c r="AP6004">
        <v>0</v>
      </c>
      <c r="AQ6004">
        <v>0</v>
      </c>
      <c r="AR6004">
        <v>0</v>
      </c>
      <c r="AS6004">
        <v>0</v>
      </c>
      <c r="AT6004">
        <v>1</v>
      </c>
      <c r="AV6004">
        <v>0</v>
      </c>
      <c r="AW6004">
        <v>1</v>
      </c>
    </row>
    <row r="6005" spans="1:49" x14ac:dyDescent="0.25">
      <c r="A6005" t="str">
        <f>"6001"</f>
        <v>6001</v>
      </c>
      <c r="B6005" t="str">
        <f t="shared" si="348"/>
        <v>1</v>
      </c>
      <c r="C6005" t="str">
        <f t="shared" si="347"/>
        <v>263</v>
      </c>
      <c r="D6005" t="str">
        <f>"2"</f>
        <v>2</v>
      </c>
      <c r="E6005" t="str">
        <f>"1-263-2"</f>
        <v>1-263-2</v>
      </c>
      <c r="F6005" t="s">
        <v>83</v>
      </c>
      <c r="G6005" t="s">
        <v>84</v>
      </c>
      <c r="H6005" t="s">
        <v>85</v>
      </c>
      <c r="AC6005">
        <v>0</v>
      </c>
      <c r="AD6005">
        <v>0</v>
      </c>
      <c r="AE6005">
        <v>0</v>
      </c>
      <c r="AF6005">
        <v>0</v>
      </c>
      <c r="AG6005">
        <v>1</v>
      </c>
      <c r="AJ6005">
        <v>1</v>
      </c>
      <c r="AK6005">
        <v>0</v>
      </c>
      <c r="AL6005">
        <v>1</v>
      </c>
      <c r="AM6005">
        <v>0</v>
      </c>
      <c r="AN6005">
        <v>0</v>
      </c>
      <c r="AO6005">
        <v>1</v>
      </c>
      <c r="AP6005">
        <v>1</v>
      </c>
      <c r="AQ6005">
        <v>1</v>
      </c>
      <c r="AR6005">
        <v>1</v>
      </c>
      <c r="AS6005">
        <v>0</v>
      </c>
      <c r="AT6005">
        <v>1</v>
      </c>
      <c r="AV6005">
        <v>1</v>
      </c>
      <c r="AW6005">
        <v>1</v>
      </c>
    </row>
    <row r="6006" spans="1:49" x14ac:dyDescent="0.25">
      <c r="A6006" t="str">
        <f>"6002"</f>
        <v>6002</v>
      </c>
      <c r="B6006" t="str">
        <f t="shared" si="348"/>
        <v>1</v>
      </c>
      <c r="C6006" t="str">
        <f t="shared" ref="C6006:C6028" si="349">"264"</f>
        <v>264</v>
      </c>
      <c r="D6006" t="str">
        <f>"21"</f>
        <v>21</v>
      </c>
      <c r="E6006" t="str">
        <f>"1-264-21"</f>
        <v>1-264-21</v>
      </c>
      <c r="F6006" t="s">
        <v>83</v>
      </c>
      <c r="G6006" t="s">
        <v>84</v>
      </c>
      <c r="H6006" t="s">
        <v>85</v>
      </c>
      <c r="AC6006">
        <v>0</v>
      </c>
      <c r="AD6006">
        <v>0</v>
      </c>
      <c r="AE6006">
        <v>0</v>
      </c>
      <c r="AF6006">
        <v>0</v>
      </c>
      <c r="AG6006">
        <v>1</v>
      </c>
      <c r="AJ6006">
        <v>1</v>
      </c>
      <c r="AK6006">
        <v>0</v>
      </c>
      <c r="AL6006">
        <v>1</v>
      </c>
      <c r="AM6006">
        <v>0</v>
      </c>
      <c r="AN6006">
        <v>0</v>
      </c>
      <c r="AO6006">
        <v>0</v>
      </c>
      <c r="AP6006">
        <v>0</v>
      </c>
      <c r="AQ6006">
        <v>0</v>
      </c>
      <c r="AR6006">
        <v>1</v>
      </c>
      <c r="AS6006">
        <v>0</v>
      </c>
      <c r="AT6006">
        <v>1</v>
      </c>
      <c r="AV6006">
        <v>0</v>
      </c>
      <c r="AW6006">
        <v>1</v>
      </c>
    </row>
    <row r="6007" spans="1:49" x14ac:dyDescent="0.25">
      <c r="A6007" t="str">
        <f>"6003"</f>
        <v>6003</v>
      </c>
      <c r="B6007" t="str">
        <f t="shared" si="348"/>
        <v>1</v>
      </c>
      <c r="C6007" t="str">
        <f t="shared" si="349"/>
        <v>264</v>
      </c>
      <c r="D6007" t="str">
        <f>"20"</f>
        <v>20</v>
      </c>
      <c r="E6007" t="str">
        <f>"1-264-20"</f>
        <v>1-264-20</v>
      </c>
      <c r="F6007" t="s">
        <v>83</v>
      </c>
      <c r="G6007" t="s">
        <v>84</v>
      </c>
      <c r="H6007" t="s">
        <v>85</v>
      </c>
      <c r="AC6007">
        <v>1</v>
      </c>
      <c r="AD6007">
        <v>0</v>
      </c>
      <c r="AE6007">
        <v>0</v>
      </c>
      <c r="AF6007">
        <v>0</v>
      </c>
      <c r="AG6007">
        <v>1</v>
      </c>
      <c r="AJ6007">
        <v>1</v>
      </c>
      <c r="AK6007">
        <v>0</v>
      </c>
      <c r="AL6007">
        <v>0</v>
      </c>
      <c r="AM6007">
        <v>1</v>
      </c>
      <c r="AN6007">
        <v>0</v>
      </c>
      <c r="AO6007">
        <v>1</v>
      </c>
      <c r="AP6007">
        <v>1</v>
      </c>
      <c r="AQ6007">
        <v>1</v>
      </c>
      <c r="AR6007">
        <v>1</v>
      </c>
      <c r="AS6007">
        <v>1</v>
      </c>
      <c r="AT6007">
        <v>0</v>
      </c>
      <c r="AV6007">
        <v>1</v>
      </c>
      <c r="AW6007">
        <v>1</v>
      </c>
    </row>
    <row r="6008" spans="1:49" x14ac:dyDescent="0.25">
      <c r="A6008" t="str">
        <f>"6004"</f>
        <v>6004</v>
      </c>
      <c r="B6008" t="str">
        <f t="shared" si="348"/>
        <v>1</v>
      </c>
      <c r="C6008" t="str">
        <f t="shared" si="349"/>
        <v>264</v>
      </c>
      <c r="D6008" t="str">
        <f>"14"</f>
        <v>14</v>
      </c>
      <c r="E6008" t="str">
        <f>"1-264-14"</f>
        <v>1-264-14</v>
      </c>
      <c r="F6008" t="s">
        <v>83</v>
      </c>
      <c r="G6008" t="s">
        <v>84</v>
      </c>
      <c r="H6008" t="s">
        <v>92</v>
      </c>
      <c r="I6008">
        <v>1</v>
      </c>
      <c r="J6008">
        <v>1</v>
      </c>
      <c r="N6008">
        <v>1</v>
      </c>
      <c r="O6008">
        <v>1</v>
      </c>
      <c r="P6008">
        <v>1</v>
      </c>
      <c r="Q6008">
        <v>1</v>
      </c>
      <c r="R6008">
        <v>1</v>
      </c>
      <c r="S6008">
        <v>1</v>
      </c>
      <c r="T6008">
        <v>1</v>
      </c>
      <c r="W6008">
        <v>1</v>
      </c>
      <c r="X6008">
        <v>1</v>
      </c>
      <c r="Y6008">
        <v>1</v>
      </c>
      <c r="Z6008">
        <v>1</v>
      </c>
      <c r="AA6008">
        <v>1</v>
      </c>
      <c r="AB6008">
        <v>1</v>
      </c>
    </row>
    <row r="6009" spans="1:49" x14ac:dyDescent="0.25">
      <c r="A6009" t="str">
        <f>"6005"</f>
        <v>6005</v>
      </c>
      <c r="B6009" t="str">
        <f t="shared" si="348"/>
        <v>1</v>
      </c>
      <c r="C6009" t="str">
        <f t="shared" si="349"/>
        <v>264</v>
      </c>
      <c r="D6009" t="str">
        <f>"13"</f>
        <v>13</v>
      </c>
      <c r="E6009" t="str">
        <f>"1-264-13"</f>
        <v>1-264-13</v>
      </c>
      <c r="F6009" t="s">
        <v>83</v>
      </c>
      <c r="G6009" t="s">
        <v>84</v>
      </c>
      <c r="H6009" t="s">
        <v>85</v>
      </c>
      <c r="AC6009">
        <v>0</v>
      </c>
      <c r="AD6009">
        <v>1</v>
      </c>
      <c r="AE6009">
        <v>0</v>
      </c>
      <c r="AF6009">
        <v>0</v>
      </c>
      <c r="AG6009">
        <v>1</v>
      </c>
      <c r="AJ6009">
        <v>0</v>
      </c>
      <c r="AK6009">
        <v>1</v>
      </c>
      <c r="AL6009">
        <v>1</v>
      </c>
      <c r="AM6009">
        <v>0</v>
      </c>
      <c r="AN6009">
        <v>0</v>
      </c>
      <c r="AO6009">
        <v>1</v>
      </c>
      <c r="AP6009">
        <v>1</v>
      </c>
      <c r="AQ6009">
        <v>1</v>
      </c>
      <c r="AR6009">
        <v>1</v>
      </c>
      <c r="AS6009">
        <v>0</v>
      </c>
      <c r="AT6009">
        <v>1</v>
      </c>
      <c r="AV6009">
        <v>0</v>
      </c>
      <c r="AW6009">
        <v>1</v>
      </c>
    </row>
    <row r="6010" spans="1:49" x14ac:dyDescent="0.25">
      <c r="A6010" t="str">
        <f>"6006"</f>
        <v>6006</v>
      </c>
      <c r="B6010" t="str">
        <f t="shared" si="348"/>
        <v>1</v>
      </c>
      <c r="C6010" t="str">
        <f t="shared" si="349"/>
        <v>264</v>
      </c>
      <c r="D6010" t="str">
        <f>"11"</f>
        <v>11</v>
      </c>
      <c r="E6010" t="str">
        <f>"1-264-11"</f>
        <v>1-264-11</v>
      </c>
      <c r="F6010" t="s">
        <v>83</v>
      </c>
      <c r="G6010" t="s">
        <v>84</v>
      </c>
      <c r="H6010" t="s">
        <v>92</v>
      </c>
      <c r="I6010">
        <v>1</v>
      </c>
      <c r="J6010">
        <v>1</v>
      </c>
      <c r="N6010">
        <v>1</v>
      </c>
      <c r="O6010">
        <v>1</v>
      </c>
      <c r="P6010">
        <v>1</v>
      </c>
      <c r="Q6010">
        <v>1</v>
      </c>
      <c r="R6010">
        <v>1</v>
      </c>
      <c r="S6010">
        <v>1</v>
      </c>
      <c r="T6010">
        <v>1</v>
      </c>
      <c r="W6010">
        <v>1</v>
      </c>
      <c r="X6010">
        <v>1</v>
      </c>
      <c r="Y6010">
        <v>1</v>
      </c>
      <c r="Z6010">
        <v>1</v>
      </c>
      <c r="AA6010">
        <v>1</v>
      </c>
      <c r="AB6010">
        <v>1</v>
      </c>
    </row>
    <row r="6011" spans="1:49" x14ac:dyDescent="0.25">
      <c r="A6011" t="str">
        <f>"6007"</f>
        <v>6007</v>
      </c>
      <c r="B6011" t="str">
        <f t="shared" si="348"/>
        <v>1</v>
      </c>
      <c r="C6011" t="str">
        <f t="shared" si="349"/>
        <v>264</v>
      </c>
      <c r="D6011" t="str">
        <f>"8"</f>
        <v>8</v>
      </c>
      <c r="E6011" t="str">
        <f>"1-264-8"</f>
        <v>1-264-8</v>
      </c>
      <c r="F6011" t="s">
        <v>83</v>
      </c>
      <c r="G6011" t="s">
        <v>84</v>
      </c>
      <c r="H6011" t="s">
        <v>92</v>
      </c>
      <c r="I6011">
        <v>1</v>
      </c>
      <c r="J6011">
        <v>1</v>
      </c>
      <c r="N6011">
        <v>1</v>
      </c>
      <c r="O6011">
        <v>1</v>
      </c>
      <c r="P6011">
        <v>1</v>
      </c>
      <c r="Q6011">
        <v>1</v>
      </c>
      <c r="R6011">
        <v>1</v>
      </c>
      <c r="S6011">
        <v>1</v>
      </c>
      <c r="T6011">
        <v>0</v>
      </c>
      <c r="W6011">
        <v>1</v>
      </c>
      <c r="X6011">
        <v>1</v>
      </c>
      <c r="Y6011">
        <v>1</v>
      </c>
      <c r="Z6011">
        <v>1</v>
      </c>
      <c r="AA6011">
        <v>1</v>
      </c>
      <c r="AB6011">
        <v>1</v>
      </c>
    </row>
    <row r="6012" spans="1:49" x14ac:dyDescent="0.25">
      <c r="A6012" t="str">
        <f>"6008"</f>
        <v>6008</v>
      </c>
      <c r="B6012" t="str">
        <f t="shared" si="348"/>
        <v>1</v>
      </c>
      <c r="C6012" t="str">
        <f t="shared" si="349"/>
        <v>264</v>
      </c>
      <c r="D6012" t="str">
        <f>"1"</f>
        <v>1</v>
      </c>
      <c r="E6012" t="str">
        <f>"1-264-1"</f>
        <v>1-264-1</v>
      </c>
      <c r="F6012" t="s">
        <v>83</v>
      </c>
      <c r="G6012" t="s">
        <v>84</v>
      </c>
      <c r="H6012" t="s">
        <v>85</v>
      </c>
      <c r="AC6012">
        <v>0</v>
      </c>
      <c r="AD6012">
        <v>1</v>
      </c>
      <c r="AE6012">
        <v>0</v>
      </c>
      <c r="AF6012">
        <v>0</v>
      </c>
      <c r="AG6012">
        <v>1</v>
      </c>
      <c r="AJ6012">
        <v>0</v>
      </c>
      <c r="AK6012">
        <v>1</v>
      </c>
      <c r="AL6012">
        <v>0</v>
      </c>
      <c r="AM6012">
        <v>0</v>
      </c>
      <c r="AN6012">
        <v>1</v>
      </c>
      <c r="AO6012">
        <v>1</v>
      </c>
      <c r="AP6012">
        <v>1</v>
      </c>
      <c r="AQ6012">
        <v>1</v>
      </c>
      <c r="AR6012">
        <v>1</v>
      </c>
      <c r="AS6012">
        <v>0</v>
      </c>
      <c r="AT6012">
        <v>1</v>
      </c>
      <c r="AV6012">
        <v>1</v>
      </c>
      <c r="AW6012">
        <v>1</v>
      </c>
    </row>
    <row r="6013" spans="1:49" x14ac:dyDescent="0.25">
      <c r="A6013" t="str">
        <f>"6009"</f>
        <v>6009</v>
      </c>
      <c r="B6013" t="str">
        <f t="shared" si="348"/>
        <v>1</v>
      </c>
      <c r="C6013" t="str">
        <f t="shared" si="349"/>
        <v>264</v>
      </c>
      <c r="D6013" t="str">
        <f>"16"</f>
        <v>16</v>
      </c>
      <c r="E6013" t="str">
        <f>"1-264-16"</f>
        <v>1-264-16</v>
      </c>
      <c r="F6013" t="s">
        <v>83</v>
      </c>
      <c r="G6013" t="s">
        <v>84</v>
      </c>
      <c r="H6013" t="s">
        <v>92</v>
      </c>
      <c r="I6013">
        <v>1</v>
      </c>
      <c r="J6013">
        <v>1</v>
      </c>
      <c r="N6013">
        <v>1</v>
      </c>
      <c r="O6013">
        <v>1</v>
      </c>
      <c r="P6013">
        <v>1</v>
      </c>
      <c r="Q6013">
        <v>1</v>
      </c>
      <c r="R6013">
        <v>1</v>
      </c>
      <c r="S6013">
        <v>1</v>
      </c>
      <c r="T6013">
        <v>1</v>
      </c>
      <c r="W6013">
        <v>1</v>
      </c>
      <c r="X6013">
        <v>1</v>
      </c>
      <c r="Y6013">
        <v>1</v>
      </c>
      <c r="Z6013">
        <v>1</v>
      </c>
      <c r="AA6013">
        <v>1</v>
      </c>
      <c r="AB6013">
        <v>1</v>
      </c>
    </row>
    <row r="6014" spans="1:49" x14ac:dyDescent="0.25">
      <c r="A6014" t="str">
        <f>"6010"</f>
        <v>6010</v>
      </c>
      <c r="B6014" t="str">
        <f t="shared" si="348"/>
        <v>1</v>
      </c>
      <c r="C6014" t="str">
        <f t="shared" si="349"/>
        <v>264</v>
      </c>
      <c r="D6014" t="str">
        <f>"9"</f>
        <v>9</v>
      </c>
      <c r="E6014" t="str">
        <f>"1-264-9"</f>
        <v>1-264-9</v>
      </c>
      <c r="F6014" t="s">
        <v>83</v>
      </c>
      <c r="G6014" t="s">
        <v>84</v>
      </c>
      <c r="H6014" t="s">
        <v>92</v>
      </c>
      <c r="I6014">
        <v>1</v>
      </c>
      <c r="J6014">
        <v>1</v>
      </c>
      <c r="N6014">
        <v>1</v>
      </c>
      <c r="O6014">
        <v>1</v>
      </c>
      <c r="P6014">
        <v>1</v>
      </c>
      <c r="Q6014">
        <v>1</v>
      </c>
      <c r="R6014">
        <v>1</v>
      </c>
      <c r="S6014">
        <v>1</v>
      </c>
      <c r="T6014">
        <v>1</v>
      </c>
      <c r="W6014">
        <v>1</v>
      </c>
      <c r="X6014">
        <v>1</v>
      </c>
      <c r="Y6014">
        <v>1</v>
      </c>
      <c r="Z6014">
        <v>1</v>
      </c>
      <c r="AA6014">
        <v>1</v>
      </c>
      <c r="AB6014">
        <v>1</v>
      </c>
    </row>
    <row r="6015" spans="1:49" x14ac:dyDescent="0.25">
      <c r="A6015" t="str">
        <f>"6011"</f>
        <v>6011</v>
      </c>
      <c r="B6015" t="str">
        <f t="shared" si="348"/>
        <v>1</v>
      </c>
      <c r="C6015" t="str">
        <f t="shared" si="349"/>
        <v>264</v>
      </c>
      <c r="D6015" t="str">
        <f>"5"</f>
        <v>5</v>
      </c>
      <c r="E6015" t="str">
        <f>"1-264-5"</f>
        <v>1-264-5</v>
      </c>
      <c r="F6015" t="s">
        <v>83</v>
      </c>
      <c r="G6015" t="s">
        <v>90</v>
      </c>
      <c r="H6015" t="s">
        <v>91</v>
      </c>
      <c r="AC6015">
        <v>0</v>
      </c>
      <c r="AD6015">
        <v>1</v>
      </c>
      <c r="AE6015">
        <v>0</v>
      </c>
      <c r="AF6015">
        <v>0</v>
      </c>
      <c r="AH6015">
        <v>1</v>
      </c>
      <c r="AI6015">
        <v>0</v>
      </c>
      <c r="AJ6015">
        <v>0</v>
      </c>
      <c r="AK6015">
        <v>1</v>
      </c>
      <c r="AL6015">
        <v>0</v>
      </c>
      <c r="AM6015">
        <v>1</v>
      </c>
      <c r="AN6015">
        <v>0</v>
      </c>
      <c r="AO6015">
        <v>1</v>
      </c>
      <c r="AP6015">
        <v>1</v>
      </c>
      <c r="AQ6015">
        <v>1</v>
      </c>
      <c r="AR6015">
        <v>1</v>
      </c>
      <c r="AU6015">
        <v>1</v>
      </c>
      <c r="AV6015">
        <v>1</v>
      </c>
      <c r="AW6015">
        <v>1</v>
      </c>
    </row>
    <row r="6016" spans="1:49" x14ac:dyDescent="0.25">
      <c r="A6016" t="str">
        <f>"6012"</f>
        <v>6012</v>
      </c>
      <c r="B6016" t="str">
        <f t="shared" si="348"/>
        <v>1</v>
      </c>
      <c r="C6016" t="str">
        <f t="shared" si="349"/>
        <v>264</v>
      </c>
      <c r="D6016" t="str">
        <f>"23"</f>
        <v>23</v>
      </c>
      <c r="E6016" t="str">
        <f>"1-264-23"</f>
        <v>1-264-23</v>
      </c>
      <c r="F6016" t="s">
        <v>83</v>
      </c>
      <c r="G6016" t="s">
        <v>84</v>
      </c>
      <c r="H6016" t="s">
        <v>85</v>
      </c>
      <c r="AC6016">
        <v>0</v>
      </c>
      <c r="AD6016">
        <v>1</v>
      </c>
      <c r="AE6016">
        <v>0</v>
      </c>
      <c r="AF6016">
        <v>0</v>
      </c>
      <c r="AG6016">
        <v>1</v>
      </c>
      <c r="AJ6016">
        <v>0</v>
      </c>
      <c r="AK6016">
        <v>1</v>
      </c>
      <c r="AL6016">
        <v>0</v>
      </c>
      <c r="AM6016">
        <v>0</v>
      </c>
      <c r="AN6016">
        <v>1</v>
      </c>
      <c r="AO6016">
        <v>1</v>
      </c>
      <c r="AP6016">
        <v>1</v>
      </c>
      <c r="AQ6016">
        <v>1</v>
      </c>
      <c r="AR6016">
        <v>1</v>
      </c>
      <c r="AS6016">
        <v>1</v>
      </c>
      <c r="AT6016">
        <v>0</v>
      </c>
      <c r="AV6016">
        <v>1</v>
      </c>
      <c r="AW6016">
        <v>1</v>
      </c>
    </row>
    <row r="6017" spans="1:49" x14ac:dyDescent="0.25">
      <c r="A6017" t="str">
        <f>"6013"</f>
        <v>6013</v>
      </c>
      <c r="B6017" t="str">
        <f t="shared" si="348"/>
        <v>1</v>
      </c>
      <c r="C6017" t="str">
        <f t="shared" si="349"/>
        <v>264</v>
      </c>
      <c r="D6017" t="str">
        <f>"17"</f>
        <v>17</v>
      </c>
      <c r="E6017" t="str">
        <f>"1-264-17"</f>
        <v>1-264-17</v>
      </c>
      <c r="F6017" t="s">
        <v>83</v>
      </c>
      <c r="G6017" t="s">
        <v>84</v>
      </c>
      <c r="H6017" t="s">
        <v>92</v>
      </c>
      <c r="I6017">
        <v>1</v>
      </c>
      <c r="J6017">
        <v>1</v>
      </c>
      <c r="N6017">
        <v>1</v>
      </c>
      <c r="O6017">
        <v>1</v>
      </c>
      <c r="P6017">
        <v>1</v>
      </c>
      <c r="Q6017">
        <v>1</v>
      </c>
      <c r="R6017">
        <v>1</v>
      </c>
      <c r="S6017">
        <v>1</v>
      </c>
      <c r="T6017">
        <v>1</v>
      </c>
      <c r="W6017">
        <v>1</v>
      </c>
      <c r="X6017">
        <v>1</v>
      </c>
      <c r="Y6017">
        <v>1</v>
      </c>
      <c r="Z6017">
        <v>1</v>
      </c>
      <c r="AA6017">
        <v>1</v>
      </c>
      <c r="AB6017">
        <v>1</v>
      </c>
    </row>
    <row r="6018" spans="1:49" x14ac:dyDescent="0.25">
      <c r="A6018" t="str">
        <f>"6014"</f>
        <v>6014</v>
      </c>
      <c r="B6018" t="str">
        <f t="shared" si="348"/>
        <v>1</v>
      </c>
      <c r="C6018" t="str">
        <f t="shared" si="349"/>
        <v>264</v>
      </c>
      <c r="D6018" t="str">
        <f>"10"</f>
        <v>10</v>
      </c>
      <c r="E6018" t="str">
        <f>"1-264-10"</f>
        <v>1-264-10</v>
      </c>
      <c r="F6018" t="s">
        <v>83</v>
      </c>
      <c r="G6018" t="s">
        <v>84</v>
      </c>
      <c r="H6018" t="s">
        <v>85</v>
      </c>
      <c r="AC6018">
        <v>0</v>
      </c>
      <c r="AD6018">
        <v>1</v>
      </c>
      <c r="AE6018">
        <v>0</v>
      </c>
      <c r="AF6018">
        <v>0</v>
      </c>
      <c r="AG6018">
        <v>1</v>
      </c>
      <c r="AJ6018">
        <v>1</v>
      </c>
      <c r="AK6018">
        <v>0</v>
      </c>
      <c r="AL6018">
        <v>0</v>
      </c>
      <c r="AM6018">
        <v>1</v>
      </c>
      <c r="AN6018">
        <v>0</v>
      </c>
      <c r="AO6018">
        <v>1</v>
      </c>
      <c r="AP6018">
        <v>1</v>
      </c>
      <c r="AQ6018">
        <v>1</v>
      </c>
      <c r="AR6018">
        <v>1</v>
      </c>
      <c r="AS6018">
        <v>0</v>
      </c>
      <c r="AT6018">
        <v>1</v>
      </c>
      <c r="AV6018">
        <v>1</v>
      </c>
      <c r="AW6018">
        <v>1</v>
      </c>
    </row>
    <row r="6019" spans="1:49" x14ac:dyDescent="0.25">
      <c r="A6019" t="str">
        <f>"6015"</f>
        <v>6015</v>
      </c>
      <c r="B6019" t="str">
        <f t="shared" si="348"/>
        <v>1</v>
      </c>
      <c r="C6019" t="str">
        <f t="shared" si="349"/>
        <v>264</v>
      </c>
      <c r="D6019" t="str">
        <f>"6"</f>
        <v>6</v>
      </c>
      <c r="E6019" t="str">
        <f>"1-264-6"</f>
        <v>1-264-6</v>
      </c>
      <c r="F6019" t="s">
        <v>83</v>
      </c>
      <c r="G6019" t="s">
        <v>84</v>
      </c>
      <c r="H6019" t="s">
        <v>85</v>
      </c>
      <c r="AC6019">
        <v>1</v>
      </c>
      <c r="AD6019">
        <v>0</v>
      </c>
      <c r="AE6019">
        <v>0</v>
      </c>
      <c r="AF6019">
        <v>0</v>
      </c>
      <c r="AG6019">
        <v>1</v>
      </c>
      <c r="AJ6019">
        <v>1</v>
      </c>
      <c r="AK6019">
        <v>0</v>
      </c>
      <c r="AL6019">
        <v>0</v>
      </c>
      <c r="AM6019">
        <v>1</v>
      </c>
      <c r="AN6019">
        <v>0</v>
      </c>
      <c r="AO6019">
        <v>1</v>
      </c>
      <c r="AP6019">
        <v>1</v>
      </c>
      <c r="AQ6019">
        <v>1</v>
      </c>
      <c r="AR6019">
        <v>1</v>
      </c>
      <c r="AS6019">
        <v>0</v>
      </c>
      <c r="AT6019">
        <v>1</v>
      </c>
      <c r="AV6019">
        <v>1</v>
      </c>
      <c r="AW6019">
        <v>1</v>
      </c>
    </row>
    <row r="6020" spans="1:49" x14ac:dyDescent="0.25">
      <c r="A6020" t="str">
        <f>"6016"</f>
        <v>6016</v>
      </c>
      <c r="B6020" t="str">
        <f t="shared" si="348"/>
        <v>1</v>
      </c>
      <c r="C6020" t="str">
        <f t="shared" si="349"/>
        <v>264</v>
      </c>
      <c r="D6020" t="str">
        <f>"22"</f>
        <v>22</v>
      </c>
      <c r="E6020" t="str">
        <f>"1-264-22"</f>
        <v>1-264-22</v>
      </c>
      <c r="F6020" t="s">
        <v>83</v>
      </c>
      <c r="G6020" t="s">
        <v>84</v>
      </c>
      <c r="H6020" t="s">
        <v>92</v>
      </c>
      <c r="I6020">
        <v>1</v>
      </c>
      <c r="J6020">
        <v>1</v>
      </c>
      <c r="N6020">
        <v>1</v>
      </c>
      <c r="O6020">
        <v>1</v>
      </c>
      <c r="P6020">
        <v>1</v>
      </c>
      <c r="Q6020">
        <v>1</v>
      </c>
      <c r="R6020">
        <v>1</v>
      </c>
      <c r="S6020">
        <v>1</v>
      </c>
      <c r="T6020">
        <v>0</v>
      </c>
      <c r="W6020">
        <v>1</v>
      </c>
      <c r="X6020">
        <v>1</v>
      </c>
      <c r="Y6020">
        <v>1</v>
      </c>
      <c r="Z6020">
        <v>1</v>
      </c>
      <c r="AA6020">
        <v>1</v>
      </c>
      <c r="AB6020">
        <v>1</v>
      </c>
    </row>
    <row r="6021" spans="1:49" x14ac:dyDescent="0.25">
      <c r="A6021" t="str">
        <f>"6017"</f>
        <v>6017</v>
      </c>
      <c r="B6021" t="str">
        <f t="shared" si="348"/>
        <v>1</v>
      </c>
      <c r="C6021" t="str">
        <f t="shared" si="349"/>
        <v>264</v>
      </c>
      <c r="D6021" t="str">
        <f>"12"</f>
        <v>12</v>
      </c>
      <c r="E6021" t="str">
        <f>"1-264-12"</f>
        <v>1-264-12</v>
      </c>
      <c r="F6021" t="s">
        <v>83</v>
      </c>
      <c r="G6021" t="s">
        <v>84</v>
      </c>
      <c r="H6021" t="s">
        <v>85</v>
      </c>
      <c r="AC6021">
        <v>0</v>
      </c>
      <c r="AD6021">
        <v>1</v>
      </c>
      <c r="AE6021">
        <v>0</v>
      </c>
      <c r="AF6021">
        <v>0</v>
      </c>
      <c r="AG6021">
        <v>1</v>
      </c>
      <c r="AJ6021">
        <v>0</v>
      </c>
      <c r="AK6021">
        <v>1</v>
      </c>
      <c r="AL6021">
        <v>1</v>
      </c>
      <c r="AM6021">
        <v>0</v>
      </c>
      <c r="AN6021">
        <v>0</v>
      </c>
      <c r="AO6021">
        <v>1</v>
      </c>
      <c r="AP6021">
        <v>1</v>
      </c>
      <c r="AQ6021">
        <v>1</v>
      </c>
      <c r="AR6021">
        <v>1</v>
      </c>
      <c r="AS6021">
        <v>0</v>
      </c>
      <c r="AT6021">
        <v>1</v>
      </c>
      <c r="AV6021">
        <v>1</v>
      </c>
      <c r="AW6021">
        <v>1</v>
      </c>
    </row>
    <row r="6022" spans="1:49" x14ac:dyDescent="0.25">
      <c r="A6022" t="str">
        <f>"6018"</f>
        <v>6018</v>
      </c>
      <c r="B6022" t="str">
        <f t="shared" si="348"/>
        <v>1</v>
      </c>
      <c r="C6022" t="str">
        <f t="shared" si="349"/>
        <v>264</v>
      </c>
      <c r="D6022" t="str">
        <f>"3"</f>
        <v>3</v>
      </c>
      <c r="E6022" t="str">
        <f>"1-264-3"</f>
        <v>1-264-3</v>
      </c>
      <c r="F6022" t="s">
        <v>83</v>
      </c>
      <c r="G6022" t="s">
        <v>84</v>
      </c>
      <c r="H6022" t="s">
        <v>92</v>
      </c>
      <c r="I6022">
        <v>1</v>
      </c>
      <c r="J6022">
        <v>1</v>
      </c>
      <c r="N6022">
        <v>1</v>
      </c>
      <c r="O6022">
        <v>1</v>
      </c>
      <c r="P6022">
        <v>1</v>
      </c>
      <c r="Q6022">
        <v>1</v>
      </c>
      <c r="R6022">
        <v>1</v>
      </c>
      <c r="S6022">
        <v>1</v>
      </c>
      <c r="T6022">
        <v>1</v>
      </c>
      <c r="W6022">
        <v>1</v>
      </c>
      <c r="X6022">
        <v>1</v>
      </c>
      <c r="Y6022">
        <v>1</v>
      </c>
      <c r="Z6022">
        <v>1</v>
      </c>
      <c r="AA6022">
        <v>1</v>
      </c>
      <c r="AB6022">
        <v>1</v>
      </c>
    </row>
    <row r="6023" spans="1:49" x14ac:dyDescent="0.25">
      <c r="A6023" t="str">
        <f>"6019"</f>
        <v>6019</v>
      </c>
      <c r="B6023" t="str">
        <f t="shared" si="348"/>
        <v>1</v>
      </c>
      <c r="C6023" t="str">
        <f t="shared" si="349"/>
        <v>264</v>
      </c>
      <c r="D6023" t="str">
        <f>"15"</f>
        <v>15</v>
      </c>
      <c r="E6023" t="str">
        <f>"1-264-15"</f>
        <v>1-264-15</v>
      </c>
      <c r="F6023" t="s">
        <v>83</v>
      </c>
      <c r="G6023" t="s">
        <v>84</v>
      </c>
      <c r="H6023" t="s">
        <v>92</v>
      </c>
      <c r="I6023">
        <v>1</v>
      </c>
      <c r="J6023">
        <v>0</v>
      </c>
      <c r="N6023">
        <v>1</v>
      </c>
      <c r="O6023">
        <v>0</v>
      </c>
      <c r="P6023">
        <v>0</v>
      </c>
      <c r="Q6023">
        <v>0</v>
      </c>
      <c r="R6023">
        <v>0</v>
      </c>
      <c r="S6023">
        <v>0</v>
      </c>
      <c r="T6023">
        <v>0</v>
      </c>
      <c r="W6023">
        <v>0</v>
      </c>
      <c r="X6023">
        <v>0</v>
      </c>
      <c r="Y6023">
        <v>0</v>
      </c>
      <c r="Z6023">
        <v>0</v>
      </c>
      <c r="AA6023">
        <v>0</v>
      </c>
      <c r="AB6023">
        <v>0</v>
      </c>
    </row>
    <row r="6024" spans="1:49" x14ac:dyDescent="0.25">
      <c r="A6024" t="str">
        <f>"6020"</f>
        <v>6020</v>
      </c>
      <c r="B6024" t="str">
        <f t="shared" si="348"/>
        <v>1</v>
      </c>
      <c r="C6024" t="str">
        <f t="shared" si="349"/>
        <v>264</v>
      </c>
      <c r="D6024" t="str">
        <f>"7"</f>
        <v>7</v>
      </c>
      <c r="E6024" t="str">
        <f>"1-264-7"</f>
        <v>1-264-7</v>
      </c>
      <c r="F6024" t="s">
        <v>83</v>
      </c>
      <c r="G6024" t="s">
        <v>90</v>
      </c>
      <c r="H6024" t="s">
        <v>91</v>
      </c>
      <c r="AC6024">
        <v>1</v>
      </c>
      <c r="AD6024">
        <v>0</v>
      </c>
      <c r="AE6024">
        <v>0</v>
      </c>
      <c r="AF6024">
        <v>0</v>
      </c>
      <c r="AH6024">
        <v>1</v>
      </c>
      <c r="AI6024">
        <v>0</v>
      </c>
      <c r="AJ6024">
        <v>0</v>
      </c>
      <c r="AK6024">
        <v>1</v>
      </c>
      <c r="AL6024">
        <v>0</v>
      </c>
      <c r="AM6024">
        <v>1</v>
      </c>
      <c r="AN6024">
        <v>0</v>
      </c>
      <c r="AO6024">
        <v>1</v>
      </c>
      <c r="AP6024">
        <v>1</v>
      </c>
      <c r="AQ6024">
        <v>1</v>
      </c>
      <c r="AR6024">
        <v>1</v>
      </c>
      <c r="AU6024">
        <v>1</v>
      </c>
      <c r="AV6024">
        <v>1</v>
      </c>
      <c r="AW6024">
        <v>1</v>
      </c>
    </row>
    <row r="6025" spans="1:49" x14ac:dyDescent="0.25">
      <c r="A6025" t="str">
        <f>"6021"</f>
        <v>6021</v>
      </c>
      <c r="B6025" t="str">
        <f t="shared" si="348"/>
        <v>1</v>
      </c>
      <c r="C6025" t="str">
        <f t="shared" si="349"/>
        <v>264</v>
      </c>
      <c r="D6025" t="str">
        <f>"18"</f>
        <v>18</v>
      </c>
      <c r="E6025" t="str">
        <f>"1-264-18"</f>
        <v>1-264-18</v>
      </c>
      <c r="F6025" t="s">
        <v>83</v>
      </c>
      <c r="G6025" t="s">
        <v>84</v>
      </c>
      <c r="H6025" t="s">
        <v>85</v>
      </c>
      <c r="AC6025">
        <v>0</v>
      </c>
      <c r="AD6025">
        <v>1</v>
      </c>
      <c r="AE6025">
        <v>0</v>
      </c>
      <c r="AF6025">
        <v>0</v>
      </c>
      <c r="AG6025">
        <v>1</v>
      </c>
      <c r="AJ6025">
        <v>0</v>
      </c>
      <c r="AK6025">
        <v>1</v>
      </c>
      <c r="AL6025">
        <v>0</v>
      </c>
      <c r="AM6025">
        <v>0</v>
      </c>
      <c r="AN6025">
        <v>1</v>
      </c>
      <c r="AO6025">
        <v>1</v>
      </c>
      <c r="AP6025">
        <v>1</v>
      </c>
      <c r="AQ6025">
        <v>1</v>
      </c>
      <c r="AR6025">
        <v>1</v>
      </c>
      <c r="AS6025">
        <v>0</v>
      </c>
      <c r="AT6025">
        <v>1</v>
      </c>
      <c r="AV6025">
        <v>1</v>
      </c>
      <c r="AW6025">
        <v>1</v>
      </c>
    </row>
    <row r="6026" spans="1:49" x14ac:dyDescent="0.25">
      <c r="A6026" t="str">
        <f>"6022"</f>
        <v>6022</v>
      </c>
      <c r="B6026" t="str">
        <f t="shared" si="348"/>
        <v>1</v>
      </c>
      <c r="C6026" t="str">
        <f t="shared" si="349"/>
        <v>264</v>
      </c>
      <c r="D6026" t="str">
        <f>"4"</f>
        <v>4</v>
      </c>
      <c r="E6026" t="str">
        <f>"1-264-4"</f>
        <v>1-264-4</v>
      </c>
      <c r="F6026" t="s">
        <v>83</v>
      </c>
      <c r="G6026" t="s">
        <v>84</v>
      </c>
      <c r="H6026" t="s">
        <v>92</v>
      </c>
      <c r="I6026">
        <v>0</v>
      </c>
      <c r="J6026">
        <v>0</v>
      </c>
      <c r="N6026">
        <v>1</v>
      </c>
      <c r="O6026">
        <v>0</v>
      </c>
      <c r="P6026">
        <v>0</v>
      </c>
      <c r="Q6026">
        <v>0</v>
      </c>
      <c r="R6026">
        <v>0</v>
      </c>
      <c r="S6026">
        <v>0</v>
      </c>
      <c r="T6026">
        <v>0</v>
      </c>
      <c r="W6026">
        <v>0</v>
      </c>
      <c r="X6026">
        <v>0</v>
      </c>
      <c r="Y6026">
        <v>0</v>
      </c>
      <c r="Z6026">
        <v>0</v>
      </c>
      <c r="AA6026">
        <v>0</v>
      </c>
      <c r="AB6026">
        <v>0</v>
      </c>
    </row>
    <row r="6027" spans="1:49" x14ac:dyDescent="0.25">
      <c r="A6027" t="str">
        <f>"6023"</f>
        <v>6023</v>
      </c>
      <c r="B6027" t="str">
        <f t="shared" si="348"/>
        <v>1</v>
      </c>
      <c r="C6027" t="str">
        <f t="shared" si="349"/>
        <v>264</v>
      </c>
      <c r="D6027" t="str">
        <f>"19"</f>
        <v>19</v>
      </c>
      <c r="E6027" t="str">
        <f>"1-264-19"</f>
        <v>1-264-19</v>
      </c>
      <c r="F6027" t="s">
        <v>83</v>
      </c>
      <c r="G6027" t="s">
        <v>84</v>
      </c>
      <c r="H6027" t="s">
        <v>85</v>
      </c>
      <c r="AC6027">
        <v>0</v>
      </c>
      <c r="AD6027">
        <v>1</v>
      </c>
      <c r="AE6027">
        <v>0</v>
      </c>
      <c r="AF6027">
        <v>0</v>
      </c>
      <c r="AG6027">
        <v>0</v>
      </c>
      <c r="AJ6027">
        <v>0</v>
      </c>
      <c r="AK6027">
        <v>1</v>
      </c>
      <c r="AL6027">
        <v>0</v>
      </c>
      <c r="AM6027">
        <v>0</v>
      </c>
      <c r="AN6027">
        <v>0</v>
      </c>
      <c r="AO6027">
        <v>0</v>
      </c>
      <c r="AP6027">
        <v>0</v>
      </c>
      <c r="AQ6027">
        <v>0</v>
      </c>
      <c r="AR6027">
        <v>0</v>
      </c>
      <c r="AS6027">
        <v>0</v>
      </c>
      <c r="AT6027">
        <v>0</v>
      </c>
      <c r="AV6027">
        <v>0</v>
      </c>
      <c r="AW6027">
        <v>0</v>
      </c>
    </row>
    <row r="6028" spans="1:49" x14ac:dyDescent="0.25">
      <c r="A6028" t="str">
        <f>"6024"</f>
        <v>6024</v>
      </c>
      <c r="B6028" t="str">
        <f t="shared" si="348"/>
        <v>1</v>
      </c>
      <c r="C6028" t="str">
        <f t="shared" si="349"/>
        <v>264</v>
      </c>
      <c r="D6028" t="str">
        <f>"2"</f>
        <v>2</v>
      </c>
      <c r="E6028" t="str">
        <f>"1-264-2"</f>
        <v>1-264-2</v>
      </c>
      <c r="F6028" t="s">
        <v>83</v>
      </c>
      <c r="G6028" t="s">
        <v>84</v>
      </c>
      <c r="H6028" t="s">
        <v>85</v>
      </c>
      <c r="AC6028">
        <v>0</v>
      </c>
      <c r="AD6028">
        <v>1</v>
      </c>
      <c r="AE6028">
        <v>0</v>
      </c>
      <c r="AF6028">
        <v>0</v>
      </c>
      <c r="AG6028">
        <v>1</v>
      </c>
      <c r="AJ6028">
        <v>0</v>
      </c>
      <c r="AK6028">
        <v>1</v>
      </c>
      <c r="AL6028">
        <v>0</v>
      </c>
      <c r="AM6028">
        <v>0</v>
      </c>
      <c r="AN6028">
        <v>1</v>
      </c>
      <c r="AO6028">
        <v>1</v>
      </c>
      <c r="AP6028">
        <v>1</v>
      </c>
      <c r="AQ6028">
        <v>1</v>
      </c>
      <c r="AR6028">
        <v>1</v>
      </c>
      <c r="AS6028">
        <v>0</v>
      </c>
      <c r="AT6028">
        <v>1</v>
      </c>
      <c r="AV6028">
        <v>1</v>
      </c>
      <c r="AW6028">
        <v>0</v>
      </c>
    </row>
    <row r="6029" spans="1:49" x14ac:dyDescent="0.25">
      <c r="A6029" t="str">
        <f>"6025"</f>
        <v>6025</v>
      </c>
      <c r="B6029" t="str">
        <f t="shared" si="348"/>
        <v>1</v>
      </c>
      <c r="C6029" t="str">
        <f t="shared" ref="C6029:C6053" si="350">"265"</f>
        <v>265</v>
      </c>
      <c r="D6029" t="str">
        <f>"21"</f>
        <v>21</v>
      </c>
      <c r="E6029" t="str">
        <f>"1-265-21"</f>
        <v>1-265-21</v>
      </c>
      <c r="F6029" t="s">
        <v>83</v>
      </c>
      <c r="G6029" t="s">
        <v>84</v>
      </c>
      <c r="H6029" t="s">
        <v>92</v>
      </c>
      <c r="I6029">
        <v>1</v>
      </c>
      <c r="J6029">
        <v>0</v>
      </c>
      <c r="N6029">
        <v>1</v>
      </c>
      <c r="O6029">
        <v>0</v>
      </c>
      <c r="P6029">
        <v>0</v>
      </c>
      <c r="Q6029">
        <v>0</v>
      </c>
      <c r="R6029">
        <v>0</v>
      </c>
      <c r="S6029">
        <v>0</v>
      </c>
      <c r="T6029">
        <v>0</v>
      </c>
      <c r="W6029">
        <v>0</v>
      </c>
      <c r="X6029">
        <v>1</v>
      </c>
      <c r="Y6029">
        <v>1</v>
      </c>
      <c r="Z6029">
        <v>1</v>
      </c>
      <c r="AA6029">
        <v>0</v>
      </c>
      <c r="AB6029">
        <v>1</v>
      </c>
    </row>
    <row r="6030" spans="1:49" x14ac:dyDescent="0.25">
      <c r="A6030" t="str">
        <f>"6026"</f>
        <v>6026</v>
      </c>
      <c r="B6030" t="str">
        <f t="shared" si="348"/>
        <v>1</v>
      </c>
      <c r="C6030" t="str">
        <f t="shared" si="350"/>
        <v>265</v>
      </c>
      <c r="D6030" t="str">
        <f>"20"</f>
        <v>20</v>
      </c>
      <c r="E6030" t="str">
        <f>"1-265-20"</f>
        <v>1-265-20</v>
      </c>
      <c r="F6030" t="s">
        <v>83</v>
      </c>
      <c r="G6030" t="s">
        <v>84</v>
      </c>
      <c r="H6030" t="s">
        <v>85</v>
      </c>
      <c r="AC6030">
        <v>0</v>
      </c>
      <c r="AD6030">
        <v>1</v>
      </c>
      <c r="AE6030">
        <v>0</v>
      </c>
      <c r="AF6030">
        <v>0</v>
      </c>
      <c r="AG6030">
        <v>1</v>
      </c>
      <c r="AJ6030">
        <v>0</v>
      </c>
      <c r="AK6030">
        <v>1</v>
      </c>
      <c r="AL6030">
        <v>0</v>
      </c>
      <c r="AM6030">
        <v>0</v>
      </c>
      <c r="AN6030">
        <v>1</v>
      </c>
      <c r="AO6030">
        <v>1</v>
      </c>
      <c r="AP6030">
        <v>1</v>
      </c>
      <c r="AQ6030">
        <v>1</v>
      </c>
      <c r="AR6030">
        <v>1</v>
      </c>
      <c r="AS6030">
        <v>0</v>
      </c>
      <c r="AT6030">
        <v>1</v>
      </c>
      <c r="AV6030">
        <v>1</v>
      </c>
      <c r="AW6030">
        <v>1</v>
      </c>
    </row>
    <row r="6031" spans="1:49" x14ac:dyDescent="0.25">
      <c r="A6031" t="str">
        <f>"6027"</f>
        <v>6027</v>
      </c>
      <c r="B6031" t="str">
        <f t="shared" si="348"/>
        <v>1</v>
      </c>
      <c r="C6031" t="str">
        <f t="shared" si="350"/>
        <v>265</v>
      </c>
      <c r="D6031" t="str">
        <f>"13"</f>
        <v>13</v>
      </c>
      <c r="E6031" t="str">
        <f>"1-265-13"</f>
        <v>1-265-13</v>
      </c>
      <c r="F6031" t="s">
        <v>83</v>
      </c>
      <c r="G6031" t="s">
        <v>84</v>
      </c>
      <c r="H6031" t="s">
        <v>92</v>
      </c>
      <c r="I6031">
        <v>1</v>
      </c>
      <c r="J6031">
        <v>1</v>
      </c>
      <c r="N6031">
        <v>1</v>
      </c>
      <c r="O6031">
        <v>1</v>
      </c>
      <c r="P6031">
        <v>1</v>
      </c>
      <c r="Q6031">
        <v>1</v>
      </c>
      <c r="R6031">
        <v>1</v>
      </c>
      <c r="S6031">
        <v>1</v>
      </c>
      <c r="T6031">
        <v>1</v>
      </c>
      <c r="W6031">
        <v>1</v>
      </c>
      <c r="X6031">
        <v>1</v>
      </c>
      <c r="Y6031">
        <v>1</v>
      </c>
      <c r="Z6031">
        <v>1</v>
      </c>
      <c r="AA6031">
        <v>1</v>
      </c>
      <c r="AB6031">
        <v>1</v>
      </c>
    </row>
    <row r="6032" spans="1:49" x14ac:dyDescent="0.25">
      <c r="A6032" t="str">
        <f>"6028"</f>
        <v>6028</v>
      </c>
      <c r="B6032" t="str">
        <f t="shared" si="348"/>
        <v>1</v>
      </c>
      <c r="C6032" t="str">
        <f t="shared" si="350"/>
        <v>265</v>
      </c>
      <c r="D6032" t="str">
        <f>"8"</f>
        <v>8</v>
      </c>
      <c r="E6032" t="str">
        <f>"1-265-8"</f>
        <v>1-265-8</v>
      </c>
      <c r="F6032" t="s">
        <v>83</v>
      </c>
      <c r="G6032" t="s">
        <v>84</v>
      </c>
      <c r="H6032" t="s">
        <v>92</v>
      </c>
      <c r="I6032">
        <v>1</v>
      </c>
      <c r="J6032">
        <v>1</v>
      </c>
      <c r="N6032">
        <v>1</v>
      </c>
      <c r="O6032">
        <v>1</v>
      </c>
      <c r="P6032">
        <v>1</v>
      </c>
      <c r="Q6032">
        <v>1</v>
      </c>
      <c r="R6032">
        <v>1</v>
      </c>
      <c r="S6032">
        <v>1</v>
      </c>
      <c r="T6032">
        <v>1</v>
      </c>
      <c r="W6032">
        <v>1</v>
      </c>
      <c r="X6032">
        <v>1</v>
      </c>
      <c r="Y6032">
        <v>1</v>
      </c>
      <c r="Z6032">
        <v>1</v>
      </c>
      <c r="AA6032">
        <v>1</v>
      </c>
      <c r="AB6032">
        <v>1</v>
      </c>
    </row>
    <row r="6033" spans="1:49" x14ac:dyDescent="0.25">
      <c r="A6033" t="str">
        <f>"6029"</f>
        <v>6029</v>
      </c>
      <c r="B6033" t="str">
        <f t="shared" si="348"/>
        <v>1</v>
      </c>
      <c r="C6033" t="str">
        <f t="shared" si="350"/>
        <v>265</v>
      </c>
      <c r="D6033" t="str">
        <f>"2"</f>
        <v>2</v>
      </c>
      <c r="E6033" t="str">
        <f>"1-265-2"</f>
        <v>1-265-2</v>
      </c>
      <c r="F6033" t="s">
        <v>83</v>
      </c>
      <c r="G6033" t="s">
        <v>84</v>
      </c>
      <c r="H6033" t="s">
        <v>92</v>
      </c>
      <c r="I6033">
        <v>1</v>
      </c>
      <c r="J6033">
        <v>1</v>
      </c>
      <c r="N6033">
        <v>1</v>
      </c>
      <c r="O6033">
        <v>1</v>
      </c>
      <c r="P6033">
        <v>1</v>
      </c>
      <c r="Q6033">
        <v>1</v>
      </c>
      <c r="R6033">
        <v>1</v>
      </c>
      <c r="S6033">
        <v>1</v>
      </c>
      <c r="T6033">
        <v>1</v>
      </c>
      <c r="W6033">
        <v>1</v>
      </c>
      <c r="X6033">
        <v>1</v>
      </c>
      <c r="Y6033">
        <v>1</v>
      </c>
      <c r="Z6033">
        <v>1</v>
      </c>
      <c r="AA6033">
        <v>1</v>
      </c>
      <c r="AB6033">
        <v>1</v>
      </c>
    </row>
    <row r="6034" spans="1:49" x14ac:dyDescent="0.25">
      <c r="A6034" t="str">
        <f>"6030"</f>
        <v>6030</v>
      </c>
      <c r="B6034" t="str">
        <f t="shared" si="348"/>
        <v>1</v>
      </c>
      <c r="C6034" t="str">
        <f t="shared" si="350"/>
        <v>265</v>
      </c>
      <c r="D6034" t="str">
        <f>"25"</f>
        <v>25</v>
      </c>
      <c r="E6034" t="str">
        <f>"1-265-25"</f>
        <v>1-265-25</v>
      </c>
      <c r="F6034" t="s">
        <v>83</v>
      </c>
      <c r="G6034" t="s">
        <v>84</v>
      </c>
      <c r="H6034" t="s">
        <v>85</v>
      </c>
      <c r="AC6034">
        <v>0</v>
      </c>
      <c r="AD6034">
        <v>1</v>
      </c>
      <c r="AE6034">
        <v>0</v>
      </c>
      <c r="AF6034">
        <v>0</v>
      </c>
      <c r="AG6034">
        <v>0</v>
      </c>
      <c r="AJ6034">
        <v>0</v>
      </c>
      <c r="AK6034">
        <v>1</v>
      </c>
      <c r="AL6034">
        <v>0</v>
      </c>
      <c r="AM6034">
        <v>0</v>
      </c>
      <c r="AN6034">
        <v>1</v>
      </c>
      <c r="AO6034">
        <v>0</v>
      </c>
      <c r="AP6034">
        <v>0</v>
      </c>
      <c r="AQ6034">
        <v>0</v>
      </c>
      <c r="AR6034">
        <v>0</v>
      </c>
      <c r="AS6034">
        <v>0</v>
      </c>
      <c r="AT6034">
        <v>1</v>
      </c>
      <c r="AV6034">
        <v>0</v>
      </c>
      <c r="AW6034">
        <v>0</v>
      </c>
    </row>
    <row r="6035" spans="1:49" x14ac:dyDescent="0.25">
      <c r="A6035" t="str">
        <f>"6031"</f>
        <v>6031</v>
      </c>
      <c r="B6035" t="str">
        <f t="shared" si="348"/>
        <v>1</v>
      </c>
      <c r="C6035" t="str">
        <f t="shared" si="350"/>
        <v>265</v>
      </c>
      <c r="D6035" t="str">
        <f>"24"</f>
        <v>24</v>
      </c>
      <c r="E6035" t="str">
        <f>"1-265-24"</f>
        <v>1-265-24</v>
      </c>
      <c r="F6035" t="s">
        <v>83</v>
      </c>
      <c r="G6035" t="s">
        <v>84</v>
      </c>
      <c r="H6035" t="s">
        <v>85</v>
      </c>
      <c r="AC6035">
        <v>1</v>
      </c>
      <c r="AD6035">
        <v>0</v>
      </c>
      <c r="AE6035">
        <v>0</v>
      </c>
      <c r="AF6035">
        <v>0</v>
      </c>
      <c r="AG6035">
        <v>0</v>
      </c>
      <c r="AJ6035">
        <v>1</v>
      </c>
      <c r="AK6035">
        <v>0</v>
      </c>
      <c r="AL6035">
        <v>0</v>
      </c>
      <c r="AM6035">
        <v>0</v>
      </c>
      <c r="AN6035">
        <v>0</v>
      </c>
      <c r="AO6035">
        <v>0</v>
      </c>
      <c r="AP6035">
        <v>0</v>
      </c>
      <c r="AQ6035">
        <v>0</v>
      </c>
      <c r="AR6035">
        <v>0</v>
      </c>
      <c r="AS6035">
        <v>0</v>
      </c>
      <c r="AT6035">
        <v>1</v>
      </c>
      <c r="AV6035">
        <v>0</v>
      </c>
      <c r="AW6035">
        <v>0</v>
      </c>
    </row>
    <row r="6036" spans="1:49" x14ac:dyDescent="0.25">
      <c r="A6036" t="str">
        <f>"6032"</f>
        <v>6032</v>
      </c>
      <c r="B6036" t="str">
        <f t="shared" si="348"/>
        <v>1</v>
      </c>
      <c r="C6036" t="str">
        <f t="shared" si="350"/>
        <v>265</v>
      </c>
      <c r="D6036" t="str">
        <f>"14"</f>
        <v>14</v>
      </c>
      <c r="E6036" t="str">
        <f>"1-265-14"</f>
        <v>1-265-14</v>
      </c>
      <c r="F6036" t="s">
        <v>83</v>
      </c>
      <c r="G6036" t="s">
        <v>84</v>
      </c>
      <c r="H6036" t="s">
        <v>92</v>
      </c>
      <c r="I6036">
        <v>1</v>
      </c>
      <c r="J6036">
        <v>1</v>
      </c>
      <c r="N6036">
        <v>1</v>
      </c>
      <c r="O6036">
        <v>1</v>
      </c>
      <c r="P6036">
        <v>1</v>
      </c>
      <c r="Q6036">
        <v>1</v>
      </c>
      <c r="R6036">
        <v>1</v>
      </c>
      <c r="S6036">
        <v>1</v>
      </c>
      <c r="T6036">
        <v>1</v>
      </c>
      <c r="W6036">
        <v>1</v>
      </c>
      <c r="X6036">
        <v>1</v>
      </c>
      <c r="Y6036">
        <v>1</v>
      </c>
      <c r="Z6036">
        <v>1</v>
      </c>
      <c r="AA6036">
        <v>1</v>
      </c>
      <c r="AB6036">
        <v>1</v>
      </c>
    </row>
    <row r="6037" spans="1:49" x14ac:dyDescent="0.25">
      <c r="A6037" t="str">
        <f>"6033"</f>
        <v>6033</v>
      </c>
      <c r="B6037" t="str">
        <f t="shared" si="348"/>
        <v>1</v>
      </c>
      <c r="C6037" t="str">
        <f t="shared" si="350"/>
        <v>265</v>
      </c>
      <c r="D6037" t="str">
        <f>"9"</f>
        <v>9</v>
      </c>
      <c r="E6037" t="str">
        <f>"1-265-9"</f>
        <v>1-265-9</v>
      </c>
      <c r="F6037" t="s">
        <v>83</v>
      </c>
      <c r="G6037" t="s">
        <v>84</v>
      </c>
      <c r="H6037" t="s">
        <v>92</v>
      </c>
      <c r="I6037">
        <v>1</v>
      </c>
      <c r="J6037">
        <v>1</v>
      </c>
      <c r="N6037">
        <v>1</v>
      </c>
      <c r="O6037">
        <v>1</v>
      </c>
      <c r="P6037">
        <v>1</v>
      </c>
      <c r="Q6037">
        <v>1</v>
      </c>
      <c r="R6037">
        <v>1</v>
      </c>
      <c r="S6037">
        <v>1</v>
      </c>
      <c r="T6037">
        <v>1</v>
      </c>
      <c r="W6037">
        <v>1</v>
      </c>
      <c r="X6037">
        <v>1</v>
      </c>
      <c r="Y6037">
        <v>1</v>
      </c>
      <c r="Z6037">
        <v>1</v>
      </c>
      <c r="AA6037">
        <v>1</v>
      </c>
      <c r="AB6037">
        <v>1</v>
      </c>
    </row>
    <row r="6038" spans="1:49" x14ac:dyDescent="0.25">
      <c r="A6038" t="str">
        <f>"6034"</f>
        <v>6034</v>
      </c>
      <c r="B6038" t="str">
        <f t="shared" si="348"/>
        <v>1</v>
      </c>
      <c r="C6038" t="str">
        <f t="shared" si="350"/>
        <v>265</v>
      </c>
      <c r="D6038" t="str">
        <f>"1"</f>
        <v>1</v>
      </c>
      <c r="E6038" t="str">
        <f>"1-265-1"</f>
        <v>1-265-1</v>
      </c>
      <c r="F6038" t="s">
        <v>83</v>
      </c>
      <c r="G6038" t="s">
        <v>84</v>
      </c>
      <c r="H6038" t="s">
        <v>92</v>
      </c>
      <c r="I6038">
        <v>1</v>
      </c>
      <c r="J6038">
        <v>1</v>
      </c>
      <c r="N6038">
        <v>1</v>
      </c>
      <c r="O6038">
        <v>1</v>
      </c>
      <c r="P6038">
        <v>1</v>
      </c>
      <c r="Q6038">
        <v>1</v>
      </c>
      <c r="R6038">
        <v>1</v>
      </c>
      <c r="S6038">
        <v>1</v>
      </c>
      <c r="T6038">
        <v>1</v>
      </c>
      <c r="W6038">
        <v>1</v>
      </c>
      <c r="X6038">
        <v>1</v>
      </c>
      <c r="Y6038">
        <v>1</v>
      </c>
      <c r="Z6038">
        <v>1</v>
      </c>
      <c r="AA6038">
        <v>1</v>
      </c>
      <c r="AB6038">
        <v>1</v>
      </c>
    </row>
    <row r="6039" spans="1:49" x14ac:dyDescent="0.25">
      <c r="A6039" t="str">
        <f>"6035"</f>
        <v>6035</v>
      </c>
      <c r="B6039" t="str">
        <f t="shared" si="348"/>
        <v>1</v>
      </c>
      <c r="C6039" t="str">
        <f t="shared" si="350"/>
        <v>265</v>
      </c>
      <c r="D6039" t="str">
        <f>"23"</f>
        <v>23</v>
      </c>
      <c r="E6039" t="str">
        <f>"1-265-23"</f>
        <v>1-265-23</v>
      </c>
      <c r="F6039" t="s">
        <v>83</v>
      </c>
      <c r="G6039" t="s">
        <v>84</v>
      </c>
      <c r="H6039" t="s">
        <v>92</v>
      </c>
      <c r="I6039">
        <v>0</v>
      </c>
      <c r="J6039">
        <v>1</v>
      </c>
      <c r="N6039">
        <v>1</v>
      </c>
      <c r="O6039">
        <v>1</v>
      </c>
      <c r="P6039">
        <v>1</v>
      </c>
      <c r="Q6039">
        <v>1</v>
      </c>
      <c r="R6039">
        <v>0</v>
      </c>
      <c r="S6039">
        <v>1</v>
      </c>
      <c r="T6039">
        <v>1</v>
      </c>
      <c r="W6039">
        <v>1</v>
      </c>
      <c r="X6039">
        <v>1</v>
      </c>
      <c r="Y6039">
        <v>1</v>
      </c>
      <c r="Z6039">
        <v>1</v>
      </c>
      <c r="AA6039">
        <v>1</v>
      </c>
      <c r="AB6039">
        <v>1</v>
      </c>
    </row>
    <row r="6040" spans="1:49" x14ac:dyDescent="0.25">
      <c r="A6040" t="str">
        <f>"6036"</f>
        <v>6036</v>
      </c>
      <c r="B6040" t="str">
        <f t="shared" si="348"/>
        <v>1</v>
      </c>
      <c r="C6040" t="str">
        <f t="shared" si="350"/>
        <v>265</v>
      </c>
      <c r="D6040" t="str">
        <f>"22"</f>
        <v>22</v>
      </c>
      <c r="E6040" t="str">
        <f>"1-265-22"</f>
        <v>1-265-22</v>
      </c>
      <c r="F6040" t="s">
        <v>83</v>
      </c>
      <c r="G6040" t="s">
        <v>84</v>
      </c>
      <c r="H6040" t="s">
        <v>92</v>
      </c>
      <c r="I6040">
        <v>1</v>
      </c>
      <c r="J6040">
        <v>0</v>
      </c>
      <c r="N6040">
        <v>1</v>
      </c>
      <c r="O6040">
        <v>0</v>
      </c>
      <c r="P6040">
        <v>0</v>
      </c>
      <c r="Q6040">
        <v>0</v>
      </c>
      <c r="R6040">
        <v>0</v>
      </c>
      <c r="S6040">
        <v>0</v>
      </c>
      <c r="T6040">
        <v>0</v>
      </c>
      <c r="W6040">
        <v>1</v>
      </c>
      <c r="X6040">
        <v>1</v>
      </c>
      <c r="Y6040">
        <v>1</v>
      </c>
      <c r="Z6040">
        <v>0</v>
      </c>
      <c r="AA6040">
        <v>0</v>
      </c>
      <c r="AB6040">
        <v>0</v>
      </c>
    </row>
    <row r="6041" spans="1:49" x14ac:dyDescent="0.25">
      <c r="A6041" t="str">
        <f>"6037"</f>
        <v>6037</v>
      </c>
      <c r="B6041" t="str">
        <f t="shared" si="348"/>
        <v>1</v>
      </c>
      <c r="C6041" t="str">
        <f t="shared" si="350"/>
        <v>265</v>
      </c>
      <c r="D6041" t="str">
        <f>"15"</f>
        <v>15</v>
      </c>
      <c r="E6041" t="str">
        <f>"1-265-15"</f>
        <v>1-265-15</v>
      </c>
      <c r="F6041" t="s">
        <v>83</v>
      </c>
      <c r="G6041" t="s">
        <v>84</v>
      </c>
      <c r="H6041" t="s">
        <v>92</v>
      </c>
      <c r="I6041">
        <v>1</v>
      </c>
      <c r="J6041">
        <v>1</v>
      </c>
      <c r="N6041">
        <v>1</v>
      </c>
      <c r="O6041">
        <v>1</v>
      </c>
      <c r="P6041">
        <v>1</v>
      </c>
      <c r="Q6041">
        <v>1</v>
      </c>
      <c r="R6041">
        <v>0</v>
      </c>
      <c r="S6041">
        <v>0</v>
      </c>
      <c r="T6041">
        <v>0</v>
      </c>
      <c r="W6041">
        <v>1</v>
      </c>
      <c r="X6041">
        <v>1</v>
      </c>
      <c r="Y6041">
        <v>1</v>
      </c>
      <c r="Z6041">
        <v>0</v>
      </c>
      <c r="AA6041">
        <v>0</v>
      </c>
      <c r="AB6041">
        <v>0</v>
      </c>
    </row>
    <row r="6042" spans="1:49" x14ac:dyDescent="0.25">
      <c r="A6042" t="str">
        <f>"6038"</f>
        <v>6038</v>
      </c>
      <c r="B6042" t="str">
        <f t="shared" si="348"/>
        <v>1</v>
      </c>
      <c r="C6042" t="str">
        <f t="shared" si="350"/>
        <v>265</v>
      </c>
      <c r="D6042" t="str">
        <f>"10"</f>
        <v>10</v>
      </c>
      <c r="E6042" t="str">
        <f>"1-265-10"</f>
        <v>1-265-10</v>
      </c>
      <c r="F6042" t="s">
        <v>83</v>
      </c>
      <c r="G6042" t="s">
        <v>84</v>
      </c>
      <c r="H6042" t="s">
        <v>92</v>
      </c>
      <c r="I6042">
        <v>1</v>
      </c>
      <c r="J6042">
        <v>1</v>
      </c>
      <c r="N6042">
        <v>1</v>
      </c>
      <c r="O6042">
        <v>1</v>
      </c>
      <c r="P6042">
        <v>1</v>
      </c>
      <c r="Q6042">
        <v>1</v>
      </c>
      <c r="R6042">
        <v>1</v>
      </c>
      <c r="S6042">
        <v>1</v>
      </c>
      <c r="T6042">
        <v>1</v>
      </c>
      <c r="W6042">
        <v>1</v>
      </c>
      <c r="X6042">
        <v>1</v>
      </c>
      <c r="Y6042">
        <v>1</v>
      </c>
      <c r="Z6042">
        <v>1</v>
      </c>
      <c r="AA6042">
        <v>1</v>
      </c>
      <c r="AB6042">
        <v>1</v>
      </c>
    </row>
    <row r="6043" spans="1:49" x14ac:dyDescent="0.25">
      <c r="A6043" t="str">
        <f>"6039"</f>
        <v>6039</v>
      </c>
      <c r="B6043" t="str">
        <f t="shared" si="348"/>
        <v>1</v>
      </c>
      <c r="C6043" t="str">
        <f t="shared" si="350"/>
        <v>265</v>
      </c>
      <c r="D6043" t="str">
        <f>"7"</f>
        <v>7</v>
      </c>
      <c r="E6043" t="str">
        <f>"1-265-7"</f>
        <v>1-265-7</v>
      </c>
      <c r="F6043" t="s">
        <v>83</v>
      </c>
      <c r="G6043" t="s">
        <v>84</v>
      </c>
      <c r="H6043" t="s">
        <v>85</v>
      </c>
      <c r="AC6043">
        <v>1</v>
      </c>
      <c r="AD6043">
        <v>0</v>
      </c>
      <c r="AE6043">
        <v>0</v>
      </c>
      <c r="AF6043">
        <v>0</v>
      </c>
      <c r="AG6043">
        <v>1</v>
      </c>
      <c r="AJ6043">
        <v>0</v>
      </c>
      <c r="AK6043">
        <v>1</v>
      </c>
      <c r="AL6043">
        <v>1</v>
      </c>
      <c r="AM6043">
        <v>0</v>
      </c>
      <c r="AN6043">
        <v>0</v>
      </c>
      <c r="AO6043">
        <v>1</v>
      </c>
      <c r="AP6043">
        <v>1</v>
      </c>
      <c r="AQ6043">
        <v>1</v>
      </c>
      <c r="AR6043">
        <v>1</v>
      </c>
      <c r="AS6043">
        <v>0</v>
      </c>
      <c r="AT6043">
        <v>1</v>
      </c>
      <c r="AV6043">
        <v>1</v>
      </c>
      <c r="AW6043">
        <v>1</v>
      </c>
    </row>
    <row r="6044" spans="1:49" x14ac:dyDescent="0.25">
      <c r="A6044" t="str">
        <f>"6040"</f>
        <v>6040</v>
      </c>
      <c r="B6044" t="str">
        <f t="shared" si="348"/>
        <v>1</v>
      </c>
      <c r="C6044" t="str">
        <f t="shared" si="350"/>
        <v>265</v>
      </c>
      <c r="D6044" t="str">
        <f>"16"</f>
        <v>16</v>
      </c>
      <c r="E6044" t="str">
        <f>"1-265-16"</f>
        <v>1-265-16</v>
      </c>
      <c r="F6044" t="s">
        <v>83</v>
      </c>
      <c r="G6044" t="s">
        <v>84</v>
      </c>
      <c r="H6044" t="s">
        <v>85</v>
      </c>
      <c r="AC6044">
        <v>1</v>
      </c>
      <c r="AD6044">
        <v>0</v>
      </c>
      <c r="AE6044">
        <v>0</v>
      </c>
      <c r="AF6044">
        <v>0</v>
      </c>
      <c r="AG6044">
        <v>1</v>
      </c>
      <c r="AJ6044">
        <v>1</v>
      </c>
      <c r="AK6044">
        <v>0</v>
      </c>
      <c r="AL6044">
        <v>1</v>
      </c>
      <c r="AM6044">
        <v>0</v>
      </c>
      <c r="AN6044">
        <v>0</v>
      </c>
      <c r="AO6044">
        <v>1</v>
      </c>
      <c r="AP6044">
        <v>1</v>
      </c>
      <c r="AQ6044">
        <v>1</v>
      </c>
      <c r="AR6044">
        <v>1</v>
      </c>
      <c r="AS6044">
        <v>1</v>
      </c>
      <c r="AT6044">
        <v>0</v>
      </c>
      <c r="AV6044">
        <v>1</v>
      </c>
      <c r="AW6044">
        <v>1</v>
      </c>
    </row>
    <row r="6045" spans="1:49" x14ac:dyDescent="0.25">
      <c r="A6045" t="str">
        <f>"6041"</f>
        <v>6041</v>
      </c>
      <c r="B6045" t="str">
        <f t="shared" si="348"/>
        <v>1</v>
      </c>
      <c r="C6045" t="str">
        <f t="shared" si="350"/>
        <v>265</v>
      </c>
      <c r="D6045" t="str">
        <f>"11"</f>
        <v>11</v>
      </c>
      <c r="E6045" t="str">
        <f>"1-265-11"</f>
        <v>1-265-11</v>
      </c>
      <c r="F6045" t="s">
        <v>83</v>
      </c>
      <c r="G6045" t="s">
        <v>84</v>
      </c>
      <c r="H6045" t="s">
        <v>85</v>
      </c>
      <c r="AC6045">
        <v>0</v>
      </c>
      <c r="AD6045">
        <v>1</v>
      </c>
      <c r="AE6045">
        <v>0</v>
      </c>
      <c r="AF6045">
        <v>0</v>
      </c>
      <c r="AG6045">
        <v>1</v>
      </c>
      <c r="AJ6045">
        <v>0</v>
      </c>
      <c r="AK6045">
        <v>1</v>
      </c>
      <c r="AL6045">
        <v>0</v>
      </c>
      <c r="AM6045">
        <v>0</v>
      </c>
      <c r="AN6045">
        <v>1</v>
      </c>
      <c r="AO6045">
        <v>1</v>
      </c>
      <c r="AP6045">
        <v>1</v>
      </c>
      <c r="AQ6045">
        <v>1</v>
      </c>
      <c r="AR6045">
        <v>1</v>
      </c>
      <c r="AS6045">
        <v>0</v>
      </c>
      <c r="AT6045">
        <v>1</v>
      </c>
      <c r="AV6045">
        <v>1</v>
      </c>
      <c r="AW6045">
        <v>1</v>
      </c>
    </row>
    <row r="6046" spans="1:49" x14ac:dyDescent="0.25">
      <c r="A6046" t="str">
        <f>"6042"</f>
        <v>6042</v>
      </c>
      <c r="B6046" t="str">
        <f t="shared" ref="B6046:B6109" si="351">"1"</f>
        <v>1</v>
      </c>
      <c r="C6046" t="str">
        <f t="shared" si="350"/>
        <v>265</v>
      </c>
      <c r="D6046" t="str">
        <f>"5"</f>
        <v>5</v>
      </c>
      <c r="E6046" t="str">
        <f>"1-265-5"</f>
        <v>1-265-5</v>
      </c>
      <c r="F6046" t="s">
        <v>83</v>
      </c>
      <c r="G6046" t="s">
        <v>86</v>
      </c>
      <c r="H6046" t="s">
        <v>87</v>
      </c>
      <c r="AC6046">
        <v>1</v>
      </c>
      <c r="AD6046">
        <v>0</v>
      </c>
      <c r="AE6046">
        <v>0</v>
      </c>
      <c r="AF6046">
        <v>0</v>
      </c>
      <c r="AH6046">
        <v>1</v>
      </c>
      <c r="AI6046">
        <v>0</v>
      </c>
      <c r="AJ6046">
        <v>1</v>
      </c>
      <c r="AK6046">
        <v>0</v>
      </c>
      <c r="AL6046">
        <v>1</v>
      </c>
      <c r="AM6046">
        <v>0</v>
      </c>
      <c r="AN6046">
        <v>0</v>
      </c>
      <c r="AO6046">
        <v>1</v>
      </c>
      <c r="AP6046">
        <v>1</v>
      </c>
      <c r="AQ6046">
        <v>1</v>
      </c>
      <c r="AU6046">
        <v>1</v>
      </c>
      <c r="AV6046">
        <v>1</v>
      </c>
      <c r="AW6046">
        <v>1</v>
      </c>
    </row>
    <row r="6047" spans="1:49" x14ac:dyDescent="0.25">
      <c r="A6047" t="str">
        <f>"6043"</f>
        <v>6043</v>
      </c>
      <c r="B6047" t="str">
        <f t="shared" si="351"/>
        <v>1</v>
      </c>
      <c r="C6047" t="str">
        <f t="shared" si="350"/>
        <v>265</v>
      </c>
      <c r="D6047" t="str">
        <f>"19"</f>
        <v>19</v>
      </c>
      <c r="E6047" t="str">
        <f>"1-265-19"</f>
        <v>1-265-19</v>
      </c>
      <c r="F6047" t="s">
        <v>83</v>
      </c>
      <c r="G6047" t="s">
        <v>84</v>
      </c>
      <c r="H6047" t="s">
        <v>92</v>
      </c>
      <c r="I6047">
        <v>1</v>
      </c>
      <c r="J6047">
        <v>1</v>
      </c>
      <c r="N6047">
        <v>1</v>
      </c>
      <c r="O6047">
        <v>1</v>
      </c>
      <c r="P6047">
        <v>1</v>
      </c>
      <c r="Q6047">
        <v>1</v>
      </c>
      <c r="R6047">
        <v>1</v>
      </c>
      <c r="S6047">
        <v>1</v>
      </c>
      <c r="T6047">
        <v>1</v>
      </c>
      <c r="W6047">
        <v>1</v>
      </c>
      <c r="X6047">
        <v>1</v>
      </c>
      <c r="Y6047">
        <v>1</v>
      </c>
      <c r="Z6047">
        <v>1</v>
      </c>
      <c r="AA6047">
        <v>1</v>
      </c>
      <c r="AB6047">
        <v>1</v>
      </c>
    </row>
    <row r="6048" spans="1:49" x14ac:dyDescent="0.25">
      <c r="A6048" t="str">
        <f>"6044"</f>
        <v>6044</v>
      </c>
      <c r="B6048" t="str">
        <f t="shared" si="351"/>
        <v>1</v>
      </c>
      <c r="C6048" t="str">
        <f t="shared" si="350"/>
        <v>265</v>
      </c>
      <c r="D6048" t="str">
        <f>"12"</f>
        <v>12</v>
      </c>
      <c r="E6048" t="str">
        <f>"1-265-12"</f>
        <v>1-265-12</v>
      </c>
      <c r="F6048" t="s">
        <v>83</v>
      </c>
      <c r="G6048" t="s">
        <v>84</v>
      </c>
      <c r="H6048" t="s">
        <v>92</v>
      </c>
      <c r="I6048">
        <v>1</v>
      </c>
      <c r="J6048">
        <v>1</v>
      </c>
      <c r="N6048">
        <v>1</v>
      </c>
      <c r="O6048">
        <v>1</v>
      </c>
      <c r="P6048">
        <v>1</v>
      </c>
      <c r="Q6048">
        <v>1</v>
      </c>
      <c r="R6048">
        <v>0</v>
      </c>
      <c r="S6048">
        <v>0</v>
      </c>
      <c r="T6048">
        <v>0</v>
      </c>
      <c r="W6048">
        <v>0</v>
      </c>
      <c r="X6048">
        <v>0</v>
      </c>
      <c r="Y6048">
        <v>0</v>
      </c>
      <c r="Z6048">
        <v>0</v>
      </c>
      <c r="AA6048">
        <v>0</v>
      </c>
      <c r="AB6048">
        <v>0</v>
      </c>
    </row>
    <row r="6049" spans="1:49" x14ac:dyDescent="0.25">
      <c r="A6049" t="str">
        <f>"6045"</f>
        <v>6045</v>
      </c>
      <c r="B6049" t="str">
        <f t="shared" si="351"/>
        <v>1</v>
      </c>
      <c r="C6049" t="str">
        <f t="shared" si="350"/>
        <v>265</v>
      </c>
      <c r="D6049" t="str">
        <f>"4"</f>
        <v>4</v>
      </c>
      <c r="E6049" t="str">
        <f>"1-265-4"</f>
        <v>1-265-4</v>
      </c>
      <c r="F6049" t="s">
        <v>83</v>
      </c>
      <c r="G6049" t="s">
        <v>86</v>
      </c>
      <c r="H6049" t="s">
        <v>87</v>
      </c>
      <c r="AC6049">
        <v>1</v>
      </c>
      <c r="AD6049">
        <v>0</v>
      </c>
      <c r="AE6049">
        <v>0</v>
      </c>
      <c r="AF6049">
        <v>0</v>
      </c>
      <c r="AH6049">
        <v>0</v>
      </c>
      <c r="AI6049">
        <v>1</v>
      </c>
      <c r="AJ6049">
        <v>1</v>
      </c>
      <c r="AK6049">
        <v>0</v>
      </c>
      <c r="AL6049">
        <v>0</v>
      </c>
      <c r="AM6049">
        <v>0</v>
      </c>
      <c r="AN6049">
        <v>1</v>
      </c>
      <c r="AO6049">
        <v>1</v>
      </c>
      <c r="AP6049">
        <v>1</v>
      </c>
      <c r="AQ6049">
        <v>1</v>
      </c>
      <c r="AU6049">
        <v>1</v>
      </c>
      <c r="AV6049">
        <v>1</v>
      </c>
      <c r="AW6049">
        <v>1</v>
      </c>
    </row>
    <row r="6050" spans="1:49" x14ac:dyDescent="0.25">
      <c r="A6050" t="str">
        <f>"6046"</f>
        <v>6046</v>
      </c>
      <c r="B6050" t="str">
        <f t="shared" si="351"/>
        <v>1</v>
      </c>
      <c r="C6050" t="str">
        <f t="shared" si="350"/>
        <v>265</v>
      </c>
      <c r="D6050" t="str">
        <f>"17"</f>
        <v>17</v>
      </c>
      <c r="E6050" t="str">
        <f>"1-265-17"</f>
        <v>1-265-17</v>
      </c>
      <c r="F6050" t="s">
        <v>83</v>
      </c>
      <c r="G6050" t="s">
        <v>84</v>
      </c>
      <c r="H6050" t="s">
        <v>85</v>
      </c>
      <c r="AC6050">
        <v>0</v>
      </c>
      <c r="AD6050">
        <v>1</v>
      </c>
      <c r="AE6050">
        <v>0</v>
      </c>
      <c r="AF6050">
        <v>0</v>
      </c>
      <c r="AG6050">
        <v>0</v>
      </c>
      <c r="AJ6050">
        <v>0</v>
      </c>
      <c r="AK6050">
        <v>0</v>
      </c>
      <c r="AL6050">
        <v>0</v>
      </c>
      <c r="AM6050">
        <v>0</v>
      </c>
      <c r="AN6050">
        <v>1</v>
      </c>
      <c r="AO6050">
        <v>0</v>
      </c>
      <c r="AP6050">
        <v>0</v>
      </c>
      <c r="AQ6050">
        <v>0</v>
      </c>
      <c r="AR6050">
        <v>0</v>
      </c>
      <c r="AS6050">
        <v>1</v>
      </c>
      <c r="AT6050">
        <v>0</v>
      </c>
      <c r="AV6050">
        <v>0</v>
      </c>
      <c r="AW6050">
        <v>0</v>
      </c>
    </row>
    <row r="6051" spans="1:49" x14ac:dyDescent="0.25">
      <c r="A6051" t="str">
        <f>"6047"</f>
        <v>6047</v>
      </c>
      <c r="B6051" t="str">
        <f t="shared" si="351"/>
        <v>1</v>
      </c>
      <c r="C6051" t="str">
        <f t="shared" si="350"/>
        <v>265</v>
      </c>
      <c r="D6051" t="str">
        <f>"3"</f>
        <v>3</v>
      </c>
      <c r="E6051" t="str">
        <f>"1-265-3"</f>
        <v>1-265-3</v>
      </c>
      <c r="F6051" t="s">
        <v>83</v>
      </c>
      <c r="G6051" t="s">
        <v>84</v>
      </c>
      <c r="H6051" t="s">
        <v>92</v>
      </c>
      <c r="I6051">
        <v>1</v>
      </c>
      <c r="J6051">
        <v>1</v>
      </c>
      <c r="N6051">
        <v>0</v>
      </c>
      <c r="O6051">
        <v>1</v>
      </c>
      <c r="P6051">
        <v>1</v>
      </c>
      <c r="Q6051">
        <v>1</v>
      </c>
      <c r="R6051">
        <v>1</v>
      </c>
      <c r="S6051">
        <v>1</v>
      </c>
      <c r="T6051">
        <v>1</v>
      </c>
      <c r="W6051">
        <v>1</v>
      </c>
      <c r="X6051">
        <v>1</v>
      </c>
      <c r="Y6051">
        <v>1</v>
      </c>
      <c r="Z6051">
        <v>1</v>
      </c>
      <c r="AA6051">
        <v>1</v>
      </c>
      <c r="AB6051">
        <v>1</v>
      </c>
    </row>
    <row r="6052" spans="1:49" x14ac:dyDescent="0.25">
      <c r="A6052" t="str">
        <f>"6048"</f>
        <v>6048</v>
      </c>
      <c r="B6052" t="str">
        <f t="shared" si="351"/>
        <v>1</v>
      </c>
      <c r="C6052" t="str">
        <f t="shared" si="350"/>
        <v>265</v>
      </c>
      <c r="D6052" t="str">
        <f>"6"</f>
        <v>6</v>
      </c>
      <c r="E6052" t="str">
        <f>"1-265-6"</f>
        <v>1-265-6</v>
      </c>
      <c r="F6052" t="s">
        <v>83</v>
      </c>
      <c r="G6052" t="s">
        <v>84</v>
      </c>
      <c r="H6052" t="s">
        <v>85</v>
      </c>
      <c r="AC6052">
        <v>1</v>
      </c>
      <c r="AD6052">
        <v>0</v>
      </c>
      <c r="AE6052">
        <v>0</v>
      </c>
      <c r="AF6052">
        <v>0</v>
      </c>
      <c r="AG6052">
        <v>1</v>
      </c>
      <c r="AJ6052">
        <v>1</v>
      </c>
      <c r="AK6052">
        <v>0</v>
      </c>
      <c r="AL6052">
        <v>1</v>
      </c>
      <c r="AM6052">
        <v>0</v>
      </c>
      <c r="AN6052">
        <v>0</v>
      </c>
      <c r="AO6052">
        <v>1</v>
      </c>
      <c r="AP6052">
        <v>1</v>
      </c>
      <c r="AQ6052">
        <v>1</v>
      </c>
      <c r="AR6052">
        <v>1</v>
      </c>
      <c r="AS6052">
        <v>0</v>
      </c>
      <c r="AT6052">
        <v>1</v>
      </c>
      <c r="AV6052">
        <v>1</v>
      </c>
      <c r="AW6052">
        <v>1</v>
      </c>
    </row>
    <row r="6053" spans="1:49" x14ac:dyDescent="0.25">
      <c r="A6053" t="str">
        <f>"6049"</f>
        <v>6049</v>
      </c>
      <c r="B6053" t="str">
        <f t="shared" si="351"/>
        <v>1</v>
      </c>
      <c r="C6053" t="str">
        <f t="shared" si="350"/>
        <v>265</v>
      </c>
      <c r="D6053" t="str">
        <f>"18"</f>
        <v>18</v>
      </c>
      <c r="E6053" t="str">
        <f>"1-265-18"</f>
        <v>1-265-18</v>
      </c>
      <c r="F6053" t="s">
        <v>83</v>
      </c>
      <c r="G6053" t="s">
        <v>84</v>
      </c>
      <c r="H6053" t="s">
        <v>85</v>
      </c>
      <c r="AC6053">
        <v>0</v>
      </c>
      <c r="AD6053">
        <v>0</v>
      </c>
      <c r="AE6053">
        <v>0</v>
      </c>
      <c r="AF6053">
        <v>0</v>
      </c>
      <c r="AG6053">
        <v>1</v>
      </c>
      <c r="AJ6053">
        <v>1</v>
      </c>
      <c r="AK6053">
        <v>0</v>
      </c>
      <c r="AL6053">
        <v>0</v>
      </c>
      <c r="AM6053">
        <v>0</v>
      </c>
      <c r="AN6053">
        <v>1</v>
      </c>
      <c r="AO6053">
        <v>1</v>
      </c>
      <c r="AP6053">
        <v>1</v>
      </c>
      <c r="AQ6053">
        <v>1</v>
      </c>
      <c r="AR6053">
        <v>1</v>
      </c>
      <c r="AS6053">
        <v>0</v>
      </c>
      <c r="AT6053">
        <v>1</v>
      </c>
      <c r="AV6053">
        <v>1</v>
      </c>
      <c r="AW6053">
        <v>1</v>
      </c>
    </row>
    <row r="6054" spans="1:49" x14ac:dyDescent="0.25">
      <c r="A6054" t="str">
        <f>"6050"</f>
        <v>6050</v>
      </c>
      <c r="B6054" t="str">
        <f t="shared" si="351"/>
        <v>1</v>
      </c>
      <c r="C6054" t="str">
        <f t="shared" ref="C6054:C6078" si="352">"266"</f>
        <v>266</v>
      </c>
      <c r="D6054" t="str">
        <f>"21"</f>
        <v>21</v>
      </c>
      <c r="E6054" t="str">
        <f>"1-266-21"</f>
        <v>1-266-21</v>
      </c>
      <c r="F6054" t="s">
        <v>83</v>
      </c>
      <c r="G6054" t="s">
        <v>84</v>
      </c>
      <c r="H6054" t="s">
        <v>85</v>
      </c>
      <c r="AC6054">
        <v>1</v>
      </c>
      <c r="AD6054">
        <v>0</v>
      </c>
      <c r="AE6054">
        <v>0</v>
      </c>
      <c r="AF6054">
        <v>0</v>
      </c>
      <c r="AG6054">
        <v>1</v>
      </c>
      <c r="AJ6054">
        <v>1</v>
      </c>
      <c r="AK6054">
        <v>0</v>
      </c>
      <c r="AL6054">
        <v>0</v>
      </c>
      <c r="AM6054">
        <v>1</v>
      </c>
      <c r="AN6054">
        <v>0</v>
      </c>
      <c r="AO6054">
        <v>1</v>
      </c>
      <c r="AP6054">
        <v>1</v>
      </c>
      <c r="AQ6054">
        <v>1</v>
      </c>
      <c r="AR6054">
        <v>1</v>
      </c>
      <c r="AS6054">
        <v>1</v>
      </c>
      <c r="AT6054">
        <v>0</v>
      </c>
      <c r="AV6054">
        <v>1</v>
      </c>
      <c r="AW6054">
        <v>1</v>
      </c>
    </row>
    <row r="6055" spans="1:49" x14ac:dyDescent="0.25">
      <c r="A6055" t="str">
        <f>"6051"</f>
        <v>6051</v>
      </c>
      <c r="B6055" t="str">
        <f t="shared" si="351"/>
        <v>1</v>
      </c>
      <c r="C6055" t="str">
        <f t="shared" si="352"/>
        <v>266</v>
      </c>
      <c r="D6055" t="str">
        <f>"20"</f>
        <v>20</v>
      </c>
      <c r="E6055" t="str">
        <f>"1-266-20"</f>
        <v>1-266-20</v>
      </c>
      <c r="F6055" t="s">
        <v>83</v>
      </c>
      <c r="G6055" t="s">
        <v>84</v>
      </c>
      <c r="H6055" t="s">
        <v>85</v>
      </c>
      <c r="AC6055">
        <v>1</v>
      </c>
      <c r="AD6055">
        <v>0</v>
      </c>
      <c r="AE6055">
        <v>0</v>
      </c>
      <c r="AF6055">
        <v>0</v>
      </c>
      <c r="AG6055">
        <v>0</v>
      </c>
      <c r="AJ6055">
        <v>1</v>
      </c>
      <c r="AK6055">
        <v>0</v>
      </c>
      <c r="AL6055">
        <v>0</v>
      </c>
      <c r="AM6055">
        <v>0</v>
      </c>
      <c r="AN6055">
        <v>1</v>
      </c>
      <c r="AO6055">
        <v>0</v>
      </c>
      <c r="AP6055">
        <v>0</v>
      </c>
      <c r="AQ6055">
        <v>0</v>
      </c>
      <c r="AR6055">
        <v>0</v>
      </c>
      <c r="AS6055">
        <v>0</v>
      </c>
      <c r="AT6055">
        <v>1</v>
      </c>
      <c r="AV6055">
        <v>0</v>
      </c>
      <c r="AW6055">
        <v>0</v>
      </c>
    </row>
    <row r="6056" spans="1:49" x14ac:dyDescent="0.25">
      <c r="A6056" t="str">
        <f>"6052"</f>
        <v>6052</v>
      </c>
      <c r="B6056" t="str">
        <f t="shared" si="351"/>
        <v>1</v>
      </c>
      <c r="C6056" t="str">
        <f t="shared" si="352"/>
        <v>266</v>
      </c>
      <c r="D6056" t="str">
        <f>"13"</f>
        <v>13</v>
      </c>
      <c r="E6056" t="str">
        <f>"1-266-13"</f>
        <v>1-266-13</v>
      </c>
      <c r="F6056" t="s">
        <v>83</v>
      </c>
      <c r="G6056" t="s">
        <v>84</v>
      </c>
      <c r="H6056" t="s">
        <v>85</v>
      </c>
      <c r="AC6056">
        <v>0</v>
      </c>
      <c r="AD6056">
        <v>1</v>
      </c>
      <c r="AE6056">
        <v>0</v>
      </c>
      <c r="AF6056">
        <v>0</v>
      </c>
      <c r="AG6056">
        <v>1</v>
      </c>
      <c r="AJ6056">
        <v>1</v>
      </c>
      <c r="AK6056">
        <v>0</v>
      </c>
      <c r="AL6056">
        <v>0</v>
      </c>
      <c r="AM6056">
        <v>0</v>
      </c>
      <c r="AN6056">
        <v>1</v>
      </c>
      <c r="AO6056">
        <v>1</v>
      </c>
      <c r="AP6056">
        <v>1</v>
      </c>
      <c r="AQ6056">
        <v>1</v>
      </c>
      <c r="AR6056">
        <v>1</v>
      </c>
      <c r="AS6056">
        <v>0</v>
      </c>
      <c r="AT6056">
        <v>1</v>
      </c>
      <c r="AV6056">
        <v>1</v>
      </c>
      <c r="AW6056">
        <v>1</v>
      </c>
    </row>
    <row r="6057" spans="1:49" x14ac:dyDescent="0.25">
      <c r="A6057" t="str">
        <f>"6053"</f>
        <v>6053</v>
      </c>
      <c r="B6057" t="str">
        <f t="shared" si="351"/>
        <v>1</v>
      </c>
      <c r="C6057" t="str">
        <f t="shared" si="352"/>
        <v>266</v>
      </c>
      <c r="D6057" t="str">
        <f>"8"</f>
        <v>8</v>
      </c>
      <c r="E6057" t="str">
        <f>"1-266-8"</f>
        <v>1-266-8</v>
      </c>
      <c r="F6057" t="s">
        <v>83</v>
      </c>
      <c r="G6057" t="s">
        <v>84</v>
      </c>
      <c r="H6057" t="s">
        <v>85</v>
      </c>
      <c r="AC6057">
        <v>1</v>
      </c>
      <c r="AD6057">
        <v>0</v>
      </c>
      <c r="AE6057">
        <v>0</v>
      </c>
      <c r="AF6057">
        <v>0</v>
      </c>
      <c r="AG6057">
        <v>1</v>
      </c>
      <c r="AJ6057">
        <v>0</v>
      </c>
      <c r="AK6057">
        <v>1</v>
      </c>
      <c r="AL6057">
        <v>0</v>
      </c>
      <c r="AM6057">
        <v>0</v>
      </c>
      <c r="AN6057">
        <v>1</v>
      </c>
      <c r="AO6057">
        <v>1</v>
      </c>
      <c r="AP6057">
        <v>1</v>
      </c>
      <c r="AQ6057">
        <v>1</v>
      </c>
      <c r="AR6057">
        <v>1</v>
      </c>
      <c r="AS6057">
        <v>0</v>
      </c>
      <c r="AT6057">
        <v>1</v>
      </c>
      <c r="AV6057">
        <v>1</v>
      </c>
      <c r="AW6057">
        <v>1</v>
      </c>
    </row>
    <row r="6058" spans="1:49" x14ac:dyDescent="0.25">
      <c r="A6058" t="str">
        <f>"6054"</f>
        <v>6054</v>
      </c>
      <c r="B6058" t="str">
        <f t="shared" si="351"/>
        <v>1</v>
      </c>
      <c r="C6058" t="str">
        <f t="shared" si="352"/>
        <v>266</v>
      </c>
      <c r="D6058" t="str">
        <f>"2"</f>
        <v>2</v>
      </c>
      <c r="E6058" t="str">
        <f>"1-266-2"</f>
        <v>1-266-2</v>
      </c>
      <c r="F6058" t="s">
        <v>83</v>
      </c>
      <c r="G6058" t="s">
        <v>84</v>
      </c>
      <c r="H6058" t="s">
        <v>85</v>
      </c>
      <c r="AC6058">
        <v>0</v>
      </c>
      <c r="AD6058">
        <v>1</v>
      </c>
      <c r="AE6058">
        <v>0</v>
      </c>
      <c r="AF6058">
        <v>0</v>
      </c>
      <c r="AG6058">
        <v>1</v>
      </c>
      <c r="AJ6058">
        <v>0</v>
      </c>
      <c r="AK6058">
        <v>1</v>
      </c>
      <c r="AL6058">
        <v>0</v>
      </c>
      <c r="AM6058">
        <v>1</v>
      </c>
      <c r="AN6058">
        <v>0</v>
      </c>
      <c r="AO6058">
        <v>1</v>
      </c>
      <c r="AP6058">
        <v>1</v>
      </c>
      <c r="AQ6058">
        <v>1</v>
      </c>
      <c r="AR6058">
        <v>1</v>
      </c>
      <c r="AS6058">
        <v>0</v>
      </c>
      <c r="AT6058">
        <v>1</v>
      </c>
      <c r="AV6058">
        <v>1</v>
      </c>
      <c r="AW6058">
        <v>1</v>
      </c>
    </row>
    <row r="6059" spans="1:49" x14ac:dyDescent="0.25">
      <c r="A6059" t="str">
        <f>"6055"</f>
        <v>6055</v>
      </c>
      <c r="B6059" t="str">
        <f t="shared" si="351"/>
        <v>1</v>
      </c>
      <c r="C6059" t="str">
        <f t="shared" si="352"/>
        <v>266</v>
      </c>
      <c r="D6059" t="str">
        <f>"23"</f>
        <v>23</v>
      </c>
      <c r="E6059" t="str">
        <f>"1-266-23"</f>
        <v>1-266-23</v>
      </c>
      <c r="F6059" t="s">
        <v>83</v>
      </c>
      <c r="G6059" t="s">
        <v>84</v>
      </c>
      <c r="H6059" t="s">
        <v>85</v>
      </c>
      <c r="AC6059">
        <v>0</v>
      </c>
      <c r="AD6059">
        <v>1</v>
      </c>
      <c r="AE6059">
        <v>0</v>
      </c>
      <c r="AF6059">
        <v>0</v>
      </c>
      <c r="AG6059">
        <v>0</v>
      </c>
      <c r="AJ6059">
        <v>0</v>
      </c>
      <c r="AK6059">
        <v>1</v>
      </c>
      <c r="AL6059">
        <v>0</v>
      </c>
      <c r="AM6059">
        <v>0</v>
      </c>
      <c r="AN6059">
        <v>1</v>
      </c>
      <c r="AO6059">
        <v>0</v>
      </c>
      <c r="AP6059">
        <v>0</v>
      </c>
      <c r="AQ6059">
        <v>0</v>
      </c>
      <c r="AR6059">
        <v>0</v>
      </c>
      <c r="AS6059">
        <v>1</v>
      </c>
      <c r="AT6059">
        <v>0</v>
      </c>
      <c r="AV6059">
        <v>0</v>
      </c>
      <c r="AW6059">
        <v>0</v>
      </c>
    </row>
    <row r="6060" spans="1:49" x14ac:dyDescent="0.25">
      <c r="A6060" t="str">
        <f>"6056"</f>
        <v>6056</v>
      </c>
      <c r="B6060" t="str">
        <f t="shared" si="351"/>
        <v>1</v>
      </c>
      <c r="C6060" t="str">
        <f t="shared" si="352"/>
        <v>266</v>
      </c>
      <c r="D6060" t="str">
        <f>"22"</f>
        <v>22</v>
      </c>
      <c r="E6060" t="str">
        <f>"1-266-22"</f>
        <v>1-266-22</v>
      </c>
      <c r="F6060" t="s">
        <v>83</v>
      </c>
      <c r="G6060" t="s">
        <v>84</v>
      </c>
      <c r="H6060" t="s">
        <v>85</v>
      </c>
      <c r="AC6060">
        <v>0</v>
      </c>
      <c r="AD6060">
        <v>1</v>
      </c>
      <c r="AE6060">
        <v>0</v>
      </c>
      <c r="AF6060">
        <v>0</v>
      </c>
      <c r="AG6060">
        <v>0</v>
      </c>
      <c r="AJ6060">
        <v>0</v>
      </c>
      <c r="AK6060">
        <v>1</v>
      </c>
      <c r="AL6060">
        <v>0</v>
      </c>
      <c r="AM6060">
        <v>0</v>
      </c>
      <c r="AN6060">
        <v>1</v>
      </c>
      <c r="AO6060">
        <v>0</v>
      </c>
      <c r="AP6060">
        <v>0</v>
      </c>
      <c r="AQ6060">
        <v>0</v>
      </c>
      <c r="AR6060">
        <v>0</v>
      </c>
      <c r="AS6060">
        <v>1</v>
      </c>
      <c r="AT6060">
        <v>0</v>
      </c>
      <c r="AV6060">
        <v>0</v>
      </c>
      <c r="AW6060">
        <v>0</v>
      </c>
    </row>
    <row r="6061" spans="1:49" x14ac:dyDescent="0.25">
      <c r="A6061" t="str">
        <f>"6057"</f>
        <v>6057</v>
      </c>
      <c r="B6061" t="str">
        <f t="shared" si="351"/>
        <v>1</v>
      </c>
      <c r="C6061" t="str">
        <f t="shared" si="352"/>
        <v>266</v>
      </c>
      <c r="D6061" t="str">
        <f>"14"</f>
        <v>14</v>
      </c>
      <c r="E6061" t="str">
        <f>"1-266-14"</f>
        <v>1-266-14</v>
      </c>
      <c r="F6061" t="s">
        <v>83</v>
      </c>
      <c r="G6061" t="s">
        <v>84</v>
      </c>
      <c r="H6061" t="s">
        <v>85</v>
      </c>
      <c r="AC6061">
        <v>0</v>
      </c>
      <c r="AD6061">
        <v>1</v>
      </c>
      <c r="AE6061">
        <v>0</v>
      </c>
      <c r="AF6061">
        <v>0</v>
      </c>
      <c r="AG6061">
        <v>0</v>
      </c>
      <c r="AJ6061">
        <v>0</v>
      </c>
      <c r="AK6061">
        <v>0</v>
      </c>
      <c r="AL6061">
        <v>0</v>
      </c>
      <c r="AM6061">
        <v>0</v>
      </c>
      <c r="AN6061">
        <v>0</v>
      </c>
      <c r="AO6061">
        <v>0</v>
      </c>
      <c r="AP6061">
        <v>0</v>
      </c>
      <c r="AQ6061">
        <v>0</v>
      </c>
      <c r="AR6061">
        <v>0</v>
      </c>
      <c r="AS6061">
        <v>0</v>
      </c>
      <c r="AT6061">
        <v>0</v>
      </c>
      <c r="AV6061">
        <v>1</v>
      </c>
      <c r="AW6061">
        <v>1</v>
      </c>
    </row>
    <row r="6062" spans="1:49" x14ac:dyDescent="0.25">
      <c r="A6062" t="str">
        <f>"6058"</f>
        <v>6058</v>
      </c>
      <c r="B6062" t="str">
        <f t="shared" si="351"/>
        <v>1</v>
      </c>
      <c r="C6062" t="str">
        <f t="shared" si="352"/>
        <v>266</v>
      </c>
      <c r="D6062" t="str">
        <f>"9"</f>
        <v>9</v>
      </c>
      <c r="E6062" t="str">
        <f>"1-266-9"</f>
        <v>1-266-9</v>
      </c>
      <c r="F6062" t="s">
        <v>83</v>
      </c>
      <c r="G6062" t="s">
        <v>84</v>
      </c>
      <c r="H6062" t="s">
        <v>85</v>
      </c>
      <c r="AC6062">
        <v>0</v>
      </c>
      <c r="AD6062">
        <v>1</v>
      </c>
      <c r="AE6062">
        <v>0</v>
      </c>
      <c r="AF6062">
        <v>0</v>
      </c>
      <c r="AG6062">
        <v>0</v>
      </c>
      <c r="AJ6062">
        <v>0</v>
      </c>
      <c r="AK6062">
        <v>1</v>
      </c>
      <c r="AL6062">
        <v>0</v>
      </c>
      <c r="AM6062">
        <v>0</v>
      </c>
      <c r="AN6062">
        <v>1</v>
      </c>
      <c r="AO6062">
        <v>0</v>
      </c>
      <c r="AP6062">
        <v>0</v>
      </c>
      <c r="AQ6062">
        <v>0</v>
      </c>
      <c r="AR6062">
        <v>0</v>
      </c>
      <c r="AS6062">
        <v>0</v>
      </c>
      <c r="AT6062">
        <v>1</v>
      </c>
      <c r="AV6062">
        <v>1</v>
      </c>
      <c r="AW6062">
        <v>1</v>
      </c>
    </row>
    <row r="6063" spans="1:49" x14ac:dyDescent="0.25">
      <c r="A6063" t="str">
        <f>"6059"</f>
        <v>6059</v>
      </c>
      <c r="B6063" t="str">
        <f t="shared" si="351"/>
        <v>1</v>
      </c>
      <c r="C6063" t="str">
        <f t="shared" si="352"/>
        <v>266</v>
      </c>
      <c r="D6063" t="str">
        <f>"4"</f>
        <v>4</v>
      </c>
      <c r="E6063" t="str">
        <f>"1-266-4"</f>
        <v>1-266-4</v>
      </c>
      <c r="F6063" t="s">
        <v>83</v>
      </c>
      <c r="G6063" t="s">
        <v>90</v>
      </c>
      <c r="H6063" t="s">
        <v>91</v>
      </c>
      <c r="AC6063">
        <v>1</v>
      </c>
      <c r="AD6063">
        <v>0</v>
      </c>
      <c r="AE6063">
        <v>0</v>
      </c>
      <c r="AF6063">
        <v>0</v>
      </c>
      <c r="AH6063">
        <v>1</v>
      </c>
      <c r="AI6063">
        <v>0</v>
      </c>
      <c r="AJ6063">
        <v>0</v>
      </c>
      <c r="AK6063">
        <v>1</v>
      </c>
      <c r="AL6063">
        <v>1</v>
      </c>
      <c r="AM6063">
        <v>0</v>
      </c>
      <c r="AN6063">
        <v>0</v>
      </c>
      <c r="AO6063">
        <v>1</v>
      </c>
      <c r="AP6063">
        <v>1</v>
      </c>
      <c r="AQ6063">
        <v>1</v>
      </c>
      <c r="AR6063">
        <v>1</v>
      </c>
      <c r="AU6063">
        <v>1</v>
      </c>
      <c r="AV6063">
        <v>1</v>
      </c>
      <c r="AW6063">
        <v>1</v>
      </c>
    </row>
    <row r="6064" spans="1:49" x14ac:dyDescent="0.25">
      <c r="A6064" t="str">
        <f>"6060"</f>
        <v>6060</v>
      </c>
      <c r="B6064" t="str">
        <f t="shared" si="351"/>
        <v>1</v>
      </c>
      <c r="C6064" t="str">
        <f t="shared" si="352"/>
        <v>266</v>
      </c>
      <c r="D6064" t="str">
        <f>"16"</f>
        <v>16</v>
      </c>
      <c r="E6064" t="str">
        <f>"1-266-16"</f>
        <v>1-266-16</v>
      </c>
      <c r="F6064" t="s">
        <v>83</v>
      </c>
      <c r="G6064" t="s">
        <v>84</v>
      </c>
      <c r="H6064" t="s">
        <v>85</v>
      </c>
      <c r="AC6064">
        <v>0</v>
      </c>
      <c r="AD6064">
        <v>1</v>
      </c>
      <c r="AE6064">
        <v>0</v>
      </c>
      <c r="AF6064">
        <v>0</v>
      </c>
      <c r="AG6064">
        <v>1</v>
      </c>
      <c r="AJ6064">
        <v>0</v>
      </c>
      <c r="AK6064">
        <v>1</v>
      </c>
      <c r="AL6064">
        <v>0</v>
      </c>
      <c r="AM6064">
        <v>0</v>
      </c>
      <c r="AN6064">
        <v>1</v>
      </c>
      <c r="AO6064">
        <v>1</v>
      </c>
      <c r="AP6064">
        <v>1</v>
      </c>
      <c r="AQ6064">
        <v>1</v>
      </c>
      <c r="AR6064">
        <v>1</v>
      </c>
      <c r="AS6064">
        <v>0</v>
      </c>
      <c r="AT6064">
        <v>1</v>
      </c>
      <c r="AV6064">
        <v>1</v>
      </c>
      <c r="AW6064">
        <v>1</v>
      </c>
    </row>
    <row r="6065" spans="1:49" x14ac:dyDescent="0.25">
      <c r="A6065" t="str">
        <f>"6061"</f>
        <v>6061</v>
      </c>
      <c r="B6065" t="str">
        <f t="shared" si="351"/>
        <v>1</v>
      </c>
      <c r="C6065" t="str">
        <f t="shared" si="352"/>
        <v>266</v>
      </c>
      <c r="D6065" t="str">
        <f>"10"</f>
        <v>10</v>
      </c>
      <c r="E6065" t="str">
        <f>"1-266-10"</f>
        <v>1-266-10</v>
      </c>
      <c r="F6065" t="s">
        <v>83</v>
      </c>
      <c r="G6065" t="s">
        <v>84</v>
      </c>
      <c r="H6065" t="s">
        <v>85</v>
      </c>
      <c r="AC6065">
        <v>1</v>
      </c>
      <c r="AD6065">
        <v>0</v>
      </c>
      <c r="AE6065">
        <v>0</v>
      </c>
      <c r="AF6065">
        <v>0</v>
      </c>
      <c r="AG6065">
        <v>1</v>
      </c>
      <c r="AJ6065">
        <v>0</v>
      </c>
      <c r="AK6065">
        <v>1</v>
      </c>
      <c r="AL6065">
        <v>0</v>
      </c>
      <c r="AM6065">
        <v>1</v>
      </c>
      <c r="AN6065">
        <v>0</v>
      </c>
      <c r="AO6065">
        <v>1</v>
      </c>
      <c r="AP6065">
        <v>1</v>
      </c>
      <c r="AQ6065">
        <v>1</v>
      </c>
      <c r="AR6065">
        <v>1</v>
      </c>
      <c r="AS6065">
        <v>0</v>
      </c>
      <c r="AT6065">
        <v>0</v>
      </c>
      <c r="AV6065">
        <v>1</v>
      </c>
      <c r="AW6065">
        <v>1</v>
      </c>
    </row>
    <row r="6066" spans="1:49" x14ac:dyDescent="0.25">
      <c r="A6066" t="str">
        <f>"6062"</f>
        <v>6062</v>
      </c>
      <c r="B6066" t="str">
        <f t="shared" si="351"/>
        <v>1</v>
      </c>
      <c r="C6066" t="str">
        <f t="shared" si="352"/>
        <v>266</v>
      </c>
      <c r="D6066" t="str">
        <f>"1"</f>
        <v>1</v>
      </c>
      <c r="E6066" t="str">
        <f>"1-266-1"</f>
        <v>1-266-1</v>
      </c>
      <c r="F6066" t="s">
        <v>83</v>
      </c>
      <c r="G6066" t="s">
        <v>84</v>
      </c>
      <c r="H6066" t="s">
        <v>85</v>
      </c>
      <c r="AC6066">
        <v>0</v>
      </c>
      <c r="AD6066">
        <v>1</v>
      </c>
      <c r="AE6066">
        <v>0</v>
      </c>
      <c r="AF6066">
        <v>0</v>
      </c>
      <c r="AG6066">
        <v>1</v>
      </c>
      <c r="AJ6066">
        <v>0</v>
      </c>
      <c r="AK6066">
        <v>1</v>
      </c>
      <c r="AL6066">
        <v>0</v>
      </c>
      <c r="AM6066">
        <v>0</v>
      </c>
      <c r="AN6066">
        <v>1</v>
      </c>
      <c r="AO6066">
        <v>1</v>
      </c>
      <c r="AP6066">
        <v>1</v>
      </c>
      <c r="AQ6066">
        <v>1</v>
      </c>
      <c r="AR6066">
        <v>1</v>
      </c>
      <c r="AS6066">
        <v>1</v>
      </c>
      <c r="AT6066">
        <v>0</v>
      </c>
      <c r="AV6066">
        <v>1</v>
      </c>
      <c r="AW6066">
        <v>1</v>
      </c>
    </row>
    <row r="6067" spans="1:49" x14ac:dyDescent="0.25">
      <c r="A6067" t="str">
        <f>"6063"</f>
        <v>6063</v>
      </c>
      <c r="B6067" t="str">
        <f t="shared" si="351"/>
        <v>1</v>
      </c>
      <c r="C6067" t="str">
        <f t="shared" si="352"/>
        <v>266</v>
      </c>
      <c r="D6067" t="str">
        <f>"17"</f>
        <v>17</v>
      </c>
      <c r="E6067" t="str">
        <f>"1-266-17"</f>
        <v>1-266-17</v>
      </c>
      <c r="F6067" t="s">
        <v>83</v>
      </c>
      <c r="G6067" t="s">
        <v>84</v>
      </c>
      <c r="H6067" t="s">
        <v>85</v>
      </c>
      <c r="AC6067">
        <v>0</v>
      </c>
      <c r="AD6067">
        <v>1</v>
      </c>
      <c r="AE6067">
        <v>0</v>
      </c>
      <c r="AF6067">
        <v>0</v>
      </c>
      <c r="AG6067">
        <v>1</v>
      </c>
      <c r="AJ6067">
        <v>1</v>
      </c>
      <c r="AK6067">
        <v>0</v>
      </c>
      <c r="AL6067">
        <v>0</v>
      </c>
      <c r="AM6067">
        <v>0</v>
      </c>
      <c r="AN6067">
        <v>1</v>
      </c>
      <c r="AO6067">
        <v>1</v>
      </c>
      <c r="AP6067">
        <v>1</v>
      </c>
      <c r="AQ6067">
        <v>1</v>
      </c>
      <c r="AR6067">
        <v>1</v>
      </c>
      <c r="AS6067">
        <v>0</v>
      </c>
      <c r="AT6067">
        <v>1</v>
      </c>
      <c r="AV6067">
        <v>1</v>
      </c>
      <c r="AW6067">
        <v>1</v>
      </c>
    </row>
    <row r="6068" spans="1:49" x14ac:dyDescent="0.25">
      <c r="A6068" t="str">
        <f>"6064"</f>
        <v>6064</v>
      </c>
      <c r="B6068" t="str">
        <f t="shared" si="351"/>
        <v>1</v>
      </c>
      <c r="C6068" t="str">
        <f t="shared" si="352"/>
        <v>266</v>
      </c>
      <c r="D6068" t="str">
        <f>"11"</f>
        <v>11</v>
      </c>
      <c r="E6068" t="str">
        <f>"1-266-11"</f>
        <v>1-266-11</v>
      </c>
      <c r="F6068" t="s">
        <v>83</v>
      </c>
      <c r="G6068" t="s">
        <v>84</v>
      </c>
      <c r="H6068" t="s">
        <v>85</v>
      </c>
      <c r="AC6068">
        <v>0</v>
      </c>
      <c r="AD6068">
        <v>1</v>
      </c>
      <c r="AE6068">
        <v>0</v>
      </c>
      <c r="AF6068">
        <v>0</v>
      </c>
      <c r="AG6068">
        <v>1</v>
      </c>
      <c r="AJ6068">
        <v>1</v>
      </c>
      <c r="AK6068">
        <v>0</v>
      </c>
      <c r="AL6068">
        <v>1</v>
      </c>
      <c r="AM6068">
        <v>0</v>
      </c>
      <c r="AN6068">
        <v>0</v>
      </c>
      <c r="AO6068">
        <v>1</v>
      </c>
      <c r="AP6068">
        <v>1</v>
      </c>
      <c r="AQ6068">
        <v>1</v>
      </c>
      <c r="AR6068">
        <v>1</v>
      </c>
      <c r="AS6068">
        <v>0</v>
      </c>
      <c r="AT6068">
        <v>1</v>
      </c>
      <c r="AV6068">
        <v>1</v>
      </c>
      <c r="AW6068">
        <v>1</v>
      </c>
    </row>
    <row r="6069" spans="1:49" x14ac:dyDescent="0.25">
      <c r="A6069" t="str">
        <f>"6065"</f>
        <v>6065</v>
      </c>
      <c r="B6069" t="str">
        <f t="shared" si="351"/>
        <v>1</v>
      </c>
      <c r="C6069" t="str">
        <f t="shared" si="352"/>
        <v>266</v>
      </c>
      <c r="D6069" t="str">
        <f>"7"</f>
        <v>7</v>
      </c>
      <c r="E6069" t="str">
        <f>"1-266-7"</f>
        <v>1-266-7</v>
      </c>
      <c r="F6069" t="s">
        <v>83</v>
      </c>
      <c r="G6069" t="s">
        <v>84</v>
      </c>
      <c r="H6069" t="s">
        <v>85</v>
      </c>
      <c r="AC6069">
        <v>0</v>
      </c>
      <c r="AD6069">
        <v>1</v>
      </c>
      <c r="AE6069">
        <v>0</v>
      </c>
      <c r="AF6069">
        <v>0</v>
      </c>
      <c r="AG6069">
        <v>1</v>
      </c>
      <c r="AJ6069">
        <v>1</v>
      </c>
      <c r="AK6069">
        <v>0</v>
      </c>
      <c r="AL6069">
        <v>0</v>
      </c>
      <c r="AM6069">
        <v>0</v>
      </c>
      <c r="AN6069">
        <v>1</v>
      </c>
      <c r="AO6069">
        <v>1</v>
      </c>
      <c r="AP6069">
        <v>1</v>
      </c>
      <c r="AQ6069">
        <v>1</v>
      </c>
      <c r="AR6069">
        <v>1</v>
      </c>
      <c r="AS6069">
        <v>0</v>
      </c>
      <c r="AT6069">
        <v>1</v>
      </c>
      <c r="AV6069">
        <v>1</v>
      </c>
      <c r="AW6069">
        <v>1</v>
      </c>
    </row>
    <row r="6070" spans="1:49" x14ac:dyDescent="0.25">
      <c r="A6070" t="str">
        <f>"6066"</f>
        <v>6066</v>
      </c>
      <c r="B6070" t="str">
        <f t="shared" si="351"/>
        <v>1</v>
      </c>
      <c r="C6070" t="str">
        <f t="shared" si="352"/>
        <v>266</v>
      </c>
      <c r="D6070" t="str">
        <f>"25"</f>
        <v>25</v>
      </c>
      <c r="E6070" t="str">
        <f>"1-266-25"</f>
        <v>1-266-25</v>
      </c>
      <c r="F6070" t="s">
        <v>83</v>
      </c>
      <c r="G6070" t="s">
        <v>84</v>
      </c>
      <c r="H6070" t="s">
        <v>85</v>
      </c>
      <c r="AC6070">
        <v>0</v>
      </c>
      <c r="AD6070">
        <v>1</v>
      </c>
      <c r="AE6070">
        <v>0</v>
      </c>
      <c r="AF6070">
        <v>0</v>
      </c>
      <c r="AG6070">
        <v>1</v>
      </c>
      <c r="AJ6070">
        <v>0</v>
      </c>
      <c r="AK6070">
        <v>1</v>
      </c>
      <c r="AL6070">
        <v>0</v>
      </c>
      <c r="AM6070">
        <v>0</v>
      </c>
      <c r="AN6070">
        <v>1</v>
      </c>
      <c r="AO6070">
        <v>0</v>
      </c>
      <c r="AP6070">
        <v>0</v>
      </c>
      <c r="AQ6070">
        <v>0</v>
      </c>
      <c r="AR6070">
        <v>0</v>
      </c>
      <c r="AS6070">
        <v>1</v>
      </c>
      <c r="AT6070">
        <v>0</v>
      </c>
      <c r="AV6070">
        <v>0</v>
      </c>
      <c r="AW6070">
        <v>1</v>
      </c>
    </row>
    <row r="6071" spans="1:49" x14ac:dyDescent="0.25">
      <c r="A6071" t="str">
        <f>"6067"</f>
        <v>6067</v>
      </c>
      <c r="B6071" t="str">
        <f t="shared" si="351"/>
        <v>1</v>
      </c>
      <c r="C6071" t="str">
        <f t="shared" si="352"/>
        <v>266</v>
      </c>
      <c r="D6071" t="str">
        <f>"24"</f>
        <v>24</v>
      </c>
      <c r="E6071" t="str">
        <f>"1-266-24"</f>
        <v>1-266-24</v>
      </c>
      <c r="F6071" t="s">
        <v>83</v>
      </c>
      <c r="G6071" t="s">
        <v>84</v>
      </c>
      <c r="H6071" t="s">
        <v>85</v>
      </c>
      <c r="AC6071">
        <v>0</v>
      </c>
      <c r="AD6071">
        <v>1</v>
      </c>
      <c r="AE6071">
        <v>0</v>
      </c>
      <c r="AF6071">
        <v>0</v>
      </c>
      <c r="AG6071">
        <v>1</v>
      </c>
      <c r="AJ6071">
        <v>0</v>
      </c>
      <c r="AK6071">
        <v>1</v>
      </c>
      <c r="AL6071">
        <v>0</v>
      </c>
      <c r="AM6071">
        <v>1</v>
      </c>
      <c r="AN6071">
        <v>0</v>
      </c>
      <c r="AO6071">
        <v>1</v>
      </c>
      <c r="AP6071">
        <v>1</v>
      </c>
      <c r="AQ6071">
        <v>1</v>
      </c>
      <c r="AR6071">
        <v>1</v>
      </c>
      <c r="AS6071">
        <v>0</v>
      </c>
      <c r="AT6071">
        <v>1</v>
      </c>
      <c r="AV6071">
        <v>1</v>
      </c>
      <c r="AW6071">
        <v>1</v>
      </c>
    </row>
    <row r="6072" spans="1:49" x14ac:dyDescent="0.25">
      <c r="A6072" t="str">
        <f>"6068"</f>
        <v>6068</v>
      </c>
      <c r="B6072" t="str">
        <f t="shared" si="351"/>
        <v>1</v>
      </c>
      <c r="C6072" t="str">
        <f t="shared" si="352"/>
        <v>266</v>
      </c>
      <c r="D6072" t="str">
        <f>"15"</f>
        <v>15</v>
      </c>
      <c r="E6072" t="str">
        <f>"1-266-15"</f>
        <v>1-266-15</v>
      </c>
      <c r="F6072" t="s">
        <v>83</v>
      </c>
      <c r="G6072" t="s">
        <v>84</v>
      </c>
      <c r="H6072" t="s">
        <v>85</v>
      </c>
      <c r="AC6072">
        <v>1</v>
      </c>
      <c r="AD6072">
        <v>0</v>
      </c>
      <c r="AE6072">
        <v>0</v>
      </c>
      <c r="AF6072">
        <v>0</v>
      </c>
      <c r="AG6072">
        <v>1</v>
      </c>
      <c r="AJ6072">
        <v>0</v>
      </c>
      <c r="AK6072">
        <v>1</v>
      </c>
      <c r="AL6072">
        <v>0</v>
      </c>
      <c r="AM6072">
        <v>0</v>
      </c>
      <c r="AN6072">
        <v>1</v>
      </c>
      <c r="AO6072">
        <v>1</v>
      </c>
      <c r="AP6072">
        <v>1</v>
      </c>
      <c r="AQ6072">
        <v>1</v>
      </c>
      <c r="AR6072">
        <v>1</v>
      </c>
      <c r="AS6072">
        <v>1</v>
      </c>
      <c r="AT6072">
        <v>0</v>
      </c>
      <c r="AV6072">
        <v>1</v>
      </c>
      <c r="AW6072">
        <v>1</v>
      </c>
    </row>
    <row r="6073" spans="1:49" x14ac:dyDescent="0.25">
      <c r="A6073" t="str">
        <f>"6069"</f>
        <v>6069</v>
      </c>
      <c r="B6073" t="str">
        <f t="shared" si="351"/>
        <v>1</v>
      </c>
      <c r="C6073" t="str">
        <f t="shared" si="352"/>
        <v>266</v>
      </c>
      <c r="D6073" t="str">
        <f>"12"</f>
        <v>12</v>
      </c>
      <c r="E6073" t="str">
        <f>"1-266-12"</f>
        <v>1-266-12</v>
      </c>
      <c r="F6073" t="s">
        <v>83</v>
      </c>
      <c r="G6073" t="s">
        <v>84</v>
      </c>
      <c r="H6073" t="s">
        <v>85</v>
      </c>
      <c r="AC6073">
        <v>0</v>
      </c>
      <c r="AD6073">
        <v>1</v>
      </c>
      <c r="AE6073">
        <v>0</v>
      </c>
      <c r="AF6073">
        <v>0</v>
      </c>
      <c r="AG6073">
        <v>1</v>
      </c>
      <c r="AJ6073">
        <v>0</v>
      </c>
      <c r="AK6073">
        <v>1</v>
      </c>
      <c r="AL6073">
        <v>1</v>
      </c>
      <c r="AM6073">
        <v>0</v>
      </c>
      <c r="AN6073">
        <v>0</v>
      </c>
      <c r="AO6073">
        <v>1</v>
      </c>
      <c r="AP6073">
        <v>1</v>
      </c>
      <c r="AQ6073">
        <v>1</v>
      </c>
      <c r="AR6073">
        <v>1</v>
      </c>
      <c r="AS6073">
        <v>0</v>
      </c>
      <c r="AT6073">
        <v>1</v>
      </c>
      <c r="AV6073">
        <v>1</v>
      </c>
      <c r="AW6073">
        <v>1</v>
      </c>
    </row>
    <row r="6074" spans="1:49" x14ac:dyDescent="0.25">
      <c r="A6074" t="str">
        <f>"6070"</f>
        <v>6070</v>
      </c>
      <c r="B6074" t="str">
        <f t="shared" si="351"/>
        <v>1</v>
      </c>
      <c r="C6074" t="str">
        <f t="shared" si="352"/>
        <v>266</v>
      </c>
      <c r="D6074" t="str">
        <f>"5"</f>
        <v>5</v>
      </c>
      <c r="E6074" t="str">
        <f>"1-266-5"</f>
        <v>1-266-5</v>
      </c>
      <c r="F6074" t="s">
        <v>83</v>
      </c>
      <c r="G6074" t="s">
        <v>84</v>
      </c>
      <c r="H6074" t="s">
        <v>85</v>
      </c>
      <c r="AC6074">
        <v>0</v>
      </c>
      <c r="AD6074">
        <v>1</v>
      </c>
      <c r="AE6074">
        <v>0</v>
      </c>
      <c r="AF6074">
        <v>0</v>
      </c>
      <c r="AG6074">
        <v>1</v>
      </c>
      <c r="AJ6074">
        <v>1</v>
      </c>
      <c r="AK6074">
        <v>0</v>
      </c>
      <c r="AL6074">
        <v>0</v>
      </c>
      <c r="AM6074">
        <v>0</v>
      </c>
      <c r="AN6074">
        <v>1</v>
      </c>
      <c r="AO6074">
        <v>1</v>
      </c>
      <c r="AP6074">
        <v>1</v>
      </c>
      <c r="AQ6074">
        <v>1</v>
      </c>
      <c r="AR6074">
        <v>1</v>
      </c>
      <c r="AS6074">
        <v>0</v>
      </c>
      <c r="AT6074">
        <v>1</v>
      </c>
      <c r="AV6074">
        <v>1</v>
      </c>
      <c r="AW6074">
        <v>1</v>
      </c>
    </row>
    <row r="6075" spans="1:49" x14ac:dyDescent="0.25">
      <c r="A6075" t="str">
        <f>"6071"</f>
        <v>6071</v>
      </c>
      <c r="B6075" t="str">
        <f t="shared" si="351"/>
        <v>1</v>
      </c>
      <c r="C6075" t="str">
        <f t="shared" si="352"/>
        <v>266</v>
      </c>
      <c r="D6075" t="str">
        <f>"18"</f>
        <v>18</v>
      </c>
      <c r="E6075" t="str">
        <f>"1-266-18"</f>
        <v>1-266-18</v>
      </c>
      <c r="F6075" t="s">
        <v>83</v>
      </c>
      <c r="G6075" t="s">
        <v>84</v>
      </c>
      <c r="H6075" t="s">
        <v>85</v>
      </c>
      <c r="AC6075">
        <v>0</v>
      </c>
      <c r="AD6075">
        <v>1</v>
      </c>
      <c r="AE6075">
        <v>0</v>
      </c>
      <c r="AF6075">
        <v>0</v>
      </c>
      <c r="AG6075">
        <v>0</v>
      </c>
      <c r="AJ6075">
        <v>0</v>
      </c>
      <c r="AK6075">
        <v>0</v>
      </c>
      <c r="AL6075">
        <v>0</v>
      </c>
      <c r="AM6075">
        <v>0</v>
      </c>
      <c r="AN6075">
        <v>0</v>
      </c>
      <c r="AO6075">
        <v>0</v>
      </c>
      <c r="AP6075">
        <v>0</v>
      </c>
      <c r="AQ6075">
        <v>0</v>
      </c>
      <c r="AR6075">
        <v>0</v>
      </c>
      <c r="AS6075">
        <v>0</v>
      </c>
      <c r="AT6075">
        <v>0</v>
      </c>
      <c r="AV6075">
        <v>0</v>
      </c>
      <c r="AW6075">
        <v>0</v>
      </c>
    </row>
    <row r="6076" spans="1:49" x14ac:dyDescent="0.25">
      <c r="A6076" t="str">
        <f>"6072"</f>
        <v>6072</v>
      </c>
      <c r="B6076" t="str">
        <f t="shared" si="351"/>
        <v>1</v>
      </c>
      <c r="C6076" t="str">
        <f t="shared" si="352"/>
        <v>266</v>
      </c>
      <c r="D6076" t="str">
        <f>"6"</f>
        <v>6</v>
      </c>
      <c r="E6076" t="str">
        <f>"1-266-6"</f>
        <v>1-266-6</v>
      </c>
      <c r="F6076" t="s">
        <v>83</v>
      </c>
      <c r="G6076" t="s">
        <v>84</v>
      </c>
      <c r="H6076" t="s">
        <v>85</v>
      </c>
      <c r="AC6076">
        <v>0</v>
      </c>
      <c r="AD6076">
        <v>1</v>
      </c>
      <c r="AE6076">
        <v>0</v>
      </c>
      <c r="AF6076">
        <v>0</v>
      </c>
      <c r="AG6076">
        <v>1</v>
      </c>
      <c r="AJ6076">
        <v>1</v>
      </c>
      <c r="AK6076">
        <v>0</v>
      </c>
      <c r="AL6076">
        <v>0</v>
      </c>
      <c r="AM6076">
        <v>0</v>
      </c>
      <c r="AN6076">
        <v>1</v>
      </c>
      <c r="AO6076">
        <v>1</v>
      </c>
      <c r="AP6076">
        <v>1</v>
      </c>
      <c r="AQ6076">
        <v>1</v>
      </c>
      <c r="AR6076">
        <v>1</v>
      </c>
      <c r="AS6076">
        <v>0</v>
      </c>
      <c r="AT6076">
        <v>1</v>
      </c>
      <c r="AV6076">
        <v>1</v>
      </c>
      <c r="AW6076">
        <v>1</v>
      </c>
    </row>
    <row r="6077" spans="1:49" x14ac:dyDescent="0.25">
      <c r="A6077" t="str">
        <f>"6073"</f>
        <v>6073</v>
      </c>
      <c r="B6077" t="str">
        <f t="shared" si="351"/>
        <v>1</v>
      </c>
      <c r="C6077" t="str">
        <f t="shared" si="352"/>
        <v>266</v>
      </c>
      <c r="D6077" t="str">
        <f>"19"</f>
        <v>19</v>
      </c>
      <c r="E6077" t="str">
        <f>"1-266-19"</f>
        <v>1-266-19</v>
      </c>
      <c r="F6077" t="s">
        <v>83</v>
      </c>
      <c r="G6077" t="s">
        <v>84</v>
      </c>
      <c r="H6077" t="s">
        <v>85</v>
      </c>
      <c r="AC6077">
        <v>0</v>
      </c>
      <c r="AD6077">
        <v>1</v>
      </c>
      <c r="AE6077">
        <v>0</v>
      </c>
      <c r="AF6077">
        <v>0</v>
      </c>
      <c r="AG6077">
        <v>1</v>
      </c>
      <c r="AJ6077">
        <v>0</v>
      </c>
      <c r="AK6077">
        <v>1</v>
      </c>
      <c r="AL6077">
        <v>1</v>
      </c>
      <c r="AM6077">
        <v>0</v>
      </c>
      <c r="AN6077">
        <v>0</v>
      </c>
      <c r="AO6077">
        <v>1</v>
      </c>
      <c r="AP6077">
        <v>1</v>
      </c>
      <c r="AQ6077">
        <v>1</v>
      </c>
      <c r="AR6077">
        <v>1</v>
      </c>
      <c r="AS6077">
        <v>0</v>
      </c>
      <c r="AT6077">
        <v>1</v>
      </c>
      <c r="AV6077">
        <v>1</v>
      </c>
      <c r="AW6077">
        <v>1</v>
      </c>
    </row>
    <row r="6078" spans="1:49" x14ac:dyDescent="0.25">
      <c r="A6078" t="str">
        <f>"6074"</f>
        <v>6074</v>
      </c>
      <c r="B6078" t="str">
        <f t="shared" si="351"/>
        <v>1</v>
      </c>
      <c r="C6078" t="str">
        <f t="shared" si="352"/>
        <v>266</v>
      </c>
      <c r="D6078" t="str">
        <f>"3"</f>
        <v>3</v>
      </c>
      <c r="E6078" t="str">
        <f>"1-266-3"</f>
        <v>1-266-3</v>
      </c>
      <c r="F6078" t="s">
        <v>83</v>
      </c>
      <c r="G6078" t="s">
        <v>84</v>
      </c>
      <c r="H6078" t="s">
        <v>85</v>
      </c>
      <c r="AC6078">
        <v>0</v>
      </c>
      <c r="AD6078">
        <v>1</v>
      </c>
      <c r="AE6078">
        <v>0</v>
      </c>
      <c r="AF6078">
        <v>0</v>
      </c>
      <c r="AG6078">
        <v>1</v>
      </c>
      <c r="AJ6078">
        <v>0</v>
      </c>
      <c r="AK6078">
        <v>1</v>
      </c>
      <c r="AL6078">
        <v>0</v>
      </c>
      <c r="AM6078">
        <v>0</v>
      </c>
      <c r="AN6078">
        <v>1</v>
      </c>
      <c r="AO6078">
        <v>1</v>
      </c>
      <c r="AP6078">
        <v>1</v>
      </c>
      <c r="AQ6078">
        <v>1</v>
      </c>
      <c r="AR6078">
        <v>1</v>
      </c>
      <c r="AS6078">
        <v>1</v>
      </c>
      <c r="AT6078">
        <v>0</v>
      </c>
      <c r="AV6078">
        <v>1</v>
      </c>
      <c r="AW6078">
        <v>1</v>
      </c>
    </row>
    <row r="6079" spans="1:49" x14ac:dyDescent="0.25">
      <c r="A6079" t="str">
        <f>"6075"</f>
        <v>6075</v>
      </c>
      <c r="B6079" t="str">
        <f t="shared" si="351"/>
        <v>1</v>
      </c>
      <c r="C6079" t="str">
        <f t="shared" ref="C6079:C6103" si="353">"267"</f>
        <v>267</v>
      </c>
      <c r="D6079" t="str">
        <f>"21"</f>
        <v>21</v>
      </c>
      <c r="E6079" t="str">
        <f>"1-267-21"</f>
        <v>1-267-21</v>
      </c>
      <c r="F6079" t="s">
        <v>83</v>
      </c>
      <c r="G6079" t="s">
        <v>84</v>
      </c>
      <c r="H6079" t="s">
        <v>85</v>
      </c>
      <c r="AC6079">
        <v>1</v>
      </c>
      <c r="AD6079">
        <v>0</v>
      </c>
      <c r="AE6079">
        <v>0</v>
      </c>
      <c r="AF6079">
        <v>0</v>
      </c>
      <c r="AG6079">
        <v>1</v>
      </c>
      <c r="AJ6079">
        <v>1</v>
      </c>
      <c r="AK6079">
        <v>0</v>
      </c>
      <c r="AL6079">
        <v>0</v>
      </c>
      <c r="AM6079">
        <v>1</v>
      </c>
      <c r="AN6079">
        <v>0</v>
      </c>
      <c r="AO6079">
        <v>1</v>
      </c>
      <c r="AP6079">
        <v>1</v>
      </c>
      <c r="AQ6079">
        <v>1</v>
      </c>
      <c r="AR6079">
        <v>0</v>
      </c>
      <c r="AS6079">
        <v>0</v>
      </c>
      <c r="AT6079">
        <v>1</v>
      </c>
      <c r="AV6079">
        <v>0</v>
      </c>
      <c r="AW6079">
        <v>1</v>
      </c>
    </row>
    <row r="6080" spans="1:49" x14ac:dyDescent="0.25">
      <c r="A6080" t="str">
        <f>"6076"</f>
        <v>6076</v>
      </c>
      <c r="B6080" t="str">
        <f t="shared" si="351"/>
        <v>1</v>
      </c>
      <c r="C6080" t="str">
        <f t="shared" si="353"/>
        <v>267</v>
      </c>
      <c r="D6080" t="str">
        <f>"20"</f>
        <v>20</v>
      </c>
      <c r="E6080" t="str">
        <f>"1-267-20"</f>
        <v>1-267-20</v>
      </c>
      <c r="F6080" t="s">
        <v>83</v>
      </c>
      <c r="G6080" t="s">
        <v>88</v>
      </c>
      <c r="H6080" t="s">
        <v>89</v>
      </c>
      <c r="AC6080">
        <v>0</v>
      </c>
      <c r="AD6080">
        <v>1</v>
      </c>
      <c r="AE6080">
        <v>0</v>
      </c>
      <c r="AF6080">
        <v>0</v>
      </c>
      <c r="AH6080">
        <v>1</v>
      </c>
      <c r="AI6080">
        <v>0</v>
      </c>
      <c r="AJ6080">
        <v>0</v>
      </c>
      <c r="AK6080">
        <v>1</v>
      </c>
      <c r="AL6080">
        <v>1</v>
      </c>
      <c r="AM6080">
        <v>0</v>
      </c>
      <c r="AN6080">
        <v>0</v>
      </c>
      <c r="AO6080">
        <v>0</v>
      </c>
      <c r="AP6080">
        <v>0</v>
      </c>
      <c r="AQ6080">
        <v>0</v>
      </c>
      <c r="AR6080">
        <v>0</v>
      </c>
      <c r="AS6080">
        <v>0</v>
      </c>
      <c r="AT6080">
        <v>1</v>
      </c>
      <c r="AV6080">
        <v>0</v>
      </c>
      <c r="AW6080">
        <v>1</v>
      </c>
    </row>
    <row r="6081" spans="1:49" x14ac:dyDescent="0.25">
      <c r="A6081" t="str">
        <f>"6077"</f>
        <v>6077</v>
      </c>
      <c r="B6081" t="str">
        <f t="shared" si="351"/>
        <v>1</v>
      </c>
      <c r="C6081" t="str">
        <f t="shared" si="353"/>
        <v>267</v>
      </c>
      <c r="D6081" t="str">
        <f>"15"</f>
        <v>15</v>
      </c>
      <c r="E6081" t="str">
        <f>"1-267-15"</f>
        <v>1-267-15</v>
      </c>
      <c r="F6081" t="s">
        <v>83</v>
      </c>
      <c r="G6081" t="s">
        <v>84</v>
      </c>
      <c r="H6081" t="s">
        <v>85</v>
      </c>
      <c r="AC6081">
        <v>0</v>
      </c>
      <c r="AD6081">
        <v>1</v>
      </c>
      <c r="AE6081">
        <v>0</v>
      </c>
      <c r="AF6081">
        <v>0</v>
      </c>
      <c r="AG6081">
        <v>0</v>
      </c>
      <c r="AJ6081">
        <v>0</v>
      </c>
      <c r="AK6081">
        <v>1</v>
      </c>
      <c r="AL6081">
        <v>0</v>
      </c>
      <c r="AM6081">
        <v>1</v>
      </c>
      <c r="AN6081">
        <v>0</v>
      </c>
      <c r="AO6081">
        <v>0</v>
      </c>
      <c r="AP6081">
        <v>0</v>
      </c>
      <c r="AQ6081">
        <v>0</v>
      </c>
      <c r="AR6081">
        <v>0</v>
      </c>
      <c r="AS6081">
        <v>1</v>
      </c>
      <c r="AT6081">
        <v>0</v>
      </c>
      <c r="AV6081">
        <v>0</v>
      </c>
      <c r="AW6081">
        <v>0</v>
      </c>
    </row>
    <row r="6082" spans="1:49" x14ac:dyDescent="0.25">
      <c r="A6082" t="str">
        <f>"6078"</f>
        <v>6078</v>
      </c>
      <c r="B6082" t="str">
        <f t="shared" si="351"/>
        <v>1</v>
      </c>
      <c r="C6082" t="str">
        <f t="shared" si="353"/>
        <v>267</v>
      </c>
      <c r="D6082" t="str">
        <f>"8"</f>
        <v>8</v>
      </c>
      <c r="E6082" t="str">
        <f>"1-267-8"</f>
        <v>1-267-8</v>
      </c>
      <c r="F6082" t="s">
        <v>83</v>
      </c>
      <c r="G6082" t="s">
        <v>84</v>
      </c>
      <c r="H6082" t="s">
        <v>85</v>
      </c>
      <c r="AC6082">
        <v>1</v>
      </c>
      <c r="AD6082">
        <v>0</v>
      </c>
      <c r="AE6082">
        <v>0</v>
      </c>
      <c r="AF6082">
        <v>0</v>
      </c>
      <c r="AG6082">
        <v>1</v>
      </c>
      <c r="AJ6082">
        <v>0</v>
      </c>
      <c r="AK6082">
        <v>1</v>
      </c>
      <c r="AL6082">
        <v>0</v>
      </c>
      <c r="AM6082">
        <v>1</v>
      </c>
      <c r="AN6082">
        <v>0</v>
      </c>
      <c r="AO6082">
        <v>1</v>
      </c>
      <c r="AP6082">
        <v>1</v>
      </c>
      <c r="AQ6082">
        <v>1</v>
      </c>
      <c r="AR6082">
        <v>1</v>
      </c>
      <c r="AS6082">
        <v>0</v>
      </c>
      <c r="AT6082">
        <v>1</v>
      </c>
      <c r="AV6082">
        <v>1</v>
      </c>
      <c r="AW6082">
        <v>1</v>
      </c>
    </row>
    <row r="6083" spans="1:49" x14ac:dyDescent="0.25">
      <c r="A6083" t="str">
        <f>"6079"</f>
        <v>6079</v>
      </c>
      <c r="B6083" t="str">
        <f t="shared" si="351"/>
        <v>1</v>
      </c>
      <c r="C6083" t="str">
        <f t="shared" si="353"/>
        <v>267</v>
      </c>
      <c r="D6083" t="str">
        <f>"5"</f>
        <v>5</v>
      </c>
      <c r="E6083" t="str">
        <f>"1-267-5"</f>
        <v>1-267-5</v>
      </c>
      <c r="F6083" t="s">
        <v>83</v>
      </c>
      <c r="G6083" t="s">
        <v>84</v>
      </c>
      <c r="H6083" t="s">
        <v>85</v>
      </c>
      <c r="AC6083">
        <v>0</v>
      </c>
      <c r="AD6083">
        <v>1</v>
      </c>
      <c r="AE6083">
        <v>0</v>
      </c>
      <c r="AF6083">
        <v>0</v>
      </c>
      <c r="AG6083">
        <v>1</v>
      </c>
      <c r="AJ6083">
        <v>0</v>
      </c>
      <c r="AK6083">
        <v>1</v>
      </c>
      <c r="AL6083">
        <v>1</v>
      </c>
      <c r="AM6083">
        <v>0</v>
      </c>
      <c r="AN6083">
        <v>0</v>
      </c>
      <c r="AO6083">
        <v>1</v>
      </c>
      <c r="AP6083">
        <v>1</v>
      </c>
      <c r="AQ6083">
        <v>1</v>
      </c>
      <c r="AR6083">
        <v>1</v>
      </c>
      <c r="AS6083">
        <v>0</v>
      </c>
      <c r="AT6083">
        <v>1</v>
      </c>
      <c r="AV6083">
        <v>1</v>
      </c>
      <c r="AW6083">
        <v>1</v>
      </c>
    </row>
    <row r="6084" spans="1:49" x14ac:dyDescent="0.25">
      <c r="A6084" t="str">
        <f>"6080"</f>
        <v>6080</v>
      </c>
      <c r="B6084" t="str">
        <f t="shared" si="351"/>
        <v>1</v>
      </c>
      <c r="C6084" t="str">
        <f t="shared" si="353"/>
        <v>267</v>
      </c>
      <c r="D6084" t="str">
        <f>"25"</f>
        <v>25</v>
      </c>
      <c r="E6084" t="str">
        <f>"1-267-25"</f>
        <v>1-267-25</v>
      </c>
      <c r="F6084" t="s">
        <v>83</v>
      </c>
      <c r="G6084" t="s">
        <v>84</v>
      </c>
      <c r="H6084" t="s">
        <v>85</v>
      </c>
      <c r="AC6084">
        <v>1</v>
      </c>
      <c r="AD6084">
        <v>0</v>
      </c>
      <c r="AE6084">
        <v>0</v>
      </c>
      <c r="AF6084">
        <v>0</v>
      </c>
      <c r="AG6084">
        <v>0</v>
      </c>
      <c r="AJ6084">
        <v>1</v>
      </c>
      <c r="AK6084">
        <v>0</v>
      </c>
      <c r="AL6084">
        <v>1</v>
      </c>
      <c r="AM6084">
        <v>0</v>
      </c>
      <c r="AN6084">
        <v>0</v>
      </c>
      <c r="AO6084">
        <v>0</v>
      </c>
      <c r="AP6084">
        <v>0</v>
      </c>
      <c r="AQ6084">
        <v>0</v>
      </c>
      <c r="AR6084">
        <v>0</v>
      </c>
      <c r="AS6084">
        <v>0</v>
      </c>
      <c r="AT6084">
        <v>1</v>
      </c>
      <c r="AV6084">
        <v>0</v>
      </c>
      <c r="AW6084">
        <v>0</v>
      </c>
    </row>
    <row r="6085" spans="1:49" x14ac:dyDescent="0.25">
      <c r="A6085" t="str">
        <f>"6081"</f>
        <v>6081</v>
      </c>
      <c r="B6085" t="str">
        <f t="shared" si="351"/>
        <v>1</v>
      </c>
      <c r="C6085" t="str">
        <f t="shared" si="353"/>
        <v>267</v>
      </c>
      <c r="D6085" t="str">
        <f>"24"</f>
        <v>24</v>
      </c>
      <c r="E6085" t="str">
        <f>"1-267-24"</f>
        <v>1-267-24</v>
      </c>
      <c r="F6085" t="s">
        <v>83</v>
      </c>
      <c r="G6085" t="s">
        <v>84</v>
      </c>
      <c r="H6085" t="s">
        <v>85</v>
      </c>
      <c r="AC6085">
        <v>0</v>
      </c>
      <c r="AD6085">
        <v>1</v>
      </c>
      <c r="AE6085">
        <v>0</v>
      </c>
      <c r="AF6085">
        <v>0</v>
      </c>
      <c r="AG6085">
        <v>1</v>
      </c>
      <c r="AJ6085">
        <v>1</v>
      </c>
      <c r="AK6085">
        <v>0</v>
      </c>
      <c r="AL6085">
        <v>1</v>
      </c>
      <c r="AM6085">
        <v>0</v>
      </c>
      <c r="AN6085">
        <v>0</v>
      </c>
      <c r="AO6085">
        <v>1</v>
      </c>
      <c r="AP6085">
        <v>1</v>
      </c>
      <c r="AQ6085">
        <v>1</v>
      </c>
      <c r="AR6085">
        <v>1</v>
      </c>
      <c r="AS6085">
        <v>0</v>
      </c>
      <c r="AT6085">
        <v>1</v>
      </c>
      <c r="AV6085">
        <v>0</v>
      </c>
      <c r="AW6085">
        <v>1</v>
      </c>
    </row>
    <row r="6086" spans="1:49" x14ac:dyDescent="0.25">
      <c r="A6086" t="str">
        <f>"6082"</f>
        <v>6082</v>
      </c>
      <c r="B6086" t="str">
        <f t="shared" si="351"/>
        <v>1</v>
      </c>
      <c r="C6086" t="str">
        <f t="shared" si="353"/>
        <v>267</v>
      </c>
      <c r="D6086" t="str">
        <f>"16"</f>
        <v>16</v>
      </c>
      <c r="E6086" t="str">
        <f>"1-267-16"</f>
        <v>1-267-16</v>
      </c>
      <c r="F6086" t="s">
        <v>83</v>
      </c>
      <c r="G6086" t="s">
        <v>84</v>
      </c>
      <c r="H6086" t="s">
        <v>85</v>
      </c>
      <c r="AC6086">
        <v>1</v>
      </c>
      <c r="AD6086">
        <v>0</v>
      </c>
      <c r="AE6086">
        <v>0</v>
      </c>
      <c r="AF6086">
        <v>0</v>
      </c>
      <c r="AG6086">
        <v>1</v>
      </c>
      <c r="AJ6086">
        <v>1</v>
      </c>
      <c r="AK6086">
        <v>0</v>
      </c>
      <c r="AL6086">
        <v>1</v>
      </c>
      <c r="AM6086">
        <v>0</v>
      </c>
      <c r="AN6086">
        <v>0</v>
      </c>
      <c r="AO6086">
        <v>1</v>
      </c>
      <c r="AP6086">
        <v>1</v>
      </c>
      <c r="AQ6086">
        <v>1</v>
      </c>
      <c r="AR6086">
        <v>1</v>
      </c>
      <c r="AS6086">
        <v>1</v>
      </c>
      <c r="AT6086">
        <v>0</v>
      </c>
      <c r="AV6086">
        <v>1</v>
      </c>
      <c r="AW6086">
        <v>1</v>
      </c>
    </row>
    <row r="6087" spans="1:49" x14ac:dyDescent="0.25">
      <c r="A6087" t="str">
        <f>"6083"</f>
        <v>6083</v>
      </c>
      <c r="B6087" t="str">
        <f t="shared" si="351"/>
        <v>1</v>
      </c>
      <c r="C6087" t="str">
        <f t="shared" si="353"/>
        <v>267</v>
      </c>
      <c r="D6087" t="str">
        <f>"9"</f>
        <v>9</v>
      </c>
      <c r="E6087" t="str">
        <f>"1-267-9"</f>
        <v>1-267-9</v>
      </c>
      <c r="F6087" t="s">
        <v>83</v>
      </c>
      <c r="G6087" t="s">
        <v>84</v>
      </c>
      <c r="H6087" t="s">
        <v>85</v>
      </c>
      <c r="AC6087">
        <v>1</v>
      </c>
      <c r="AD6087">
        <v>0</v>
      </c>
      <c r="AE6087">
        <v>0</v>
      </c>
      <c r="AF6087">
        <v>0</v>
      </c>
      <c r="AG6087">
        <v>1</v>
      </c>
      <c r="AJ6087">
        <v>0</v>
      </c>
      <c r="AK6087">
        <v>1</v>
      </c>
      <c r="AL6087">
        <v>1</v>
      </c>
      <c r="AM6087">
        <v>0</v>
      </c>
      <c r="AN6087">
        <v>0</v>
      </c>
      <c r="AO6087">
        <v>1</v>
      </c>
      <c r="AP6087">
        <v>1</v>
      </c>
      <c r="AQ6087">
        <v>1</v>
      </c>
      <c r="AR6087">
        <v>1</v>
      </c>
      <c r="AS6087">
        <v>0</v>
      </c>
      <c r="AT6087">
        <v>1</v>
      </c>
      <c r="AV6087">
        <v>1</v>
      </c>
      <c r="AW6087">
        <v>1</v>
      </c>
    </row>
    <row r="6088" spans="1:49" x14ac:dyDescent="0.25">
      <c r="A6088" t="str">
        <f>"6084"</f>
        <v>6084</v>
      </c>
      <c r="B6088" t="str">
        <f t="shared" si="351"/>
        <v>1</v>
      </c>
      <c r="C6088" t="str">
        <f t="shared" si="353"/>
        <v>267</v>
      </c>
      <c r="D6088" t="str">
        <f>"1"</f>
        <v>1</v>
      </c>
      <c r="E6088" t="str">
        <f>"1-267-1"</f>
        <v>1-267-1</v>
      </c>
      <c r="F6088" t="s">
        <v>83</v>
      </c>
      <c r="G6088" t="s">
        <v>88</v>
      </c>
      <c r="H6088" t="s">
        <v>89</v>
      </c>
      <c r="AC6088">
        <v>1</v>
      </c>
      <c r="AD6088">
        <v>0</v>
      </c>
      <c r="AE6088">
        <v>0</v>
      </c>
      <c r="AF6088">
        <v>0</v>
      </c>
      <c r="AH6088">
        <v>1</v>
      </c>
      <c r="AI6088">
        <v>0</v>
      </c>
      <c r="AJ6088">
        <v>1</v>
      </c>
      <c r="AK6088">
        <v>0</v>
      </c>
      <c r="AL6088">
        <v>1</v>
      </c>
      <c r="AM6088">
        <v>0</v>
      </c>
      <c r="AN6088">
        <v>0</v>
      </c>
      <c r="AO6088">
        <v>1</v>
      </c>
      <c r="AP6088">
        <v>1</v>
      </c>
      <c r="AQ6088">
        <v>1</v>
      </c>
      <c r="AR6088">
        <v>1</v>
      </c>
      <c r="AS6088">
        <v>1</v>
      </c>
      <c r="AT6088">
        <v>0</v>
      </c>
      <c r="AV6088">
        <v>1</v>
      </c>
      <c r="AW6088">
        <v>1</v>
      </c>
    </row>
    <row r="6089" spans="1:49" x14ac:dyDescent="0.25">
      <c r="A6089" t="str">
        <f>"6085"</f>
        <v>6085</v>
      </c>
      <c r="B6089" t="str">
        <f t="shared" si="351"/>
        <v>1</v>
      </c>
      <c r="C6089" t="str">
        <f t="shared" si="353"/>
        <v>267</v>
      </c>
      <c r="D6089" t="str">
        <f>"17"</f>
        <v>17</v>
      </c>
      <c r="E6089" t="str">
        <f>"1-267-17"</f>
        <v>1-267-17</v>
      </c>
      <c r="F6089" t="s">
        <v>83</v>
      </c>
      <c r="G6089" t="s">
        <v>84</v>
      </c>
      <c r="H6089" t="s">
        <v>85</v>
      </c>
      <c r="AC6089">
        <v>0</v>
      </c>
      <c r="AD6089">
        <v>1</v>
      </c>
      <c r="AE6089">
        <v>0</v>
      </c>
      <c r="AF6089">
        <v>0</v>
      </c>
      <c r="AG6089">
        <v>1</v>
      </c>
      <c r="AJ6089">
        <v>1</v>
      </c>
      <c r="AK6089">
        <v>0</v>
      </c>
      <c r="AL6089">
        <v>1</v>
      </c>
      <c r="AM6089">
        <v>0</v>
      </c>
      <c r="AN6089">
        <v>0</v>
      </c>
      <c r="AO6089">
        <v>1</v>
      </c>
      <c r="AP6089">
        <v>1</v>
      </c>
      <c r="AQ6089">
        <v>1</v>
      </c>
      <c r="AR6089">
        <v>1</v>
      </c>
      <c r="AS6089">
        <v>1</v>
      </c>
      <c r="AT6089">
        <v>0</v>
      </c>
      <c r="AV6089">
        <v>1</v>
      </c>
      <c r="AW6089">
        <v>1</v>
      </c>
    </row>
    <row r="6090" spans="1:49" x14ac:dyDescent="0.25">
      <c r="A6090" t="str">
        <f>"6086"</f>
        <v>6086</v>
      </c>
      <c r="B6090" t="str">
        <f t="shared" si="351"/>
        <v>1</v>
      </c>
      <c r="C6090" t="str">
        <f t="shared" si="353"/>
        <v>267</v>
      </c>
      <c r="D6090" t="str">
        <f>"10"</f>
        <v>10</v>
      </c>
      <c r="E6090" t="str">
        <f>"1-267-10"</f>
        <v>1-267-10</v>
      </c>
      <c r="F6090" t="s">
        <v>83</v>
      </c>
      <c r="G6090" t="s">
        <v>84</v>
      </c>
      <c r="H6090" t="s">
        <v>85</v>
      </c>
      <c r="AC6090">
        <v>0</v>
      </c>
      <c r="AD6090">
        <v>1</v>
      </c>
      <c r="AE6090">
        <v>0</v>
      </c>
      <c r="AF6090">
        <v>0</v>
      </c>
      <c r="AG6090">
        <v>1</v>
      </c>
      <c r="AJ6090">
        <v>0</v>
      </c>
      <c r="AK6090">
        <v>1</v>
      </c>
      <c r="AL6090">
        <v>0</v>
      </c>
      <c r="AM6090">
        <v>0</v>
      </c>
      <c r="AN6090">
        <v>1</v>
      </c>
      <c r="AO6090">
        <v>1</v>
      </c>
      <c r="AP6090">
        <v>1</v>
      </c>
      <c r="AQ6090">
        <v>1</v>
      </c>
      <c r="AR6090">
        <v>1</v>
      </c>
      <c r="AS6090">
        <v>0</v>
      </c>
      <c r="AT6090">
        <v>1</v>
      </c>
      <c r="AV6090">
        <v>1</v>
      </c>
      <c r="AW6090">
        <v>1</v>
      </c>
    </row>
    <row r="6091" spans="1:49" x14ac:dyDescent="0.25">
      <c r="A6091" t="str">
        <f>"6087"</f>
        <v>6087</v>
      </c>
      <c r="B6091" t="str">
        <f t="shared" si="351"/>
        <v>1</v>
      </c>
      <c r="C6091" t="str">
        <f t="shared" si="353"/>
        <v>267</v>
      </c>
      <c r="D6091" t="str">
        <f>"6"</f>
        <v>6</v>
      </c>
      <c r="E6091" t="str">
        <f>"1-267-6"</f>
        <v>1-267-6</v>
      </c>
      <c r="F6091" t="s">
        <v>83</v>
      </c>
      <c r="G6091" t="s">
        <v>84</v>
      </c>
      <c r="H6091" t="s">
        <v>85</v>
      </c>
      <c r="AC6091">
        <v>0</v>
      </c>
      <c r="AD6091">
        <v>1</v>
      </c>
      <c r="AE6091">
        <v>0</v>
      </c>
      <c r="AF6091">
        <v>0</v>
      </c>
      <c r="AG6091">
        <v>0</v>
      </c>
      <c r="AJ6091">
        <v>0</v>
      </c>
      <c r="AK6091">
        <v>1</v>
      </c>
      <c r="AL6091">
        <v>0</v>
      </c>
      <c r="AM6091">
        <v>0</v>
      </c>
      <c r="AN6091">
        <v>0</v>
      </c>
      <c r="AO6091">
        <v>0</v>
      </c>
      <c r="AP6091">
        <v>0</v>
      </c>
      <c r="AQ6091">
        <v>0</v>
      </c>
      <c r="AR6091">
        <v>0</v>
      </c>
      <c r="AS6091">
        <v>0</v>
      </c>
      <c r="AT6091">
        <v>1</v>
      </c>
      <c r="AV6091">
        <v>0</v>
      </c>
      <c r="AW6091">
        <v>0</v>
      </c>
    </row>
    <row r="6092" spans="1:49" x14ac:dyDescent="0.25">
      <c r="A6092" t="str">
        <f>"6088"</f>
        <v>6088</v>
      </c>
      <c r="B6092" t="str">
        <f t="shared" si="351"/>
        <v>1</v>
      </c>
      <c r="C6092" t="str">
        <f t="shared" si="353"/>
        <v>267</v>
      </c>
      <c r="D6092" t="str">
        <f>"18"</f>
        <v>18</v>
      </c>
      <c r="E6092" t="str">
        <f>"1-267-18"</f>
        <v>1-267-18</v>
      </c>
      <c r="F6092" t="s">
        <v>83</v>
      </c>
      <c r="G6092" t="s">
        <v>84</v>
      </c>
      <c r="H6092" t="s">
        <v>85</v>
      </c>
      <c r="AC6092">
        <v>0</v>
      </c>
      <c r="AD6092">
        <v>1</v>
      </c>
      <c r="AE6092">
        <v>0</v>
      </c>
      <c r="AF6092">
        <v>0</v>
      </c>
      <c r="AG6092">
        <v>1</v>
      </c>
      <c r="AJ6092">
        <v>0</v>
      </c>
      <c r="AK6092">
        <v>1</v>
      </c>
      <c r="AL6092">
        <v>0</v>
      </c>
      <c r="AM6092">
        <v>0</v>
      </c>
      <c r="AN6092">
        <v>1</v>
      </c>
      <c r="AO6092">
        <v>1</v>
      </c>
      <c r="AP6092">
        <v>1</v>
      </c>
      <c r="AQ6092">
        <v>1</v>
      </c>
      <c r="AR6092">
        <v>1</v>
      </c>
      <c r="AS6092">
        <v>1</v>
      </c>
      <c r="AT6092">
        <v>0</v>
      </c>
      <c r="AV6092">
        <v>1</v>
      </c>
      <c r="AW6092">
        <v>1</v>
      </c>
    </row>
    <row r="6093" spans="1:49" x14ac:dyDescent="0.25">
      <c r="A6093" t="str">
        <f>"6089"</f>
        <v>6089</v>
      </c>
      <c r="B6093" t="str">
        <f t="shared" si="351"/>
        <v>1</v>
      </c>
      <c r="C6093" t="str">
        <f t="shared" si="353"/>
        <v>267</v>
      </c>
      <c r="D6093" t="str">
        <f>"11"</f>
        <v>11</v>
      </c>
      <c r="E6093" t="str">
        <f>"1-267-11"</f>
        <v>1-267-11</v>
      </c>
      <c r="F6093" t="s">
        <v>83</v>
      </c>
      <c r="G6093" t="s">
        <v>84</v>
      </c>
      <c r="H6093" t="s">
        <v>85</v>
      </c>
      <c r="AC6093">
        <v>1</v>
      </c>
      <c r="AD6093">
        <v>0</v>
      </c>
      <c r="AE6093">
        <v>0</v>
      </c>
      <c r="AF6093">
        <v>0</v>
      </c>
      <c r="AG6093">
        <v>1</v>
      </c>
      <c r="AJ6093">
        <v>1</v>
      </c>
      <c r="AK6093">
        <v>0</v>
      </c>
      <c r="AL6093">
        <v>1</v>
      </c>
      <c r="AM6093">
        <v>0</v>
      </c>
      <c r="AN6093">
        <v>0</v>
      </c>
      <c r="AO6093">
        <v>1</v>
      </c>
      <c r="AP6093">
        <v>1</v>
      </c>
      <c r="AQ6093">
        <v>1</v>
      </c>
      <c r="AR6093">
        <v>1</v>
      </c>
      <c r="AS6093">
        <v>1</v>
      </c>
      <c r="AT6093">
        <v>0</v>
      </c>
      <c r="AV6093">
        <v>1</v>
      </c>
      <c r="AW6093">
        <v>1</v>
      </c>
    </row>
    <row r="6094" spans="1:49" x14ac:dyDescent="0.25">
      <c r="A6094" t="str">
        <f>"6090"</f>
        <v>6090</v>
      </c>
      <c r="B6094" t="str">
        <f t="shared" si="351"/>
        <v>1</v>
      </c>
      <c r="C6094" t="str">
        <f t="shared" si="353"/>
        <v>267</v>
      </c>
      <c r="D6094" t="str">
        <f>"2"</f>
        <v>2</v>
      </c>
      <c r="E6094" t="str">
        <f>"1-267-2"</f>
        <v>1-267-2</v>
      </c>
      <c r="F6094" t="s">
        <v>83</v>
      </c>
      <c r="G6094" t="s">
        <v>84</v>
      </c>
      <c r="H6094" t="s">
        <v>85</v>
      </c>
      <c r="AC6094">
        <v>0</v>
      </c>
      <c r="AD6094">
        <v>0</v>
      </c>
      <c r="AE6094">
        <v>0</v>
      </c>
      <c r="AF6094">
        <v>0</v>
      </c>
      <c r="AG6094">
        <v>0</v>
      </c>
      <c r="AJ6094">
        <v>0</v>
      </c>
      <c r="AK6094">
        <v>0</v>
      </c>
      <c r="AL6094">
        <v>0</v>
      </c>
      <c r="AM6094">
        <v>0</v>
      </c>
      <c r="AN6094">
        <v>0</v>
      </c>
      <c r="AO6094">
        <v>0</v>
      </c>
      <c r="AP6094">
        <v>1</v>
      </c>
      <c r="AQ6094">
        <v>1</v>
      </c>
      <c r="AR6094">
        <v>1</v>
      </c>
      <c r="AS6094">
        <v>0</v>
      </c>
      <c r="AT6094">
        <v>1</v>
      </c>
      <c r="AV6094">
        <v>1</v>
      </c>
      <c r="AW6094">
        <v>1</v>
      </c>
    </row>
    <row r="6095" spans="1:49" x14ac:dyDescent="0.25">
      <c r="A6095" t="str">
        <f>"6091"</f>
        <v>6091</v>
      </c>
      <c r="B6095" t="str">
        <f t="shared" si="351"/>
        <v>1</v>
      </c>
      <c r="C6095" t="str">
        <f t="shared" si="353"/>
        <v>267</v>
      </c>
      <c r="D6095" t="str">
        <f>"23"</f>
        <v>23</v>
      </c>
      <c r="E6095" t="str">
        <f>"1-267-23"</f>
        <v>1-267-23</v>
      </c>
      <c r="F6095" t="s">
        <v>83</v>
      </c>
      <c r="G6095" t="s">
        <v>84</v>
      </c>
      <c r="H6095" t="s">
        <v>85</v>
      </c>
      <c r="AC6095">
        <v>1</v>
      </c>
      <c r="AD6095">
        <v>0</v>
      </c>
      <c r="AE6095">
        <v>0</v>
      </c>
      <c r="AF6095">
        <v>0</v>
      </c>
      <c r="AG6095">
        <v>1</v>
      </c>
      <c r="AJ6095">
        <v>1</v>
      </c>
      <c r="AK6095">
        <v>0</v>
      </c>
      <c r="AL6095">
        <v>1</v>
      </c>
      <c r="AM6095">
        <v>0</v>
      </c>
      <c r="AN6095">
        <v>0</v>
      </c>
      <c r="AO6095">
        <v>1</v>
      </c>
      <c r="AP6095">
        <v>1</v>
      </c>
      <c r="AQ6095">
        <v>1</v>
      </c>
      <c r="AR6095">
        <v>1</v>
      </c>
      <c r="AS6095">
        <v>1</v>
      </c>
      <c r="AT6095">
        <v>0</v>
      </c>
      <c r="AV6095">
        <v>1</v>
      </c>
      <c r="AW6095">
        <v>1</v>
      </c>
    </row>
    <row r="6096" spans="1:49" x14ac:dyDescent="0.25">
      <c r="A6096" t="str">
        <f>"6092"</f>
        <v>6092</v>
      </c>
      <c r="B6096" t="str">
        <f t="shared" si="351"/>
        <v>1</v>
      </c>
      <c r="C6096" t="str">
        <f t="shared" si="353"/>
        <v>267</v>
      </c>
      <c r="D6096" t="str">
        <f>"12"</f>
        <v>12</v>
      </c>
      <c r="E6096" t="str">
        <f>"1-267-12"</f>
        <v>1-267-12</v>
      </c>
      <c r="F6096" t="s">
        <v>83</v>
      </c>
      <c r="G6096" t="s">
        <v>84</v>
      </c>
      <c r="H6096" t="s">
        <v>85</v>
      </c>
      <c r="AC6096">
        <v>1</v>
      </c>
      <c r="AD6096">
        <v>0</v>
      </c>
      <c r="AE6096">
        <v>0</v>
      </c>
      <c r="AF6096">
        <v>0</v>
      </c>
      <c r="AG6096">
        <v>1</v>
      </c>
      <c r="AJ6096">
        <v>0</v>
      </c>
      <c r="AK6096">
        <v>1</v>
      </c>
      <c r="AL6096">
        <v>0</v>
      </c>
      <c r="AM6096">
        <v>0</v>
      </c>
      <c r="AN6096">
        <v>1</v>
      </c>
      <c r="AO6096">
        <v>0</v>
      </c>
      <c r="AP6096">
        <v>0</v>
      </c>
      <c r="AQ6096">
        <v>0</v>
      </c>
      <c r="AR6096">
        <v>1</v>
      </c>
      <c r="AS6096">
        <v>0</v>
      </c>
      <c r="AT6096">
        <v>1</v>
      </c>
      <c r="AV6096">
        <v>0</v>
      </c>
      <c r="AW6096">
        <v>1</v>
      </c>
    </row>
    <row r="6097" spans="1:49" x14ac:dyDescent="0.25">
      <c r="A6097" t="str">
        <f>"6093"</f>
        <v>6093</v>
      </c>
      <c r="B6097" t="str">
        <f t="shared" si="351"/>
        <v>1</v>
      </c>
      <c r="C6097" t="str">
        <f t="shared" si="353"/>
        <v>267</v>
      </c>
      <c r="D6097" t="str">
        <f>"3"</f>
        <v>3</v>
      </c>
      <c r="E6097" t="str">
        <f>"1-267-3"</f>
        <v>1-267-3</v>
      </c>
      <c r="F6097" t="s">
        <v>83</v>
      </c>
      <c r="G6097" t="s">
        <v>84</v>
      </c>
      <c r="H6097" t="s">
        <v>85</v>
      </c>
      <c r="AC6097">
        <v>0</v>
      </c>
      <c r="AD6097">
        <v>1</v>
      </c>
      <c r="AE6097">
        <v>0</v>
      </c>
      <c r="AF6097">
        <v>0</v>
      </c>
      <c r="AG6097">
        <v>1</v>
      </c>
      <c r="AJ6097">
        <v>0</v>
      </c>
      <c r="AK6097">
        <v>1</v>
      </c>
      <c r="AL6097">
        <v>1</v>
      </c>
      <c r="AM6097">
        <v>0</v>
      </c>
      <c r="AN6097">
        <v>0</v>
      </c>
      <c r="AO6097">
        <v>1</v>
      </c>
      <c r="AP6097">
        <v>1</v>
      </c>
      <c r="AQ6097">
        <v>1</v>
      </c>
      <c r="AR6097">
        <v>1</v>
      </c>
      <c r="AS6097">
        <v>0</v>
      </c>
      <c r="AT6097">
        <v>1</v>
      </c>
      <c r="AV6097">
        <v>1</v>
      </c>
      <c r="AW6097">
        <v>1</v>
      </c>
    </row>
    <row r="6098" spans="1:49" x14ac:dyDescent="0.25">
      <c r="A6098" t="str">
        <f>"6094"</f>
        <v>6094</v>
      </c>
      <c r="B6098" t="str">
        <f t="shared" si="351"/>
        <v>1</v>
      </c>
      <c r="C6098" t="str">
        <f t="shared" si="353"/>
        <v>267</v>
      </c>
      <c r="D6098" t="str">
        <f>"13"</f>
        <v>13</v>
      </c>
      <c r="E6098" t="str">
        <f>"1-267-13"</f>
        <v>1-267-13</v>
      </c>
      <c r="F6098" t="s">
        <v>83</v>
      </c>
      <c r="G6098" t="s">
        <v>84</v>
      </c>
      <c r="H6098" t="s">
        <v>85</v>
      </c>
      <c r="AC6098">
        <v>0</v>
      </c>
      <c r="AD6098">
        <v>1</v>
      </c>
      <c r="AE6098">
        <v>0</v>
      </c>
      <c r="AF6098">
        <v>0</v>
      </c>
      <c r="AG6098">
        <v>0</v>
      </c>
      <c r="AJ6098">
        <v>0</v>
      </c>
      <c r="AK6098">
        <v>1</v>
      </c>
      <c r="AL6098">
        <v>0</v>
      </c>
      <c r="AM6098">
        <v>1</v>
      </c>
      <c r="AN6098">
        <v>0</v>
      </c>
      <c r="AO6098">
        <v>0</v>
      </c>
      <c r="AP6098">
        <v>0</v>
      </c>
      <c r="AQ6098">
        <v>0</v>
      </c>
      <c r="AR6098">
        <v>1</v>
      </c>
      <c r="AS6098">
        <v>0</v>
      </c>
      <c r="AT6098">
        <v>1</v>
      </c>
      <c r="AV6098">
        <v>0</v>
      </c>
      <c r="AW6098">
        <v>1</v>
      </c>
    </row>
    <row r="6099" spans="1:49" x14ac:dyDescent="0.25">
      <c r="A6099" t="str">
        <f>"6095"</f>
        <v>6095</v>
      </c>
      <c r="B6099" t="str">
        <f t="shared" si="351"/>
        <v>1</v>
      </c>
      <c r="C6099" t="str">
        <f t="shared" si="353"/>
        <v>267</v>
      </c>
      <c r="D6099" t="str">
        <f>"4"</f>
        <v>4</v>
      </c>
      <c r="E6099" t="str">
        <f>"1-267-4"</f>
        <v>1-267-4</v>
      </c>
      <c r="F6099" t="s">
        <v>83</v>
      </c>
      <c r="G6099" t="s">
        <v>84</v>
      </c>
      <c r="H6099" t="s">
        <v>85</v>
      </c>
      <c r="AC6099">
        <v>0</v>
      </c>
      <c r="AD6099">
        <v>1</v>
      </c>
      <c r="AE6099">
        <v>0</v>
      </c>
      <c r="AF6099">
        <v>0</v>
      </c>
      <c r="AG6099">
        <v>1</v>
      </c>
      <c r="AJ6099">
        <v>0</v>
      </c>
      <c r="AK6099">
        <v>1</v>
      </c>
      <c r="AL6099">
        <v>0</v>
      </c>
      <c r="AM6099">
        <v>1</v>
      </c>
      <c r="AN6099">
        <v>0</v>
      </c>
      <c r="AO6099">
        <v>1</v>
      </c>
      <c r="AP6099">
        <v>1</v>
      </c>
      <c r="AQ6099">
        <v>1</v>
      </c>
      <c r="AR6099">
        <v>0</v>
      </c>
      <c r="AS6099">
        <v>0</v>
      </c>
      <c r="AT6099">
        <v>1</v>
      </c>
      <c r="AV6099">
        <v>1</v>
      </c>
      <c r="AW6099">
        <v>1</v>
      </c>
    </row>
    <row r="6100" spans="1:49" x14ac:dyDescent="0.25">
      <c r="A6100" t="str">
        <f>"6096"</f>
        <v>6096</v>
      </c>
      <c r="B6100" t="str">
        <f t="shared" si="351"/>
        <v>1</v>
      </c>
      <c r="C6100" t="str">
        <f t="shared" si="353"/>
        <v>267</v>
      </c>
      <c r="D6100" t="str">
        <f>"22"</f>
        <v>22</v>
      </c>
      <c r="E6100" t="str">
        <f>"1-267-22"</f>
        <v>1-267-22</v>
      </c>
      <c r="F6100" t="s">
        <v>83</v>
      </c>
      <c r="G6100" t="s">
        <v>84</v>
      </c>
      <c r="H6100" t="s">
        <v>85</v>
      </c>
      <c r="AC6100">
        <v>1</v>
      </c>
      <c r="AD6100">
        <v>0</v>
      </c>
      <c r="AE6100">
        <v>0</v>
      </c>
      <c r="AF6100">
        <v>0</v>
      </c>
      <c r="AG6100">
        <v>1</v>
      </c>
      <c r="AJ6100">
        <v>1</v>
      </c>
      <c r="AK6100">
        <v>0</v>
      </c>
      <c r="AL6100">
        <v>0</v>
      </c>
      <c r="AM6100">
        <v>1</v>
      </c>
      <c r="AN6100">
        <v>0</v>
      </c>
      <c r="AO6100">
        <v>1</v>
      </c>
      <c r="AP6100">
        <v>1</v>
      </c>
      <c r="AQ6100">
        <v>1</v>
      </c>
      <c r="AR6100">
        <v>1</v>
      </c>
      <c r="AS6100">
        <v>0</v>
      </c>
      <c r="AT6100">
        <v>1</v>
      </c>
      <c r="AV6100">
        <v>1</v>
      </c>
      <c r="AW6100">
        <v>1</v>
      </c>
    </row>
    <row r="6101" spans="1:49" x14ac:dyDescent="0.25">
      <c r="A6101" t="str">
        <f>"6097"</f>
        <v>6097</v>
      </c>
      <c r="B6101" t="str">
        <f t="shared" si="351"/>
        <v>1</v>
      </c>
      <c r="C6101" t="str">
        <f t="shared" si="353"/>
        <v>267</v>
      </c>
      <c r="D6101" t="str">
        <f>"14"</f>
        <v>14</v>
      </c>
      <c r="E6101" t="str">
        <f>"1-267-14"</f>
        <v>1-267-14</v>
      </c>
      <c r="F6101" t="s">
        <v>83</v>
      </c>
      <c r="G6101" t="s">
        <v>84</v>
      </c>
      <c r="H6101" t="s">
        <v>85</v>
      </c>
      <c r="AC6101">
        <v>0</v>
      </c>
      <c r="AD6101">
        <v>1</v>
      </c>
      <c r="AE6101">
        <v>0</v>
      </c>
      <c r="AF6101">
        <v>0</v>
      </c>
      <c r="AG6101">
        <v>0</v>
      </c>
      <c r="AJ6101">
        <v>0</v>
      </c>
      <c r="AK6101">
        <v>1</v>
      </c>
      <c r="AL6101">
        <v>0</v>
      </c>
      <c r="AM6101">
        <v>0</v>
      </c>
      <c r="AN6101">
        <v>1</v>
      </c>
      <c r="AO6101">
        <v>0</v>
      </c>
      <c r="AP6101">
        <v>0</v>
      </c>
      <c r="AQ6101">
        <v>0</v>
      </c>
      <c r="AR6101">
        <v>0</v>
      </c>
      <c r="AS6101">
        <v>0</v>
      </c>
      <c r="AT6101">
        <v>1</v>
      </c>
      <c r="AV6101">
        <v>0</v>
      </c>
      <c r="AW6101">
        <v>1</v>
      </c>
    </row>
    <row r="6102" spans="1:49" x14ac:dyDescent="0.25">
      <c r="A6102" t="str">
        <f>"6098"</f>
        <v>6098</v>
      </c>
      <c r="B6102" t="str">
        <f t="shared" si="351"/>
        <v>1</v>
      </c>
      <c r="C6102" t="str">
        <f t="shared" si="353"/>
        <v>267</v>
      </c>
      <c r="D6102" t="str">
        <f>"7"</f>
        <v>7</v>
      </c>
      <c r="E6102" t="str">
        <f>"1-267-7"</f>
        <v>1-267-7</v>
      </c>
      <c r="F6102" t="s">
        <v>83</v>
      </c>
      <c r="G6102" t="s">
        <v>84</v>
      </c>
      <c r="H6102" t="s">
        <v>85</v>
      </c>
      <c r="AC6102">
        <v>1</v>
      </c>
      <c r="AD6102">
        <v>0</v>
      </c>
      <c r="AE6102">
        <v>0</v>
      </c>
      <c r="AF6102">
        <v>0</v>
      </c>
      <c r="AG6102">
        <v>0</v>
      </c>
      <c r="AJ6102">
        <v>1</v>
      </c>
      <c r="AK6102">
        <v>0</v>
      </c>
      <c r="AL6102">
        <v>1</v>
      </c>
      <c r="AM6102">
        <v>0</v>
      </c>
      <c r="AN6102">
        <v>0</v>
      </c>
      <c r="AO6102">
        <v>0</v>
      </c>
      <c r="AP6102">
        <v>0</v>
      </c>
      <c r="AQ6102">
        <v>0</v>
      </c>
      <c r="AR6102">
        <v>0</v>
      </c>
      <c r="AS6102">
        <v>0</v>
      </c>
      <c r="AT6102">
        <v>1</v>
      </c>
      <c r="AV6102">
        <v>0</v>
      </c>
      <c r="AW6102">
        <v>0</v>
      </c>
    </row>
    <row r="6103" spans="1:49" x14ac:dyDescent="0.25">
      <c r="A6103" t="str">
        <f>"6099"</f>
        <v>6099</v>
      </c>
      <c r="B6103" t="str">
        <f t="shared" si="351"/>
        <v>1</v>
      </c>
      <c r="C6103" t="str">
        <f t="shared" si="353"/>
        <v>267</v>
      </c>
      <c r="D6103" t="str">
        <f>"19"</f>
        <v>19</v>
      </c>
      <c r="E6103" t="str">
        <f>"1-267-19"</f>
        <v>1-267-19</v>
      </c>
      <c r="F6103" t="s">
        <v>83</v>
      </c>
      <c r="G6103" t="s">
        <v>84</v>
      </c>
      <c r="H6103" t="s">
        <v>85</v>
      </c>
      <c r="AC6103">
        <v>0</v>
      </c>
      <c r="AD6103">
        <v>0</v>
      </c>
      <c r="AE6103">
        <v>0</v>
      </c>
      <c r="AF6103">
        <v>0</v>
      </c>
      <c r="AG6103">
        <v>1</v>
      </c>
      <c r="AJ6103">
        <v>0</v>
      </c>
      <c r="AK6103">
        <v>1</v>
      </c>
      <c r="AL6103">
        <v>1</v>
      </c>
      <c r="AM6103">
        <v>0</v>
      </c>
      <c r="AN6103">
        <v>0</v>
      </c>
      <c r="AO6103">
        <v>1</v>
      </c>
      <c r="AP6103">
        <v>1</v>
      </c>
      <c r="AQ6103">
        <v>1</v>
      </c>
      <c r="AR6103">
        <v>1</v>
      </c>
      <c r="AS6103">
        <v>1</v>
      </c>
      <c r="AT6103">
        <v>0</v>
      </c>
      <c r="AV6103">
        <v>0</v>
      </c>
      <c r="AW6103">
        <v>1</v>
      </c>
    </row>
    <row r="6104" spans="1:49" x14ac:dyDescent="0.25">
      <c r="A6104" t="str">
        <f>"6100"</f>
        <v>6100</v>
      </c>
      <c r="B6104" t="str">
        <f t="shared" si="351"/>
        <v>1</v>
      </c>
      <c r="C6104" t="str">
        <f t="shared" ref="C6104:C6126" si="354">"268"</f>
        <v>268</v>
      </c>
      <c r="D6104" t="str">
        <f>"21"</f>
        <v>21</v>
      </c>
      <c r="E6104" t="str">
        <f>"1-268-21"</f>
        <v>1-268-21</v>
      </c>
      <c r="F6104" t="s">
        <v>83</v>
      </c>
      <c r="G6104" t="s">
        <v>84</v>
      </c>
      <c r="H6104" t="s">
        <v>92</v>
      </c>
      <c r="I6104">
        <v>1</v>
      </c>
      <c r="J6104">
        <v>1</v>
      </c>
      <c r="N6104">
        <v>1</v>
      </c>
      <c r="O6104">
        <v>1</v>
      </c>
      <c r="P6104">
        <v>1</v>
      </c>
      <c r="Q6104">
        <v>1</v>
      </c>
      <c r="R6104">
        <v>1</v>
      </c>
      <c r="S6104">
        <v>1</v>
      </c>
      <c r="T6104">
        <v>1</v>
      </c>
      <c r="W6104">
        <v>1</v>
      </c>
      <c r="X6104">
        <v>1</v>
      </c>
      <c r="Y6104">
        <v>1</v>
      </c>
      <c r="Z6104">
        <v>1</v>
      </c>
      <c r="AA6104">
        <v>1</v>
      </c>
      <c r="AB6104">
        <v>0</v>
      </c>
    </row>
    <row r="6105" spans="1:49" x14ac:dyDescent="0.25">
      <c r="A6105" t="str">
        <f>"6101"</f>
        <v>6101</v>
      </c>
      <c r="B6105" t="str">
        <f t="shared" si="351"/>
        <v>1</v>
      </c>
      <c r="C6105" t="str">
        <f t="shared" si="354"/>
        <v>268</v>
      </c>
      <c r="D6105" t="str">
        <f>"20"</f>
        <v>20</v>
      </c>
      <c r="E6105" t="str">
        <f>"1-268-20"</f>
        <v>1-268-20</v>
      </c>
      <c r="F6105" t="s">
        <v>83</v>
      </c>
      <c r="G6105" t="s">
        <v>84</v>
      </c>
      <c r="H6105" t="s">
        <v>92</v>
      </c>
      <c r="I6105">
        <v>1</v>
      </c>
      <c r="J6105">
        <v>1</v>
      </c>
      <c r="N6105">
        <v>1</v>
      </c>
      <c r="O6105">
        <v>1</v>
      </c>
      <c r="P6105">
        <v>1</v>
      </c>
      <c r="Q6105">
        <v>1</v>
      </c>
      <c r="R6105">
        <v>1</v>
      </c>
      <c r="S6105">
        <v>1</v>
      </c>
      <c r="T6105">
        <v>1</v>
      </c>
      <c r="W6105">
        <v>1</v>
      </c>
      <c r="X6105">
        <v>1</v>
      </c>
      <c r="Y6105">
        <v>1</v>
      </c>
      <c r="Z6105">
        <v>1</v>
      </c>
      <c r="AA6105">
        <v>1</v>
      </c>
      <c r="AB6105">
        <v>1</v>
      </c>
    </row>
    <row r="6106" spans="1:49" x14ac:dyDescent="0.25">
      <c r="A6106" t="str">
        <f>"6102"</f>
        <v>6102</v>
      </c>
      <c r="B6106" t="str">
        <f t="shared" si="351"/>
        <v>1</v>
      </c>
      <c r="C6106" t="str">
        <f t="shared" si="354"/>
        <v>268</v>
      </c>
      <c r="D6106" t="str">
        <f>"15"</f>
        <v>15</v>
      </c>
      <c r="E6106" t="str">
        <f>"1-268-15"</f>
        <v>1-268-15</v>
      </c>
      <c r="F6106" t="s">
        <v>83</v>
      </c>
      <c r="G6106" t="s">
        <v>84</v>
      </c>
      <c r="H6106" t="s">
        <v>92</v>
      </c>
      <c r="I6106">
        <v>1</v>
      </c>
      <c r="J6106">
        <v>1</v>
      </c>
      <c r="N6106">
        <v>1</v>
      </c>
      <c r="O6106">
        <v>1</v>
      </c>
      <c r="P6106">
        <v>1</v>
      </c>
      <c r="Q6106">
        <v>1</v>
      </c>
      <c r="R6106">
        <v>1</v>
      </c>
      <c r="S6106">
        <v>1</v>
      </c>
      <c r="T6106">
        <v>1</v>
      </c>
      <c r="W6106">
        <v>1</v>
      </c>
      <c r="X6106">
        <v>1</v>
      </c>
      <c r="Y6106">
        <v>1</v>
      </c>
      <c r="Z6106">
        <v>1</v>
      </c>
      <c r="AA6106">
        <v>1</v>
      </c>
      <c r="AB6106">
        <v>1</v>
      </c>
    </row>
    <row r="6107" spans="1:49" x14ac:dyDescent="0.25">
      <c r="A6107" t="str">
        <f>"6103"</f>
        <v>6103</v>
      </c>
      <c r="B6107" t="str">
        <f t="shared" si="351"/>
        <v>1</v>
      </c>
      <c r="C6107" t="str">
        <f t="shared" si="354"/>
        <v>268</v>
      </c>
      <c r="D6107" t="str">
        <f>"14"</f>
        <v>14</v>
      </c>
      <c r="E6107" t="str">
        <f>"1-268-14"</f>
        <v>1-268-14</v>
      </c>
      <c r="F6107" t="s">
        <v>83</v>
      </c>
      <c r="G6107" t="s">
        <v>84</v>
      </c>
      <c r="H6107" t="s">
        <v>92</v>
      </c>
      <c r="I6107">
        <v>1</v>
      </c>
      <c r="J6107">
        <v>1</v>
      </c>
      <c r="N6107">
        <v>1</v>
      </c>
      <c r="O6107">
        <v>1</v>
      </c>
      <c r="P6107">
        <v>1</v>
      </c>
      <c r="Q6107">
        <v>1</v>
      </c>
      <c r="R6107">
        <v>1</v>
      </c>
      <c r="S6107">
        <v>1</v>
      </c>
      <c r="T6107">
        <v>1</v>
      </c>
      <c r="W6107">
        <v>1</v>
      </c>
      <c r="X6107">
        <v>1</v>
      </c>
      <c r="Y6107">
        <v>1</v>
      </c>
      <c r="Z6107">
        <v>1</v>
      </c>
      <c r="AA6107">
        <v>1</v>
      </c>
      <c r="AB6107">
        <v>1</v>
      </c>
    </row>
    <row r="6108" spans="1:49" x14ac:dyDescent="0.25">
      <c r="A6108" t="str">
        <f>"6104"</f>
        <v>6104</v>
      </c>
      <c r="B6108" t="str">
        <f t="shared" si="351"/>
        <v>1</v>
      </c>
      <c r="C6108" t="str">
        <f t="shared" si="354"/>
        <v>268</v>
      </c>
      <c r="D6108" t="str">
        <f>"10"</f>
        <v>10</v>
      </c>
      <c r="E6108" t="str">
        <f>"1-268-10"</f>
        <v>1-268-10</v>
      </c>
      <c r="F6108" t="s">
        <v>83</v>
      </c>
      <c r="G6108" t="s">
        <v>84</v>
      </c>
      <c r="H6108" t="s">
        <v>92</v>
      </c>
      <c r="I6108">
        <v>1</v>
      </c>
      <c r="J6108">
        <v>1</v>
      </c>
      <c r="N6108">
        <v>1</v>
      </c>
      <c r="O6108">
        <v>1</v>
      </c>
      <c r="P6108">
        <v>1</v>
      </c>
      <c r="Q6108">
        <v>1</v>
      </c>
      <c r="R6108">
        <v>1</v>
      </c>
      <c r="S6108">
        <v>1</v>
      </c>
      <c r="T6108">
        <v>1</v>
      </c>
      <c r="W6108">
        <v>1</v>
      </c>
      <c r="X6108">
        <v>1</v>
      </c>
      <c r="Y6108">
        <v>1</v>
      </c>
      <c r="Z6108">
        <v>1</v>
      </c>
      <c r="AA6108">
        <v>1</v>
      </c>
      <c r="AB6108">
        <v>1</v>
      </c>
    </row>
    <row r="6109" spans="1:49" x14ac:dyDescent="0.25">
      <c r="A6109" t="str">
        <f>"6105"</f>
        <v>6105</v>
      </c>
      <c r="B6109" t="str">
        <f t="shared" si="351"/>
        <v>1</v>
      </c>
      <c r="C6109" t="str">
        <f t="shared" si="354"/>
        <v>268</v>
      </c>
      <c r="D6109" t="str">
        <f>"8"</f>
        <v>8</v>
      </c>
      <c r="E6109" t="str">
        <f>"1-268-8"</f>
        <v>1-268-8</v>
      </c>
      <c r="F6109" t="s">
        <v>83</v>
      </c>
      <c r="G6109" t="s">
        <v>84</v>
      </c>
      <c r="H6109" t="s">
        <v>92</v>
      </c>
      <c r="I6109">
        <v>1</v>
      </c>
      <c r="J6109">
        <v>1</v>
      </c>
      <c r="N6109">
        <v>1</v>
      </c>
      <c r="O6109">
        <v>1</v>
      </c>
      <c r="P6109">
        <v>1</v>
      </c>
      <c r="Q6109">
        <v>1</v>
      </c>
      <c r="R6109">
        <v>1</v>
      </c>
      <c r="S6109">
        <v>1</v>
      </c>
      <c r="T6109">
        <v>1</v>
      </c>
      <c r="W6109">
        <v>1</v>
      </c>
      <c r="X6109">
        <v>1</v>
      </c>
      <c r="Y6109">
        <v>1</v>
      </c>
      <c r="Z6109">
        <v>1</v>
      </c>
      <c r="AA6109">
        <v>1</v>
      </c>
      <c r="AB6109">
        <v>1</v>
      </c>
    </row>
    <row r="6110" spans="1:49" x14ac:dyDescent="0.25">
      <c r="A6110" t="str">
        <f>"6106"</f>
        <v>6106</v>
      </c>
      <c r="B6110" t="str">
        <f t="shared" ref="B6110:B6173" si="355">"1"</f>
        <v>1</v>
      </c>
      <c r="C6110" t="str">
        <f t="shared" si="354"/>
        <v>268</v>
      </c>
      <c r="D6110" t="str">
        <f>"1"</f>
        <v>1</v>
      </c>
      <c r="E6110" t="str">
        <f>"1-268-1"</f>
        <v>1-268-1</v>
      </c>
      <c r="F6110" t="s">
        <v>83</v>
      </c>
      <c r="G6110" t="s">
        <v>84</v>
      </c>
      <c r="H6110" t="s">
        <v>92</v>
      </c>
      <c r="I6110">
        <v>1</v>
      </c>
      <c r="J6110">
        <v>1</v>
      </c>
      <c r="N6110">
        <v>1</v>
      </c>
      <c r="O6110">
        <v>1</v>
      </c>
      <c r="P6110">
        <v>1</v>
      </c>
      <c r="Q6110">
        <v>1</v>
      </c>
      <c r="R6110">
        <v>1</v>
      </c>
      <c r="S6110">
        <v>1</v>
      </c>
      <c r="T6110">
        <v>1</v>
      </c>
      <c r="W6110">
        <v>1</v>
      </c>
      <c r="X6110">
        <v>1</v>
      </c>
      <c r="Y6110">
        <v>1</v>
      </c>
      <c r="Z6110">
        <v>1</v>
      </c>
      <c r="AA6110">
        <v>1</v>
      </c>
      <c r="AB6110">
        <v>1</v>
      </c>
    </row>
    <row r="6111" spans="1:49" x14ac:dyDescent="0.25">
      <c r="A6111" t="str">
        <f>"6107"</f>
        <v>6107</v>
      </c>
      <c r="B6111" t="str">
        <f t="shared" si="355"/>
        <v>1</v>
      </c>
      <c r="C6111" t="str">
        <f t="shared" si="354"/>
        <v>268</v>
      </c>
      <c r="D6111" t="str">
        <f>"16"</f>
        <v>16</v>
      </c>
      <c r="E6111" t="str">
        <f>"1-268-16"</f>
        <v>1-268-16</v>
      </c>
      <c r="F6111" t="s">
        <v>83</v>
      </c>
      <c r="G6111" t="s">
        <v>84</v>
      </c>
      <c r="H6111" t="s">
        <v>92</v>
      </c>
      <c r="I6111">
        <v>1</v>
      </c>
      <c r="J6111">
        <v>1</v>
      </c>
      <c r="N6111">
        <v>1</v>
      </c>
      <c r="O6111">
        <v>1</v>
      </c>
      <c r="P6111">
        <v>1</v>
      </c>
      <c r="Q6111">
        <v>1</v>
      </c>
      <c r="R6111">
        <v>1</v>
      </c>
      <c r="S6111">
        <v>1</v>
      </c>
      <c r="T6111">
        <v>1</v>
      </c>
      <c r="W6111">
        <v>1</v>
      </c>
      <c r="X6111">
        <v>1</v>
      </c>
      <c r="Y6111">
        <v>1</v>
      </c>
      <c r="Z6111">
        <v>1</v>
      </c>
      <c r="AA6111">
        <v>1</v>
      </c>
      <c r="AB6111">
        <v>1</v>
      </c>
    </row>
    <row r="6112" spans="1:49" x14ac:dyDescent="0.25">
      <c r="A6112" t="str">
        <f>"6108"</f>
        <v>6108</v>
      </c>
      <c r="B6112" t="str">
        <f t="shared" si="355"/>
        <v>1</v>
      </c>
      <c r="C6112" t="str">
        <f t="shared" si="354"/>
        <v>268</v>
      </c>
      <c r="D6112" t="str">
        <f>"9"</f>
        <v>9</v>
      </c>
      <c r="E6112" t="str">
        <f>"1-268-9"</f>
        <v>1-268-9</v>
      </c>
      <c r="F6112" t="s">
        <v>83</v>
      </c>
      <c r="G6112" t="s">
        <v>84</v>
      </c>
      <c r="H6112" t="s">
        <v>92</v>
      </c>
      <c r="I6112">
        <v>1</v>
      </c>
      <c r="J6112">
        <v>1</v>
      </c>
      <c r="N6112">
        <v>1</v>
      </c>
      <c r="O6112">
        <v>1</v>
      </c>
      <c r="P6112">
        <v>1</v>
      </c>
      <c r="Q6112">
        <v>1</v>
      </c>
      <c r="R6112">
        <v>1</v>
      </c>
      <c r="S6112">
        <v>1</v>
      </c>
      <c r="T6112">
        <v>1</v>
      </c>
      <c r="W6112">
        <v>1</v>
      </c>
      <c r="X6112">
        <v>1</v>
      </c>
      <c r="Y6112">
        <v>0</v>
      </c>
      <c r="Z6112">
        <v>1</v>
      </c>
      <c r="AA6112">
        <v>1</v>
      </c>
      <c r="AB6112">
        <v>1</v>
      </c>
    </row>
    <row r="6113" spans="1:28" x14ac:dyDescent="0.25">
      <c r="A6113" t="str">
        <f>"6109"</f>
        <v>6109</v>
      </c>
      <c r="B6113" t="str">
        <f t="shared" si="355"/>
        <v>1</v>
      </c>
      <c r="C6113" t="str">
        <f t="shared" si="354"/>
        <v>268</v>
      </c>
      <c r="D6113" t="str">
        <f>"6"</f>
        <v>6</v>
      </c>
      <c r="E6113" t="str">
        <f>"1-268-6"</f>
        <v>1-268-6</v>
      </c>
      <c r="F6113" t="s">
        <v>83</v>
      </c>
      <c r="G6113" t="s">
        <v>84</v>
      </c>
      <c r="H6113" t="s">
        <v>92</v>
      </c>
      <c r="I6113">
        <v>1</v>
      </c>
      <c r="J6113">
        <v>1</v>
      </c>
      <c r="N6113">
        <v>1</v>
      </c>
      <c r="O6113">
        <v>1</v>
      </c>
      <c r="P6113">
        <v>1</v>
      </c>
      <c r="Q6113">
        <v>1</v>
      </c>
      <c r="R6113">
        <v>1</v>
      </c>
      <c r="S6113">
        <v>1</v>
      </c>
      <c r="T6113">
        <v>1</v>
      </c>
      <c r="W6113">
        <v>1</v>
      </c>
      <c r="X6113">
        <v>1</v>
      </c>
      <c r="Y6113">
        <v>1</v>
      </c>
      <c r="Z6113">
        <v>1</v>
      </c>
      <c r="AA6113">
        <v>1</v>
      </c>
      <c r="AB6113">
        <v>1</v>
      </c>
    </row>
    <row r="6114" spans="1:28" x14ac:dyDescent="0.25">
      <c r="A6114" t="str">
        <f>"6110"</f>
        <v>6110</v>
      </c>
      <c r="B6114" t="str">
        <f t="shared" si="355"/>
        <v>1</v>
      </c>
      <c r="C6114" t="str">
        <f t="shared" si="354"/>
        <v>268</v>
      </c>
      <c r="D6114" t="str">
        <f>"19"</f>
        <v>19</v>
      </c>
      <c r="E6114" t="str">
        <f>"1-268-19"</f>
        <v>1-268-19</v>
      </c>
      <c r="F6114" t="s">
        <v>83</v>
      </c>
      <c r="G6114" t="s">
        <v>84</v>
      </c>
      <c r="H6114" t="s">
        <v>92</v>
      </c>
      <c r="I6114">
        <v>1</v>
      </c>
      <c r="J6114">
        <v>1</v>
      </c>
      <c r="N6114">
        <v>1</v>
      </c>
      <c r="O6114">
        <v>1</v>
      </c>
      <c r="P6114">
        <v>1</v>
      </c>
      <c r="Q6114">
        <v>1</v>
      </c>
      <c r="R6114">
        <v>1</v>
      </c>
      <c r="S6114">
        <v>1</v>
      </c>
      <c r="T6114">
        <v>1</v>
      </c>
      <c r="W6114">
        <v>1</v>
      </c>
      <c r="X6114">
        <v>1</v>
      </c>
      <c r="Y6114">
        <v>1</v>
      </c>
      <c r="Z6114">
        <v>1</v>
      </c>
      <c r="AA6114">
        <v>1</v>
      </c>
      <c r="AB6114">
        <v>1</v>
      </c>
    </row>
    <row r="6115" spans="1:28" x14ac:dyDescent="0.25">
      <c r="A6115" t="str">
        <f>"6111"</f>
        <v>6111</v>
      </c>
      <c r="B6115" t="str">
        <f t="shared" si="355"/>
        <v>1</v>
      </c>
      <c r="C6115" t="str">
        <f t="shared" si="354"/>
        <v>268</v>
      </c>
      <c r="D6115" t="str">
        <f>"11"</f>
        <v>11</v>
      </c>
      <c r="E6115" t="str">
        <f>"1-268-11"</f>
        <v>1-268-11</v>
      </c>
      <c r="F6115" t="s">
        <v>83</v>
      </c>
      <c r="G6115" t="s">
        <v>84</v>
      </c>
      <c r="H6115" t="s">
        <v>92</v>
      </c>
      <c r="I6115">
        <v>0</v>
      </c>
      <c r="J6115">
        <v>1</v>
      </c>
      <c r="N6115">
        <v>1</v>
      </c>
      <c r="O6115">
        <v>1</v>
      </c>
      <c r="P6115">
        <v>1</v>
      </c>
      <c r="Q6115">
        <v>1</v>
      </c>
      <c r="R6115">
        <v>1</v>
      </c>
      <c r="S6115">
        <v>1</v>
      </c>
      <c r="T6115">
        <v>1</v>
      </c>
      <c r="W6115">
        <v>1</v>
      </c>
      <c r="X6115">
        <v>1</v>
      </c>
      <c r="Y6115">
        <v>1</v>
      </c>
      <c r="Z6115">
        <v>1</v>
      </c>
      <c r="AA6115">
        <v>1</v>
      </c>
      <c r="AB6115">
        <v>1</v>
      </c>
    </row>
    <row r="6116" spans="1:28" x14ac:dyDescent="0.25">
      <c r="A6116" t="str">
        <f>"6112"</f>
        <v>6112</v>
      </c>
      <c r="B6116" t="str">
        <f t="shared" si="355"/>
        <v>1</v>
      </c>
      <c r="C6116" t="str">
        <f t="shared" si="354"/>
        <v>268</v>
      </c>
      <c r="D6116" t="str">
        <f>"2"</f>
        <v>2</v>
      </c>
      <c r="E6116" t="str">
        <f>"1-268-2"</f>
        <v>1-268-2</v>
      </c>
      <c r="F6116" t="s">
        <v>83</v>
      </c>
      <c r="G6116" t="s">
        <v>84</v>
      </c>
      <c r="H6116" t="s">
        <v>92</v>
      </c>
      <c r="I6116">
        <v>1</v>
      </c>
      <c r="J6116">
        <v>1</v>
      </c>
      <c r="N6116">
        <v>1</v>
      </c>
      <c r="O6116">
        <v>1</v>
      </c>
      <c r="P6116">
        <v>1</v>
      </c>
      <c r="Q6116">
        <v>1</v>
      </c>
      <c r="R6116">
        <v>1</v>
      </c>
      <c r="S6116">
        <v>1</v>
      </c>
      <c r="T6116">
        <v>1</v>
      </c>
      <c r="W6116">
        <v>1</v>
      </c>
      <c r="X6116">
        <v>1</v>
      </c>
      <c r="Y6116">
        <v>1</v>
      </c>
      <c r="Z6116">
        <v>1</v>
      </c>
      <c r="AA6116">
        <v>1</v>
      </c>
      <c r="AB6116">
        <v>1</v>
      </c>
    </row>
    <row r="6117" spans="1:28" x14ac:dyDescent="0.25">
      <c r="A6117" t="str">
        <f>"6113"</f>
        <v>6113</v>
      </c>
      <c r="B6117" t="str">
        <f t="shared" si="355"/>
        <v>1</v>
      </c>
      <c r="C6117" t="str">
        <f t="shared" si="354"/>
        <v>268</v>
      </c>
      <c r="D6117" t="str">
        <f>"22"</f>
        <v>22</v>
      </c>
      <c r="E6117" t="str">
        <f>"1-268-22"</f>
        <v>1-268-22</v>
      </c>
      <c r="F6117" t="s">
        <v>83</v>
      </c>
      <c r="G6117" t="s">
        <v>84</v>
      </c>
      <c r="H6117" t="s">
        <v>92</v>
      </c>
      <c r="I6117">
        <v>1</v>
      </c>
      <c r="J6117">
        <v>1</v>
      </c>
      <c r="N6117">
        <v>1</v>
      </c>
      <c r="O6117">
        <v>1</v>
      </c>
      <c r="P6117">
        <v>1</v>
      </c>
      <c r="Q6117">
        <v>1</v>
      </c>
      <c r="R6117">
        <v>1</v>
      </c>
      <c r="S6117">
        <v>1</v>
      </c>
      <c r="T6117">
        <v>1</v>
      </c>
      <c r="W6117">
        <v>1</v>
      </c>
      <c r="X6117">
        <v>1</v>
      </c>
      <c r="Y6117">
        <v>1</v>
      </c>
      <c r="Z6117">
        <v>1</v>
      </c>
      <c r="AA6117">
        <v>0</v>
      </c>
      <c r="AB6117">
        <v>1</v>
      </c>
    </row>
    <row r="6118" spans="1:28" x14ac:dyDescent="0.25">
      <c r="A6118" t="str">
        <f>"6114"</f>
        <v>6114</v>
      </c>
      <c r="B6118" t="str">
        <f t="shared" si="355"/>
        <v>1</v>
      </c>
      <c r="C6118" t="str">
        <f t="shared" si="354"/>
        <v>268</v>
      </c>
      <c r="D6118" t="str">
        <f>"12"</f>
        <v>12</v>
      </c>
      <c r="E6118" t="str">
        <f>"1-268-12"</f>
        <v>1-268-12</v>
      </c>
      <c r="F6118" t="s">
        <v>83</v>
      </c>
      <c r="G6118" t="s">
        <v>84</v>
      </c>
      <c r="H6118" t="s">
        <v>92</v>
      </c>
      <c r="I6118">
        <v>1</v>
      </c>
      <c r="J6118">
        <v>1</v>
      </c>
      <c r="N6118">
        <v>1</v>
      </c>
      <c r="O6118">
        <v>1</v>
      </c>
      <c r="P6118">
        <v>1</v>
      </c>
      <c r="Q6118">
        <v>1</v>
      </c>
      <c r="R6118">
        <v>1</v>
      </c>
      <c r="S6118">
        <v>1</v>
      </c>
      <c r="T6118">
        <v>1</v>
      </c>
      <c r="W6118">
        <v>1</v>
      </c>
      <c r="X6118">
        <v>1</v>
      </c>
      <c r="Y6118">
        <v>1</v>
      </c>
      <c r="Z6118">
        <v>1</v>
      </c>
      <c r="AA6118">
        <v>1</v>
      </c>
      <c r="AB6118">
        <v>1</v>
      </c>
    </row>
    <row r="6119" spans="1:28" x14ac:dyDescent="0.25">
      <c r="A6119" t="str">
        <f>"6115"</f>
        <v>6115</v>
      </c>
      <c r="B6119" t="str">
        <f t="shared" si="355"/>
        <v>1</v>
      </c>
      <c r="C6119" t="str">
        <f t="shared" si="354"/>
        <v>268</v>
      </c>
      <c r="D6119" t="str">
        <f>"4"</f>
        <v>4</v>
      </c>
      <c r="E6119" t="str">
        <f>"1-268-4"</f>
        <v>1-268-4</v>
      </c>
      <c r="F6119" t="s">
        <v>83</v>
      </c>
      <c r="G6119" t="s">
        <v>84</v>
      </c>
      <c r="H6119" t="s">
        <v>92</v>
      </c>
      <c r="I6119">
        <v>1</v>
      </c>
      <c r="J6119">
        <v>1</v>
      </c>
      <c r="N6119">
        <v>1</v>
      </c>
      <c r="O6119">
        <v>1</v>
      </c>
      <c r="P6119">
        <v>1</v>
      </c>
      <c r="Q6119">
        <v>1</v>
      </c>
      <c r="R6119">
        <v>1</v>
      </c>
      <c r="S6119">
        <v>1</v>
      </c>
      <c r="T6119">
        <v>1</v>
      </c>
      <c r="W6119">
        <v>1</v>
      </c>
      <c r="X6119">
        <v>1</v>
      </c>
      <c r="Y6119">
        <v>1</v>
      </c>
      <c r="Z6119">
        <v>1</v>
      </c>
      <c r="AA6119">
        <v>1</v>
      </c>
      <c r="AB6119">
        <v>1</v>
      </c>
    </row>
    <row r="6120" spans="1:28" x14ac:dyDescent="0.25">
      <c r="A6120" t="str">
        <f>"6116"</f>
        <v>6116</v>
      </c>
      <c r="B6120" t="str">
        <f t="shared" si="355"/>
        <v>1</v>
      </c>
      <c r="C6120" t="str">
        <f t="shared" si="354"/>
        <v>268</v>
      </c>
      <c r="D6120" t="str">
        <f>"23"</f>
        <v>23</v>
      </c>
      <c r="E6120" t="str">
        <f>"1-268-23"</f>
        <v>1-268-23</v>
      </c>
      <c r="F6120" t="s">
        <v>83</v>
      </c>
      <c r="G6120" t="s">
        <v>84</v>
      </c>
      <c r="H6120" t="s">
        <v>92</v>
      </c>
      <c r="I6120">
        <v>1</v>
      </c>
      <c r="J6120">
        <v>1</v>
      </c>
      <c r="N6120">
        <v>1</v>
      </c>
      <c r="O6120">
        <v>1</v>
      </c>
      <c r="P6120">
        <v>1</v>
      </c>
      <c r="Q6120">
        <v>1</v>
      </c>
      <c r="R6120">
        <v>1</v>
      </c>
      <c r="S6120">
        <v>1</v>
      </c>
      <c r="T6120">
        <v>1</v>
      </c>
      <c r="W6120">
        <v>1</v>
      </c>
      <c r="X6120">
        <v>1</v>
      </c>
      <c r="Y6120">
        <v>1</v>
      </c>
      <c r="Z6120">
        <v>1</v>
      </c>
      <c r="AA6120">
        <v>1</v>
      </c>
      <c r="AB6120">
        <v>1</v>
      </c>
    </row>
    <row r="6121" spans="1:28" x14ac:dyDescent="0.25">
      <c r="A6121" t="str">
        <f>"6117"</f>
        <v>6117</v>
      </c>
      <c r="B6121" t="str">
        <f t="shared" si="355"/>
        <v>1</v>
      </c>
      <c r="C6121" t="str">
        <f t="shared" si="354"/>
        <v>268</v>
      </c>
      <c r="D6121" t="str">
        <f>"13"</f>
        <v>13</v>
      </c>
      <c r="E6121" t="str">
        <f>"1-268-13"</f>
        <v>1-268-13</v>
      </c>
      <c r="F6121" t="s">
        <v>83</v>
      </c>
      <c r="G6121" t="s">
        <v>84</v>
      </c>
      <c r="H6121" t="s">
        <v>92</v>
      </c>
      <c r="I6121">
        <v>1</v>
      </c>
      <c r="J6121">
        <v>1</v>
      </c>
      <c r="N6121">
        <v>1</v>
      </c>
      <c r="O6121">
        <v>1</v>
      </c>
      <c r="P6121">
        <v>1</v>
      </c>
      <c r="Q6121">
        <v>1</v>
      </c>
      <c r="R6121">
        <v>1</v>
      </c>
      <c r="S6121">
        <v>1</v>
      </c>
      <c r="T6121">
        <v>1</v>
      </c>
      <c r="W6121">
        <v>1</v>
      </c>
      <c r="X6121">
        <v>1</v>
      </c>
      <c r="Y6121">
        <v>1</v>
      </c>
      <c r="Z6121">
        <v>1</v>
      </c>
      <c r="AA6121">
        <v>1</v>
      </c>
      <c r="AB6121">
        <v>1</v>
      </c>
    </row>
    <row r="6122" spans="1:28" x14ac:dyDescent="0.25">
      <c r="A6122" t="str">
        <f>"6118"</f>
        <v>6118</v>
      </c>
      <c r="B6122" t="str">
        <f t="shared" si="355"/>
        <v>1</v>
      </c>
      <c r="C6122" t="str">
        <f t="shared" si="354"/>
        <v>268</v>
      </c>
      <c r="D6122" t="str">
        <f>"5"</f>
        <v>5</v>
      </c>
      <c r="E6122" t="str">
        <f>"1-268-5"</f>
        <v>1-268-5</v>
      </c>
      <c r="F6122" t="s">
        <v>83</v>
      </c>
      <c r="G6122" t="s">
        <v>84</v>
      </c>
      <c r="H6122" t="s">
        <v>92</v>
      </c>
      <c r="I6122">
        <v>1</v>
      </c>
      <c r="J6122">
        <v>1</v>
      </c>
      <c r="N6122">
        <v>1</v>
      </c>
      <c r="O6122">
        <v>1</v>
      </c>
      <c r="P6122">
        <v>1</v>
      </c>
      <c r="Q6122">
        <v>1</v>
      </c>
      <c r="R6122">
        <v>1</v>
      </c>
      <c r="S6122">
        <v>1</v>
      </c>
      <c r="T6122">
        <v>1</v>
      </c>
      <c r="W6122">
        <v>1</v>
      </c>
      <c r="X6122">
        <v>1</v>
      </c>
      <c r="Y6122">
        <v>1</v>
      </c>
      <c r="Z6122">
        <v>1</v>
      </c>
      <c r="AA6122">
        <v>1</v>
      </c>
      <c r="AB6122">
        <v>1</v>
      </c>
    </row>
    <row r="6123" spans="1:28" x14ac:dyDescent="0.25">
      <c r="A6123" t="str">
        <f>"6119"</f>
        <v>6119</v>
      </c>
      <c r="B6123" t="str">
        <f t="shared" si="355"/>
        <v>1</v>
      </c>
      <c r="C6123" t="str">
        <f t="shared" si="354"/>
        <v>268</v>
      </c>
      <c r="D6123" t="str">
        <f>"17"</f>
        <v>17</v>
      </c>
      <c r="E6123" t="str">
        <f>"1-268-17"</f>
        <v>1-268-17</v>
      </c>
      <c r="F6123" t="s">
        <v>83</v>
      </c>
      <c r="G6123" t="s">
        <v>84</v>
      </c>
      <c r="H6123" t="s">
        <v>92</v>
      </c>
      <c r="I6123">
        <v>1</v>
      </c>
      <c r="J6123">
        <v>0</v>
      </c>
      <c r="N6123">
        <v>1</v>
      </c>
      <c r="O6123">
        <v>1</v>
      </c>
      <c r="P6123">
        <v>1</v>
      </c>
      <c r="Q6123">
        <v>1</v>
      </c>
      <c r="R6123">
        <v>1</v>
      </c>
      <c r="S6123">
        <v>0</v>
      </c>
      <c r="T6123">
        <v>1</v>
      </c>
      <c r="W6123">
        <v>1</v>
      </c>
      <c r="X6123">
        <v>1</v>
      </c>
      <c r="Y6123">
        <v>1</v>
      </c>
      <c r="Z6123">
        <v>1</v>
      </c>
      <c r="AA6123">
        <v>1</v>
      </c>
      <c r="AB6123">
        <v>1</v>
      </c>
    </row>
    <row r="6124" spans="1:28" x14ac:dyDescent="0.25">
      <c r="A6124" t="str">
        <f>"6120"</f>
        <v>6120</v>
      </c>
      <c r="B6124" t="str">
        <f t="shared" si="355"/>
        <v>1</v>
      </c>
      <c r="C6124" t="str">
        <f t="shared" si="354"/>
        <v>268</v>
      </c>
      <c r="D6124" t="str">
        <f>"3"</f>
        <v>3</v>
      </c>
      <c r="E6124" t="str">
        <f>"1-268-3"</f>
        <v>1-268-3</v>
      </c>
      <c r="F6124" t="s">
        <v>83</v>
      </c>
      <c r="G6124" t="s">
        <v>84</v>
      </c>
      <c r="H6124" t="s">
        <v>92</v>
      </c>
      <c r="I6124">
        <v>1</v>
      </c>
      <c r="J6124">
        <v>1</v>
      </c>
      <c r="N6124">
        <v>1</v>
      </c>
      <c r="O6124">
        <v>1</v>
      </c>
      <c r="P6124">
        <v>1</v>
      </c>
      <c r="Q6124">
        <v>1</v>
      </c>
      <c r="R6124">
        <v>0</v>
      </c>
      <c r="S6124">
        <v>0</v>
      </c>
      <c r="T6124">
        <v>0</v>
      </c>
      <c r="W6124">
        <v>0</v>
      </c>
      <c r="X6124">
        <v>0</v>
      </c>
      <c r="Y6124">
        <v>1</v>
      </c>
      <c r="Z6124">
        <v>0</v>
      </c>
      <c r="AA6124">
        <v>0</v>
      </c>
      <c r="AB6124">
        <v>0</v>
      </c>
    </row>
    <row r="6125" spans="1:28" x14ac:dyDescent="0.25">
      <c r="A6125" t="str">
        <f>"6121"</f>
        <v>6121</v>
      </c>
      <c r="B6125" t="str">
        <f t="shared" si="355"/>
        <v>1</v>
      </c>
      <c r="C6125" t="str">
        <f t="shared" si="354"/>
        <v>268</v>
      </c>
      <c r="D6125" t="str">
        <f>"18"</f>
        <v>18</v>
      </c>
      <c r="E6125" t="str">
        <f>"1-268-18"</f>
        <v>1-268-18</v>
      </c>
      <c r="F6125" t="s">
        <v>83</v>
      </c>
      <c r="G6125" t="s">
        <v>84</v>
      </c>
      <c r="H6125" t="s">
        <v>92</v>
      </c>
      <c r="I6125">
        <v>1</v>
      </c>
      <c r="J6125">
        <v>1</v>
      </c>
      <c r="N6125">
        <v>1</v>
      </c>
      <c r="O6125">
        <v>1</v>
      </c>
      <c r="P6125">
        <v>1</v>
      </c>
      <c r="Q6125">
        <v>1</v>
      </c>
      <c r="R6125">
        <v>1</v>
      </c>
      <c r="S6125">
        <v>1</v>
      </c>
      <c r="T6125">
        <v>1</v>
      </c>
      <c r="W6125">
        <v>1</v>
      </c>
      <c r="X6125">
        <v>1</v>
      </c>
      <c r="Y6125">
        <v>1</v>
      </c>
      <c r="Z6125">
        <v>1</v>
      </c>
      <c r="AA6125">
        <v>1</v>
      </c>
      <c r="AB6125">
        <v>1</v>
      </c>
    </row>
    <row r="6126" spans="1:28" x14ac:dyDescent="0.25">
      <c r="A6126" t="str">
        <f>"6122"</f>
        <v>6122</v>
      </c>
      <c r="B6126" t="str">
        <f t="shared" si="355"/>
        <v>1</v>
      </c>
      <c r="C6126" t="str">
        <f t="shared" si="354"/>
        <v>268</v>
      </c>
      <c r="D6126" t="str">
        <f>"7"</f>
        <v>7</v>
      </c>
      <c r="E6126" t="str">
        <f>"1-268-7"</f>
        <v>1-268-7</v>
      </c>
      <c r="F6126" t="s">
        <v>83</v>
      </c>
      <c r="G6126" t="s">
        <v>84</v>
      </c>
      <c r="H6126" t="s">
        <v>92</v>
      </c>
      <c r="I6126">
        <v>1</v>
      </c>
      <c r="J6126">
        <v>0</v>
      </c>
      <c r="N6126">
        <v>1</v>
      </c>
      <c r="O6126">
        <v>1</v>
      </c>
      <c r="P6126">
        <v>1</v>
      </c>
      <c r="Q6126">
        <v>1</v>
      </c>
      <c r="R6126">
        <v>1</v>
      </c>
      <c r="S6126">
        <v>1</v>
      </c>
      <c r="T6126">
        <v>1</v>
      </c>
      <c r="W6126">
        <v>1</v>
      </c>
      <c r="X6126">
        <v>1</v>
      </c>
      <c r="Y6126">
        <v>1</v>
      </c>
      <c r="Z6126">
        <v>1</v>
      </c>
      <c r="AA6126">
        <v>1</v>
      </c>
      <c r="AB6126">
        <v>1</v>
      </c>
    </row>
    <row r="6127" spans="1:28" x14ac:dyDescent="0.25">
      <c r="A6127" t="str">
        <f>"6123"</f>
        <v>6123</v>
      </c>
      <c r="B6127" t="str">
        <f t="shared" si="355"/>
        <v>1</v>
      </c>
      <c r="C6127" t="str">
        <f t="shared" ref="C6127:C6151" si="356">"269"</f>
        <v>269</v>
      </c>
      <c r="D6127" t="str">
        <f>"22"</f>
        <v>22</v>
      </c>
      <c r="E6127" t="str">
        <f>"1-269-22"</f>
        <v>1-269-22</v>
      </c>
      <c r="F6127" t="s">
        <v>83</v>
      </c>
      <c r="G6127" t="s">
        <v>84</v>
      </c>
      <c r="H6127" t="s">
        <v>92</v>
      </c>
      <c r="I6127">
        <v>1</v>
      </c>
      <c r="J6127">
        <v>1</v>
      </c>
      <c r="N6127">
        <v>1</v>
      </c>
      <c r="O6127">
        <v>1</v>
      </c>
      <c r="P6127">
        <v>1</v>
      </c>
      <c r="Q6127">
        <v>1</v>
      </c>
      <c r="R6127">
        <v>1</v>
      </c>
      <c r="S6127">
        <v>1</v>
      </c>
      <c r="T6127">
        <v>1</v>
      </c>
      <c r="W6127">
        <v>1</v>
      </c>
      <c r="X6127">
        <v>1</v>
      </c>
      <c r="Y6127">
        <v>1</v>
      </c>
      <c r="Z6127">
        <v>1</v>
      </c>
      <c r="AA6127">
        <v>1</v>
      </c>
      <c r="AB6127">
        <v>1</v>
      </c>
    </row>
    <row r="6128" spans="1:28" x14ac:dyDescent="0.25">
      <c r="A6128" t="str">
        <f>"6124"</f>
        <v>6124</v>
      </c>
      <c r="B6128" t="str">
        <f t="shared" si="355"/>
        <v>1</v>
      </c>
      <c r="C6128" t="str">
        <f t="shared" si="356"/>
        <v>269</v>
      </c>
      <c r="D6128" t="str">
        <f>"21"</f>
        <v>21</v>
      </c>
      <c r="E6128" t="str">
        <f>"1-269-21"</f>
        <v>1-269-21</v>
      </c>
      <c r="F6128" t="s">
        <v>83</v>
      </c>
      <c r="G6128" t="s">
        <v>84</v>
      </c>
      <c r="H6128" t="s">
        <v>92</v>
      </c>
      <c r="I6128">
        <v>1</v>
      </c>
      <c r="J6128">
        <v>1</v>
      </c>
      <c r="N6128">
        <v>1</v>
      </c>
      <c r="O6128">
        <v>1</v>
      </c>
      <c r="P6128">
        <v>1</v>
      </c>
      <c r="Q6128">
        <v>1</v>
      </c>
      <c r="R6128">
        <v>1</v>
      </c>
      <c r="S6128">
        <v>1</v>
      </c>
      <c r="T6128">
        <v>1</v>
      </c>
      <c r="W6128">
        <v>1</v>
      </c>
      <c r="X6128">
        <v>1</v>
      </c>
      <c r="Y6128">
        <v>1</v>
      </c>
      <c r="Z6128">
        <v>1</v>
      </c>
      <c r="AA6128">
        <v>1</v>
      </c>
      <c r="AB6128">
        <v>1</v>
      </c>
    </row>
    <row r="6129" spans="1:28" x14ac:dyDescent="0.25">
      <c r="A6129" t="str">
        <f>"6125"</f>
        <v>6125</v>
      </c>
      <c r="B6129" t="str">
        <f t="shared" si="355"/>
        <v>1</v>
      </c>
      <c r="C6129" t="str">
        <f t="shared" si="356"/>
        <v>269</v>
      </c>
      <c r="D6129" t="str">
        <f>"15"</f>
        <v>15</v>
      </c>
      <c r="E6129" t="str">
        <f>"1-269-15"</f>
        <v>1-269-15</v>
      </c>
      <c r="F6129" t="s">
        <v>83</v>
      </c>
      <c r="G6129" t="s">
        <v>84</v>
      </c>
      <c r="H6129" t="s">
        <v>92</v>
      </c>
      <c r="I6129">
        <v>1</v>
      </c>
      <c r="J6129">
        <v>1</v>
      </c>
      <c r="N6129">
        <v>1</v>
      </c>
      <c r="O6129">
        <v>1</v>
      </c>
      <c r="P6129">
        <v>1</v>
      </c>
      <c r="Q6129">
        <v>1</v>
      </c>
      <c r="R6129">
        <v>1</v>
      </c>
      <c r="S6129">
        <v>1</v>
      </c>
      <c r="T6129">
        <v>1</v>
      </c>
      <c r="W6129">
        <v>1</v>
      </c>
      <c r="X6129">
        <v>1</v>
      </c>
      <c r="Y6129">
        <v>1</v>
      </c>
      <c r="Z6129">
        <v>1</v>
      </c>
      <c r="AA6129">
        <v>1</v>
      </c>
      <c r="AB6129">
        <v>1</v>
      </c>
    </row>
    <row r="6130" spans="1:28" x14ac:dyDescent="0.25">
      <c r="A6130" t="str">
        <f>"6126"</f>
        <v>6126</v>
      </c>
      <c r="B6130" t="str">
        <f t="shared" si="355"/>
        <v>1</v>
      </c>
      <c r="C6130" t="str">
        <f t="shared" si="356"/>
        <v>269</v>
      </c>
      <c r="D6130" t="str">
        <f>"8"</f>
        <v>8</v>
      </c>
      <c r="E6130" t="str">
        <f>"1-269-8"</f>
        <v>1-269-8</v>
      </c>
      <c r="F6130" t="s">
        <v>83</v>
      </c>
      <c r="G6130" t="s">
        <v>84</v>
      </c>
      <c r="H6130" t="s">
        <v>92</v>
      </c>
      <c r="I6130">
        <v>1</v>
      </c>
      <c r="J6130">
        <v>1</v>
      </c>
      <c r="N6130">
        <v>1</v>
      </c>
      <c r="O6130">
        <v>1</v>
      </c>
      <c r="P6130">
        <v>1</v>
      </c>
      <c r="Q6130">
        <v>1</v>
      </c>
      <c r="R6130">
        <v>1</v>
      </c>
      <c r="S6130">
        <v>1</v>
      </c>
      <c r="T6130">
        <v>1</v>
      </c>
      <c r="W6130">
        <v>1</v>
      </c>
      <c r="X6130">
        <v>1</v>
      </c>
      <c r="Y6130">
        <v>1</v>
      </c>
      <c r="Z6130">
        <v>1</v>
      </c>
      <c r="AA6130">
        <v>1</v>
      </c>
      <c r="AB6130">
        <v>1</v>
      </c>
    </row>
    <row r="6131" spans="1:28" x14ac:dyDescent="0.25">
      <c r="A6131" t="str">
        <f>"6127"</f>
        <v>6127</v>
      </c>
      <c r="B6131" t="str">
        <f t="shared" si="355"/>
        <v>1</v>
      </c>
      <c r="C6131" t="str">
        <f t="shared" si="356"/>
        <v>269</v>
      </c>
      <c r="D6131" t="str">
        <f>"7"</f>
        <v>7</v>
      </c>
      <c r="E6131" t="str">
        <f>"1-269-7"</f>
        <v>1-269-7</v>
      </c>
      <c r="F6131" t="s">
        <v>83</v>
      </c>
      <c r="G6131" t="s">
        <v>84</v>
      </c>
      <c r="H6131" t="s">
        <v>92</v>
      </c>
      <c r="I6131">
        <v>1</v>
      </c>
      <c r="J6131">
        <v>1</v>
      </c>
      <c r="N6131">
        <v>1</v>
      </c>
      <c r="O6131">
        <v>1</v>
      </c>
      <c r="P6131">
        <v>1</v>
      </c>
      <c r="Q6131">
        <v>1</v>
      </c>
      <c r="R6131">
        <v>1</v>
      </c>
      <c r="S6131">
        <v>1</v>
      </c>
      <c r="T6131">
        <v>1</v>
      </c>
      <c r="W6131">
        <v>1</v>
      </c>
      <c r="X6131">
        <v>1</v>
      </c>
      <c r="Y6131">
        <v>1</v>
      </c>
      <c r="Z6131">
        <v>1</v>
      </c>
      <c r="AA6131">
        <v>1</v>
      </c>
      <c r="AB6131">
        <v>1</v>
      </c>
    </row>
    <row r="6132" spans="1:28" x14ac:dyDescent="0.25">
      <c r="A6132" t="str">
        <f>"6128"</f>
        <v>6128</v>
      </c>
      <c r="B6132" t="str">
        <f t="shared" si="355"/>
        <v>1</v>
      </c>
      <c r="C6132" t="str">
        <f t="shared" si="356"/>
        <v>269</v>
      </c>
      <c r="D6132" t="str">
        <f>"24"</f>
        <v>24</v>
      </c>
      <c r="E6132" t="str">
        <f>"1-269-24"</f>
        <v>1-269-24</v>
      </c>
      <c r="F6132" t="s">
        <v>83</v>
      </c>
      <c r="G6132" t="s">
        <v>84</v>
      </c>
      <c r="H6132" t="s">
        <v>92</v>
      </c>
      <c r="I6132">
        <v>1</v>
      </c>
      <c r="J6132">
        <v>1</v>
      </c>
      <c r="N6132">
        <v>1</v>
      </c>
      <c r="O6132">
        <v>1</v>
      </c>
      <c r="P6132">
        <v>1</v>
      </c>
      <c r="Q6132">
        <v>1</v>
      </c>
      <c r="R6132">
        <v>1</v>
      </c>
      <c r="S6132">
        <v>1</v>
      </c>
      <c r="T6132">
        <v>1</v>
      </c>
      <c r="W6132">
        <v>1</v>
      </c>
      <c r="X6132">
        <v>1</v>
      </c>
      <c r="Y6132">
        <v>1</v>
      </c>
      <c r="Z6132">
        <v>1</v>
      </c>
      <c r="AA6132">
        <v>1</v>
      </c>
      <c r="AB6132">
        <v>1</v>
      </c>
    </row>
    <row r="6133" spans="1:28" x14ac:dyDescent="0.25">
      <c r="A6133" t="str">
        <f>"6129"</f>
        <v>6129</v>
      </c>
      <c r="B6133" t="str">
        <f t="shared" si="355"/>
        <v>1</v>
      </c>
      <c r="C6133" t="str">
        <f t="shared" si="356"/>
        <v>269</v>
      </c>
      <c r="D6133" t="str">
        <f>"23"</f>
        <v>23</v>
      </c>
      <c r="E6133" t="str">
        <f>"1-269-23"</f>
        <v>1-269-23</v>
      </c>
      <c r="F6133" t="s">
        <v>83</v>
      </c>
      <c r="G6133" t="s">
        <v>84</v>
      </c>
      <c r="H6133" t="s">
        <v>92</v>
      </c>
      <c r="I6133">
        <v>1</v>
      </c>
      <c r="J6133">
        <v>1</v>
      </c>
      <c r="N6133">
        <v>1</v>
      </c>
      <c r="O6133">
        <v>1</v>
      </c>
      <c r="P6133">
        <v>1</v>
      </c>
      <c r="Q6133">
        <v>1</v>
      </c>
      <c r="R6133">
        <v>1</v>
      </c>
      <c r="S6133">
        <v>1</v>
      </c>
      <c r="T6133">
        <v>1</v>
      </c>
      <c r="W6133">
        <v>1</v>
      </c>
      <c r="X6133">
        <v>1</v>
      </c>
      <c r="Y6133">
        <v>1</v>
      </c>
      <c r="Z6133">
        <v>1</v>
      </c>
      <c r="AA6133">
        <v>1</v>
      </c>
      <c r="AB6133">
        <v>1</v>
      </c>
    </row>
    <row r="6134" spans="1:28" x14ac:dyDescent="0.25">
      <c r="A6134" t="str">
        <f>"6130"</f>
        <v>6130</v>
      </c>
      <c r="B6134" t="str">
        <f t="shared" si="355"/>
        <v>1</v>
      </c>
      <c r="C6134" t="str">
        <f t="shared" si="356"/>
        <v>269</v>
      </c>
      <c r="D6134" t="str">
        <f>"16"</f>
        <v>16</v>
      </c>
      <c r="E6134" t="str">
        <f>"1-269-16"</f>
        <v>1-269-16</v>
      </c>
      <c r="F6134" t="s">
        <v>83</v>
      </c>
      <c r="G6134" t="s">
        <v>84</v>
      </c>
      <c r="H6134" t="s">
        <v>92</v>
      </c>
      <c r="I6134">
        <v>1</v>
      </c>
      <c r="J6134">
        <v>1</v>
      </c>
      <c r="N6134">
        <v>1</v>
      </c>
      <c r="O6134">
        <v>1</v>
      </c>
      <c r="P6134">
        <v>1</v>
      </c>
      <c r="Q6134">
        <v>1</v>
      </c>
      <c r="R6134">
        <v>1</v>
      </c>
      <c r="S6134">
        <v>1</v>
      </c>
      <c r="T6134">
        <v>1</v>
      </c>
      <c r="W6134">
        <v>1</v>
      </c>
      <c r="X6134">
        <v>1</v>
      </c>
      <c r="Y6134">
        <v>1</v>
      </c>
      <c r="Z6134">
        <v>1</v>
      </c>
      <c r="AA6134">
        <v>1</v>
      </c>
      <c r="AB6134">
        <v>1</v>
      </c>
    </row>
    <row r="6135" spans="1:28" x14ac:dyDescent="0.25">
      <c r="A6135" t="str">
        <f>"6131"</f>
        <v>6131</v>
      </c>
      <c r="B6135" t="str">
        <f t="shared" si="355"/>
        <v>1</v>
      </c>
      <c r="C6135" t="str">
        <f t="shared" si="356"/>
        <v>269</v>
      </c>
      <c r="D6135" t="str">
        <f>"9"</f>
        <v>9</v>
      </c>
      <c r="E6135" t="str">
        <f>"1-269-9"</f>
        <v>1-269-9</v>
      </c>
      <c r="F6135" t="s">
        <v>83</v>
      </c>
      <c r="G6135" t="s">
        <v>84</v>
      </c>
      <c r="H6135" t="s">
        <v>92</v>
      </c>
      <c r="I6135">
        <v>1</v>
      </c>
      <c r="J6135">
        <v>1</v>
      </c>
      <c r="N6135">
        <v>1</v>
      </c>
      <c r="O6135">
        <v>1</v>
      </c>
      <c r="P6135">
        <v>1</v>
      </c>
      <c r="Q6135">
        <v>1</v>
      </c>
      <c r="R6135">
        <v>1</v>
      </c>
      <c r="S6135">
        <v>1</v>
      </c>
      <c r="T6135">
        <v>1</v>
      </c>
      <c r="W6135">
        <v>1</v>
      </c>
      <c r="X6135">
        <v>1</v>
      </c>
      <c r="Y6135">
        <v>1</v>
      </c>
      <c r="Z6135">
        <v>1</v>
      </c>
      <c r="AA6135">
        <v>1</v>
      </c>
      <c r="AB6135">
        <v>1</v>
      </c>
    </row>
    <row r="6136" spans="1:28" x14ac:dyDescent="0.25">
      <c r="A6136" t="str">
        <f>"6132"</f>
        <v>6132</v>
      </c>
      <c r="B6136" t="str">
        <f t="shared" si="355"/>
        <v>1</v>
      </c>
      <c r="C6136" t="str">
        <f t="shared" si="356"/>
        <v>269</v>
      </c>
      <c r="D6136" t="str">
        <f>"1"</f>
        <v>1</v>
      </c>
      <c r="E6136" t="str">
        <f>"1-269-1"</f>
        <v>1-269-1</v>
      </c>
      <c r="F6136" t="s">
        <v>83</v>
      </c>
      <c r="G6136" t="s">
        <v>86</v>
      </c>
      <c r="H6136" t="s">
        <v>93</v>
      </c>
      <c r="I6136">
        <v>1</v>
      </c>
      <c r="K6136">
        <v>0</v>
      </c>
      <c r="L6136">
        <v>0</v>
      </c>
      <c r="M6136">
        <v>1</v>
      </c>
      <c r="N6136">
        <v>1</v>
      </c>
      <c r="O6136">
        <v>1</v>
      </c>
      <c r="P6136">
        <v>1</v>
      </c>
      <c r="Q6136">
        <v>1</v>
      </c>
      <c r="R6136">
        <v>1</v>
      </c>
      <c r="U6136">
        <v>1</v>
      </c>
      <c r="V6136">
        <v>0</v>
      </c>
      <c r="W6136">
        <v>1</v>
      </c>
      <c r="X6136">
        <v>1</v>
      </c>
      <c r="Y6136">
        <v>1</v>
      </c>
      <c r="Z6136">
        <v>1</v>
      </c>
      <c r="AA6136">
        <v>1</v>
      </c>
      <c r="AB6136">
        <v>1</v>
      </c>
    </row>
    <row r="6137" spans="1:28" x14ac:dyDescent="0.25">
      <c r="A6137" t="str">
        <f>"6133"</f>
        <v>6133</v>
      </c>
      <c r="B6137" t="str">
        <f t="shared" si="355"/>
        <v>1</v>
      </c>
      <c r="C6137" t="str">
        <f t="shared" si="356"/>
        <v>269</v>
      </c>
      <c r="D6137" t="str">
        <f>"19"</f>
        <v>19</v>
      </c>
      <c r="E6137" t="str">
        <f>"1-269-19"</f>
        <v>1-269-19</v>
      </c>
      <c r="F6137" t="s">
        <v>83</v>
      </c>
      <c r="G6137" t="s">
        <v>84</v>
      </c>
      <c r="H6137" t="s">
        <v>92</v>
      </c>
      <c r="I6137">
        <v>1</v>
      </c>
      <c r="J6137">
        <v>1</v>
      </c>
      <c r="N6137">
        <v>1</v>
      </c>
      <c r="O6137">
        <v>1</v>
      </c>
      <c r="P6137">
        <v>1</v>
      </c>
      <c r="Q6137">
        <v>1</v>
      </c>
      <c r="R6137">
        <v>1</v>
      </c>
      <c r="S6137">
        <v>1</v>
      </c>
      <c r="T6137">
        <v>1</v>
      </c>
      <c r="W6137">
        <v>1</v>
      </c>
      <c r="X6137">
        <v>1</v>
      </c>
      <c r="Y6137">
        <v>1</v>
      </c>
      <c r="Z6137">
        <v>1</v>
      </c>
      <c r="AA6137">
        <v>1</v>
      </c>
      <c r="AB6137">
        <v>1</v>
      </c>
    </row>
    <row r="6138" spans="1:28" x14ac:dyDescent="0.25">
      <c r="A6138" t="str">
        <f>"6134"</f>
        <v>6134</v>
      </c>
      <c r="B6138" t="str">
        <f t="shared" si="355"/>
        <v>1</v>
      </c>
      <c r="C6138" t="str">
        <f t="shared" si="356"/>
        <v>269</v>
      </c>
      <c r="D6138" t="str">
        <f>"10"</f>
        <v>10</v>
      </c>
      <c r="E6138" t="str">
        <f>"1-269-10"</f>
        <v>1-269-10</v>
      </c>
      <c r="F6138" t="s">
        <v>83</v>
      </c>
      <c r="G6138" t="s">
        <v>84</v>
      </c>
      <c r="H6138" t="s">
        <v>92</v>
      </c>
      <c r="I6138">
        <v>1</v>
      </c>
      <c r="J6138">
        <v>1</v>
      </c>
      <c r="N6138">
        <v>1</v>
      </c>
      <c r="O6138">
        <v>1</v>
      </c>
      <c r="P6138">
        <v>1</v>
      </c>
      <c r="Q6138">
        <v>1</v>
      </c>
      <c r="R6138">
        <v>1</v>
      </c>
      <c r="S6138">
        <v>1</v>
      </c>
      <c r="T6138">
        <v>1</v>
      </c>
      <c r="W6138">
        <v>1</v>
      </c>
      <c r="X6138">
        <v>1</v>
      </c>
      <c r="Y6138">
        <v>1</v>
      </c>
      <c r="Z6138">
        <v>1</v>
      </c>
      <c r="AA6138">
        <v>1</v>
      </c>
      <c r="AB6138">
        <v>1</v>
      </c>
    </row>
    <row r="6139" spans="1:28" x14ac:dyDescent="0.25">
      <c r="A6139" t="str">
        <f>"6135"</f>
        <v>6135</v>
      </c>
      <c r="B6139" t="str">
        <f t="shared" si="355"/>
        <v>1</v>
      </c>
      <c r="C6139" t="str">
        <f t="shared" si="356"/>
        <v>269</v>
      </c>
      <c r="D6139" t="str">
        <f>"6"</f>
        <v>6</v>
      </c>
      <c r="E6139" t="str">
        <f>"1-269-6"</f>
        <v>1-269-6</v>
      </c>
      <c r="F6139" t="s">
        <v>83</v>
      </c>
      <c r="G6139" t="s">
        <v>84</v>
      </c>
      <c r="H6139" t="s">
        <v>92</v>
      </c>
      <c r="I6139">
        <v>1</v>
      </c>
      <c r="J6139">
        <v>1</v>
      </c>
      <c r="N6139">
        <v>1</v>
      </c>
      <c r="O6139">
        <v>1</v>
      </c>
      <c r="P6139">
        <v>1</v>
      </c>
      <c r="Q6139">
        <v>1</v>
      </c>
      <c r="R6139">
        <v>1</v>
      </c>
      <c r="S6139">
        <v>1</v>
      </c>
      <c r="T6139">
        <v>1</v>
      </c>
      <c r="W6139">
        <v>1</v>
      </c>
      <c r="X6139">
        <v>1</v>
      </c>
      <c r="Y6139">
        <v>1</v>
      </c>
      <c r="Z6139">
        <v>1</v>
      </c>
      <c r="AA6139">
        <v>1</v>
      </c>
      <c r="AB6139">
        <v>1</v>
      </c>
    </row>
    <row r="6140" spans="1:28" x14ac:dyDescent="0.25">
      <c r="A6140" t="str">
        <f>"6136"</f>
        <v>6136</v>
      </c>
      <c r="B6140" t="str">
        <f t="shared" si="355"/>
        <v>1</v>
      </c>
      <c r="C6140" t="str">
        <f t="shared" si="356"/>
        <v>269</v>
      </c>
      <c r="D6140" t="str">
        <f>"18"</f>
        <v>18</v>
      </c>
      <c r="E6140" t="str">
        <f>"1-269-18"</f>
        <v>1-269-18</v>
      </c>
      <c r="F6140" t="s">
        <v>83</v>
      </c>
      <c r="G6140" t="s">
        <v>84</v>
      </c>
      <c r="H6140" t="s">
        <v>92</v>
      </c>
      <c r="I6140">
        <v>1</v>
      </c>
      <c r="J6140">
        <v>1</v>
      </c>
      <c r="N6140">
        <v>1</v>
      </c>
      <c r="O6140">
        <v>1</v>
      </c>
      <c r="P6140">
        <v>1</v>
      </c>
      <c r="Q6140">
        <v>1</v>
      </c>
      <c r="R6140">
        <v>1</v>
      </c>
      <c r="S6140">
        <v>1</v>
      </c>
      <c r="T6140">
        <v>1</v>
      </c>
      <c r="W6140">
        <v>1</v>
      </c>
      <c r="X6140">
        <v>1</v>
      </c>
      <c r="Y6140">
        <v>1</v>
      </c>
      <c r="Z6140">
        <v>1</v>
      </c>
      <c r="AA6140">
        <v>1</v>
      </c>
      <c r="AB6140">
        <v>1</v>
      </c>
    </row>
    <row r="6141" spans="1:28" x14ac:dyDescent="0.25">
      <c r="A6141" t="str">
        <f>"6137"</f>
        <v>6137</v>
      </c>
      <c r="B6141" t="str">
        <f t="shared" si="355"/>
        <v>1</v>
      </c>
      <c r="C6141" t="str">
        <f t="shared" si="356"/>
        <v>269</v>
      </c>
      <c r="D6141" t="str">
        <f>"11"</f>
        <v>11</v>
      </c>
      <c r="E6141" t="str">
        <f>"1-269-11"</f>
        <v>1-269-11</v>
      </c>
      <c r="F6141" t="s">
        <v>83</v>
      </c>
      <c r="G6141" t="s">
        <v>84</v>
      </c>
      <c r="H6141" t="s">
        <v>92</v>
      </c>
      <c r="I6141">
        <v>1</v>
      </c>
      <c r="J6141">
        <v>1</v>
      </c>
      <c r="N6141">
        <v>1</v>
      </c>
      <c r="O6141">
        <v>1</v>
      </c>
      <c r="P6141">
        <v>1</v>
      </c>
      <c r="Q6141">
        <v>1</v>
      </c>
      <c r="R6141">
        <v>1</v>
      </c>
      <c r="S6141">
        <v>1</v>
      </c>
      <c r="T6141">
        <v>1</v>
      </c>
      <c r="W6141">
        <v>1</v>
      </c>
      <c r="X6141">
        <v>1</v>
      </c>
      <c r="Y6141">
        <v>1</v>
      </c>
      <c r="Z6141">
        <v>1</v>
      </c>
      <c r="AA6141">
        <v>1</v>
      </c>
      <c r="AB6141">
        <v>1</v>
      </c>
    </row>
    <row r="6142" spans="1:28" x14ac:dyDescent="0.25">
      <c r="A6142" t="str">
        <f>"6138"</f>
        <v>6138</v>
      </c>
      <c r="B6142" t="str">
        <f t="shared" si="355"/>
        <v>1</v>
      </c>
      <c r="C6142" t="str">
        <f t="shared" si="356"/>
        <v>269</v>
      </c>
      <c r="D6142" t="str">
        <f>"3"</f>
        <v>3</v>
      </c>
      <c r="E6142" t="str">
        <f>"1-269-3"</f>
        <v>1-269-3</v>
      </c>
      <c r="F6142" t="s">
        <v>83</v>
      </c>
      <c r="G6142" t="s">
        <v>84</v>
      </c>
      <c r="H6142" t="s">
        <v>92</v>
      </c>
      <c r="I6142">
        <v>1</v>
      </c>
      <c r="J6142">
        <v>1</v>
      </c>
      <c r="N6142">
        <v>1</v>
      </c>
      <c r="O6142">
        <v>1</v>
      </c>
      <c r="P6142">
        <v>1</v>
      </c>
      <c r="Q6142">
        <v>1</v>
      </c>
      <c r="R6142">
        <v>1</v>
      </c>
      <c r="S6142">
        <v>1</v>
      </c>
      <c r="T6142">
        <v>1</v>
      </c>
      <c r="W6142">
        <v>1</v>
      </c>
      <c r="X6142">
        <v>1</v>
      </c>
      <c r="Y6142">
        <v>1</v>
      </c>
      <c r="Z6142">
        <v>1</v>
      </c>
      <c r="AA6142">
        <v>1</v>
      </c>
      <c r="AB6142">
        <v>1</v>
      </c>
    </row>
    <row r="6143" spans="1:28" x14ac:dyDescent="0.25">
      <c r="A6143" t="str">
        <f>"6139"</f>
        <v>6139</v>
      </c>
      <c r="B6143" t="str">
        <f t="shared" si="355"/>
        <v>1</v>
      </c>
      <c r="C6143" t="str">
        <f t="shared" si="356"/>
        <v>269</v>
      </c>
      <c r="D6143" t="str">
        <f>"17"</f>
        <v>17</v>
      </c>
      <c r="E6143" t="str">
        <f>"1-269-17"</f>
        <v>1-269-17</v>
      </c>
      <c r="F6143" t="s">
        <v>83</v>
      </c>
      <c r="G6143" t="s">
        <v>84</v>
      </c>
      <c r="H6143" t="s">
        <v>92</v>
      </c>
      <c r="I6143">
        <v>1</v>
      </c>
      <c r="J6143">
        <v>1</v>
      </c>
      <c r="N6143">
        <v>1</v>
      </c>
      <c r="O6143">
        <v>1</v>
      </c>
      <c r="P6143">
        <v>1</v>
      </c>
      <c r="Q6143">
        <v>1</v>
      </c>
      <c r="R6143">
        <v>1</v>
      </c>
      <c r="S6143">
        <v>1</v>
      </c>
      <c r="T6143">
        <v>1</v>
      </c>
      <c r="W6143">
        <v>1</v>
      </c>
      <c r="X6143">
        <v>1</v>
      </c>
      <c r="Y6143">
        <v>1</v>
      </c>
      <c r="Z6143">
        <v>1</v>
      </c>
      <c r="AA6143">
        <v>1</v>
      </c>
      <c r="AB6143">
        <v>1</v>
      </c>
    </row>
    <row r="6144" spans="1:28" x14ac:dyDescent="0.25">
      <c r="A6144" t="str">
        <f>"6140"</f>
        <v>6140</v>
      </c>
      <c r="B6144" t="str">
        <f t="shared" si="355"/>
        <v>1</v>
      </c>
      <c r="C6144" t="str">
        <f t="shared" si="356"/>
        <v>269</v>
      </c>
      <c r="D6144" t="str">
        <f>"12"</f>
        <v>12</v>
      </c>
      <c r="E6144" t="str">
        <f>"1-269-12"</f>
        <v>1-269-12</v>
      </c>
      <c r="F6144" t="s">
        <v>83</v>
      </c>
      <c r="G6144" t="s">
        <v>84</v>
      </c>
      <c r="H6144" t="s">
        <v>92</v>
      </c>
      <c r="I6144">
        <v>1</v>
      </c>
      <c r="J6144">
        <v>1</v>
      </c>
      <c r="N6144">
        <v>1</v>
      </c>
      <c r="O6144">
        <v>1</v>
      </c>
      <c r="P6144">
        <v>1</v>
      </c>
      <c r="Q6144">
        <v>1</v>
      </c>
      <c r="R6144">
        <v>1</v>
      </c>
      <c r="S6144">
        <v>1</v>
      </c>
      <c r="T6144">
        <v>1</v>
      </c>
      <c r="W6144">
        <v>1</v>
      </c>
      <c r="X6144">
        <v>1</v>
      </c>
      <c r="Y6144">
        <v>1</v>
      </c>
      <c r="Z6144">
        <v>1</v>
      </c>
      <c r="AA6144">
        <v>1</v>
      </c>
      <c r="AB6144">
        <v>1</v>
      </c>
    </row>
    <row r="6145" spans="1:49" x14ac:dyDescent="0.25">
      <c r="A6145" t="str">
        <f>"6141"</f>
        <v>6141</v>
      </c>
      <c r="B6145" t="str">
        <f t="shared" si="355"/>
        <v>1</v>
      </c>
      <c r="C6145" t="str">
        <f t="shared" si="356"/>
        <v>269</v>
      </c>
      <c r="D6145" t="str">
        <f>"2"</f>
        <v>2</v>
      </c>
      <c r="E6145" t="str">
        <f>"1-269-2"</f>
        <v>1-269-2</v>
      </c>
      <c r="F6145" t="s">
        <v>83</v>
      </c>
      <c r="G6145" t="s">
        <v>86</v>
      </c>
      <c r="H6145" t="s">
        <v>93</v>
      </c>
      <c r="I6145">
        <v>1</v>
      </c>
      <c r="K6145">
        <v>0</v>
      </c>
      <c r="L6145">
        <v>0</v>
      </c>
      <c r="M6145">
        <v>1</v>
      </c>
      <c r="N6145">
        <v>1</v>
      </c>
      <c r="O6145">
        <v>1</v>
      </c>
      <c r="P6145">
        <v>1</v>
      </c>
      <c r="Q6145">
        <v>1</v>
      </c>
      <c r="R6145">
        <v>1</v>
      </c>
      <c r="U6145">
        <v>1</v>
      </c>
      <c r="V6145">
        <v>0</v>
      </c>
      <c r="W6145">
        <v>1</v>
      </c>
      <c r="X6145">
        <v>1</v>
      </c>
      <c r="Y6145">
        <v>1</v>
      </c>
      <c r="Z6145">
        <v>1</v>
      </c>
      <c r="AA6145">
        <v>1</v>
      </c>
      <c r="AB6145">
        <v>1</v>
      </c>
    </row>
    <row r="6146" spans="1:49" x14ac:dyDescent="0.25">
      <c r="A6146" t="str">
        <f>"6142"</f>
        <v>6142</v>
      </c>
      <c r="B6146" t="str">
        <f t="shared" si="355"/>
        <v>1</v>
      </c>
      <c r="C6146" t="str">
        <f t="shared" si="356"/>
        <v>269</v>
      </c>
      <c r="D6146" t="str">
        <f>"20"</f>
        <v>20</v>
      </c>
      <c r="E6146" t="str">
        <f>"1-269-20"</f>
        <v>1-269-20</v>
      </c>
      <c r="F6146" t="s">
        <v>83</v>
      </c>
      <c r="G6146" t="s">
        <v>84</v>
      </c>
      <c r="H6146" t="s">
        <v>92</v>
      </c>
      <c r="I6146">
        <v>1</v>
      </c>
      <c r="J6146">
        <v>1</v>
      </c>
      <c r="N6146">
        <v>1</v>
      </c>
      <c r="O6146">
        <v>1</v>
      </c>
      <c r="P6146">
        <v>1</v>
      </c>
      <c r="Q6146">
        <v>1</v>
      </c>
      <c r="R6146">
        <v>1</v>
      </c>
      <c r="S6146">
        <v>1</v>
      </c>
      <c r="T6146">
        <v>1</v>
      </c>
      <c r="W6146">
        <v>1</v>
      </c>
      <c r="X6146">
        <v>1</v>
      </c>
      <c r="Y6146">
        <v>1</v>
      </c>
      <c r="Z6146">
        <v>1</v>
      </c>
      <c r="AA6146">
        <v>1</v>
      </c>
      <c r="AB6146">
        <v>1</v>
      </c>
    </row>
    <row r="6147" spans="1:49" x14ac:dyDescent="0.25">
      <c r="A6147" t="str">
        <f>"6143"</f>
        <v>6143</v>
      </c>
      <c r="B6147" t="str">
        <f t="shared" si="355"/>
        <v>1</v>
      </c>
      <c r="C6147" t="str">
        <f t="shared" si="356"/>
        <v>269</v>
      </c>
      <c r="D6147" t="str">
        <f>"13"</f>
        <v>13</v>
      </c>
      <c r="E6147" t="str">
        <f>"1-269-13"</f>
        <v>1-269-13</v>
      </c>
      <c r="F6147" t="s">
        <v>83</v>
      </c>
      <c r="G6147" t="s">
        <v>84</v>
      </c>
      <c r="H6147" t="s">
        <v>92</v>
      </c>
      <c r="I6147">
        <v>1</v>
      </c>
      <c r="J6147">
        <v>1</v>
      </c>
      <c r="N6147">
        <v>1</v>
      </c>
      <c r="O6147">
        <v>1</v>
      </c>
      <c r="P6147">
        <v>1</v>
      </c>
      <c r="Q6147">
        <v>1</v>
      </c>
      <c r="R6147">
        <v>1</v>
      </c>
      <c r="S6147">
        <v>1</v>
      </c>
      <c r="T6147">
        <v>1</v>
      </c>
      <c r="W6147">
        <v>1</v>
      </c>
      <c r="X6147">
        <v>1</v>
      </c>
      <c r="Y6147">
        <v>1</v>
      </c>
      <c r="Z6147">
        <v>1</v>
      </c>
      <c r="AA6147">
        <v>1</v>
      </c>
      <c r="AB6147">
        <v>1</v>
      </c>
    </row>
    <row r="6148" spans="1:49" x14ac:dyDescent="0.25">
      <c r="A6148" t="str">
        <f>"6144"</f>
        <v>6144</v>
      </c>
      <c r="B6148" t="str">
        <f t="shared" si="355"/>
        <v>1</v>
      </c>
      <c r="C6148" t="str">
        <f t="shared" si="356"/>
        <v>269</v>
      </c>
      <c r="D6148" t="str">
        <f>"4"</f>
        <v>4</v>
      </c>
      <c r="E6148" t="str">
        <f>"1-269-4"</f>
        <v>1-269-4</v>
      </c>
      <c r="F6148" t="s">
        <v>83</v>
      </c>
      <c r="G6148" t="s">
        <v>84</v>
      </c>
      <c r="H6148" t="s">
        <v>92</v>
      </c>
      <c r="I6148">
        <v>1</v>
      </c>
      <c r="J6148">
        <v>0</v>
      </c>
      <c r="N6148">
        <v>1</v>
      </c>
      <c r="O6148">
        <v>0</v>
      </c>
      <c r="P6148">
        <v>0</v>
      </c>
      <c r="Q6148">
        <v>0</v>
      </c>
      <c r="R6148">
        <v>0</v>
      </c>
      <c r="S6148">
        <v>0</v>
      </c>
      <c r="T6148">
        <v>0</v>
      </c>
      <c r="W6148">
        <v>0</v>
      </c>
      <c r="X6148">
        <v>0</v>
      </c>
      <c r="Y6148">
        <v>0</v>
      </c>
      <c r="Z6148">
        <v>0</v>
      </c>
      <c r="AA6148">
        <v>0</v>
      </c>
      <c r="AB6148">
        <v>0</v>
      </c>
    </row>
    <row r="6149" spans="1:49" x14ac:dyDescent="0.25">
      <c r="A6149" t="str">
        <f>"6145"</f>
        <v>6145</v>
      </c>
      <c r="B6149" t="str">
        <f t="shared" si="355"/>
        <v>1</v>
      </c>
      <c r="C6149" t="str">
        <f t="shared" si="356"/>
        <v>269</v>
      </c>
      <c r="D6149" t="str">
        <f>"25"</f>
        <v>25</v>
      </c>
      <c r="E6149" t="str">
        <f>"1-269-25"</f>
        <v>1-269-25</v>
      </c>
      <c r="F6149" t="s">
        <v>83</v>
      </c>
      <c r="G6149" t="s">
        <v>84</v>
      </c>
      <c r="H6149" t="s">
        <v>92</v>
      </c>
      <c r="I6149">
        <v>1</v>
      </c>
      <c r="J6149">
        <v>1</v>
      </c>
      <c r="N6149">
        <v>1</v>
      </c>
      <c r="O6149">
        <v>1</v>
      </c>
      <c r="P6149">
        <v>1</v>
      </c>
      <c r="Q6149">
        <v>1</v>
      </c>
      <c r="R6149">
        <v>1</v>
      </c>
      <c r="S6149">
        <v>1</v>
      </c>
      <c r="T6149">
        <v>1</v>
      </c>
      <c r="W6149">
        <v>1</v>
      </c>
      <c r="X6149">
        <v>1</v>
      </c>
      <c r="Y6149">
        <v>1</v>
      </c>
      <c r="Z6149">
        <v>1</v>
      </c>
      <c r="AA6149">
        <v>1</v>
      </c>
      <c r="AB6149">
        <v>1</v>
      </c>
    </row>
    <row r="6150" spans="1:49" x14ac:dyDescent="0.25">
      <c r="A6150" t="str">
        <f>"6146"</f>
        <v>6146</v>
      </c>
      <c r="B6150" t="str">
        <f t="shared" si="355"/>
        <v>1</v>
      </c>
      <c r="C6150" t="str">
        <f t="shared" si="356"/>
        <v>269</v>
      </c>
      <c r="D6150" t="str">
        <f>"14"</f>
        <v>14</v>
      </c>
      <c r="E6150" t="str">
        <f>"1-269-14"</f>
        <v>1-269-14</v>
      </c>
      <c r="F6150" t="s">
        <v>83</v>
      </c>
      <c r="G6150" t="s">
        <v>84</v>
      </c>
      <c r="H6150" t="s">
        <v>92</v>
      </c>
      <c r="I6150">
        <v>1</v>
      </c>
      <c r="J6150">
        <v>1</v>
      </c>
      <c r="N6150">
        <v>1</v>
      </c>
      <c r="O6150">
        <v>1</v>
      </c>
      <c r="P6150">
        <v>1</v>
      </c>
      <c r="Q6150">
        <v>1</v>
      </c>
      <c r="R6150">
        <v>1</v>
      </c>
      <c r="S6150">
        <v>1</v>
      </c>
      <c r="T6150">
        <v>1</v>
      </c>
      <c r="W6150">
        <v>1</v>
      </c>
      <c r="X6150">
        <v>1</v>
      </c>
      <c r="Y6150">
        <v>1</v>
      </c>
      <c r="Z6150">
        <v>1</v>
      </c>
      <c r="AA6150">
        <v>1</v>
      </c>
      <c r="AB6150">
        <v>1</v>
      </c>
    </row>
    <row r="6151" spans="1:49" x14ac:dyDescent="0.25">
      <c r="A6151" t="str">
        <f>"6147"</f>
        <v>6147</v>
      </c>
      <c r="B6151" t="str">
        <f t="shared" si="355"/>
        <v>1</v>
      </c>
      <c r="C6151" t="str">
        <f t="shared" si="356"/>
        <v>269</v>
      </c>
      <c r="D6151" t="str">
        <f>"5"</f>
        <v>5</v>
      </c>
      <c r="E6151" t="str">
        <f>"1-269-5"</f>
        <v>1-269-5</v>
      </c>
      <c r="F6151" t="s">
        <v>83</v>
      </c>
      <c r="G6151" t="s">
        <v>84</v>
      </c>
      <c r="H6151" t="s">
        <v>92</v>
      </c>
      <c r="I6151">
        <v>1</v>
      </c>
      <c r="J6151">
        <v>1</v>
      </c>
      <c r="N6151">
        <v>1</v>
      </c>
      <c r="O6151">
        <v>1</v>
      </c>
      <c r="P6151">
        <v>1</v>
      </c>
      <c r="Q6151">
        <v>1</v>
      </c>
      <c r="R6151">
        <v>1</v>
      </c>
      <c r="S6151">
        <v>1</v>
      </c>
      <c r="T6151">
        <v>1</v>
      </c>
      <c r="W6151">
        <v>1</v>
      </c>
      <c r="X6151">
        <v>1</v>
      </c>
      <c r="Y6151">
        <v>1</v>
      </c>
      <c r="Z6151">
        <v>1</v>
      </c>
      <c r="AA6151">
        <v>1</v>
      </c>
      <c r="AB6151">
        <v>1</v>
      </c>
    </row>
    <row r="6152" spans="1:49" x14ac:dyDescent="0.25">
      <c r="A6152" t="str">
        <f>"6148"</f>
        <v>6148</v>
      </c>
      <c r="B6152" t="str">
        <f t="shared" si="355"/>
        <v>1</v>
      </c>
      <c r="C6152" t="str">
        <f t="shared" ref="C6152:C6173" si="357">"270"</f>
        <v>270</v>
      </c>
      <c r="D6152" t="str">
        <f>"22"</f>
        <v>22</v>
      </c>
      <c r="E6152" t="str">
        <f>"1-270-22"</f>
        <v>1-270-22</v>
      </c>
      <c r="F6152" t="s">
        <v>83</v>
      </c>
      <c r="G6152" t="s">
        <v>84</v>
      </c>
      <c r="H6152" t="s">
        <v>85</v>
      </c>
      <c r="AC6152">
        <v>1</v>
      </c>
      <c r="AD6152">
        <v>0</v>
      </c>
      <c r="AE6152">
        <v>0</v>
      </c>
      <c r="AF6152">
        <v>0</v>
      </c>
      <c r="AG6152">
        <v>0</v>
      </c>
      <c r="AJ6152">
        <v>0</v>
      </c>
      <c r="AK6152">
        <v>1</v>
      </c>
      <c r="AL6152">
        <v>1</v>
      </c>
      <c r="AM6152">
        <v>0</v>
      </c>
      <c r="AN6152">
        <v>0</v>
      </c>
      <c r="AO6152">
        <v>0</v>
      </c>
      <c r="AP6152">
        <v>0</v>
      </c>
      <c r="AQ6152">
        <v>0</v>
      </c>
      <c r="AR6152">
        <v>1</v>
      </c>
      <c r="AS6152">
        <v>0</v>
      </c>
      <c r="AT6152">
        <v>1</v>
      </c>
      <c r="AV6152">
        <v>0</v>
      </c>
      <c r="AW6152">
        <v>1</v>
      </c>
    </row>
    <row r="6153" spans="1:49" x14ac:dyDescent="0.25">
      <c r="A6153" t="str">
        <f>"6149"</f>
        <v>6149</v>
      </c>
      <c r="B6153" t="str">
        <f t="shared" si="355"/>
        <v>1</v>
      </c>
      <c r="C6153" t="str">
        <f t="shared" si="357"/>
        <v>270</v>
      </c>
      <c r="D6153" t="str">
        <f>"15"</f>
        <v>15</v>
      </c>
      <c r="E6153" t="str">
        <f>"1-270-15"</f>
        <v>1-270-15</v>
      </c>
      <c r="F6153" t="s">
        <v>83</v>
      </c>
      <c r="G6153" t="s">
        <v>84</v>
      </c>
      <c r="H6153" t="s">
        <v>85</v>
      </c>
      <c r="AC6153">
        <v>0</v>
      </c>
      <c r="AD6153">
        <v>1</v>
      </c>
      <c r="AE6153">
        <v>0</v>
      </c>
      <c r="AF6153">
        <v>0</v>
      </c>
      <c r="AG6153">
        <v>1</v>
      </c>
      <c r="AJ6153">
        <v>0</v>
      </c>
      <c r="AK6153">
        <v>1</v>
      </c>
      <c r="AL6153">
        <v>1</v>
      </c>
      <c r="AM6153">
        <v>0</v>
      </c>
      <c r="AN6153">
        <v>0</v>
      </c>
      <c r="AO6153">
        <v>1</v>
      </c>
      <c r="AP6153">
        <v>1</v>
      </c>
      <c r="AQ6153">
        <v>1</v>
      </c>
      <c r="AR6153">
        <v>1</v>
      </c>
      <c r="AS6153">
        <v>0</v>
      </c>
      <c r="AT6153">
        <v>1</v>
      </c>
      <c r="AV6153">
        <v>1</v>
      </c>
      <c r="AW6153">
        <v>1</v>
      </c>
    </row>
    <row r="6154" spans="1:49" x14ac:dyDescent="0.25">
      <c r="A6154" t="str">
        <f>"6150"</f>
        <v>6150</v>
      </c>
      <c r="B6154" t="str">
        <f t="shared" si="355"/>
        <v>1</v>
      </c>
      <c r="C6154" t="str">
        <f t="shared" si="357"/>
        <v>270</v>
      </c>
      <c r="D6154" t="str">
        <f>"8"</f>
        <v>8</v>
      </c>
      <c r="E6154" t="str">
        <f>"1-270-8"</f>
        <v>1-270-8</v>
      </c>
      <c r="F6154" t="s">
        <v>83</v>
      </c>
      <c r="G6154" t="s">
        <v>84</v>
      </c>
      <c r="H6154" t="s">
        <v>85</v>
      </c>
      <c r="AC6154">
        <v>0</v>
      </c>
      <c r="AD6154">
        <v>1</v>
      </c>
      <c r="AE6154">
        <v>0</v>
      </c>
      <c r="AF6154">
        <v>0</v>
      </c>
      <c r="AG6154">
        <v>1</v>
      </c>
      <c r="AJ6154">
        <v>1</v>
      </c>
      <c r="AK6154">
        <v>0</v>
      </c>
      <c r="AL6154">
        <v>1</v>
      </c>
      <c r="AM6154">
        <v>0</v>
      </c>
      <c r="AN6154">
        <v>0</v>
      </c>
      <c r="AO6154">
        <v>1</v>
      </c>
      <c r="AP6154">
        <v>1</v>
      </c>
      <c r="AQ6154">
        <v>1</v>
      </c>
      <c r="AR6154">
        <v>1</v>
      </c>
      <c r="AS6154">
        <v>1</v>
      </c>
      <c r="AT6154">
        <v>0</v>
      </c>
      <c r="AV6154">
        <v>1</v>
      </c>
      <c r="AW6154">
        <v>1</v>
      </c>
    </row>
    <row r="6155" spans="1:49" x14ac:dyDescent="0.25">
      <c r="A6155" t="str">
        <f>"6151"</f>
        <v>6151</v>
      </c>
      <c r="B6155" t="str">
        <f t="shared" si="355"/>
        <v>1</v>
      </c>
      <c r="C6155" t="str">
        <f t="shared" si="357"/>
        <v>270</v>
      </c>
      <c r="D6155" t="str">
        <f>"1"</f>
        <v>1</v>
      </c>
      <c r="E6155" t="str">
        <f>"1-270-1"</f>
        <v>1-270-1</v>
      </c>
      <c r="F6155" t="s">
        <v>83</v>
      </c>
      <c r="G6155" t="s">
        <v>84</v>
      </c>
      <c r="H6155" t="s">
        <v>85</v>
      </c>
      <c r="AC6155">
        <v>0</v>
      </c>
      <c r="AD6155">
        <v>0</v>
      </c>
      <c r="AE6155">
        <v>0</v>
      </c>
      <c r="AF6155">
        <v>0</v>
      </c>
      <c r="AG6155">
        <v>0</v>
      </c>
      <c r="AJ6155">
        <v>0</v>
      </c>
      <c r="AK6155">
        <v>1</v>
      </c>
      <c r="AL6155">
        <v>0</v>
      </c>
      <c r="AM6155">
        <v>0</v>
      </c>
      <c r="AN6155">
        <v>0</v>
      </c>
      <c r="AO6155">
        <v>0</v>
      </c>
      <c r="AP6155">
        <v>0</v>
      </c>
      <c r="AQ6155">
        <v>0</v>
      </c>
      <c r="AR6155">
        <v>1</v>
      </c>
      <c r="AS6155">
        <v>0</v>
      </c>
      <c r="AT6155">
        <v>1</v>
      </c>
      <c r="AV6155">
        <v>1</v>
      </c>
      <c r="AW6155">
        <v>1</v>
      </c>
    </row>
    <row r="6156" spans="1:49" x14ac:dyDescent="0.25">
      <c r="A6156" t="str">
        <f>"6152"</f>
        <v>6152</v>
      </c>
      <c r="B6156" t="str">
        <f t="shared" si="355"/>
        <v>1</v>
      </c>
      <c r="C6156" t="str">
        <f t="shared" si="357"/>
        <v>270</v>
      </c>
      <c r="D6156" t="str">
        <f>"16"</f>
        <v>16</v>
      </c>
      <c r="E6156" t="str">
        <f>"1-270-16"</f>
        <v>1-270-16</v>
      </c>
      <c r="F6156" t="s">
        <v>83</v>
      </c>
      <c r="G6156" t="s">
        <v>84</v>
      </c>
      <c r="H6156" t="s">
        <v>85</v>
      </c>
      <c r="AC6156">
        <v>0</v>
      </c>
      <c r="AD6156">
        <v>1</v>
      </c>
      <c r="AE6156">
        <v>0</v>
      </c>
      <c r="AF6156">
        <v>0</v>
      </c>
      <c r="AG6156">
        <v>1</v>
      </c>
      <c r="AJ6156">
        <v>0</v>
      </c>
      <c r="AK6156">
        <v>1</v>
      </c>
      <c r="AL6156">
        <v>1</v>
      </c>
      <c r="AM6156">
        <v>0</v>
      </c>
      <c r="AN6156">
        <v>0</v>
      </c>
      <c r="AO6156">
        <v>1</v>
      </c>
      <c r="AP6156">
        <v>1</v>
      </c>
      <c r="AQ6156">
        <v>1</v>
      </c>
      <c r="AR6156">
        <v>1</v>
      </c>
      <c r="AS6156">
        <v>0</v>
      </c>
      <c r="AT6156">
        <v>1</v>
      </c>
      <c r="AV6156">
        <v>1</v>
      </c>
      <c r="AW6156">
        <v>1</v>
      </c>
    </row>
    <row r="6157" spans="1:49" x14ac:dyDescent="0.25">
      <c r="A6157" t="str">
        <f>"6153"</f>
        <v>6153</v>
      </c>
      <c r="B6157" t="str">
        <f t="shared" si="355"/>
        <v>1</v>
      </c>
      <c r="C6157" t="str">
        <f t="shared" si="357"/>
        <v>270</v>
      </c>
      <c r="D6157" t="str">
        <f>"9"</f>
        <v>9</v>
      </c>
      <c r="E6157" t="str">
        <f>"1-270-9"</f>
        <v>1-270-9</v>
      </c>
      <c r="F6157" t="s">
        <v>83</v>
      </c>
      <c r="G6157" t="s">
        <v>84</v>
      </c>
      <c r="H6157" t="s">
        <v>85</v>
      </c>
      <c r="AC6157">
        <v>1</v>
      </c>
      <c r="AD6157">
        <v>0</v>
      </c>
      <c r="AE6157">
        <v>0</v>
      </c>
      <c r="AF6157">
        <v>0</v>
      </c>
      <c r="AG6157">
        <v>1</v>
      </c>
      <c r="AJ6157">
        <v>0</v>
      </c>
      <c r="AK6157">
        <v>1</v>
      </c>
      <c r="AL6157">
        <v>0</v>
      </c>
      <c r="AM6157">
        <v>1</v>
      </c>
      <c r="AN6157">
        <v>0</v>
      </c>
      <c r="AO6157">
        <v>1</v>
      </c>
      <c r="AP6157">
        <v>1</v>
      </c>
      <c r="AQ6157">
        <v>1</v>
      </c>
      <c r="AR6157">
        <v>1</v>
      </c>
      <c r="AS6157">
        <v>0</v>
      </c>
      <c r="AT6157">
        <v>1</v>
      </c>
      <c r="AV6157">
        <v>1</v>
      </c>
      <c r="AW6157">
        <v>1</v>
      </c>
    </row>
    <row r="6158" spans="1:49" x14ac:dyDescent="0.25">
      <c r="A6158" t="str">
        <f>"6154"</f>
        <v>6154</v>
      </c>
      <c r="B6158" t="str">
        <f t="shared" si="355"/>
        <v>1</v>
      </c>
      <c r="C6158" t="str">
        <f t="shared" si="357"/>
        <v>270</v>
      </c>
      <c r="D6158" t="str">
        <f>"7"</f>
        <v>7</v>
      </c>
      <c r="E6158" t="str">
        <f>"1-270-7"</f>
        <v>1-270-7</v>
      </c>
      <c r="F6158" t="s">
        <v>83</v>
      </c>
      <c r="G6158" t="s">
        <v>84</v>
      </c>
      <c r="H6158" t="s">
        <v>85</v>
      </c>
      <c r="AC6158">
        <v>1</v>
      </c>
      <c r="AD6158">
        <v>0</v>
      </c>
      <c r="AE6158">
        <v>0</v>
      </c>
      <c r="AF6158">
        <v>0</v>
      </c>
      <c r="AG6158">
        <v>1</v>
      </c>
      <c r="AJ6158">
        <v>1</v>
      </c>
      <c r="AK6158">
        <v>0</v>
      </c>
      <c r="AL6158">
        <v>1</v>
      </c>
      <c r="AM6158">
        <v>0</v>
      </c>
      <c r="AN6158">
        <v>0</v>
      </c>
      <c r="AO6158">
        <v>1</v>
      </c>
      <c r="AP6158">
        <v>1</v>
      </c>
      <c r="AQ6158">
        <v>1</v>
      </c>
      <c r="AR6158">
        <v>1</v>
      </c>
      <c r="AS6158">
        <v>0</v>
      </c>
      <c r="AT6158">
        <v>1</v>
      </c>
      <c r="AV6158">
        <v>1</v>
      </c>
      <c r="AW6158">
        <v>1</v>
      </c>
    </row>
    <row r="6159" spans="1:49" x14ac:dyDescent="0.25">
      <c r="A6159" t="str">
        <f>"6155"</f>
        <v>6155</v>
      </c>
      <c r="B6159" t="str">
        <f t="shared" si="355"/>
        <v>1</v>
      </c>
      <c r="C6159" t="str">
        <f t="shared" si="357"/>
        <v>270</v>
      </c>
      <c r="D6159" t="str">
        <f>"17"</f>
        <v>17</v>
      </c>
      <c r="E6159" t="str">
        <f>"1-270-17"</f>
        <v>1-270-17</v>
      </c>
      <c r="F6159" t="s">
        <v>83</v>
      </c>
      <c r="G6159" t="s">
        <v>84</v>
      </c>
      <c r="H6159" t="s">
        <v>85</v>
      </c>
      <c r="AC6159">
        <v>1</v>
      </c>
      <c r="AD6159">
        <v>0</v>
      </c>
      <c r="AE6159">
        <v>0</v>
      </c>
      <c r="AF6159">
        <v>0</v>
      </c>
      <c r="AG6159">
        <v>1</v>
      </c>
      <c r="AJ6159">
        <v>1</v>
      </c>
      <c r="AK6159">
        <v>0</v>
      </c>
      <c r="AL6159">
        <v>1</v>
      </c>
      <c r="AM6159">
        <v>0</v>
      </c>
      <c r="AN6159">
        <v>0</v>
      </c>
      <c r="AO6159">
        <v>1</v>
      </c>
      <c r="AP6159">
        <v>1</v>
      </c>
      <c r="AQ6159">
        <v>1</v>
      </c>
      <c r="AR6159">
        <v>1</v>
      </c>
      <c r="AS6159">
        <v>0</v>
      </c>
      <c r="AT6159">
        <v>1</v>
      </c>
      <c r="AV6159">
        <v>1</v>
      </c>
      <c r="AW6159">
        <v>1</v>
      </c>
    </row>
    <row r="6160" spans="1:49" x14ac:dyDescent="0.25">
      <c r="A6160" t="str">
        <f>"6156"</f>
        <v>6156</v>
      </c>
      <c r="B6160" t="str">
        <f t="shared" si="355"/>
        <v>1</v>
      </c>
      <c r="C6160" t="str">
        <f t="shared" si="357"/>
        <v>270</v>
      </c>
      <c r="D6160" t="str">
        <f>"10"</f>
        <v>10</v>
      </c>
      <c r="E6160" t="str">
        <f>"1-270-10"</f>
        <v>1-270-10</v>
      </c>
      <c r="F6160" t="s">
        <v>83</v>
      </c>
      <c r="G6160" t="s">
        <v>84</v>
      </c>
      <c r="H6160" t="s">
        <v>92</v>
      </c>
      <c r="I6160">
        <v>1</v>
      </c>
      <c r="J6160">
        <v>1</v>
      </c>
      <c r="N6160">
        <v>1</v>
      </c>
      <c r="O6160">
        <v>1</v>
      </c>
      <c r="P6160">
        <v>1</v>
      </c>
      <c r="Q6160">
        <v>1</v>
      </c>
      <c r="R6160">
        <v>1</v>
      </c>
      <c r="S6160">
        <v>1</v>
      </c>
      <c r="T6160">
        <v>1</v>
      </c>
      <c r="W6160">
        <v>1</v>
      </c>
      <c r="X6160">
        <v>1</v>
      </c>
      <c r="Y6160">
        <v>1</v>
      </c>
      <c r="Z6160">
        <v>1</v>
      </c>
      <c r="AA6160">
        <v>1</v>
      </c>
      <c r="AB6160">
        <v>1</v>
      </c>
    </row>
    <row r="6161" spans="1:49" x14ac:dyDescent="0.25">
      <c r="A6161" t="str">
        <f>"6157"</f>
        <v>6157</v>
      </c>
      <c r="B6161" t="str">
        <f t="shared" si="355"/>
        <v>1</v>
      </c>
      <c r="C6161" t="str">
        <f t="shared" si="357"/>
        <v>270</v>
      </c>
      <c r="D6161" t="str">
        <f>"3"</f>
        <v>3</v>
      </c>
      <c r="E6161" t="str">
        <f>"1-270-3"</f>
        <v>1-270-3</v>
      </c>
      <c r="F6161" t="s">
        <v>83</v>
      </c>
      <c r="G6161" t="s">
        <v>84</v>
      </c>
      <c r="H6161" t="s">
        <v>92</v>
      </c>
      <c r="I6161">
        <v>1</v>
      </c>
      <c r="J6161">
        <v>1</v>
      </c>
      <c r="N6161">
        <v>1</v>
      </c>
      <c r="O6161">
        <v>1</v>
      </c>
      <c r="P6161">
        <v>1</v>
      </c>
      <c r="Q6161">
        <v>1</v>
      </c>
      <c r="R6161">
        <v>1</v>
      </c>
      <c r="S6161">
        <v>1</v>
      </c>
      <c r="T6161">
        <v>1</v>
      </c>
      <c r="W6161">
        <v>1</v>
      </c>
      <c r="X6161">
        <v>1</v>
      </c>
      <c r="Y6161">
        <v>1</v>
      </c>
      <c r="Z6161">
        <v>1</v>
      </c>
      <c r="AA6161">
        <v>1</v>
      </c>
      <c r="AB6161">
        <v>1</v>
      </c>
    </row>
    <row r="6162" spans="1:49" x14ac:dyDescent="0.25">
      <c r="A6162" t="str">
        <f>"6158"</f>
        <v>6158</v>
      </c>
      <c r="B6162" t="str">
        <f t="shared" si="355"/>
        <v>1</v>
      </c>
      <c r="C6162" t="str">
        <f t="shared" si="357"/>
        <v>270</v>
      </c>
      <c r="D6162" t="str">
        <f>"18"</f>
        <v>18</v>
      </c>
      <c r="E6162" t="str">
        <f>"1-270-18"</f>
        <v>1-270-18</v>
      </c>
      <c r="F6162" t="s">
        <v>83</v>
      </c>
      <c r="G6162" t="s">
        <v>84</v>
      </c>
      <c r="H6162" t="s">
        <v>92</v>
      </c>
      <c r="I6162">
        <v>1</v>
      </c>
      <c r="J6162">
        <v>1</v>
      </c>
      <c r="N6162">
        <v>1</v>
      </c>
      <c r="O6162">
        <v>1</v>
      </c>
      <c r="P6162">
        <v>1</v>
      </c>
      <c r="Q6162">
        <v>1</v>
      </c>
      <c r="R6162">
        <v>1</v>
      </c>
      <c r="S6162">
        <v>1</v>
      </c>
      <c r="T6162">
        <v>1</v>
      </c>
      <c r="W6162">
        <v>1</v>
      </c>
      <c r="X6162">
        <v>1</v>
      </c>
      <c r="Y6162">
        <v>1</v>
      </c>
      <c r="Z6162">
        <v>1</v>
      </c>
      <c r="AA6162">
        <v>1</v>
      </c>
      <c r="AB6162">
        <v>1</v>
      </c>
    </row>
    <row r="6163" spans="1:49" x14ac:dyDescent="0.25">
      <c r="A6163" t="str">
        <f>"6159"</f>
        <v>6159</v>
      </c>
      <c r="B6163" t="str">
        <f t="shared" si="355"/>
        <v>1</v>
      </c>
      <c r="C6163" t="str">
        <f t="shared" si="357"/>
        <v>270</v>
      </c>
      <c r="D6163" t="str">
        <f>"11"</f>
        <v>11</v>
      </c>
      <c r="E6163" t="str">
        <f>"1-270-11"</f>
        <v>1-270-11</v>
      </c>
      <c r="F6163" t="s">
        <v>83</v>
      </c>
      <c r="G6163" t="s">
        <v>90</v>
      </c>
      <c r="H6163" t="s">
        <v>94</v>
      </c>
      <c r="I6163">
        <v>1</v>
      </c>
      <c r="K6163">
        <v>0</v>
      </c>
      <c r="L6163">
        <v>0</v>
      </c>
      <c r="M6163">
        <v>1</v>
      </c>
      <c r="N6163">
        <v>1</v>
      </c>
      <c r="O6163">
        <v>1</v>
      </c>
      <c r="P6163">
        <v>1</v>
      </c>
      <c r="Q6163">
        <v>1</v>
      </c>
      <c r="R6163">
        <v>1</v>
      </c>
      <c r="S6163">
        <v>1</v>
      </c>
      <c r="U6163">
        <v>0</v>
      </c>
      <c r="V6163">
        <v>1</v>
      </c>
      <c r="W6163">
        <v>1</v>
      </c>
      <c r="X6163">
        <v>1</v>
      </c>
      <c r="Y6163">
        <v>1</v>
      </c>
      <c r="Z6163">
        <v>1</v>
      </c>
      <c r="AA6163">
        <v>1</v>
      </c>
      <c r="AB6163">
        <v>1</v>
      </c>
    </row>
    <row r="6164" spans="1:49" x14ac:dyDescent="0.25">
      <c r="A6164" t="str">
        <f>"6160"</f>
        <v>6160</v>
      </c>
      <c r="B6164" t="str">
        <f t="shared" si="355"/>
        <v>1</v>
      </c>
      <c r="C6164" t="str">
        <f t="shared" si="357"/>
        <v>270</v>
      </c>
      <c r="D6164" t="str">
        <f>"6"</f>
        <v>6</v>
      </c>
      <c r="E6164" t="str">
        <f>"1-270-6"</f>
        <v>1-270-6</v>
      </c>
      <c r="F6164" t="s">
        <v>83</v>
      </c>
      <c r="G6164" t="s">
        <v>84</v>
      </c>
      <c r="H6164" t="s">
        <v>92</v>
      </c>
      <c r="I6164">
        <v>1</v>
      </c>
      <c r="J6164">
        <v>1</v>
      </c>
      <c r="N6164">
        <v>1</v>
      </c>
      <c r="O6164">
        <v>1</v>
      </c>
      <c r="P6164">
        <v>1</v>
      </c>
      <c r="Q6164">
        <v>1</v>
      </c>
      <c r="R6164">
        <v>1</v>
      </c>
      <c r="S6164">
        <v>1</v>
      </c>
      <c r="T6164">
        <v>1</v>
      </c>
      <c r="W6164">
        <v>1</v>
      </c>
      <c r="X6164">
        <v>1</v>
      </c>
      <c r="Y6164">
        <v>1</v>
      </c>
      <c r="Z6164">
        <v>1</v>
      </c>
      <c r="AA6164">
        <v>1</v>
      </c>
      <c r="AB6164">
        <v>1</v>
      </c>
    </row>
    <row r="6165" spans="1:49" x14ac:dyDescent="0.25">
      <c r="A6165" t="str">
        <f>"6161"</f>
        <v>6161</v>
      </c>
      <c r="B6165" t="str">
        <f t="shared" si="355"/>
        <v>1</v>
      </c>
      <c r="C6165" t="str">
        <f t="shared" si="357"/>
        <v>270</v>
      </c>
      <c r="D6165" t="str">
        <f>"19"</f>
        <v>19</v>
      </c>
      <c r="E6165" t="str">
        <f>"1-270-19"</f>
        <v>1-270-19</v>
      </c>
      <c r="F6165" t="s">
        <v>83</v>
      </c>
      <c r="G6165" t="s">
        <v>84</v>
      </c>
      <c r="H6165" t="s">
        <v>85</v>
      </c>
      <c r="AC6165">
        <v>0</v>
      </c>
      <c r="AD6165">
        <v>1</v>
      </c>
      <c r="AE6165">
        <v>0</v>
      </c>
      <c r="AF6165">
        <v>0</v>
      </c>
      <c r="AG6165">
        <v>0</v>
      </c>
      <c r="AJ6165">
        <v>0</v>
      </c>
      <c r="AK6165">
        <v>1</v>
      </c>
      <c r="AL6165">
        <v>0</v>
      </c>
      <c r="AM6165">
        <v>0</v>
      </c>
      <c r="AN6165">
        <v>1</v>
      </c>
      <c r="AO6165">
        <v>0</v>
      </c>
      <c r="AP6165">
        <v>0</v>
      </c>
      <c r="AQ6165">
        <v>0</v>
      </c>
      <c r="AR6165">
        <v>0</v>
      </c>
      <c r="AS6165">
        <v>0</v>
      </c>
      <c r="AT6165">
        <v>1</v>
      </c>
      <c r="AV6165">
        <v>0</v>
      </c>
      <c r="AW6165">
        <v>0</v>
      </c>
    </row>
    <row r="6166" spans="1:49" x14ac:dyDescent="0.25">
      <c r="A6166" t="str">
        <f>"6162"</f>
        <v>6162</v>
      </c>
      <c r="B6166" t="str">
        <f t="shared" si="355"/>
        <v>1</v>
      </c>
      <c r="C6166" t="str">
        <f t="shared" si="357"/>
        <v>270</v>
      </c>
      <c r="D6166" t="str">
        <f>"12"</f>
        <v>12</v>
      </c>
      <c r="E6166" t="str">
        <f>"1-270-12"</f>
        <v>1-270-12</v>
      </c>
      <c r="F6166" t="s">
        <v>83</v>
      </c>
      <c r="G6166" t="s">
        <v>84</v>
      </c>
      <c r="H6166" t="s">
        <v>92</v>
      </c>
      <c r="I6166">
        <v>1</v>
      </c>
      <c r="J6166">
        <v>1</v>
      </c>
      <c r="N6166">
        <v>1</v>
      </c>
      <c r="O6166">
        <v>1</v>
      </c>
      <c r="P6166">
        <v>1</v>
      </c>
      <c r="Q6166">
        <v>1</v>
      </c>
      <c r="R6166">
        <v>1</v>
      </c>
      <c r="S6166">
        <v>1</v>
      </c>
      <c r="T6166">
        <v>1</v>
      </c>
      <c r="W6166">
        <v>1</v>
      </c>
      <c r="X6166">
        <v>1</v>
      </c>
      <c r="Y6166">
        <v>1</v>
      </c>
      <c r="Z6166">
        <v>1</v>
      </c>
      <c r="AA6166">
        <v>1</v>
      </c>
      <c r="AB6166">
        <v>1</v>
      </c>
    </row>
    <row r="6167" spans="1:49" x14ac:dyDescent="0.25">
      <c r="A6167" t="str">
        <f>"6163"</f>
        <v>6163</v>
      </c>
      <c r="B6167" t="str">
        <f t="shared" si="355"/>
        <v>1</v>
      </c>
      <c r="C6167" t="str">
        <f t="shared" si="357"/>
        <v>270</v>
      </c>
      <c r="D6167" t="str">
        <f>"2"</f>
        <v>2</v>
      </c>
      <c r="E6167" t="str">
        <f>"1-270-2"</f>
        <v>1-270-2</v>
      </c>
      <c r="F6167" t="s">
        <v>83</v>
      </c>
      <c r="G6167" t="s">
        <v>84</v>
      </c>
      <c r="H6167" t="s">
        <v>85</v>
      </c>
      <c r="AC6167">
        <v>1</v>
      </c>
      <c r="AD6167">
        <v>0</v>
      </c>
      <c r="AE6167">
        <v>0</v>
      </c>
      <c r="AF6167">
        <v>0</v>
      </c>
      <c r="AG6167">
        <v>1</v>
      </c>
      <c r="AJ6167">
        <v>1</v>
      </c>
      <c r="AK6167">
        <v>0</v>
      </c>
      <c r="AL6167">
        <v>1</v>
      </c>
      <c r="AM6167">
        <v>0</v>
      </c>
      <c r="AN6167">
        <v>0</v>
      </c>
      <c r="AO6167">
        <v>1</v>
      </c>
      <c r="AP6167">
        <v>1</v>
      </c>
      <c r="AQ6167">
        <v>1</v>
      </c>
      <c r="AR6167">
        <v>1</v>
      </c>
      <c r="AS6167">
        <v>0</v>
      </c>
      <c r="AT6167">
        <v>1</v>
      </c>
      <c r="AV6167">
        <v>0</v>
      </c>
      <c r="AW6167">
        <v>1</v>
      </c>
    </row>
    <row r="6168" spans="1:49" x14ac:dyDescent="0.25">
      <c r="A6168" t="str">
        <f>"6164"</f>
        <v>6164</v>
      </c>
      <c r="B6168" t="str">
        <f t="shared" si="355"/>
        <v>1</v>
      </c>
      <c r="C6168" t="str">
        <f t="shared" si="357"/>
        <v>270</v>
      </c>
      <c r="D6168" t="str">
        <f>"20"</f>
        <v>20</v>
      </c>
      <c r="E6168" t="str">
        <f>"1-270-20"</f>
        <v>1-270-20</v>
      </c>
      <c r="F6168" t="s">
        <v>83</v>
      </c>
      <c r="G6168" t="s">
        <v>84</v>
      </c>
      <c r="H6168" t="s">
        <v>85</v>
      </c>
      <c r="AC6168">
        <v>0</v>
      </c>
      <c r="AD6168">
        <v>1</v>
      </c>
      <c r="AE6168">
        <v>0</v>
      </c>
      <c r="AF6168">
        <v>0</v>
      </c>
      <c r="AG6168">
        <v>1</v>
      </c>
      <c r="AJ6168">
        <v>0</v>
      </c>
      <c r="AK6168">
        <v>1</v>
      </c>
      <c r="AL6168">
        <v>0</v>
      </c>
      <c r="AM6168">
        <v>0</v>
      </c>
      <c r="AN6168">
        <v>1</v>
      </c>
      <c r="AO6168">
        <v>1</v>
      </c>
      <c r="AP6168">
        <v>1</v>
      </c>
      <c r="AQ6168">
        <v>1</v>
      </c>
      <c r="AR6168">
        <v>1</v>
      </c>
      <c r="AS6168">
        <v>0</v>
      </c>
      <c r="AT6168">
        <v>1</v>
      </c>
      <c r="AV6168">
        <v>1</v>
      </c>
      <c r="AW6168">
        <v>1</v>
      </c>
    </row>
    <row r="6169" spans="1:49" x14ac:dyDescent="0.25">
      <c r="A6169" t="str">
        <f>"6165"</f>
        <v>6165</v>
      </c>
      <c r="B6169" t="str">
        <f t="shared" si="355"/>
        <v>1</v>
      </c>
      <c r="C6169" t="str">
        <f t="shared" si="357"/>
        <v>270</v>
      </c>
      <c r="D6169" t="str">
        <f>"13"</f>
        <v>13</v>
      </c>
      <c r="E6169" t="str">
        <f>"1-270-13"</f>
        <v>1-270-13</v>
      </c>
      <c r="F6169" t="s">
        <v>83</v>
      </c>
      <c r="G6169" t="s">
        <v>84</v>
      </c>
      <c r="H6169" t="s">
        <v>85</v>
      </c>
      <c r="AC6169">
        <v>0</v>
      </c>
      <c r="AD6169">
        <v>1</v>
      </c>
      <c r="AE6169">
        <v>0</v>
      </c>
      <c r="AF6169">
        <v>0</v>
      </c>
      <c r="AG6169">
        <v>0</v>
      </c>
      <c r="AJ6169">
        <v>0</v>
      </c>
      <c r="AK6169">
        <v>1</v>
      </c>
      <c r="AL6169">
        <v>0</v>
      </c>
      <c r="AM6169">
        <v>1</v>
      </c>
      <c r="AN6169">
        <v>0</v>
      </c>
      <c r="AO6169">
        <v>0</v>
      </c>
      <c r="AP6169">
        <v>0</v>
      </c>
      <c r="AQ6169">
        <v>0</v>
      </c>
      <c r="AR6169">
        <v>0</v>
      </c>
      <c r="AS6169">
        <v>1</v>
      </c>
      <c r="AT6169">
        <v>0</v>
      </c>
      <c r="AV6169">
        <v>0</v>
      </c>
      <c r="AW6169">
        <v>0</v>
      </c>
    </row>
    <row r="6170" spans="1:49" x14ac:dyDescent="0.25">
      <c r="A6170" t="str">
        <f>"6166"</f>
        <v>6166</v>
      </c>
      <c r="B6170" t="str">
        <f t="shared" si="355"/>
        <v>1</v>
      </c>
      <c r="C6170" t="str">
        <f t="shared" si="357"/>
        <v>270</v>
      </c>
      <c r="D6170" t="str">
        <f>"4"</f>
        <v>4</v>
      </c>
      <c r="E6170" t="str">
        <f>"1-270-4"</f>
        <v>1-270-4</v>
      </c>
      <c r="F6170" t="s">
        <v>83</v>
      </c>
      <c r="G6170" t="s">
        <v>84</v>
      </c>
      <c r="H6170" t="s">
        <v>92</v>
      </c>
      <c r="I6170">
        <v>1</v>
      </c>
      <c r="J6170">
        <v>1</v>
      </c>
      <c r="N6170">
        <v>1</v>
      </c>
      <c r="O6170">
        <v>1</v>
      </c>
      <c r="P6170">
        <v>1</v>
      </c>
      <c r="Q6170">
        <v>1</v>
      </c>
      <c r="R6170">
        <v>1</v>
      </c>
      <c r="S6170">
        <v>1</v>
      </c>
      <c r="T6170">
        <v>1</v>
      </c>
      <c r="W6170">
        <v>1</v>
      </c>
      <c r="X6170">
        <v>1</v>
      </c>
      <c r="Y6170">
        <v>1</v>
      </c>
      <c r="Z6170">
        <v>1</v>
      </c>
      <c r="AA6170">
        <v>1</v>
      </c>
      <c r="AB6170">
        <v>1</v>
      </c>
    </row>
    <row r="6171" spans="1:49" x14ac:dyDescent="0.25">
      <c r="A6171" t="str">
        <f>"6167"</f>
        <v>6167</v>
      </c>
      <c r="B6171" t="str">
        <f t="shared" si="355"/>
        <v>1</v>
      </c>
      <c r="C6171" t="str">
        <f t="shared" si="357"/>
        <v>270</v>
      </c>
      <c r="D6171" t="str">
        <f>"21"</f>
        <v>21</v>
      </c>
      <c r="E6171" t="str">
        <f>"1-270-21"</f>
        <v>1-270-21</v>
      </c>
      <c r="F6171" t="s">
        <v>83</v>
      </c>
      <c r="G6171" t="s">
        <v>84</v>
      </c>
      <c r="H6171" t="s">
        <v>92</v>
      </c>
      <c r="I6171">
        <v>1</v>
      </c>
      <c r="J6171">
        <v>1</v>
      </c>
      <c r="N6171">
        <v>1</v>
      </c>
      <c r="O6171">
        <v>1</v>
      </c>
      <c r="P6171">
        <v>1</v>
      </c>
      <c r="Q6171">
        <v>1</v>
      </c>
      <c r="R6171">
        <v>1</v>
      </c>
      <c r="S6171">
        <v>1</v>
      </c>
      <c r="T6171">
        <v>1</v>
      </c>
      <c r="W6171">
        <v>1</v>
      </c>
      <c r="X6171">
        <v>1</v>
      </c>
      <c r="Y6171">
        <v>1</v>
      </c>
      <c r="Z6171">
        <v>1</v>
      </c>
      <c r="AA6171">
        <v>1</v>
      </c>
      <c r="AB6171">
        <v>1</v>
      </c>
    </row>
    <row r="6172" spans="1:49" x14ac:dyDescent="0.25">
      <c r="A6172" t="str">
        <f>"6168"</f>
        <v>6168</v>
      </c>
      <c r="B6172" t="str">
        <f t="shared" si="355"/>
        <v>1</v>
      </c>
      <c r="C6172" t="str">
        <f t="shared" si="357"/>
        <v>270</v>
      </c>
      <c r="D6172" t="str">
        <f>"14"</f>
        <v>14</v>
      </c>
      <c r="E6172" t="str">
        <f>"1-270-14"</f>
        <v>1-270-14</v>
      </c>
      <c r="F6172" t="s">
        <v>83</v>
      </c>
      <c r="G6172" t="s">
        <v>84</v>
      </c>
      <c r="H6172" t="s">
        <v>92</v>
      </c>
      <c r="I6172">
        <v>1</v>
      </c>
      <c r="J6172">
        <v>1</v>
      </c>
      <c r="N6172">
        <v>1</v>
      </c>
      <c r="O6172">
        <v>1</v>
      </c>
      <c r="P6172">
        <v>1</v>
      </c>
      <c r="Q6172">
        <v>1</v>
      </c>
      <c r="R6172">
        <v>1</v>
      </c>
      <c r="S6172">
        <v>1</v>
      </c>
      <c r="T6172">
        <v>1</v>
      </c>
      <c r="W6172">
        <v>1</v>
      </c>
      <c r="X6172">
        <v>1</v>
      </c>
      <c r="Y6172">
        <v>1</v>
      </c>
      <c r="Z6172">
        <v>1</v>
      </c>
      <c r="AA6172">
        <v>1</v>
      </c>
      <c r="AB6172">
        <v>1</v>
      </c>
    </row>
    <row r="6173" spans="1:49" x14ac:dyDescent="0.25">
      <c r="A6173" t="str">
        <f>"6169"</f>
        <v>6169</v>
      </c>
      <c r="B6173" t="str">
        <f t="shared" si="355"/>
        <v>1</v>
      </c>
      <c r="C6173" t="str">
        <f t="shared" si="357"/>
        <v>270</v>
      </c>
      <c r="D6173" t="str">
        <f>"5"</f>
        <v>5</v>
      </c>
      <c r="E6173" t="str">
        <f>"1-270-5"</f>
        <v>1-270-5</v>
      </c>
      <c r="F6173" t="s">
        <v>83</v>
      </c>
      <c r="G6173" t="s">
        <v>84</v>
      </c>
      <c r="H6173" t="s">
        <v>85</v>
      </c>
      <c r="AC6173">
        <v>0</v>
      </c>
      <c r="AD6173">
        <v>0</v>
      </c>
      <c r="AE6173">
        <v>0</v>
      </c>
      <c r="AF6173">
        <v>0</v>
      </c>
      <c r="AG6173">
        <v>0</v>
      </c>
      <c r="AJ6173">
        <v>0</v>
      </c>
      <c r="AK6173">
        <v>0</v>
      </c>
      <c r="AL6173">
        <v>0</v>
      </c>
      <c r="AM6173">
        <v>0</v>
      </c>
      <c r="AN6173">
        <v>0</v>
      </c>
      <c r="AO6173">
        <v>0</v>
      </c>
      <c r="AP6173">
        <v>0</v>
      </c>
      <c r="AQ6173">
        <v>0</v>
      </c>
      <c r="AR6173">
        <v>0</v>
      </c>
      <c r="AS6173">
        <v>0</v>
      </c>
      <c r="AT6173">
        <v>1</v>
      </c>
      <c r="AV6173">
        <v>0</v>
      </c>
      <c r="AW6173">
        <v>0</v>
      </c>
    </row>
    <row r="6174" spans="1:49" x14ac:dyDescent="0.25">
      <c r="A6174" t="str">
        <f>"6170"</f>
        <v>6170</v>
      </c>
      <c r="B6174" t="str">
        <f t="shared" ref="B6174:B6237" si="358">"1"</f>
        <v>1</v>
      </c>
      <c r="C6174" t="str">
        <f t="shared" ref="C6174:C6198" si="359">"271"</f>
        <v>271</v>
      </c>
      <c r="D6174" t="str">
        <f>"21"</f>
        <v>21</v>
      </c>
      <c r="E6174" t="str">
        <f>"1-271-21"</f>
        <v>1-271-21</v>
      </c>
      <c r="F6174" t="s">
        <v>83</v>
      </c>
      <c r="G6174" t="s">
        <v>84</v>
      </c>
      <c r="H6174" t="s">
        <v>85</v>
      </c>
      <c r="AC6174">
        <v>0</v>
      </c>
      <c r="AD6174">
        <v>1</v>
      </c>
      <c r="AE6174">
        <v>0</v>
      </c>
      <c r="AF6174">
        <v>0</v>
      </c>
      <c r="AG6174">
        <v>1</v>
      </c>
      <c r="AJ6174">
        <v>0</v>
      </c>
      <c r="AK6174">
        <v>1</v>
      </c>
      <c r="AL6174">
        <v>0</v>
      </c>
      <c r="AM6174">
        <v>0</v>
      </c>
      <c r="AN6174">
        <v>1</v>
      </c>
      <c r="AO6174">
        <v>1</v>
      </c>
      <c r="AP6174">
        <v>1</v>
      </c>
      <c r="AQ6174">
        <v>1</v>
      </c>
      <c r="AR6174">
        <v>1</v>
      </c>
      <c r="AS6174">
        <v>0</v>
      </c>
      <c r="AT6174">
        <v>1</v>
      </c>
      <c r="AV6174">
        <v>1</v>
      </c>
      <c r="AW6174">
        <v>1</v>
      </c>
    </row>
    <row r="6175" spans="1:49" x14ac:dyDescent="0.25">
      <c r="A6175" t="str">
        <f>"6171"</f>
        <v>6171</v>
      </c>
      <c r="B6175" t="str">
        <f t="shared" si="358"/>
        <v>1</v>
      </c>
      <c r="C6175" t="str">
        <f t="shared" si="359"/>
        <v>271</v>
      </c>
      <c r="D6175" t="str">
        <f>"20"</f>
        <v>20</v>
      </c>
      <c r="E6175" t="str">
        <f>"1-271-20"</f>
        <v>1-271-20</v>
      </c>
      <c r="F6175" t="s">
        <v>83</v>
      </c>
      <c r="G6175" t="s">
        <v>84</v>
      </c>
      <c r="H6175" t="s">
        <v>85</v>
      </c>
      <c r="AC6175">
        <v>0</v>
      </c>
      <c r="AD6175">
        <v>1</v>
      </c>
      <c r="AE6175">
        <v>0</v>
      </c>
      <c r="AF6175">
        <v>0</v>
      </c>
      <c r="AG6175">
        <v>1</v>
      </c>
      <c r="AJ6175">
        <v>0</v>
      </c>
      <c r="AK6175">
        <v>1</v>
      </c>
      <c r="AL6175">
        <v>0</v>
      </c>
      <c r="AM6175">
        <v>0</v>
      </c>
      <c r="AN6175">
        <v>1</v>
      </c>
      <c r="AO6175">
        <v>1</v>
      </c>
      <c r="AP6175">
        <v>1</v>
      </c>
      <c r="AQ6175">
        <v>1</v>
      </c>
      <c r="AR6175">
        <v>1</v>
      </c>
      <c r="AS6175">
        <v>0</v>
      </c>
      <c r="AT6175">
        <v>1</v>
      </c>
      <c r="AV6175">
        <v>1</v>
      </c>
      <c r="AW6175">
        <v>1</v>
      </c>
    </row>
    <row r="6176" spans="1:49" x14ac:dyDescent="0.25">
      <c r="A6176" t="str">
        <f>"6172"</f>
        <v>6172</v>
      </c>
      <c r="B6176" t="str">
        <f t="shared" si="358"/>
        <v>1</v>
      </c>
      <c r="C6176" t="str">
        <f t="shared" si="359"/>
        <v>271</v>
      </c>
      <c r="D6176" t="str">
        <f>"14"</f>
        <v>14</v>
      </c>
      <c r="E6176" t="str">
        <f>"1-271-14"</f>
        <v>1-271-14</v>
      </c>
      <c r="F6176" t="s">
        <v>83</v>
      </c>
      <c r="G6176" t="s">
        <v>84</v>
      </c>
      <c r="H6176" t="s">
        <v>85</v>
      </c>
      <c r="AC6176">
        <v>1</v>
      </c>
      <c r="AD6176">
        <v>0</v>
      </c>
      <c r="AE6176">
        <v>0</v>
      </c>
      <c r="AF6176">
        <v>0</v>
      </c>
      <c r="AG6176">
        <v>1</v>
      </c>
      <c r="AJ6176">
        <v>1</v>
      </c>
      <c r="AK6176">
        <v>0</v>
      </c>
      <c r="AL6176">
        <v>0</v>
      </c>
      <c r="AM6176">
        <v>1</v>
      </c>
      <c r="AN6176">
        <v>0</v>
      </c>
      <c r="AO6176">
        <v>1</v>
      </c>
      <c r="AP6176">
        <v>1</v>
      </c>
      <c r="AQ6176">
        <v>1</v>
      </c>
      <c r="AR6176">
        <v>1</v>
      </c>
      <c r="AS6176">
        <v>0</v>
      </c>
      <c r="AT6176">
        <v>0</v>
      </c>
      <c r="AV6176">
        <v>1</v>
      </c>
      <c r="AW6176">
        <v>1</v>
      </c>
    </row>
    <row r="6177" spans="1:49" x14ac:dyDescent="0.25">
      <c r="A6177" t="str">
        <f>"6173"</f>
        <v>6173</v>
      </c>
      <c r="B6177" t="str">
        <f t="shared" si="358"/>
        <v>1</v>
      </c>
      <c r="C6177" t="str">
        <f t="shared" si="359"/>
        <v>271</v>
      </c>
      <c r="D6177" t="str">
        <f>"13"</f>
        <v>13</v>
      </c>
      <c r="E6177" t="str">
        <f>"1-271-13"</f>
        <v>1-271-13</v>
      </c>
      <c r="F6177" t="s">
        <v>83</v>
      </c>
      <c r="G6177" t="s">
        <v>84</v>
      </c>
      <c r="H6177" t="s">
        <v>85</v>
      </c>
      <c r="AC6177">
        <v>0</v>
      </c>
      <c r="AD6177">
        <v>1</v>
      </c>
      <c r="AE6177">
        <v>0</v>
      </c>
      <c r="AF6177">
        <v>0</v>
      </c>
      <c r="AG6177">
        <v>0</v>
      </c>
      <c r="AJ6177">
        <v>1</v>
      </c>
      <c r="AK6177">
        <v>0</v>
      </c>
      <c r="AL6177">
        <v>0</v>
      </c>
      <c r="AM6177">
        <v>1</v>
      </c>
      <c r="AN6177">
        <v>0</v>
      </c>
      <c r="AO6177">
        <v>1</v>
      </c>
      <c r="AP6177">
        <v>1</v>
      </c>
      <c r="AQ6177">
        <v>1</v>
      </c>
      <c r="AR6177">
        <v>1</v>
      </c>
      <c r="AS6177">
        <v>0</v>
      </c>
      <c r="AT6177">
        <v>1</v>
      </c>
      <c r="AV6177">
        <v>1</v>
      </c>
      <c r="AW6177">
        <v>0</v>
      </c>
    </row>
    <row r="6178" spans="1:49" x14ac:dyDescent="0.25">
      <c r="A6178" t="str">
        <f>"6174"</f>
        <v>6174</v>
      </c>
      <c r="B6178" t="str">
        <f t="shared" si="358"/>
        <v>1</v>
      </c>
      <c r="C6178" t="str">
        <f t="shared" si="359"/>
        <v>271</v>
      </c>
      <c r="D6178" t="str">
        <f>"9"</f>
        <v>9</v>
      </c>
      <c r="E6178" t="str">
        <f>"1-271-9"</f>
        <v>1-271-9</v>
      </c>
      <c r="F6178" t="s">
        <v>83</v>
      </c>
      <c r="G6178" t="s">
        <v>84</v>
      </c>
      <c r="H6178" t="s">
        <v>85</v>
      </c>
      <c r="AC6178">
        <v>1</v>
      </c>
      <c r="AD6178">
        <v>0</v>
      </c>
      <c r="AE6178">
        <v>0</v>
      </c>
      <c r="AF6178">
        <v>0</v>
      </c>
      <c r="AG6178">
        <v>0</v>
      </c>
      <c r="AJ6178">
        <v>0</v>
      </c>
      <c r="AK6178">
        <v>1</v>
      </c>
      <c r="AL6178">
        <v>1</v>
      </c>
      <c r="AM6178">
        <v>0</v>
      </c>
      <c r="AN6178">
        <v>0</v>
      </c>
      <c r="AO6178">
        <v>0</v>
      </c>
      <c r="AP6178">
        <v>0</v>
      </c>
      <c r="AQ6178">
        <v>0</v>
      </c>
      <c r="AR6178">
        <v>1</v>
      </c>
      <c r="AS6178">
        <v>1</v>
      </c>
      <c r="AT6178">
        <v>0</v>
      </c>
      <c r="AV6178">
        <v>1</v>
      </c>
      <c r="AW6178">
        <v>1</v>
      </c>
    </row>
    <row r="6179" spans="1:49" x14ac:dyDescent="0.25">
      <c r="A6179" t="str">
        <f>"6175"</f>
        <v>6175</v>
      </c>
      <c r="B6179" t="str">
        <f t="shared" si="358"/>
        <v>1</v>
      </c>
      <c r="C6179" t="str">
        <f t="shared" si="359"/>
        <v>271</v>
      </c>
      <c r="D6179" t="str">
        <f>"8"</f>
        <v>8</v>
      </c>
      <c r="E6179" t="str">
        <f>"1-271-8"</f>
        <v>1-271-8</v>
      </c>
      <c r="F6179" t="s">
        <v>83</v>
      </c>
      <c r="G6179" t="s">
        <v>84</v>
      </c>
      <c r="H6179" t="s">
        <v>92</v>
      </c>
      <c r="I6179">
        <v>1</v>
      </c>
      <c r="J6179">
        <v>1</v>
      </c>
      <c r="N6179">
        <v>1</v>
      </c>
      <c r="O6179">
        <v>1</v>
      </c>
      <c r="P6179">
        <v>1</v>
      </c>
      <c r="Q6179">
        <v>1</v>
      </c>
      <c r="R6179">
        <v>1</v>
      </c>
      <c r="S6179">
        <v>1</v>
      </c>
      <c r="T6179">
        <v>1</v>
      </c>
      <c r="W6179">
        <v>1</v>
      </c>
      <c r="X6179">
        <v>1</v>
      </c>
      <c r="Y6179">
        <v>1</v>
      </c>
      <c r="Z6179">
        <v>1</v>
      </c>
      <c r="AA6179">
        <v>1</v>
      </c>
      <c r="AB6179">
        <v>1</v>
      </c>
    </row>
    <row r="6180" spans="1:49" x14ac:dyDescent="0.25">
      <c r="A6180" t="str">
        <f>"6176"</f>
        <v>6176</v>
      </c>
      <c r="B6180" t="str">
        <f t="shared" si="358"/>
        <v>1</v>
      </c>
      <c r="C6180" t="str">
        <f t="shared" si="359"/>
        <v>271</v>
      </c>
      <c r="D6180" t="str">
        <f>"1"</f>
        <v>1</v>
      </c>
      <c r="E6180" t="str">
        <f>"1-271-1"</f>
        <v>1-271-1</v>
      </c>
      <c r="F6180" t="s">
        <v>83</v>
      </c>
      <c r="G6180" t="s">
        <v>84</v>
      </c>
      <c r="H6180" t="s">
        <v>85</v>
      </c>
      <c r="AC6180">
        <v>1</v>
      </c>
      <c r="AD6180">
        <v>0</v>
      </c>
      <c r="AE6180">
        <v>0</v>
      </c>
      <c r="AF6180">
        <v>0</v>
      </c>
      <c r="AG6180">
        <v>1</v>
      </c>
      <c r="AJ6180">
        <v>0</v>
      </c>
      <c r="AK6180">
        <v>1</v>
      </c>
      <c r="AL6180">
        <v>0</v>
      </c>
      <c r="AM6180">
        <v>0</v>
      </c>
      <c r="AN6180">
        <v>1</v>
      </c>
      <c r="AO6180">
        <v>1</v>
      </c>
      <c r="AP6180">
        <v>1</v>
      </c>
      <c r="AQ6180">
        <v>1</v>
      </c>
      <c r="AR6180">
        <v>1</v>
      </c>
      <c r="AS6180">
        <v>1</v>
      </c>
      <c r="AT6180">
        <v>0</v>
      </c>
      <c r="AV6180">
        <v>1</v>
      </c>
      <c r="AW6180">
        <v>1</v>
      </c>
    </row>
    <row r="6181" spans="1:49" x14ac:dyDescent="0.25">
      <c r="A6181" t="str">
        <f>"6177"</f>
        <v>6177</v>
      </c>
      <c r="B6181" t="str">
        <f t="shared" si="358"/>
        <v>1</v>
      </c>
      <c r="C6181" t="str">
        <f t="shared" si="359"/>
        <v>271</v>
      </c>
      <c r="D6181" t="str">
        <f>"25"</f>
        <v>25</v>
      </c>
      <c r="E6181" t="str">
        <f>"1-271-25"</f>
        <v>1-271-25</v>
      </c>
      <c r="F6181" t="s">
        <v>83</v>
      </c>
      <c r="G6181" t="s">
        <v>84</v>
      </c>
      <c r="H6181" t="s">
        <v>85</v>
      </c>
      <c r="AC6181">
        <v>0</v>
      </c>
      <c r="AD6181">
        <v>0</v>
      </c>
      <c r="AE6181">
        <v>0</v>
      </c>
      <c r="AF6181">
        <v>0</v>
      </c>
      <c r="AG6181">
        <v>0</v>
      </c>
      <c r="AJ6181">
        <v>1</v>
      </c>
      <c r="AK6181">
        <v>0</v>
      </c>
      <c r="AL6181">
        <v>1</v>
      </c>
      <c r="AM6181">
        <v>0</v>
      </c>
      <c r="AN6181">
        <v>0</v>
      </c>
      <c r="AO6181">
        <v>1</v>
      </c>
      <c r="AP6181">
        <v>1</v>
      </c>
      <c r="AQ6181">
        <v>1</v>
      </c>
      <c r="AR6181">
        <v>1</v>
      </c>
      <c r="AS6181">
        <v>0</v>
      </c>
      <c r="AT6181">
        <v>1</v>
      </c>
      <c r="AV6181">
        <v>1</v>
      </c>
      <c r="AW6181">
        <v>1</v>
      </c>
    </row>
    <row r="6182" spans="1:49" x14ac:dyDescent="0.25">
      <c r="A6182" t="str">
        <f>"6178"</f>
        <v>6178</v>
      </c>
      <c r="B6182" t="str">
        <f t="shared" si="358"/>
        <v>1</v>
      </c>
      <c r="C6182" t="str">
        <f t="shared" si="359"/>
        <v>271</v>
      </c>
      <c r="D6182" t="str">
        <f>"24"</f>
        <v>24</v>
      </c>
      <c r="E6182" t="str">
        <f>"1-271-24"</f>
        <v>1-271-24</v>
      </c>
      <c r="F6182" t="s">
        <v>83</v>
      </c>
      <c r="G6182" t="s">
        <v>84</v>
      </c>
      <c r="H6182" t="s">
        <v>85</v>
      </c>
      <c r="AC6182">
        <v>1</v>
      </c>
      <c r="AD6182">
        <v>0</v>
      </c>
      <c r="AE6182">
        <v>0</v>
      </c>
      <c r="AF6182">
        <v>0</v>
      </c>
      <c r="AG6182">
        <v>0</v>
      </c>
      <c r="AJ6182">
        <v>1</v>
      </c>
      <c r="AK6182">
        <v>0</v>
      </c>
      <c r="AL6182">
        <v>0</v>
      </c>
      <c r="AM6182">
        <v>0</v>
      </c>
      <c r="AN6182">
        <v>1</v>
      </c>
      <c r="AO6182">
        <v>0</v>
      </c>
      <c r="AP6182">
        <v>0</v>
      </c>
      <c r="AQ6182">
        <v>0</v>
      </c>
      <c r="AR6182">
        <v>0</v>
      </c>
      <c r="AS6182">
        <v>1</v>
      </c>
      <c r="AT6182">
        <v>0</v>
      </c>
      <c r="AV6182">
        <v>0</v>
      </c>
      <c r="AW6182">
        <v>0</v>
      </c>
    </row>
    <row r="6183" spans="1:49" x14ac:dyDescent="0.25">
      <c r="A6183" t="str">
        <f>"6179"</f>
        <v>6179</v>
      </c>
      <c r="B6183" t="str">
        <f t="shared" si="358"/>
        <v>1</v>
      </c>
      <c r="C6183" t="str">
        <f t="shared" si="359"/>
        <v>271</v>
      </c>
      <c r="D6183" t="str">
        <f>"16"</f>
        <v>16</v>
      </c>
      <c r="E6183" t="str">
        <f>"1-271-16"</f>
        <v>1-271-16</v>
      </c>
      <c r="F6183" t="s">
        <v>83</v>
      </c>
      <c r="G6183" t="s">
        <v>84</v>
      </c>
      <c r="H6183" t="s">
        <v>92</v>
      </c>
      <c r="I6183">
        <v>1</v>
      </c>
      <c r="J6183">
        <v>1</v>
      </c>
      <c r="N6183">
        <v>1</v>
      </c>
      <c r="O6183">
        <v>1</v>
      </c>
      <c r="P6183">
        <v>1</v>
      </c>
      <c r="Q6183">
        <v>1</v>
      </c>
      <c r="R6183">
        <v>1</v>
      </c>
      <c r="S6183">
        <v>1</v>
      </c>
      <c r="T6183">
        <v>1</v>
      </c>
      <c r="W6183">
        <v>1</v>
      </c>
      <c r="X6183">
        <v>1</v>
      </c>
      <c r="Y6183">
        <v>1</v>
      </c>
      <c r="Z6183">
        <v>1</v>
      </c>
      <c r="AA6183">
        <v>1</v>
      </c>
      <c r="AB6183">
        <v>1</v>
      </c>
    </row>
    <row r="6184" spans="1:49" x14ac:dyDescent="0.25">
      <c r="A6184" t="str">
        <f>"6180"</f>
        <v>6180</v>
      </c>
      <c r="B6184" t="str">
        <f t="shared" si="358"/>
        <v>1</v>
      </c>
      <c r="C6184" t="str">
        <f t="shared" si="359"/>
        <v>271</v>
      </c>
      <c r="D6184" t="str">
        <f>"10"</f>
        <v>10</v>
      </c>
      <c r="E6184" t="str">
        <f>"1-271-10"</f>
        <v>1-271-10</v>
      </c>
      <c r="F6184" t="s">
        <v>83</v>
      </c>
      <c r="G6184" t="s">
        <v>84</v>
      </c>
      <c r="H6184" t="s">
        <v>85</v>
      </c>
      <c r="AC6184">
        <v>1</v>
      </c>
      <c r="AD6184">
        <v>0</v>
      </c>
      <c r="AE6184">
        <v>0</v>
      </c>
      <c r="AF6184">
        <v>0</v>
      </c>
      <c r="AG6184">
        <v>1</v>
      </c>
      <c r="AJ6184">
        <v>0</v>
      </c>
      <c r="AK6184">
        <v>1</v>
      </c>
      <c r="AL6184">
        <v>0</v>
      </c>
      <c r="AM6184">
        <v>1</v>
      </c>
      <c r="AN6184">
        <v>0</v>
      </c>
      <c r="AO6184">
        <v>1</v>
      </c>
      <c r="AP6184">
        <v>1</v>
      </c>
      <c r="AQ6184">
        <v>1</v>
      </c>
      <c r="AR6184">
        <v>1</v>
      </c>
      <c r="AS6184">
        <v>0</v>
      </c>
      <c r="AT6184">
        <v>1</v>
      </c>
      <c r="AV6184">
        <v>1</v>
      </c>
      <c r="AW6184">
        <v>1</v>
      </c>
    </row>
    <row r="6185" spans="1:49" x14ac:dyDescent="0.25">
      <c r="A6185" t="str">
        <f>"6181"</f>
        <v>6181</v>
      </c>
      <c r="B6185" t="str">
        <f t="shared" si="358"/>
        <v>1</v>
      </c>
      <c r="C6185" t="str">
        <f t="shared" si="359"/>
        <v>271</v>
      </c>
      <c r="D6185" t="str">
        <f>"3"</f>
        <v>3</v>
      </c>
      <c r="E6185" t="str">
        <f>"1-271-3"</f>
        <v>1-271-3</v>
      </c>
      <c r="F6185" t="s">
        <v>83</v>
      </c>
      <c r="G6185" t="s">
        <v>84</v>
      </c>
      <c r="H6185" t="s">
        <v>92</v>
      </c>
      <c r="I6185">
        <v>1</v>
      </c>
      <c r="J6185">
        <v>0</v>
      </c>
      <c r="N6185">
        <v>0</v>
      </c>
      <c r="O6185">
        <v>0</v>
      </c>
      <c r="P6185">
        <v>0</v>
      </c>
      <c r="Q6185">
        <v>0</v>
      </c>
      <c r="R6185">
        <v>0</v>
      </c>
      <c r="S6185">
        <v>1</v>
      </c>
      <c r="T6185">
        <v>1</v>
      </c>
      <c r="W6185">
        <v>1</v>
      </c>
      <c r="X6185">
        <v>1</v>
      </c>
      <c r="Y6185">
        <v>1</v>
      </c>
      <c r="Z6185">
        <v>1</v>
      </c>
      <c r="AA6185">
        <v>1</v>
      </c>
      <c r="AB6185">
        <v>1</v>
      </c>
    </row>
    <row r="6186" spans="1:49" x14ac:dyDescent="0.25">
      <c r="A6186" t="str">
        <f>"6182"</f>
        <v>6182</v>
      </c>
      <c r="B6186" t="str">
        <f t="shared" si="358"/>
        <v>1</v>
      </c>
      <c r="C6186" t="str">
        <f t="shared" si="359"/>
        <v>271</v>
      </c>
      <c r="D6186" t="str">
        <f>"17"</f>
        <v>17</v>
      </c>
      <c r="E6186" t="str">
        <f>"1-271-17"</f>
        <v>1-271-17</v>
      </c>
      <c r="F6186" t="s">
        <v>83</v>
      </c>
      <c r="G6186" t="s">
        <v>84</v>
      </c>
      <c r="H6186" t="s">
        <v>92</v>
      </c>
      <c r="I6186">
        <v>1</v>
      </c>
      <c r="J6186">
        <v>1</v>
      </c>
      <c r="N6186">
        <v>1</v>
      </c>
      <c r="O6186">
        <v>1</v>
      </c>
      <c r="P6186">
        <v>1</v>
      </c>
      <c r="Q6186">
        <v>1</v>
      </c>
      <c r="R6186">
        <v>1</v>
      </c>
      <c r="S6186">
        <v>1</v>
      </c>
      <c r="T6186">
        <v>1</v>
      </c>
      <c r="W6186">
        <v>1</v>
      </c>
      <c r="X6186">
        <v>1</v>
      </c>
      <c r="Y6186">
        <v>1</v>
      </c>
      <c r="Z6186">
        <v>1</v>
      </c>
      <c r="AA6186">
        <v>1</v>
      </c>
      <c r="AB6186">
        <v>1</v>
      </c>
    </row>
    <row r="6187" spans="1:49" x14ac:dyDescent="0.25">
      <c r="A6187" t="str">
        <f>"6183"</f>
        <v>6183</v>
      </c>
      <c r="B6187" t="str">
        <f t="shared" si="358"/>
        <v>1</v>
      </c>
      <c r="C6187" t="str">
        <f t="shared" si="359"/>
        <v>271</v>
      </c>
      <c r="D6187" t="str">
        <f>"11"</f>
        <v>11</v>
      </c>
      <c r="E6187" t="str">
        <f>"1-271-11"</f>
        <v>1-271-11</v>
      </c>
      <c r="F6187" t="s">
        <v>83</v>
      </c>
      <c r="G6187" t="s">
        <v>88</v>
      </c>
      <c r="H6187" t="s">
        <v>95</v>
      </c>
      <c r="I6187">
        <v>1</v>
      </c>
      <c r="K6187">
        <v>1</v>
      </c>
      <c r="L6187">
        <v>0</v>
      </c>
      <c r="M6187">
        <v>0</v>
      </c>
      <c r="N6187">
        <v>1</v>
      </c>
      <c r="O6187">
        <v>1</v>
      </c>
      <c r="P6187">
        <v>1</v>
      </c>
      <c r="Q6187">
        <v>1</v>
      </c>
      <c r="R6187">
        <v>1</v>
      </c>
      <c r="S6187">
        <v>1</v>
      </c>
      <c r="T6187">
        <v>1</v>
      </c>
      <c r="W6187">
        <v>1</v>
      </c>
      <c r="X6187">
        <v>1</v>
      </c>
      <c r="Y6187">
        <v>1</v>
      </c>
      <c r="Z6187">
        <v>1</v>
      </c>
      <c r="AA6187">
        <v>1</v>
      </c>
      <c r="AB6187">
        <v>1</v>
      </c>
    </row>
    <row r="6188" spans="1:49" x14ac:dyDescent="0.25">
      <c r="A6188" t="str">
        <f>"6184"</f>
        <v>6184</v>
      </c>
      <c r="B6188" t="str">
        <f t="shared" si="358"/>
        <v>1</v>
      </c>
      <c r="C6188" t="str">
        <f t="shared" si="359"/>
        <v>271</v>
      </c>
      <c r="D6188" t="str">
        <f>"5"</f>
        <v>5</v>
      </c>
      <c r="E6188" t="str">
        <f>"1-271-5"</f>
        <v>1-271-5</v>
      </c>
      <c r="F6188" t="s">
        <v>83</v>
      </c>
      <c r="G6188" t="s">
        <v>84</v>
      </c>
      <c r="H6188" t="s">
        <v>92</v>
      </c>
      <c r="I6188">
        <v>1</v>
      </c>
      <c r="J6188">
        <v>1</v>
      </c>
      <c r="N6188">
        <v>1</v>
      </c>
      <c r="O6188">
        <v>1</v>
      </c>
      <c r="P6188">
        <v>1</v>
      </c>
      <c r="Q6188">
        <v>1</v>
      </c>
      <c r="R6188">
        <v>1</v>
      </c>
      <c r="S6188">
        <v>1</v>
      </c>
      <c r="T6188">
        <v>1</v>
      </c>
      <c r="W6188">
        <v>1</v>
      </c>
      <c r="X6188">
        <v>1</v>
      </c>
      <c r="Y6188">
        <v>1</v>
      </c>
      <c r="Z6188">
        <v>1</v>
      </c>
      <c r="AA6188">
        <v>1</v>
      </c>
      <c r="AB6188">
        <v>1</v>
      </c>
    </row>
    <row r="6189" spans="1:49" x14ac:dyDescent="0.25">
      <c r="A6189" t="str">
        <f>"6185"</f>
        <v>6185</v>
      </c>
      <c r="B6189" t="str">
        <f t="shared" si="358"/>
        <v>1</v>
      </c>
      <c r="C6189" t="str">
        <f t="shared" si="359"/>
        <v>271</v>
      </c>
      <c r="D6189" t="str">
        <f>"22"</f>
        <v>22</v>
      </c>
      <c r="E6189" t="str">
        <f>"1-271-22"</f>
        <v>1-271-22</v>
      </c>
      <c r="F6189" t="s">
        <v>83</v>
      </c>
      <c r="G6189" t="s">
        <v>84</v>
      </c>
      <c r="H6189" t="s">
        <v>92</v>
      </c>
      <c r="I6189">
        <v>1</v>
      </c>
      <c r="J6189">
        <v>1</v>
      </c>
      <c r="N6189">
        <v>1</v>
      </c>
      <c r="O6189">
        <v>1</v>
      </c>
      <c r="P6189">
        <v>1</v>
      </c>
      <c r="Q6189">
        <v>1</v>
      </c>
      <c r="R6189">
        <v>1</v>
      </c>
      <c r="S6189">
        <v>1</v>
      </c>
      <c r="T6189">
        <v>1</v>
      </c>
      <c r="W6189">
        <v>1</v>
      </c>
      <c r="X6189">
        <v>1</v>
      </c>
      <c r="Y6189">
        <v>1</v>
      </c>
      <c r="Z6189">
        <v>1</v>
      </c>
      <c r="AA6189">
        <v>1</v>
      </c>
      <c r="AB6189">
        <v>1</v>
      </c>
    </row>
    <row r="6190" spans="1:49" x14ac:dyDescent="0.25">
      <c r="A6190" t="str">
        <f>"6186"</f>
        <v>6186</v>
      </c>
      <c r="B6190" t="str">
        <f t="shared" si="358"/>
        <v>1</v>
      </c>
      <c r="C6190" t="str">
        <f t="shared" si="359"/>
        <v>271</v>
      </c>
      <c r="D6190" t="str">
        <f>"12"</f>
        <v>12</v>
      </c>
      <c r="E6190" t="str">
        <f>"1-271-12"</f>
        <v>1-271-12</v>
      </c>
      <c r="F6190" t="s">
        <v>83</v>
      </c>
      <c r="G6190" t="s">
        <v>88</v>
      </c>
      <c r="H6190" t="s">
        <v>95</v>
      </c>
      <c r="I6190">
        <v>1</v>
      </c>
      <c r="K6190">
        <v>0</v>
      </c>
      <c r="L6190">
        <v>1</v>
      </c>
      <c r="M6190">
        <v>0</v>
      </c>
      <c r="N6190">
        <v>1</v>
      </c>
      <c r="O6190">
        <v>1</v>
      </c>
      <c r="P6190">
        <v>1</v>
      </c>
      <c r="Q6190">
        <v>1</v>
      </c>
      <c r="R6190">
        <v>1</v>
      </c>
      <c r="S6190">
        <v>1</v>
      </c>
      <c r="T6190">
        <v>1</v>
      </c>
      <c r="W6190">
        <v>1</v>
      </c>
      <c r="X6190">
        <v>1</v>
      </c>
      <c r="Y6190">
        <v>1</v>
      </c>
      <c r="Z6190">
        <v>1</v>
      </c>
      <c r="AA6190">
        <v>1</v>
      </c>
      <c r="AB6190">
        <v>1</v>
      </c>
    </row>
    <row r="6191" spans="1:49" x14ac:dyDescent="0.25">
      <c r="A6191" t="str">
        <f>"6187"</f>
        <v>6187</v>
      </c>
      <c r="B6191" t="str">
        <f t="shared" si="358"/>
        <v>1</v>
      </c>
      <c r="C6191" t="str">
        <f t="shared" si="359"/>
        <v>271</v>
      </c>
      <c r="D6191" t="str">
        <f>"4"</f>
        <v>4</v>
      </c>
      <c r="E6191" t="str">
        <f>"1-271-4"</f>
        <v>1-271-4</v>
      </c>
      <c r="F6191" t="s">
        <v>83</v>
      </c>
      <c r="G6191" t="s">
        <v>84</v>
      </c>
      <c r="H6191" t="s">
        <v>92</v>
      </c>
      <c r="I6191">
        <v>1</v>
      </c>
      <c r="J6191">
        <v>1</v>
      </c>
      <c r="N6191">
        <v>1</v>
      </c>
      <c r="O6191">
        <v>1</v>
      </c>
      <c r="P6191">
        <v>1</v>
      </c>
      <c r="Q6191">
        <v>1</v>
      </c>
      <c r="R6191">
        <v>1</v>
      </c>
      <c r="S6191">
        <v>1</v>
      </c>
      <c r="T6191">
        <v>1</v>
      </c>
      <c r="W6191">
        <v>1</v>
      </c>
      <c r="X6191">
        <v>1</v>
      </c>
      <c r="Y6191">
        <v>1</v>
      </c>
      <c r="Z6191">
        <v>1</v>
      </c>
      <c r="AA6191">
        <v>1</v>
      </c>
      <c r="AB6191">
        <v>1</v>
      </c>
    </row>
    <row r="6192" spans="1:49" x14ac:dyDescent="0.25">
      <c r="A6192" t="str">
        <f>"6188"</f>
        <v>6188</v>
      </c>
      <c r="B6192" t="str">
        <f t="shared" si="358"/>
        <v>1</v>
      </c>
      <c r="C6192" t="str">
        <f t="shared" si="359"/>
        <v>271</v>
      </c>
      <c r="D6192" t="str">
        <f>"23"</f>
        <v>23</v>
      </c>
      <c r="E6192" t="str">
        <f>"1-271-23"</f>
        <v>1-271-23</v>
      </c>
      <c r="F6192" t="s">
        <v>83</v>
      </c>
      <c r="G6192" t="s">
        <v>84</v>
      </c>
      <c r="H6192" t="s">
        <v>92</v>
      </c>
      <c r="I6192">
        <v>1</v>
      </c>
      <c r="J6192">
        <v>1</v>
      </c>
      <c r="N6192">
        <v>1</v>
      </c>
      <c r="O6192">
        <v>1</v>
      </c>
      <c r="P6192">
        <v>1</v>
      </c>
      <c r="Q6192">
        <v>1</v>
      </c>
      <c r="R6192">
        <v>1</v>
      </c>
      <c r="S6192">
        <v>1</v>
      </c>
      <c r="T6192">
        <v>1</v>
      </c>
      <c r="W6192">
        <v>1</v>
      </c>
      <c r="X6192">
        <v>1</v>
      </c>
      <c r="Y6192">
        <v>1</v>
      </c>
      <c r="Z6192">
        <v>1</v>
      </c>
      <c r="AA6192">
        <v>1</v>
      </c>
      <c r="AB6192">
        <v>1</v>
      </c>
    </row>
    <row r="6193" spans="1:49" x14ac:dyDescent="0.25">
      <c r="A6193" t="str">
        <f>"6189"</f>
        <v>6189</v>
      </c>
      <c r="B6193" t="str">
        <f t="shared" si="358"/>
        <v>1</v>
      </c>
      <c r="C6193" t="str">
        <f t="shared" si="359"/>
        <v>271</v>
      </c>
      <c r="D6193" t="str">
        <f>"15"</f>
        <v>15</v>
      </c>
      <c r="E6193" t="str">
        <f>"1-271-15"</f>
        <v>1-271-15</v>
      </c>
      <c r="F6193" t="s">
        <v>83</v>
      </c>
      <c r="G6193" t="s">
        <v>84</v>
      </c>
      <c r="H6193" t="s">
        <v>85</v>
      </c>
      <c r="AC6193">
        <v>1</v>
      </c>
      <c r="AD6193">
        <v>0</v>
      </c>
      <c r="AE6193">
        <v>0</v>
      </c>
      <c r="AF6193">
        <v>0</v>
      </c>
      <c r="AG6193">
        <v>1</v>
      </c>
      <c r="AJ6193">
        <v>1</v>
      </c>
      <c r="AK6193">
        <v>0</v>
      </c>
      <c r="AL6193">
        <v>0</v>
      </c>
      <c r="AM6193">
        <v>1</v>
      </c>
      <c r="AN6193">
        <v>0</v>
      </c>
      <c r="AO6193">
        <v>1</v>
      </c>
      <c r="AP6193">
        <v>1</v>
      </c>
      <c r="AQ6193">
        <v>1</v>
      </c>
      <c r="AR6193">
        <v>1</v>
      </c>
      <c r="AS6193">
        <v>0</v>
      </c>
      <c r="AT6193">
        <v>1</v>
      </c>
      <c r="AV6193">
        <v>1</v>
      </c>
      <c r="AW6193">
        <v>1</v>
      </c>
    </row>
    <row r="6194" spans="1:49" x14ac:dyDescent="0.25">
      <c r="A6194" t="str">
        <f>"6190"</f>
        <v>6190</v>
      </c>
      <c r="B6194" t="str">
        <f t="shared" si="358"/>
        <v>1</v>
      </c>
      <c r="C6194" t="str">
        <f t="shared" si="359"/>
        <v>271</v>
      </c>
      <c r="D6194" t="str">
        <f>"2"</f>
        <v>2</v>
      </c>
      <c r="E6194" t="str">
        <f>"1-271-2"</f>
        <v>1-271-2</v>
      </c>
      <c r="F6194" t="s">
        <v>83</v>
      </c>
      <c r="G6194" t="s">
        <v>84</v>
      </c>
      <c r="H6194" t="s">
        <v>92</v>
      </c>
      <c r="I6194">
        <v>1</v>
      </c>
      <c r="J6194">
        <v>1</v>
      </c>
      <c r="N6194">
        <v>1</v>
      </c>
      <c r="O6194">
        <v>1</v>
      </c>
      <c r="P6194">
        <v>1</v>
      </c>
      <c r="Q6194">
        <v>1</v>
      </c>
      <c r="R6194">
        <v>1</v>
      </c>
      <c r="S6194">
        <v>1</v>
      </c>
      <c r="T6194">
        <v>1</v>
      </c>
      <c r="W6194">
        <v>1</v>
      </c>
      <c r="X6194">
        <v>1</v>
      </c>
      <c r="Y6194">
        <v>1</v>
      </c>
      <c r="Z6194">
        <v>1</v>
      </c>
      <c r="AA6194">
        <v>1</v>
      </c>
      <c r="AB6194">
        <v>1</v>
      </c>
    </row>
    <row r="6195" spans="1:49" x14ac:dyDescent="0.25">
      <c r="A6195" t="str">
        <f>"6191"</f>
        <v>6191</v>
      </c>
      <c r="B6195" t="str">
        <f t="shared" si="358"/>
        <v>1</v>
      </c>
      <c r="C6195" t="str">
        <f t="shared" si="359"/>
        <v>271</v>
      </c>
      <c r="D6195" t="str">
        <f>"18"</f>
        <v>18</v>
      </c>
      <c r="E6195" t="str">
        <f>"1-271-18"</f>
        <v>1-271-18</v>
      </c>
      <c r="F6195" t="s">
        <v>83</v>
      </c>
      <c r="G6195" t="s">
        <v>90</v>
      </c>
      <c r="H6195" t="s">
        <v>94</v>
      </c>
      <c r="I6195">
        <v>1</v>
      </c>
      <c r="K6195">
        <v>0</v>
      </c>
      <c r="L6195">
        <v>0</v>
      </c>
      <c r="M6195">
        <v>1</v>
      </c>
      <c r="N6195">
        <v>1</v>
      </c>
      <c r="O6195">
        <v>1</v>
      </c>
      <c r="P6195">
        <v>1</v>
      </c>
      <c r="Q6195">
        <v>1</v>
      </c>
      <c r="R6195">
        <v>1</v>
      </c>
      <c r="S6195">
        <v>1</v>
      </c>
      <c r="U6195">
        <v>1</v>
      </c>
      <c r="V6195">
        <v>0</v>
      </c>
      <c r="W6195">
        <v>1</v>
      </c>
      <c r="X6195">
        <v>1</v>
      </c>
      <c r="Y6195">
        <v>1</v>
      </c>
      <c r="Z6195">
        <v>1</v>
      </c>
      <c r="AA6195">
        <v>1</v>
      </c>
      <c r="AB6195">
        <v>1</v>
      </c>
    </row>
    <row r="6196" spans="1:49" x14ac:dyDescent="0.25">
      <c r="A6196" t="str">
        <f>"6192"</f>
        <v>6192</v>
      </c>
      <c r="B6196" t="str">
        <f t="shared" si="358"/>
        <v>1</v>
      </c>
      <c r="C6196" t="str">
        <f t="shared" si="359"/>
        <v>271</v>
      </c>
      <c r="D6196" t="str">
        <f>"6"</f>
        <v>6</v>
      </c>
      <c r="E6196" t="str">
        <f>"1-271-6"</f>
        <v>1-271-6</v>
      </c>
      <c r="F6196" t="s">
        <v>83</v>
      </c>
      <c r="G6196" t="s">
        <v>84</v>
      </c>
      <c r="H6196" t="s">
        <v>85</v>
      </c>
      <c r="AC6196">
        <v>0</v>
      </c>
      <c r="AD6196">
        <v>1</v>
      </c>
      <c r="AE6196">
        <v>0</v>
      </c>
      <c r="AF6196">
        <v>0</v>
      </c>
      <c r="AG6196">
        <v>0</v>
      </c>
      <c r="AJ6196">
        <v>0</v>
      </c>
      <c r="AK6196">
        <v>1</v>
      </c>
      <c r="AL6196">
        <v>0</v>
      </c>
      <c r="AM6196">
        <v>1</v>
      </c>
      <c r="AN6196">
        <v>0</v>
      </c>
      <c r="AO6196">
        <v>0</v>
      </c>
      <c r="AP6196">
        <v>0</v>
      </c>
      <c r="AQ6196">
        <v>0</v>
      </c>
      <c r="AR6196">
        <v>0</v>
      </c>
      <c r="AS6196">
        <v>1</v>
      </c>
      <c r="AT6196">
        <v>0</v>
      </c>
      <c r="AV6196">
        <v>0</v>
      </c>
      <c r="AW6196">
        <v>0</v>
      </c>
    </row>
    <row r="6197" spans="1:49" x14ac:dyDescent="0.25">
      <c r="A6197" t="str">
        <f>"6193"</f>
        <v>6193</v>
      </c>
      <c r="B6197" t="str">
        <f t="shared" si="358"/>
        <v>1</v>
      </c>
      <c r="C6197" t="str">
        <f t="shared" si="359"/>
        <v>271</v>
      </c>
      <c r="D6197" t="str">
        <f>"19"</f>
        <v>19</v>
      </c>
      <c r="E6197" t="str">
        <f>"1-271-19"</f>
        <v>1-271-19</v>
      </c>
      <c r="F6197" t="s">
        <v>83</v>
      </c>
      <c r="G6197" t="s">
        <v>84</v>
      </c>
      <c r="H6197" t="s">
        <v>92</v>
      </c>
      <c r="I6197">
        <v>1</v>
      </c>
      <c r="J6197">
        <v>1</v>
      </c>
      <c r="N6197">
        <v>1</v>
      </c>
      <c r="O6197">
        <v>1</v>
      </c>
      <c r="P6197">
        <v>1</v>
      </c>
      <c r="Q6197">
        <v>1</v>
      </c>
      <c r="R6197">
        <v>1</v>
      </c>
      <c r="S6197">
        <v>1</v>
      </c>
      <c r="T6197">
        <v>1</v>
      </c>
      <c r="W6197">
        <v>1</v>
      </c>
      <c r="X6197">
        <v>1</v>
      </c>
      <c r="Y6197">
        <v>0</v>
      </c>
      <c r="Z6197">
        <v>1</v>
      </c>
      <c r="AA6197">
        <v>1</v>
      </c>
      <c r="AB6197">
        <v>1</v>
      </c>
    </row>
    <row r="6198" spans="1:49" x14ac:dyDescent="0.25">
      <c r="A6198" t="str">
        <f>"6194"</f>
        <v>6194</v>
      </c>
      <c r="B6198" t="str">
        <f t="shared" si="358"/>
        <v>1</v>
      </c>
      <c r="C6198" t="str">
        <f t="shared" si="359"/>
        <v>271</v>
      </c>
      <c r="D6198" t="str">
        <f>"7"</f>
        <v>7</v>
      </c>
      <c r="E6198" t="str">
        <f>"1-271-7"</f>
        <v>1-271-7</v>
      </c>
      <c r="F6198" t="s">
        <v>83</v>
      </c>
      <c r="G6198" t="s">
        <v>84</v>
      </c>
      <c r="H6198" t="s">
        <v>85</v>
      </c>
      <c r="AC6198">
        <v>1</v>
      </c>
      <c r="AD6198">
        <v>0</v>
      </c>
      <c r="AE6198">
        <v>0</v>
      </c>
      <c r="AF6198">
        <v>0</v>
      </c>
      <c r="AG6198">
        <v>1</v>
      </c>
      <c r="AJ6198">
        <v>1</v>
      </c>
      <c r="AK6198">
        <v>0</v>
      </c>
      <c r="AL6198">
        <v>0</v>
      </c>
      <c r="AM6198">
        <v>1</v>
      </c>
      <c r="AN6198">
        <v>0</v>
      </c>
      <c r="AO6198">
        <v>1</v>
      </c>
      <c r="AP6198">
        <v>1</v>
      </c>
      <c r="AQ6198">
        <v>1</v>
      </c>
      <c r="AR6198">
        <v>1</v>
      </c>
      <c r="AS6198">
        <v>0</v>
      </c>
      <c r="AT6198">
        <v>1</v>
      </c>
      <c r="AV6198">
        <v>1</v>
      </c>
      <c r="AW6198">
        <v>1</v>
      </c>
    </row>
    <row r="6199" spans="1:49" x14ac:dyDescent="0.25">
      <c r="A6199" t="str">
        <f>"6195"</f>
        <v>6195</v>
      </c>
      <c r="B6199" t="str">
        <f t="shared" si="358"/>
        <v>1</v>
      </c>
      <c r="C6199" t="str">
        <f t="shared" ref="C6199:C6222" si="360">"272"</f>
        <v>272</v>
      </c>
      <c r="D6199" t="str">
        <f>"21"</f>
        <v>21</v>
      </c>
      <c r="E6199" t="str">
        <f>"1-272-21"</f>
        <v>1-272-21</v>
      </c>
      <c r="F6199" t="s">
        <v>83</v>
      </c>
      <c r="G6199" t="s">
        <v>84</v>
      </c>
      <c r="H6199" t="s">
        <v>92</v>
      </c>
      <c r="I6199">
        <v>1</v>
      </c>
      <c r="J6199">
        <v>1</v>
      </c>
      <c r="N6199">
        <v>1</v>
      </c>
      <c r="O6199">
        <v>1</v>
      </c>
      <c r="P6199">
        <v>1</v>
      </c>
      <c r="Q6199">
        <v>1</v>
      </c>
      <c r="R6199">
        <v>1</v>
      </c>
      <c r="S6199">
        <v>1</v>
      </c>
      <c r="T6199">
        <v>1</v>
      </c>
      <c r="W6199">
        <v>1</v>
      </c>
      <c r="X6199">
        <v>1</v>
      </c>
      <c r="Y6199">
        <v>1</v>
      </c>
      <c r="Z6199">
        <v>1</v>
      </c>
      <c r="AA6199">
        <v>1</v>
      </c>
      <c r="AB6199">
        <v>1</v>
      </c>
    </row>
    <row r="6200" spans="1:49" x14ac:dyDescent="0.25">
      <c r="A6200" t="str">
        <f>"6196"</f>
        <v>6196</v>
      </c>
      <c r="B6200" t="str">
        <f t="shared" si="358"/>
        <v>1</v>
      </c>
      <c r="C6200" t="str">
        <f t="shared" si="360"/>
        <v>272</v>
      </c>
      <c r="D6200" t="str">
        <f>"20"</f>
        <v>20</v>
      </c>
      <c r="E6200" t="str">
        <f>"1-272-20"</f>
        <v>1-272-20</v>
      </c>
      <c r="F6200" t="s">
        <v>83</v>
      </c>
      <c r="G6200" t="s">
        <v>84</v>
      </c>
      <c r="H6200" t="s">
        <v>92</v>
      </c>
      <c r="I6200">
        <v>1</v>
      </c>
      <c r="J6200">
        <v>1</v>
      </c>
      <c r="N6200">
        <v>1</v>
      </c>
      <c r="O6200">
        <v>1</v>
      </c>
      <c r="P6200">
        <v>1</v>
      </c>
      <c r="Q6200">
        <v>1</v>
      </c>
      <c r="R6200">
        <v>1</v>
      </c>
      <c r="S6200">
        <v>1</v>
      </c>
      <c r="T6200">
        <v>1</v>
      </c>
      <c r="W6200">
        <v>0</v>
      </c>
      <c r="X6200">
        <v>1</v>
      </c>
      <c r="Y6200">
        <v>1</v>
      </c>
      <c r="Z6200">
        <v>1</v>
      </c>
      <c r="AA6200">
        <v>1</v>
      </c>
      <c r="AB6200">
        <v>1</v>
      </c>
    </row>
    <row r="6201" spans="1:49" x14ac:dyDescent="0.25">
      <c r="A6201" t="str">
        <f>"6197"</f>
        <v>6197</v>
      </c>
      <c r="B6201" t="str">
        <f t="shared" si="358"/>
        <v>1</v>
      </c>
      <c r="C6201" t="str">
        <f t="shared" si="360"/>
        <v>272</v>
      </c>
      <c r="D6201" t="str">
        <f>"13"</f>
        <v>13</v>
      </c>
      <c r="E6201" t="str">
        <f>"1-272-13"</f>
        <v>1-272-13</v>
      </c>
      <c r="F6201" t="s">
        <v>83</v>
      </c>
      <c r="G6201" t="s">
        <v>84</v>
      </c>
      <c r="H6201" t="s">
        <v>92</v>
      </c>
      <c r="I6201">
        <v>1</v>
      </c>
      <c r="J6201">
        <v>1</v>
      </c>
      <c r="N6201">
        <v>1</v>
      </c>
      <c r="O6201">
        <v>1</v>
      </c>
      <c r="P6201">
        <v>1</v>
      </c>
      <c r="Q6201">
        <v>1</v>
      </c>
      <c r="R6201">
        <v>1</v>
      </c>
      <c r="S6201">
        <v>1</v>
      </c>
      <c r="T6201">
        <v>1</v>
      </c>
      <c r="W6201">
        <v>1</v>
      </c>
      <c r="X6201">
        <v>1</v>
      </c>
      <c r="Y6201">
        <v>1</v>
      </c>
      <c r="Z6201">
        <v>1</v>
      </c>
      <c r="AA6201">
        <v>1</v>
      </c>
      <c r="AB6201">
        <v>1</v>
      </c>
    </row>
    <row r="6202" spans="1:49" x14ac:dyDescent="0.25">
      <c r="A6202" t="str">
        <f>"6198"</f>
        <v>6198</v>
      </c>
      <c r="B6202" t="str">
        <f t="shared" si="358"/>
        <v>1</v>
      </c>
      <c r="C6202" t="str">
        <f t="shared" si="360"/>
        <v>272</v>
      </c>
      <c r="D6202" t="str">
        <f>"8"</f>
        <v>8</v>
      </c>
      <c r="E6202" t="str">
        <f>"1-272-8"</f>
        <v>1-272-8</v>
      </c>
      <c r="F6202" t="s">
        <v>83</v>
      </c>
      <c r="G6202" t="s">
        <v>84</v>
      </c>
      <c r="H6202" t="s">
        <v>92</v>
      </c>
      <c r="I6202">
        <v>1</v>
      </c>
      <c r="J6202">
        <v>1</v>
      </c>
      <c r="N6202">
        <v>1</v>
      </c>
      <c r="O6202">
        <v>1</v>
      </c>
      <c r="P6202">
        <v>1</v>
      </c>
      <c r="Q6202">
        <v>1</v>
      </c>
      <c r="R6202">
        <v>1</v>
      </c>
      <c r="S6202">
        <v>1</v>
      </c>
      <c r="T6202">
        <v>1</v>
      </c>
      <c r="W6202">
        <v>1</v>
      </c>
      <c r="X6202">
        <v>1</v>
      </c>
      <c r="Y6202">
        <v>1</v>
      </c>
      <c r="Z6202">
        <v>0</v>
      </c>
      <c r="AA6202">
        <v>0</v>
      </c>
      <c r="AB6202">
        <v>1</v>
      </c>
    </row>
    <row r="6203" spans="1:49" x14ac:dyDescent="0.25">
      <c r="A6203" t="str">
        <f>"6199"</f>
        <v>6199</v>
      </c>
      <c r="B6203" t="str">
        <f t="shared" si="358"/>
        <v>1</v>
      </c>
      <c r="C6203" t="str">
        <f t="shared" si="360"/>
        <v>272</v>
      </c>
      <c r="D6203" t="str">
        <f>"6"</f>
        <v>6</v>
      </c>
      <c r="E6203" t="str">
        <f>"1-272-6"</f>
        <v>1-272-6</v>
      </c>
      <c r="F6203" t="s">
        <v>83</v>
      </c>
      <c r="G6203" t="s">
        <v>84</v>
      </c>
      <c r="H6203" t="s">
        <v>92</v>
      </c>
      <c r="I6203">
        <v>1</v>
      </c>
      <c r="J6203">
        <v>1</v>
      </c>
      <c r="N6203">
        <v>1</v>
      </c>
      <c r="O6203">
        <v>1</v>
      </c>
      <c r="P6203">
        <v>1</v>
      </c>
      <c r="Q6203">
        <v>1</v>
      </c>
      <c r="R6203">
        <v>1</v>
      </c>
      <c r="S6203">
        <v>1</v>
      </c>
      <c r="T6203">
        <v>1</v>
      </c>
      <c r="W6203">
        <v>1</v>
      </c>
      <c r="X6203">
        <v>1</v>
      </c>
      <c r="Y6203">
        <v>1</v>
      </c>
      <c r="Z6203">
        <v>1</v>
      </c>
      <c r="AA6203">
        <v>1</v>
      </c>
      <c r="AB6203">
        <v>1</v>
      </c>
    </row>
    <row r="6204" spans="1:49" x14ac:dyDescent="0.25">
      <c r="A6204" t="str">
        <f>"6200"</f>
        <v>6200</v>
      </c>
      <c r="B6204" t="str">
        <f t="shared" si="358"/>
        <v>1</v>
      </c>
      <c r="C6204" t="str">
        <f t="shared" si="360"/>
        <v>272</v>
      </c>
      <c r="D6204" t="str">
        <f>"24"</f>
        <v>24</v>
      </c>
      <c r="E6204" t="str">
        <f>"1-272-24"</f>
        <v>1-272-24</v>
      </c>
      <c r="F6204" t="s">
        <v>83</v>
      </c>
      <c r="G6204" t="s">
        <v>84</v>
      </c>
      <c r="H6204" t="s">
        <v>92</v>
      </c>
      <c r="I6204">
        <v>1</v>
      </c>
      <c r="J6204">
        <v>1</v>
      </c>
      <c r="N6204">
        <v>1</v>
      </c>
      <c r="O6204">
        <v>1</v>
      </c>
      <c r="P6204">
        <v>1</v>
      </c>
      <c r="Q6204">
        <v>1</v>
      </c>
      <c r="R6204">
        <v>1</v>
      </c>
      <c r="S6204">
        <v>1</v>
      </c>
      <c r="T6204">
        <v>1</v>
      </c>
      <c r="W6204">
        <v>1</v>
      </c>
      <c r="X6204">
        <v>1</v>
      </c>
      <c r="Y6204">
        <v>1</v>
      </c>
      <c r="Z6204">
        <v>1</v>
      </c>
      <c r="AA6204">
        <v>1</v>
      </c>
      <c r="AB6204">
        <v>1</v>
      </c>
    </row>
    <row r="6205" spans="1:49" x14ac:dyDescent="0.25">
      <c r="A6205" t="str">
        <f>"6201"</f>
        <v>6201</v>
      </c>
      <c r="B6205" t="str">
        <f t="shared" si="358"/>
        <v>1</v>
      </c>
      <c r="C6205" t="str">
        <f t="shared" si="360"/>
        <v>272</v>
      </c>
      <c r="D6205" t="str">
        <f>"14"</f>
        <v>14</v>
      </c>
      <c r="E6205" t="str">
        <f>"1-272-14"</f>
        <v>1-272-14</v>
      </c>
      <c r="F6205" t="s">
        <v>83</v>
      </c>
      <c r="G6205" t="s">
        <v>84</v>
      </c>
      <c r="H6205" t="s">
        <v>92</v>
      </c>
      <c r="I6205">
        <v>1</v>
      </c>
      <c r="J6205">
        <v>1</v>
      </c>
      <c r="N6205">
        <v>1</v>
      </c>
      <c r="O6205">
        <v>1</v>
      </c>
      <c r="P6205">
        <v>1</v>
      </c>
      <c r="Q6205">
        <v>1</v>
      </c>
      <c r="R6205">
        <v>1</v>
      </c>
      <c r="S6205">
        <v>1</v>
      </c>
      <c r="T6205">
        <v>1</v>
      </c>
      <c r="W6205">
        <v>1</v>
      </c>
      <c r="X6205">
        <v>1</v>
      </c>
      <c r="Y6205">
        <v>1</v>
      </c>
      <c r="Z6205">
        <v>1</v>
      </c>
      <c r="AA6205">
        <v>1</v>
      </c>
      <c r="AB6205">
        <v>1</v>
      </c>
    </row>
    <row r="6206" spans="1:49" x14ac:dyDescent="0.25">
      <c r="A6206" t="str">
        <f>"6202"</f>
        <v>6202</v>
      </c>
      <c r="B6206" t="str">
        <f t="shared" si="358"/>
        <v>1</v>
      </c>
      <c r="C6206" t="str">
        <f t="shared" si="360"/>
        <v>272</v>
      </c>
      <c r="D6206" t="str">
        <f>"9"</f>
        <v>9</v>
      </c>
      <c r="E6206" t="str">
        <f>"1-272-9"</f>
        <v>1-272-9</v>
      </c>
      <c r="F6206" t="s">
        <v>83</v>
      </c>
      <c r="G6206" t="s">
        <v>84</v>
      </c>
      <c r="H6206" t="s">
        <v>92</v>
      </c>
      <c r="I6206">
        <v>1</v>
      </c>
      <c r="J6206">
        <v>1</v>
      </c>
      <c r="N6206">
        <v>1</v>
      </c>
      <c r="O6206">
        <v>1</v>
      </c>
      <c r="P6206">
        <v>1</v>
      </c>
      <c r="Q6206">
        <v>1</v>
      </c>
      <c r="R6206">
        <v>1</v>
      </c>
      <c r="S6206">
        <v>1</v>
      </c>
      <c r="T6206">
        <v>1</v>
      </c>
      <c r="W6206">
        <v>1</v>
      </c>
      <c r="X6206">
        <v>1</v>
      </c>
      <c r="Y6206">
        <v>1</v>
      </c>
      <c r="Z6206">
        <v>0</v>
      </c>
      <c r="AA6206">
        <v>0</v>
      </c>
      <c r="AB6206">
        <v>1</v>
      </c>
    </row>
    <row r="6207" spans="1:49" x14ac:dyDescent="0.25">
      <c r="A6207" t="str">
        <f>"6203"</f>
        <v>6203</v>
      </c>
      <c r="B6207" t="str">
        <f t="shared" si="358"/>
        <v>1</v>
      </c>
      <c r="C6207" t="str">
        <f t="shared" si="360"/>
        <v>272</v>
      </c>
      <c r="D6207" t="str">
        <f>"2"</f>
        <v>2</v>
      </c>
      <c r="E6207" t="str">
        <f>"1-272-2"</f>
        <v>1-272-2</v>
      </c>
      <c r="F6207" t="s">
        <v>83</v>
      </c>
      <c r="G6207" t="s">
        <v>84</v>
      </c>
      <c r="H6207" t="s">
        <v>92</v>
      </c>
      <c r="I6207">
        <v>1</v>
      </c>
      <c r="J6207">
        <v>1</v>
      </c>
      <c r="N6207">
        <v>1</v>
      </c>
      <c r="O6207">
        <v>1</v>
      </c>
      <c r="P6207">
        <v>1</v>
      </c>
      <c r="Q6207">
        <v>1</v>
      </c>
      <c r="R6207">
        <v>1</v>
      </c>
      <c r="S6207">
        <v>1</v>
      </c>
      <c r="T6207">
        <v>1</v>
      </c>
      <c r="W6207">
        <v>1</v>
      </c>
      <c r="X6207">
        <v>1</v>
      </c>
      <c r="Y6207">
        <v>1</v>
      </c>
      <c r="Z6207">
        <v>1</v>
      </c>
      <c r="AA6207">
        <v>1</v>
      </c>
      <c r="AB6207">
        <v>1</v>
      </c>
    </row>
    <row r="6208" spans="1:49" x14ac:dyDescent="0.25">
      <c r="A6208" t="str">
        <f>"6204"</f>
        <v>6204</v>
      </c>
      <c r="B6208" t="str">
        <f t="shared" si="358"/>
        <v>1</v>
      </c>
      <c r="C6208" t="str">
        <f t="shared" si="360"/>
        <v>272</v>
      </c>
      <c r="D6208" t="str">
        <f>"23"</f>
        <v>23</v>
      </c>
      <c r="E6208" t="str">
        <f>"1-272-23"</f>
        <v>1-272-23</v>
      </c>
      <c r="F6208" t="s">
        <v>83</v>
      </c>
      <c r="G6208" t="s">
        <v>84</v>
      </c>
      <c r="H6208" t="s">
        <v>92</v>
      </c>
      <c r="I6208">
        <v>1</v>
      </c>
      <c r="J6208">
        <v>1</v>
      </c>
      <c r="N6208">
        <v>1</v>
      </c>
      <c r="O6208">
        <v>1</v>
      </c>
      <c r="P6208">
        <v>1</v>
      </c>
      <c r="Q6208">
        <v>1</v>
      </c>
      <c r="R6208">
        <v>1</v>
      </c>
      <c r="S6208">
        <v>1</v>
      </c>
      <c r="T6208">
        <v>1</v>
      </c>
      <c r="W6208">
        <v>1</v>
      </c>
      <c r="X6208">
        <v>1</v>
      </c>
      <c r="Y6208">
        <v>1</v>
      </c>
      <c r="Z6208">
        <v>1</v>
      </c>
      <c r="AA6208">
        <v>1</v>
      </c>
      <c r="AB6208">
        <v>1</v>
      </c>
    </row>
    <row r="6209" spans="1:28" x14ac:dyDescent="0.25">
      <c r="A6209" t="str">
        <f>"6205"</f>
        <v>6205</v>
      </c>
      <c r="B6209" t="str">
        <f t="shared" si="358"/>
        <v>1</v>
      </c>
      <c r="C6209" t="str">
        <f t="shared" si="360"/>
        <v>272</v>
      </c>
      <c r="D6209" t="str">
        <f>"22"</f>
        <v>22</v>
      </c>
      <c r="E6209" t="str">
        <f>"1-272-22"</f>
        <v>1-272-22</v>
      </c>
      <c r="F6209" t="s">
        <v>83</v>
      </c>
      <c r="G6209" t="s">
        <v>84</v>
      </c>
      <c r="H6209" t="s">
        <v>92</v>
      </c>
      <c r="I6209">
        <v>1</v>
      </c>
      <c r="J6209">
        <v>1</v>
      </c>
      <c r="N6209">
        <v>1</v>
      </c>
      <c r="O6209">
        <v>1</v>
      </c>
      <c r="P6209">
        <v>1</v>
      </c>
      <c r="Q6209">
        <v>1</v>
      </c>
      <c r="R6209">
        <v>1</v>
      </c>
      <c r="S6209">
        <v>1</v>
      </c>
      <c r="T6209">
        <v>1</v>
      </c>
      <c r="W6209">
        <v>1</v>
      </c>
      <c r="X6209">
        <v>1</v>
      </c>
      <c r="Y6209">
        <v>1</v>
      </c>
      <c r="Z6209">
        <v>1</v>
      </c>
      <c r="AA6209">
        <v>1</v>
      </c>
      <c r="AB6209">
        <v>1</v>
      </c>
    </row>
    <row r="6210" spans="1:28" x14ac:dyDescent="0.25">
      <c r="A6210" t="str">
        <f>"6206"</f>
        <v>6206</v>
      </c>
      <c r="B6210" t="str">
        <f t="shared" si="358"/>
        <v>1</v>
      </c>
      <c r="C6210" t="str">
        <f t="shared" si="360"/>
        <v>272</v>
      </c>
      <c r="D6210" t="str">
        <f>"15"</f>
        <v>15</v>
      </c>
      <c r="E6210" t="str">
        <f>"1-272-15"</f>
        <v>1-272-15</v>
      </c>
      <c r="F6210" t="s">
        <v>83</v>
      </c>
      <c r="G6210" t="s">
        <v>84</v>
      </c>
      <c r="H6210" t="s">
        <v>92</v>
      </c>
      <c r="I6210">
        <v>1</v>
      </c>
      <c r="J6210">
        <v>1</v>
      </c>
      <c r="N6210">
        <v>1</v>
      </c>
      <c r="O6210">
        <v>0</v>
      </c>
      <c r="P6210">
        <v>1</v>
      </c>
      <c r="Q6210">
        <v>1</v>
      </c>
      <c r="R6210">
        <v>1</v>
      </c>
      <c r="S6210">
        <v>1</v>
      </c>
      <c r="T6210">
        <v>1</v>
      </c>
      <c r="W6210">
        <v>1</v>
      </c>
      <c r="X6210">
        <v>1</v>
      </c>
      <c r="Y6210">
        <v>1</v>
      </c>
      <c r="Z6210">
        <v>1</v>
      </c>
      <c r="AA6210">
        <v>1</v>
      </c>
      <c r="AB6210">
        <v>0</v>
      </c>
    </row>
    <row r="6211" spans="1:28" x14ac:dyDescent="0.25">
      <c r="A6211" t="str">
        <f>"6207"</f>
        <v>6207</v>
      </c>
      <c r="B6211" t="str">
        <f t="shared" si="358"/>
        <v>1</v>
      </c>
      <c r="C6211" t="str">
        <f t="shared" si="360"/>
        <v>272</v>
      </c>
      <c r="D6211" t="str">
        <f>"10"</f>
        <v>10</v>
      </c>
      <c r="E6211" t="str">
        <f>"1-272-10"</f>
        <v>1-272-10</v>
      </c>
      <c r="F6211" t="s">
        <v>83</v>
      </c>
      <c r="G6211" t="s">
        <v>84</v>
      </c>
      <c r="H6211" t="s">
        <v>92</v>
      </c>
      <c r="I6211">
        <v>1</v>
      </c>
      <c r="J6211">
        <v>1</v>
      </c>
      <c r="N6211">
        <v>1</v>
      </c>
      <c r="O6211">
        <v>1</v>
      </c>
      <c r="P6211">
        <v>1</v>
      </c>
      <c r="Q6211">
        <v>1</v>
      </c>
      <c r="R6211">
        <v>1</v>
      </c>
      <c r="S6211">
        <v>1</v>
      </c>
      <c r="T6211">
        <v>1</v>
      </c>
      <c r="W6211">
        <v>1</v>
      </c>
      <c r="X6211">
        <v>1</v>
      </c>
      <c r="Y6211">
        <v>1</v>
      </c>
      <c r="Z6211">
        <v>1</v>
      </c>
      <c r="AA6211">
        <v>1</v>
      </c>
      <c r="AB6211">
        <v>1</v>
      </c>
    </row>
    <row r="6212" spans="1:28" x14ac:dyDescent="0.25">
      <c r="A6212" t="str">
        <f>"6208"</f>
        <v>6208</v>
      </c>
      <c r="B6212" t="str">
        <f t="shared" si="358"/>
        <v>1</v>
      </c>
      <c r="C6212" t="str">
        <f t="shared" si="360"/>
        <v>272</v>
      </c>
      <c r="D6212" t="str">
        <f>"4"</f>
        <v>4</v>
      </c>
      <c r="E6212" t="str">
        <f>"1-272-4"</f>
        <v>1-272-4</v>
      </c>
      <c r="F6212" t="s">
        <v>83</v>
      </c>
      <c r="G6212" t="s">
        <v>84</v>
      </c>
      <c r="H6212" t="s">
        <v>92</v>
      </c>
      <c r="I6212">
        <v>1</v>
      </c>
      <c r="J6212">
        <v>1</v>
      </c>
      <c r="N6212">
        <v>1</v>
      </c>
      <c r="O6212">
        <v>1</v>
      </c>
      <c r="P6212">
        <v>1</v>
      </c>
      <c r="Q6212">
        <v>1</v>
      </c>
      <c r="R6212">
        <v>1</v>
      </c>
      <c r="S6212">
        <v>1</v>
      </c>
      <c r="T6212">
        <v>1</v>
      </c>
      <c r="W6212">
        <v>1</v>
      </c>
      <c r="X6212">
        <v>1</v>
      </c>
      <c r="Y6212">
        <v>1</v>
      </c>
      <c r="Z6212">
        <v>1</v>
      </c>
      <c r="AA6212">
        <v>1</v>
      </c>
      <c r="AB6212">
        <v>1</v>
      </c>
    </row>
    <row r="6213" spans="1:28" x14ac:dyDescent="0.25">
      <c r="A6213" t="str">
        <f>"6209"</f>
        <v>6209</v>
      </c>
      <c r="B6213" t="str">
        <f t="shared" si="358"/>
        <v>1</v>
      </c>
      <c r="C6213" t="str">
        <f t="shared" si="360"/>
        <v>272</v>
      </c>
      <c r="D6213" t="str">
        <f>"16"</f>
        <v>16</v>
      </c>
      <c r="E6213" t="str">
        <f>"1-272-16"</f>
        <v>1-272-16</v>
      </c>
      <c r="F6213" t="s">
        <v>83</v>
      </c>
      <c r="G6213" t="s">
        <v>84</v>
      </c>
      <c r="H6213" t="s">
        <v>92</v>
      </c>
      <c r="I6213">
        <v>1</v>
      </c>
      <c r="J6213">
        <v>1</v>
      </c>
      <c r="N6213">
        <v>1</v>
      </c>
      <c r="O6213">
        <v>1</v>
      </c>
      <c r="P6213">
        <v>1</v>
      </c>
      <c r="Q6213">
        <v>1</v>
      </c>
      <c r="R6213">
        <v>0</v>
      </c>
      <c r="S6213">
        <v>0</v>
      </c>
      <c r="T6213">
        <v>0</v>
      </c>
      <c r="W6213">
        <v>0</v>
      </c>
      <c r="X6213">
        <v>1</v>
      </c>
      <c r="Y6213">
        <v>1</v>
      </c>
      <c r="Z6213">
        <v>1</v>
      </c>
      <c r="AA6213">
        <v>1</v>
      </c>
      <c r="AB6213">
        <v>1</v>
      </c>
    </row>
    <row r="6214" spans="1:28" x14ac:dyDescent="0.25">
      <c r="A6214" t="str">
        <f>"6210"</f>
        <v>6210</v>
      </c>
      <c r="B6214" t="str">
        <f t="shared" si="358"/>
        <v>1</v>
      </c>
      <c r="C6214" t="str">
        <f t="shared" si="360"/>
        <v>272</v>
      </c>
      <c r="D6214" t="str">
        <f>"11"</f>
        <v>11</v>
      </c>
      <c r="E6214" t="str">
        <f>"1-272-11"</f>
        <v>1-272-11</v>
      </c>
      <c r="F6214" t="s">
        <v>83</v>
      </c>
      <c r="G6214" t="s">
        <v>84</v>
      </c>
      <c r="H6214" t="s">
        <v>92</v>
      </c>
      <c r="I6214">
        <v>1</v>
      </c>
      <c r="J6214">
        <v>1</v>
      </c>
      <c r="N6214">
        <v>1</v>
      </c>
      <c r="O6214">
        <v>1</v>
      </c>
      <c r="P6214">
        <v>1</v>
      </c>
      <c r="Q6214">
        <v>1</v>
      </c>
      <c r="R6214">
        <v>1</v>
      </c>
      <c r="S6214">
        <v>1</v>
      </c>
      <c r="T6214">
        <v>1</v>
      </c>
      <c r="W6214">
        <v>1</v>
      </c>
      <c r="X6214">
        <v>1</v>
      </c>
      <c r="Y6214">
        <v>1</v>
      </c>
      <c r="Z6214">
        <v>1</v>
      </c>
      <c r="AA6214">
        <v>1</v>
      </c>
      <c r="AB6214">
        <v>1</v>
      </c>
    </row>
    <row r="6215" spans="1:28" x14ac:dyDescent="0.25">
      <c r="A6215" t="str">
        <f>"6211"</f>
        <v>6211</v>
      </c>
      <c r="B6215" t="str">
        <f t="shared" si="358"/>
        <v>1</v>
      </c>
      <c r="C6215" t="str">
        <f t="shared" si="360"/>
        <v>272</v>
      </c>
      <c r="D6215" t="str">
        <f>"1"</f>
        <v>1</v>
      </c>
      <c r="E6215" t="str">
        <f>"1-272-1"</f>
        <v>1-272-1</v>
      </c>
      <c r="F6215" t="s">
        <v>83</v>
      </c>
      <c r="G6215" t="s">
        <v>84</v>
      </c>
      <c r="H6215" t="s">
        <v>92</v>
      </c>
      <c r="I6215">
        <v>1</v>
      </c>
      <c r="J6215">
        <v>1</v>
      </c>
      <c r="N6215">
        <v>1</v>
      </c>
      <c r="O6215">
        <v>1</v>
      </c>
      <c r="P6215">
        <v>1</v>
      </c>
      <c r="Q6215">
        <v>1</v>
      </c>
      <c r="R6215">
        <v>1</v>
      </c>
      <c r="S6215">
        <v>1</v>
      </c>
      <c r="T6215">
        <v>1</v>
      </c>
      <c r="W6215">
        <v>1</v>
      </c>
      <c r="X6215">
        <v>1</v>
      </c>
      <c r="Y6215">
        <v>1</v>
      </c>
      <c r="Z6215">
        <v>1</v>
      </c>
      <c r="AA6215">
        <v>1</v>
      </c>
      <c r="AB6215">
        <v>1</v>
      </c>
    </row>
    <row r="6216" spans="1:28" x14ac:dyDescent="0.25">
      <c r="A6216" t="str">
        <f>"6212"</f>
        <v>6212</v>
      </c>
      <c r="B6216" t="str">
        <f t="shared" si="358"/>
        <v>1</v>
      </c>
      <c r="C6216" t="str">
        <f t="shared" si="360"/>
        <v>272</v>
      </c>
      <c r="D6216" t="str">
        <f>"19"</f>
        <v>19</v>
      </c>
      <c r="E6216" t="str">
        <f>"1-272-19"</f>
        <v>1-272-19</v>
      </c>
      <c r="F6216" t="s">
        <v>83</v>
      </c>
      <c r="G6216" t="s">
        <v>84</v>
      </c>
      <c r="H6216" t="s">
        <v>92</v>
      </c>
      <c r="I6216">
        <v>1</v>
      </c>
      <c r="J6216">
        <v>1</v>
      </c>
      <c r="N6216">
        <v>1</v>
      </c>
      <c r="O6216">
        <v>1</v>
      </c>
      <c r="P6216">
        <v>1</v>
      </c>
      <c r="Q6216">
        <v>1</v>
      </c>
      <c r="R6216">
        <v>1</v>
      </c>
      <c r="S6216">
        <v>1</v>
      </c>
      <c r="T6216">
        <v>1</v>
      </c>
      <c r="W6216">
        <v>1</v>
      </c>
      <c r="X6216">
        <v>1</v>
      </c>
      <c r="Y6216">
        <v>1</v>
      </c>
      <c r="Z6216">
        <v>1</v>
      </c>
      <c r="AA6216">
        <v>1</v>
      </c>
      <c r="AB6216">
        <v>1</v>
      </c>
    </row>
    <row r="6217" spans="1:28" x14ac:dyDescent="0.25">
      <c r="A6217" t="str">
        <f>"6213"</f>
        <v>6213</v>
      </c>
      <c r="B6217" t="str">
        <f t="shared" si="358"/>
        <v>1</v>
      </c>
      <c r="C6217" t="str">
        <f t="shared" si="360"/>
        <v>272</v>
      </c>
      <c r="D6217" t="str">
        <f>"12"</f>
        <v>12</v>
      </c>
      <c r="E6217" t="str">
        <f>"1-272-12"</f>
        <v>1-272-12</v>
      </c>
      <c r="F6217" t="s">
        <v>83</v>
      </c>
      <c r="G6217" t="s">
        <v>84</v>
      </c>
      <c r="H6217" t="s">
        <v>92</v>
      </c>
      <c r="I6217">
        <v>1</v>
      </c>
      <c r="J6217">
        <v>1</v>
      </c>
      <c r="N6217">
        <v>1</v>
      </c>
      <c r="O6217">
        <v>1</v>
      </c>
      <c r="P6217">
        <v>1</v>
      </c>
      <c r="Q6217">
        <v>1</v>
      </c>
      <c r="R6217">
        <v>1</v>
      </c>
      <c r="S6217">
        <v>1</v>
      </c>
      <c r="T6217">
        <v>1</v>
      </c>
      <c r="W6217">
        <v>1</v>
      </c>
      <c r="X6217">
        <v>1</v>
      </c>
      <c r="Y6217">
        <v>1</v>
      </c>
      <c r="Z6217">
        <v>1</v>
      </c>
      <c r="AA6217">
        <v>1</v>
      </c>
      <c r="AB6217">
        <v>1</v>
      </c>
    </row>
    <row r="6218" spans="1:28" x14ac:dyDescent="0.25">
      <c r="A6218" t="str">
        <f>"6214"</f>
        <v>6214</v>
      </c>
      <c r="B6218" t="str">
        <f t="shared" si="358"/>
        <v>1</v>
      </c>
      <c r="C6218" t="str">
        <f t="shared" si="360"/>
        <v>272</v>
      </c>
      <c r="D6218" t="str">
        <f>"7"</f>
        <v>7</v>
      </c>
      <c r="E6218" t="str">
        <f>"1-272-7"</f>
        <v>1-272-7</v>
      </c>
      <c r="F6218" t="s">
        <v>83</v>
      </c>
      <c r="G6218" t="s">
        <v>84</v>
      </c>
      <c r="H6218" t="s">
        <v>92</v>
      </c>
      <c r="I6218">
        <v>1</v>
      </c>
      <c r="J6218">
        <v>1</v>
      </c>
      <c r="N6218">
        <v>1</v>
      </c>
      <c r="O6218">
        <v>1</v>
      </c>
      <c r="P6218">
        <v>1</v>
      </c>
      <c r="Q6218">
        <v>1</v>
      </c>
      <c r="R6218">
        <v>1</v>
      </c>
      <c r="S6218">
        <v>1</v>
      </c>
      <c r="T6218">
        <v>1</v>
      </c>
      <c r="W6218">
        <v>1</v>
      </c>
      <c r="X6218">
        <v>1</v>
      </c>
      <c r="Y6218">
        <v>1</v>
      </c>
      <c r="Z6218">
        <v>1</v>
      </c>
      <c r="AA6218">
        <v>1</v>
      </c>
      <c r="AB6218">
        <v>1</v>
      </c>
    </row>
    <row r="6219" spans="1:28" x14ac:dyDescent="0.25">
      <c r="A6219" t="str">
        <f>"6215"</f>
        <v>6215</v>
      </c>
      <c r="B6219" t="str">
        <f t="shared" si="358"/>
        <v>1</v>
      </c>
      <c r="C6219" t="str">
        <f t="shared" si="360"/>
        <v>272</v>
      </c>
      <c r="D6219" t="str">
        <f>"17"</f>
        <v>17</v>
      </c>
      <c r="E6219" t="str">
        <f>"1-272-17"</f>
        <v>1-272-17</v>
      </c>
      <c r="F6219" t="s">
        <v>83</v>
      </c>
      <c r="G6219" t="s">
        <v>84</v>
      </c>
      <c r="H6219" t="s">
        <v>92</v>
      </c>
      <c r="I6219">
        <v>1</v>
      </c>
      <c r="J6219">
        <v>1</v>
      </c>
      <c r="N6219">
        <v>1</v>
      </c>
      <c r="O6219">
        <v>1</v>
      </c>
      <c r="P6219">
        <v>1</v>
      </c>
      <c r="Q6219">
        <v>1</v>
      </c>
      <c r="R6219">
        <v>1</v>
      </c>
      <c r="S6219">
        <v>1</v>
      </c>
      <c r="T6219">
        <v>1</v>
      </c>
      <c r="W6219">
        <v>1</v>
      </c>
      <c r="X6219">
        <v>1</v>
      </c>
      <c r="Y6219">
        <v>1</v>
      </c>
      <c r="Z6219">
        <v>1</v>
      </c>
      <c r="AA6219">
        <v>1</v>
      </c>
      <c r="AB6219">
        <v>1</v>
      </c>
    </row>
    <row r="6220" spans="1:28" x14ac:dyDescent="0.25">
      <c r="A6220" t="str">
        <f>"6216"</f>
        <v>6216</v>
      </c>
      <c r="B6220" t="str">
        <f t="shared" si="358"/>
        <v>1</v>
      </c>
      <c r="C6220" t="str">
        <f t="shared" si="360"/>
        <v>272</v>
      </c>
      <c r="D6220" t="str">
        <f>"3"</f>
        <v>3</v>
      </c>
      <c r="E6220" t="str">
        <f>"1-272-3"</f>
        <v>1-272-3</v>
      </c>
      <c r="F6220" t="s">
        <v>83</v>
      </c>
      <c r="G6220" t="s">
        <v>84</v>
      </c>
      <c r="H6220" t="s">
        <v>92</v>
      </c>
      <c r="I6220">
        <v>1</v>
      </c>
      <c r="J6220">
        <v>1</v>
      </c>
      <c r="N6220">
        <v>1</v>
      </c>
      <c r="O6220">
        <v>1</v>
      </c>
      <c r="P6220">
        <v>1</v>
      </c>
      <c r="Q6220">
        <v>1</v>
      </c>
      <c r="R6220">
        <v>1</v>
      </c>
      <c r="S6220">
        <v>1</v>
      </c>
      <c r="T6220">
        <v>1</v>
      </c>
      <c r="W6220">
        <v>1</v>
      </c>
      <c r="X6220">
        <v>1</v>
      </c>
      <c r="Y6220">
        <v>1</v>
      </c>
      <c r="Z6220">
        <v>1</v>
      </c>
      <c r="AA6220">
        <v>1</v>
      </c>
      <c r="AB6220">
        <v>1</v>
      </c>
    </row>
    <row r="6221" spans="1:28" x14ac:dyDescent="0.25">
      <c r="A6221" t="str">
        <f>"6217"</f>
        <v>6217</v>
      </c>
      <c r="B6221" t="str">
        <f t="shared" si="358"/>
        <v>1</v>
      </c>
      <c r="C6221" t="str">
        <f t="shared" si="360"/>
        <v>272</v>
      </c>
      <c r="D6221" t="str">
        <f>"18"</f>
        <v>18</v>
      </c>
      <c r="E6221" t="str">
        <f>"1-272-18"</f>
        <v>1-272-18</v>
      </c>
      <c r="F6221" t="s">
        <v>83</v>
      </c>
      <c r="G6221" t="s">
        <v>84</v>
      </c>
      <c r="H6221" t="s">
        <v>92</v>
      </c>
      <c r="I6221">
        <v>1</v>
      </c>
      <c r="J6221">
        <v>1</v>
      </c>
      <c r="N6221">
        <v>1</v>
      </c>
      <c r="O6221">
        <v>1</v>
      </c>
      <c r="P6221">
        <v>1</v>
      </c>
      <c r="Q6221">
        <v>1</v>
      </c>
      <c r="R6221">
        <v>0</v>
      </c>
      <c r="S6221">
        <v>1</v>
      </c>
      <c r="T6221">
        <v>1</v>
      </c>
      <c r="W6221">
        <v>1</v>
      </c>
      <c r="X6221">
        <v>1</v>
      </c>
      <c r="Y6221">
        <v>1</v>
      </c>
      <c r="Z6221">
        <v>1</v>
      </c>
      <c r="AA6221">
        <v>1</v>
      </c>
      <c r="AB6221">
        <v>1</v>
      </c>
    </row>
    <row r="6222" spans="1:28" x14ac:dyDescent="0.25">
      <c r="A6222" t="str">
        <f>"6218"</f>
        <v>6218</v>
      </c>
      <c r="B6222" t="str">
        <f t="shared" si="358"/>
        <v>1</v>
      </c>
      <c r="C6222" t="str">
        <f t="shared" si="360"/>
        <v>272</v>
      </c>
      <c r="D6222" t="str">
        <f>"5"</f>
        <v>5</v>
      </c>
      <c r="E6222" t="str">
        <f>"1-272-5"</f>
        <v>1-272-5</v>
      </c>
      <c r="F6222" t="s">
        <v>83</v>
      </c>
      <c r="G6222" t="s">
        <v>84</v>
      </c>
      <c r="H6222" t="s">
        <v>92</v>
      </c>
      <c r="I6222">
        <v>1</v>
      </c>
      <c r="J6222">
        <v>1</v>
      </c>
      <c r="N6222">
        <v>1</v>
      </c>
      <c r="O6222">
        <v>0</v>
      </c>
      <c r="P6222">
        <v>0</v>
      </c>
      <c r="Q6222">
        <v>0</v>
      </c>
      <c r="R6222">
        <v>0</v>
      </c>
      <c r="S6222">
        <v>0</v>
      </c>
      <c r="T6222">
        <v>0</v>
      </c>
      <c r="W6222">
        <v>1</v>
      </c>
      <c r="X6222">
        <v>1</v>
      </c>
      <c r="Y6222">
        <v>1</v>
      </c>
      <c r="Z6222">
        <v>0</v>
      </c>
      <c r="AA6222">
        <v>0</v>
      </c>
      <c r="AB6222">
        <v>0</v>
      </c>
    </row>
    <row r="6223" spans="1:28" x14ac:dyDescent="0.25">
      <c r="A6223" t="str">
        <f>"6219"</f>
        <v>6219</v>
      </c>
      <c r="B6223" t="str">
        <f t="shared" si="358"/>
        <v>1</v>
      </c>
      <c r="C6223" t="str">
        <f t="shared" ref="C6223:C6247" si="361">"273"</f>
        <v>273</v>
      </c>
      <c r="D6223" t="str">
        <f>"25"</f>
        <v>25</v>
      </c>
      <c r="E6223" t="str">
        <f>"1-273-25"</f>
        <v>1-273-25</v>
      </c>
      <c r="F6223" t="s">
        <v>83</v>
      </c>
      <c r="G6223" t="s">
        <v>86</v>
      </c>
      <c r="H6223" t="s">
        <v>93</v>
      </c>
      <c r="I6223">
        <v>0</v>
      </c>
      <c r="K6223">
        <v>0</v>
      </c>
      <c r="L6223">
        <v>0</v>
      </c>
      <c r="M6223">
        <v>1</v>
      </c>
      <c r="N6223">
        <v>0</v>
      </c>
      <c r="O6223">
        <v>0</v>
      </c>
      <c r="P6223">
        <v>0</v>
      </c>
      <c r="Q6223">
        <v>0</v>
      </c>
      <c r="R6223">
        <v>0</v>
      </c>
      <c r="U6223">
        <v>0</v>
      </c>
      <c r="V6223">
        <v>1</v>
      </c>
      <c r="W6223">
        <v>0</v>
      </c>
      <c r="X6223">
        <v>0</v>
      </c>
      <c r="Y6223">
        <v>0</v>
      </c>
      <c r="Z6223">
        <v>0</v>
      </c>
      <c r="AA6223">
        <v>0</v>
      </c>
      <c r="AB6223">
        <v>0</v>
      </c>
    </row>
    <row r="6224" spans="1:28" x14ac:dyDescent="0.25">
      <c r="A6224" t="str">
        <f>"6220"</f>
        <v>6220</v>
      </c>
      <c r="B6224" t="str">
        <f t="shared" si="358"/>
        <v>1</v>
      </c>
      <c r="C6224" t="str">
        <f t="shared" si="361"/>
        <v>273</v>
      </c>
      <c r="D6224" t="str">
        <f>"24"</f>
        <v>24</v>
      </c>
      <c r="E6224" t="str">
        <f>"1-273-24"</f>
        <v>1-273-24</v>
      </c>
      <c r="F6224" t="s">
        <v>83</v>
      </c>
      <c r="G6224" t="s">
        <v>84</v>
      </c>
      <c r="H6224" t="s">
        <v>92</v>
      </c>
      <c r="I6224">
        <v>1</v>
      </c>
      <c r="J6224">
        <v>1</v>
      </c>
      <c r="N6224">
        <v>1</v>
      </c>
      <c r="O6224">
        <v>1</v>
      </c>
      <c r="P6224">
        <v>1</v>
      </c>
      <c r="Q6224">
        <v>1</v>
      </c>
      <c r="R6224">
        <v>1</v>
      </c>
      <c r="S6224">
        <v>1</v>
      </c>
      <c r="T6224">
        <v>1</v>
      </c>
      <c r="W6224">
        <v>1</v>
      </c>
      <c r="X6224">
        <v>1</v>
      </c>
      <c r="Y6224">
        <v>1</v>
      </c>
      <c r="Z6224">
        <v>1</v>
      </c>
      <c r="AA6224">
        <v>1</v>
      </c>
      <c r="AB6224">
        <v>1</v>
      </c>
    </row>
    <row r="6225" spans="1:28" x14ac:dyDescent="0.25">
      <c r="A6225" t="str">
        <f>"6221"</f>
        <v>6221</v>
      </c>
      <c r="B6225" t="str">
        <f t="shared" si="358"/>
        <v>1</v>
      </c>
      <c r="C6225" t="str">
        <f t="shared" si="361"/>
        <v>273</v>
      </c>
      <c r="D6225" t="str">
        <f>"15"</f>
        <v>15</v>
      </c>
      <c r="E6225" t="str">
        <f>"1-273-15"</f>
        <v>1-273-15</v>
      </c>
      <c r="F6225" t="s">
        <v>83</v>
      </c>
      <c r="G6225" t="s">
        <v>86</v>
      </c>
      <c r="H6225" t="s">
        <v>93</v>
      </c>
      <c r="I6225">
        <v>1</v>
      </c>
      <c r="K6225">
        <v>0</v>
      </c>
      <c r="L6225">
        <v>0</v>
      </c>
      <c r="M6225">
        <v>1</v>
      </c>
      <c r="N6225">
        <v>1</v>
      </c>
      <c r="O6225">
        <v>1</v>
      </c>
      <c r="P6225">
        <v>1</v>
      </c>
      <c r="Q6225">
        <v>1</v>
      </c>
      <c r="R6225">
        <v>1</v>
      </c>
      <c r="U6225">
        <v>1</v>
      </c>
      <c r="V6225">
        <v>0</v>
      </c>
      <c r="W6225">
        <v>1</v>
      </c>
      <c r="X6225">
        <v>1</v>
      </c>
      <c r="Y6225">
        <v>1</v>
      </c>
      <c r="Z6225">
        <v>1</v>
      </c>
      <c r="AA6225">
        <v>1</v>
      </c>
      <c r="AB6225">
        <v>1</v>
      </c>
    </row>
    <row r="6226" spans="1:28" x14ac:dyDescent="0.25">
      <c r="A6226" t="str">
        <f>"6222"</f>
        <v>6222</v>
      </c>
      <c r="B6226" t="str">
        <f t="shared" si="358"/>
        <v>1</v>
      </c>
      <c r="C6226" t="str">
        <f t="shared" si="361"/>
        <v>273</v>
      </c>
      <c r="D6226" t="str">
        <f>"8"</f>
        <v>8</v>
      </c>
      <c r="E6226" t="str">
        <f>"1-273-8"</f>
        <v>1-273-8</v>
      </c>
      <c r="F6226" t="s">
        <v>83</v>
      </c>
      <c r="G6226" t="s">
        <v>86</v>
      </c>
      <c r="H6226" t="s">
        <v>93</v>
      </c>
      <c r="I6226">
        <v>0</v>
      </c>
      <c r="K6226">
        <v>0</v>
      </c>
      <c r="L6226">
        <v>1</v>
      </c>
      <c r="M6226">
        <v>0</v>
      </c>
      <c r="N6226">
        <v>0</v>
      </c>
      <c r="O6226">
        <v>0</v>
      </c>
      <c r="P6226">
        <v>0</v>
      </c>
      <c r="Q6226">
        <v>0</v>
      </c>
      <c r="R6226">
        <v>0</v>
      </c>
      <c r="U6226">
        <v>1</v>
      </c>
      <c r="V6226">
        <v>0</v>
      </c>
      <c r="W6226">
        <v>1</v>
      </c>
      <c r="X6226">
        <v>0</v>
      </c>
      <c r="Y6226">
        <v>0</v>
      </c>
      <c r="Z6226">
        <v>0</v>
      </c>
      <c r="AA6226">
        <v>0</v>
      </c>
      <c r="AB6226">
        <v>0</v>
      </c>
    </row>
    <row r="6227" spans="1:28" x14ac:dyDescent="0.25">
      <c r="A6227" t="str">
        <f>"6223"</f>
        <v>6223</v>
      </c>
      <c r="B6227" t="str">
        <f t="shared" si="358"/>
        <v>1</v>
      </c>
      <c r="C6227" t="str">
        <f t="shared" si="361"/>
        <v>273</v>
      </c>
      <c r="D6227" t="str">
        <f>"4"</f>
        <v>4</v>
      </c>
      <c r="E6227" t="str">
        <f>"1-273-4"</f>
        <v>1-273-4</v>
      </c>
      <c r="F6227" t="s">
        <v>83</v>
      </c>
      <c r="G6227" t="s">
        <v>84</v>
      </c>
      <c r="H6227" t="s">
        <v>92</v>
      </c>
      <c r="I6227">
        <v>1</v>
      </c>
      <c r="J6227">
        <v>1</v>
      </c>
      <c r="N6227">
        <v>1</v>
      </c>
      <c r="O6227">
        <v>1</v>
      </c>
      <c r="P6227">
        <v>1</v>
      </c>
      <c r="Q6227">
        <v>1</v>
      </c>
      <c r="R6227">
        <v>1</v>
      </c>
      <c r="S6227">
        <v>1</v>
      </c>
      <c r="T6227">
        <v>1</v>
      </c>
      <c r="W6227">
        <v>1</v>
      </c>
      <c r="X6227">
        <v>1</v>
      </c>
      <c r="Y6227">
        <v>1</v>
      </c>
      <c r="Z6227">
        <v>1</v>
      </c>
      <c r="AA6227">
        <v>1</v>
      </c>
      <c r="AB6227">
        <v>1</v>
      </c>
    </row>
    <row r="6228" spans="1:28" x14ac:dyDescent="0.25">
      <c r="A6228" t="str">
        <f>"6224"</f>
        <v>6224</v>
      </c>
      <c r="B6228" t="str">
        <f t="shared" si="358"/>
        <v>1</v>
      </c>
      <c r="C6228" t="str">
        <f t="shared" si="361"/>
        <v>273</v>
      </c>
      <c r="D6228" t="str">
        <f>"23"</f>
        <v>23</v>
      </c>
      <c r="E6228" t="str">
        <f>"1-273-23"</f>
        <v>1-273-23</v>
      </c>
      <c r="F6228" t="s">
        <v>83</v>
      </c>
      <c r="G6228" t="s">
        <v>86</v>
      </c>
      <c r="H6228" t="s">
        <v>93</v>
      </c>
      <c r="I6228">
        <v>1</v>
      </c>
      <c r="K6228">
        <v>1</v>
      </c>
      <c r="L6228">
        <v>0</v>
      </c>
      <c r="M6228">
        <v>0</v>
      </c>
      <c r="N6228">
        <v>1</v>
      </c>
      <c r="O6228">
        <v>1</v>
      </c>
      <c r="P6228">
        <v>1</v>
      </c>
      <c r="Q6228">
        <v>1</v>
      </c>
      <c r="R6228">
        <v>1</v>
      </c>
      <c r="U6228">
        <v>1</v>
      </c>
      <c r="V6228">
        <v>0</v>
      </c>
      <c r="W6228">
        <v>1</v>
      </c>
      <c r="X6228">
        <v>1</v>
      </c>
      <c r="Y6228">
        <v>1</v>
      </c>
      <c r="Z6228">
        <v>1</v>
      </c>
      <c r="AA6228">
        <v>1</v>
      </c>
      <c r="AB6228">
        <v>1</v>
      </c>
    </row>
    <row r="6229" spans="1:28" x14ac:dyDescent="0.25">
      <c r="A6229" t="str">
        <f>"6225"</f>
        <v>6225</v>
      </c>
      <c r="B6229" t="str">
        <f t="shared" si="358"/>
        <v>1</v>
      </c>
      <c r="C6229" t="str">
        <f t="shared" si="361"/>
        <v>273</v>
      </c>
      <c r="D6229" t="str">
        <f>"22"</f>
        <v>22</v>
      </c>
      <c r="E6229" t="str">
        <f>"1-273-22"</f>
        <v>1-273-22</v>
      </c>
      <c r="F6229" t="s">
        <v>83</v>
      </c>
      <c r="G6229" t="s">
        <v>86</v>
      </c>
      <c r="H6229" t="s">
        <v>93</v>
      </c>
      <c r="I6229">
        <v>1</v>
      </c>
      <c r="K6229">
        <v>0</v>
      </c>
      <c r="L6229">
        <v>0</v>
      </c>
      <c r="M6229">
        <v>1</v>
      </c>
      <c r="N6229">
        <v>1</v>
      </c>
      <c r="O6229">
        <v>1</v>
      </c>
      <c r="P6229">
        <v>1</v>
      </c>
      <c r="Q6229">
        <v>1</v>
      </c>
      <c r="R6229">
        <v>1</v>
      </c>
      <c r="U6229">
        <v>1</v>
      </c>
      <c r="V6229">
        <v>0</v>
      </c>
      <c r="W6229">
        <v>1</v>
      </c>
      <c r="X6229">
        <v>1</v>
      </c>
      <c r="Y6229">
        <v>1</v>
      </c>
      <c r="Z6229">
        <v>1</v>
      </c>
      <c r="AA6229">
        <v>1</v>
      </c>
      <c r="AB6229">
        <v>1</v>
      </c>
    </row>
    <row r="6230" spans="1:28" x14ac:dyDescent="0.25">
      <c r="A6230" t="str">
        <f>"6226"</f>
        <v>6226</v>
      </c>
      <c r="B6230" t="str">
        <f t="shared" si="358"/>
        <v>1</v>
      </c>
      <c r="C6230" t="str">
        <f t="shared" si="361"/>
        <v>273</v>
      </c>
      <c r="D6230" t="str">
        <f>"16"</f>
        <v>16</v>
      </c>
      <c r="E6230" t="str">
        <f>"1-273-16"</f>
        <v>1-273-16</v>
      </c>
      <c r="F6230" t="s">
        <v>83</v>
      </c>
      <c r="G6230" t="s">
        <v>86</v>
      </c>
      <c r="H6230" t="s">
        <v>93</v>
      </c>
      <c r="I6230">
        <v>1</v>
      </c>
      <c r="K6230">
        <v>0</v>
      </c>
      <c r="L6230">
        <v>0</v>
      </c>
      <c r="M6230">
        <v>1</v>
      </c>
      <c r="N6230">
        <v>1</v>
      </c>
      <c r="O6230">
        <v>1</v>
      </c>
      <c r="P6230">
        <v>1</v>
      </c>
      <c r="Q6230">
        <v>1</v>
      </c>
      <c r="R6230">
        <v>1</v>
      </c>
      <c r="U6230">
        <v>1</v>
      </c>
      <c r="V6230">
        <v>0</v>
      </c>
      <c r="W6230">
        <v>1</v>
      </c>
      <c r="X6230">
        <v>1</v>
      </c>
      <c r="Y6230">
        <v>1</v>
      </c>
      <c r="Z6230">
        <v>1</v>
      </c>
      <c r="AA6230">
        <v>1</v>
      </c>
      <c r="AB6230">
        <v>1</v>
      </c>
    </row>
    <row r="6231" spans="1:28" x14ac:dyDescent="0.25">
      <c r="A6231" t="str">
        <f>"6227"</f>
        <v>6227</v>
      </c>
      <c r="B6231" t="str">
        <f t="shared" si="358"/>
        <v>1</v>
      </c>
      <c r="C6231" t="str">
        <f t="shared" si="361"/>
        <v>273</v>
      </c>
      <c r="D6231" t="str">
        <f>"9"</f>
        <v>9</v>
      </c>
      <c r="E6231" t="str">
        <f>"1-273-9"</f>
        <v>1-273-9</v>
      </c>
      <c r="F6231" t="s">
        <v>83</v>
      </c>
      <c r="G6231" t="s">
        <v>86</v>
      </c>
      <c r="H6231" t="s">
        <v>93</v>
      </c>
      <c r="I6231">
        <v>1</v>
      </c>
      <c r="K6231">
        <v>0</v>
      </c>
      <c r="L6231">
        <v>0</v>
      </c>
      <c r="M6231">
        <v>1</v>
      </c>
      <c r="N6231">
        <v>1</v>
      </c>
      <c r="O6231">
        <v>1</v>
      </c>
      <c r="P6231">
        <v>1</v>
      </c>
      <c r="Q6231">
        <v>1</v>
      </c>
      <c r="R6231">
        <v>1</v>
      </c>
      <c r="U6231">
        <v>0</v>
      </c>
      <c r="V6231">
        <v>1</v>
      </c>
      <c r="W6231">
        <v>1</v>
      </c>
      <c r="X6231">
        <v>1</v>
      </c>
      <c r="Y6231">
        <v>1</v>
      </c>
      <c r="Z6231">
        <v>1</v>
      </c>
      <c r="AA6231">
        <v>1</v>
      </c>
      <c r="AB6231">
        <v>1</v>
      </c>
    </row>
    <row r="6232" spans="1:28" x14ac:dyDescent="0.25">
      <c r="A6232" t="str">
        <f>"6228"</f>
        <v>6228</v>
      </c>
      <c r="B6232" t="str">
        <f t="shared" si="358"/>
        <v>1</v>
      </c>
      <c r="C6232" t="str">
        <f t="shared" si="361"/>
        <v>273</v>
      </c>
      <c r="D6232" t="str">
        <f>"3"</f>
        <v>3</v>
      </c>
      <c r="E6232" t="str">
        <f>"1-273-3"</f>
        <v>1-273-3</v>
      </c>
      <c r="F6232" t="s">
        <v>83</v>
      </c>
      <c r="G6232" t="s">
        <v>84</v>
      </c>
      <c r="H6232" t="s">
        <v>92</v>
      </c>
      <c r="I6232">
        <v>1</v>
      </c>
      <c r="J6232">
        <v>1</v>
      </c>
      <c r="N6232">
        <v>1</v>
      </c>
      <c r="O6232">
        <v>1</v>
      </c>
      <c r="P6232">
        <v>1</v>
      </c>
      <c r="Q6232">
        <v>1</v>
      </c>
      <c r="R6232">
        <v>1</v>
      </c>
      <c r="S6232">
        <v>1</v>
      </c>
      <c r="T6232">
        <v>1</v>
      </c>
      <c r="W6232">
        <v>1</v>
      </c>
      <c r="X6232">
        <v>1</v>
      </c>
      <c r="Y6232">
        <v>1</v>
      </c>
      <c r="Z6232">
        <v>1</v>
      </c>
      <c r="AA6232">
        <v>1</v>
      </c>
      <c r="AB6232">
        <v>1</v>
      </c>
    </row>
    <row r="6233" spans="1:28" x14ac:dyDescent="0.25">
      <c r="A6233" t="str">
        <f>"6229"</f>
        <v>6229</v>
      </c>
      <c r="B6233" t="str">
        <f t="shared" si="358"/>
        <v>1</v>
      </c>
      <c r="C6233" t="str">
        <f t="shared" si="361"/>
        <v>273</v>
      </c>
      <c r="D6233" t="str">
        <f>"17"</f>
        <v>17</v>
      </c>
      <c r="E6233" t="str">
        <f>"1-273-17"</f>
        <v>1-273-17</v>
      </c>
      <c r="F6233" t="s">
        <v>83</v>
      </c>
      <c r="G6233" t="s">
        <v>86</v>
      </c>
      <c r="H6233" t="s">
        <v>93</v>
      </c>
      <c r="I6233">
        <v>1</v>
      </c>
      <c r="K6233">
        <v>0</v>
      </c>
      <c r="L6233">
        <v>0</v>
      </c>
      <c r="M6233">
        <v>1</v>
      </c>
      <c r="N6233">
        <v>1</v>
      </c>
      <c r="O6233">
        <v>1</v>
      </c>
      <c r="P6233">
        <v>1</v>
      </c>
      <c r="Q6233">
        <v>1</v>
      </c>
      <c r="R6233">
        <v>1</v>
      </c>
      <c r="U6233">
        <v>1</v>
      </c>
      <c r="V6233">
        <v>0</v>
      </c>
      <c r="W6233">
        <v>1</v>
      </c>
      <c r="X6233">
        <v>1</v>
      </c>
      <c r="Y6233">
        <v>1</v>
      </c>
      <c r="Z6233">
        <v>1</v>
      </c>
      <c r="AA6233">
        <v>1</v>
      </c>
      <c r="AB6233">
        <v>1</v>
      </c>
    </row>
    <row r="6234" spans="1:28" x14ac:dyDescent="0.25">
      <c r="A6234" t="str">
        <f>"6230"</f>
        <v>6230</v>
      </c>
      <c r="B6234" t="str">
        <f t="shared" si="358"/>
        <v>1</v>
      </c>
      <c r="C6234" t="str">
        <f t="shared" si="361"/>
        <v>273</v>
      </c>
      <c r="D6234" t="str">
        <f>"10"</f>
        <v>10</v>
      </c>
      <c r="E6234" t="str">
        <f>"1-273-10"</f>
        <v>1-273-10</v>
      </c>
      <c r="F6234" t="s">
        <v>83</v>
      </c>
      <c r="G6234" t="s">
        <v>86</v>
      </c>
      <c r="H6234" t="s">
        <v>93</v>
      </c>
      <c r="I6234">
        <v>1</v>
      </c>
      <c r="K6234">
        <v>0</v>
      </c>
      <c r="L6234">
        <v>0</v>
      </c>
      <c r="M6234">
        <v>1</v>
      </c>
      <c r="N6234">
        <v>1</v>
      </c>
      <c r="O6234">
        <v>1</v>
      </c>
      <c r="P6234">
        <v>1</v>
      </c>
      <c r="Q6234">
        <v>1</v>
      </c>
      <c r="R6234">
        <v>1</v>
      </c>
      <c r="U6234">
        <v>0</v>
      </c>
      <c r="V6234">
        <v>1</v>
      </c>
      <c r="W6234">
        <v>1</v>
      </c>
      <c r="X6234">
        <v>1</v>
      </c>
      <c r="Y6234">
        <v>1</v>
      </c>
      <c r="Z6234">
        <v>1</v>
      </c>
      <c r="AA6234">
        <v>1</v>
      </c>
      <c r="AB6234">
        <v>1</v>
      </c>
    </row>
    <row r="6235" spans="1:28" x14ac:dyDescent="0.25">
      <c r="A6235" t="str">
        <f>"6231"</f>
        <v>6231</v>
      </c>
      <c r="B6235" t="str">
        <f t="shared" si="358"/>
        <v>1</v>
      </c>
      <c r="C6235" t="str">
        <f t="shared" si="361"/>
        <v>273</v>
      </c>
      <c r="D6235" t="str">
        <f>"1"</f>
        <v>1</v>
      </c>
      <c r="E6235" t="str">
        <f>"1-273-1"</f>
        <v>1-273-1</v>
      </c>
      <c r="F6235" t="s">
        <v>83</v>
      </c>
      <c r="G6235" t="s">
        <v>84</v>
      </c>
      <c r="H6235" t="s">
        <v>92</v>
      </c>
      <c r="I6235">
        <v>1</v>
      </c>
      <c r="J6235">
        <v>1</v>
      </c>
      <c r="N6235">
        <v>1</v>
      </c>
      <c r="O6235">
        <v>1</v>
      </c>
      <c r="P6235">
        <v>1</v>
      </c>
      <c r="Q6235">
        <v>1</v>
      </c>
      <c r="R6235">
        <v>1</v>
      </c>
      <c r="S6235">
        <v>1</v>
      </c>
      <c r="T6235">
        <v>1</v>
      </c>
      <c r="W6235">
        <v>1</v>
      </c>
      <c r="X6235">
        <v>1</v>
      </c>
      <c r="Y6235">
        <v>1</v>
      </c>
      <c r="Z6235">
        <v>1</v>
      </c>
      <c r="AA6235">
        <v>1</v>
      </c>
      <c r="AB6235">
        <v>1</v>
      </c>
    </row>
    <row r="6236" spans="1:28" x14ac:dyDescent="0.25">
      <c r="A6236" t="str">
        <f>"6232"</f>
        <v>6232</v>
      </c>
      <c r="B6236" t="str">
        <f t="shared" si="358"/>
        <v>1</v>
      </c>
      <c r="C6236" t="str">
        <f t="shared" si="361"/>
        <v>273</v>
      </c>
      <c r="D6236" t="str">
        <f>"18"</f>
        <v>18</v>
      </c>
      <c r="E6236" t="str">
        <f>"1-273-18"</f>
        <v>1-273-18</v>
      </c>
      <c r="F6236" t="s">
        <v>83</v>
      </c>
      <c r="G6236" t="s">
        <v>86</v>
      </c>
      <c r="H6236" t="s">
        <v>93</v>
      </c>
      <c r="I6236">
        <v>1</v>
      </c>
      <c r="K6236">
        <v>0</v>
      </c>
      <c r="L6236">
        <v>0</v>
      </c>
      <c r="M6236">
        <v>1</v>
      </c>
      <c r="N6236">
        <v>1</v>
      </c>
      <c r="O6236">
        <v>0</v>
      </c>
      <c r="P6236">
        <v>0</v>
      </c>
      <c r="Q6236">
        <v>1</v>
      </c>
      <c r="R6236">
        <v>1</v>
      </c>
      <c r="U6236">
        <v>0</v>
      </c>
      <c r="V6236">
        <v>1</v>
      </c>
      <c r="W6236">
        <v>0</v>
      </c>
      <c r="X6236">
        <v>1</v>
      </c>
      <c r="Y6236">
        <v>0</v>
      </c>
      <c r="Z6236">
        <v>1</v>
      </c>
      <c r="AA6236">
        <v>1</v>
      </c>
      <c r="AB6236">
        <v>1</v>
      </c>
    </row>
    <row r="6237" spans="1:28" x14ac:dyDescent="0.25">
      <c r="A6237" t="str">
        <f>"6233"</f>
        <v>6233</v>
      </c>
      <c r="B6237" t="str">
        <f t="shared" si="358"/>
        <v>1</v>
      </c>
      <c r="C6237" t="str">
        <f t="shared" si="361"/>
        <v>273</v>
      </c>
      <c r="D6237" t="str">
        <f>"11"</f>
        <v>11</v>
      </c>
      <c r="E6237" t="str">
        <f>"1-273-11"</f>
        <v>1-273-11</v>
      </c>
      <c r="F6237" t="s">
        <v>83</v>
      </c>
      <c r="G6237" t="s">
        <v>86</v>
      </c>
      <c r="H6237" t="s">
        <v>93</v>
      </c>
      <c r="I6237">
        <v>1</v>
      </c>
      <c r="K6237">
        <v>1</v>
      </c>
      <c r="L6237">
        <v>0</v>
      </c>
      <c r="M6237">
        <v>0</v>
      </c>
      <c r="N6237">
        <v>1</v>
      </c>
      <c r="O6237">
        <v>1</v>
      </c>
      <c r="P6237">
        <v>1</v>
      </c>
      <c r="Q6237">
        <v>1</v>
      </c>
      <c r="R6237">
        <v>1</v>
      </c>
      <c r="U6237">
        <v>1</v>
      </c>
      <c r="V6237">
        <v>0</v>
      </c>
      <c r="W6237">
        <v>1</v>
      </c>
      <c r="X6237">
        <v>1</v>
      </c>
      <c r="Y6237">
        <v>1</v>
      </c>
      <c r="Z6237">
        <v>1</v>
      </c>
      <c r="AA6237">
        <v>1</v>
      </c>
      <c r="AB6237">
        <v>1</v>
      </c>
    </row>
    <row r="6238" spans="1:28" x14ac:dyDescent="0.25">
      <c r="A6238" t="str">
        <f>"6234"</f>
        <v>6234</v>
      </c>
      <c r="B6238" t="str">
        <f t="shared" ref="B6238:B6301" si="362">"1"</f>
        <v>1</v>
      </c>
      <c r="C6238" t="str">
        <f t="shared" si="361"/>
        <v>273</v>
      </c>
      <c r="D6238" t="str">
        <f>"5"</f>
        <v>5</v>
      </c>
      <c r="E6238" t="str">
        <f>"1-273-5"</f>
        <v>1-273-5</v>
      </c>
      <c r="F6238" t="s">
        <v>83</v>
      </c>
      <c r="G6238" t="s">
        <v>84</v>
      </c>
      <c r="H6238" t="s">
        <v>92</v>
      </c>
      <c r="I6238">
        <v>1</v>
      </c>
      <c r="J6238">
        <v>1</v>
      </c>
      <c r="N6238">
        <v>1</v>
      </c>
      <c r="O6238">
        <v>1</v>
      </c>
      <c r="P6238">
        <v>1</v>
      </c>
      <c r="Q6238">
        <v>1</v>
      </c>
      <c r="R6238">
        <v>1</v>
      </c>
      <c r="S6238">
        <v>1</v>
      </c>
      <c r="T6238">
        <v>1</v>
      </c>
      <c r="W6238">
        <v>1</v>
      </c>
      <c r="X6238">
        <v>1</v>
      </c>
      <c r="Y6238">
        <v>1</v>
      </c>
      <c r="Z6238">
        <v>1</v>
      </c>
      <c r="AA6238">
        <v>1</v>
      </c>
      <c r="AB6238">
        <v>1</v>
      </c>
    </row>
    <row r="6239" spans="1:28" x14ac:dyDescent="0.25">
      <c r="A6239" t="str">
        <f>"6235"</f>
        <v>6235</v>
      </c>
      <c r="B6239" t="str">
        <f t="shared" si="362"/>
        <v>1</v>
      </c>
      <c r="C6239" t="str">
        <f t="shared" si="361"/>
        <v>273</v>
      </c>
      <c r="D6239" t="str">
        <f>"20"</f>
        <v>20</v>
      </c>
      <c r="E6239" t="str">
        <f>"1-273-20"</f>
        <v>1-273-20</v>
      </c>
      <c r="F6239" t="s">
        <v>83</v>
      </c>
      <c r="G6239" t="s">
        <v>86</v>
      </c>
      <c r="H6239" t="s">
        <v>93</v>
      </c>
      <c r="I6239">
        <v>1</v>
      </c>
      <c r="K6239">
        <v>0</v>
      </c>
      <c r="L6239">
        <v>0</v>
      </c>
      <c r="M6239">
        <v>1</v>
      </c>
      <c r="N6239">
        <v>1</v>
      </c>
      <c r="O6239">
        <v>1</v>
      </c>
      <c r="P6239">
        <v>1</v>
      </c>
      <c r="Q6239">
        <v>1</v>
      </c>
      <c r="R6239">
        <v>1</v>
      </c>
      <c r="U6239">
        <v>1</v>
      </c>
      <c r="V6239">
        <v>0</v>
      </c>
      <c r="W6239">
        <v>1</v>
      </c>
      <c r="X6239">
        <v>1</v>
      </c>
      <c r="Y6239">
        <v>1</v>
      </c>
      <c r="Z6239">
        <v>1</v>
      </c>
      <c r="AA6239">
        <v>1</v>
      </c>
      <c r="AB6239">
        <v>1</v>
      </c>
    </row>
    <row r="6240" spans="1:28" x14ac:dyDescent="0.25">
      <c r="A6240" t="str">
        <f>"6236"</f>
        <v>6236</v>
      </c>
      <c r="B6240" t="str">
        <f t="shared" si="362"/>
        <v>1</v>
      </c>
      <c r="C6240" t="str">
        <f t="shared" si="361"/>
        <v>273</v>
      </c>
      <c r="D6240" t="str">
        <f>"12"</f>
        <v>12</v>
      </c>
      <c r="E6240" t="str">
        <f>"1-273-12"</f>
        <v>1-273-12</v>
      </c>
      <c r="F6240" t="s">
        <v>83</v>
      </c>
      <c r="G6240" t="s">
        <v>86</v>
      </c>
      <c r="H6240" t="s">
        <v>93</v>
      </c>
      <c r="I6240">
        <v>1</v>
      </c>
      <c r="K6240">
        <v>1</v>
      </c>
      <c r="L6240">
        <v>0</v>
      </c>
      <c r="M6240">
        <v>0</v>
      </c>
      <c r="N6240">
        <v>1</v>
      </c>
      <c r="O6240">
        <v>1</v>
      </c>
      <c r="P6240">
        <v>1</v>
      </c>
      <c r="Q6240">
        <v>1</v>
      </c>
      <c r="R6240">
        <v>1</v>
      </c>
      <c r="U6240">
        <v>1</v>
      </c>
      <c r="V6240">
        <v>0</v>
      </c>
      <c r="W6240">
        <v>1</v>
      </c>
      <c r="X6240">
        <v>1</v>
      </c>
      <c r="Y6240">
        <v>1</v>
      </c>
      <c r="Z6240">
        <v>1</v>
      </c>
      <c r="AA6240">
        <v>1</v>
      </c>
      <c r="AB6240">
        <v>1</v>
      </c>
    </row>
    <row r="6241" spans="1:28" x14ac:dyDescent="0.25">
      <c r="A6241" t="str">
        <f>"6237"</f>
        <v>6237</v>
      </c>
      <c r="B6241" t="str">
        <f t="shared" si="362"/>
        <v>1</v>
      </c>
      <c r="C6241" t="str">
        <f t="shared" si="361"/>
        <v>273</v>
      </c>
      <c r="D6241" t="str">
        <f>"7"</f>
        <v>7</v>
      </c>
      <c r="E6241" t="str">
        <f>"1-273-7"</f>
        <v>1-273-7</v>
      </c>
      <c r="F6241" t="s">
        <v>83</v>
      </c>
      <c r="G6241" t="s">
        <v>86</v>
      </c>
      <c r="H6241" t="s">
        <v>93</v>
      </c>
      <c r="I6241">
        <v>1</v>
      </c>
      <c r="K6241">
        <v>0</v>
      </c>
      <c r="L6241">
        <v>0</v>
      </c>
      <c r="M6241">
        <v>1</v>
      </c>
      <c r="N6241">
        <v>1</v>
      </c>
      <c r="O6241">
        <v>1</v>
      </c>
      <c r="P6241">
        <v>1</v>
      </c>
      <c r="Q6241">
        <v>1</v>
      </c>
      <c r="R6241">
        <v>1</v>
      </c>
      <c r="U6241">
        <v>0</v>
      </c>
      <c r="V6241">
        <v>1</v>
      </c>
      <c r="W6241">
        <v>1</v>
      </c>
      <c r="X6241">
        <v>1</v>
      </c>
      <c r="Y6241">
        <v>1</v>
      </c>
      <c r="Z6241">
        <v>1</v>
      </c>
      <c r="AA6241">
        <v>1</v>
      </c>
      <c r="AB6241">
        <v>1</v>
      </c>
    </row>
    <row r="6242" spans="1:28" x14ac:dyDescent="0.25">
      <c r="A6242" t="str">
        <f>"6238"</f>
        <v>6238</v>
      </c>
      <c r="B6242" t="str">
        <f t="shared" si="362"/>
        <v>1</v>
      </c>
      <c r="C6242" t="str">
        <f t="shared" si="361"/>
        <v>273</v>
      </c>
      <c r="D6242" t="str">
        <f>"21"</f>
        <v>21</v>
      </c>
      <c r="E6242" t="str">
        <f>"1-273-21"</f>
        <v>1-273-21</v>
      </c>
      <c r="F6242" t="s">
        <v>83</v>
      </c>
      <c r="G6242" t="s">
        <v>86</v>
      </c>
      <c r="H6242" t="s">
        <v>93</v>
      </c>
      <c r="I6242">
        <v>1</v>
      </c>
      <c r="K6242">
        <v>0</v>
      </c>
      <c r="L6242">
        <v>0</v>
      </c>
      <c r="M6242">
        <v>1</v>
      </c>
      <c r="N6242">
        <v>1</v>
      </c>
      <c r="O6242">
        <v>1</v>
      </c>
      <c r="P6242">
        <v>1</v>
      </c>
      <c r="Q6242">
        <v>1</v>
      </c>
      <c r="R6242">
        <v>1</v>
      </c>
      <c r="U6242">
        <v>0</v>
      </c>
      <c r="V6242">
        <v>1</v>
      </c>
      <c r="W6242">
        <v>1</v>
      </c>
      <c r="X6242">
        <v>1</v>
      </c>
      <c r="Y6242">
        <v>1</v>
      </c>
      <c r="Z6242">
        <v>1</v>
      </c>
      <c r="AA6242">
        <v>1</v>
      </c>
      <c r="AB6242">
        <v>1</v>
      </c>
    </row>
    <row r="6243" spans="1:28" x14ac:dyDescent="0.25">
      <c r="A6243" t="str">
        <f>"6239"</f>
        <v>6239</v>
      </c>
      <c r="B6243" t="str">
        <f t="shared" si="362"/>
        <v>1</v>
      </c>
      <c r="C6243" t="str">
        <f t="shared" si="361"/>
        <v>273</v>
      </c>
      <c r="D6243" t="str">
        <f>"13"</f>
        <v>13</v>
      </c>
      <c r="E6243" t="str">
        <f>"1-273-13"</f>
        <v>1-273-13</v>
      </c>
      <c r="F6243" t="s">
        <v>83</v>
      </c>
      <c r="G6243" t="s">
        <v>86</v>
      </c>
      <c r="H6243" t="s">
        <v>93</v>
      </c>
      <c r="I6243">
        <v>1</v>
      </c>
      <c r="K6243">
        <v>0</v>
      </c>
      <c r="L6243">
        <v>0</v>
      </c>
      <c r="M6243">
        <v>1</v>
      </c>
      <c r="N6243">
        <v>1</v>
      </c>
      <c r="O6243">
        <v>1</v>
      </c>
      <c r="P6243">
        <v>1</v>
      </c>
      <c r="Q6243">
        <v>1</v>
      </c>
      <c r="R6243">
        <v>1</v>
      </c>
      <c r="U6243">
        <v>1</v>
      </c>
      <c r="V6243">
        <v>0</v>
      </c>
      <c r="W6243">
        <v>1</v>
      </c>
      <c r="X6243">
        <v>1</v>
      </c>
      <c r="Y6243">
        <v>1</v>
      </c>
      <c r="Z6243">
        <v>1</v>
      </c>
      <c r="AA6243">
        <v>1</v>
      </c>
      <c r="AB6243">
        <v>1</v>
      </c>
    </row>
    <row r="6244" spans="1:28" x14ac:dyDescent="0.25">
      <c r="A6244" t="str">
        <f>"6240"</f>
        <v>6240</v>
      </c>
      <c r="B6244" t="str">
        <f t="shared" si="362"/>
        <v>1</v>
      </c>
      <c r="C6244" t="str">
        <f t="shared" si="361"/>
        <v>273</v>
      </c>
      <c r="D6244" t="str">
        <f>"2"</f>
        <v>2</v>
      </c>
      <c r="E6244" t="str">
        <f>"1-273-2"</f>
        <v>1-273-2</v>
      </c>
      <c r="F6244" t="s">
        <v>83</v>
      </c>
      <c r="G6244" t="s">
        <v>84</v>
      </c>
      <c r="H6244" t="s">
        <v>92</v>
      </c>
      <c r="I6244">
        <v>1</v>
      </c>
      <c r="J6244">
        <v>1</v>
      </c>
      <c r="N6244">
        <v>1</v>
      </c>
      <c r="O6244">
        <v>1</v>
      </c>
      <c r="P6244">
        <v>1</v>
      </c>
      <c r="Q6244">
        <v>1</v>
      </c>
      <c r="R6244">
        <v>1</v>
      </c>
      <c r="S6244">
        <v>1</v>
      </c>
      <c r="T6244">
        <v>1</v>
      </c>
      <c r="W6244">
        <v>1</v>
      </c>
      <c r="X6244">
        <v>1</v>
      </c>
      <c r="Y6244">
        <v>1</v>
      </c>
      <c r="Z6244">
        <v>1</v>
      </c>
      <c r="AA6244">
        <v>1</v>
      </c>
      <c r="AB6244">
        <v>1</v>
      </c>
    </row>
    <row r="6245" spans="1:28" x14ac:dyDescent="0.25">
      <c r="A6245" t="str">
        <f>"6241"</f>
        <v>6241</v>
      </c>
      <c r="B6245" t="str">
        <f t="shared" si="362"/>
        <v>1</v>
      </c>
      <c r="C6245" t="str">
        <f t="shared" si="361"/>
        <v>273</v>
      </c>
      <c r="D6245" t="str">
        <f>"19"</f>
        <v>19</v>
      </c>
      <c r="E6245" t="str">
        <f>"1-273-19"</f>
        <v>1-273-19</v>
      </c>
      <c r="F6245" t="s">
        <v>83</v>
      </c>
      <c r="G6245" t="s">
        <v>86</v>
      </c>
      <c r="H6245" t="s">
        <v>93</v>
      </c>
      <c r="I6245">
        <v>1</v>
      </c>
      <c r="K6245">
        <v>0</v>
      </c>
      <c r="L6245">
        <v>0</v>
      </c>
      <c r="M6245">
        <v>1</v>
      </c>
      <c r="N6245">
        <v>1</v>
      </c>
      <c r="O6245">
        <v>1</v>
      </c>
      <c r="P6245">
        <v>1</v>
      </c>
      <c r="Q6245">
        <v>1</v>
      </c>
      <c r="R6245">
        <v>1</v>
      </c>
      <c r="U6245">
        <v>0</v>
      </c>
      <c r="V6245">
        <v>1</v>
      </c>
      <c r="W6245">
        <v>1</v>
      </c>
      <c r="X6245">
        <v>1</v>
      </c>
      <c r="Y6245">
        <v>1</v>
      </c>
      <c r="Z6245">
        <v>1</v>
      </c>
      <c r="AA6245">
        <v>1</v>
      </c>
      <c r="AB6245">
        <v>1</v>
      </c>
    </row>
    <row r="6246" spans="1:28" x14ac:dyDescent="0.25">
      <c r="A6246" t="str">
        <f>"6242"</f>
        <v>6242</v>
      </c>
      <c r="B6246" t="str">
        <f t="shared" si="362"/>
        <v>1</v>
      </c>
      <c r="C6246" t="str">
        <f t="shared" si="361"/>
        <v>273</v>
      </c>
      <c r="D6246" t="str">
        <f>"14"</f>
        <v>14</v>
      </c>
      <c r="E6246" t="str">
        <f>"1-273-14"</f>
        <v>1-273-14</v>
      </c>
      <c r="F6246" t="s">
        <v>83</v>
      </c>
      <c r="G6246" t="s">
        <v>86</v>
      </c>
      <c r="H6246" t="s">
        <v>93</v>
      </c>
      <c r="I6246">
        <v>1</v>
      </c>
      <c r="K6246">
        <v>0</v>
      </c>
      <c r="L6246">
        <v>1</v>
      </c>
      <c r="M6246">
        <v>0</v>
      </c>
      <c r="N6246">
        <v>1</v>
      </c>
      <c r="O6246">
        <v>1</v>
      </c>
      <c r="P6246">
        <v>1</v>
      </c>
      <c r="Q6246">
        <v>1</v>
      </c>
      <c r="R6246">
        <v>1</v>
      </c>
      <c r="U6246">
        <v>0</v>
      </c>
      <c r="V6246">
        <v>1</v>
      </c>
      <c r="W6246">
        <v>1</v>
      </c>
      <c r="X6246">
        <v>1</v>
      </c>
      <c r="Y6246">
        <v>1</v>
      </c>
      <c r="Z6246">
        <v>1</v>
      </c>
      <c r="AA6246">
        <v>1</v>
      </c>
      <c r="AB6246">
        <v>1</v>
      </c>
    </row>
    <row r="6247" spans="1:28" x14ac:dyDescent="0.25">
      <c r="A6247" t="str">
        <f>"6243"</f>
        <v>6243</v>
      </c>
      <c r="B6247" t="str">
        <f t="shared" si="362"/>
        <v>1</v>
      </c>
      <c r="C6247" t="str">
        <f t="shared" si="361"/>
        <v>273</v>
      </c>
      <c r="D6247" t="str">
        <f>"6"</f>
        <v>6</v>
      </c>
      <c r="E6247" t="str">
        <f>"1-273-6"</f>
        <v>1-273-6</v>
      </c>
      <c r="F6247" t="s">
        <v>83</v>
      </c>
      <c r="G6247" t="s">
        <v>86</v>
      </c>
      <c r="H6247" t="s">
        <v>93</v>
      </c>
      <c r="I6247">
        <v>1</v>
      </c>
      <c r="K6247">
        <v>0</v>
      </c>
      <c r="L6247">
        <v>1</v>
      </c>
      <c r="M6247">
        <v>0</v>
      </c>
      <c r="N6247">
        <v>1</v>
      </c>
      <c r="O6247">
        <v>1</v>
      </c>
      <c r="P6247">
        <v>1</v>
      </c>
      <c r="Q6247">
        <v>0</v>
      </c>
      <c r="R6247">
        <v>0</v>
      </c>
      <c r="U6247">
        <v>1</v>
      </c>
      <c r="V6247">
        <v>0</v>
      </c>
      <c r="W6247">
        <v>0</v>
      </c>
      <c r="X6247">
        <v>0</v>
      </c>
      <c r="Y6247">
        <v>0</v>
      </c>
      <c r="Z6247">
        <v>0</v>
      </c>
      <c r="AA6247">
        <v>0</v>
      </c>
      <c r="AB6247">
        <v>0</v>
      </c>
    </row>
    <row r="6248" spans="1:28" x14ac:dyDescent="0.25">
      <c r="A6248" t="str">
        <f>"6244"</f>
        <v>6244</v>
      </c>
      <c r="B6248" t="str">
        <f t="shared" si="362"/>
        <v>1</v>
      </c>
      <c r="C6248" t="str">
        <f t="shared" ref="C6248:C6272" si="363">"274"</f>
        <v>274</v>
      </c>
      <c r="D6248" t="str">
        <f>"25"</f>
        <v>25</v>
      </c>
      <c r="E6248" t="str">
        <f>"1-274-25"</f>
        <v>1-274-25</v>
      </c>
      <c r="F6248" t="s">
        <v>83</v>
      </c>
      <c r="G6248" t="s">
        <v>84</v>
      </c>
      <c r="H6248" t="s">
        <v>92</v>
      </c>
      <c r="I6248">
        <v>1</v>
      </c>
      <c r="J6248">
        <v>1</v>
      </c>
      <c r="N6248">
        <v>1</v>
      </c>
      <c r="O6248">
        <v>1</v>
      </c>
      <c r="P6248">
        <v>1</v>
      </c>
      <c r="Q6248">
        <v>1</v>
      </c>
      <c r="R6248">
        <v>1</v>
      </c>
      <c r="S6248">
        <v>1</v>
      </c>
      <c r="T6248">
        <v>1</v>
      </c>
      <c r="W6248">
        <v>1</v>
      </c>
      <c r="X6248">
        <v>1</v>
      </c>
      <c r="Y6248">
        <v>1</v>
      </c>
      <c r="Z6248">
        <v>1</v>
      </c>
      <c r="AA6248">
        <v>1</v>
      </c>
      <c r="AB6248">
        <v>1</v>
      </c>
    </row>
    <row r="6249" spans="1:28" x14ac:dyDescent="0.25">
      <c r="A6249" t="str">
        <f>"6245"</f>
        <v>6245</v>
      </c>
      <c r="B6249" t="str">
        <f t="shared" si="362"/>
        <v>1</v>
      </c>
      <c r="C6249" t="str">
        <f t="shared" si="363"/>
        <v>274</v>
      </c>
      <c r="D6249" t="str">
        <f>"24"</f>
        <v>24</v>
      </c>
      <c r="E6249" t="str">
        <f>"1-274-24"</f>
        <v>1-274-24</v>
      </c>
      <c r="F6249" t="s">
        <v>83</v>
      </c>
      <c r="G6249" t="s">
        <v>84</v>
      </c>
      <c r="H6249" t="s">
        <v>92</v>
      </c>
      <c r="I6249">
        <v>1</v>
      </c>
      <c r="J6249">
        <v>1</v>
      </c>
      <c r="N6249">
        <v>1</v>
      </c>
      <c r="O6249">
        <v>1</v>
      </c>
      <c r="P6249">
        <v>1</v>
      </c>
      <c r="Q6249">
        <v>1</v>
      </c>
      <c r="R6249">
        <v>1</v>
      </c>
      <c r="S6249">
        <v>1</v>
      </c>
      <c r="T6249">
        <v>1</v>
      </c>
      <c r="W6249">
        <v>1</v>
      </c>
      <c r="X6249">
        <v>1</v>
      </c>
      <c r="Y6249">
        <v>1</v>
      </c>
      <c r="Z6249">
        <v>1</v>
      </c>
      <c r="AA6249">
        <v>1</v>
      </c>
      <c r="AB6249">
        <v>1</v>
      </c>
    </row>
    <row r="6250" spans="1:28" x14ac:dyDescent="0.25">
      <c r="A6250" t="str">
        <f>"6246"</f>
        <v>6246</v>
      </c>
      <c r="B6250" t="str">
        <f t="shared" si="362"/>
        <v>1</v>
      </c>
      <c r="C6250" t="str">
        <f t="shared" si="363"/>
        <v>274</v>
      </c>
      <c r="D6250" t="str">
        <f>"15"</f>
        <v>15</v>
      </c>
      <c r="E6250" t="str">
        <f>"1-274-15"</f>
        <v>1-274-15</v>
      </c>
      <c r="F6250" t="s">
        <v>83</v>
      </c>
      <c r="G6250" t="s">
        <v>84</v>
      </c>
      <c r="H6250" t="s">
        <v>92</v>
      </c>
      <c r="I6250">
        <v>1</v>
      </c>
      <c r="J6250">
        <v>1</v>
      </c>
      <c r="N6250">
        <v>1</v>
      </c>
      <c r="O6250">
        <v>1</v>
      </c>
      <c r="P6250">
        <v>1</v>
      </c>
      <c r="Q6250">
        <v>1</v>
      </c>
      <c r="R6250">
        <v>1</v>
      </c>
      <c r="S6250">
        <v>1</v>
      </c>
      <c r="T6250">
        <v>1</v>
      </c>
      <c r="W6250">
        <v>1</v>
      </c>
      <c r="X6250">
        <v>1</v>
      </c>
      <c r="Y6250">
        <v>1</v>
      </c>
      <c r="Z6250">
        <v>1</v>
      </c>
      <c r="AA6250">
        <v>1</v>
      </c>
      <c r="AB6250">
        <v>1</v>
      </c>
    </row>
    <row r="6251" spans="1:28" x14ac:dyDescent="0.25">
      <c r="A6251" t="str">
        <f>"6247"</f>
        <v>6247</v>
      </c>
      <c r="B6251" t="str">
        <f t="shared" si="362"/>
        <v>1</v>
      </c>
      <c r="C6251" t="str">
        <f t="shared" si="363"/>
        <v>274</v>
      </c>
      <c r="D6251" t="str">
        <f>"8"</f>
        <v>8</v>
      </c>
      <c r="E6251" t="str">
        <f>"1-274-8"</f>
        <v>1-274-8</v>
      </c>
      <c r="F6251" t="s">
        <v>83</v>
      </c>
      <c r="G6251" t="s">
        <v>84</v>
      </c>
      <c r="H6251" t="s">
        <v>92</v>
      </c>
      <c r="I6251">
        <v>1</v>
      </c>
      <c r="J6251">
        <v>1</v>
      </c>
      <c r="N6251">
        <v>1</v>
      </c>
      <c r="O6251">
        <v>1</v>
      </c>
      <c r="P6251">
        <v>1</v>
      </c>
      <c r="Q6251">
        <v>1</v>
      </c>
      <c r="R6251">
        <v>1</v>
      </c>
      <c r="S6251">
        <v>1</v>
      </c>
      <c r="T6251">
        <v>1</v>
      </c>
      <c r="W6251">
        <v>1</v>
      </c>
      <c r="X6251">
        <v>1</v>
      </c>
      <c r="Y6251">
        <v>1</v>
      </c>
      <c r="Z6251">
        <v>1</v>
      </c>
      <c r="AA6251">
        <v>1</v>
      </c>
      <c r="AB6251">
        <v>1</v>
      </c>
    </row>
    <row r="6252" spans="1:28" x14ac:dyDescent="0.25">
      <c r="A6252" t="str">
        <f>"6248"</f>
        <v>6248</v>
      </c>
      <c r="B6252" t="str">
        <f t="shared" si="362"/>
        <v>1</v>
      </c>
      <c r="C6252" t="str">
        <f t="shared" si="363"/>
        <v>274</v>
      </c>
      <c r="D6252" t="str">
        <f>"4"</f>
        <v>4</v>
      </c>
      <c r="E6252" t="str">
        <f>"1-274-4"</f>
        <v>1-274-4</v>
      </c>
      <c r="F6252" t="s">
        <v>83</v>
      </c>
      <c r="G6252" t="s">
        <v>84</v>
      </c>
      <c r="H6252" t="s">
        <v>92</v>
      </c>
      <c r="I6252">
        <v>1</v>
      </c>
      <c r="J6252">
        <v>1</v>
      </c>
      <c r="N6252">
        <v>1</v>
      </c>
      <c r="O6252">
        <v>1</v>
      </c>
      <c r="P6252">
        <v>1</v>
      </c>
      <c r="Q6252">
        <v>1</v>
      </c>
      <c r="R6252">
        <v>1</v>
      </c>
      <c r="S6252">
        <v>1</v>
      </c>
      <c r="T6252">
        <v>1</v>
      </c>
      <c r="W6252">
        <v>1</v>
      </c>
      <c r="X6252">
        <v>1</v>
      </c>
      <c r="Y6252">
        <v>1</v>
      </c>
      <c r="Z6252">
        <v>1</v>
      </c>
      <c r="AA6252">
        <v>1</v>
      </c>
      <c r="AB6252">
        <v>1</v>
      </c>
    </row>
    <row r="6253" spans="1:28" x14ac:dyDescent="0.25">
      <c r="A6253" t="str">
        <f>"6249"</f>
        <v>6249</v>
      </c>
      <c r="B6253" t="str">
        <f t="shared" si="362"/>
        <v>1</v>
      </c>
      <c r="C6253" t="str">
        <f t="shared" si="363"/>
        <v>274</v>
      </c>
      <c r="D6253" t="str">
        <f>"23"</f>
        <v>23</v>
      </c>
      <c r="E6253" t="str">
        <f>"1-274-23"</f>
        <v>1-274-23</v>
      </c>
      <c r="F6253" t="s">
        <v>83</v>
      </c>
      <c r="G6253" t="s">
        <v>84</v>
      </c>
      <c r="H6253" t="s">
        <v>92</v>
      </c>
      <c r="I6253">
        <v>1</v>
      </c>
      <c r="J6253">
        <v>1</v>
      </c>
      <c r="N6253">
        <v>1</v>
      </c>
      <c r="O6253">
        <v>1</v>
      </c>
      <c r="P6253">
        <v>1</v>
      </c>
      <c r="Q6253">
        <v>1</v>
      </c>
      <c r="R6253">
        <v>1</v>
      </c>
      <c r="S6253">
        <v>1</v>
      </c>
      <c r="T6253">
        <v>1</v>
      </c>
      <c r="W6253">
        <v>1</v>
      </c>
      <c r="X6253">
        <v>1</v>
      </c>
      <c r="Y6253">
        <v>1</v>
      </c>
      <c r="Z6253">
        <v>1</v>
      </c>
      <c r="AA6253">
        <v>1</v>
      </c>
      <c r="AB6253">
        <v>1</v>
      </c>
    </row>
    <row r="6254" spans="1:28" x14ac:dyDescent="0.25">
      <c r="A6254" t="str">
        <f>"6250"</f>
        <v>6250</v>
      </c>
      <c r="B6254" t="str">
        <f t="shared" si="362"/>
        <v>1</v>
      </c>
      <c r="C6254" t="str">
        <f t="shared" si="363"/>
        <v>274</v>
      </c>
      <c r="D6254" t="str">
        <f>"22"</f>
        <v>22</v>
      </c>
      <c r="E6254" t="str">
        <f>"1-274-22"</f>
        <v>1-274-22</v>
      </c>
      <c r="F6254" t="s">
        <v>83</v>
      </c>
      <c r="G6254" t="s">
        <v>84</v>
      </c>
      <c r="H6254" t="s">
        <v>92</v>
      </c>
      <c r="I6254">
        <v>1</v>
      </c>
      <c r="J6254">
        <v>1</v>
      </c>
      <c r="N6254">
        <v>1</v>
      </c>
      <c r="O6254">
        <v>1</v>
      </c>
      <c r="P6254">
        <v>1</v>
      </c>
      <c r="Q6254">
        <v>1</v>
      </c>
      <c r="R6254">
        <v>1</v>
      </c>
      <c r="S6254">
        <v>1</v>
      </c>
      <c r="T6254">
        <v>1</v>
      </c>
      <c r="W6254">
        <v>1</v>
      </c>
      <c r="X6254">
        <v>1</v>
      </c>
      <c r="Y6254">
        <v>1</v>
      </c>
      <c r="Z6254">
        <v>1</v>
      </c>
      <c r="AA6254">
        <v>1</v>
      </c>
      <c r="AB6254">
        <v>1</v>
      </c>
    </row>
    <row r="6255" spans="1:28" x14ac:dyDescent="0.25">
      <c r="A6255" t="str">
        <f>"6251"</f>
        <v>6251</v>
      </c>
      <c r="B6255" t="str">
        <f t="shared" si="362"/>
        <v>1</v>
      </c>
      <c r="C6255" t="str">
        <f t="shared" si="363"/>
        <v>274</v>
      </c>
      <c r="D6255" t="str">
        <f>"16"</f>
        <v>16</v>
      </c>
      <c r="E6255" t="str">
        <f>"1-274-16"</f>
        <v>1-274-16</v>
      </c>
      <c r="F6255" t="s">
        <v>83</v>
      </c>
      <c r="G6255" t="s">
        <v>84</v>
      </c>
      <c r="H6255" t="s">
        <v>92</v>
      </c>
      <c r="I6255">
        <v>1</v>
      </c>
      <c r="J6255">
        <v>1</v>
      </c>
      <c r="N6255">
        <v>1</v>
      </c>
      <c r="O6255">
        <v>1</v>
      </c>
      <c r="P6255">
        <v>1</v>
      </c>
      <c r="Q6255">
        <v>1</v>
      </c>
      <c r="R6255">
        <v>1</v>
      </c>
      <c r="S6255">
        <v>1</v>
      </c>
      <c r="T6255">
        <v>1</v>
      </c>
      <c r="W6255">
        <v>1</v>
      </c>
      <c r="X6255">
        <v>1</v>
      </c>
      <c r="Y6255">
        <v>1</v>
      </c>
      <c r="Z6255">
        <v>1</v>
      </c>
      <c r="AA6255">
        <v>1</v>
      </c>
      <c r="AB6255">
        <v>1</v>
      </c>
    </row>
    <row r="6256" spans="1:28" x14ac:dyDescent="0.25">
      <c r="A6256" t="str">
        <f>"6252"</f>
        <v>6252</v>
      </c>
      <c r="B6256" t="str">
        <f t="shared" si="362"/>
        <v>1</v>
      </c>
      <c r="C6256" t="str">
        <f t="shared" si="363"/>
        <v>274</v>
      </c>
      <c r="D6256" t="str">
        <f>"9"</f>
        <v>9</v>
      </c>
      <c r="E6256" t="str">
        <f>"1-274-9"</f>
        <v>1-274-9</v>
      </c>
      <c r="F6256" t="s">
        <v>83</v>
      </c>
      <c r="G6256" t="s">
        <v>84</v>
      </c>
      <c r="H6256" t="s">
        <v>92</v>
      </c>
      <c r="I6256">
        <v>1</v>
      </c>
      <c r="J6256">
        <v>1</v>
      </c>
      <c r="N6256">
        <v>1</v>
      </c>
      <c r="O6256">
        <v>1</v>
      </c>
      <c r="P6256">
        <v>1</v>
      </c>
      <c r="Q6256">
        <v>1</v>
      </c>
      <c r="R6256">
        <v>1</v>
      </c>
      <c r="S6256">
        <v>1</v>
      </c>
      <c r="T6256">
        <v>1</v>
      </c>
      <c r="W6256">
        <v>1</v>
      </c>
      <c r="X6256">
        <v>1</v>
      </c>
      <c r="Y6256">
        <v>1</v>
      </c>
      <c r="Z6256">
        <v>1</v>
      </c>
      <c r="AA6256">
        <v>1</v>
      </c>
      <c r="AB6256">
        <v>1</v>
      </c>
    </row>
    <row r="6257" spans="1:28" x14ac:dyDescent="0.25">
      <c r="A6257" t="str">
        <f>"6253"</f>
        <v>6253</v>
      </c>
      <c r="B6257" t="str">
        <f t="shared" si="362"/>
        <v>1</v>
      </c>
      <c r="C6257" t="str">
        <f t="shared" si="363"/>
        <v>274</v>
      </c>
      <c r="D6257" t="str">
        <f>"2"</f>
        <v>2</v>
      </c>
      <c r="E6257" t="str">
        <f>"1-274-2"</f>
        <v>1-274-2</v>
      </c>
      <c r="F6257" t="s">
        <v>83</v>
      </c>
      <c r="G6257" t="s">
        <v>84</v>
      </c>
      <c r="H6257" t="s">
        <v>92</v>
      </c>
      <c r="I6257">
        <v>1</v>
      </c>
      <c r="J6257">
        <v>1</v>
      </c>
      <c r="N6257">
        <v>1</v>
      </c>
      <c r="O6257">
        <v>1</v>
      </c>
      <c r="P6257">
        <v>1</v>
      </c>
      <c r="Q6257">
        <v>1</v>
      </c>
      <c r="R6257">
        <v>1</v>
      </c>
      <c r="S6257">
        <v>1</v>
      </c>
      <c r="T6257">
        <v>1</v>
      </c>
      <c r="W6257">
        <v>1</v>
      </c>
      <c r="X6257">
        <v>1</v>
      </c>
      <c r="Y6257">
        <v>1</v>
      </c>
      <c r="Z6257">
        <v>1</v>
      </c>
      <c r="AA6257">
        <v>1</v>
      </c>
      <c r="AB6257">
        <v>1</v>
      </c>
    </row>
    <row r="6258" spans="1:28" x14ac:dyDescent="0.25">
      <c r="A6258" t="str">
        <f>"6254"</f>
        <v>6254</v>
      </c>
      <c r="B6258" t="str">
        <f t="shared" si="362"/>
        <v>1</v>
      </c>
      <c r="C6258" t="str">
        <f t="shared" si="363"/>
        <v>274</v>
      </c>
      <c r="D6258" t="str">
        <f>"17"</f>
        <v>17</v>
      </c>
      <c r="E6258" t="str">
        <f>"1-274-17"</f>
        <v>1-274-17</v>
      </c>
      <c r="F6258" t="s">
        <v>83</v>
      </c>
      <c r="G6258" t="s">
        <v>84</v>
      </c>
      <c r="H6258" t="s">
        <v>92</v>
      </c>
      <c r="I6258">
        <v>1</v>
      </c>
      <c r="J6258">
        <v>1</v>
      </c>
      <c r="N6258">
        <v>1</v>
      </c>
      <c r="O6258">
        <v>1</v>
      </c>
      <c r="P6258">
        <v>1</v>
      </c>
      <c r="Q6258">
        <v>1</v>
      </c>
      <c r="R6258">
        <v>1</v>
      </c>
      <c r="S6258">
        <v>1</v>
      </c>
      <c r="T6258">
        <v>1</v>
      </c>
      <c r="W6258">
        <v>1</v>
      </c>
      <c r="X6258">
        <v>1</v>
      </c>
      <c r="Y6258">
        <v>1</v>
      </c>
      <c r="Z6258">
        <v>1</v>
      </c>
      <c r="AA6258">
        <v>1</v>
      </c>
      <c r="AB6258">
        <v>1</v>
      </c>
    </row>
    <row r="6259" spans="1:28" x14ac:dyDescent="0.25">
      <c r="A6259" t="str">
        <f>"6255"</f>
        <v>6255</v>
      </c>
      <c r="B6259" t="str">
        <f t="shared" si="362"/>
        <v>1</v>
      </c>
      <c r="C6259" t="str">
        <f t="shared" si="363"/>
        <v>274</v>
      </c>
      <c r="D6259" t="str">
        <f>"10"</f>
        <v>10</v>
      </c>
      <c r="E6259" t="str">
        <f>"1-274-10"</f>
        <v>1-274-10</v>
      </c>
      <c r="F6259" t="s">
        <v>83</v>
      </c>
      <c r="G6259" t="s">
        <v>84</v>
      </c>
      <c r="H6259" t="s">
        <v>92</v>
      </c>
      <c r="I6259">
        <v>1</v>
      </c>
      <c r="J6259">
        <v>1</v>
      </c>
      <c r="N6259">
        <v>1</v>
      </c>
      <c r="O6259">
        <v>1</v>
      </c>
      <c r="P6259">
        <v>1</v>
      </c>
      <c r="Q6259">
        <v>1</v>
      </c>
      <c r="R6259">
        <v>1</v>
      </c>
      <c r="S6259">
        <v>1</v>
      </c>
      <c r="T6259">
        <v>1</v>
      </c>
      <c r="W6259">
        <v>1</v>
      </c>
      <c r="X6259">
        <v>1</v>
      </c>
      <c r="Y6259">
        <v>1</v>
      </c>
      <c r="Z6259">
        <v>1</v>
      </c>
      <c r="AA6259">
        <v>1</v>
      </c>
      <c r="AB6259">
        <v>1</v>
      </c>
    </row>
    <row r="6260" spans="1:28" x14ac:dyDescent="0.25">
      <c r="A6260" t="str">
        <f>"6256"</f>
        <v>6256</v>
      </c>
      <c r="B6260" t="str">
        <f t="shared" si="362"/>
        <v>1</v>
      </c>
      <c r="C6260" t="str">
        <f t="shared" si="363"/>
        <v>274</v>
      </c>
      <c r="D6260" t="str">
        <f>"1"</f>
        <v>1</v>
      </c>
      <c r="E6260" t="str">
        <f>"1-274-1"</f>
        <v>1-274-1</v>
      </c>
      <c r="F6260" t="s">
        <v>83</v>
      </c>
      <c r="G6260" t="s">
        <v>86</v>
      </c>
      <c r="H6260" t="s">
        <v>93</v>
      </c>
      <c r="I6260">
        <v>1</v>
      </c>
      <c r="K6260">
        <v>0</v>
      </c>
      <c r="L6260">
        <v>0</v>
      </c>
      <c r="M6260">
        <v>1</v>
      </c>
      <c r="N6260">
        <v>1</v>
      </c>
      <c r="O6260">
        <v>1</v>
      </c>
      <c r="P6260">
        <v>1</v>
      </c>
      <c r="Q6260">
        <v>1</v>
      </c>
      <c r="R6260">
        <v>1</v>
      </c>
      <c r="U6260">
        <v>0</v>
      </c>
      <c r="V6260">
        <v>1</v>
      </c>
      <c r="W6260">
        <v>1</v>
      </c>
      <c r="X6260">
        <v>1</v>
      </c>
      <c r="Y6260">
        <v>1</v>
      </c>
      <c r="Z6260">
        <v>1</v>
      </c>
      <c r="AA6260">
        <v>1</v>
      </c>
      <c r="AB6260">
        <v>1</v>
      </c>
    </row>
    <row r="6261" spans="1:28" x14ac:dyDescent="0.25">
      <c r="A6261" t="str">
        <f>"6257"</f>
        <v>6257</v>
      </c>
      <c r="B6261" t="str">
        <f t="shared" si="362"/>
        <v>1</v>
      </c>
      <c r="C6261" t="str">
        <f t="shared" si="363"/>
        <v>274</v>
      </c>
      <c r="D6261" t="str">
        <f>"18"</f>
        <v>18</v>
      </c>
      <c r="E6261" t="str">
        <f>"1-274-18"</f>
        <v>1-274-18</v>
      </c>
      <c r="F6261" t="s">
        <v>83</v>
      </c>
      <c r="G6261" t="s">
        <v>84</v>
      </c>
      <c r="H6261" t="s">
        <v>92</v>
      </c>
      <c r="I6261">
        <v>1</v>
      </c>
      <c r="J6261">
        <v>1</v>
      </c>
      <c r="N6261">
        <v>1</v>
      </c>
      <c r="O6261">
        <v>1</v>
      </c>
      <c r="P6261">
        <v>1</v>
      </c>
      <c r="Q6261">
        <v>1</v>
      </c>
      <c r="R6261">
        <v>1</v>
      </c>
      <c r="S6261">
        <v>1</v>
      </c>
      <c r="T6261">
        <v>1</v>
      </c>
      <c r="W6261">
        <v>1</v>
      </c>
      <c r="X6261">
        <v>1</v>
      </c>
      <c r="Y6261">
        <v>1</v>
      </c>
      <c r="Z6261">
        <v>1</v>
      </c>
      <c r="AA6261">
        <v>1</v>
      </c>
      <c r="AB6261">
        <v>1</v>
      </c>
    </row>
    <row r="6262" spans="1:28" x14ac:dyDescent="0.25">
      <c r="A6262" t="str">
        <f>"6258"</f>
        <v>6258</v>
      </c>
      <c r="B6262" t="str">
        <f t="shared" si="362"/>
        <v>1</v>
      </c>
      <c r="C6262" t="str">
        <f t="shared" si="363"/>
        <v>274</v>
      </c>
      <c r="D6262" t="str">
        <f>"11"</f>
        <v>11</v>
      </c>
      <c r="E6262" t="str">
        <f>"1-274-11"</f>
        <v>1-274-11</v>
      </c>
      <c r="F6262" t="s">
        <v>83</v>
      </c>
      <c r="G6262" t="s">
        <v>84</v>
      </c>
      <c r="H6262" t="s">
        <v>92</v>
      </c>
      <c r="I6262">
        <v>1</v>
      </c>
      <c r="J6262">
        <v>1</v>
      </c>
      <c r="N6262">
        <v>1</v>
      </c>
      <c r="O6262">
        <v>1</v>
      </c>
      <c r="P6262">
        <v>1</v>
      </c>
      <c r="Q6262">
        <v>1</v>
      </c>
      <c r="R6262">
        <v>1</v>
      </c>
      <c r="S6262">
        <v>1</v>
      </c>
      <c r="T6262">
        <v>1</v>
      </c>
      <c r="W6262">
        <v>1</v>
      </c>
      <c r="X6262">
        <v>1</v>
      </c>
      <c r="Y6262">
        <v>1</v>
      </c>
      <c r="Z6262">
        <v>1</v>
      </c>
      <c r="AA6262">
        <v>1</v>
      </c>
      <c r="AB6262">
        <v>1</v>
      </c>
    </row>
    <row r="6263" spans="1:28" x14ac:dyDescent="0.25">
      <c r="A6263" t="str">
        <f>"6259"</f>
        <v>6259</v>
      </c>
      <c r="B6263" t="str">
        <f t="shared" si="362"/>
        <v>1</v>
      </c>
      <c r="C6263" t="str">
        <f t="shared" si="363"/>
        <v>274</v>
      </c>
      <c r="D6263" t="str">
        <f>"6"</f>
        <v>6</v>
      </c>
      <c r="E6263" t="str">
        <f>"1-274-6"</f>
        <v>1-274-6</v>
      </c>
      <c r="F6263" t="s">
        <v>83</v>
      </c>
      <c r="G6263" t="s">
        <v>84</v>
      </c>
      <c r="H6263" t="s">
        <v>92</v>
      </c>
      <c r="I6263">
        <v>1</v>
      </c>
      <c r="J6263">
        <v>1</v>
      </c>
      <c r="N6263">
        <v>1</v>
      </c>
      <c r="O6263">
        <v>1</v>
      </c>
      <c r="P6263">
        <v>1</v>
      </c>
      <c r="Q6263">
        <v>1</v>
      </c>
      <c r="R6263">
        <v>1</v>
      </c>
      <c r="S6263">
        <v>1</v>
      </c>
      <c r="T6263">
        <v>1</v>
      </c>
      <c r="W6263">
        <v>1</v>
      </c>
      <c r="X6263">
        <v>1</v>
      </c>
      <c r="Y6263">
        <v>1</v>
      </c>
      <c r="Z6263">
        <v>1</v>
      </c>
      <c r="AA6263">
        <v>1</v>
      </c>
      <c r="AB6263">
        <v>1</v>
      </c>
    </row>
    <row r="6264" spans="1:28" x14ac:dyDescent="0.25">
      <c r="A6264" t="str">
        <f>"6260"</f>
        <v>6260</v>
      </c>
      <c r="B6264" t="str">
        <f t="shared" si="362"/>
        <v>1</v>
      </c>
      <c r="C6264" t="str">
        <f t="shared" si="363"/>
        <v>274</v>
      </c>
      <c r="D6264" t="str">
        <f>"19"</f>
        <v>19</v>
      </c>
      <c r="E6264" t="str">
        <f>"1-274-19"</f>
        <v>1-274-19</v>
      </c>
      <c r="F6264" t="s">
        <v>83</v>
      </c>
      <c r="G6264" t="s">
        <v>84</v>
      </c>
      <c r="H6264" t="s">
        <v>92</v>
      </c>
      <c r="I6264">
        <v>1</v>
      </c>
      <c r="J6264">
        <v>1</v>
      </c>
      <c r="N6264">
        <v>1</v>
      </c>
      <c r="O6264">
        <v>1</v>
      </c>
      <c r="P6264">
        <v>1</v>
      </c>
      <c r="Q6264">
        <v>1</v>
      </c>
      <c r="R6264">
        <v>1</v>
      </c>
      <c r="S6264">
        <v>1</v>
      </c>
      <c r="T6264">
        <v>1</v>
      </c>
      <c r="W6264">
        <v>1</v>
      </c>
      <c r="X6264">
        <v>1</v>
      </c>
      <c r="Y6264">
        <v>1</v>
      </c>
      <c r="Z6264">
        <v>1</v>
      </c>
      <c r="AA6264">
        <v>1</v>
      </c>
      <c r="AB6264">
        <v>1</v>
      </c>
    </row>
    <row r="6265" spans="1:28" x14ac:dyDescent="0.25">
      <c r="A6265" t="str">
        <f>"6261"</f>
        <v>6261</v>
      </c>
      <c r="B6265" t="str">
        <f t="shared" si="362"/>
        <v>1</v>
      </c>
      <c r="C6265" t="str">
        <f t="shared" si="363"/>
        <v>274</v>
      </c>
      <c r="D6265" t="str">
        <f>"12"</f>
        <v>12</v>
      </c>
      <c r="E6265" t="str">
        <f>"1-274-12"</f>
        <v>1-274-12</v>
      </c>
      <c r="F6265" t="s">
        <v>83</v>
      </c>
      <c r="G6265" t="s">
        <v>84</v>
      </c>
      <c r="H6265" t="s">
        <v>92</v>
      </c>
      <c r="I6265">
        <v>1</v>
      </c>
      <c r="J6265">
        <v>1</v>
      </c>
      <c r="N6265">
        <v>1</v>
      </c>
      <c r="O6265">
        <v>1</v>
      </c>
      <c r="P6265">
        <v>1</v>
      </c>
      <c r="Q6265">
        <v>1</v>
      </c>
      <c r="R6265">
        <v>1</v>
      </c>
      <c r="S6265">
        <v>1</v>
      </c>
      <c r="T6265">
        <v>1</v>
      </c>
      <c r="W6265">
        <v>1</v>
      </c>
      <c r="X6265">
        <v>1</v>
      </c>
      <c r="Y6265">
        <v>1</v>
      </c>
      <c r="Z6265">
        <v>1</v>
      </c>
      <c r="AA6265">
        <v>1</v>
      </c>
      <c r="AB6265">
        <v>1</v>
      </c>
    </row>
    <row r="6266" spans="1:28" x14ac:dyDescent="0.25">
      <c r="A6266" t="str">
        <f>"6262"</f>
        <v>6262</v>
      </c>
      <c r="B6266" t="str">
        <f t="shared" si="362"/>
        <v>1</v>
      </c>
      <c r="C6266" t="str">
        <f t="shared" si="363"/>
        <v>274</v>
      </c>
      <c r="D6266" t="str">
        <f>"5"</f>
        <v>5</v>
      </c>
      <c r="E6266" t="str">
        <f>"1-274-5"</f>
        <v>1-274-5</v>
      </c>
      <c r="F6266" t="s">
        <v>83</v>
      </c>
      <c r="G6266" t="s">
        <v>84</v>
      </c>
      <c r="H6266" t="s">
        <v>92</v>
      </c>
      <c r="I6266">
        <v>1</v>
      </c>
      <c r="J6266">
        <v>1</v>
      </c>
      <c r="N6266">
        <v>1</v>
      </c>
      <c r="O6266">
        <v>1</v>
      </c>
      <c r="P6266">
        <v>1</v>
      </c>
      <c r="Q6266">
        <v>1</v>
      </c>
      <c r="R6266">
        <v>1</v>
      </c>
      <c r="S6266">
        <v>1</v>
      </c>
      <c r="T6266">
        <v>1</v>
      </c>
      <c r="W6266">
        <v>1</v>
      </c>
      <c r="X6266">
        <v>1</v>
      </c>
      <c r="Y6266">
        <v>1</v>
      </c>
      <c r="Z6266">
        <v>1</v>
      </c>
      <c r="AA6266">
        <v>1</v>
      </c>
      <c r="AB6266">
        <v>1</v>
      </c>
    </row>
    <row r="6267" spans="1:28" x14ac:dyDescent="0.25">
      <c r="A6267" t="str">
        <f>"6263"</f>
        <v>6263</v>
      </c>
      <c r="B6267" t="str">
        <f t="shared" si="362"/>
        <v>1</v>
      </c>
      <c r="C6267" t="str">
        <f t="shared" si="363"/>
        <v>274</v>
      </c>
      <c r="D6267" t="str">
        <f>"20"</f>
        <v>20</v>
      </c>
      <c r="E6267" t="str">
        <f>"1-274-20"</f>
        <v>1-274-20</v>
      </c>
      <c r="F6267" t="s">
        <v>83</v>
      </c>
      <c r="G6267" t="s">
        <v>84</v>
      </c>
      <c r="H6267" t="s">
        <v>92</v>
      </c>
      <c r="I6267">
        <v>1</v>
      </c>
      <c r="J6267">
        <v>1</v>
      </c>
      <c r="N6267">
        <v>1</v>
      </c>
      <c r="O6267">
        <v>1</v>
      </c>
      <c r="P6267">
        <v>1</v>
      </c>
      <c r="Q6267">
        <v>1</v>
      </c>
      <c r="R6267">
        <v>1</v>
      </c>
      <c r="S6267">
        <v>1</v>
      </c>
      <c r="T6267">
        <v>1</v>
      </c>
      <c r="W6267">
        <v>1</v>
      </c>
      <c r="X6267">
        <v>1</v>
      </c>
      <c r="Y6267">
        <v>1</v>
      </c>
      <c r="Z6267">
        <v>1</v>
      </c>
      <c r="AA6267">
        <v>1</v>
      </c>
      <c r="AB6267">
        <v>1</v>
      </c>
    </row>
    <row r="6268" spans="1:28" x14ac:dyDescent="0.25">
      <c r="A6268" t="str">
        <f>"6264"</f>
        <v>6264</v>
      </c>
      <c r="B6268" t="str">
        <f t="shared" si="362"/>
        <v>1</v>
      </c>
      <c r="C6268" t="str">
        <f t="shared" si="363"/>
        <v>274</v>
      </c>
      <c r="D6268" t="str">
        <f>"13"</f>
        <v>13</v>
      </c>
      <c r="E6268" t="str">
        <f>"1-274-13"</f>
        <v>1-274-13</v>
      </c>
      <c r="F6268" t="s">
        <v>83</v>
      </c>
      <c r="G6268" t="s">
        <v>84</v>
      </c>
      <c r="H6268" t="s">
        <v>92</v>
      </c>
      <c r="I6268">
        <v>1</v>
      </c>
      <c r="J6268">
        <v>1</v>
      </c>
      <c r="N6268">
        <v>1</v>
      </c>
      <c r="O6268">
        <v>1</v>
      </c>
      <c r="P6268">
        <v>1</v>
      </c>
      <c r="Q6268">
        <v>1</v>
      </c>
      <c r="R6268">
        <v>1</v>
      </c>
      <c r="S6268">
        <v>1</v>
      </c>
      <c r="T6268">
        <v>1</v>
      </c>
      <c r="W6268">
        <v>1</v>
      </c>
      <c r="X6268">
        <v>1</v>
      </c>
      <c r="Y6268">
        <v>1</v>
      </c>
      <c r="Z6268">
        <v>1</v>
      </c>
      <c r="AA6268">
        <v>1</v>
      </c>
      <c r="AB6268">
        <v>1</v>
      </c>
    </row>
    <row r="6269" spans="1:28" s="2" customFormat="1" x14ac:dyDescent="0.25">
      <c r="A6269" s="1" t="str">
        <f>"6265"</f>
        <v>6265</v>
      </c>
      <c r="B6269" s="1" t="str">
        <f t="shared" si="362"/>
        <v>1</v>
      </c>
      <c r="C6269" s="1" t="str">
        <f t="shared" si="363"/>
        <v>274</v>
      </c>
      <c r="D6269" s="1" t="str">
        <f>"3"</f>
        <v>3</v>
      </c>
      <c r="E6269" s="1" t="str">
        <f>"1-274-3"</f>
        <v>1-274-3</v>
      </c>
      <c r="F6269" s="1" t="s">
        <v>83</v>
      </c>
      <c r="G6269" s="4" t="s">
        <v>96</v>
      </c>
      <c r="I6269" s="4"/>
    </row>
    <row r="6270" spans="1:28" x14ac:dyDescent="0.25">
      <c r="A6270" t="str">
        <f>"6266"</f>
        <v>6266</v>
      </c>
      <c r="B6270" t="str">
        <f t="shared" si="362"/>
        <v>1</v>
      </c>
      <c r="C6270" t="str">
        <f t="shared" si="363"/>
        <v>274</v>
      </c>
      <c r="D6270" t="str">
        <f>"21"</f>
        <v>21</v>
      </c>
      <c r="E6270" t="str">
        <f>"1-274-21"</f>
        <v>1-274-21</v>
      </c>
      <c r="F6270" t="s">
        <v>83</v>
      </c>
      <c r="G6270" t="s">
        <v>84</v>
      </c>
      <c r="H6270" t="s">
        <v>92</v>
      </c>
      <c r="I6270">
        <v>1</v>
      </c>
      <c r="J6270">
        <v>1</v>
      </c>
      <c r="N6270">
        <v>1</v>
      </c>
      <c r="O6270">
        <v>1</v>
      </c>
      <c r="P6270">
        <v>1</v>
      </c>
      <c r="Q6270">
        <v>1</v>
      </c>
      <c r="R6270">
        <v>1</v>
      </c>
      <c r="S6270">
        <v>1</v>
      </c>
      <c r="T6270">
        <v>1</v>
      </c>
      <c r="W6270">
        <v>1</v>
      </c>
      <c r="X6270">
        <v>1</v>
      </c>
      <c r="Y6270">
        <v>1</v>
      </c>
      <c r="Z6270">
        <v>1</v>
      </c>
      <c r="AA6270">
        <v>1</v>
      </c>
      <c r="AB6270">
        <v>1</v>
      </c>
    </row>
    <row r="6271" spans="1:28" x14ac:dyDescent="0.25">
      <c r="A6271" t="str">
        <f>"6267"</f>
        <v>6267</v>
      </c>
      <c r="B6271" t="str">
        <f t="shared" si="362"/>
        <v>1</v>
      </c>
      <c r="C6271" t="str">
        <f t="shared" si="363"/>
        <v>274</v>
      </c>
      <c r="D6271" t="str">
        <f>"14"</f>
        <v>14</v>
      </c>
      <c r="E6271" t="str">
        <f>"1-274-14"</f>
        <v>1-274-14</v>
      </c>
      <c r="F6271" t="s">
        <v>83</v>
      </c>
      <c r="G6271" t="s">
        <v>84</v>
      </c>
      <c r="H6271" t="s">
        <v>92</v>
      </c>
      <c r="I6271">
        <v>1</v>
      </c>
      <c r="J6271">
        <v>1</v>
      </c>
      <c r="N6271">
        <v>1</v>
      </c>
      <c r="O6271">
        <v>1</v>
      </c>
      <c r="P6271">
        <v>1</v>
      </c>
      <c r="Q6271">
        <v>1</v>
      </c>
      <c r="R6271">
        <v>1</v>
      </c>
      <c r="S6271">
        <v>1</v>
      </c>
      <c r="T6271">
        <v>1</v>
      </c>
      <c r="W6271">
        <v>1</v>
      </c>
      <c r="X6271">
        <v>1</v>
      </c>
      <c r="Y6271">
        <v>1</v>
      </c>
      <c r="Z6271">
        <v>1</v>
      </c>
      <c r="AA6271">
        <v>1</v>
      </c>
      <c r="AB6271">
        <v>1</v>
      </c>
    </row>
    <row r="6272" spans="1:28" x14ac:dyDescent="0.25">
      <c r="A6272" t="str">
        <f>"6268"</f>
        <v>6268</v>
      </c>
      <c r="B6272" t="str">
        <f t="shared" si="362"/>
        <v>1</v>
      </c>
      <c r="C6272" t="str">
        <f t="shared" si="363"/>
        <v>274</v>
      </c>
      <c r="D6272" t="str">
        <f>"7"</f>
        <v>7</v>
      </c>
      <c r="E6272" t="str">
        <f>"1-274-7"</f>
        <v>1-274-7</v>
      </c>
      <c r="F6272" t="s">
        <v>83</v>
      </c>
      <c r="G6272" t="s">
        <v>84</v>
      </c>
      <c r="H6272" t="s">
        <v>92</v>
      </c>
      <c r="I6272">
        <v>1</v>
      </c>
      <c r="J6272">
        <v>1</v>
      </c>
      <c r="N6272">
        <v>1</v>
      </c>
      <c r="O6272">
        <v>1</v>
      </c>
      <c r="P6272">
        <v>1</v>
      </c>
      <c r="Q6272">
        <v>1</v>
      </c>
      <c r="R6272">
        <v>1</v>
      </c>
      <c r="S6272">
        <v>1</v>
      </c>
      <c r="T6272">
        <v>1</v>
      </c>
      <c r="W6272">
        <v>1</v>
      </c>
      <c r="X6272">
        <v>1</v>
      </c>
      <c r="Y6272">
        <v>1</v>
      </c>
      <c r="Z6272">
        <v>1</v>
      </c>
      <c r="AA6272">
        <v>1</v>
      </c>
      <c r="AB6272">
        <v>1</v>
      </c>
    </row>
    <row r="6273" spans="1:28" x14ac:dyDescent="0.25">
      <c r="A6273" t="str">
        <f>"6269"</f>
        <v>6269</v>
      </c>
      <c r="B6273" t="str">
        <f t="shared" si="362"/>
        <v>1</v>
      </c>
      <c r="C6273" t="str">
        <f t="shared" ref="C6273:C6297" si="364">"275"</f>
        <v>275</v>
      </c>
      <c r="D6273" t="str">
        <f>"21"</f>
        <v>21</v>
      </c>
      <c r="E6273" t="str">
        <f>"1-275-21"</f>
        <v>1-275-21</v>
      </c>
      <c r="F6273" t="s">
        <v>83</v>
      </c>
      <c r="G6273" t="s">
        <v>84</v>
      </c>
      <c r="H6273" t="s">
        <v>92</v>
      </c>
      <c r="I6273">
        <v>1</v>
      </c>
      <c r="J6273">
        <v>1</v>
      </c>
      <c r="N6273">
        <v>1</v>
      </c>
      <c r="O6273">
        <v>1</v>
      </c>
      <c r="P6273">
        <v>1</v>
      </c>
      <c r="Q6273">
        <v>1</v>
      </c>
      <c r="R6273">
        <v>1</v>
      </c>
      <c r="S6273">
        <v>1</v>
      </c>
      <c r="T6273">
        <v>1</v>
      </c>
      <c r="W6273">
        <v>1</v>
      </c>
      <c r="X6273">
        <v>1</v>
      </c>
      <c r="Y6273">
        <v>1</v>
      </c>
      <c r="Z6273">
        <v>1</v>
      </c>
      <c r="AA6273">
        <v>1</v>
      </c>
      <c r="AB6273">
        <v>1</v>
      </c>
    </row>
    <row r="6274" spans="1:28" x14ac:dyDescent="0.25">
      <c r="A6274" t="str">
        <f>"6270"</f>
        <v>6270</v>
      </c>
      <c r="B6274" t="str">
        <f t="shared" si="362"/>
        <v>1</v>
      </c>
      <c r="C6274" t="str">
        <f t="shared" si="364"/>
        <v>275</v>
      </c>
      <c r="D6274" t="str">
        <f>"20"</f>
        <v>20</v>
      </c>
      <c r="E6274" t="str">
        <f>"1-275-20"</f>
        <v>1-275-20</v>
      </c>
      <c r="F6274" t="s">
        <v>83</v>
      </c>
      <c r="G6274" t="s">
        <v>84</v>
      </c>
      <c r="H6274" t="s">
        <v>92</v>
      </c>
      <c r="I6274">
        <v>1</v>
      </c>
      <c r="J6274">
        <v>1</v>
      </c>
      <c r="N6274">
        <v>1</v>
      </c>
      <c r="O6274">
        <v>1</v>
      </c>
      <c r="P6274">
        <v>1</v>
      </c>
      <c r="Q6274">
        <v>1</v>
      </c>
      <c r="R6274">
        <v>1</v>
      </c>
      <c r="S6274">
        <v>1</v>
      </c>
      <c r="T6274">
        <v>1</v>
      </c>
      <c r="W6274">
        <v>1</v>
      </c>
      <c r="X6274">
        <v>1</v>
      </c>
      <c r="Y6274">
        <v>1</v>
      </c>
      <c r="Z6274">
        <v>1</v>
      </c>
      <c r="AA6274">
        <v>1</v>
      </c>
      <c r="AB6274">
        <v>0</v>
      </c>
    </row>
    <row r="6275" spans="1:28" x14ac:dyDescent="0.25">
      <c r="A6275" t="str">
        <f>"6271"</f>
        <v>6271</v>
      </c>
      <c r="B6275" t="str">
        <f t="shared" si="362"/>
        <v>1</v>
      </c>
      <c r="C6275" t="str">
        <f t="shared" si="364"/>
        <v>275</v>
      </c>
      <c r="D6275" t="str">
        <f>"13"</f>
        <v>13</v>
      </c>
      <c r="E6275" t="str">
        <f>"1-275-13"</f>
        <v>1-275-13</v>
      </c>
      <c r="F6275" t="s">
        <v>83</v>
      </c>
      <c r="G6275" t="s">
        <v>84</v>
      </c>
      <c r="H6275" t="s">
        <v>92</v>
      </c>
      <c r="I6275">
        <v>1</v>
      </c>
      <c r="J6275">
        <v>1</v>
      </c>
      <c r="N6275">
        <v>1</v>
      </c>
      <c r="O6275">
        <v>1</v>
      </c>
      <c r="P6275">
        <v>1</v>
      </c>
      <c r="Q6275">
        <v>1</v>
      </c>
      <c r="R6275">
        <v>1</v>
      </c>
      <c r="S6275">
        <v>1</v>
      </c>
      <c r="T6275">
        <v>1</v>
      </c>
      <c r="W6275">
        <v>1</v>
      </c>
      <c r="X6275">
        <v>1</v>
      </c>
      <c r="Y6275">
        <v>1</v>
      </c>
      <c r="Z6275">
        <v>1</v>
      </c>
      <c r="AA6275">
        <v>1</v>
      </c>
      <c r="AB6275">
        <v>1</v>
      </c>
    </row>
    <row r="6276" spans="1:28" x14ac:dyDescent="0.25">
      <c r="A6276" t="str">
        <f>"6272"</f>
        <v>6272</v>
      </c>
      <c r="B6276" t="str">
        <f t="shared" si="362"/>
        <v>1</v>
      </c>
      <c r="C6276" t="str">
        <f t="shared" si="364"/>
        <v>275</v>
      </c>
      <c r="D6276" t="str">
        <f>"12"</f>
        <v>12</v>
      </c>
      <c r="E6276" t="str">
        <f>"1-275-12"</f>
        <v>1-275-12</v>
      </c>
      <c r="F6276" t="s">
        <v>83</v>
      </c>
      <c r="G6276" t="s">
        <v>84</v>
      </c>
      <c r="H6276" t="s">
        <v>92</v>
      </c>
      <c r="I6276">
        <v>1</v>
      </c>
      <c r="J6276">
        <v>1</v>
      </c>
      <c r="N6276">
        <v>1</v>
      </c>
      <c r="O6276">
        <v>1</v>
      </c>
      <c r="P6276">
        <v>1</v>
      </c>
      <c r="Q6276">
        <v>1</v>
      </c>
      <c r="R6276">
        <v>1</v>
      </c>
      <c r="S6276">
        <v>1</v>
      </c>
      <c r="T6276">
        <v>1</v>
      </c>
      <c r="W6276">
        <v>1</v>
      </c>
      <c r="X6276">
        <v>1</v>
      </c>
      <c r="Y6276">
        <v>1</v>
      </c>
      <c r="Z6276">
        <v>1</v>
      </c>
      <c r="AA6276">
        <v>1</v>
      </c>
      <c r="AB6276">
        <v>1</v>
      </c>
    </row>
    <row r="6277" spans="1:28" x14ac:dyDescent="0.25">
      <c r="A6277" t="str">
        <f>"6273"</f>
        <v>6273</v>
      </c>
      <c r="B6277" t="str">
        <f t="shared" si="362"/>
        <v>1</v>
      </c>
      <c r="C6277" t="str">
        <f t="shared" si="364"/>
        <v>275</v>
      </c>
      <c r="D6277" t="str">
        <f>"11"</f>
        <v>11</v>
      </c>
      <c r="E6277" t="str">
        <f>"1-275-11"</f>
        <v>1-275-11</v>
      </c>
      <c r="F6277" t="s">
        <v>83</v>
      </c>
      <c r="G6277" t="s">
        <v>84</v>
      </c>
      <c r="H6277" t="s">
        <v>92</v>
      </c>
      <c r="I6277">
        <v>1</v>
      </c>
      <c r="J6277">
        <v>1</v>
      </c>
      <c r="N6277">
        <v>1</v>
      </c>
      <c r="O6277">
        <v>1</v>
      </c>
      <c r="P6277">
        <v>1</v>
      </c>
      <c r="Q6277">
        <v>1</v>
      </c>
      <c r="R6277">
        <v>1</v>
      </c>
      <c r="S6277">
        <v>1</v>
      </c>
      <c r="T6277">
        <v>1</v>
      </c>
      <c r="W6277">
        <v>1</v>
      </c>
      <c r="X6277">
        <v>1</v>
      </c>
      <c r="Y6277">
        <v>1</v>
      </c>
      <c r="Z6277">
        <v>0</v>
      </c>
      <c r="AA6277">
        <v>0</v>
      </c>
      <c r="AB6277">
        <v>0</v>
      </c>
    </row>
    <row r="6278" spans="1:28" x14ac:dyDescent="0.25">
      <c r="A6278" t="str">
        <f>"6274"</f>
        <v>6274</v>
      </c>
      <c r="B6278" t="str">
        <f t="shared" si="362"/>
        <v>1</v>
      </c>
      <c r="C6278" t="str">
        <f t="shared" si="364"/>
        <v>275</v>
      </c>
      <c r="D6278" t="str">
        <f>"8"</f>
        <v>8</v>
      </c>
      <c r="E6278" t="str">
        <f>"1-275-8"</f>
        <v>1-275-8</v>
      </c>
      <c r="F6278" t="s">
        <v>83</v>
      </c>
      <c r="G6278" t="s">
        <v>84</v>
      </c>
      <c r="H6278" t="s">
        <v>92</v>
      </c>
      <c r="I6278">
        <v>1</v>
      </c>
      <c r="J6278">
        <v>1</v>
      </c>
      <c r="N6278">
        <v>1</v>
      </c>
      <c r="O6278">
        <v>1</v>
      </c>
      <c r="P6278">
        <v>1</v>
      </c>
      <c r="Q6278">
        <v>1</v>
      </c>
      <c r="R6278">
        <v>1</v>
      </c>
      <c r="S6278">
        <v>1</v>
      </c>
      <c r="T6278">
        <v>1</v>
      </c>
      <c r="W6278">
        <v>1</v>
      </c>
      <c r="X6278">
        <v>1</v>
      </c>
      <c r="Y6278">
        <v>1</v>
      </c>
      <c r="Z6278">
        <v>1</v>
      </c>
      <c r="AA6278">
        <v>1</v>
      </c>
      <c r="AB6278">
        <v>1</v>
      </c>
    </row>
    <row r="6279" spans="1:28" x14ac:dyDescent="0.25">
      <c r="A6279" t="str">
        <f>"6275"</f>
        <v>6275</v>
      </c>
      <c r="B6279" t="str">
        <f t="shared" si="362"/>
        <v>1</v>
      </c>
      <c r="C6279" t="str">
        <f t="shared" si="364"/>
        <v>275</v>
      </c>
      <c r="D6279" t="str">
        <f>"3"</f>
        <v>3</v>
      </c>
      <c r="E6279" t="str">
        <f>"1-275-3"</f>
        <v>1-275-3</v>
      </c>
      <c r="F6279" t="s">
        <v>83</v>
      </c>
      <c r="G6279" t="s">
        <v>84</v>
      </c>
      <c r="H6279" t="s">
        <v>92</v>
      </c>
      <c r="I6279">
        <v>1</v>
      </c>
      <c r="J6279">
        <v>1</v>
      </c>
      <c r="N6279">
        <v>1</v>
      </c>
      <c r="O6279">
        <v>1</v>
      </c>
      <c r="P6279">
        <v>1</v>
      </c>
      <c r="Q6279">
        <v>1</v>
      </c>
      <c r="R6279">
        <v>1</v>
      </c>
      <c r="S6279">
        <v>1</v>
      </c>
      <c r="T6279">
        <v>1</v>
      </c>
      <c r="W6279">
        <v>1</v>
      </c>
      <c r="X6279">
        <v>1</v>
      </c>
      <c r="Y6279">
        <v>1</v>
      </c>
      <c r="Z6279">
        <v>1</v>
      </c>
      <c r="AA6279">
        <v>1</v>
      </c>
      <c r="AB6279">
        <v>1</v>
      </c>
    </row>
    <row r="6280" spans="1:28" x14ac:dyDescent="0.25">
      <c r="A6280" t="str">
        <f>"6276"</f>
        <v>6276</v>
      </c>
      <c r="B6280" t="str">
        <f t="shared" si="362"/>
        <v>1</v>
      </c>
      <c r="C6280" t="str">
        <f t="shared" si="364"/>
        <v>275</v>
      </c>
      <c r="D6280" t="str">
        <f>"25"</f>
        <v>25</v>
      </c>
      <c r="E6280" t="str">
        <f>"1-275-25"</f>
        <v>1-275-25</v>
      </c>
      <c r="F6280" t="s">
        <v>83</v>
      </c>
      <c r="G6280" t="s">
        <v>84</v>
      </c>
      <c r="H6280" t="s">
        <v>92</v>
      </c>
      <c r="I6280">
        <v>1</v>
      </c>
      <c r="J6280">
        <v>1</v>
      </c>
      <c r="N6280">
        <v>1</v>
      </c>
      <c r="O6280">
        <v>1</v>
      </c>
      <c r="P6280">
        <v>1</v>
      </c>
      <c r="Q6280">
        <v>1</v>
      </c>
      <c r="R6280">
        <v>1</v>
      </c>
      <c r="S6280">
        <v>1</v>
      </c>
      <c r="T6280">
        <v>1</v>
      </c>
      <c r="W6280">
        <v>1</v>
      </c>
      <c r="X6280">
        <v>1</v>
      </c>
      <c r="Y6280">
        <v>1</v>
      </c>
      <c r="Z6280">
        <v>1</v>
      </c>
      <c r="AA6280">
        <v>1</v>
      </c>
      <c r="AB6280">
        <v>1</v>
      </c>
    </row>
    <row r="6281" spans="1:28" x14ac:dyDescent="0.25">
      <c r="A6281" t="str">
        <f>"6277"</f>
        <v>6277</v>
      </c>
      <c r="B6281" t="str">
        <f t="shared" si="362"/>
        <v>1</v>
      </c>
      <c r="C6281" t="str">
        <f t="shared" si="364"/>
        <v>275</v>
      </c>
      <c r="D6281" t="str">
        <f>"24"</f>
        <v>24</v>
      </c>
      <c r="E6281" t="str">
        <f>"1-275-24"</f>
        <v>1-275-24</v>
      </c>
      <c r="F6281" t="s">
        <v>83</v>
      </c>
      <c r="G6281" t="s">
        <v>84</v>
      </c>
      <c r="H6281" t="s">
        <v>92</v>
      </c>
      <c r="I6281">
        <v>1</v>
      </c>
      <c r="J6281">
        <v>1</v>
      </c>
      <c r="N6281">
        <v>1</v>
      </c>
      <c r="O6281">
        <v>1</v>
      </c>
      <c r="P6281">
        <v>1</v>
      </c>
      <c r="Q6281">
        <v>1</v>
      </c>
      <c r="R6281">
        <v>1</v>
      </c>
      <c r="S6281">
        <v>1</v>
      </c>
      <c r="T6281">
        <v>1</v>
      </c>
      <c r="W6281">
        <v>1</v>
      </c>
      <c r="X6281">
        <v>1</v>
      </c>
      <c r="Y6281">
        <v>1</v>
      </c>
      <c r="Z6281">
        <v>0</v>
      </c>
      <c r="AA6281">
        <v>1</v>
      </c>
      <c r="AB6281">
        <v>1</v>
      </c>
    </row>
    <row r="6282" spans="1:28" x14ac:dyDescent="0.25">
      <c r="A6282" t="str">
        <f>"6278"</f>
        <v>6278</v>
      </c>
      <c r="B6282" t="str">
        <f t="shared" si="362"/>
        <v>1</v>
      </c>
      <c r="C6282" t="str">
        <f t="shared" si="364"/>
        <v>275</v>
      </c>
      <c r="D6282" t="str">
        <f>"16"</f>
        <v>16</v>
      </c>
      <c r="E6282" t="str">
        <f>"1-275-16"</f>
        <v>1-275-16</v>
      </c>
      <c r="F6282" t="s">
        <v>83</v>
      </c>
      <c r="G6282" t="s">
        <v>84</v>
      </c>
      <c r="H6282" t="s">
        <v>92</v>
      </c>
      <c r="I6282">
        <v>1</v>
      </c>
      <c r="J6282">
        <v>1</v>
      </c>
      <c r="N6282">
        <v>1</v>
      </c>
      <c r="O6282">
        <v>1</v>
      </c>
      <c r="P6282">
        <v>1</v>
      </c>
      <c r="Q6282">
        <v>1</v>
      </c>
      <c r="R6282">
        <v>1</v>
      </c>
      <c r="S6282">
        <v>1</v>
      </c>
      <c r="T6282">
        <v>1</v>
      </c>
      <c r="W6282">
        <v>1</v>
      </c>
      <c r="X6282">
        <v>1</v>
      </c>
      <c r="Y6282">
        <v>1</v>
      </c>
      <c r="Z6282">
        <v>1</v>
      </c>
      <c r="AA6282">
        <v>1</v>
      </c>
      <c r="AB6282">
        <v>1</v>
      </c>
    </row>
    <row r="6283" spans="1:28" x14ac:dyDescent="0.25">
      <c r="A6283" t="str">
        <f>"6279"</f>
        <v>6279</v>
      </c>
      <c r="B6283" t="str">
        <f t="shared" si="362"/>
        <v>1</v>
      </c>
      <c r="C6283" t="str">
        <f t="shared" si="364"/>
        <v>275</v>
      </c>
      <c r="D6283" t="str">
        <f>"9"</f>
        <v>9</v>
      </c>
      <c r="E6283" t="str">
        <f>"1-275-9"</f>
        <v>1-275-9</v>
      </c>
      <c r="F6283" t="s">
        <v>83</v>
      </c>
      <c r="G6283" t="s">
        <v>84</v>
      </c>
      <c r="H6283" t="s">
        <v>92</v>
      </c>
      <c r="I6283">
        <v>1</v>
      </c>
      <c r="J6283">
        <v>0</v>
      </c>
      <c r="N6283">
        <v>0</v>
      </c>
      <c r="O6283">
        <v>0</v>
      </c>
      <c r="P6283">
        <v>0</v>
      </c>
      <c r="Q6283">
        <v>0</v>
      </c>
      <c r="R6283">
        <v>0</v>
      </c>
      <c r="S6283">
        <v>0</v>
      </c>
      <c r="T6283">
        <v>0</v>
      </c>
      <c r="W6283">
        <v>0</v>
      </c>
      <c r="X6283">
        <v>0</v>
      </c>
      <c r="Y6283">
        <v>1</v>
      </c>
      <c r="Z6283">
        <v>1</v>
      </c>
      <c r="AA6283">
        <v>0</v>
      </c>
      <c r="AB6283">
        <v>1</v>
      </c>
    </row>
    <row r="6284" spans="1:28" x14ac:dyDescent="0.25">
      <c r="A6284" t="str">
        <f>"6280"</f>
        <v>6280</v>
      </c>
      <c r="B6284" t="str">
        <f t="shared" si="362"/>
        <v>1</v>
      </c>
      <c r="C6284" t="str">
        <f t="shared" si="364"/>
        <v>275</v>
      </c>
      <c r="D6284" t="str">
        <f>"1"</f>
        <v>1</v>
      </c>
      <c r="E6284" t="str">
        <f>"1-275-1"</f>
        <v>1-275-1</v>
      </c>
      <c r="F6284" t="s">
        <v>83</v>
      </c>
      <c r="G6284" t="s">
        <v>84</v>
      </c>
      <c r="H6284" t="s">
        <v>92</v>
      </c>
      <c r="I6284">
        <v>1</v>
      </c>
      <c r="J6284">
        <v>1</v>
      </c>
      <c r="N6284">
        <v>1</v>
      </c>
      <c r="O6284">
        <v>1</v>
      </c>
      <c r="P6284">
        <v>1</v>
      </c>
      <c r="Q6284">
        <v>1</v>
      </c>
      <c r="R6284">
        <v>1</v>
      </c>
      <c r="S6284">
        <v>1</v>
      </c>
      <c r="T6284">
        <v>1</v>
      </c>
      <c r="W6284">
        <v>1</v>
      </c>
      <c r="X6284">
        <v>1</v>
      </c>
      <c r="Y6284">
        <v>1</v>
      </c>
      <c r="Z6284">
        <v>1</v>
      </c>
      <c r="AA6284">
        <v>1</v>
      </c>
      <c r="AB6284">
        <v>1</v>
      </c>
    </row>
    <row r="6285" spans="1:28" x14ac:dyDescent="0.25">
      <c r="A6285" t="str">
        <f>"6281"</f>
        <v>6281</v>
      </c>
      <c r="B6285" t="str">
        <f t="shared" si="362"/>
        <v>1</v>
      </c>
      <c r="C6285" t="str">
        <f t="shared" si="364"/>
        <v>275</v>
      </c>
      <c r="D6285" t="str">
        <f>"23"</f>
        <v>23</v>
      </c>
      <c r="E6285" t="str">
        <f>"1-275-23"</f>
        <v>1-275-23</v>
      </c>
      <c r="F6285" t="s">
        <v>83</v>
      </c>
      <c r="G6285" t="s">
        <v>84</v>
      </c>
      <c r="H6285" t="s">
        <v>92</v>
      </c>
      <c r="I6285">
        <v>1</v>
      </c>
      <c r="J6285">
        <v>1</v>
      </c>
      <c r="N6285">
        <v>1</v>
      </c>
      <c r="O6285">
        <v>1</v>
      </c>
      <c r="P6285">
        <v>1</v>
      </c>
      <c r="Q6285">
        <v>1</v>
      </c>
      <c r="R6285">
        <v>1</v>
      </c>
      <c r="S6285">
        <v>1</v>
      </c>
      <c r="T6285">
        <v>1</v>
      </c>
      <c r="W6285">
        <v>1</v>
      </c>
      <c r="X6285">
        <v>1</v>
      </c>
      <c r="Y6285">
        <v>1</v>
      </c>
      <c r="Z6285">
        <v>1</v>
      </c>
      <c r="AA6285">
        <v>1</v>
      </c>
      <c r="AB6285">
        <v>1</v>
      </c>
    </row>
    <row r="6286" spans="1:28" x14ac:dyDescent="0.25">
      <c r="A6286" t="str">
        <f>"6282"</f>
        <v>6282</v>
      </c>
      <c r="B6286" t="str">
        <f t="shared" si="362"/>
        <v>1</v>
      </c>
      <c r="C6286" t="str">
        <f t="shared" si="364"/>
        <v>275</v>
      </c>
      <c r="D6286" t="str">
        <f>"22"</f>
        <v>22</v>
      </c>
      <c r="E6286" t="str">
        <f>"1-275-22"</f>
        <v>1-275-22</v>
      </c>
      <c r="F6286" t="s">
        <v>83</v>
      </c>
      <c r="G6286" t="s">
        <v>84</v>
      </c>
      <c r="H6286" t="s">
        <v>92</v>
      </c>
      <c r="I6286">
        <v>1</v>
      </c>
      <c r="J6286">
        <v>1</v>
      </c>
      <c r="N6286">
        <v>1</v>
      </c>
      <c r="O6286">
        <v>1</v>
      </c>
      <c r="P6286">
        <v>1</v>
      </c>
      <c r="Q6286">
        <v>1</v>
      </c>
      <c r="R6286">
        <v>1</v>
      </c>
      <c r="S6286">
        <v>1</v>
      </c>
      <c r="T6286">
        <v>1</v>
      </c>
      <c r="W6286">
        <v>1</v>
      </c>
      <c r="X6286">
        <v>1</v>
      </c>
      <c r="Y6286">
        <v>1</v>
      </c>
      <c r="Z6286">
        <v>1</v>
      </c>
      <c r="AA6286">
        <v>1</v>
      </c>
      <c r="AB6286">
        <v>1</v>
      </c>
    </row>
    <row r="6287" spans="1:28" x14ac:dyDescent="0.25">
      <c r="A6287" t="str">
        <f>"6283"</f>
        <v>6283</v>
      </c>
      <c r="B6287" t="str">
        <f t="shared" si="362"/>
        <v>1</v>
      </c>
      <c r="C6287" t="str">
        <f t="shared" si="364"/>
        <v>275</v>
      </c>
      <c r="D6287" t="str">
        <f>"17"</f>
        <v>17</v>
      </c>
      <c r="E6287" t="str">
        <f>"1-275-17"</f>
        <v>1-275-17</v>
      </c>
      <c r="F6287" t="s">
        <v>83</v>
      </c>
      <c r="G6287" t="s">
        <v>84</v>
      </c>
      <c r="H6287" t="s">
        <v>92</v>
      </c>
      <c r="I6287">
        <v>1</v>
      </c>
      <c r="J6287">
        <v>1</v>
      </c>
      <c r="N6287">
        <v>1</v>
      </c>
      <c r="O6287">
        <v>1</v>
      </c>
      <c r="P6287">
        <v>1</v>
      </c>
      <c r="Q6287">
        <v>1</v>
      </c>
      <c r="R6287">
        <v>1</v>
      </c>
      <c r="S6287">
        <v>1</v>
      </c>
      <c r="T6287">
        <v>1</v>
      </c>
      <c r="W6287">
        <v>1</v>
      </c>
      <c r="X6287">
        <v>1</v>
      </c>
      <c r="Y6287">
        <v>1</v>
      </c>
      <c r="Z6287">
        <v>1</v>
      </c>
      <c r="AA6287">
        <v>1</v>
      </c>
      <c r="AB6287">
        <v>1</v>
      </c>
    </row>
    <row r="6288" spans="1:28" x14ac:dyDescent="0.25">
      <c r="A6288" t="str">
        <f>"6284"</f>
        <v>6284</v>
      </c>
      <c r="B6288" t="str">
        <f t="shared" si="362"/>
        <v>1</v>
      </c>
      <c r="C6288" t="str">
        <f t="shared" si="364"/>
        <v>275</v>
      </c>
      <c r="D6288" t="str">
        <f>"10"</f>
        <v>10</v>
      </c>
      <c r="E6288" t="str">
        <f>"1-275-10"</f>
        <v>1-275-10</v>
      </c>
      <c r="F6288" t="s">
        <v>83</v>
      </c>
      <c r="G6288" t="s">
        <v>84</v>
      </c>
      <c r="H6288" t="s">
        <v>92</v>
      </c>
      <c r="I6288">
        <v>1</v>
      </c>
      <c r="J6288">
        <v>1</v>
      </c>
      <c r="N6288">
        <v>1</v>
      </c>
      <c r="O6288">
        <v>1</v>
      </c>
      <c r="P6288">
        <v>1</v>
      </c>
      <c r="Q6288">
        <v>1</v>
      </c>
      <c r="R6288">
        <v>1</v>
      </c>
      <c r="S6288">
        <v>1</v>
      </c>
      <c r="T6288">
        <v>1</v>
      </c>
      <c r="W6288">
        <v>1</v>
      </c>
      <c r="X6288">
        <v>1</v>
      </c>
      <c r="Y6288">
        <v>1</v>
      </c>
      <c r="Z6288">
        <v>1</v>
      </c>
      <c r="AA6288">
        <v>1</v>
      </c>
      <c r="AB6288">
        <v>1</v>
      </c>
    </row>
    <row r="6289" spans="1:49" x14ac:dyDescent="0.25">
      <c r="A6289" t="str">
        <f>"6285"</f>
        <v>6285</v>
      </c>
      <c r="B6289" t="str">
        <f t="shared" si="362"/>
        <v>1</v>
      </c>
      <c r="C6289" t="str">
        <f t="shared" si="364"/>
        <v>275</v>
      </c>
      <c r="D6289" t="str">
        <f>"5"</f>
        <v>5</v>
      </c>
      <c r="E6289" t="str">
        <f>"1-275-5"</f>
        <v>1-275-5</v>
      </c>
      <c r="F6289" t="s">
        <v>83</v>
      </c>
      <c r="G6289" t="s">
        <v>84</v>
      </c>
      <c r="H6289" t="s">
        <v>92</v>
      </c>
      <c r="I6289">
        <v>1</v>
      </c>
      <c r="J6289">
        <v>1</v>
      </c>
      <c r="N6289">
        <v>1</v>
      </c>
      <c r="O6289">
        <v>1</v>
      </c>
      <c r="P6289">
        <v>1</v>
      </c>
      <c r="Q6289">
        <v>1</v>
      </c>
      <c r="R6289">
        <v>1</v>
      </c>
      <c r="S6289">
        <v>1</v>
      </c>
      <c r="T6289">
        <v>1</v>
      </c>
      <c r="W6289">
        <v>1</v>
      </c>
      <c r="X6289">
        <v>1</v>
      </c>
      <c r="Y6289">
        <v>1</v>
      </c>
      <c r="Z6289">
        <v>1</v>
      </c>
      <c r="AA6289">
        <v>1</v>
      </c>
      <c r="AB6289">
        <v>1</v>
      </c>
    </row>
    <row r="6290" spans="1:49" x14ac:dyDescent="0.25">
      <c r="A6290" t="str">
        <f>"6286"</f>
        <v>6286</v>
      </c>
      <c r="B6290" t="str">
        <f t="shared" si="362"/>
        <v>1</v>
      </c>
      <c r="C6290" t="str">
        <f t="shared" si="364"/>
        <v>275</v>
      </c>
      <c r="D6290" t="str">
        <f>"14"</f>
        <v>14</v>
      </c>
      <c r="E6290" t="str">
        <f>"1-275-14"</f>
        <v>1-275-14</v>
      </c>
      <c r="F6290" t="s">
        <v>83</v>
      </c>
      <c r="G6290" t="s">
        <v>84</v>
      </c>
      <c r="H6290" t="s">
        <v>92</v>
      </c>
      <c r="I6290">
        <v>1</v>
      </c>
      <c r="J6290">
        <v>1</v>
      </c>
      <c r="N6290">
        <v>1</v>
      </c>
      <c r="O6290">
        <v>1</v>
      </c>
      <c r="P6290">
        <v>1</v>
      </c>
      <c r="Q6290">
        <v>1</v>
      </c>
      <c r="R6290">
        <v>1</v>
      </c>
      <c r="S6290">
        <v>1</v>
      </c>
      <c r="T6290">
        <v>1</v>
      </c>
      <c r="W6290">
        <v>1</v>
      </c>
      <c r="X6290">
        <v>1</v>
      </c>
      <c r="Y6290">
        <v>1</v>
      </c>
      <c r="Z6290">
        <v>1</v>
      </c>
      <c r="AA6290">
        <v>1</v>
      </c>
      <c r="AB6290">
        <v>1</v>
      </c>
    </row>
    <row r="6291" spans="1:49" x14ac:dyDescent="0.25">
      <c r="A6291" t="str">
        <f>"6287"</f>
        <v>6287</v>
      </c>
      <c r="B6291" t="str">
        <f t="shared" si="362"/>
        <v>1</v>
      </c>
      <c r="C6291" t="str">
        <f t="shared" si="364"/>
        <v>275</v>
      </c>
      <c r="D6291" t="str">
        <f>"7"</f>
        <v>7</v>
      </c>
      <c r="E6291" t="str">
        <f>"1-275-7"</f>
        <v>1-275-7</v>
      </c>
      <c r="F6291" t="s">
        <v>83</v>
      </c>
      <c r="G6291" t="s">
        <v>84</v>
      </c>
      <c r="H6291" t="s">
        <v>92</v>
      </c>
      <c r="I6291">
        <v>1</v>
      </c>
      <c r="J6291">
        <v>1</v>
      </c>
      <c r="N6291">
        <v>1</v>
      </c>
      <c r="O6291">
        <v>1</v>
      </c>
      <c r="P6291">
        <v>1</v>
      </c>
      <c r="Q6291">
        <v>1</v>
      </c>
      <c r="R6291">
        <v>1</v>
      </c>
      <c r="S6291">
        <v>1</v>
      </c>
      <c r="T6291">
        <v>1</v>
      </c>
      <c r="W6291">
        <v>1</v>
      </c>
      <c r="X6291">
        <v>1</v>
      </c>
      <c r="Y6291">
        <v>1</v>
      </c>
      <c r="Z6291">
        <v>1</v>
      </c>
      <c r="AA6291">
        <v>1</v>
      </c>
      <c r="AB6291">
        <v>1</v>
      </c>
    </row>
    <row r="6292" spans="1:49" x14ac:dyDescent="0.25">
      <c r="A6292" t="str">
        <f>"6288"</f>
        <v>6288</v>
      </c>
      <c r="B6292" t="str">
        <f t="shared" si="362"/>
        <v>1</v>
      </c>
      <c r="C6292" t="str">
        <f t="shared" si="364"/>
        <v>275</v>
      </c>
      <c r="D6292" t="str">
        <f>"15"</f>
        <v>15</v>
      </c>
      <c r="E6292" t="str">
        <f>"1-275-15"</f>
        <v>1-275-15</v>
      </c>
      <c r="F6292" t="s">
        <v>83</v>
      </c>
      <c r="G6292" t="s">
        <v>84</v>
      </c>
      <c r="H6292" t="s">
        <v>92</v>
      </c>
      <c r="I6292">
        <v>1</v>
      </c>
      <c r="J6292">
        <v>1</v>
      </c>
      <c r="N6292">
        <v>1</v>
      </c>
      <c r="O6292">
        <v>1</v>
      </c>
      <c r="P6292">
        <v>1</v>
      </c>
      <c r="Q6292">
        <v>1</v>
      </c>
      <c r="R6292">
        <v>1</v>
      </c>
      <c r="S6292">
        <v>1</v>
      </c>
      <c r="T6292">
        <v>1</v>
      </c>
      <c r="W6292">
        <v>1</v>
      </c>
      <c r="X6292">
        <v>1</v>
      </c>
      <c r="Y6292">
        <v>1</v>
      </c>
      <c r="Z6292">
        <v>1</v>
      </c>
      <c r="AA6292">
        <v>1</v>
      </c>
      <c r="AB6292">
        <v>1</v>
      </c>
    </row>
    <row r="6293" spans="1:49" x14ac:dyDescent="0.25">
      <c r="A6293" t="str">
        <f>"6289"</f>
        <v>6289</v>
      </c>
      <c r="B6293" t="str">
        <f t="shared" si="362"/>
        <v>1</v>
      </c>
      <c r="C6293" t="str">
        <f t="shared" si="364"/>
        <v>275</v>
      </c>
      <c r="D6293" t="str">
        <f>"4"</f>
        <v>4</v>
      </c>
      <c r="E6293" t="str">
        <f>"1-275-4"</f>
        <v>1-275-4</v>
      </c>
      <c r="F6293" t="s">
        <v>83</v>
      </c>
      <c r="G6293" t="s">
        <v>84</v>
      </c>
      <c r="H6293" t="s">
        <v>92</v>
      </c>
      <c r="I6293">
        <v>1</v>
      </c>
      <c r="J6293">
        <v>1</v>
      </c>
      <c r="N6293">
        <v>1</v>
      </c>
      <c r="O6293">
        <v>1</v>
      </c>
      <c r="P6293">
        <v>1</v>
      </c>
      <c r="Q6293">
        <v>1</v>
      </c>
      <c r="R6293">
        <v>1</v>
      </c>
      <c r="S6293">
        <v>1</v>
      </c>
      <c r="T6293">
        <v>1</v>
      </c>
      <c r="W6293">
        <v>1</v>
      </c>
      <c r="X6293">
        <v>1</v>
      </c>
      <c r="Y6293">
        <v>1</v>
      </c>
      <c r="Z6293">
        <v>1</v>
      </c>
      <c r="AA6293">
        <v>1</v>
      </c>
      <c r="AB6293">
        <v>1</v>
      </c>
    </row>
    <row r="6294" spans="1:49" x14ac:dyDescent="0.25">
      <c r="A6294" t="str">
        <f>"6290"</f>
        <v>6290</v>
      </c>
      <c r="B6294" t="str">
        <f t="shared" si="362"/>
        <v>1</v>
      </c>
      <c r="C6294" t="str">
        <f t="shared" si="364"/>
        <v>275</v>
      </c>
      <c r="D6294" t="str">
        <f>"18"</f>
        <v>18</v>
      </c>
      <c r="E6294" t="str">
        <f>"1-275-18"</f>
        <v>1-275-18</v>
      </c>
      <c r="F6294" t="s">
        <v>83</v>
      </c>
      <c r="G6294" t="s">
        <v>84</v>
      </c>
      <c r="H6294" t="s">
        <v>92</v>
      </c>
      <c r="I6294">
        <v>1</v>
      </c>
      <c r="J6294">
        <v>1</v>
      </c>
      <c r="N6294">
        <v>1</v>
      </c>
      <c r="O6294">
        <v>1</v>
      </c>
      <c r="P6294">
        <v>1</v>
      </c>
      <c r="Q6294">
        <v>1</v>
      </c>
      <c r="R6294">
        <v>1</v>
      </c>
      <c r="S6294">
        <v>1</v>
      </c>
      <c r="T6294">
        <v>1</v>
      </c>
      <c r="W6294">
        <v>1</v>
      </c>
      <c r="X6294">
        <v>1</v>
      </c>
      <c r="Y6294">
        <v>1</v>
      </c>
      <c r="Z6294">
        <v>1</v>
      </c>
      <c r="AA6294">
        <v>1</v>
      </c>
      <c r="AB6294">
        <v>1</v>
      </c>
    </row>
    <row r="6295" spans="1:49" x14ac:dyDescent="0.25">
      <c r="A6295" t="str">
        <f>"6291"</f>
        <v>6291</v>
      </c>
      <c r="B6295" t="str">
        <f t="shared" si="362"/>
        <v>1</v>
      </c>
      <c r="C6295" t="str">
        <f t="shared" si="364"/>
        <v>275</v>
      </c>
      <c r="D6295" t="str">
        <f>"2"</f>
        <v>2</v>
      </c>
      <c r="E6295" t="str">
        <f>"1-275-2"</f>
        <v>1-275-2</v>
      </c>
      <c r="F6295" t="s">
        <v>83</v>
      </c>
      <c r="G6295" t="s">
        <v>84</v>
      </c>
      <c r="H6295" t="s">
        <v>92</v>
      </c>
      <c r="I6295">
        <v>1</v>
      </c>
      <c r="J6295">
        <v>1</v>
      </c>
      <c r="N6295">
        <v>1</v>
      </c>
      <c r="O6295">
        <v>1</v>
      </c>
      <c r="P6295">
        <v>1</v>
      </c>
      <c r="Q6295">
        <v>1</v>
      </c>
      <c r="R6295">
        <v>1</v>
      </c>
      <c r="S6295">
        <v>1</v>
      </c>
      <c r="T6295">
        <v>1</v>
      </c>
      <c r="W6295">
        <v>0</v>
      </c>
      <c r="X6295">
        <v>1</v>
      </c>
      <c r="Y6295">
        <v>1</v>
      </c>
      <c r="Z6295">
        <v>1</v>
      </c>
      <c r="AA6295">
        <v>1</v>
      </c>
      <c r="AB6295">
        <v>1</v>
      </c>
    </row>
    <row r="6296" spans="1:49" x14ac:dyDescent="0.25">
      <c r="A6296" t="str">
        <f>"6292"</f>
        <v>6292</v>
      </c>
      <c r="B6296" t="str">
        <f t="shared" si="362"/>
        <v>1</v>
      </c>
      <c r="C6296" t="str">
        <f t="shared" si="364"/>
        <v>275</v>
      </c>
      <c r="D6296" t="str">
        <f>"19"</f>
        <v>19</v>
      </c>
      <c r="E6296" t="str">
        <f>"1-275-19"</f>
        <v>1-275-19</v>
      </c>
      <c r="F6296" t="s">
        <v>83</v>
      </c>
      <c r="G6296" t="s">
        <v>84</v>
      </c>
      <c r="H6296" t="s">
        <v>92</v>
      </c>
      <c r="I6296">
        <v>1</v>
      </c>
      <c r="J6296">
        <v>1</v>
      </c>
      <c r="N6296">
        <v>1</v>
      </c>
      <c r="O6296">
        <v>1</v>
      </c>
      <c r="P6296">
        <v>1</v>
      </c>
      <c r="Q6296">
        <v>1</v>
      </c>
      <c r="R6296">
        <v>1</v>
      </c>
      <c r="S6296">
        <v>1</v>
      </c>
      <c r="T6296">
        <v>1</v>
      </c>
      <c r="W6296">
        <v>1</v>
      </c>
      <c r="X6296">
        <v>1</v>
      </c>
      <c r="Y6296">
        <v>1</v>
      </c>
      <c r="Z6296">
        <v>1</v>
      </c>
      <c r="AA6296">
        <v>1</v>
      </c>
      <c r="AB6296">
        <v>1</v>
      </c>
    </row>
    <row r="6297" spans="1:49" x14ac:dyDescent="0.25">
      <c r="A6297" t="str">
        <f>"6293"</f>
        <v>6293</v>
      </c>
      <c r="B6297" t="str">
        <f t="shared" si="362"/>
        <v>1</v>
      </c>
      <c r="C6297" t="str">
        <f t="shared" si="364"/>
        <v>275</v>
      </c>
      <c r="D6297" t="str">
        <f>"6"</f>
        <v>6</v>
      </c>
      <c r="E6297" t="str">
        <f>"1-275-6"</f>
        <v>1-275-6</v>
      </c>
      <c r="F6297" t="s">
        <v>83</v>
      </c>
      <c r="G6297" t="s">
        <v>84</v>
      </c>
      <c r="H6297" t="s">
        <v>92</v>
      </c>
      <c r="I6297">
        <v>1</v>
      </c>
      <c r="J6297">
        <v>1</v>
      </c>
      <c r="N6297">
        <v>1</v>
      </c>
      <c r="O6297">
        <v>1</v>
      </c>
      <c r="P6297">
        <v>1</v>
      </c>
      <c r="Q6297">
        <v>1</v>
      </c>
      <c r="R6297">
        <v>1</v>
      </c>
      <c r="S6297">
        <v>1</v>
      </c>
      <c r="T6297">
        <v>1</v>
      </c>
      <c r="W6297">
        <v>1</v>
      </c>
      <c r="X6297">
        <v>1</v>
      </c>
      <c r="Y6297">
        <v>1</v>
      </c>
      <c r="Z6297">
        <v>1</v>
      </c>
      <c r="AA6297">
        <v>1</v>
      </c>
      <c r="AB6297">
        <v>1</v>
      </c>
    </row>
    <row r="6298" spans="1:49" x14ac:dyDescent="0.25">
      <c r="A6298" t="str">
        <f>"6294"</f>
        <v>6294</v>
      </c>
      <c r="B6298" t="str">
        <f t="shared" si="362"/>
        <v>1</v>
      </c>
      <c r="C6298" t="str">
        <f t="shared" ref="C6298:C6321" si="365">"276"</f>
        <v>276</v>
      </c>
      <c r="D6298" t="str">
        <f>"20"</f>
        <v>20</v>
      </c>
      <c r="E6298" t="str">
        <f>"1-276-20"</f>
        <v>1-276-20</v>
      </c>
      <c r="F6298" t="s">
        <v>83</v>
      </c>
      <c r="G6298" t="s">
        <v>84</v>
      </c>
      <c r="H6298" t="s">
        <v>85</v>
      </c>
      <c r="AC6298">
        <v>1</v>
      </c>
      <c r="AD6298">
        <v>0</v>
      </c>
      <c r="AE6298">
        <v>0</v>
      </c>
      <c r="AF6298">
        <v>0</v>
      </c>
      <c r="AG6298">
        <v>1</v>
      </c>
      <c r="AJ6298">
        <v>1</v>
      </c>
      <c r="AK6298">
        <v>0</v>
      </c>
      <c r="AL6298">
        <v>1</v>
      </c>
      <c r="AM6298">
        <v>0</v>
      </c>
      <c r="AN6298">
        <v>0</v>
      </c>
      <c r="AO6298">
        <v>1</v>
      </c>
      <c r="AP6298">
        <v>1</v>
      </c>
      <c r="AQ6298">
        <v>1</v>
      </c>
      <c r="AR6298">
        <v>1</v>
      </c>
      <c r="AS6298">
        <v>1</v>
      </c>
      <c r="AT6298">
        <v>0</v>
      </c>
      <c r="AV6298">
        <v>1</v>
      </c>
      <c r="AW6298">
        <v>1</v>
      </c>
    </row>
    <row r="6299" spans="1:49" x14ac:dyDescent="0.25">
      <c r="A6299" t="str">
        <f>"6295"</f>
        <v>6295</v>
      </c>
      <c r="B6299" t="str">
        <f t="shared" si="362"/>
        <v>1</v>
      </c>
      <c r="C6299" t="str">
        <f t="shared" si="365"/>
        <v>276</v>
      </c>
      <c r="D6299" t="str">
        <f>"13"</f>
        <v>13</v>
      </c>
      <c r="E6299" t="str">
        <f>"1-276-13"</f>
        <v>1-276-13</v>
      </c>
      <c r="F6299" t="s">
        <v>83</v>
      </c>
      <c r="G6299" t="s">
        <v>84</v>
      </c>
      <c r="H6299" t="s">
        <v>85</v>
      </c>
      <c r="AC6299">
        <v>0</v>
      </c>
      <c r="AD6299">
        <v>1</v>
      </c>
      <c r="AE6299">
        <v>0</v>
      </c>
      <c r="AF6299">
        <v>0</v>
      </c>
      <c r="AG6299">
        <v>1</v>
      </c>
      <c r="AJ6299">
        <v>0</v>
      </c>
      <c r="AK6299">
        <v>1</v>
      </c>
      <c r="AL6299">
        <v>0</v>
      </c>
      <c r="AM6299">
        <v>0</v>
      </c>
      <c r="AN6299">
        <v>1</v>
      </c>
      <c r="AO6299">
        <v>1</v>
      </c>
      <c r="AP6299">
        <v>1</v>
      </c>
      <c r="AQ6299">
        <v>1</v>
      </c>
      <c r="AR6299">
        <v>1</v>
      </c>
      <c r="AS6299">
        <v>0</v>
      </c>
      <c r="AT6299">
        <v>1</v>
      </c>
      <c r="AV6299">
        <v>1</v>
      </c>
      <c r="AW6299">
        <v>1</v>
      </c>
    </row>
    <row r="6300" spans="1:49" x14ac:dyDescent="0.25">
      <c r="A6300" t="str">
        <f>"6296"</f>
        <v>6296</v>
      </c>
      <c r="B6300" t="str">
        <f t="shared" si="362"/>
        <v>1</v>
      </c>
      <c r="C6300" t="str">
        <f t="shared" si="365"/>
        <v>276</v>
      </c>
      <c r="D6300" t="str">
        <f>"8"</f>
        <v>8</v>
      </c>
      <c r="E6300" t="str">
        <f>"1-276-8"</f>
        <v>1-276-8</v>
      </c>
      <c r="F6300" t="s">
        <v>83</v>
      </c>
      <c r="G6300" t="s">
        <v>84</v>
      </c>
      <c r="H6300" t="s">
        <v>85</v>
      </c>
      <c r="AC6300">
        <v>1</v>
      </c>
      <c r="AD6300">
        <v>0</v>
      </c>
      <c r="AE6300">
        <v>0</v>
      </c>
      <c r="AF6300">
        <v>0</v>
      </c>
      <c r="AG6300">
        <v>1</v>
      </c>
      <c r="AJ6300">
        <v>0</v>
      </c>
      <c r="AK6300">
        <v>1</v>
      </c>
      <c r="AL6300">
        <v>0</v>
      </c>
      <c r="AM6300">
        <v>0</v>
      </c>
      <c r="AN6300">
        <v>1</v>
      </c>
      <c r="AO6300">
        <v>1</v>
      </c>
      <c r="AP6300">
        <v>1</v>
      </c>
      <c r="AQ6300">
        <v>1</v>
      </c>
      <c r="AR6300">
        <v>1</v>
      </c>
      <c r="AS6300">
        <v>0</v>
      </c>
      <c r="AT6300">
        <v>1</v>
      </c>
      <c r="AV6300">
        <v>1</v>
      </c>
      <c r="AW6300">
        <v>1</v>
      </c>
    </row>
    <row r="6301" spans="1:49" x14ac:dyDescent="0.25">
      <c r="A6301" t="str">
        <f>"6297"</f>
        <v>6297</v>
      </c>
      <c r="B6301" t="str">
        <f t="shared" si="362"/>
        <v>1</v>
      </c>
      <c r="C6301" t="str">
        <f t="shared" si="365"/>
        <v>276</v>
      </c>
      <c r="D6301" t="str">
        <f>"2"</f>
        <v>2</v>
      </c>
      <c r="E6301" t="str">
        <f>"1-276-2"</f>
        <v>1-276-2</v>
      </c>
      <c r="F6301" t="s">
        <v>83</v>
      </c>
      <c r="G6301" t="s">
        <v>84</v>
      </c>
      <c r="H6301" t="s">
        <v>85</v>
      </c>
      <c r="AC6301">
        <v>0</v>
      </c>
      <c r="AD6301">
        <v>1</v>
      </c>
      <c r="AE6301">
        <v>0</v>
      </c>
      <c r="AF6301">
        <v>0</v>
      </c>
      <c r="AG6301">
        <v>0</v>
      </c>
      <c r="AJ6301">
        <v>0</v>
      </c>
      <c r="AK6301">
        <v>1</v>
      </c>
      <c r="AL6301">
        <v>0</v>
      </c>
      <c r="AM6301">
        <v>0</v>
      </c>
      <c r="AN6301">
        <v>1</v>
      </c>
      <c r="AO6301">
        <v>0</v>
      </c>
      <c r="AP6301">
        <v>0</v>
      </c>
      <c r="AQ6301">
        <v>0</v>
      </c>
      <c r="AR6301">
        <v>0</v>
      </c>
      <c r="AS6301">
        <v>1</v>
      </c>
      <c r="AT6301">
        <v>0</v>
      </c>
      <c r="AV6301">
        <v>0</v>
      </c>
      <c r="AW6301">
        <v>0</v>
      </c>
    </row>
    <row r="6302" spans="1:49" x14ac:dyDescent="0.25">
      <c r="A6302" t="str">
        <f>"6298"</f>
        <v>6298</v>
      </c>
      <c r="B6302" t="str">
        <f t="shared" ref="B6302:B6365" si="366">"1"</f>
        <v>1</v>
      </c>
      <c r="C6302" t="str">
        <f t="shared" si="365"/>
        <v>276</v>
      </c>
      <c r="D6302" t="str">
        <f>"23"</f>
        <v>23</v>
      </c>
      <c r="E6302" t="str">
        <f>"1-276-23"</f>
        <v>1-276-23</v>
      </c>
      <c r="F6302" t="s">
        <v>83</v>
      </c>
      <c r="G6302" t="s">
        <v>84</v>
      </c>
      <c r="H6302" t="s">
        <v>85</v>
      </c>
      <c r="AC6302">
        <v>0</v>
      </c>
      <c r="AD6302">
        <v>1</v>
      </c>
      <c r="AE6302">
        <v>0</v>
      </c>
      <c r="AF6302">
        <v>0</v>
      </c>
      <c r="AG6302">
        <v>0</v>
      </c>
      <c r="AJ6302">
        <v>0</v>
      </c>
      <c r="AK6302">
        <v>1</v>
      </c>
      <c r="AL6302">
        <v>0</v>
      </c>
      <c r="AM6302">
        <v>1</v>
      </c>
      <c r="AN6302">
        <v>0</v>
      </c>
      <c r="AO6302">
        <v>0</v>
      </c>
      <c r="AP6302">
        <v>0</v>
      </c>
      <c r="AQ6302">
        <v>0</v>
      </c>
      <c r="AR6302">
        <v>1</v>
      </c>
      <c r="AS6302">
        <v>0</v>
      </c>
      <c r="AT6302">
        <v>1</v>
      </c>
      <c r="AV6302">
        <v>0</v>
      </c>
      <c r="AW6302">
        <v>1</v>
      </c>
    </row>
    <row r="6303" spans="1:49" x14ac:dyDescent="0.25">
      <c r="A6303" t="str">
        <f>"6299"</f>
        <v>6299</v>
      </c>
      <c r="B6303" t="str">
        <f t="shared" si="366"/>
        <v>1</v>
      </c>
      <c r="C6303" t="str">
        <f t="shared" si="365"/>
        <v>276</v>
      </c>
      <c r="D6303" t="str">
        <f>"22"</f>
        <v>22</v>
      </c>
      <c r="E6303" t="str">
        <f>"1-276-22"</f>
        <v>1-276-22</v>
      </c>
      <c r="F6303" t="s">
        <v>83</v>
      </c>
      <c r="G6303" t="s">
        <v>84</v>
      </c>
      <c r="H6303" t="s">
        <v>85</v>
      </c>
      <c r="AC6303">
        <v>1</v>
      </c>
      <c r="AD6303">
        <v>0</v>
      </c>
      <c r="AE6303">
        <v>0</v>
      </c>
      <c r="AF6303">
        <v>0</v>
      </c>
      <c r="AG6303">
        <v>1</v>
      </c>
      <c r="AJ6303">
        <v>1</v>
      </c>
      <c r="AK6303">
        <v>0</v>
      </c>
      <c r="AL6303">
        <v>1</v>
      </c>
      <c r="AM6303">
        <v>0</v>
      </c>
      <c r="AN6303">
        <v>0</v>
      </c>
      <c r="AO6303">
        <v>1</v>
      </c>
      <c r="AP6303">
        <v>1</v>
      </c>
      <c r="AQ6303">
        <v>1</v>
      </c>
      <c r="AR6303">
        <v>1</v>
      </c>
      <c r="AS6303">
        <v>0</v>
      </c>
      <c r="AT6303">
        <v>1</v>
      </c>
      <c r="AV6303">
        <v>1</v>
      </c>
      <c r="AW6303">
        <v>1</v>
      </c>
    </row>
    <row r="6304" spans="1:49" x14ac:dyDescent="0.25">
      <c r="A6304" t="str">
        <f>"6300"</f>
        <v>6300</v>
      </c>
      <c r="B6304" t="str">
        <f t="shared" si="366"/>
        <v>1</v>
      </c>
      <c r="C6304" t="str">
        <f t="shared" si="365"/>
        <v>276</v>
      </c>
      <c r="D6304" t="str">
        <f>"15"</f>
        <v>15</v>
      </c>
      <c r="E6304" t="str">
        <f>"1-276-15"</f>
        <v>1-276-15</v>
      </c>
      <c r="F6304" t="s">
        <v>83</v>
      </c>
      <c r="G6304" t="s">
        <v>84</v>
      </c>
      <c r="H6304" t="s">
        <v>85</v>
      </c>
      <c r="AC6304">
        <v>0</v>
      </c>
      <c r="AD6304">
        <v>1</v>
      </c>
      <c r="AE6304">
        <v>0</v>
      </c>
      <c r="AF6304">
        <v>0</v>
      </c>
      <c r="AG6304">
        <v>1</v>
      </c>
      <c r="AJ6304">
        <v>0</v>
      </c>
      <c r="AK6304">
        <v>1</v>
      </c>
      <c r="AL6304">
        <v>0</v>
      </c>
      <c r="AM6304">
        <v>1</v>
      </c>
      <c r="AN6304">
        <v>0</v>
      </c>
      <c r="AO6304">
        <v>1</v>
      </c>
      <c r="AP6304">
        <v>1</v>
      </c>
      <c r="AQ6304">
        <v>1</v>
      </c>
      <c r="AR6304">
        <v>1</v>
      </c>
      <c r="AS6304">
        <v>0</v>
      </c>
      <c r="AT6304">
        <v>1</v>
      </c>
      <c r="AV6304">
        <v>1</v>
      </c>
      <c r="AW6304">
        <v>1</v>
      </c>
    </row>
    <row r="6305" spans="1:49" x14ac:dyDescent="0.25">
      <c r="A6305" t="str">
        <f>"6301"</f>
        <v>6301</v>
      </c>
      <c r="B6305" t="str">
        <f t="shared" si="366"/>
        <v>1</v>
      </c>
      <c r="C6305" t="str">
        <f t="shared" si="365"/>
        <v>276</v>
      </c>
      <c r="D6305" t="str">
        <f>"9"</f>
        <v>9</v>
      </c>
      <c r="E6305" t="str">
        <f>"1-276-9"</f>
        <v>1-276-9</v>
      </c>
      <c r="F6305" t="s">
        <v>83</v>
      </c>
      <c r="G6305" t="s">
        <v>84</v>
      </c>
      <c r="H6305" t="s">
        <v>85</v>
      </c>
      <c r="AC6305">
        <v>1</v>
      </c>
      <c r="AD6305">
        <v>0</v>
      </c>
      <c r="AE6305">
        <v>0</v>
      </c>
      <c r="AF6305">
        <v>0</v>
      </c>
      <c r="AG6305">
        <v>1</v>
      </c>
      <c r="AJ6305">
        <v>1</v>
      </c>
      <c r="AK6305">
        <v>0</v>
      </c>
      <c r="AL6305">
        <v>0</v>
      </c>
      <c r="AM6305">
        <v>0</v>
      </c>
      <c r="AN6305">
        <v>1</v>
      </c>
      <c r="AO6305">
        <v>1</v>
      </c>
      <c r="AP6305">
        <v>1</v>
      </c>
      <c r="AQ6305">
        <v>1</v>
      </c>
      <c r="AR6305">
        <v>1</v>
      </c>
      <c r="AS6305">
        <v>0</v>
      </c>
      <c r="AT6305">
        <v>1</v>
      </c>
      <c r="AV6305">
        <v>1</v>
      </c>
      <c r="AW6305">
        <v>1</v>
      </c>
    </row>
    <row r="6306" spans="1:49" x14ac:dyDescent="0.25">
      <c r="A6306" t="str">
        <f>"6302"</f>
        <v>6302</v>
      </c>
      <c r="B6306" t="str">
        <f t="shared" si="366"/>
        <v>1</v>
      </c>
      <c r="C6306" t="str">
        <f t="shared" si="365"/>
        <v>276</v>
      </c>
      <c r="D6306" t="str">
        <f>"1"</f>
        <v>1</v>
      </c>
      <c r="E6306" t="str">
        <f>"1-276-1"</f>
        <v>1-276-1</v>
      </c>
      <c r="F6306" t="s">
        <v>83</v>
      </c>
      <c r="G6306" t="s">
        <v>84</v>
      </c>
      <c r="H6306" t="s">
        <v>85</v>
      </c>
      <c r="AC6306">
        <v>0</v>
      </c>
      <c r="AD6306">
        <v>1</v>
      </c>
      <c r="AE6306">
        <v>0</v>
      </c>
      <c r="AF6306">
        <v>0</v>
      </c>
      <c r="AG6306">
        <v>0</v>
      </c>
      <c r="AJ6306">
        <v>0</v>
      </c>
      <c r="AK6306">
        <v>1</v>
      </c>
      <c r="AL6306">
        <v>1</v>
      </c>
      <c r="AM6306">
        <v>0</v>
      </c>
      <c r="AN6306">
        <v>0</v>
      </c>
      <c r="AO6306">
        <v>1</v>
      </c>
      <c r="AP6306">
        <v>1</v>
      </c>
      <c r="AQ6306">
        <v>0</v>
      </c>
      <c r="AR6306">
        <v>1</v>
      </c>
      <c r="AS6306">
        <v>0</v>
      </c>
      <c r="AT6306">
        <v>0</v>
      </c>
      <c r="AV6306">
        <v>1</v>
      </c>
      <c r="AW6306">
        <v>1</v>
      </c>
    </row>
    <row r="6307" spans="1:49" x14ac:dyDescent="0.25">
      <c r="A6307" t="str">
        <f>"6303"</f>
        <v>6303</v>
      </c>
      <c r="B6307" t="str">
        <f t="shared" si="366"/>
        <v>1</v>
      </c>
      <c r="C6307" t="str">
        <f t="shared" si="365"/>
        <v>276</v>
      </c>
      <c r="D6307" t="str">
        <f>"24"</f>
        <v>24</v>
      </c>
      <c r="E6307" t="str">
        <f>"1-276-24"</f>
        <v>1-276-24</v>
      </c>
      <c r="F6307" t="s">
        <v>83</v>
      </c>
      <c r="G6307" t="s">
        <v>84</v>
      </c>
      <c r="H6307" t="s">
        <v>85</v>
      </c>
      <c r="AC6307">
        <v>1</v>
      </c>
      <c r="AD6307">
        <v>0</v>
      </c>
      <c r="AE6307">
        <v>0</v>
      </c>
      <c r="AF6307">
        <v>0</v>
      </c>
      <c r="AG6307">
        <v>1</v>
      </c>
      <c r="AJ6307">
        <v>0</v>
      </c>
      <c r="AK6307">
        <v>1</v>
      </c>
      <c r="AL6307">
        <v>0</v>
      </c>
      <c r="AM6307">
        <v>1</v>
      </c>
      <c r="AN6307">
        <v>0</v>
      </c>
      <c r="AO6307">
        <v>1</v>
      </c>
      <c r="AP6307">
        <v>1</v>
      </c>
      <c r="AQ6307">
        <v>1</v>
      </c>
      <c r="AR6307">
        <v>1</v>
      </c>
      <c r="AS6307">
        <v>0</v>
      </c>
      <c r="AT6307">
        <v>1</v>
      </c>
      <c r="AV6307">
        <v>1</v>
      </c>
      <c r="AW6307">
        <v>1</v>
      </c>
    </row>
    <row r="6308" spans="1:49" x14ac:dyDescent="0.25">
      <c r="A6308" t="str">
        <f>"6304"</f>
        <v>6304</v>
      </c>
      <c r="B6308" t="str">
        <f t="shared" si="366"/>
        <v>1</v>
      </c>
      <c r="C6308" t="str">
        <f t="shared" si="365"/>
        <v>276</v>
      </c>
      <c r="D6308" t="str">
        <f>"14"</f>
        <v>14</v>
      </c>
      <c r="E6308" t="str">
        <f>"1-276-14"</f>
        <v>1-276-14</v>
      </c>
      <c r="F6308" t="s">
        <v>83</v>
      </c>
      <c r="G6308" t="s">
        <v>84</v>
      </c>
      <c r="H6308" t="s">
        <v>85</v>
      </c>
      <c r="AC6308">
        <v>1</v>
      </c>
      <c r="AD6308">
        <v>0</v>
      </c>
      <c r="AE6308">
        <v>0</v>
      </c>
      <c r="AF6308">
        <v>0</v>
      </c>
      <c r="AG6308">
        <v>0</v>
      </c>
      <c r="AJ6308">
        <v>1</v>
      </c>
      <c r="AK6308">
        <v>0</v>
      </c>
      <c r="AL6308">
        <v>1</v>
      </c>
      <c r="AM6308">
        <v>0</v>
      </c>
      <c r="AN6308">
        <v>0</v>
      </c>
      <c r="AO6308">
        <v>1</v>
      </c>
      <c r="AP6308">
        <v>1</v>
      </c>
      <c r="AQ6308">
        <v>1</v>
      </c>
      <c r="AR6308">
        <v>1</v>
      </c>
      <c r="AS6308">
        <v>0</v>
      </c>
      <c r="AT6308">
        <v>1</v>
      </c>
      <c r="AV6308">
        <v>1</v>
      </c>
      <c r="AW6308">
        <v>1</v>
      </c>
    </row>
    <row r="6309" spans="1:49" x14ac:dyDescent="0.25">
      <c r="A6309" t="str">
        <f>"6305"</f>
        <v>6305</v>
      </c>
      <c r="B6309" t="str">
        <f t="shared" si="366"/>
        <v>1</v>
      </c>
      <c r="C6309" t="str">
        <f t="shared" si="365"/>
        <v>276</v>
      </c>
      <c r="D6309" t="str">
        <f>"10"</f>
        <v>10</v>
      </c>
      <c r="E6309" t="str">
        <f>"1-276-10"</f>
        <v>1-276-10</v>
      </c>
      <c r="F6309" t="s">
        <v>83</v>
      </c>
      <c r="G6309" t="s">
        <v>84</v>
      </c>
      <c r="H6309" t="s">
        <v>85</v>
      </c>
      <c r="AC6309">
        <v>1</v>
      </c>
      <c r="AD6309">
        <v>0</v>
      </c>
      <c r="AE6309">
        <v>0</v>
      </c>
      <c r="AF6309">
        <v>0</v>
      </c>
      <c r="AG6309">
        <v>1</v>
      </c>
      <c r="AJ6309">
        <v>1</v>
      </c>
      <c r="AK6309">
        <v>0</v>
      </c>
      <c r="AL6309">
        <v>0</v>
      </c>
      <c r="AM6309">
        <v>0</v>
      </c>
      <c r="AN6309">
        <v>1</v>
      </c>
      <c r="AO6309">
        <v>1</v>
      </c>
      <c r="AP6309">
        <v>1</v>
      </c>
      <c r="AQ6309">
        <v>1</v>
      </c>
      <c r="AR6309">
        <v>1</v>
      </c>
      <c r="AS6309">
        <v>1</v>
      </c>
      <c r="AT6309">
        <v>0</v>
      </c>
      <c r="AV6309">
        <v>1</v>
      </c>
      <c r="AW6309">
        <v>1</v>
      </c>
    </row>
    <row r="6310" spans="1:49" x14ac:dyDescent="0.25">
      <c r="A6310" t="str">
        <f>"6306"</f>
        <v>6306</v>
      </c>
      <c r="B6310" t="str">
        <f t="shared" si="366"/>
        <v>1</v>
      </c>
      <c r="C6310" t="str">
        <f t="shared" si="365"/>
        <v>276</v>
      </c>
      <c r="D6310" t="str">
        <f>"5"</f>
        <v>5</v>
      </c>
      <c r="E6310" t="str">
        <f>"1-276-5"</f>
        <v>1-276-5</v>
      </c>
      <c r="F6310" t="s">
        <v>83</v>
      </c>
      <c r="G6310" t="s">
        <v>84</v>
      </c>
      <c r="H6310" t="s">
        <v>85</v>
      </c>
      <c r="AC6310">
        <v>0</v>
      </c>
      <c r="AD6310">
        <v>1</v>
      </c>
      <c r="AE6310">
        <v>0</v>
      </c>
      <c r="AF6310">
        <v>0</v>
      </c>
      <c r="AG6310">
        <v>1</v>
      </c>
      <c r="AJ6310">
        <v>1</v>
      </c>
      <c r="AK6310">
        <v>0</v>
      </c>
      <c r="AL6310">
        <v>1</v>
      </c>
      <c r="AM6310">
        <v>0</v>
      </c>
      <c r="AN6310">
        <v>0</v>
      </c>
      <c r="AO6310">
        <v>1</v>
      </c>
      <c r="AP6310">
        <v>1</v>
      </c>
      <c r="AQ6310">
        <v>1</v>
      </c>
      <c r="AR6310">
        <v>1</v>
      </c>
      <c r="AS6310">
        <v>0</v>
      </c>
      <c r="AT6310">
        <v>1</v>
      </c>
      <c r="AV6310">
        <v>1</v>
      </c>
      <c r="AW6310">
        <v>1</v>
      </c>
    </row>
    <row r="6311" spans="1:49" x14ac:dyDescent="0.25">
      <c r="A6311" t="str">
        <f>"6307"</f>
        <v>6307</v>
      </c>
      <c r="B6311" t="str">
        <f t="shared" si="366"/>
        <v>1</v>
      </c>
      <c r="C6311" t="str">
        <f t="shared" si="365"/>
        <v>276</v>
      </c>
      <c r="D6311" t="str">
        <f>"16"</f>
        <v>16</v>
      </c>
      <c r="E6311" t="str">
        <f>"1-276-16"</f>
        <v>1-276-16</v>
      </c>
      <c r="F6311" t="s">
        <v>83</v>
      </c>
      <c r="G6311" t="s">
        <v>84</v>
      </c>
      <c r="H6311" t="s">
        <v>85</v>
      </c>
      <c r="AC6311">
        <v>0</v>
      </c>
      <c r="AD6311">
        <v>1</v>
      </c>
      <c r="AE6311">
        <v>0</v>
      </c>
      <c r="AF6311">
        <v>0</v>
      </c>
      <c r="AG6311">
        <v>0</v>
      </c>
      <c r="AJ6311">
        <v>0</v>
      </c>
      <c r="AK6311">
        <v>1</v>
      </c>
      <c r="AL6311">
        <v>0</v>
      </c>
      <c r="AM6311">
        <v>1</v>
      </c>
      <c r="AN6311">
        <v>0</v>
      </c>
      <c r="AO6311">
        <v>0</v>
      </c>
      <c r="AP6311">
        <v>0</v>
      </c>
      <c r="AQ6311">
        <v>0</v>
      </c>
      <c r="AR6311">
        <v>0</v>
      </c>
      <c r="AS6311">
        <v>0</v>
      </c>
      <c r="AT6311">
        <v>1</v>
      </c>
      <c r="AV6311">
        <v>0</v>
      </c>
      <c r="AW6311">
        <v>0</v>
      </c>
    </row>
    <row r="6312" spans="1:49" x14ac:dyDescent="0.25">
      <c r="A6312" t="str">
        <f>"6308"</f>
        <v>6308</v>
      </c>
      <c r="B6312" t="str">
        <f t="shared" si="366"/>
        <v>1</v>
      </c>
      <c r="C6312" t="str">
        <f t="shared" si="365"/>
        <v>276</v>
      </c>
      <c r="D6312" t="str">
        <f>"11"</f>
        <v>11</v>
      </c>
      <c r="E6312" t="str">
        <f>"1-276-11"</f>
        <v>1-276-11</v>
      </c>
      <c r="F6312" t="s">
        <v>83</v>
      </c>
      <c r="G6312" t="s">
        <v>84</v>
      </c>
      <c r="H6312" t="s">
        <v>85</v>
      </c>
      <c r="AC6312">
        <v>1</v>
      </c>
      <c r="AD6312">
        <v>0</v>
      </c>
      <c r="AE6312">
        <v>0</v>
      </c>
      <c r="AF6312">
        <v>0</v>
      </c>
      <c r="AG6312">
        <v>0</v>
      </c>
      <c r="AJ6312">
        <v>1</v>
      </c>
      <c r="AK6312">
        <v>0</v>
      </c>
      <c r="AL6312">
        <v>1</v>
      </c>
      <c r="AM6312">
        <v>0</v>
      </c>
      <c r="AN6312">
        <v>0</v>
      </c>
      <c r="AO6312">
        <v>1</v>
      </c>
      <c r="AP6312">
        <v>0</v>
      </c>
      <c r="AQ6312">
        <v>0</v>
      </c>
      <c r="AR6312">
        <v>1</v>
      </c>
      <c r="AS6312">
        <v>1</v>
      </c>
      <c r="AT6312">
        <v>0</v>
      </c>
      <c r="AV6312">
        <v>1</v>
      </c>
      <c r="AW6312">
        <v>1</v>
      </c>
    </row>
    <row r="6313" spans="1:49" x14ac:dyDescent="0.25">
      <c r="A6313" t="str">
        <f>"6309"</f>
        <v>6309</v>
      </c>
      <c r="B6313" t="str">
        <f t="shared" si="366"/>
        <v>1</v>
      </c>
      <c r="C6313" t="str">
        <f t="shared" si="365"/>
        <v>276</v>
      </c>
      <c r="D6313" t="str">
        <f>"3"</f>
        <v>3</v>
      </c>
      <c r="E6313" t="str">
        <f>"1-276-3"</f>
        <v>1-276-3</v>
      </c>
      <c r="F6313" t="s">
        <v>83</v>
      </c>
      <c r="G6313" t="s">
        <v>84</v>
      </c>
      <c r="H6313" t="s">
        <v>85</v>
      </c>
      <c r="AC6313">
        <v>1</v>
      </c>
      <c r="AD6313">
        <v>0</v>
      </c>
      <c r="AE6313">
        <v>0</v>
      </c>
      <c r="AF6313">
        <v>0</v>
      </c>
      <c r="AG6313">
        <v>1</v>
      </c>
      <c r="AJ6313">
        <v>1</v>
      </c>
      <c r="AK6313">
        <v>0</v>
      </c>
      <c r="AL6313">
        <v>1</v>
      </c>
      <c r="AM6313">
        <v>0</v>
      </c>
      <c r="AN6313">
        <v>0</v>
      </c>
      <c r="AO6313">
        <v>1</v>
      </c>
      <c r="AP6313">
        <v>1</v>
      </c>
      <c r="AQ6313">
        <v>1</v>
      </c>
      <c r="AR6313">
        <v>1</v>
      </c>
      <c r="AS6313">
        <v>0</v>
      </c>
      <c r="AT6313">
        <v>1</v>
      </c>
      <c r="AV6313">
        <v>1</v>
      </c>
      <c r="AW6313">
        <v>1</v>
      </c>
    </row>
    <row r="6314" spans="1:49" x14ac:dyDescent="0.25">
      <c r="A6314" t="str">
        <f>"6310"</f>
        <v>6310</v>
      </c>
      <c r="B6314" t="str">
        <f t="shared" si="366"/>
        <v>1</v>
      </c>
      <c r="C6314" t="str">
        <f t="shared" si="365"/>
        <v>276</v>
      </c>
      <c r="D6314" t="str">
        <f>"17"</f>
        <v>17</v>
      </c>
      <c r="E6314" t="str">
        <f>"1-276-17"</f>
        <v>1-276-17</v>
      </c>
      <c r="F6314" t="s">
        <v>83</v>
      </c>
      <c r="G6314" t="s">
        <v>84</v>
      </c>
      <c r="H6314" t="s">
        <v>85</v>
      </c>
      <c r="AC6314">
        <v>0</v>
      </c>
      <c r="AD6314">
        <v>1</v>
      </c>
      <c r="AE6314">
        <v>0</v>
      </c>
      <c r="AF6314">
        <v>0</v>
      </c>
      <c r="AG6314">
        <v>1</v>
      </c>
      <c r="AJ6314">
        <v>0</v>
      </c>
      <c r="AK6314">
        <v>1</v>
      </c>
      <c r="AL6314">
        <v>0</v>
      </c>
      <c r="AM6314">
        <v>0</v>
      </c>
      <c r="AN6314">
        <v>1</v>
      </c>
      <c r="AO6314">
        <v>0</v>
      </c>
      <c r="AP6314">
        <v>0</v>
      </c>
      <c r="AQ6314">
        <v>0</v>
      </c>
      <c r="AR6314">
        <v>0</v>
      </c>
      <c r="AS6314">
        <v>1</v>
      </c>
      <c r="AT6314">
        <v>0</v>
      </c>
      <c r="AV6314">
        <v>0</v>
      </c>
      <c r="AW6314">
        <v>1</v>
      </c>
    </row>
    <row r="6315" spans="1:49" x14ac:dyDescent="0.25">
      <c r="A6315" t="str">
        <f>"6311"</f>
        <v>6311</v>
      </c>
      <c r="B6315" t="str">
        <f t="shared" si="366"/>
        <v>1</v>
      </c>
      <c r="C6315" t="str">
        <f t="shared" si="365"/>
        <v>276</v>
      </c>
      <c r="D6315" t="str">
        <f>"12"</f>
        <v>12</v>
      </c>
      <c r="E6315" t="str">
        <f>"1-276-12"</f>
        <v>1-276-12</v>
      </c>
      <c r="F6315" t="s">
        <v>83</v>
      </c>
      <c r="G6315" t="s">
        <v>84</v>
      </c>
      <c r="H6315" t="s">
        <v>85</v>
      </c>
      <c r="AC6315">
        <v>1</v>
      </c>
      <c r="AD6315">
        <v>0</v>
      </c>
      <c r="AE6315">
        <v>0</v>
      </c>
      <c r="AF6315">
        <v>0</v>
      </c>
      <c r="AG6315">
        <v>1</v>
      </c>
      <c r="AJ6315">
        <v>1</v>
      </c>
      <c r="AK6315">
        <v>0</v>
      </c>
      <c r="AL6315">
        <v>1</v>
      </c>
      <c r="AM6315">
        <v>0</v>
      </c>
      <c r="AN6315">
        <v>0</v>
      </c>
      <c r="AO6315">
        <v>1</v>
      </c>
      <c r="AP6315">
        <v>1</v>
      </c>
      <c r="AQ6315">
        <v>1</v>
      </c>
      <c r="AR6315">
        <v>1</v>
      </c>
      <c r="AS6315">
        <v>1</v>
      </c>
      <c r="AT6315">
        <v>0</v>
      </c>
      <c r="AV6315">
        <v>1</v>
      </c>
      <c r="AW6315">
        <v>1</v>
      </c>
    </row>
    <row r="6316" spans="1:49" x14ac:dyDescent="0.25">
      <c r="A6316" t="str">
        <f>"6312"</f>
        <v>6312</v>
      </c>
      <c r="B6316" t="str">
        <f t="shared" si="366"/>
        <v>1</v>
      </c>
      <c r="C6316" t="str">
        <f t="shared" si="365"/>
        <v>276</v>
      </c>
      <c r="D6316" t="str">
        <f>"7"</f>
        <v>7</v>
      </c>
      <c r="E6316" t="str">
        <f>"1-276-7"</f>
        <v>1-276-7</v>
      </c>
      <c r="F6316" t="s">
        <v>83</v>
      </c>
      <c r="G6316" t="s">
        <v>84</v>
      </c>
      <c r="H6316" t="s">
        <v>85</v>
      </c>
      <c r="AC6316">
        <v>1</v>
      </c>
      <c r="AD6316">
        <v>0</v>
      </c>
      <c r="AE6316">
        <v>0</v>
      </c>
      <c r="AF6316">
        <v>0</v>
      </c>
      <c r="AG6316">
        <v>1</v>
      </c>
      <c r="AJ6316">
        <v>1</v>
      </c>
      <c r="AK6316">
        <v>0</v>
      </c>
      <c r="AL6316">
        <v>1</v>
      </c>
      <c r="AM6316">
        <v>0</v>
      </c>
      <c r="AN6316">
        <v>0</v>
      </c>
      <c r="AO6316">
        <v>1</v>
      </c>
      <c r="AP6316">
        <v>1</v>
      </c>
      <c r="AQ6316">
        <v>1</v>
      </c>
      <c r="AR6316">
        <v>1</v>
      </c>
      <c r="AS6316">
        <v>1</v>
      </c>
      <c r="AT6316">
        <v>0</v>
      </c>
      <c r="AV6316">
        <v>1</v>
      </c>
      <c r="AW6316">
        <v>1</v>
      </c>
    </row>
    <row r="6317" spans="1:49" x14ac:dyDescent="0.25">
      <c r="A6317" t="str">
        <f>"6313"</f>
        <v>6313</v>
      </c>
      <c r="B6317" t="str">
        <f t="shared" si="366"/>
        <v>1</v>
      </c>
      <c r="C6317" t="str">
        <f t="shared" si="365"/>
        <v>276</v>
      </c>
      <c r="D6317" t="str">
        <f>"18"</f>
        <v>18</v>
      </c>
      <c r="E6317" t="str">
        <f>"1-276-18"</f>
        <v>1-276-18</v>
      </c>
      <c r="F6317" t="s">
        <v>83</v>
      </c>
      <c r="G6317" t="s">
        <v>84</v>
      </c>
      <c r="H6317" t="s">
        <v>85</v>
      </c>
      <c r="AC6317">
        <v>1</v>
      </c>
      <c r="AD6317">
        <v>0</v>
      </c>
      <c r="AE6317">
        <v>0</v>
      </c>
      <c r="AF6317">
        <v>0</v>
      </c>
      <c r="AG6317">
        <v>1</v>
      </c>
      <c r="AJ6317">
        <v>0</v>
      </c>
      <c r="AK6317">
        <v>1</v>
      </c>
      <c r="AL6317">
        <v>1</v>
      </c>
      <c r="AM6317">
        <v>0</v>
      </c>
      <c r="AN6317">
        <v>0</v>
      </c>
      <c r="AO6317">
        <v>1</v>
      </c>
      <c r="AP6317">
        <v>1</v>
      </c>
      <c r="AQ6317">
        <v>1</v>
      </c>
      <c r="AR6317">
        <v>1</v>
      </c>
      <c r="AS6317">
        <v>0</v>
      </c>
      <c r="AT6317">
        <v>1</v>
      </c>
      <c r="AV6317">
        <v>1</v>
      </c>
      <c r="AW6317">
        <v>1</v>
      </c>
    </row>
    <row r="6318" spans="1:49" x14ac:dyDescent="0.25">
      <c r="A6318" t="str">
        <f>"6314"</f>
        <v>6314</v>
      </c>
      <c r="B6318" t="str">
        <f t="shared" si="366"/>
        <v>1</v>
      </c>
      <c r="C6318" t="str">
        <f t="shared" si="365"/>
        <v>276</v>
      </c>
      <c r="D6318" t="str">
        <f>"6"</f>
        <v>6</v>
      </c>
      <c r="E6318" t="str">
        <f>"1-276-6"</f>
        <v>1-276-6</v>
      </c>
      <c r="F6318" t="s">
        <v>83</v>
      </c>
      <c r="G6318" t="s">
        <v>84</v>
      </c>
      <c r="H6318" t="s">
        <v>85</v>
      </c>
      <c r="AC6318">
        <v>1</v>
      </c>
      <c r="AD6318">
        <v>0</v>
      </c>
      <c r="AE6318">
        <v>0</v>
      </c>
      <c r="AF6318">
        <v>0</v>
      </c>
      <c r="AG6318">
        <v>1</v>
      </c>
      <c r="AJ6318">
        <v>0</v>
      </c>
      <c r="AK6318">
        <v>1</v>
      </c>
      <c r="AL6318">
        <v>1</v>
      </c>
      <c r="AM6318">
        <v>0</v>
      </c>
      <c r="AN6318">
        <v>0</v>
      </c>
      <c r="AO6318">
        <v>1</v>
      </c>
      <c r="AP6318">
        <v>1</v>
      </c>
      <c r="AQ6318">
        <v>1</v>
      </c>
      <c r="AR6318">
        <v>1</v>
      </c>
      <c r="AS6318">
        <v>0</v>
      </c>
      <c r="AT6318">
        <v>1</v>
      </c>
      <c r="AV6318">
        <v>1</v>
      </c>
      <c r="AW6318">
        <v>1</v>
      </c>
    </row>
    <row r="6319" spans="1:49" x14ac:dyDescent="0.25">
      <c r="A6319" t="str">
        <f>"6315"</f>
        <v>6315</v>
      </c>
      <c r="B6319" t="str">
        <f t="shared" si="366"/>
        <v>1</v>
      </c>
      <c r="C6319" t="str">
        <f t="shared" si="365"/>
        <v>276</v>
      </c>
      <c r="D6319" t="str">
        <f>"19"</f>
        <v>19</v>
      </c>
      <c r="E6319" t="str">
        <f>"1-276-19"</f>
        <v>1-276-19</v>
      </c>
      <c r="F6319" t="s">
        <v>83</v>
      </c>
      <c r="G6319" t="s">
        <v>88</v>
      </c>
      <c r="H6319" t="s">
        <v>89</v>
      </c>
      <c r="AC6319">
        <v>0</v>
      </c>
      <c r="AD6319">
        <v>1</v>
      </c>
      <c r="AE6319">
        <v>0</v>
      </c>
      <c r="AF6319">
        <v>0</v>
      </c>
      <c r="AH6319">
        <v>1</v>
      </c>
      <c r="AI6319">
        <v>0</v>
      </c>
      <c r="AJ6319">
        <v>0</v>
      </c>
      <c r="AK6319">
        <v>1</v>
      </c>
      <c r="AL6319">
        <v>0</v>
      </c>
      <c r="AM6319">
        <v>0</v>
      </c>
      <c r="AN6319">
        <v>1</v>
      </c>
      <c r="AO6319">
        <v>1</v>
      </c>
      <c r="AP6319">
        <v>1</v>
      </c>
      <c r="AQ6319">
        <v>1</v>
      </c>
      <c r="AR6319">
        <v>1</v>
      </c>
      <c r="AS6319">
        <v>0</v>
      </c>
      <c r="AT6319">
        <v>1</v>
      </c>
      <c r="AV6319">
        <v>1</v>
      </c>
      <c r="AW6319">
        <v>1</v>
      </c>
    </row>
    <row r="6320" spans="1:49" x14ac:dyDescent="0.25">
      <c r="A6320" t="str">
        <f>"6316"</f>
        <v>6316</v>
      </c>
      <c r="B6320" t="str">
        <f t="shared" si="366"/>
        <v>1</v>
      </c>
      <c r="C6320" t="str">
        <f t="shared" si="365"/>
        <v>276</v>
      </c>
      <c r="D6320" t="str">
        <f>"4"</f>
        <v>4</v>
      </c>
      <c r="E6320" t="str">
        <f>"1-276-4"</f>
        <v>1-276-4</v>
      </c>
      <c r="F6320" t="s">
        <v>83</v>
      </c>
      <c r="G6320" t="s">
        <v>84</v>
      </c>
      <c r="H6320" t="s">
        <v>85</v>
      </c>
      <c r="AC6320">
        <v>1</v>
      </c>
      <c r="AD6320">
        <v>0</v>
      </c>
      <c r="AE6320">
        <v>0</v>
      </c>
      <c r="AF6320">
        <v>0</v>
      </c>
      <c r="AG6320">
        <v>0</v>
      </c>
      <c r="AJ6320">
        <v>0</v>
      </c>
      <c r="AK6320">
        <v>1</v>
      </c>
      <c r="AL6320">
        <v>0</v>
      </c>
      <c r="AM6320">
        <v>0</v>
      </c>
      <c r="AN6320">
        <v>1</v>
      </c>
      <c r="AO6320">
        <v>0</v>
      </c>
      <c r="AP6320">
        <v>0</v>
      </c>
      <c r="AQ6320">
        <v>0</v>
      </c>
      <c r="AR6320">
        <v>0</v>
      </c>
      <c r="AS6320">
        <v>0</v>
      </c>
      <c r="AT6320">
        <v>1</v>
      </c>
      <c r="AV6320">
        <v>0</v>
      </c>
      <c r="AW6320">
        <v>0</v>
      </c>
    </row>
    <row r="6321" spans="1:49" x14ac:dyDescent="0.25">
      <c r="A6321" t="str">
        <f>"6317"</f>
        <v>6317</v>
      </c>
      <c r="B6321" t="str">
        <f t="shared" si="366"/>
        <v>1</v>
      </c>
      <c r="C6321" t="str">
        <f t="shared" si="365"/>
        <v>276</v>
      </c>
      <c r="D6321" t="str">
        <f>"21"</f>
        <v>21</v>
      </c>
      <c r="E6321" t="str">
        <f>"1-276-21"</f>
        <v>1-276-21</v>
      </c>
      <c r="F6321" t="s">
        <v>83</v>
      </c>
      <c r="G6321" t="s">
        <v>84</v>
      </c>
      <c r="H6321" t="s">
        <v>85</v>
      </c>
      <c r="AC6321">
        <v>0</v>
      </c>
      <c r="AD6321">
        <v>1</v>
      </c>
      <c r="AE6321">
        <v>0</v>
      </c>
      <c r="AF6321">
        <v>0</v>
      </c>
      <c r="AG6321">
        <v>1</v>
      </c>
      <c r="AJ6321">
        <v>1</v>
      </c>
      <c r="AK6321">
        <v>0</v>
      </c>
      <c r="AL6321">
        <v>1</v>
      </c>
      <c r="AM6321">
        <v>0</v>
      </c>
      <c r="AN6321">
        <v>0</v>
      </c>
      <c r="AO6321">
        <v>1</v>
      </c>
      <c r="AP6321">
        <v>1</v>
      </c>
      <c r="AQ6321">
        <v>1</v>
      </c>
      <c r="AR6321">
        <v>1</v>
      </c>
      <c r="AS6321">
        <v>0</v>
      </c>
      <c r="AT6321">
        <v>1</v>
      </c>
      <c r="AV6321">
        <v>1</v>
      </c>
      <c r="AW6321">
        <v>1</v>
      </c>
    </row>
    <row r="6322" spans="1:49" x14ac:dyDescent="0.25">
      <c r="A6322" t="str">
        <f>"6318"</f>
        <v>6318</v>
      </c>
      <c r="B6322" t="str">
        <f t="shared" si="366"/>
        <v>1</v>
      </c>
      <c r="C6322" t="str">
        <f t="shared" ref="C6322:C6346" si="367">"277"</f>
        <v>277</v>
      </c>
      <c r="D6322" t="str">
        <f>"21"</f>
        <v>21</v>
      </c>
      <c r="E6322" t="str">
        <f>"1-277-21"</f>
        <v>1-277-21</v>
      </c>
      <c r="F6322" t="s">
        <v>83</v>
      </c>
      <c r="G6322" t="s">
        <v>84</v>
      </c>
      <c r="H6322" t="s">
        <v>85</v>
      </c>
      <c r="AC6322">
        <v>1</v>
      </c>
      <c r="AD6322">
        <v>0</v>
      </c>
      <c r="AE6322">
        <v>0</v>
      </c>
      <c r="AF6322">
        <v>0</v>
      </c>
      <c r="AG6322">
        <v>1</v>
      </c>
      <c r="AJ6322">
        <v>0</v>
      </c>
      <c r="AK6322">
        <v>1</v>
      </c>
      <c r="AL6322">
        <v>0</v>
      </c>
      <c r="AM6322">
        <v>0</v>
      </c>
      <c r="AN6322">
        <v>1</v>
      </c>
      <c r="AO6322">
        <v>1</v>
      </c>
      <c r="AP6322">
        <v>1</v>
      </c>
      <c r="AQ6322">
        <v>1</v>
      </c>
      <c r="AR6322">
        <v>1</v>
      </c>
      <c r="AS6322">
        <v>1</v>
      </c>
      <c r="AT6322">
        <v>0</v>
      </c>
      <c r="AV6322">
        <v>1</v>
      </c>
      <c r="AW6322">
        <v>1</v>
      </c>
    </row>
    <row r="6323" spans="1:49" x14ac:dyDescent="0.25">
      <c r="A6323" t="str">
        <f>"6319"</f>
        <v>6319</v>
      </c>
      <c r="B6323" t="str">
        <f t="shared" si="366"/>
        <v>1</v>
      </c>
      <c r="C6323" t="str">
        <f t="shared" si="367"/>
        <v>277</v>
      </c>
      <c r="D6323" t="str">
        <f>"20"</f>
        <v>20</v>
      </c>
      <c r="E6323" t="str">
        <f>"1-277-20"</f>
        <v>1-277-20</v>
      </c>
      <c r="F6323" t="s">
        <v>83</v>
      </c>
      <c r="G6323" t="s">
        <v>84</v>
      </c>
      <c r="H6323" t="s">
        <v>85</v>
      </c>
      <c r="AC6323">
        <v>0</v>
      </c>
      <c r="AD6323">
        <v>1</v>
      </c>
      <c r="AE6323">
        <v>0</v>
      </c>
      <c r="AF6323">
        <v>0</v>
      </c>
      <c r="AG6323">
        <v>1</v>
      </c>
      <c r="AJ6323">
        <v>0</v>
      </c>
      <c r="AK6323">
        <v>1</v>
      </c>
      <c r="AL6323">
        <v>0</v>
      </c>
      <c r="AM6323">
        <v>1</v>
      </c>
      <c r="AN6323">
        <v>0</v>
      </c>
      <c r="AO6323">
        <v>1</v>
      </c>
      <c r="AP6323">
        <v>1</v>
      </c>
      <c r="AQ6323">
        <v>1</v>
      </c>
      <c r="AR6323">
        <v>1</v>
      </c>
      <c r="AS6323">
        <v>0</v>
      </c>
      <c r="AT6323">
        <v>1</v>
      </c>
      <c r="AV6323">
        <v>1</v>
      </c>
      <c r="AW6323">
        <v>1</v>
      </c>
    </row>
    <row r="6324" spans="1:49" x14ac:dyDescent="0.25">
      <c r="A6324" t="str">
        <f>"6320"</f>
        <v>6320</v>
      </c>
      <c r="B6324" t="str">
        <f t="shared" si="366"/>
        <v>1</v>
      </c>
      <c r="C6324" t="str">
        <f t="shared" si="367"/>
        <v>277</v>
      </c>
      <c r="D6324" t="str">
        <f>"13"</f>
        <v>13</v>
      </c>
      <c r="E6324" t="str">
        <f>"1-277-13"</f>
        <v>1-277-13</v>
      </c>
      <c r="F6324" t="s">
        <v>83</v>
      </c>
      <c r="G6324" t="s">
        <v>84</v>
      </c>
      <c r="H6324" t="s">
        <v>85</v>
      </c>
      <c r="AC6324">
        <v>0</v>
      </c>
      <c r="AD6324">
        <v>1</v>
      </c>
      <c r="AE6324">
        <v>0</v>
      </c>
      <c r="AF6324">
        <v>0</v>
      </c>
      <c r="AG6324">
        <v>1</v>
      </c>
      <c r="AJ6324">
        <v>1</v>
      </c>
      <c r="AK6324">
        <v>0</v>
      </c>
      <c r="AL6324">
        <v>0</v>
      </c>
      <c r="AM6324">
        <v>1</v>
      </c>
      <c r="AN6324">
        <v>0</v>
      </c>
      <c r="AO6324">
        <v>1</v>
      </c>
      <c r="AP6324">
        <v>1</v>
      </c>
      <c r="AQ6324">
        <v>1</v>
      </c>
      <c r="AR6324">
        <v>1</v>
      </c>
      <c r="AS6324">
        <v>0</v>
      </c>
      <c r="AT6324">
        <v>1</v>
      </c>
      <c r="AV6324">
        <v>1</v>
      </c>
      <c r="AW6324">
        <v>1</v>
      </c>
    </row>
    <row r="6325" spans="1:49" x14ac:dyDescent="0.25">
      <c r="A6325" t="str">
        <f>"6321"</f>
        <v>6321</v>
      </c>
      <c r="B6325" t="str">
        <f t="shared" si="366"/>
        <v>1</v>
      </c>
      <c r="C6325" t="str">
        <f t="shared" si="367"/>
        <v>277</v>
      </c>
      <c r="D6325" t="str">
        <f>"12"</f>
        <v>12</v>
      </c>
      <c r="E6325" t="str">
        <f>"1-277-12"</f>
        <v>1-277-12</v>
      </c>
      <c r="F6325" t="s">
        <v>83</v>
      </c>
      <c r="G6325" t="s">
        <v>84</v>
      </c>
      <c r="H6325" t="s">
        <v>85</v>
      </c>
      <c r="AC6325">
        <v>0</v>
      </c>
      <c r="AD6325">
        <v>1</v>
      </c>
      <c r="AE6325">
        <v>0</v>
      </c>
      <c r="AF6325">
        <v>0</v>
      </c>
      <c r="AG6325">
        <v>1</v>
      </c>
      <c r="AJ6325">
        <v>0</v>
      </c>
      <c r="AK6325">
        <v>1</v>
      </c>
      <c r="AL6325">
        <v>0</v>
      </c>
      <c r="AM6325">
        <v>1</v>
      </c>
      <c r="AN6325">
        <v>0</v>
      </c>
      <c r="AO6325">
        <v>1</v>
      </c>
      <c r="AP6325">
        <v>1</v>
      </c>
      <c r="AQ6325">
        <v>1</v>
      </c>
      <c r="AR6325">
        <v>1</v>
      </c>
      <c r="AS6325">
        <v>0</v>
      </c>
      <c r="AT6325">
        <v>1</v>
      </c>
      <c r="AV6325">
        <v>1</v>
      </c>
      <c r="AW6325">
        <v>1</v>
      </c>
    </row>
    <row r="6326" spans="1:49" x14ac:dyDescent="0.25">
      <c r="A6326" t="str">
        <f>"6322"</f>
        <v>6322</v>
      </c>
      <c r="B6326" t="str">
        <f t="shared" si="366"/>
        <v>1</v>
      </c>
      <c r="C6326" t="str">
        <f t="shared" si="367"/>
        <v>277</v>
      </c>
      <c r="D6326" t="str">
        <f>"8"</f>
        <v>8</v>
      </c>
      <c r="E6326" t="str">
        <f>"1-277-8"</f>
        <v>1-277-8</v>
      </c>
      <c r="F6326" t="s">
        <v>83</v>
      </c>
      <c r="G6326" t="s">
        <v>84</v>
      </c>
      <c r="H6326" t="s">
        <v>85</v>
      </c>
      <c r="AC6326">
        <v>1</v>
      </c>
      <c r="AD6326">
        <v>0</v>
      </c>
      <c r="AE6326">
        <v>0</v>
      </c>
      <c r="AF6326">
        <v>0</v>
      </c>
      <c r="AG6326">
        <v>1</v>
      </c>
      <c r="AJ6326">
        <v>1</v>
      </c>
      <c r="AK6326">
        <v>0</v>
      </c>
      <c r="AL6326">
        <v>1</v>
      </c>
      <c r="AM6326">
        <v>0</v>
      </c>
      <c r="AN6326">
        <v>0</v>
      </c>
      <c r="AO6326">
        <v>1</v>
      </c>
      <c r="AP6326">
        <v>1</v>
      </c>
      <c r="AQ6326">
        <v>1</v>
      </c>
      <c r="AR6326">
        <v>1</v>
      </c>
      <c r="AS6326">
        <v>1</v>
      </c>
      <c r="AT6326">
        <v>0</v>
      </c>
      <c r="AV6326">
        <v>1</v>
      </c>
      <c r="AW6326">
        <v>0</v>
      </c>
    </row>
    <row r="6327" spans="1:49" x14ac:dyDescent="0.25">
      <c r="A6327" t="str">
        <f>"6323"</f>
        <v>6323</v>
      </c>
      <c r="B6327" t="str">
        <f t="shared" si="366"/>
        <v>1</v>
      </c>
      <c r="C6327" t="str">
        <f t="shared" si="367"/>
        <v>277</v>
      </c>
      <c r="D6327" t="str">
        <f>"1"</f>
        <v>1</v>
      </c>
      <c r="E6327" t="str">
        <f>"1-277-1"</f>
        <v>1-277-1</v>
      </c>
      <c r="F6327" t="s">
        <v>83</v>
      </c>
      <c r="G6327" t="s">
        <v>84</v>
      </c>
      <c r="H6327" t="s">
        <v>85</v>
      </c>
      <c r="AC6327">
        <v>1</v>
      </c>
      <c r="AD6327">
        <v>0</v>
      </c>
      <c r="AE6327">
        <v>0</v>
      </c>
      <c r="AF6327">
        <v>0</v>
      </c>
      <c r="AG6327">
        <v>1</v>
      </c>
      <c r="AJ6327">
        <v>1</v>
      </c>
      <c r="AK6327">
        <v>0</v>
      </c>
      <c r="AL6327">
        <v>0</v>
      </c>
      <c r="AM6327">
        <v>1</v>
      </c>
      <c r="AN6327">
        <v>0</v>
      </c>
      <c r="AO6327">
        <v>1</v>
      </c>
      <c r="AP6327">
        <v>1</v>
      </c>
      <c r="AQ6327">
        <v>1</v>
      </c>
      <c r="AR6327">
        <v>1</v>
      </c>
      <c r="AS6327">
        <v>0</v>
      </c>
      <c r="AT6327">
        <v>1</v>
      </c>
      <c r="AV6327">
        <v>0</v>
      </c>
      <c r="AW6327">
        <v>1</v>
      </c>
    </row>
    <row r="6328" spans="1:49" x14ac:dyDescent="0.25">
      <c r="A6328" t="str">
        <f>"6324"</f>
        <v>6324</v>
      </c>
      <c r="B6328" t="str">
        <f t="shared" si="366"/>
        <v>1</v>
      </c>
      <c r="C6328" t="str">
        <f t="shared" si="367"/>
        <v>277</v>
      </c>
      <c r="D6328" t="str">
        <f>"23"</f>
        <v>23</v>
      </c>
      <c r="E6328" t="str">
        <f>"1-277-23"</f>
        <v>1-277-23</v>
      </c>
      <c r="F6328" t="s">
        <v>83</v>
      </c>
      <c r="G6328" t="s">
        <v>84</v>
      </c>
      <c r="H6328" t="s">
        <v>85</v>
      </c>
      <c r="AC6328">
        <v>1</v>
      </c>
      <c r="AD6328">
        <v>0</v>
      </c>
      <c r="AE6328">
        <v>0</v>
      </c>
      <c r="AF6328">
        <v>0</v>
      </c>
      <c r="AG6328">
        <v>1</v>
      </c>
      <c r="AJ6328">
        <v>0</v>
      </c>
      <c r="AK6328">
        <v>1</v>
      </c>
      <c r="AL6328">
        <v>0</v>
      </c>
      <c r="AM6328">
        <v>1</v>
      </c>
      <c r="AN6328">
        <v>0</v>
      </c>
      <c r="AO6328">
        <v>1</v>
      </c>
      <c r="AP6328">
        <v>1</v>
      </c>
      <c r="AQ6328">
        <v>1</v>
      </c>
      <c r="AR6328">
        <v>1</v>
      </c>
      <c r="AS6328">
        <v>0</v>
      </c>
      <c r="AT6328">
        <v>1</v>
      </c>
      <c r="AV6328">
        <v>1</v>
      </c>
      <c r="AW6328">
        <v>1</v>
      </c>
    </row>
    <row r="6329" spans="1:49" x14ac:dyDescent="0.25">
      <c r="A6329" t="str">
        <f>"6325"</f>
        <v>6325</v>
      </c>
      <c r="B6329" t="str">
        <f t="shared" si="366"/>
        <v>1</v>
      </c>
      <c r="C6329" t="str">
        <f t="shared" si="367"/>
        <v>277</v>
      </c>
      <c r="D6329" t="str">
        <f>"22"</f>
        <v>22</v>
      </c>
      <c r="E6329" t="str">
        <f>"1-277-22"</f>
        <v>1-277-22</v>
      </c>
      <c r="F6329" t="s">
        <v>83</v>
      </c>
      <c r="G6329" t="s">
        <v>84</v>
      </c>
      <c r="H6329" t="s">
        <v>85</v>
      </c>
      <c r="AC6329">
        <v>1</v>
      </c>
      <c r="AD6329">
        <v>0</v>
      </c>
      <c r="AE6329">
        <v>0</v>
      </c>
      <c r="AF6329">
        <v>0</v>
      </c>
      <c r="AG6329">
        <v>0</v>
      </c>
      <c r="AJ6329">
        <v>0</v>
      </c>
      <c r="AK6329">
        <v>1</v>
      </c>
      <c r="AL6329">
        <v>0</v>
      </c>
      <c r="AM6329">
        <v>0</v>
      </c>
      <c r="AN6329">
        <v>1</v>
      </c>
      <c r="AO6329">
        <v>1</v>
      </c>
      <c r="AP6329">
        <v>1</v>
      </c>
      <c r="AQ6329">
        <v>1</v>
      </c>
      <c r="AR6329">
        <v>1</v>
      </c>
      <c r="AS6329">
        <v>1</v>
      </c>
      <c r="AT6329">
        <v>0</v>
      </c>
      <c r="AV6329">
        <v>1</v>
      </c>
      <c r="AW6329">
        <v>1</v>
      </c>
    </row>
    <row r="6330" spans="1:49" x14ac:dyDescent="0.25">
      <c r="A6330" t="str">
        <f>"6326"</f>
        <v>6326</v>
      </c>
      <c r="B6330" t="str">
        <f t="shared" si="366"/>
        <v>1</v>
      </c>
      <c r="C6330" t="str">
        <f t="shared" si="367"/>
        <v>277</v>
      </c>
      <c r="D6330" t="str">
        <f>"16"</f>
        <v>16</v>
      </c>
      <c r="E6330" t="str">
        <f>"1-277-16"</f>
        <v>1-277-16</v>
      </c>
      <c r="F6330" t="s">
        <v>83</v>
      </c>
      <c r="G6330" t="s">
        <v>84</v>
      </c>
      <c r="H6330" t="s">
        <v>85</v>
      </c>
      <c r="AC6330">
        <v>1</v>
      </c>
      <c r="AD6330">
        <v>0</v>
      </c>
      <c r="AE6330">
        <v>0</v>
      </c>
      <c r="AF6330">
        <v>0</v>
      </c>
      <c r="AG6330">
        <v>1</v>
      </c>
      <c r="AJ6330">
        <v>1</v>
      </c>
      <c r="AK6330">
        <v>0</v>
      </c>
      <c r="AL6330">
        <v>1</v>
      </c>
      <c r="AM6330">
        <v>0</v>
      </c>
      <c r="AN6330">
        <v>0</v>
      </c>
      <c r="AO6330">
        <v>1</v>
      </c>
      <c r="AP6330">
        <v>1</v>
      </c>
      <c r="AQ6330">
        <v>1</v>
      </c>
      <c r="AR6330">
        <v>1</v>
      </c>
      <c r="AS6330">
        <v>1</v>
      </c>
      <c r="AT6330">
        <v>0</v>
      </c>
      <c r="AV6330">
        <v>1</v>
      </c>
      <c r="AW6330">
        <v>1</v>
      </c>
    </row>
    <row r="6331" spans="1:49" x14ac:dyDescent="0.25">
      <c r="A6331" t="str">
        <f>"6327"</f>
        <v>6327</v>
      </c>
      <c r="B6331" t="str">
        <f t="shared" si="366"/>
        <v>1</v>
      </c>
      <c r="C6331" t="str">
        <f t="shared" si="367"/>
        <v>277</v>
      </c>
      <c r="D6331" t="str">
        <f>"9"</f>
        <v>9</v>
      </c>
      <c r="E6331" t="str">
        <f>"1-277-9"</f>
        <v>1-277-9</v>
      </c>
      <c r="F6331" t="s">
        <v>83</v>
      </c>
      <c r="G6331" t="s">
        <v>84</v>
      </c>
      <c r="H6331" t="s">
        <v>85</v>
      </c>
      <c r="AC6331">
        <v>0</v>
      </c>
      <c r="AD6331">
        <v>1</v>
      </c>
      <c r="AE6331">
        <v>0</v>
      </c>
      <c r="AF6331">
        <v>0</v>
      </c>
      <c r="AG6331">
        <v>1</v>
      </c>
      <c r="AJ6331">
        <v>0</v>
      </c>
      <c r="AK6331">
        <v>1</v>
      </c>
      <c r="AL6331">
        <v>0</v>
      </c>
      <c r="AM6331">
        <v>0</v>
      </c>
      <c r="AN6331">
        <v>1</v>
      </c>
      <c r="AO6331">
        <v>1</v>
      </c>
      <c r="AP6331">
        <v>1</v>
      </c>
      <c r="AQ6331">
        <v>1</v>
      </c>
      <c r="AR6331">
        <v>1</v>
      </c>
      <c r="AS6331">
        <v>0</v>
      </c>
      <c r="AT6331">
        <v>1</v>
      </c>
      <c r="AV6331">
        <v>1</v>
      </c>
      <c r="AW6331">
        <v>1</v>
      </c>
    </row>
    <row r="6332" spans="1:49" x14ac:dyDescent="0.25">
      <c r="A6332" t="str">
        <f>"6328"</f>
        <v>6328</v>
      </c>
      <c r="B6332" t="str">
        <f t="shared" si="366"/>
        <v>1</v>
      </c>
      <c r="C6332" t="str">
        <f t="shared" si="367"/>
        <v>277</v>
      </c>
      <c r="D6332" t="str">
        <f>"7"</f>
        <v>7</v>
      </c>
      <c r="E6332" t="str">
        <f>"1-277-7"</f>
        <v>1-277-7</v>
      </c>
      <c r="F6332" t="s">
        <v>83</v>
      </c>
      <c r="G6332" t="s">
        <v>84</v>
      </c>
      <c r="H6332" t="s">
        <v>85</v>
      </c>
      <c r="AC6332">
        <v>1</v>
      </c>
      <c r="AD6332">
        <v>0</v>
      </c>
      <c r="AE6332">
        <v>0</v>
      </c>
      <c r="AF6332">
        <v>0</v>
      </c>
      <c r="AG6332">
        <v>1</v>
      </c>
      <c r="AJ6332">
        <v>0</v>
      </c>
      <c r="AK6332">
        <v>1</v>
      </c>
      <c r="AL6332">
        <v>0</v>
      </c>
      <c r="AM6332">
        <v>1</v>
      </c>
      <c r="AN6332">
        <v>0</v>
      </c>
      <c r="AO6332">
        <v>1</v>
      </c>
      <c r="AP6332">
        <v>1</v>
      </c>
      <c r="AQ6332">
        <v>1</v>
      </c>
      <c r="AR6332">
        <v>1</v>
      </c>
      <c r="AS6332">
        <v>0</v>
      </c>
      <c r="AT6332">
        <v>1</v>
      </c>
      <c r="AV6332">
        <v>1</v>
      </c>
      <c r="AW6332">
        <v>1</v>
      </c>
    </row>
    <row r="6333" spans="1:49" x14ac:dyDescent="0.25">
      <c r="A6333" t="str">
        <f>"6329"</f>
        <v>6329</v>
      </c>
      <c r="B6333" t="str">
        <f t="shared" si="366"/>
        <v>1</v>
      </c>
      <c r="C6333" t="str">
        <f t="shared" si="367"/>
        <v>277</v>
      </c>
      <c r="D6333" t="str">
        <f>"25"</f>
        <v>25</v>
      </c>
      <c r="E6333" t="str">
        <f>"1-277-25"</f>
        <v>1-277-25</v>
      </c>
      <c r="F6333" t="s">
        <v>83</v>
      </c>
      <c r="G6333" t="s">
        <v>84</v>
      </c>
      <c r="H6333" t="s">
        <v>85</v>
      </c>
      <c r="AC6333">
        <v>1</v>
      </c>
      <c r="AD6333">
        <v>0</v>
      </c>
      <c r="AE6333">
        <v>0</v>
      </c>
      <c r="AF6333">
        <v>0</v>
      </c>
      <c r="AG6333">
        <v>1</v>
      </c>
      <c r="AJ6333">
        <v>1</v>
      </c>
      <c r="AK6333">
        <v>0</v>
      </c>
      <c r="AL6333">
        <v>1</v>
      </c>
      <c r="AM6333">
        <v>0</v>
      </c>
      <c r="AN6333">
        <v>0</v>
      </c>
      <c r="AO6333">
        <v>1</v>
      </c>
      <c r="AP6333">
        <v>1</v>
      </c>
      <c r="AQ6333">
        <v>1</v>
      </c>
      <c r="AR6333">
        <v>1</v>
      </c>
      <c r="AS6333">
        <v>1</v>
      </c>
      <c r="AT6333">
        <v>0</v>
      </c>
      <c r="AV6333">
        <v>1</v>
      </c>
      <c r="AW6333">
        <v>1</v>
      </c>
    </row>
    <row r="6334" spans="1:49" x14ac:dyDescent="0.25">
      <c r="A6334" t="str">
        <f>"6330"</f>
        <v>6330</v>
      </c>
      <c r="B6334" t="str">
        <f t="shared" si="366"/>
        <v>1</v>
      </c>
      <c r="C6334" t="str">
        <f t="shared" si="367"/>
        <v>277</v>
      </c>
      <c r="D6334" t="str">
        <f>"24"</f>
        <v>24</v>
      </c>
      <c r="E6334" t="str">
        <f>"1-277-24"</f>
        <v>1-277-24</v>
      </c>
      <c r="F6334" t="s">
        <v>83</v>
      </c>
      <c r="G6334" t="s">
        <v>84</v>
      </c>
      <c r="H6334" t="s">
        <v>85</v>
      </c>
      <c r="AC6334">
        <v>0</v>
      </c>
      <c r="AD6334">
        <v>1</v>
      </c>
      <c r="AE6334">
        <v>0</v>
      </c>
      <c r="AF6334">
        <v>0</v>
      </c>
      <c r="AG6334">
        <v>1</v>
      </c>
      <c r="AJ6334">
        <v>0</v>
      </c>
      <c r="AK6334">
        <v>1</v>
      </c>
      <c r="AL6334">
        <v>1</v>
      </c>
      <c r="AM6334">
        <v>0</v>
      </c>
      <c r="AN6334">
        <v>0</v>
      </c>
      <c r="AO6334">
        <v>1</v>
      </c>
      <c r="AP6334">
        <v>1</v>
      </c>
      <c r="AQ6334">
        <v>1</v>
      </c>
      <c r="AR6334">
        <v>1</v>
      </c>
      <c r="AS6334">
        <v>0</v>
      </c>
      <c r="AT6334">
        <v>1</v>
      </c>
      <c r="AV6334">
        <v>1</v>
      </c>
      <c r="AW6334">
        <v>1</v>
      </c>
    </row>
    <row r="6335" spans="1:49" x14ac:dyDescent="0.25">
      <c r="A6335" t="str">
        <f>"6331"</f>
        <v>6331</v>
      </c>
      <c r="B6335" t="str">
        <f t="shared" si="366"/>
        <v>1</v>
      </c>
      <c r="C6335" t="str">
        <f t="shared" si="367"/>
        <v>277</v>
      </c>
      <c r="D6335" t="str">
        <f>"17"</f>
        <v>17</v>
      </c>
      <c r="E6335" t="str">
        <f>"1-277-17"</f>
        <v>1-277-17</v>
      </c>
      <c r="F6335" t="s">
        <v>83</v>
      </c>
      <c r="G6335" t="s">
        <v>84</v>
      </c>
      <c r="H6335" t="s">
        <v>85</v>
      </c>
      <c r="AC6335">
        <v>0</v>
      </c>
      <c r="AD6335">
        <v>1</v>
      </c>
      <c r="AE6335">
        <v>0</v>
      </c>
      <c r="AF6335">
        <v>0</v>
      </c>
      <c r="AG6335">
        <v>1</v>
      </c>
      <c r="AJ6335">
        <v>0</v>
      </c>
      <c r="AK6335">
        <v>1</v>
      </c>
      <c r="AL6335">
        <v>0</v>
      </c>
      <c r="AM6335">
        <v>1</v>
      </c>
      <c r="AN6335">
        <v>0</v>
      </c>
      <c r="AO6335">
        <v>1</v>
      </c>
      <c r="AP6335">
        <v>1</v>
      </c>
      <c r="AQ6335">
        <v>1</v>
      </c>
      <c r="AR6335">
        <v>1</v>
      </c>
      <c r="AS6335">
        <v>0</v>
      </c>
      <c r="AT6335">
        <v>1</v>
      </c>
      <c r="AV6335">
        <v>1</v>
      </c>
      <c r="AW6335">
        <v>1</v>
      </c>
    </row>
    <row r="6336" spans="1:49" x14ac:dyDescent="0.25">
      <c r="A6336" t="str">
        <f>"6332"</f>
        <v>6332</v>
      </c>
      <c r="B6336" t="str">
        <f t="shared" si="366"/>
        <v>1</v>
      </c>
      <c r="C6336" t="str">
        <f t="shared" si="367"/>
        <v>277</v>
      </c>
      <c r="D6336" t="str">
        <f>"10"</f>
        <v>10</v>
      </c>
      <c r="E6336" t="str">
        <f>"1-277-10"</f>
        <v>1-277-10</v>
      </c>
      <c r="F6336" t="s">
        <v>83</v>
      </c>
      <c r="G6336" t="s">
        <v>84</v>
      </c>
      <c r="H6336" t="s">
        <v>85</v>
      </c>
      <c r="AC6336">
        <v>1</v>
      </c>
      <c r="AD6336">
        <v>0</v>
      </c>
      <c r="AE6336">
        <v>0</v>
      </c>
      <c r="AF6336">
        <v>0</v>
      </c>
      <c r="AG6336">
        <v>1</v>
      </c>
      <c r="AJ6336">
        <v>1</v>
      </c>
      <c r="AK6336">
        <v>0</v>
      </c>
      <c r="AL6336">
        <v>0</v>
      </c>
      <c r="AM6336">
        <v>1</v>
      </c>
      <c r="AN6336">
        <v>0</v>
      </c>
      <c r="AO6336">
        <v>1</v>
      </c>
      <c r="AP6336">
        <v>1</v>
      </c>
      <c r="AQ6336">
        <v>1</v>
      </c>
      <c r="AR6336">
        <v>1</v>
      </c>
      <c r="AS6336">
        <v>0</v>
      </c>
      <c r="AT6336">
        <v>1</v>
      </c>
      <c r="AV6336">
        <v>1</v>
      </c>
      <c r="AW6336">
        <v>1</v>
      </c>
    </row>
    <row r="6337" spans="1:49" x14ac:dyDescent="0.25">
      <c r="A6337" t="str">
        <f>"6333"</f>
        <v>6333</v>
      </c>
      <c r="B6337" t="str">
        <f t="shared" si="366"/>
        <v>1</v>
      </c>
      <c r="C6337" t="str">
        <f t="shared" si="367"/>
        <v>277</v>
      </c>
      <c r="D6337" t="str">
        <f>"2"</f>
        <v>2</v>
      </c>
      <c r="E6337" t="str">
        <f>"1-277-2"</f>
        <v>1-277-2</v>
      </c>
      <c r="F6337" t="s">
        <v>83</v>
      </c>
      <c r="G6337" t="s">
        <v>88</v>
      </c>
      <c r="H6337" t="s">
        <v>89</v>
      </c>
      <c r="AC6337">
        <v>1</v>
      </c>
      <c r="AD6337">
        <v>0</v>
      </c>
      <c r="AE6337">
        <v>0</v>
      </c>
      <c r="AF6337">
        <v>0</v>
      </c>
      <c r="AH6337">
        <v>1</v>
      </c>
      <c r="AI6337">
        <v>0</v>
      </c>
      <c r="AJ6337">
        <v>1</v>
      </c>
      <c r="AK6337">
        <v>0</v>
      </c>
      <c r="AL6337">
        <v>1</v>
      </c>
      <c r="AM6337">
        <v>0</v>
      </c>
      <c r="AN6337">
        <v>0</v>
      </c>
      <c r="AO6337">
        <v>0</v>
      </c>
      <c r="AP6337">
        <v>0</v>
      </c>
      <c r="AQ6337">
        <v>0</v>
      </c>
      <c r="AR6337">
        <v>0</v>
      </c>
      <c r="AS6337">
        <v>0</v>
      </c>
      <c r="AT6337">
        <v>0</v>
      </c>
      <c r="AV6337">
        <v>0</v>
      </c>
      <c r="AW6337">
        <v>1</v>
      </c>
    </row>
    <row r="6338" spans="1:49" x14ac:dyDescent="0.25">
      <c r="A6338" t="str">
        <f>"6334"</f>
        <v>6334</v>
      </c>
      <c r="B6338" t="str">
        <f t="shared" si="366"/>
        <v>1</v>
      </c>
      <c r="C6338" t="str">
        <f t="shared" si="367"/>
        <v>277</v>
      </c>
      <c r="D6338" t="str">
        <f>"14"</f>
        <v>14</v>
      </c>
      <c r="E6338" t="str">
        <f>"1-277-14"</f>
        <v>1-277-14</v>
      </c>
      <c r="F6338" t="s">
        <v>83</v>
      </c>
      <c r="G6338" t="s">
        <v>84</v>
      </c>
      <c r="H6338" t="s">
        <v>85</v>
      </c>
      <c r="AC6338">
        <v>1</v>
      </c>
      <c r="AD6338">
        <v>0</v>
      </c>
      <c r="AE6338">
        <v>0</v>
      </c>
      <c r="AF6338">
        <v>0</v>
      </c>
      <c r="AG6338">
        <v>1</v>
      </c>
      <c r="AJ6338">
        <v>0</v>
      </c>
      <c r="AK6338">
        <v>1</v>
      </c>
      <c r="AL6338">
        <v>1</v>
      </c>
      <c r="AM6338">
        <v>0</v>
      </c>
      <c r="AN6338">
        <v>0</v>
      </c>
      <c r="AO6338">
        <v>1</v>
      </c>
      <c r="AP6338">
        <v>1</v>
      </c>
      <c r="AQ6338">
        <v>1</v>
      </c>
      <c r="AR6338">
        <v>1</v>
      </c>
      <c r="AS6338">
        <v>1</v>
      </c>
      <c r="AT6338">
        <v>0</v>
      </c>
      <c r="AV6338">
        <v>1</v>
      </c>
      <c r="AW6338">
        <v>1</v>
      </c>
    </row>
    <row r="6339" spans="1:49" x14ac:dyDescent="0.25">
      <c r="A6339" t="str">
        <f>"6335"</f>
        <v>6335</v>
      </c>
      <c r="B6339" t="str">
        <f t="shared" si="366"/>
        <v>1</v>
      </c>
      <c r="C6339" t="str">
        <f t="shared" si="367"/>
        <v>277</v>
      </c>
      <c r="D6339" t="str">
        <f>"5"</f>
        <v>5</v>
      </c>
      <c r="E6339" t="str">
        <f>"1-277-5"</f>
        <v>1-277-5</v>
      </c>
      <c r="F6339" t="s">
        <v>83</v>
      </c>
      <c r="G6339" t="s">
        <v>84</v>
      </c>
      <c r="H6339" t="s">
        <v>85</v>
      </c>
      <c r="AC6339">
        <v>1</v>
      </c>
      <c r="AD6339">
        <v>0</v>
      </c>
      <c r="AE6339">
        <v>0</v>
      </c>
      <c r="AF6339">
        <v>0</v>
      </c>
      <c r="AG6339">
        <v>1</v>
      </c>
      <c r="AJ6339">
        <v>0</v>
      </c>
      <c r="AK6339">
        <v>0</v>
      </c>
      <c r="AL6339">
        <v>1</v>
      </c>
      <c r="AM6339">
        <v>0</v>
      </c>
      <c r="AN6339">
        <v>0</v>
      </c>
      <c r="AO6339">
        <v>1</v>
      </c>
      <c r="AP6339">
        <v>1</v>
      </c>
      <c r="AQ6339">
        <v>1</v>
      </c>
      <c r="AR6339">
        <v>1</v>
      </c>
      <c r="AS6339">
        <v>1</v>
      </c>
      <c r="AT6339">
        <v>0</v>
      </c>
      <c r="AV6339">
        <v>1</v>
      </c>
      <c r="AW6339">
        <v>1</v>
      </c>
    </row>
    <row r="6340" spans="1:49" x14ac:dyDescent="0.25">
      <c r="A6340" t="str">
        <f>"6336"</f>
        <v>6336</v>
      </c>
      <c r="B6340" t="str">
        <f t="shared" si="366"/>
        <v>1</v>
      </c>
      <c r="C6340" t="str">
        <f t="shared" si="367"/>
        <v>277</v>
      </c>
      <c r="D6340" t="str">
        <f>"15"</f>
        <v>15</v>
      </c>
      <c r="E6340" t="str">
        <f>"1-277-15"</f>
        <v>1-277-15</v>
      </c>
      <c r="F6340" t="s">
        <v>83</v>
      </c>
      <c r="G6340" t="s">
        <v>84</v>
      </c>
      <c r="H6340" t="s">
        <v>85</v>
      </c>
      <c r="AC6340">
        <v>1</v>
      </c>
      <c r="AD6340">
        <v>0</v>
      </c>
      <c r="AE6340">
        <v>0</v>
      </c>
      <c r="AF6340">
        <v>0</v>
      </c>
      <c r="AG6340">
        <v>1</v>
      </c>
      <c r="AJ6340">
        <v>0</v>
      </c>
      <c r="AK6340">
        <v>1</v>
      </c>
      <c r="AL6340">
        <v>1</v>
      </c>
      <c r="AM6340">
        <v>0</v>
      </c>
      <c r="AN6340">
        <v>0</v>
      </c>
      <c r="AO6340">
        <v>1</v>
      </c>
      <c r="AP6340">
        <v>1</v>
      </c>
      <c r="AQ6340">
        <v>1</v>
      </c>
      <c r="AR6340">
        <v>1</v>
      </c>
      <c r="AS6340">
        <v>1</v>
      </c>
      <c r="AT6340">
        <v>0</v>
      </c>
      <c r="AV6340">
        <v>1</v>
      </c>
      <c r="AW6340">
        <v>1</v>
      </c>
    </row>
    <row r="6341" spans="1:49" x14ac:dyDescent="0.25">
      <c r="A6341" t="str">
        <f>"6337"</f>
        <v>6337</v>
      </c>
      <c r="B6341" t="str">
        <f t="shared" si="366"/>
        <v>1</v>
      </c>
      <c r="C6341" t="str">
        <f t="shared" si="367"/>
        <v>277</v>
      </c>
      <c r="D6341" t="str">
        <f>"4"</f>
        <v>4</v>
      </c>
      <c r="E6341" t="str">
        <f>"1-277-4"</f>
        <v>1-277-4</v>
      </c>
      <c r="F6341" t="s">
        <v>83</v>
      </c>
      <c r="G6341" t="s">
        <v>84</v>
      </c>
      <c r="H6341" t="s">
        <v>85</v>
      </c>
      <c r="AC6341">
        <v>1</v>
      </c>
      <c r="AD6341">
        <v>0</v>
      </c>
      <c r="AE6341">
        <v>0</v>
      </c>
      <c r="AF6341">
        <v>0</v>
      </c>
      <c r="AG6341">
        <v>1</v>
      </c>
      <c r="AJ6341">
        <v>0</v>
      </c>
      <c r="AK6341">
        <v>1</v>
      </c>
      <c r="AL6341">
        <v>0</v>
      </c>
      <c r="AM6341">
        <v>1</v>
      </c>
      <c r="AN6341">
        <v>0</v>
      </c>
      <c r="AO6341">
        <v>1</v>
      </c>
      <c r="AP6341">
        <v>1</v>
      </c>
      <c r="AQ6341">
        <v>1</v>
      </c>
      <c r="AR6341">
        <v>1</v>
      </c>
      <c r="AS6341">
        <v>1</v>
      </c>
      <c r="AT6341">
        <v>0</v>
      </c>
      <c r="AV6341">
        <v>1</v>
      </c>
      <c r="AW6341">
        <v>1</v>
      </c>
    </row>
    <row r="6342" spans="1:49" x14ac:dyDescent="0.25">
      <c r="A6342" t="str">
        <f>"6338"</f>
        <v>6338</v>
      </c>
      <c r="B6342" t="str">
        <f t="shared" si="366"/>
        <v>1</v>
      </c>
      <c r="C6342" t="str">
        <f t="shared" si="367"/>
        <v>277</v>
      </c>
      <c r="D6342" t="str">
        <f>"18"</f>
        <v>18</v>
      </c>
      <c r="E6342" t="str">
        <f>"1-277-18"</f>
        <v>1-277-18</v>
      </c>
      <c r="F6342" t="s">
        <v>83</v>
      </c>
      <c r="G6342" t="s">
        <v>84</v>
      </c>
      <c r="H6342" t="s">
        <v>85</v>
      </c>
      <c r="AC6342">
        <v>0</v>
      </c>
      <c r="AD6342">
        <v>1</v>
      </c>
      <c r="AE6342">
        <v>0</v>
      </c>
      <c r="AF6342">
        <v>0</v>
      </c>
      <c r="AG6342">
        <v>1</v>
      </c>
      <c r="AJ6342">
        <v>0</v>
      </c>
      <c r="AK6342">
        <v>1</v>
      </c>
      <c r="AL6342">
        <v>0</v>
      </c>
      <c r="AM6342">
        <v>0</v>
      </c>
      <c r="AN6342">
        <v>1</v>
      </c>
      <c r="AO6342">
        <v>1</v>
      </c>
      <c r="AP6342">
        <v>1</v>
      </c>
      <c r="AQ6342">
        <v>1</v>
      </c>
      <c r="AR6342">
        <v>1</v>
      </c>
      <c r="AS6342">
        <v>0</v>
      </c>
      <c r="AT6342">
        <v>1</v>
      </c>
      <c r="AV6342">
        <v>1</v>
      </c>
      <c r="AW6342">
        <v>1</v>
      </c>
    </row>
    <row r="6343" spans="1:49" x14ac:dyDescent="0.25">
      <c r="A6343" t="str">
        <f>"6339"</f>
        <v>6339</v>
      </c>
      <c r="B6343" t="str">
        <f t="shared" si="366"/>
        <v>1</v>
      </c>
      <c r="C6343" t="str">
        <f t="shared" si="367"/>
        <v>277</v>
      </c>
      <c r="D6343" t="str">
        <f>"6"</f>
        <v>6</v>
      </c>
      <c r="E6343" t="str">
        <f>"1-277-6"</f>
        <v>1-277-6</v>
      </c>
      <c r="F6343" t="s">
        <v>83</v>
      </c>
      <c r="G6343" t="s">
        <v>84</v>
      </c>
      <c r="H6343" t="s">
        <v>85</v>
      </c>
      <c r="AC6343">
        <v>0</v>
      </c>
      <c r="AD6343">
        <v>1</v>
      </c>
      <c r="AE6343">
        <v>0</v>
      </c>
      <c r="AF6343">
        <v>0</v>
      </c>
      <c r="AG6343">
        <v>1</v>
      </c>
      <c r="AJ6343">
        <v>0</v>
      </c>
      <c r="AK6343">
        <v>1</v>
      </c>
      <c r="AL6343">
        <v>0</v>
      </c>
      <c r="AM6343">
        <v>0</v>
      </c>
      <c r="AN6343">
        <v>1</v>
      </c>
      <c r="AO6343">
        <v>1</v>
      </c>
      <c r="AP6343">
        <v>1</v>
      </c>
      <c r="AQ6343">
        <v>1</v>
      </c>
      <c r="AR6343">
        <v>1</v>
      </c>
      <c r="AS6343">
        <v>0</v>
      </c>
      <c r="AT6343">
        <v>1</v>
      </c>
      <c r="AV6343">
        <v>1</v>
      </c>
      <c r="AW6343">
        <v>1</v>
      </c>
    </row>
    <row r="6344" spans="1:49" x14ac:dyDescent="0.25">
      <c r="A6344" t="str">
        <f>"6340"</f>
        <v>6340</v>
      </c>
      <c r="B6344" t="str">
        <f t="shared" si="366"/>
        <v>1</v>
      </c>
      <c r="C6344" t="str">
        <f t="shared" si="367"/>
        <v>277</v>
      </c>
      <c r="D6344" t="str">
        <f>"19"</f>
        <v>19</v>
      </c>
      <c r="E6344" t="str">
        <f>"1-277-19"</f>
        <v>1-277-19</v>
      </c>
      <c r="F6344" t="s">
        <v>83</v>
      </c>
      <c r="G6344" t="s">
        <v>84</v>
      </c>
      <c r="H6344" t="s">
        <v>85</v>
      </c>
      <c r="AC6344">
        <v>1</v>
      </c>
      <c r="AD6344">
        <v>0</v>
      </c>
      <c r="AE6344">
        <v>0</v>
      </c>
      <c r="AF6344">
        <v>0</v>
      </c>
      <c r="AG6344">
        <v>0</v>
      </c>
      <c r="AJ6344">
        <v>0</v>
      </c>
      <c r="AK6344">
        <v>1</v>
      </c>
      <c r="AL6344">
        <v>0</v>
      </c>
      <c r="AM6344">
        <v>1</v>
      </c>
      <c r="AN6344">
        <v>0</v>
      </c>
      <c r="AO6344">
        <v>0</v>
      </c>
      <c r="AP6344">
        <v>0</v>
      </c>
      <c r="AQ6344">
        <v>0</v>
      </c>
      <c r="AR6344">
        <v>0</v>
      </c>
      <c r="AS6344">
        <v>0</v>
      </c>
      <c r="AT6344">
        <v>1</v>
      </c>
      <c r="AV6344">
        <v>0</v>
      </c>
      <c r="AW6344">
        <v>0</v>
      </c>
    </row>
    <row r="6345" spans="1:49" x14ac:dyDescent="0.25">
      <c r="A6345" t="str">
        <f>"6341"</f>
        <v>6341</v>
      </c>
      <c r="B6345" t="str">
        <f t="shared" si="366"/>
        <v>1</v>
      </c>
      <c r="C6345" t="str">
        <f t="shared" si="367"/>
        <v>277</v>
      </c>
      <c r="D6345" t="str">
        <f>"3"</f>
        <v>3</v>
      </c>
      <c r="E6345" t="str">
        <f>"1-277-3"</f>
        <v>1-277-3</v>
      </c>
      <c r="F6345" t="s">
        <v>83</v>
      </c>
      <c r="G6345" t="s">
        <v>84</v>
      </c>
      <c r="H6345" t="s">
        <v>85</v>
      </c>
      <c r="AC6345">
        <v>1</v>
      </c>
      <c r="AD6345">
        <v>0</v>
      </c>
      <c r="AE6345">
        <v>0</v>
      </c>
      <c r="AF6345">
        <v>0</v>
      </c>
      <c r="AG6345">
        <v>1</v>
      </c>
      <c r="AJ6345">
        <v>1</v>
      </c>
      <c r="AK6345">
        <v>0</v>
      </c>
      <c r="AL6345">
        <v>1</v>
      </c>
      <c r="AM6345">
        <v>0</v>
      </c>
      <c r="AN6345">
        <v>0</v>
      </c>
      <c r="AO6345">
        <v>1</v>
      </c>
      <c r="AP6345">
        <v>1</v>
      </c>
      <c r="AQ6345">
        <v>1</v>
      </c>
      <c r="AR6345">
        <v>1</v>
      </c>
      <c r="AS6345">
        <v>1</v>
      </c>
      <c r="AT6345">
        <v>0</v>
      </c>
      <c r="AV6345">
        <v>1</v>
      </c>
      <c r="AW6345">
        <v>1</v>
      </c>
    </row>
    <row r="6346" spans="1:49" x14ac:dyDescent="0.25">
      <c r="A6346" t="str">
        <f>"6342"</f>
        <v>6342</v>
      </c>
      <c r="B6346" t="str">
        <f t="shared" si="366"/>
        <v>1</v>
      </c>
      <c r="C6346" t="str">
        <f t="shared" si="367"/>
        <v>277</v>
      </c>
      <c r="D6346" t="str">
        <f>"11"</f>
        <v>11</v>
      </c>
      <c r="E6346" t="str">
        <f>"1-277-11"</f>
        <v>1-277-11</v>
      </c>
      <c r="F6346" t="s">
        <v>83</v>
      </c>
      <c r="G6346" t="s">
        <v>84</v>
      </c>
      <c r="H6346" t="s">
        <v>85</v>
      </c>
      <c r="AC6346">
        <v>1</v>
      </c>
      <c r="AD6346">
        <v>0</v>
      </c>
      <c r="AE6346">
        <v>0</v>
      </c>
      <c r="AF6346">
        <v>0</v>
      </c>
      <c r="AG6346">
        <v>1</v>
      </c>
      <c r="AJ6346">
        <v>1</v>
      </c>
      <c r="AK6346">
        <v>0</v>
      </c>
      <c r="AL6346">
        <v>1</v>
      </c>
      <c r="AM6346">
        <v>0</v>
      </c>
      <c r="AN6346">
        <v>0</v>
      </c>
      <c r="AO6346">
        <v>1</v>
      </c>
      <c r="AP6346">
        <v>1</v>
      </c>
      <c r="AQ6346">
        <v>1</v>
      </c>
      <c r="AR6346">
        <v>1</v>
      </c>
      <c r="AS6346">
        <v>1</v>
      </c>
      <c r="AT6346">
        <v>0</v>
      </c>
      <c r="AV6346">
        <v>1</v>
      </c>
      <c r="AW6346">
        <v>1</v>
      </c>
    </row>
    <row r="6347" spans="1:49" x14ac:dyDescent="0.25">
      <c r="A6347" t="str">
        <f>"6343"</f>
        <v>6343</v>
      </c>
      <c r="B6347" t="str">
        <f t="shared" si="366"/>
        <v>1</v>
      </c>
      <c r="C6347" t="str">
        <f t="shared" ref="C6347:C6368" si="368">"278"</f>
        <v>278</v>
      </c>
      <c r="D6347" t="str">
        <f>"21"</f>
        <v>21</v>
      </c>
      <c r="E6347" t="str">
        <f>"1-278-21"</f>
        <v>1-278-21</v>
      </c>
      <c r="F6347" t="s">
        <v>83</v>
      </c>
      <c r="G6347" t="s">
        <v>84</v>
      </c>
      <c r="H6347" t="s">
        <v>92</v>
      </c>
      <c r="I6347">
        <v>1</v>
      </c>
      <c r="J6347">
        <v>1</v>
      </c>
      <c r="N6347">
        <v>1</v>
      </c>
      <c r="O6347">
        <v>1</v>
      </c>
      <c r="P6347">
        <v>1</v>
      </c>
      <c r="Q6347">
        <v>1</v>
      </c>
      <c r="R6347">
        <v>1</v>
      </c>
      <c r="S6347">
        <v>1</v>
      </c>
      <c r="T6347">
        <v>0</v>
      </c>
      <c r="W6347">
        <v>1</v>
      </c>
      <c r="X6347">
        <v>1</v>
      </c>
      <c r="Y6347">
        <v>1</v>
      </c>
      <c r="Z6347">
        <v>1</v>
      </c>
      <c r="AA6347">
        <v>1</v>
      </c>
      <c r="AB6347">
        <v>1</v>
      </c>
    </row>
    <row r="6348" spans="1:49" x14ac:dyDescent="0.25">
      <c r="A6348" t="str">
        <f>"6344"</f>
        <v>6344</v>
      </c>
      <c r="B6348" t="str">
        <f t="shared" si="366"/>
        <v>1</v>
      </c>
      <c r="C6348" t="str">
        <f t="shared" si="368"/>
        <v>278</v>
      </c>
      <c r="D6348" t="str">
        <f>"20"</f>
        <v>20</v>
      </c>
      <c r="E6348" t="str">
        <f>"1-278-20"</f>
        <v>1-278-20</v>
      </c>
      <c r="F6348" t="s">
        <v>83</v>
      </c>
      <c r="G6348" t="s">
        <v>84</v>
      </c>
      <c r="H6348" t="s">
        <v>85</v>
      </c>
      <c r="AC6348">
        <v>0</v>
      </c>
      <c r="AD6348">
        <v>1</v>
      </c>
      <c r="AE6348">
        <v>0</v>
      </c>
      <c r="AF6348">
        <v>0</v>
      </c>
      <c r="AG6348">
        <v>1</v>
      </c>
      <c r="AJ6348">
        <v>0</v>
      </c>
      <c r="AK6348">
        <v>1</v>
      </c>
      <c r="AL6348">
        <v>1</v>
      </c>
      <c r="AM6348">
        <v>0</v>
      </c>
      <c r="AN6348">
        <v>0</v>
      </c>
      <c r="AO6348">
        <v>1</v>
      </c>
      <c r="AP6348">
        <v>1</v>
      </c>
      <c r="AQ6348">
        <v>1</v>
      </c>
      <c r="AR6348">
        <v>1</v>
      </c>
      <c r="AS6348">
        <v>1</v>
      </c>
      <c r="AT6348">
        <v>0</v>
      </c>
      <c r="AV6348">
        <v>1</v>
      </c>
      <c r="AW6348">
        <v>1</v>
      </c>
    </row>
    <row r="6349" spans="1:49" x14ac:dyDescent="0.25">
      <c r="A6349" t="str">
        <f>"6345"</f>
        <v>6345</v>
      </c>
      <c r="B6349" t="str">
        <f t="shared" si="366"/>
        <v>1</v>
      </c>
      <c r="C6349" t="str">
        <f t="shared" si="368"/>
        <v>278</v>
      </c>
      <c r="D6349" t="str">
        <f>"13"</f>
        <v>13</v>
      </c>
      <c r="E6349" t="str">
        <f>"1-278-13"</f>
        <v>1-278-13</v>
      </c>
      <c r="F6349" t="s">
        <v>83</v>
      </c>
      <c r="G6349" t="s">
        <v>84</v>
      </c>
      <c r="H6349" t="s">
        <v>92</v>
      </c>
      <c r="I6349">
        <v>1</v>
      </c>
      <c r="J6349">
        <v>1</v>
      </c>
      <c r="N6349">
        <v>1</v>
      </c>
      <c r="O6349">
        <v>1</v>
      </c>
      <c r="P6349">
        <v>0</v>
      </c>
      <c r="Q6349">
        <v>0</v>
      </c>
      <c r="R6349">
        <v>0</v>
      </c>
      <c r="S6349">
        <v>1</v>
      </c>
      <c r="T6349">
        <v>1</v>
      </c>
      <c r="W6349">
        <v>1</v>
      </c>
      <c r="X6349">
        <v>1</v>
      </c>
      <c r="Y6349">
        <v>1</v>
      </c>
      <c r="Z6349">
        <v>1</v>
      </c>
      <c r="AA6349">
        <v>1</v>
      </c>
      <c r="AB6349">
        <v>1</v>
      </c>
    </row>
    <row r="6350" spans="1:49" x14ac:dyDescent="0.25">
      <c r="A6350" t="str">
        <f>"6346"</f>
        <v>6346</v>
      </c>
      <c r="B6350" t="str">
        <f t="shared" si="366"/>
        <v>1</v>
      </c>
      <c r="C6350" t="str">
        <f t="shared" si="368"/>
        <v>278</v>
      </c>
      <c r="D6350" t="str">
        <f>"12"</f>
        <v>12</v>
      </c>
      <c r="E6350" t="str">
        <f>"1-278-12"</f>
        <v>1-278-12</v>
      </c>
      <c r="F6350" t="s">
        <v>83</v>
      </c>
      <c r="G6350" t="s">
        <v>84</v>
      </c>
      <c r="H6350" t="s">
        <v>92</v>
      </c>
      <c r="I6350">
        <v>1</v>
      </c>
      <c r="J6350">
        <v>1</v>
      </c>
      <c r="N6350">
        <v>1</v>
      </c>
      <c r="O6350">
        <v>1</v>
      </c>
      <c r="P6350">
        <v>1</v>
      </c>
      <c r="Q6350">
        <v>1</v>
      </c>
      <c r="R6350">
        <v>1</v>
      </c>
      <c r="S6350">
        <v>1</v>
      </c>
      <c r="T6350">
        <v>1</v>
      </c>
      <c r="W6350">
        <v>1</v>
      </c>
      <c r="X6350">
        <v>1</v>
      </c>
      <c r="Y6350">
        <v>1</v>
      </c>
      <c r="Z6350">
        <v>1</v>
      </c>
      <c r="AA6350">
        <v>1</v>
      </c>
      <c r="AB6350">
        <v>1</v>
      </c>
    </row>
    <row r="6351" spans="1:49" x14ac:dyDescent="0.25">
      <c r="A6351" t="str">
        <f>"6347"</f>
        <v>6347</v>
      </c>
      <c r="B6351" t="str">
        <f t="shared" si="366"/>
        <v>1</v>
      </c>
      <c r="C6351" t="str">
        <f t="shared" si="368"/>
        <v>278</v>
      </c>
      <c r="D6351" t="str">
        <f>"9"</f>
        <v>9</v>
      </c>
      <c r="E6351" t="str">
        <f>"1-278-9"</f>
        <v>1-278-9</v>
      </c>
      <c r="F6351" t="s">
        <v>83</v>
      </c>
      <c r="G6351" t="s">
        <v>84</v>
      </c>
      <c r="H6351" t="s">
        <v>92</v>
      </c>
      <c r="I6351">
        <v>1</v>
      </c>
      <c r="J6351">
        <v>1</v>
      </c>
      <c r="N6351">
        <v>1</v>
      </c>
      <c r="O6351">
        <v>1</v>
      </c>
      <c r="P6351">
        <v>1</v>
      </c>
      <c r="Q6351">
        <v>1</v>
      </c>
      <c r="R6351">
        <v>1</v>
      </c>
      <c r="S6351">
        <v>1</v>
      </c>
      <c r="T6351">
        <v>1</v>
      </c>
      <c r="W6351">
        <v>1</v>
      </c>
      <c r="X6351">
        <v>1</v>
      </c>
      <c r="Y6351">
        <v>1</v>
      </c>
      <c r="Z6351">
        <v>1</v>
      </c>
      <c r="AA6351">
        <v>1</v>
      </c>
      <c r="AB6351">
        <v>1</v>
      </c>
    </row>
    <row r="6352" spans="1:49" x14ac:dyDescent="0.25">
      <c r="A6352" t="str">
        <f>"6348"</f>
        <v>6348</v>
      </c>
      <c r="B6352" t="str">
        <f t="shared" si="366"/>
        <v>1</v>
      </c>
      <c r="C6352" t="str">
        <f t="shared" si="368"/>
        <v>278</v>
      </c>
      <c r="D6352" t="str">
        <f>"8"</f>
        <v>8</v>
      </c>
      <c r="E6352" t="str">
        <f>"1-278-8"</f>
        <v>1-278-8</v>
      </c>
      <c r="F6352" t="s">
        <v>83</v>
      </c>
      <c r="G6352" t="s">
        <v>84</v>
      </c>
      <c r="H6352" t="s">
        <v>92</v>
      </c>
      <c r="I6352">
        <v>1</v>
      </c>
      <c r="J6352">
        <v>1</v>
      </c>
      <c r="N6352">
        <v>1</v>
      </c>
      <c r="O6352">
        <v>1</v>
      </c>
      <c r="P6352">
        <v>1</v>
      </c>
      <c r="Q6352">
        <v>1</v>
      </c>
      <c r="R6352">
        <v>1</v>
      </c>
      <c r="S6352">
        <v>1</v>
      </c>
      <c r="T6352">
        <v>1</v>
      </c>
      <c r="W6352">
        <v>1</v>
      </c>
      <c r="X6352">
        <v>1</v>
      </c>
      <c r="Y6352">
        <v>1</v>
      </c>
      <c r="Z6352">
        <v>1</v>
      </c>
      <c r="AA6352">
        <v>1</v>
      </c>
      <c r="AB6352">
        <v>1</v>
      </c>
    </row>
    <row r="6353" spans="1:49" x14ac:dyDescent="0.25">
      <c r="A6353" t="str">
        <f>"6349"</f>
        <v>6349</v>
      </c>
      <c r="B6353" t="str">
        <f t="shared" si="366"/>
        <v>1</v>
      </c>
      <c r="C6353" t="str">
        <f t="shared" si="368"/>
        <v>278</v>
      </c>
      <c r="D6353" t="str">
        <f>"1"</f>
        <v>1</v>
      </c>
      <c r="E6353" t="str">
        <f>"1-278-1"</f>
        <v>1-278-1</v>
      </c>
      <c r="F6353" t="s">
        <v>83</v>
      </c>
      <c r="G6353" t="s">
        <v>84</v>
      </c>
      <c r="H6353" t="s">
        <v>92</v>
      </c>
      <c r="I6353">
        <v>1</v>
      </c>
      <c r="J6353">
        <v>1</v>
      </c>
      <c r="N6353">
        <v>1</v>
      </c>
      <c r="O6353">
        <v>1</v>
      </c>
      <c r="P6353">
        <v>1</v>
      </c>
      <c r="Q6353">
        <v>1</v>
      </c>
      <c r="R6353">
        <v>1</v>
      </c>
      <c r="S6353">
        <v>1</v>
      </c>
      <c r="T6353">
        <v>1</v>
      </c>
      <c r="W6353">
        <v>1</v>
      </c>
      <c r="X6353">
        <v>1</v>
      </c>
      <c r="Y6353">
        <v>1</v>
      </c>
      <c r="Z6353">
        <v>1</v>
      </c>
      <c r="AA6353">
        <v>1</v>
      </c>
      <c r="AB6353">
        <v>1</v>
      </c>
    </row>
    <row r="6354" spans="1:49" x14ac:dyDescent="0.25">
      <c r="A6354" t="str">
        <f>"6350"</f>
        <v>6350</v>
      </c>
      <c r="B6354" t="str">
        <f t="shared" si="366"/>
        <v>1</v>
      </c>
      <c r="C6354" t="str">
        <f t="shared" si="368"/>
        <v>278</v>
      </c>
      <c r="D6354" t="str">
        <f>"22"</f>
        <v>22</v>
      </c>
      <c r="E6354" t="str">
        <f>"1-278-22"</f>
        <v>1-278-22</v>
      </c>
      <c r="F6354" t="s">
        <v>83</v>
      </c>
      <c r="G6354" t="s">
        <v>84</v>
      </c>
      <c r="H6354" t="s">
        <v>92</v>
      </c>
      <c r="I6354">
        <v>1</v>
      </c>
      <c r="J6354">
        <v>1</v>
      </c>
      <c r="N6354">
        <v>1</v>
      </c>
      <c r="O6354">
        <v>1</v>
      </c>
      <c r="P6354">
        <v>1</v>
      </c>
      <c r="Q6354">
        <v>1</v>
      </c>
      <c r="R6354">
        <v>1</v>
      </c>
      <c r="S6354">
        <v>1</v>
      </c>
      <c r="T6354">
        <v>1</v>
      </c>
      <c r="W6354">
        <v>1</v>
      </c>
      <c r="X6354">
        <v>1</v>
      </c>
      <c r="Y6354">
        <v>1</v>
      </c>
      <c r="Z6354">
        <v>1</v>
      </c>
      <c r="AA6354">
        <v>1</v>
      </c>
      <c r="AB6354">
        <v>1</v>
      </c>
    </row>
    <row r="6355" spans="1:49" x14ac:dyDescent="0.25">
      <c r="A6355" t="str">
        <f>"6351"</f>
        <v>6351</v>
      </c>
      <c r="B6355" t="str">
        <f t="shared" si="366"/>
        <v>1</v>
      </c>
      <c r="C6355" t="str">
        <f t="shared" si="368"/>
        <v>278</v>
      </c>
      <c r="D6355" t="str">
        <f>"16"</f>
        <v>16</v>
      </c>
      <c r="E6355" t="str">
        <f>"1-278-16"</f>
        <v>1-278-16</v>
      </c>
      <c r="F6355" t="s">
        <v>83</v>
      </c>
      <c r="G6355" t="s">
        <v>84</v>
      </c>
      <c r="H6355" t="s">
        <v>85</v>
      </c>
      <c r="AC6355">
        <v>0</v>
      </c>
      <c r="AD6355">
        <v>1</v>
      </c>
      <c r="AE6355">
        <v>0</v>
      </c>
      <c r="AF6355">
        <v>0</v>
      </c>
      <c r="AG6355">
        <v>1</v>
      </c>
      <c r="AJ6355">
        <v>0</v>
      </c>
      <c r="AK6355">
        <v>1</v>
      </c>
      <c r="AL6355">
        <v>0</v>
      </c>
      <c r="AM6355">
        <v>0</v>
      </c>
      <c r="AN6355">
        <v>1</v>
      </c>
      <c r="AO6355">
        <v>1</v>
      </c>
      <c r="AP6355">
        <v>1</v>
      </c>
      <c r="AQ6355">
        <v>1</v>
      </c>
      <c r="AR6355">
        <v>1</v>
      </c>
      <c r="AS6355">
        <v>1</v>
      </c>
      <c r="AT6355">
        <v>0</v>
      </c>
      <c r="AV6355">
        <v>1</v>
      </c>
      <c r="AW6355">
        <v>1</v>
      </c>
    </row>
    <row r="6356" spans="1:49" x14ac:dyDescent="0.25">
      <c r="A6356" t="str">
        <f>"6352"</f>
        <v>6352</v>
      </c>
      <c r="B6356" t="str">
        <f t="shared" si="366"/>
        <v>1</v>
      </c>
      <c r="C6356" t="str">
        <f t="shared" si="368"/>
        <v>278</v>
      </c>
      <c r="D6356" t="str">
        <f>"10"</f>
        <v>10</v>
      </c>
      <c r="E6356" t="str">
        <f>"1-278-10"</f>
        <v>1-278-10</v>
      </c>
      <c r="F6356" t="s">
        <v>83</v>
      </c>
      <c r="G6356" t="s">
        <v>84</v>
      </c>
      <c r="H6356" t="s">
        <v>92</v>
      </c>
      <c r="I6356">
        <v>1</v>
      </c>
      <c r="J6356">
        <v>1</v>
      </c>
      <c r="N6356">
        <v>1</v>
      </c>
      <c r="O6356">
        <v>1</v>
      </c>
      <c r="P6356">
        <v>1</v>
      </c>
      <c r="Q6356">
        <v>1</v>
      </c>
      <c r="R6356">
        <v>1</v>
      </c>
      <c r="S6356">
        <v>1</v>
      </c>
      <c r="T6356">
        <v>1</v>
      </c>
      <c r="W6356">
        <v>1</v>
      </c>
      <c r="X6356">
        <v>1</v>
      </c>
      <c r="Y6356">
        <v>1</v>
      </c>
      <c r="Z6356">
        <v>1</v>
      </c>
      <c r="AA6356">
        <v>1</v>
      </c>
      <c r="AB6356">
        <v>1</v>
      </c>
    </row>
    <row r="6357" spans="1:49" x14ac:dyDescent="0.25">
      <c r="A6357" t="str">
        <f>"6353"</f>
        <v>6353</v>
      </c>
      <c r="B6357" t="str">
        <f t="shared" si="366"/>
        <v>1</v>
      </c>
      <c r="C6357" t="str">
        <f t="shared" si="368"/>
        <v>278</v>
      </c>
      <c r="D6357" t="str">
        <f>"5"</f>
        <v>5</v>
      </c>
      <c r="E6357" t="str">
        <f>"1-278-5"</f>
        <v>1-278-5</v>
      </c>
      <c r="F6357" t="s">
        <v>83</v>
      </c>
      <c r="G6357" t="s">
        <v>84</v>
      </c>
      <c r="H6357" t="s">
        <v>85</v>
      </c>
      <c r="AC6357">
        <v>0</v>
      </c>
      <c r="AD6357">
        <v>1</v>
      </c>
      <c r="AE6357">
        <v>0</v>
      </c>
      <c r="AF6357">
        <v>0</v>
      </c>
      <c r="AG6357">
        <v>1</v>
      </c>
      <c r="AJ6357">
        <v>0</v>
      </c>
      <c r="AK6357">
        <v>1</v>
      </c>
      <c r="AL6357">
        <v>0</v>
      </c>
      <c r="AM6357">
        <v>0</v>
      </c>
      <c r="AN6357">
        <v>1</v>
      </c>
      <c r="AO6357">
        <v>1</v>
      </c>
      <c r="AP6357">
        <v>1</v>
      </c>
      <c r="AQ6357">
        <v>1</v>
      </c>
      <c r="AR6357">
        <v>1</v>
      </c>
      <c r="AS6357">
        <v>0</v>
      </c>
      <c r="AT6357">
        <v>1</v>
      </c>
      <c r="AV6357">
        <v>1</v>
      </c>
      <c r="AW6357">
        <v>1</v>
      </c>
    </row>
    <row r="6358" spans="1:49" x14ac:dyDescent="0.25">
      <c r="A6358" t="str">
        <f>"6354"</f>
        <v>6354</v>
      </c>
      <c r="B6358" t="str">
        <f t="shared" si="366"/>
        <v>1</v>
      </c>
      <c r="C6358" t="str">
        <f t="shared" si="368"/>
        <v>278</v>
      </c>
      <c r="D6358" t="str">
        <f>"17"</f>
        <v>17</v>
      </c>
      <c r="E6358" t="str">
        <f>"1-278-17"</f>
        <v>1-278-17</v>
      </c>
      <c r="F6358" t="s">
        <v>83</v>
      </c>
      <c r="G6358" t="s">
        <v>84</v>
      </c>
      <c r="H6358" t="s">
        <v>85</v>
      </c>
      <c r="AC6358">
        <v>0</v>
      </c>
      <c r="AD6358">
        <v>1</v>
      </c>
      <c r="AE6358">
        <v>0</v>
      </c>
      <c r="AF6358">
        <v>0</v>
      </c>
      <c r="AG6358">
        <v>0</v>
      </c>
      <c r="AJ6358">
        <v>0</v>
      </c>
      <c r="AK6358">
        <v>1</v>
      </c>
      <c r="AL6358">
        <v>0</v>
      </c>
      <c r="AM6358">
        <v>0</v>
      </c>
      <c r="AN6358">
        <v>1</v>
      </c>
      <c r="AO6358">
        <v>0</v>
      </c>
      <c r="AP6358">
        <v>0</v>
      </c>
      <c r="AQ6358">
        <v>0</v>
      </c>
      <c r="AR6358">
        <v>0</v>
      </c>
      <c r="AS6358">
        <v>0</v>
      </c>
      <c r="AT6358">
        <v>0</v>
      </c>
      <c r="AV6358">
        <v>0</v>
      </c>
      <c r="AW6358">
        <v>0</v>
      </c>
    </row>
    <row r="6359" spans="1:49" x14ac:dyDescent="0.25">
      <c r="A6359" t="str">
        <f>"6355"</f>
        <v>6355</v>
      </c>
      <c r="B6359" t="str">
        <f t="shared" si="366"/>
        <v>1</v>
      </c>
      <c r="C6359" t="str">
        <f t="shared" si="368"/>
        <v>278</v>
      </c>
      <c r="D6359" t="str">
        <f>"11"</f>
        <v>11</v>
      </c>
      <c r="E6359" t="str">
        <f>"1-278-11"</f>
        <v>1-278-11</v>
      </c>
      <c r="F6359" t="s">
        <v>83</v>
      </c>
      <c r="G6359" t="s">
        <v>84</v>
      </c>
      <c r="H6359" t="s">
        <v>92</v>
      </c>
      <c r="I6359">
        <v>1</v>
      </c>
      <c r="J6359">
        <v>1</v>
      </c>
      <c r="N6359">
        <v>1</v>
      </c>
      <c r="O6359">
        <v>1</v>
      </c>
      <c r="P6359">
        <v>1</v>
      </c>
      <c r="Q6359">
        <v>1</v>
      </c>
      <c r="R6359">
        <v>1</v>
      </c>
      <c r="S6359">
        <v>1</v>
      </c>
      <c r="T6359">
        <v>1</v>
      </c>
      <c r="W6359">
        <v>1</v>
      </c>
      <c r="X6359">
        <v>1</v>
      </c>
      <c r="Y6359">
        <v>1</v>
      </c>
      <c r="Z6359">
        <v>1</v>
      </c>
      <c r="AA6359">
        <v>1</v>
      </c>
      <c r="AB6359">
        <v>1</v>
      </c>
    </row>
    <row r="6360" spans="1:49" x14ac:dyDescent="0.25">
      <c r="A6360" t="str">
        <f>"6356"</f>
        <v>6356</v>
      </c>
      <c r="B6360" t="str">
        <f t="shared" si="366"/>
        <v>1</v>
      </c>
      <c r="C6360" t="str">
        <f t="shared" si="368"/>
        <v>278</v>
      </c>
      <c r="D6360" t="str">
        <f>"3"</f>
        <v>3</v>
      </c>
      <c r="E6360" t="str">
        <f>"1-278-3"</f>
        <v>1-278-3</v>
      </c>
      <c r="F6360" t="s">
        <v>83</v>
      </c>
      <c r="G6360" t="s">
        <v>84</v>
      </c>
      <c r="H6360" t="s">
        <v>85</v>
      </c>
      <c r="AC6360">
        <v>1</v>
      </c>
      <c r="AD6360">
        <v>0</v>
      </c>
      <c r="AE6360">
        <v>0</v>
      </c>
      <c r="AF6360">
        <v>0</v>
      </c>
      <c r="AG6360">
        <v>1</v>
      </c>
      <c r="AJ6360">
        <v>1</v>
      </c>
      <c r="AK6360">
        <v>0</v>
      </c>
      <c r="AL6360">
        <v>1</v>
      </c>
      <c r="AM6360">
        <v>0</v>
      </c>
      <c r="AN6360">
        <v>0</v>
      </c>
      <c r="AO6360">
        <v>1</v>
      </c>
      <c r="AP6360">
        <v>1</v>
      </c>
      <c r="AQ6360">
        <v>1</v>
      </c>
      <c r="AR6360">
        <v>1</v>
      </c>
      <c r="AS6360">
        <v>1</v>
      </c>
      <c r="AT6360">
        <v>0</v>
      </c>
      <c r="AV6360">
        <v>1</v>
      </c>
      <c r="AW6360">
        <v>1</v>
      </c>
    </row>
    <row r="6361" spans="1:49" x14ac:dyDescent="0.25">
      <c r="A6361" t="str">
        <f>"6357"</f>
        <v>6357</v>
      </c>
      <c r="B6361" t="str">
        <f t="shared" si="366"/>
        <v>1</v>
      </c>
      <c r="C6361" t="str">
        <f t="shared" si="368"/>
        <v>278</v>
      </c>
      <c r="D6361" t="str">
        <f>"14"</f>
        <v>14</v>
      </c>
      <c r="E6361" t="str">
        <f>"1-278-14"</f>
        <v>1-278-14</v>
      </c>
      <c r="F6361" t="s">
        <v>83</v>
      </c>
      <c r="G6361" t="s">
        <v>84</v>
      </c>
      <c r="H6361" t="s">
        <v>85</v>
      </c>
      <c r="AC6361">
        <v>0</v>
      </c>
      <c r="AD6361">
        <v>1</v>
      </c>
      <c r="AE6361">
        <v>0</v>
      </c>
      <c r="AF6361">
        <v>0</v>
      </c>
      <c r="AG6361">
        <v>0</v>
      </c>
      <c r="AJ6361">
        <v>0</v>
      </c>
      <c r="AK6361">
        <v>1</v>
      </c>
      <c r="AL6361">
        <v>0</v>
      </c>
      <c r="AM6361">
        <v>0</v>
      </c>
      <c r="AN6361">
        <v>1</v>
      </c>
      <c r="AO6361">
        <v>0</v>
      </c>
      <c r="AP6361">
        <v>0</v>
      </c>
      <c r="AQ6361">
        <v>0</v>
      </c>
      <c r="AR6361">
        <v>0</v>
      </c>
      <c r="AS6361">
        <v>0</v>
      </c>
      <c r="AT6361">
        <v>1</v>
      </c>
      <c r="AV6361">
        <v>0</v>
      </c>
      <c r="AW6361">
        <v>0</v>
      </c>
    </row>
    <row r="6362" spans="1:49" x14ac:dyDescent="0.25">
      <c r="A6362" t="str">
        <f>"6358"</f>
        <v>6358</v>
      </c>
      <c r="B6362" t="str">
        <f t="shared" si="366"/>
        <v>1</v>
      </c>
      <c r="C6362" t="str">
        <f t="shared" si="368"/>
        <v>278</v>
      </c>
      <c r="D6362" t="str">
        <f>"6"</f>
        <v>6</v>
      </c>
      <c r="E6362" t="str">
        <f>"1-278-6"</f>
        <v>1-278-6</v>
      </c>
      <c r="F6362" t="s">
        <v>83</v>
      </c>
      <c r="G6362" t="s">
        <v>84</v>
      </c>
      <c r="H6362" t="s">
        <v>92</v>
      </c>
      <c r="I6362">
        <v>1</v>
      </c>
      <c r="J6362">
        <v>1</v>
      </c>
      <c r="N6362">
        <v>1</v>
      </c>
      <c r="O6362">
        <v>1</v>
      </c>
      <c r="P6362">
        <v>1</v>
      </c>
      <c r="Q6362">
        <v>1</v>
      </c>
      <c r="R6362">
        <v>0</v>
      </c>
      <c r="S6362">
        <v>1</v>
      </c>
      <c r="T6362">
        <v>1</v>
      </c>
      <c r="W6362">
        <v>1</v>
      </c>
      <c r="X6362">
        <v>1</v>
      </c>
      <c r="Y6362">
        <v>1</v>
      </c>
      <c r="Z6362">
        <v>1</v>
      </c>
      <c r="AA6362">
        <v>1</v>
      </c>
      <c r="AB6362">
        <v>1</v>
      </c>
    </row>
    <row r="6363" spans="1:49" x14ac:dyDescent="0.25">
      <c r="A6363" t="str">
        <f>"6359"</f>
        <v>6359</v>
      </c>
      <c r="B6363" t="str">
        <f t="shared" si="366"/>
        <v>1</v>
      </c>
      <c r="C6363" t="str">
        <f t="shared" si="368"/>
        <v>278</v>
      </c>
      <c r="D6363" t="str">
        <f>"15"</f>
        <v>15</v>
      </c>
      <c r="E6363" t="str">
        <f>"1-278-15"</f>
        <v>1-278-15</v>
      </c>
      <c r="F6363" t="s">
        <v>83</v>
      </c>
      <c r="G6363" t="s">
        <v>84</v>
      </c>
      <c r="H6363" t="s">
        <v>85</v>
      </c>
      <c r="AC6363">
        <v>0</v>
      </c>
      <c r="AD6363">
        <v>1</v>
      </c>
      <c r="AE6363">
        <v>0</v>
      </c>
      <c r="AF6363">
        <v>0</v>
      </c>
      <c r="AG6363">
        <v>1</v>
      </c>
      <c r="AJ6363">
        <v>1</v>
      </c>
      <c r="AK6363">
        <v>0</v>
      </c>
      <c r="AL6363">
        <v>1</v>
      </c>
      <c r="AM6363">
        <v>0</v>
      </c>
      <c r="AN6363">
        <v>0</v>
      </c>
      <c r="AO6363">
        <v>1</v>
      </c>
      <c r="AP6363">
        <v>1</v>
      </c>
      <c r="AQ6363">
        <v>1</v>
      </c>
      <c r="AR6363">
        <v>1</v>
      </c>
      <c r="AS6363">
        <v>0</v>
      </c>
      <c r="AT6363">
        <v>1</v>
      </c>
      <c r="AV6363">
        <v>1</v>
      </c>
      <c r="AW6363">
        <v>1</v>
      </c>
    </row>
    <row r="6364" spans="1:49" x14ac:dyDescent="0.25">
      <c r="A6364" t="str">
        <f>"6360"</f>
        <v>6360</v>
      </c>
      <c r="B6364" t="str">
        <f t="shared" si="366"/>
        <v>1</v>
      </c>
      <c r="C6364" t="str">
        <f t="shared" si="368"/>
        <v>278</v>
      </c>
      <c r="D6364" t="str">
        <f>"2"</f>
        <v>2</v>
      </c>
      <c r="E6364" t="str">
        <f>"1-278-2"</f>
        <v>1-278-2</v>
      </c>
      <c r="F6364" t="s">
        <v>83</v>
      </c>
      <c r="G6364" t="s">
        <v>84</v>
      </c>
      <c r="H6364" t="s">
        <v>92</v>
      </c>
      <c r="I6364">
        <v>1</v>
      </c>
      <c r="J6364">
        <v>1</v>
      </c>
      <c r="N6364">
        <v>1</v>
      </c>
      <c r="O6364">
        <v>1</v>
      </c>
      <c r="P6364">
        <v>1</v>
      </c>
      <c r="Q6364">
        <v>1</v>
      </c>
      <c r="R6364">
        <v>1</v>
      </c>
      <c r="S6364">
        <v>1</v>
      </c>
      <c r="T6364">
        <v>1</v>
      </c>
      <c r="W6364">
        <v>1</v>
      </c>
      <c r="X6364">
        <v>1</v>
      </c>
      <c r="Y6364">
        <v>1</v>
      </c>
      <c r="Z6364">
        <v>1</v>
      </c>
      <c r="AA6364">
        <v>1</v>
      </c>
      <c r="AB6364">
        <v>1</v>
      </c>
    </row>
    <row r="6365" spans="1:49" x14ac:dyDescent="0.25">
      <c r="A6365" t="str">
        <f>"6361"</f>
        <v>6361</v>
      </c>
      <c r="B6365" t="str">
        <f t="shared" si="366"/>
        <v>1</v>
      </c>
      <c r="C6365" t="str">
        <f t="shared" si="368"/>
        <v>278</v>
      </c>
      <c r="D6365" t="str">
        <f>"18"</f>
        <v>18</v>
      </c>
      <c r="E6365" t="str">
        <f>"1-278-18"</f>
        <v>1-278-18</v>
      </c>
      <c r="F6365" t="s">
        <v>83</v>
      </c>
      <c r="G6365" t="s">
        <v>84</v>
      </c>
      <c r="H6365" t="s">
        <v>85</v>
      </c>
      <c r="AC6365">
        <v>0</v>
      </c>
      <c r="AD6365">
        <v>1</v>
      </c>
      <c r="AE6365">
        <v>0</v>
      </c>
      <c r="AF6365">
        <v>0</v>
      </c>
      <c r="AG6365">
        <v>0</v>
      </c>
      <c r="AJ6365">
        <v>1</v>
      </c>
      <c r="AK6365">
        <v>0</v>
      </c>
      <c r="AL6365">
        <v>0</v>
      </c>
      <c r="AM6365">
        <v>0</v>
      </c>
      <c r="AN6365">
        <v>1</v>
      </c>
      <c r="AO6365">
        <v>0</v>
      </c>
      <c r="AP6365">
        <v>0</v>
      </c>
      <c r="AQ6365">
        <v>0</v>
      </c>
      <c r="AR6365">
        <v>0</v>
      </c>
      <c r="AS6365">
        <v>0</v>
      </c>
      <c r="AT6365">
        <v>1</v>
      </c>
      <c r="AV6365">
        <v>0</v>
      </c>
      <c r="AW6365">
        <v>0</v>
      </c>
    </row>
    <row r="6366" spans="1:49" x14ac:dyDescent="0.25">
      <c r="A6366" t="str">
        <f>"6362"</f>
        <v>6362</v>
      </c>
      <c r="B6366" t="str">
        <f t="shared" ref="B6366:B6429" si="369">"1"</f>
        <v>1</v>
      </c>
      <c r="C6366" t="str">
        <f t="shared" si="368"/>
        <v>278</v>
      </c>
      <c r="D6366" t="str">
        <f>"7"</f>
        <v>7</v>
      </c>
      <c r="E6366" t="str">
        <f>"1-278-7"</f>
        <v>1-278-7</v>
      </c>
      <c r="F6366" t="s">
        <v>83</v>
      </c>
      <c r="G6366" t="s">
        <v>84</v>
      </c>
      <c r="H6366" t="s">
        <v>85</v>
      </c>
      <c r="AC6366">
        <v>0</v>
      </c>
      <c r="AD6366">
        <v>1</v>
      </c>
      <c r="AE6366">
        <v>0</v>
      </c>
      <c r="AF6366">
        <v>0</v>
      </c>
      <c r="AG6366">
        <v>1</v>
      </c>
      <c r="AJ6366">
        <v>0</v>
      </c>
      <c r="AK6366">
        <v>1</v>
      </c>
      <c r="AL6366">
        <v>0</v>
      </c>
      <c r="AM6366">
        <v>1</v>
      </c>
      <c r="AN6366">
        <v>0</v>
      </c>
      <c r="AO6366">
        <v>1</v>
      </c>
      <c r="AP6366">
        <v>1</v>
      </c>
      <c r="AQ6366">
        <v>1</v>
      </c>
      <c r="AR6366">
        <v>1</v>
      </c>
      <c r="AS6366">
        <v>0</v>
      </c>
      <c r="AT6366">
        <v>1</v>
      </c>
      <c r="AV6366">
        <v>1</v>
      </c>
      <c r="AW6366">
        <v>1</v>
      </c>
    </row>
    <row r="6367" spans="1:49" x14ac:dyDescent="0.25">
      <c r="A6367" t="str">
        <f>"6363"</f>
        <v>6363</v>
      </c>
      <c r="B6367" t="str">
        <f t="shared" si="369"/>
        <v>1</v>
      </c>
      <c r="C6367" t="str">
        <f t="shared" si="368"/>
        <v>278</v>
      </c>
      <c r="D6367" t="str">
        <f>"19"</f>
        <v>19</v>
      </c>
      <c r="E6367" t="str">
        <f>"1-278-19"</f>
        <v>1-278-19</v>
      </c>
      <c r="F6367" t="s">
        <v>83</v>
      </c>
      <c r="G6367" t="s">
        <v>84</v>
      </c>
      <c r="H6367" t="s">
        <v>92</v>
      </c>
      <c r="I6367">
        <v>1</v>
      </c>
      <c r="J6367">
        <v>1</v>
      </c>
      <c r="N6367">
        <v>1</v>
      </c>
      <c r="O6367">
        <v>1</v>
      </c>
      <c r="P6367">
        <v>1</v>
      </c>
      <c r="Q6367">
        <v>1</v>
      </c>
      <c r="R6367">
        <v>1</v>
      </c>
      <c r="S6367">
        <v>1</v>
      </c>
      <c r="T6367">
        <v>1</v>
      </c>
      <c r="W6367">
        <v>1</v>
      </c>
      <c r="X6367">
        <v>1</v>
      </c>
      <c r="Y6367">
        <v>1</v>
      </c>
      <c r="Z6367">
        <v>1</v>
      </c>
      <c r="AA6367">
        <v>1</v>
      </c>
      <c r="AB6367">
        <v>1</v>
      </c>
    </row>
    <row r="6368" spans="1:49" x14ac:dyDescent="0.25">
      <c r="A6368" t="str">
        <f>"6364"</f>
        <v>6364</v>
      </c>
      <c r="B6368" t="str">
        <f t="shared" si="369"/>
        <v>1</v>
      </c>
      <c r="C6368" t="str">
        <f t="shared" si="368"/>
        <v>278</v>
      </c>
      <c r="D6368" t="str">
        <f>"4"</f>
        <v>4</v>
      </c>
      <c r="E6368" t="str">
        <f>"1-278-4"</f>
        <v>1-278-4</v>
      </c>
      <c r="F6368" t="s">
        <v>83</v>
      </c>
      <c r="G6368" t="s">
        <v>84</v>
      </c>
      <c r="H6368" t="s">
        <v>85</v>
      </c>
      <c r="AC6368">
        <v>0</v>
      </c>
      <c r="AD6368">
        <v>1</v>
      </c>
      <c r="AE6368">
        <v>0</v>
      </c>
      <c r="AF6368">
        <v>0</v>
      </c>
      <c r="AG6368">
        <v>1</v>
      </c>
      <c r="AJ6368">
        <v>0</v>
      </c>
      <c r="AK6368">
        <v>1</v>
      </c>
      <c r="AL6368">
        <v>0</v>
      </c>
      <c r="AM6368">
        <v>0</v>
      </c>
      <c r="AN6368">
        <v>1</v>
      </c>
      <c r="AO6368">
        <v>1</v>
      </c>
      <c r="AP6368">
        <v>1</v>
      </c>
      <c r="AQ6368">
        <v>1</v>
      </c>
      <c r="AR6368">
        <v>1</v>
      </c>
      <c r="AS6368">
        <v>1</v>
      </c>
      <c r="AT6368">
        <v>0</v>
      </c>
      <c r="AV6368">
        <v>1</v>
      </c>
      <c r="AW6368">
        <v>1</v>
      </c>
    </row>
    <row r="6369" spans="1:49" x14ac:dyDescent="0.25">
      <c r="A6369" t="str">
        <f>"6365"</f>
        <v>6365</v>
      </c>
      <c r="B6369" t="str">
        <f t="shared" si="369"/>
        <v>1</v>
      </c>
      <c r="C6369" t="str">
        <f t="shared" ref="C6369:C6393" si="370">"279"</f>
        <v>279</v>
      </c>
      <c r="D6369" t="str">
        <f>"21"</f>
        <v>21</v>
      </c>
      <c r="E6369" t="str">
        <f>"1-279-21"</f>
        <v>1-279-21</v>
      </c>
      <c r="F6369" t="s">
        <v>83</v>
      </c>
      <c r="G6369" t="s">
        <v>84</v>
      </c>
      <c r="H6369" t="s">
        <v>92</v>
      </c>
      <c r="I6369">
        <v>1</v>
      </c>
      <c r="J6369">
        <v>1</v>
      </c>
      <c r="N6369">
        <v>1</v>
      </c>
      <c r="O6369">
        <v>1</v>
      </c>
      <c r="P6369">
        <v>1</v>
      </c>
      <c r="Q6369">
        <v>1</v>
      </c>
      <c r="R6369">
        <v>1</v>
      </c>
      <c r="S6369">
        <v>1</v>
      </c>
      <c r="T6369">
        <v>1</v>
      </c>
      <c r="W6369">
        <v>1</v>
      </c>
      <c r="X6369">
        <v>1</v>
      </c>
      <c r="Y6369">
        <v>1</v>
      </c>
      <c r="Z6369">
        <v>1</v>
      </c>
      <c r="AA6369">
        <v>1</v>
      </c>
      <c r="AB6369">
        <v>1</v>
      </c>
    </row>
    <row r="6370" spans="1:49" x14ac:dyDescent="0.25">
      <c r="A6370" t="str">
        <f>"6366"</f>
        <v>6366</v>
      </c>
      <c r="B6370" t="str">
        <f t="shared" si="369"/>
        <v>1</v>
      </c>
      <c r="C6370" t="str">
        <f t="shared" si="370"/>
        <v>279</v>
      </c>
      <c r="D6370" t="str">
        <f>"20"</f>
        <v>20</v>
      </c>
      <c r="E6370" t="str">
        <f>"1-279-20"</f>
        <v>1-279-20</v>
      </c>
      <c r="F6370" t="s">
        <v>83</v>
      </c>
      <c r="G6370" t="s">
        <v>84</v>
      </c>
      <c r="H6370" t="s">
        <v>92</v>
      </c>
      <c r="I6370">
        <v>1</v>
      </c>
      <c r="J6370">
        <v>1</v>
      </c>
      <c r="N6370">
        <v>1</v>
      </c>
      <c r="O6370">
        <v>1</v>
      </c>
      <c r="P6370">
        <v>1</v>
      </c>
      <c r="Q6370">
        <v>1</v>
      </c>
      <c r="R6370">
        <v>1</v>
      </c>
      <c r="S6370">
        <v>1</v>
      </c>
      <c r="T6370">
        <v>1</v>
      </c>
      <c r="W6370">
        <v>1</v>
      </c>
      <c r="X6370">
        <v>1</v>
      </c>
      <c r="Y6370">
        <v>1</v>
      </c>
      <c r="Z6370">
        <v>1</v>
      </c>
      <c r="AA6370">
        <v>1</v>
      </c>
      <c r="AB6370">
        <v>1</v>
      </c>
    </row>
    <row r="6371" spans="1:49" x14ac:dyDescent="0.25">
      <c r="A6371" t="str">
        <f>"6367"</f>
        <v>6367</v>
      </c>
      <c r="B6371" t="str">
        <f t="shared" si="369"/>
        <v>1</v>
      </c>
      <c r="C6371" t="str">
        <f t="shared" si="370"/>
        <v>279</v>
      </c>
      <c r="D6371" t="str">
        <f>"16"</f>
        <v>16</v>
      </c>
      <c r="E6371" t="str">
        <f>"1-279-16"</f>
        <v>1-279-16</v>
      </c>
      <c r="F6371" t="s">
        <v>83</v>
      </c>
      <c r="G6371" t="s">
        <v>84</v>
      </c>
      <c r="H6371" t="s">
        <v>85</v>
      </c>
      <c r="AC6371">
        <v>1</v>
      </c>
      <c r="AD6371">
        <v>0</v>
      </c>
      <c r="AE6371">
        <v>0</v>
      </c>
      <c r="AF6371">
        <v>0</v>
      </c>
      <c r="AG6371">
        <v>0</v>
      </c>
      <c r="AJ6371">
        <v>0</v>
      </c>
      <c r="AK6371">
        <v>0</v>
      </c>
      <c r="AL6371">
        <v>0</v>
      </c>
      <c r="AM6371">
        <v>0</v>
      </c>
      <c r="AN6371">
        <v>1</v>
      </c>
      <c r="AO6371">
        <v>0</v>
      </c>
      <c r="AP6371">
        <v>0</v>
      </c>
      <c r="AQ6371">
        <v>0</v>
      </c>
      <c r="AR6371">
        <v>0</v>
      </c>
      <c r="AS6371">
        <v>0</v>
      </c>
      <c r="AT6371">
        <v>0</v>
      </c>
      <c r="AV6371">
        <v>0</v>
      </c>
      <c r="AW6371">
        <v>0</v>
      </c>
    </row>
    <row r="6372" spans="1:49" x14ac:dyDescent="0.25">
      <c r="A6372" t="str">
        <f>"6368"</f>
        <v>6368</v>
      </c>
      <c r="B6372" t="str">
        <f t="shared" si="369"/>
        <v>1</v>
      </c>
      <c r="C6372" t="str">
        <f t="shared" si="370"/>
        <v>279</v>
      </c>
      <c r="D6372" t="str">
        <f>"8"</f>
        <v>8</v>
      </c>
      <c r="E6372" t="str">
        <f>"1-279-8"</f>
        <v>1-279-8</v>
      </c>
      <c r="F6372" t="s">
        <v>83</v>
      </c>
      <c r="G6372" t="s">
        <v>84</v>
      </c>
      <c r="H6372" t="s">
        <v>85</v>
      </c>
      <c r="AC6372">
        <v>1</v>
      </c>
      <c r="AD6372">
        <v>0</v>
      </c>
      <c r="AE6372">
        <v>0</v>
      </c>
      <c r="AF6372">
        <v>0</v>
      </c>
      <c r="AG6372">
        <v>1</v>
      </c>
      <c r="AJ6372">
        <v>0</v>
      </c>
      <c r="AK6372">
        <v>1</v>
      </c>
      <c r="AL6372">
        <v>0</v>
      </c>
      <c r="AM6372">
        <v>0</v>
      </c>
      <c r="AN6372">
        <v>1</v>
      </c>
      <c r="AO6372">
        <v>1</v>
      </c>
      <c r="AP6372">
        <v>1</v>
      </c>
      <c r="AQ6372">
        <v>1</v>
      </c>
      <c r="AR6372">
        <v>1</v>
      </c>
      <c r="AS6372">
        <v>0</v>
      </c>
      <c r="AT6372">
        <v>1</v>
      </c>
      <c r="AV6372">
        <v>1</v>
      </c>
      <c r="AW6372">
        <v>1</v>
      </c>
    </row>
    <row r="6373" spans="1:49" x14ac:dyDescent="0.25">
      <c r="A6373" t="str">
        <f>"6369"</f>
        <v>6369</v>
      </c>
      <c r="B6373" t="str">
        <f t="shared" si="369"/>
        <v>1</v>
      </c>
      <c r="C6373" t="str">
        <f t="shared" si="370"/>
        <v>279</v>
      </c>
      <c r="D6373" t="str">
        <f>"1"</f>
        <v>1</v>
      </c>
      <c r="E6373" t="str">
        <f>"1-279-1"</f>
        <v>1-279-1</v>
      </c>
      <c r="F6373" t="s">
        <v>83</v>
      </c>
      <c r="G6373" t="s">
        <v>84</v>
      </c>
      <c r="H6373" t="s">
        <v>92</v>
      </c>
      <c r="I6373">
        <v>1</v>
      </c>
      <c r="J6373">
        <v>1</v>
      </c>
      <c r="N6373">
        <v>1</v>
      </c>
      <c r="O6373">
        <v>1</v>
      </c>
      <c r="P6373">
        <v>0</v>
      </c>
      <c r="Q6373">
        <v>1</v>
      </c>
      <c r="R6373">
        <v>1</v>
      </c>
      <c r="S6373">
        <v>1</v>
      </c>
      <c r="T6373">
        <v>0</v>
      </c>
      <c r="W6373">
        <v>1</v>
      </c>
      <c r="X6373">
        <v>1</v>
      </c>
      <c r="Y6373">
        <v>1</v>
      </c>
      <c r="Z6373">
        <v>0</v>
      </c>
      <c r="AA6373">
        <v>0</v>
      </c>
      <c r="AB6373">
        <v>1</v>
      </c>
    </row>
    <row r="6374" spans="1:49" x14ac:dyDescent="0.25">
      <c r="A6374" t="str">
        <f>"6370"</f>
        <v>6370</v>
      </c>
      <c r="B6374" t="str">
        <f t="shared" si="369"/>
        <v>1</v>
      </c>
      <c r="C6374" t="str">
        <f t="shared" si="370"/>
        <v>279</v>
      </c>
      <c r="D6374" t="str">
        <f>"23"</f>
        <v>23</v>
      </c>
      <c r="E6374" t="str">
        <f>"1-279-23"</f>
        <v>1-279-23</v>
      </c>
      <c r="F6374" t="s">
        <v>83</v>
      </c>
      <c r="G6374" t="s">
        <v>84</v>
      </c>
      <c r="H6374" t="s">
        <v>85</v>
      </c>
      <c r="AC6374">
        <v>1</v>
      </c>
      <c r="AD6374">
        <v>0</v>
      </c>
      <c r="AE6374">
        <v>0</v>
      </c>
      <c r="AF6374">
        <v>0</v>
      </c>
      <c r="AG6374">
        <v>1</v>
      </c>
      <c r="AJ6374">
        <v>0</v>
      </c>
      <c r="AK6374">
        <v>1</v>
      </c>
      <c r="AL6374">
        <v>1</v>
      </c>
      <c r="AM6374">
        <v>0</v>
      </c>
      <c r="AN6374">
        <v>0</v>
      </c>
      <c r="AO6374">
        <v>1</v>
      </c>
      <c r="AP6374">
        <v>1</v>
      </c>
      <c r="AQ6374">
        <v>1</v>
      </c>
      <c r="AR6374">
        <v>1</v>
      </c>
      <c r="AS6374">
        <v>0</v>
      </c>
      <c r="AT6374">
        <v>1</v>
      </c>
      <c r="AV6374">
        <v>1</v>
      </c>
      <c r="AW6374">
        <v>1</v>
      </c>
    </row>
    <row r="6375" spans="1:49" x14ac:dyDescent="0.25">
      <c r="A6375" t="str">
        <f>"6371"</f>
        <v>6371</v>
      </c>
      <c r="B6375" t="str">
        <f t="shared" si="369"/>
        <v>1</v>
      </c>
      <c r="C6375" t="str">
        <f t="shared" si="370"/>
        <v>279</v>
      </c>
      <c r="D6375" t="str">
        <f>"22"</f>
        <v>22</v>
      </c>
      <c r="E6375" t="str">
        <f>"1-279-22"</f>
        <v>1-279-22</v>
      </c>
      <c r="F6375" t="s">
        <v>83</v>
      </c>
      <c r="G6375" t="s">
        <v>84</v>
      </c>
      <c r="H6375" t="s">
        <v>85</v>
      </c>
      <c r="AC6375">
        <v>1</v>
      </c>
      <c r="AD6375">
        <v>0</v>
      </c>
      <c r="AE6375">
        <v>0</v>
      </c>
      <c r="AF6375">
        <v>0</v>
      </c>
      <c r="AG6375">
        <v>1</v>
      </c>
      <c r="AJ6375">
        <v>0</v>
      </c>
      <c r="AK6375">
        <v>1</v>
      </c>
      <c r="AL6375">
        <v>1</v>
      </c>
      <c r="AM6375">
        <v>0</v>
      </c>
      <c r="AN6375">
        <v>0</v>
      </c>
      <c r="AO6375">
        <v>1</v>
      </c>
      <c r="AP6375">
        <v>1</v>
      </c>
      <c r="AQ6375">
        <v>1</v>
      </c>
      <c r="AR6375">
        <v>1</v>
      </c>
      <c r="AS6375">
        <v>0</v>
      </c>
      <c r="AT6375">
        <v>1</v>
      </c>
      <c r="AV6375">
        <v>1</v>
      </c>
      <c r="AW6375">
        <v>1</v>
      </c>
    </row>
    <row r="6376" spans="1:49" x14ac:dyDescent="0.25">
      <c r="A6376" t="str">
        <f>"6372"</f>
        <v>6372</v>
      </c>
      <c r="B6376" t="str">
        <f t="shared" si="369"/>
        <v>1</v>
      </c>
      <c r="C6376" t="str">
        <f t="shared" si="370"/>
        <v>279</v>
      </c>
      <c r="D6376" t="str">
        <f>"15"</f>
        <v>15</v>
      </c>
      <c r="E6376" t="str">
        <f>"1-279-15"</f>
        <v>1-279-15</v>
      </c>
      <c r="F6376" t="s">
        <v>83</v>
      </c>
      <c r="G6376" t="s">
        <v>84</v>
      </c>
      <c r="H6376" t="s">
        <v>85</v>
      </c>
      <c r="AC6376">
        <v>0</v>
      </c>
      <c r="AD6376">
        <v>1</v>
      </c>
      <c r="AE6376">
        <v>0</v>
      </c>
      <c r="AF6376">
        <v>0</v>
      </c>
      <c r="AG6376">
        <v>0</v>
      </c>
      <c r="AJ6376">
        <v>0</v>
      </c>
      <c r="AK6376">
        <v>0</v>
      </c>
      <c r="AL6376">
        <v>0</v>
      </c>
      <c r="AM6376">
        <v>0</v>
      </c>
      <c r="AN6376">
        <v>1</v>
      </c>
      <c r="AO6376">
        <v>0</v>
      </c>
      <c r="AP6376">
        <v>0</v>
      </c>
      <c r="AQ6376">
        <v>0</v>
      </c>
      <c r="AR6376">
        <v>0</v>
      </c>
      <c r="AS6376">
        <v>0</v>
      </c>
      <c r="AT6376">
        <v>0</v>
      </c>
      <c r="AV6376">
        <v>0</v>
      </c>
      <c r="AW6376">
        <v>0</v>
      </c>
    </row>
    <row r="6377" spans="1:49" x14ac:dyDescent="0.25">
      <c r="A6377" t="str">
        <f>"6373"</f>
        <v>6373</v>
      </c>
      <c r="B6377" t="str">
        <f t="shared" si="369"/>
        <v>1</v>
      </c>
      <c r="C6377" t="str">
        <f t="shared" si="370"/>
        <v>279</v>
      </c>
      <c r="D6377" t="str">
        <f>"9"</f>
        <v>9</v>
      </c>
      <c r="E6377" t="str">
        <f>"1-279-9"</f>
        <v>1-279-9</v>
      </c>
      <c r="F6377" t="s">
        <v>83</v>
      </c>
      <c r="G6377" t="s">
        <v>84</v>
      </c>
      <c r="H6377" t="s">
        <v>92</v>
      </c>
      <c r="I6377">
        <v>1</v>
      </c>
      <c r="J6377">
        <v>1</v>
      </c>
      <c r="N6377">
        <v>1</v>
      </c>
      <c r="O6377">
        <v>1</v>
      </c>
      <c r="P6377">
        <v>1</v>
      </c>
      <c r="Q6377">
        <v>1</v>
      </c>
      <c r="R6377">
        <v>1</v>
      </c>
      <c r="S6377">
        <v>1</v>
      </c>
      <c r="T6377">
        <v>1</v>
      </c>
      <c r="W6377">
        <v>1</v>
      </c>
      <c r="X6377">
        <v>1</v>
      </c>
      <c r="Y6377">
        <v>1</v>
      </c>
      <c r="Z6377">
        <v>1</v>
      </c>
      <c r="AA6377">
        <v>1</v>
      </c>
      <c r="AB6377">
        <v>1</v>
      </c>
    </row>
    <row r="6378" spans="1:49" x14ac:dyDescent="0.25">
      <c r="A6378" t="str">
        <f>"6374"</f>
        <v>6374</v>
      </c>
      <c r="B6378" t="str">
        <f t="shared" si="369"/>
        <v>1</v>
      </c>
      <c r="C6378" t="str">
        <f t="shared" si="370"/>
        <v>279</v>
      </c>
      <c r="D6378" t="str">
        <f>"7"</f>
        <v>7</v>
      </c>
      <c r="E6378" t="str">
        <f>"1-279-7"</f>
        <v>1-279-7</v>
      </c>
      <c r="F6378" t="s">
        <v>83</v>
      </c>
      <c r="G6378" t="s">
        <v>84</v>
      </c>
      <c r="H6378" t="s">
        <v>92</v>
      </c>
      <c r="I6378">
        <v>0</v>
      </c>
      <c r="J6378">
        <v>0</v>
      </c>
      <c r="N6378">
        <v>1</v>
      </c>
      <c r="O6378">
        <v>0</v>
      </c>
      <c r="P6378">
        <v>0</v>
      </c>
      <c r="Q6378">
        <v>0</v>
      </c>
      <c r="R6378">
        <v>0</v>
      </c>
      <c r="S6378">
        <v>1</v>
      </c>
      <c r="T6378">
        <v>0</v>
      </c>
      <c r="W6378">
        <v>1</v>
      </c>
      <c r="X6378">
        <v>1</v>
      </c>
      <c r="Y6378">
        <v>1</v>
      </c>
      <c r="Z6378">
        <v>0</v>
      </c>
      <c r="AA6378">
        <v>0</v>
      </c>
      <c r="AB6378">
        <v>1</v>
      </c>
    </row>
    <row r="6379" spans="1:49" x14ac:dyDescent="0.25">
      <c r="A6379" t="str">
        <f>"6375"</f>
        <v>6375</v>
      </c>
      <c r="B6379" t="str">
        <f t="shared" si="369"/>
        <v>1</v>
      </c>
      <c r="C6379" t="str">
        <f t="shared" si="370"/>
        <v>279</v>
      </c>
      <c r="D6379" t="str">
        <f>"25"</f>
        <v>25</v>
      </c>
      <c r="E6379" t="str">
        <f>"1-279-25"</f>
        <v>1-279-25</v>
      </c>
      <c r="F6379" t="s">
        <v>83</v>
      </c>
      <c r="G6379" t="s">
        <v>84</v>
      </c>
      <c r="H6379" t="s">
        <v>85</v>
      </c>
      <c r="AC6379">
        <v>1</v>
      </c>
      <c r="AD6379">
        <v>0</v>
      </c>
      <c r="AE6379">
        <v>0</v>
      </c>
      <c r="AF6379">
        <v>0</v>
      </c>
      <c r="AG6379">
        <v>1</v>
      </c>
      <c r="AJ6379">
        <v>0</v>
      </c>
      <c r="AK6379">
        <v>1</v>
      </c>
      <c r="AL6379">
        <v>0</v>
      </c>
      <c r="AM6379">
        <v>0</v>
      </c>
      <c r="AN6379">
        <v>1</v>
      </c>
      <c r="AO6379">
        <v>1</v>
      </c>
      <c r="AP6379">
        <v>1</v>
      </c>
      <c r="AQ6379">
        <v>1</v>
      </c>
      <c r="AR6379">
        <v>1</v>
      </c>
      <c r="AS6379">
        <v>1</v>
      </c>
      <c r="AT6379">
        <v>0</v>
      </c>
      <c r="AV6379">
        <v>1</v>
      </c>
      <c r="AW6379">
        <v>1</v>
      </c>
    </row>
    <row r="6380" spans="1:49" x14ac:dyDescent="0.25">
      <c r="A6380" t="str">
        <f>"6376"</f>
        <v>6376</v>
      </c>
      <c r="B6380" t="str">
        <f t="shared" si="369"/>
        <v>1</v>
      </c>
      <c r="C6380" t="str">
        <f t="shared" si="370"/>
        <v>279</v>
      </c>
      <c r="D6380" t="str">
        <f>"24"</f>
        <v>24</v>
      </c>
      <c r="E6380" t="str">
        <f>"1-279-24"</f>
        <v>1-279-24</v>
      </c>
      <c r="F6380" t="s">
        <v>83</v>
      </c>
      <c r="G6380" t="s">
        <v>84</v>
      </c>
      <c r="H6380" t="s">
        <v>92</v>
      </c>
      <c r="I6380">
        <v>1</v>
      </c>
      <c r="J6380">
        <v>1</v>
      </c>
      <c r="N6380">
        <v>1</v>
      </c>
      <c r="O6380">
        <v>1</v>
      </c>
      <c r="P6380">
        <v>1</v>
      </c>
      <c r="Q6380">
        <v>1</v>
      </c>
      <c r="R6380">
        <v>1</v>
      </c>
      <c r="S6380">
        <v>1</v>
      </c>
      <c r="T6380">
        <v>1</v>
      </c>
      <c r="W6380">
        <v>1</v>
      </c>
      <c r="X6380">
        <v>1</v>
      </c>
      <c r="Y6380">
        <v>1</v>
      </c>
      <c r="Z6380">
        <v>1</v>
      </c>
      <c r="AA6380">
        <v>1</v>
      </c>
      <c r="AB6380">
        <v>1</v>
      </c>
    </row>
    <row r="6381" spans="1:49" x14ac:dyDescent="0.25">
      <c r="A6381" t="str">
        <f>"6377"</f>
        <v>6377</v>
      </c>
      <c r="B6381" t="str">
        <f t="shared" si="369"/>
        <v>1</v>
      </c>
      <c r="C6381" t="str">
        <f t="shared" si="370"/>
        <v>279</v>
      </c>
      <c r="D6381" t="str">
        <f>"17"</f>
        <v>17</v>
      </c>
      <c r="E6381" t="str">
        <f>"1-279-17"</f>
        <v>1-279-17</v>
      </c>
      <c r="F6381" t="s">
        <v>83</v>
      </c>
      <c r="G6381" t="s">
        <v>84</v>
      </c>
      <c r="H6381" t="s">
        <v>92</v>
      </c>
      <c r="I6381">
        <v>1</v>
      </c>
      <c r="J6381">
        <v>1</v>
      </c>
      <c r="N6381">
        <v>1</v>
      </c>
      <c r="O6381">
        <v>1</v>
      </c>
      <c r="P6381">
        <v>1</v>
      </c>
      <c r="Q6381">
        <v>1</v>
      </c>
      <c r="R6381">
        <v>1</v>
      </c>
      <c r="S6381">
        <v>1</v>
      </c>
      <c r="T6381">
        <v>1</v>
      </c>
      <c r="W6381">
        <v>1</v>
      </c>
      <c r="X6381">
        <v>1</v>
      </c>
      <c r="Y6381">
        <v>1</v>
      </c>
      <c r="Z6381">
        <v>1</v>
      </c>
      <c r="AA6381">
        <v>1</v>
      </c>
      <c r="AB6381">
        <v>1</v>
      </c>
    </row>
    <row r="6382" spans="1:49" x14ac:dyDescent="0.25">
      <c r="A6382" t="str">
        <f>"6378"</f>
        <v>6378</v>
      </c>
      <c r="B6382" t="str">
        <f t="shared" si="369"/>
        <v>1</v>
      </c>
      <c r="C6382" t="str">
        <f t="shared" si="370"/>
        <v>279</v>
      </c>
      <c r="D6382" t="str">
        <f>"10"</f>
        <v>10</v>
      </c>
      <c r="E6382" t="str">
        <f>"1-279-10"</f>
        <v>1-279-10</v>
      </c>
      <c r="F6382" t="s">
        <v>83</v>
      </c>
      <c r="G6382" t="s">
        <v>84</v>
      </c>
      <c r="H6382" t="s">
        <v>92</v>
      </c>
      <c r="I6382">
        <v>1</v>
      </c>
      <c r="J6382">
        <v>1</v>
      </c>
      <c r="N6382">
        <v>1</v>
      </c>
      <c r="O6382">
        <v>1</v>
      </c>
      <c r="P6382">
        <v>1</v>
      </c>
      <c r="Q6382">
        <v>1</v>
      </c>
      <c r="R6382">
        <v>1</v>
      </c>
      <c r="S6382">
        <v>1</v>
      </c>
      <c r="T6382">
        <v>1</v>
      </c>
      <c r="W6382">
        <v>1</v>
      </c>
      <c r="X6382">
        <v>1</v>
      </c>
      <c r="Y6382">
        <v>1</v>
      </c>
      <c r="Z6382">
        <v>1</v>
      </c>
      <c r="AA6382">
        <v>1</v>
      </c>
      <c r="AB6382">
        <v>1</v>
      </c>
    </row>
    <row r="6383" spans="1:49" x14ac:dyDescent="0.25">
      <c r="A6383" t="str">
        <f>"6379"</f>
        <v>6379</v>
      </c>
      <c r="B6383" t="str">
        <f t="shared" si="369"/>
        <v>1</v>
      </c>
      <c r="C6383" t="str">
        <f t="shared" si="370"/>
        <v>279</v>
      </c>
      <c r="D6383" t="str">
        <f>"4"</f>
        <v>4</v>
      </c>
      <c r="E6383" t="str">
        <f>"1-279-4"</f>
        <v>1-279-4</v>
      </c>
      <c r="F6383" t="s">
        <v>83</v>
      </c>
      <c r="G6383" t="s">
        <v>84</v>
      </c>
      <c r="H6383" t="s">
        <v>92</v>
      </c>
      <c r="I6383">
        <v>1</v>
      </c>
      <c r="J6383">
        <v>1</v>
      </c>
      <c r="N6383">
        <v>1</v>
      </c>
      <c r="O6383">
        <v>1</v>
      </c>
      <c r="P6383">
        <v>1</v>
      </c>
      <c r="Q6383">
        <v>1</v>
      </c>
      <c r="R6383">
        <v>1</v>
      </c>
      <c r="S6383">
        <v>1</v>
      </c>
      <c r="T6383">
        <v>1</v>
      </c>
      <c r="W6383">
        <v>1</v>
      </c>
      <c r="X6383">
        <v>1</v>
      </c>
      <c r="Y6383">
        <v>1</v>
      </c>
      <c r="Z6383">
        <v>1</v>
      </c>
      <c r="AA6383">
        <v>1</v>
      </c>
      <c r="AB6383">
        <v>1</v>
      </c>
    </row>
    <row r="6384" spans="1:49" x14ac:dyDescent="0.25">
      <c r="A6384" t="str">
        <f>"6380"</f>
        <v>6380</v>
      </c>
      <c r="B6384" t="str">
        <f t="shared" si="369"/>
        <v>1</v>
      </c>
      <c r="C6384" t="str">
        <f t="shared" si="370"/>
        <v>279</v>
      </c>
      <c r="D6384" t="str">
        <f>"18"</f>
        <v>18</v>
      </c>
      <c r="E6384" t="str">
        <f>"1-279-18"</f>
        <v>1-279-18</v>
      </c>
      <c r="F6384" t="s">
        <v>83</v>
      </c>
      <c r="G6384" t="s">
        <v>84</v>
      </c>
      <c r="H6384" t="s">
        <v>92</v>
      </c>
      <c r="I6384">
        <v>1</v>
      </c>
      <c r="J6384">
        <v>1</v>
      </c>
      <c r="N6384">
        <v>1</v>
      </c>
      <c r="O6384">
        <v>1</v>
      </c>
      <c r="P6384">
        <v>1</v>
      </c>
      <c r="Q6384">
        <v>1</v>
      </c>
      <c r="R6384">
        <v>1</v>
      </c>
      <c r="S6384">
        <v>1</v>
      </c>
      <c r="T6384">
        <v>1</v>
      </c>
      <c r="W6384">
        <v>1</v>
      </c>
      <c r="X6384">
        <v>1</v>
      </c>
      <c r="Y6384">
        <v>1</v>
      </c>
      <c r="Z6384">
        <v>1</v>
      </c>
      <c r="AA6384">
        <v>1</v>
      </c>
      <c r="AB6384">
        <v>1</v>
      </c>
    </row>
    <row r="6385" spans="1:49" x14ac:dyDescent="0.25">
      <c r="A6385" t="str">
        <f>"6381"</f>
        <v>6381</v>
      </c>
      <c r="B6385" t="str">
        <f t="shared" si="369"/>
        <v>1</v>
      </c>
      <c r="C6385" t="str">
        <f t="shared" si="370"/>
        <v>279</v>
      </c>
      <c r="D6385" t="str">
        <f>"11"</f>
        <v>11</v>
      </c>
      <c r="E6385" t="str">
        <f>"1-279-11"</f>
        <v>1-279-11</v>
      </c>
      <c r="F6385" t="s">
        <v>83</v>
      </c>
      <c r="G6385" t="s">
        <v>84</v>
      </c>
      <c r="H6385" t="s">
        <v>92</v>
      </c>
      <c r="I6385">
        <v>1</v>
      </c>
      <c r="J6385">
        <v>1</v>
      </c>
      <c r="N6385">
        <v>1</v>
      </c>
      <c r="O6385">
        <v>1</v>
      </c>
      <c r="P6385">
        <v>1</v>
      </c>
      <c r="Q6385">
        <v>1</v>
      </c>
      <c r="R6385">
        <v>1</v>
      </c>
      <c r="S6385">
        <v>1</v>
      </c>
      <c r="T6385">
        <v>1</v>
      </c>
      <c r="W6385">
        <v>1</v>
      </c>
      <c r="X6385">
        <v>1</v>
      </c>
      <c r="Y6385">
        <v>1</v>
      </c>
      <c r="Z6385">
        <v>1</v>
      </c>
      <c r="AA6385">
        <v>1</v>
      </c>
      <c r="AB6385">
        <v>1</v>
      </c>
    </row>
    <row r="6386" spans="1:49" x14ac:dyDescent="0.25">
      <c r="A6386" t="str">
        <f>"6382"</f>
        <v>6382</v>
      </c>
      <c r="B6386" t="str">
        <f t="shared" si="369"/>
        <v>1</v>
      </c>
      <c r="C6386" t="str">
        <f t="shared" si="370"/>
        <v>279</v>
      </c>
      <c r="D6386" t="str">
        <f>"6"</f>
        <v>6</v>
      </c>
      <c r="E6386" t="str">
        <f>"1-279-6"</f>
        <v>1-279-6</v>
      </c>
      <c r="F6386" t="s">
        <v>83</v>
      </c>
      <c r="G6386" t="s">
        <v>84</v>
      </c>
      <c r="H6386" t="s">
        <v>85</v>
      </c>
      <c r="AC6386">
        <v>0</v>
      </c>
      <c r="AD6386">
        <v>1</v>
      </c>
      <c r="AE6386">
        <v>0</v>
      </c>
      <c r="AF6386">
        <v>0</v>
      </c>
      <c r="AG6386">
        <v>0</v>
      </c>
      <c r="AJ6386">
        <v>1</v>
      </c>
      <c r="AK6386">
        <v>0</v>
      </c>
      <c r="AL6386">
        <v>0</v>
      </c>
      <c r="AM6386">
        <v>0</v>
      </c>
      <c r="AN6386">
        <v>1</v>
      </c>
      <c r="AO6386">
        <v>0</v>
      </c>
      <c r="AP6386">
        <v>0</v>
      </c>
      <c r="AQ6386">
        <v>0</v>
      </c>
      <c r="AR6386">
        <v>0</v>
      </c>
      <c r="AS6386">
        <v>0</v>
      </c>
      <c r="AT6386">
        <v>1</v>
      </c>
      <c r="AV6386">
        <v>0</v>
      </c>
      <c r="AW6386">
        <v>0</v>
      </c>
    </row>
    <row r="6387" spans="1:49" x14ac:dyDescent="0.25">
      <c r="A6387" t="str">
        <f>"6383"</f>
        <v>6383</v>
      </c>
      <c r="B6387" t="str">
        <f t="shared" si="369"/>
        <v>1</v>
      </c>
      <c r="C6387" t="str">
        <f t="shared" si="370"/>
        <v>279</v>
      </c>
      <c r="D6387" t="str">
        <f>"19"</f>
        <v>19</v>
      </c>
      <c r="E6387" t="str">
        <f>"1-279-19"</f>
        <v>1-279-19</v>
      </c>
      <c r="F6387" t="s">
        <v>83</v>
      </c>
      <c r="G6387" t="s">
        <v>84</v>
      </c>
      <c r="H6387" t="s">
        <v>92</v>
      </c>
      <c r="I6387">
        <v>1</v>
      </c>
      <c r="J6387">
        <v>1</v>
      </c>
      <c r="N6387">
        <v>1</v>
      </c>
      <c r="O6387">
        <v>1</v>
      </c>
      <c r="P6387">
        <v>1</v>
      </c>
      <c r="Q6387">
        <v>1</v>
      </c>
      <c r="R6387">
        <v>1</v>
      </c>
      <c r="S6387">
        <v>1</v>
      </c>
      <c r="T6387">
        <v>1</v>
      </c>
      <c r="W6387">
        <v>1</v>
      </c>
      <c r="X6387">
        <v>1</v>
      </c>
      <c r="Y6387">
        <v>1</v>
      </c>
      <c r="Z6387">
        <v>1</v>
      </c>
      <c r="AA6387">
        <v>1</v>
      </c>
      <c r="AB6387">
        <v>1</v>
      </c>
    </row>
    <row r="6388" spans="1:49" x14ac:dyDescent="0.25">
      <c r="A6388" t="str">
        <f>"6384"</f>
        <v>6384</v>
      </c>
      <c r="B6388" t="str">
        <f t="shared" si="369"/>
        <v>1</v>
      </c>
      <c r="C6388" t="str">
        <f t="shared" si="370"/>
        <v>279</v>
      </c>
      <c r="D6388" t="str">
        <f>"12"</f>
        <v>12</v>
      </c>
      <c r="E6388" t="str">
        <f>"1-279-12"</f>
        <v>1-279-12</v>
      </c>
      <c r="F6388" t="s">
        <v>83</v>
      </c>
      <c r="G6388" t="s">
        <v>84</v>
      </c>
      <c r="H6388" t="s">
        <v>85</v>
      </c>
      <c r="AC6388">
        <v>0</v>
      </c>
      <c r="AD6388">
        <v>1</v>
      </c>
      <c r="AE6388">
        <v>0</v>
      </c>
      <c r="AF6388">
        <v>0</v>
      </c>
      <c r="AG6388">
        <v>0</v>
      </c>
      <c r="AJ6388">
        <v>0</v>
      </c>
      <c r="AK6388">
        <v>1</v>
      </c>
      <c r="AL6388">
        <v>0</v>
      </c>
      <c r="AM6388">
        <v>0</v>
      </c>
      <c r="AN6388">
        <v>0</v>
      </c>
      <c r="AO6388">
        <v>0</v>
      </c>
      <c r="AP6388">
        <v>0</v>
      </c>
      <c r="AQ6388">
        <v>0</v>
      </c>
      <c r="AR6388">
        <v>0</v>
      </c>
      <c r="AS6388">
        <v>0</v>
      </c>
      <c r="AT6388">
        <v>0</v>
      </c>
      <c r="AV6388">
        <v>0</v>
      </c>
      <c r="AW6388">
        <v>1</v>
      </c>
    </row>
    <row r="6389" spans="1:49" x14ac:dyDescent="0.25">
      <c r="A6389" t="str">
        <f>"6385"</f>
        <v>6385</v>
      </c>
      <c r="B6389" t="str">
        <f t="shared" si="369"/>
        <v>1</v>
      </c>
      <c r="C6389" t="str">
        <f t="shared" si="370"/>
        <v>279</v>
      </c>
      <c r="D6389" t="str">
        <f>"2"</f>
        <v>2</v>
      </c>
      <c r="E6389" t="str">
        <f>"1-279-2"</f>
        <v>1-279-2</v>
      </c>
      <c r="F6389" t="s">
        <v>83</v>
      </c>
      <c r="G6389" t="s">
        <v>84</v>
      </c>
      <c r="H6389" t="s">
        <v>92</v>
      </c>
      <c r="I6389">
        <v>1</v>
      </c>
      <c r="J6389">
        <v>1</v>
      </c>
      <c r="N6389">
        <v>1</v>
      </c>
      <c r="O6389">
        <v>1</v>
      </c>
      <c r="P6389">
        <v>1</v>
      </c>
      <c r="Q6389">
        <v>1</v>
      </c>
      <c r="R6389">
        <v>1</v>
      </c>
      <c r="S6389">
        <v>1</v>
      </c>
      <c r="T6389">
        <v>1</v>
      </c>
      <c r="W6389">
        <v>1</v>
      </c>
      <c r="X6389">
        <v>1</v>
      </c>
      <c r="Y6389">
        <v>1</v>
      </c>
      <c r="Z6389">
        <v>1</v>
      </c>
      <c r="AA6389">
        <v>1</v>
      </c>
      <c r="AB6389">
        <v>1</v>
      </c>
    </row>
    <row r="6390" spans="1:49" x14ac:dyDescent="0.25">
      <c r="A6390" t="str">
        <f>"6386"</f>
        <v>6386</v>
      </c>
      <c r="B6390" t="str">
        <f t="shared" si="369"/>
        <v>1</v>
      </c>
      <c r="C6390" t="str">
        <f t="shared" si="370"/>
        <v>279</v>
      </c>
      <c r="D6390" t="str">
        <f>"13"</f>
        <v>13</v>
      </c>
      <c r="E6390" t="str">
        <f>"1-279-13"</f>
        <v>1-279-13</v>
      </c>
      <c r="F6390" t="s">
        <v>83</v>
      </c>
      <c r="G6390" t="s">
        <v>84</v>
      </c>
      <c r="H6390" t="s">
        <v>85</v>
      </c>
      <c r="AC6390">
        <v>0</v>
      </c>
      <c r="AD6390">
        <v>1</v>
      </c>
      <c r="AE6390">
        <v>0</v>
      </c>
      <c r="AF6390">
        <v>0</v>
      </c>
      <c r="AG6390">
        <v>0</v>
      </c>
      <c r="AJ6390">
        <v>0</v>
      </c>
      <c r="AK6390">
        <v>1</v>
      </c>
      <c r="AL6390">
        <v>0</v>
      </c>
      <c r="AM6390">
        <v>0</v>
      </c>
      <c r="AN6390">
        <v>1</v>
      </c>
      <c r="AO6390">
        <v>0</v>
      </c>
      <c r="AP6390">
        <v>0</v>
      </c>
      <c r="AQ6390">
        <v>0</v>
      </c>
      <c r="AR6390">
        <v>0</v>
      </c>
      <c r="AS6390">
        <v>0</v>
      </c>
      <c r="AT6390">
        <v>1</v>
      </c>
      <c r="AV6390">
        <v>0</v>
      </c>
      <c r="AW6390">
        <v>0</v>
      </c>
    </row>
    <row r="6391" spans="1:49" x14ac:dyDescent="0.25">
      <c r="A6391" t="str">
        <f>"6387"</f>
        <v>6387</v>
      </c>
      <c r="B6391" t="str">
        <f t="shared" si="369"/>
        <v>1</v>
      </c>
      <c r="C6391" t="str">
        <f t="shared" si="370"/>
        <v>279</v>
      </c>
      <c r="D6391" t="str">
        <f>"5"</f>
        <v>5</v>
      </c>
      <c r="E6391" t="str">
        <f>"1-279-5"</f>
        <v>1-279-5</v>
      </c>
      <c r="F6391" t="s">
        <v>83</v>
      </c>
      <c r="G6391" t="s">
        <v>84</v>
      </c>
      <c r="H6391" t="s">
        <v>92</v>
      </c>
      <c r="I6391">
        <v>1</v>
      </c>
      <c r="J6391">
        <v>1</v>
      </c>
      <c r="N6391">
        <v>1</v>
      </c>
      <c r="O6391">
        <v>1</v>
      </c>
      <c r="P6391">
        <v>1</v>
      </c>
      <c r="Q6391">
        <v>1</v>
      </c>
      <c r="R6391">
        <v>1</v>
      </c>
      <c r="S6391">
        <v>1</v>
      </c>
      <c r="T6391">
        <v>1</v>
      </c>
      <c r="W6391">
        <v>1</v>
      </c>
      <c r="X6391">
        <v>1</v>
      </c>
      <c r="Y6391">
        <v>1</v>
      </c>
      <c r="Z6391">
        <v>1</v>
      </c>
      <c r="AA6391">
        <v>1</v>
      </c>
      <c r="AB6391">
        <v>1</v>
      </c>
    </row>
    <row r="6392" spans="1:49" x14ac:dyDescent="0.25">
      <c r="A6392" t="str">
        <f>"6388"</f>
        <v>6388</v>
      </c>
      <c r="B6392" t="str">
        <f t="shared" si="369"/>
        <v>1</v>
      </c>
      <c r="C6392" t="str">
        <f t="shared" si="370"/>
        <v>279</v>
      </c>
      <c r="D6392" t="str">
        <f>"14"</f>
        <v>14</v>
      </c>
      <c r="E6392" t="str">
        <f>"1-279-14"</f>
        <v>1-279-14</v>
      </c>
      <c r="F6392" t="s">
        <v>83</v>
      </c>
      <c r="G6392" t="s">
        <v>84</v>
      </c>
      <c r="H6392" t="s">
        <v>92</v>
      </c>
      <c r="I6392">
        <v>1</v>
      </c>
      <c r="J6392">
        <v>1</v>
      </c>
      <c r="N6392">
        <v>1</v>
      </c>
      <c r="O6392">
        <v>1</v>
      </c>
      <c r="P6392">
        <v>1</v>
      </c>
      <c r="Q6392">
        <v>1</v>
      </c>
      <c r="R6392">
        <v>1</v>
      </c>
      <c r="S6392">
        <v>1</v>
      </c>
      <c r="T6392">
        <v>1</v>
      </c>
      <c r="W6392">
        <v>1</v>
      </c>
      <c r="X6392">
        <v>1</v>
      </c>
      <c r="Y6392">
        <v>1</v>
      </c>
      <c r="Z6392">
        <v>1</v>
      </c>
      <c r="AA6392">
        <v>1</v>
      </c>
      <c r="AB6392">
        <v>1</v>
      </c>
    </row>
    <row r="6393" spans="1:49" x14ac:dyDescent="0.25">
      <c r="A6393" t="str">
        <f>"6389"</f>
        <v>6389</v>
      </c>
      <c r="B6393" t="str">
        <f t="shared" si="369"/>
        <v>1</v>
      </c>
      <c r="C6393" t="str">
        <f t="shared" si="370"/>
        <v>279</v>
      </c>
      <c r="D6393" t="str">
        <f>"3"</f>
        <v>3</v>
      </c>
      <c r="E6393" t="str">
        <f>"1-279-3"</f>
        <v>1-279-3</v>
      </c>
      <c r="F6393" t="s">
        <v>83</v>
      </c>
      <c r="G6393" t="s">
        <v>84</v>
      </c>
      <c r="H6393" t="s">
        <v>85</v>
      </c>
      <c r="AC6393">
        <v>1</v>
      </c>
      <c r="AD6393">
        <v>0</v>
      </c>
      <c r="AE6393">
        <v>0</v>
      </c>
      <c r="AF6393">
        <v>0</v>
      </c>
      <c r="AG6393">
        <v>0</v>
      </c>
      <c r="AJ6393">
        <v>1</v>
      </c>
      <c r="AK6393">
        <v>0</v>
      </c>
      <c r="AL6393">
        <v>1</v>
      </c>
      <c r="AM6393">
        <v>0</v>
      </c>
      <c r="AN6393">
        <v>0</v>
      </c>
      <c r="AO6393">
        <v>1</v>
      </c>
      <c r="AP6393">
        <v>1</v>
      </c>
      <c r="AQ6393">
        <v>0</v>
      </c>
      <c r="AR6393">
        <v>1</v>
      </c>
      <c r="AS6393">
        <v>0</v>
      </c>
      <c r="AT6393">
        <v>1</v>
      </c>
      <c r="AV6393">
        <v>1</v>
      </c>
      <c r="AW6393">
        <v>1</v>
      </c>
    </row>
    <row r="6394" spans="1:49" x14ac:dyDescent="0.25">
      <c r="A6394" t="str">
        <f>"6390"</f>
        <v>6390</v>
      </c>
      <c r="B6394" t="str">
        <f t="shared" si="369"/>
        <v>1</v>
      </c>
      <c r="C6394" t="str">
        <f t="shared" ref="C6394:C6415" si="371">"280"</f>
        <v>280</v>
      </c>
      <c r="D6394" t="str">
        <f>"21"</f>
        <v>21</v>
      </c>
      <c r="E6394" t="str">
        <f>"1-280-21"</f>
        <v>1-280-21</v>
      </c>
      <c r="F6394" t="s">
        <v>83</v>
      </c>
      <c r="G6394" t="s">
        <v>84</v>
      </c>
      <c r="H6394" t="s">
        <v>85</v>
      </c>
      <c r="AC6394">
        <v>0</v>
      </c>
      <c r="AD6394">
        <v>1</v>
      </c>
      <c r="AE6394">
        <v>0</v>
      </c>
      <c r="AF6394">
        <v>0</v>
      </c>
      <c r="AG6394">
        <v>1</v>
      </c>
      <c r="AJ6394">
        <v>1</v>
      </c>
      <c r="AK6394">
        <v>0</v>
      </c>
      <c r="AL6394">
        <v>0</v>
      </c>
      <c r="AM6394">
        <v>0</v>
      </c>
      <c r="AN6394">
        <v>1</v>
      </c>
      <c r="AO6394">
        <v>1</v>
      </c>
      <c r="AP6394">
        <v>1</v>
      </c>
      <c r="AQ6394">
        <v>1</v>
      </c>
      <c r="AR6394">
        <v>1</v>
      </c>
      <c r="AS6394">
        <v>0</v>
      </c>
      <c r="AT6394">
        <v>1</v>
      </c>
      <c r="AV6394">
        <v>1</v>
      </c>
      <c r="AW6394">
        <v>1</v>
      </c>
    </row>
    <row r="6395" spans="1:49" x14ac:dyDescent="0.25">
      <c r="A6395" t="str">
        <f>"6391"</f>
        <v>6391</v>
      </c>
      <c r="B6395" t="str">
        <f t="shared" si="369"/>
        <v>1</v>
      </c>
      <c r="C6395" t="str">
        <f t="shared" si="371"/>
        <v>280</v>
      </c>
      <c r="D6395" t="str">
        <f>"20"</f>
        <v>20</v>
      </c>
      <c r="E6395" t="str">
        <f>"1-280-20"</f>
        <v>1-280-20</v>
      </c>
      <c r="F6395" t="s">
        <v>83</v>
      </c>
      <c r="G6395" t="s">
        <v>84</v>
      </c>
      <c r="H6395" t="s">
        <v>92</v>
      </c>
      <c r="I6395">
        <v>1</v>
      </c>
      <c r="J6395">
        <v>1</v>
      </c>
      <c r="N6395">
        <v>1</v>
      </c>
      <c r="O6395">
        <v>1</v>
      </c>
      <c r="P6395">
        <v>1</v>
      </c>
      <c r="Q6395">
        <v>1</v>
      </c>
      <c r="R6395">
        <v>1</v>
      </c>
      <c r="S6395">
        <v>1</v>
      </c>
      <c r="T6395">
        <v>1</v>
      </c>
      <c r="W6395">
        <v>1</v>
      </c>
      <c r="X6395">
        <v>1</v>
      </c>
      <c r="Y6395">
        <v>1</v>
      </c>
      <c r="Z6395">
        <v>1</v>
      </c>
      <c r="AA6395">
        <v>1</v>
      </c>
      <c r="AB6395">
        <v>1</v>
      </c>
    </row>
    <row r="6396" spans="1:49" x14ac:dyDescent="0.25">
      <c r="A6396" t="str">
        <f>"6392"</f>
        <v>6392</v>
      </c>
      <c r="B6396" t="str">
        <f t="shared" si="369"/>
        <v>1</v>
      </c>
      <c r="C6396" t="str">
        <f t="shared" si="371"/>
        <v>280</v>
      </c>
      <c r="D6396" t="str">
        <f>"14"</f>
        <v>14</v>
      </c>
      <c r="E6396" t="str">
        <f>"1-280-14"</f>
        <v>1-280-14</v>
      </c>
      <c r="F6396" t="s">
        <v>83</v>
      </c>
      <c r="G6396" t="s">
        <v>84</v>
      </c>
      <c r="H6396" t="s">
        <v>92</v>
      </c>
      <c r="I6396">
        <v>1</v>
      </c>
      <c r="J6396">
        <v>1</v>
      </c>
      <c r="N6396">
        <v>1</v>
      </c>
      <c r="O6396">
        <v>1</v>
      </c>
      <c r="P6396">
        <v>1</v>
      </c>
      <c r="Q6396">
        <v>1</v>
      </c>
      <c r="R6396">
        <v>1</v>
      </c>
      <c r="S6396">
        <v>1</v>
      </c>
      <c r="T6396">
        <v>1</v>
      </c>
      <c r="W6396">
        <v>1</v>
      </c>
      <c r="X6396">
        <v>1</v>
      </c>
      <c r="Y6396">
        <v>1</v>
      </c>
      <c r="Z6396">
        <v>1</v>
      </c>
      <c r="AA6396">
        <v>1</v>
      </c>
      <c r="AB6396">
        <v>1</v>
      </c>
    </row>
    <row r="6397" spans="1:49" x14ac:dyDescent="0.25">
      <c r="A6397" t="str">
        <f>"6393"</f>
        <v>6393</v>
      </c>
      <c r="B6397" t="str">
        <f t="shared" si="369"/>
        <v>1</v>
      </c>
      <c r="C6397" t="str">
        <f t="shared" si="371"/>
        <v>280</v>
      </c>
      <c r="D6397" t="str">
        <f>"13"</f>
        <v>13</v>
      </c>
      <c r="E6397" t="str">
        <f>"1-280-13"</f>
        <v>1-280-13</v>
      </c>
      <c r="F6397" t="s">
        <v>83</v>
      </c>
      <c r="G6397" t="s">
        <v>84</v>
      </c>
      <c r="H6397" t="s">
        <v>85</v>
      </c>
      <c r="AC6397">
        <v>1</v>
      </c>
      <c r="AD6397">
        <v>0</v>
      </c>
      <c r="AE6397">
        <v>0</v>
      </c>
      <c r="AF6397">
        <v>0</v>
      </c>
      <c r="AG6397">
        <v>1</v>
      </c>
      <c r="AJ6397">
        <v>1</v>
      </c>
      <c r="AK6397">
        <v>0</v>
      </c>
      <c r="AL6397">
        <v>1</v>
      </c>
      <c r="AM6397">
        <v>0</v>
      </c>
      <c r="AN6397">
        <v>0</v>
      </c>
      <c r="AO6397">
        <v>1</v>
      </c>
      <c r="AP6397">
        <v>1</v>
      </c>
      <c r="AQ6397">
        <v>1</v>
      </c>
      <c r="AR6397">
        <v>1</v>
      </c>
      <c r="AS6397">
        <v>1</v>
      </c>
      <c r="AT6397">
        <v>0</v>
      </c>
      <c r="AV6397">
        <v>1</v>
      </c>
      <c r="AW6397">
        <v>1</v>
      </c>
    </row>
    <row r="6398" spans="1:49" x14ac:dyDescent="0.25">
      <c r="A6398" t="str">
        <f>"6394"</f>
        <v>6394</v>
      </c>
      <c r="B6398" t="str">
        <f t="shared" si="369"/>
        <v>1</v>
      </c>
      <c r="C6398" t="str">
        <f t="shared" si="371"/>
        <v>280</v>
      </c>
      <c r="D6398" t="str">
        <f>"11"</f>
        <v>11</v>
      </c>
      <c r="E6398" t="str">
        <f>"1-280-11"</f>
        <v>1-280-11</v>
      </c>
      <c r="F6398" t="s">
        <v>83</v>
      </c>
      <c r="G6398" t="s">
        <v>84</v>
      </c>
      <c r="H6398" t="s">
        <v>92</v>
      </c>
      <c r="I6398">
        <v>1</v>
      </c>
      <c r="J6398">
        <v>1</v>
      </c>
      <c r="N6398">
        <v>1</v>
      </c>
      <c r="O6398">
        <v>1</v>
      </c>
      <c r="P6398">
        <v>1</v>
      </c>
      <c r="Q6398">
        <v>1</v>
      </c>
      <c r="R6398">
        <v>0</v>
      </c>
      <c r="S6398">
        <v>0</v>
      </c>
      <c r="T6398">
        <v>0</v>
      </c>
      <c r="W6398">
        <v>1</v>
      </c>
      <c r="X6398">
        <v>1</v>
      </c>
      <c r="Y6398">
        <v>1</v>
      </c>
      <c r="Z6398">
        <v>1</v>
      </c>
      <c r="AA6398">
        <v>1</v>
      </c>
      <c r="AB6398">
        <v>1</v>
      </c>
    </row>
    <row r="6399" spans="1:49" x14ac:dyDescent="0.25">
      <c r="A6399" t="str">
        <f>"6395"</f>
        <v>6395</v>
      </c>
      <c r="B6399" t="str">
        <f t="shared" si="369"/>
        <v>1</v>
      </c>
      <c r="C6399" t="str">
        <f t="shared" si="371"/>
        <v>280</v>
      </c>
      <c r="D6399" t="str">
        <f>"8"</f>
        <v>8</v>
      </c>
      <c r="E6399" t="str">
        <f>"1-280-8"</f>
        <v>1-280-8</v>
      </c>
      <c r="F6399" t="s">
        <v>83</v>
      </c>
      <c r="G6399" t="s">
        <v>84</v>
      </c>
      <c r="H6399" t="s">
        <v>92</v>
      </c>
      <c r="I6399">
        <v>1</v>
      </c>
      <c r="J6399">
        <v>1</v>
      </c>
      <c r="N6399">
        <v>1</v>
      </c>
      <c r="O6399">
        <v>1</v>
      </c>
      <c r="P6399">
        <v>1</v>
      </c>
      <c r="Q6399">
        <v>1</v>
      </c>
      <c r="R6399">
        <v>1</v>
      </c>
      <c r="S6399">
        <v>1</v>
      </c>
      <c r="T6399">
        <v>1</v>
      </c>
      <c r="W6399">
        <v>1</v>
      </c>
      <c r="X6399">
        <v>1</v>
      </c>
      <c r="Y6399">
        <v>1</v>
      </c>
      <c r="Z6399">
        <v>1</v>
      </c>
      <c r="AA6399">
        <v>1</v>
      </c>
      <c r="AB6399">
        <v>1</v>
      </c>
    </row>
    <row r="6400" spans="1:49" x14ac:dyDescent="0.25">
      <c r="A6400" t="str">
        <f>"6396"</f>
        <v>6396</v>
      </c>
      <c r="B6400" t="str">
        <f t="shared" si="369"/>
        <v>1</v>
      </c>
      <c r="C6400" t="str">
        <f t="shared" si="371"/>
        <v>280</v>
      </c>
      <c r="D6400" t="str">
        <f>"3"</f>
        <v>3</v>
      </c>
      <c r="E6400" t="str">
        <f>"1-280-3"</f>
        <v>1-280-3</v>
      </c>
      <c r="F6400" t="s">
        <v>83</v>
      </c>
      <c r="G6400" t="s">
        <v>84</v>
      </c>
      <c r="H6400" t="s">
        <v>92</v>
      </c>
      <c r="I6400">
        <v>1</v>
      </c>
      <c r="J6400">
        <v>1</v>
      </c>
      <c r="N6400">
        <v>1</v>
      </c>
      <c r="O6400">
        <v>1</v>
      </c>
      <c r="P6400">
        <v>1</v>
      </c>
      <c r="Q6400">
        <v>1</v>
      </c>
      <c r="R6400">
        <v>1</v>
      </c>
      <c r="S6400">
        <v>1</v>
      </c>
      <c r="T6400">
        <v>1</v>
      </c>
      <c r="W6400">
        <v>0</v>
      </c>
      <c r="X6400">
        <v>1</v>
      </c>
      <c r="Y6400">
        <v>0</v>
      </c>
      <c r="Z6400">
        <v>1</v>
      </c>
      <c r="AA6400">
        <v>1</v>
      </c>
      <c r="AB6400">
        <v>1</v>
      </c>
    </row>
    <row r="6401" spans="1:49" x14ac:dyDescent="0.25">
      <c r="A6401" t="str">
        <f>"6397"</f>
        <v>6397</v>
      </c>
      <c r="B6401" t="str">
        <f t="shared" si="369"/>
        <v>1</v>
      </c>
      <c r="C6401" t="str">
        <f t="shared" si="371"/>
        <v>280</v>
      </c>
      <c r="D6401" t="str">
        <f>"22"</f>
        <v>22</v>
      </c>
      <c r="E6401" t="str">
        <f>"1-280-22"</f>
        <v>1-280-22</v>
      </c>
      <c r="F6401" t="s">
        <v>83</v>
      </c>
      <c r="G6401" t="s">
        <v>84</v>
      </c>
      <c r="H6401" t="s">
        <v>85</v>
      </c>
      <c r="AC6401">
        <v>0</v>
      </c>
      <c r="AD6401">
        <v>1</v>
      </c>
      <c r="AE6401">
        <v>0</v>
      </c>
      <c r="AF6401">
        <v>0</v>
      </c>
      <c r="AG6401">
        <v>0</v>
      </c>
      <c r="AJ6401">
        <v>1</v>
      </c>
      <c r="AK6401">
        <v>0</v>
      </c>
      <c r="AL6401">
        <v>0</v>
      </c>
      <c r="AM6401">
        <v>0</v>
      </c>
      <c r="AN6401">
        <v>1</v>
      </c>
      <c r="AO6401">
        <v>0</v>
      </c>
      <c r="AP6401">
        <v>0</v>
      </c>
      <c r="AQ6401">
        <v>0</v>
      </c>
      <c r="AR6401">
        <v>0</v>
      </c>
      <c r="AS6401">
        <v>0</v>
      </c>
      <c r="AT6401">
        <v>0</v>
      </c>
      <c r="AV6401">
        <v>0</v>
      </c>
      <c r="AW6401">
        <v>0</v>
      </c>
    </row>
    <row r="6402" spans="1:49" x14ac:dyDescent="0.25">
      <c r="A6402" t="str">
        <f>"6398"</f>
        <v>6398</v>
      </c>
      <c r="B6402" t="str">
        <f t="shared" si="369"/>
        <v>1</v>
      </c>
      <c r="C6402" t="str">
        <f t="shared" si="371"/>
        <v>280</v>
      </c>
      <c r="D6402" t="str">
        <f>"16"</f>
        <v>16</v>
      </c>
      <c r="E6402" t="str">
        <f>"1-280-16"</f>
        <v>1-280-16</v>
      </c>
      <c r="F6402" t="s">
        <v>83</v>
      </c>
      <c r="G6402" t="s">
        <v>84</v>
      </c>
      <c r="H6402" t="s">
        <v>85</v>
      </c>
      <c r="AC6402">
        <v>0</v>
      </c>
      <c r="AD6402">
        <v>1</v>
      </c>
      <c r="AE6402">
        <v>0</v>
      </c>
      <c r="AF6402">
        <v>0</v>
      </c>
      <c r="AG6402">
        <v>0</v>
      </c>
      <c r="AJ6402">
        <v>0</v>
      </c>
      <c r="AK6402">
        <v>1</v>
      </c>
      <c r="AL6402">
        <v>0</v>
      </c>
      <c r="AM6402">
        <v>1</v>
      </c>
      <c r="AN6402">
        <v>0</v>
      </c>
      <c r="AO6402">
        <v>0</v>
      </c>
      <c r="AP6402">
        <v>0</v>
      </c>
      <c r="AQ6402">
        <v>0</v>
      </c>
      <c r="AR6402">
        <v>0</v>
      </c>
      <c r="AS6402">
        <v>0</v>
      </c>
      <c r="AT6402">
        <v>0</v>
      </c>
      <c r="AV6402">
        <v>0</v>
      </c>
      <c r="AW6402">
        <v>0</v>
      </c>
    </row>
    <row r="6403" spans="1:49" x14ac:dyDescent="0.25">
      <c r="A6403" t="str">
        <f>"6399"</f>
        <v>6399</v>
      </c>
      <c r="B6403" t="str">
        <f t="shared" si="369"/>
        <v>1</v>
      </c>
      <c r="C6403" t="str">
        <f t="shared" si="371"/>
        <v>280</v>
      </c>
      <c r="D6403" t="str">
        <f>"9"</f>
        <v>9</v>
      </c>
      <c r="E6403" t="str">
        <f>"1-280-9"</f>
        <v>1-280-9</v>
      </c>
      <c r="F6403" t="s">
        <v>83</v>
      </c>
      <c r="G6403" t="s">
        <v>84</v>
      </c>
      <c r="H6403" t="s">
        <v>85</v>
      </c>
      <c r="AC6403">
        <v>0</v>
      </c>
      <c r="AD6403">
        <v>1</v>
      </c>
      <c r="AE6403">
        <v>0</v>
      </c>
      <c r="AF6403">
        <v>0</v>
      </c>
      <c r="AG6403">
        <v>1</v>
      </c>
      <c r="AJ6403">
        <v>1</v>
      </c>
      <c r="AK6403">
        <v>0</v>
      </c>
      <c r="AL6403">
        <v>0</v>
      </c>
      <c r="AM6403">
        <v>0</v>
      </c>
      <c r="AN6403">
        <v>1</v>
      </c>
      <c r="AO6403">
        <v>1</v>
      </c>
      <c r="AP6403">
        <v>1</v>
      </c>
      <c r="AQ6403">
        <v>1</v>
      </c>
      <c r="AR6403">
        <v>1</v>
      </c>
      <c r="AS6403">
        <v>1</v>
      </c>
      <c r="AT6403">
        <v>0</v>
      </c>
      <c r="AV6403">
        <v>1</v>
      </c>
      <c r="AW6403">
        <v>1</v>
      </c>
    </row>
    <row r="6404" spans="1:49" x14ac:dyDescent="0.25">
      <c r="A6404" t="str">
        <f>"6400"</f>
        <v>6400</v>
      </c>
      <c r="B6404" t="str">
        <f t="shared" si="369"/>
        <v>1</v>
      </c>
      <c r="C6404" t="str">
        <f t="shared" si="371"/>
        <v>280</v>
      </c>
      <c r="D6404" t="str">
        <f>"1"</f>
        <v>1</v>
      </c>
      <c r="E6404" t="str">
        <f>"1-280-1"</f>
        <v>1-280-1</v>
      </c>
      <c r="F6404" t="s">
        <v>83</v>
      </c>
      <c r="G6404" t="s">
        <v>84</v>
      </c>
      <c r="H6404" t="s">
        <v>92</v>
      </c>
      <c r="I6404">
        <v>1</v>
      </c>
      <c r="J6404">
        <v>1</v>
      </c>
      <c r="N6404">
        <v>1</v>
      </c>
      <c r="O6404">
        <v>1</v>
      </c>
      <c r="P6404">
        <v>1</v>
      </c>
      <c r="Q6404">
        <v>1</v>
      </c>
      <c r="R6404">
        <v>1</v>
      </c>
      <c r="S6404">
        <v>1</v>
      </c>
      <c r="T6404">
        <v>1</v>
      </c>
      <c r="W6404">
        <v>0</v>
      </c>
      <c r="X6404">
        <v>1</v>
      </c>
      <c r="Y6404">
        <v>1</v>
      </c>
      <c r="Z6404">
        <v>1</v>
      </c>
      <c r="AA6404">
        <v>1</v>
      </c>
      <c r="AB6404">
        <v>1</v>
      </c>
    </row>
    <row r="6405" spans="1:49" x14ac:dyDescent="0.25">
      <c r="A6405" t="str">
        <f>"6401"</f>
        <v>6401</v>
      </c>
      <c r="B6405" t="str">
        <f t="shared" si="369"/>
        <v>1</v>
      </c>
      <c r="C6405" t="str">
        <f t="shared" si="371"/>
        <v>280</v>
      </c>
      <c r="D6405" t="str">
        <f>"17"</f>
        <v>17</v>
      </c>
      <c r="E6405" t="str">
        <f>"1-280-17"</f>
        <v>1-280-17</v>
      </c>
      <c r="F6405" t="s">
        <v>83</v>
      </c>
      <c r="G6405" t="s">
        <v>84</v>
      </c>
      <c r="H6405" t="s">
        <v>85</v>
      </c>
      <c r="AC6405">
        <v>0</v>
      </c>
      <c r="AD6405">
        <v>1</v>
      </c>
      <c r="AE6405">
        <v>0</v>
      </c>
      <c r="AF6405">
        <v>0</v>
      </c>
      <c r="AG6405">
        <v>1</v>
      </c>
      <c r="AJ6405">
        <v>0</v>
      </c>
      <c r="AK6405">
        <v>1</v>
      </c>
      <c r="AL6405">
        <v>0</v>
      </c>
      <c r="AM6405">
        <v>0</v>
      </c>
      <c r="AN6405">
        <v>1</v>
      </c>
      <c r="AO6405">
        <v>1</v>
      </c>
      <c r="AP6405">
        <v>1</v>
      </c>
      <c r="AQ6405">
        <v>1</v>
      </c>
      <c r="AR6405">
        <v>1</v>
      </c>
      <c r="AS6405">
        <v>0</v>
      </c>
      <c r="AT6405">
        <v>1</v>
      </c>
      <c r="AV6405">
        <v>1</v>
      </c>
      <c r="AW6405">
        <v>1</v>
      </c>
    </row>
    <row r="6406" spans="1:49" x14ac:dyDescent="0.25">
      <c r="A6406" t="str">
        <f>"6402"</f>
        <v>6402</v>
      </c>
      <c r="B6406" t="str">
        <f t="shared" si="369"/>
        <v>1</v>
      </c>
      <c r="C6406" t="str">
        <f t="shared" si="371"/>
        <v>280</v>
      </c>
      <c r="D6406" t="str">
        <f>"10"</f>
        <v>10</v>
      </c>
      <c r="E6406" t="str">
        <f>"1-280-10"</f>
        <v>1-280-10</v>
      </c>
      <c r="F6406" t="s">
        <v>83</v>
      </c>
      <c r="G6406" t="s">
        <v>84</v>
      </c>
      <c r="H6406" t="s">
        <v>92</v>
      </c>
      <c r="I6406">
        <v>1</v>
      </c>
      <c r="J6406">
        <v>1</v>
      </c>
      <c r="N6406">
        <v>1</v>
      </c>
      <c r="O6406">
        <v>1</v>
      </c>
      <c r="P6406">
        <v>1</v>
      </c>
      <c r="Q6406">
        <v>1</v>
      </c>
      <c r="R6406">
        <v>1</v>
      </c>
      <c r="S6406">
        <v>1</v>
      </c>
      <c r="T6406">
        <v>1</v>
      </c>
      <c r="W6406">
        <v>1</v>
      </c>
      <c r="X6406">
        <v>1</v>
      </c>
      <c r="Y6406">
        <v>1</v>
      </c>
      <c r="Z6406">
        <v>1</v>
      </c>
      <c r="AA6406">
        <v>1</v>
      </c>
      <c r="AB6406">
        <v>1</v>
      </c>
    </row>
    <row r="6407" spans="1:49" x14ac:dyDescent="0.25">
      <c r="A6407" t="str">
        <f>"6403"</f>
        <v>6403</v>
      </c>
      <c r="B6407" t="str">
        <f t="shared" si="369"/>
        <v>1</v>
      </c>
      <c r="C6407" t="str">
        <f t="shared" si="371"/>
        <v>280</v>
      </c>
      <c r="D6407" t="str">
        <f>"5"</f>
        <v>5</v>
      </c>
      <c r="E6407" t="str">
        <f>"1-280-5"</f>
        <v>1-280-5</v>
      </c>
      <c r="F6407" t="s">
        <v>83</v>
      </c>
      <c r="G6407" t="s">
        <v>88</v>
      </c>
      <c r="H6407" t="s">
        <v>89</v>
      </c>
      <c r="AC6407">
        <v>1</v>
      </c>
      <c r="AD6407">
        <v>0</v>
      </c>
      <c r="AE6407">
        <v>0</v>
      </c>
      <c r="AF6407">
        <v>0</v>
      </c>
      <c r="AH6407">
        <v>0</v>
      </c>
      <c r="AI6407">
        <v>1</v>
      </c>
      <c r="AJ6407">
        <v>1</v>
      </c>
      <c r="AK6407">
        <v>0</v>
      </c>
      <c r="AL6407">
        <v>0</v>
      </c>
      <c r="AM6407">
        <v>0</v>
      </c>
      <c r="AN6407">
        <v>1</v>
      </c>
      <c r="AO6407">
        <v>0</v>
      </c>
      <c r="AP6407">
        <v>0</v>
      </c>
      <c r="AQ6407">
        <v>0</v>
      </c>
      <c r="AR6407">
        <v>0</v>
      </c>
      <c r="AS6407">
        <v>1</v>
      </c>
      <c r="AT6407">
        <v>0</v>
      </c>
      <c r="AV6407">
        <v>0</v>
      </c>
      <c r="AW6407">
        <v>0</v>
      </c>
    </row>
    <row r="6408" spans="1:49" x14ac:dyDescent="0.25">
      <c r="A6408" t="str">
        <f>"6404"</f>
        <v>6404</v>
      </c>
      <c r="B6408" t="str">
        <f t="shared" si="369"/>
        <v>1</v>
      </c>
      <c r="C6408" t="str">
        <f t="shared" si="371"/>
        <v>280</v>
      </c>
      <c r="D6408" t="str">
        <f>"12"</f>
        <v>12</v>
      </c>
      <c r="E6408" t="str">
        <f>"1-280-12"</f>
        <v>1-280-12</v>
      </c>
      <c r="F6408" t="s">
        <v>83</v>
      </c>
      <c r="G6408" t="s">
        <v>84</v>
      </c>
      <c r="H6408" t="s">
        <v>85</v>
      </c>
      <c r="AC6408">
        <v>1</v>
      </c>
      <c r="AD6408">
        <v>0</v>
      </c>
      <c r="AE6408">
        <v>0</v>
      </c>
      <c r="AF6408">
        <v>0</v>
      </c>
      <c r="AG6408">
        <v>1</v>
      </c>
      <c r="AJ6408">
        <v>0</v>
      </c>
      <c r="AK6408">
        <v>1</v>
      </c>
      <c r="AL6408">
        <v>0</v>
      </c>
      <c r="AM6408">
        <v>1</v>
      </c>
      <c r="AN6408">
        <v>0</v>
      </c>
      <c r="AO6408">
        <v>1</v>
      </c>
      <c r="AP6408">
        <v>1</v>
      </c>
      <c r="AQ6408">
        <v>1</v>
      </c>
      <c r="AR6408">
        <v>1</v>
      </c>
      <c r="AS6408">
        <v>0</v>
      </c>
      <c r="AT6408">
        <v>1</v>
      </c>
      <c r="AV6408">
        <v>1</v>
      </c>
      <c r="AW6408">
        <v>1</v>
      </c>
    </row>
    <row r="6409" spans="1:49" x14ac:dyDescent="0.25">
      <c r="A6409" t="str">
        <f>"6405"</f>
        <v>6405</v>
      </c>
      <c r="B6409" t="str">
        <f t="shared" si="369"/>
        <v>1</v>
      </c>
      <c r="C6409" t="str">
        <f t="shared" si="371"/>
        <v>280</v>
      </c>
      <c r="D6409" t="str">
        <f>"7"</f>
        <v>7</v>
      </c>
      <c r="E6409" t="str">
        <f>"1-280-7"</f>
        <v>1-280-7</v>
      </c>
      <c r="F6409" t="s">
        <v>83</v>
      </c>
      <c r="G6409" t="s">
        <v>84</v>
      </c>
      <c r="H6409" t="s">
        <v>92</v>
      </c>
      <c r="I6409">
        <v>1</v>
      </c>
      <c r="J6409">
        <v>1</v>
      </c>
      <c r="N6409">
        <v>1</v>
      </c>
      <c r="O6409">
        <v>1</v>
      </c>
      <c r="P6409">
        <v>1</v>
      </c>
      <c r="Q6409">
        <v>1</v>
      </c>
      <c r="R6409">
        <v>1</v>
      </c>
      <c r="S6409">
        <v>1</v>
      </c>
      <c r="T6409">
        <v>1</v>
      </c>
      <c r="W6409">
        <v>1</v>
      </c>
      <c r="X6409">
        <v>1</v>
      </c>
      <c r="Y6409">
        <v>1</v>
      </c>
      <c r="Z6409">
        <v>1</v>
      </c>
      <c r="AA6409">
        <v>1</v>
      </c>
      <c r="AB6409">
        <v>1</v>
      </c>
    </row>
    <row r="6410" spans="1:49" x14ac:dyDescent="0.25">
      <c r="A6410" t="str">
        <f>"6406"</f>
        <v>6406</v>
      </c>
      <c r="B6410" t="str">
        <f t="shared" si="369"/>
        <v>1</v>
      </c>
      <c r="C6410" t="str">
        <f t="shared" si="371"/>
        <v>280</v>
      </c>
      <c r="D6410" t="str">
        <f>"15"</f>
        <v>15</v>
      </c>
      <c r="E6410" t="str">
        <f>"1-280-15"</f>
        <v>1-280-15</v>
      </c>
      <c r="F6410" t="s">
        <v>83</v>
      </c>
      <c r="G6410" t="s">
        <v>84</v>
      </c>
      <c r="H6410" t="s">
        <v>92</v>
      </c>
      <c r="I6410">
        <v>1</v>
      </c>
      <c r="J6410">
        <v>1</v>
      </c>
      <c r="N6410">
        <v>1</v>
      </c>
      <c r="O6410">
        <v>1</v>
      </c>
      <c r="P6410">
        <v>1</v>
      </c>
      <c r="Q6410">
        <v>1</v>
      </c>
      <c r="R6410">
        <v>1</v>
      </c>
      <c r="S6410">
        <v>1</v>
      </c>
      <c r="T6410">
        <v>1</v>
      </c>
      <c r="W6410">
        <v>1</v>
      </c>
      <c r="X6410">
        <v>1</v>
      </c>
      <c r="Y6410">
        <v>1</v>
      </c>
      <c r="Z6410">
        <v>1</v>
      </c>
      <c r="AA6410">
        <v>1</v>
      </c>
      <c r="AB6410">
        <v>1</v>
      </c>
    </row>
    <row r="6411" spans="1:49" x14ac:dyDescent="0.25">
      <c r="A6411" t="str">
        <f>"6407"</f>
        <v>6407</v>
      </c>
      <c r="B6411" t="str">
        <f t="shared" si="369"/>
        <v>1</v>
      </c>
      <c r="C6411" t="str">
        <f t="shared" si="371"/>
        <v>280</v>
      </c>
      <c r="D6411" t="str">
        <f>"2"</f>
        <v>2</v>
      </c>
      <c r="E6411" t="str">
        <f>"1-280-2"</f>
        <v>1-280-2</v>
      </c>
      <c r="F6411" t="s">
        <v>83</v>
      </c>
      <c r="G6411" t="s">
        <v>84</v>
      </c>
      <c r="H6411" t="s">
        <v>85</v>
      </c>
      <c r="AC6411">
        <v>0</v>
      </c>
      <c r="AD6411">
        <v>1</v>
      </c>
      <c r="AE6411">
        <v>0</v>
      </c>
      <c r="AF6411">
        <v>0</v>
      </c>
      <c r="AG6411">
        <v>0</v>
      </c>
      <c r="AJ6411">
        <v>0</v>
      </c>
      <c r="AK6411">
        <v>1</v>
      </c>
      <c r="AL6411">
        <v>0</v>
      </c>
      <c r="AM6411">
        <v>1</v>
      </c>
      <c r="AN6411">
        <v>0</v>
      </c>
      <c r="AO6411">
        <v>0</v>
      </c>
      <c r="AP6411">
        <v>0</v>
      </c>
      <c r="AQ6411">
        <v>0</v>
      </c>
      <c r="AR6411">
        <v>0</v>
      </c>
      <c r="AS6411">
        <v>0</v>
      </c>
      <c r="AT6411">
        <v>0</v>
      </c>
      <c r="AV6411">
        <v>0</v>
      </c>
      <c r="AW6411">
        <v>0</v>
      </c>
    </row>
    <row r="6412" spans="1:49" x14ac:dyDescent="0.25">
      <c r="A6412" t="str">
        <f>"6408"</f>
        <v>6408</v>
      </c>
      <c r="B6412" t="str">
        <f t="shared" si="369"/>
        <v>1</v>
      </c>
      <c r="C6412" t="str">
        <f t="shared" si="371"/>
        <v>280</v>
      </c>
      <c r="D6412" t="str">
        <f>"18"</f>
        <v>18</v>
      </c>
      <c r="E6412" t="str">
        <f>"1-280-18"</f>
        <v>1-280-18</v>
      </c>
      <c r="F6412" t="s">
        <v>83</v>
      </c>
      <c r="G6412" t="s">
        <v>84</v>
      </c>
      <c r="H6412" t="s">
        <v>85</v>
      </c>
      <c r="AC6412">
        <v>1</v>
      </c>
      <c r="AD6412">
        <v>0</v>
      </c>
      <c r="AE6412">
        <v>0</v>
      </c>
      <c r="AF6412">
        <v>0</v>
      </c>
      <c r="AG6412">
        <v>1</v>
      </c>
      <c r="AJ6412">
        <v>1</v>
      </c>
      <c r="AK6412">
        <v>0</v>
      </c>
      <c r="AL6412">
        <v>1</v>
      </c>
      <c r="AM6412">
        <v>0</v>
      </c>
      <c r="AN6412">
        <v>0</v>
      </c>
      <c r="AO6412">
        <v>1</v>
      </c>
      <c r="AP6412">
        <v>1</v>
      </c>
      <c r="AQ6412">
        <v>1</v>
      </c>
      <c r="AR6412">
        <v>1</v>
      </c>
      <c r="AS6412">
        <v>0</v>
      </c>
      <c r="AT6412">
        <v>1</v>
      </c>
      <c r="AV6412">
        <v>1</v>
      </c>
      <c r="AW6412">
        <v>1</v>
      </c>
    </row>
    <row r="6413" spans="1:49" x14ac:dyDescent="0.25">
      <c r="A6413" t="str">
        <f>"6409"</f>
        <v>6409</v>
      </c>
      <c r="B6413" t="str">
        <f t="shared" si="369"/>
        <v>1</v>
      </c>
      <c r="C6413" t="str">
        <f t="shared" si="371"/>
        <v>280</v>
      </c>
      <c r="D6413" t="str">
        <f>"4"</f>
        <v>4</v>
      </c>
      <c r="E6413" t="str">
        <f>"1-280-4"</f>
        <v>1-280-4</v>
      </c>
      <c r="F6413" t="s">
        <v>83</v>
      </c>
      <c r="G6413" t="s">
        <v>84</v>
      </c>
      <c r="H6413" t="s">
        <v>85</v>
      </c>
      <c r="AC6413">
        <v>1</v>
      </c>
      <c r="AD6413">
        <v>0</v>
      </c>
      <c r="AE6413">
        <v>0</v>
      </c>
      <c r="AF6413">
        <v>0</v>
      </c>
      <c r="AG6413">
        <v>1</v>
      </c>
      <c r="AJ6413">
        <v>1</v>
      </c>
      <c r="AK6413">
        <v>0</v>
      </c>
      <c r="AL6413">
        <v>1</v>
      </c>
      <c r="AM6413">
        <v>0</v>
      </c>
      <c r="AN6413">
        <v>0</v>
      </c>
      <c r="AO6413">
        <v>1</v>
      </c>
      <c r="AP6413">
        <v>1</v>
      </c>
      <c r="AQ6413">
        <v>1</v>
      </c>
      <c r="AR6413">
        <v>1</v>
      </c>
      <c r="AS6413">
        <v>0</v>
      </c>
      <c r="AT6413">
        <v>1</v>
      </c>
      <c r="AV6413">
        <v>1</v>
      </c>
      <c r="AW6413">
        <v>1</v>
      </c>
    </row>
    <row r="6414" spans="1:49" x14ac:dyDescent="0.25">
      <c r="A6414" t="str">
        <f>"6410"</f>
        <v>6410</v>
      </c>
      <c r="B6414" t="str">
        <f t="shared" si="369"/>
        <v>1</v>
      </c>
      <c r="C6414" t="str">
        <f t="shared" si="371"/>
        <v>280</v>
      </c>
      <c r="D6414" t="str">
        <f>"19"</f>
        <v>19</v>
      </c>
      <c r="E6414" t="str">
        <f>"1-280-19"</f>
        <v>1-280-19</v>
      </c>
      <c r="F6414" t="s">
        <v>83</v>
      </c>
      <c r="G6414" t="s">
        <v>84</v>
      </c>
      <c r="H6414" t="s">
        <v>92</v>
      </c>
      <c r="I6414">
        <v>1</v>
      </c>
      <c r="J6414">
        <v>1</v>
      </c>
      <c r="N6414">
        <v>1</v>
      </c>
      <c r="O6414">
        <v>1</v>
      </c>
      <c r="P6414">
        <v>1</v>
      </c>
      <c r="Q6414">
        <v>1</v>
      </c>
      <c r="R6414">
        <v>1</v>
      </c>
      <c r="S6414">
        <v>1</v>
      </c>
      <c r="T6414">
        <v>1</v>
      </c>
      <c r="W6414">
        <v>1</v>
      </c>
      <c r="X6414">
        <v>1</v>
      </c>
      <c r="Y6414">
        <v>1</v>
      </c>
      <c r="Z6414">
        <v>1</v>
      </c>
      <c r="AA6414">
        <v>1</v>
      </c>
      <c r="AB6414">
        <v>1</v>
      </c>
    </row>
    <row r="6415" spans="1:49" x14ac:dyDescent="0.25">
      <c r="A6415" t="str">
        <f>"6411"</f>
        <v>6411</v>
      </c>
      <c r="B6415" t="str">
        <f t="shared" si="369"/>
        <v>1</v>
      </c>
      <c r="C6415" t="str">
        <f t="shared" si="371"/>
        <v>280</v>
      </c>
      <c r="D6415" t="str">
        <f>"6"</f>
        <v>6</v>
      </c>
      <c r="E6415" t="str">
        <f>"1-280-6"</f>
        <v>1-280-6</v>
      </c>
      <c r="F6415" t="s">
        <v>83</v>
      </c>
      <c r="G6415" t="s">
        <v>84</v>
      </c>
      <c r="H6415" t="s">
        <v>85</v>
      </c>
      <c r="AC6415">
        <v>0</v>
      </c>
      <c r="AD6415">
        <v>1</v>
      </c>
      <c r="AE6415">
        <v>0</v>
      </c>
      <c r="AF6415">
        <v>0</v>
      </c>
      <c r="AG6415">
        <v>0</v>
      </c>
      <c r="AJ6415">
        <v>0</v>
      </c>
      <c r="AK6415">
        <v>1</v>
      </c>
      <c r="AL6415">
        <v>0</v>
      </c>
      <c r="AM6415">
        <v>0</v>
      </c>
      <c r="AN6415">
        <v>1</v>
      </c>
      <c r="AO6415">
        <v>0</v>
      </c>
      <c r="AP6415">
        <v>0</v>
      </c>
      <c r="AQ6415">
        <v>0</v>
      </c>
      <c r="AR6415">
        <v>0</v>
      </c>
      <c r="AS6415">
        <v>0</v>
      </c>
      <c r="AT6415">
        <v>1</v>
      </c>
      <c r="AV6415">
        <v>0</v>
      </c>
      <c r="AW6415">
        <v>0</v>
      </c>
    </row>
    <row r="6416" spans="1:49" x14ac:dyDescent="0.25">
      <c r="A6416" t="str">
        <f>"6412"</f>
        <v>6412</v>
      </c>
      <c r="B6416" t="str">
        <f t="shared" si="369"/>
        <v>1</v>
      </c>
      <c r="C6416" t="str">
        <f t="shared" ref="C6416:C6440" si="372">"281"</f>
        <v>281</v>
      </c>
      <c r="D6416" t="str">
        <f>"23"</f>
        <v>23</v>
      </c>
      <c r="E6416" t="str">
        <f>"1-281-23"</f>
        <v>1-281-23</v>
      </c>
      <c r="F6416" t="s">
        <v>83</v>
      </c>
      <c r="G6416" t="s">
        <v>84</v>
      </c>
      <c r="H6416" t="s">
        <v>92</v>
      </c>
      <c r="I6416">
        <v>1</v>
      </c>
      <c r="J6416">
        <v>1</v>
      </c>
      <c r="N6416">
        <v>1</v>
      </c>
      <c r="O6416">
        <v>1</v>
      </c>
      <c r="P6416">
        <v>1</v>
      </c>
      <c r="Q6416">
        <v>1</v>
      </c>
      <c r="R6416">
        <v>1</v>
      </c>
      <c r="S6416">
        <v>1</v>
      </c>
      <c r="T6416">
        <v>1</v>
      </c>
      <c r="W6416">
        <v>1</v>
      </c>
      <c r="X6416">
        <v>1</v>
      </c>
      <c r="Y6416">
        <v>1</v>
      </c>
      <c r="Z6416">
        <v>1</v>
      </c>
      <c r="AA6416">
        <v>1</v>
      </c>
      <c r="AB6416">
        <v>1</v>
      </c>
    </row>
    <row r="6417" spans="1:49" x14ac:dyDescent="0.25">
      <c r="A6417" t="str">
        <f>"6413"</f>
        <v>6413</v>
      </c>
      <c r="B6417" t="str">
        <f t="shared" si="369"/>
        <v>1</v>
      </c>
      <c r="C6417" t="str">
        <f t="shared" si="372"/>
        <v>281</v>
      </c>
      <c r="D6417" t="str">
        <f>"22"</f>
        <v>22</v>
      </c>
      <c r="E6417" t="str">
        <f>"1-281-22"</f>
        <v>1-281-22</v>
      </c>
      <c r="F6417" t="s">
        <v>83</v>
      </c>
      <c r="G6417" t="s">
        <v>84</v>
      </c>
      <c r="H6417" t="s">
        <v>85</v>
      </c>
      <c r="AC6417">
        <v>0</v>
      </c>
      <c r="AD6417">
        <v>1</v>
      </c>
      <c r="AE6417">
        <v>0</v>
      </c>
      <c r="AF6417">
        <v>0</v>
      </c>
      <c r="AG6417">
        <v>0</v>
      </c>
      <c r="AJ6417">
        <v>0</v>
      </c>
      <c r="AK6417">
        <v>1</v>
      </c>
      <c r="AL6417">
        <v>0</v>
      </c>
      <c r="AM6417">
        <v>0</v>
      </c>
      <c r="AN6417">
        <v>1</v>
      </c>
      <c r="AO6417">
        <v>0</v>
      </c>
      <c r="AP6417">
        <v>0</v>
      </c>
      <c r="AQ6417">
        <v>0</v>
      </c>
      <c r="AR6417">
        <v>0</v>
      </c>
      <c r="AS6417">
        <v>0</v>
      </c>
      <c r="AT6417">
        <v>1</v>
      </c>
      <c r="AV6417">
        <v>0</v>
      </c>
      <c r="AW6417">
        <v>0</v>
      </c>
    </row>
    <row r="6418" spans="1:49" s="2" customFormat="1" x14ac:dyDescent="0.25">
      <c r="A6418" s="3" t="str">
        <f>"6414"</f>
        <v>6414</v>
      </c>
      <c r="B6418" s="3" t="str">
        <f t="shared" si="369"/>
        <v>1</v>
      </c>
      <c r="C6418" s="3" t="str">
        <f t="shared" si="372"/>
        <v>281</v>
      </c>
      <c r="D6418" s="3" t="str">
        <f>"15"</f>
        <v>15</v>
      </c>
      <c r="E6418" s="3" t="str">
        <f>"1-281-15"</f>
        <v>1-281-15</v>
      </c>
      <c r="F6418" s="3" t="s">
        <v>83</v>
      </c>
      <c r="G6418" s="4" t="s">
        <v>96</v>
      </c>
      <c r="I6418" s="4"/>
    </row>
    <row r="6419" spans="1:49" x14ac:dyDescent="0.25">
      <c r="A6419" t="str">
        <f>"6415"</f>
        <v>6415</v>
      </c>
      <c r="B6419" t="str">
        <f t="shared" si="369"/>
        <v>1</v>
      </c>
      <c r="C6419" t="str">
        <f t="shared" si="372"/>
        <v>281</v>
      </c>
      <c r="D6419" t="str">
        <f>"8"</f>
        <v>8</v>
      </c>
      <c r="E6419" t="str">
        <f>"1-281-8"</f>
        <v>1-281-8</v>
      </c>
      <c r="F6419" t="s">
        <v>83</v>
      </c>
      <c r="G6419" t="s">
        <v>84</v>
      </c>
      <c r="H6419" t="s">
        <v>85</v>
      </c>
      <c r="AC6419">
        <v>1</v>
      </c>
      <c r="AD6419">
        <v>0</v>
      </c>
      <c r="AE6419">
        <v>0</v>
      </c>
      <c r="AF6419">
        <v>0</v>
      </c>
      <c r="AG6419">
        <v>0</v>
      </c>
      <c r="AJ6419">
        <v>1</v>
      </c>
      <c r="AK6419">
        <v>0</v>
      </c>
      <c r="AL6419">
        <v>1</v>
      </c>
      <c r="AM6419">
        <v>0</v>
      </c>
      <c r="AN6419">
        <v>0</v>
      </c>
      <c r="AO6419">
        <v>0</v>
      </c>
      <c r="AP6419">
        <v>0</v>
      </c>
      <c r="AQ6419">
        <v>0</v>
      </c>
      <c r="AR6419">
        <v>0</v>
      </c>
      <c r="AS6419">
        <v>0</v>
      </c>
      <c r="AT6419">
        <v>1</v>
      </c>
      <c r="AV6419">
        <v>0</v>
      </c>
      <c r="AW6419">
        <v>0</v>
      </c>
    </row>
    <row r="6420" spans="1:49" x14ac:dyDescent="0.25">
      <c r="A6420" t="str">
        <f>"6416"</f>
        <v>6416</v>
      </c>
      <c r="B6420" t="str">
        <f t="shared" si="369"/>
        <v>1</v>
      </c>
      <c r="C6420" t="str">
        <f t="shared" si="372"/>
        <v>281</v>
      </c>
      <c r="D6420" t="str">
        <f>"2"</f>
        <v>2</v>
      </c>
      <c r="E6420" t="str">
        <f>"1-281-2"</f>
        <v>1-281-2</v>
      </c>
      <c r="F6420" t="s">
        <v>83</v>
      </c>
      <c r="G6420" t="s">
        <v>84</v>
      </c>
      <c r="H6420" t="s">
        <v>92</v>
      </c>
      <c r="I6420">
        <v>1</v>
      </c>
      <c r="J6420">
        <v>1</v>
      </c>
      <c r="N6420">
        <v>1</v>
      </c>
      <c r="O6420">
        <v>1</v>
      </c>
      <c r="P6420">
        <v>1</v>
      </c>
      <c r="Q6420">
        <v>1</v>
      </c>
      <c r="R6420">
        <v>1</v>
      </c>
      <c r="S6420">
        <v>1</v>
      </c>
      <c r="T6420">
        <v>1</v>
      </c>
      <c r="W6420">
        <v>1</v>
      </c>
      <c r="X6420">
        <v>1</v>
      </c>
      <c r="Y6420">
        <v>1</v>
      </c>
      <c r="Z6420">
        <v>1</v>
      </c>
      <c r="AA6420">
        <v>1</v>
      </c>
      <c r="AB6420">
        <v>1</v>
      </c>
    </row>
    <row r="6421" spans="1:49" x14ac:dyDescent="0.25">
      <c r="A6421" t="str">
        <f>"6417"</f>
        <v>6417</v>
      </c>
      <c r="B6421" t="str">
        <f t="shared" si="369"/>
        <v>1</v>
      </c>
      <c r="C6421" t="str">
        <f t="shared" si="372"/>
        <v>281</v>
      </c>
      <c r="D6421" t="str">
        <f>"18"</f>
        <v>18</v>
      </c>
      <c r="E6421" t="str">
        <f>"1-281-18"</f>
        <v>1-281-18</v>
      </c>
      <c r="F6421" t="s">
        <v>83</v>
      </c>
      <c r="G6421" t="s">
        <v>84</v>
      </c>
      <c r="H6421" t="s">
        <v>85</v>
      </c>
      <c r="AC6421">
        <v>0</v>
      </c>
      <c r="AD6421">
        <v>1</v>
      </c>
      <c r="AE6421">
        <v>0</v>
      </c>
      <c r="AF6421">
        <v>0</v>
      </c>
      <c r="AG6421">
        <v>1</v>
      </c>
      <c r="AJ6421">
        <v>0</v>
      </c>
      <c r="AK6421">
        <v>1</v>
      </c>
      <c r="AL6421">
        <v>0</v>
      </c>
      <c r="AM6421">
        <v>0</v>
      </c>
      <c r="AN6421">
        <v>1</v>
      </c>
      <c r="AO6421">
        <v>1</v>
      </c>
      <c r="AP6421">
        <v>1</v>
      </c>
      <c r="AQ6421">
        <v>1</v>
      </c>
      <c r="AR6421">
        <v>1</v>
      </c>
      <c r="AS6421">
        <v>0</v>
      </c>
      <c r="AT6421">
        <v>1</v>
      </c>
      <c r="AV6421">
        <v>1</v>
      </c>
      <c r="AW6421">
        <v>1</v>
      </c>
    </row>
    <row r="6422" spans="1:49" x14ac:dyDescent="0.25">
      <c r="A6422" t="str">
        <f>"6418"</f>
        <v>6418</v>
      </c>
      <c r="B6422" t="str">
        <f t="shared" si="369"/>
        <v>1</v>
      </c>
      <c r="C6422" t="str">
        <f t="shared" si="372"/>
        <v>281</v>
      </c>
      <c r="D6422" t="str">
        <f>"9"</f>
        <v>9</v>
      </c>
      <c r="E6422" t="str">
        <f>"1-281-9"</f>
        <v>1-281-9</v>
      </c>
      <c r="F6422" t="s">
        <v>83</v>
      </c>
      <c r="G6422" t="s">
        <v>84</v>
      </c>
      <c r="H6422" t="s">
        <v>92</v>
      </c>
      <c r="I6422">
        <v>1</v>
      </c>
      <c r="J6422">
        <v>1</v>
      </c>
      <c r="N6422">
        <v>1</v>
      </c>
      <c r="O6422">
        <v>1</v>
      </c>
      <c r="P6422">
        <v>1</v>
      </c>
      <c r="Q6422">
        <v>1</v>
      </c>
      <c r="R6422">
        <v>1</v>
      </c>
      <c r="S6422">
        <v>1</v>
      </c>
      <c r="T6422">
        <v>1</v>
      </c>
      <c r="W6422">
        <v>1</v>
      </c>
      <c r="X6422">
        <v>1</v>
      </c>
      <c r="Y6422">
        <v>1</v>
      </c>
      <c r="Z6422">
        <v>1</v>
      </c>
      <c r="AA6422">
        <v>1</v>
      </c>
      <c r="AB6422">
        <v>1</v>
      </c>
    </row>
    <row r="6423" spans="1:49" x14ac:dyDescent="0.25">
      <c r="A6423" t="str">
        <f>"6419"</f>
        <v>6419</v>
      </c>
      <c r="B6423" t="str">
        <f t="shared" si="369"/>
        <v>1</v>
      </c>
      <c r="C6423" t="str">
        <f t="shared" si="372"/>
        <v>281</v>
      </c>
      <c r="D6423" t="str">
        <f>"7"</f>
        <v>7</v>
      </c>
      <c r="E6423" t="str">
        <f>"1-281-7"</f>
        <v>1-281-7</v>
      </c>
      <c r="F6423" t="s">
        <v>83</v>
      </c>
      <c r="G6423" t="s">
        <v>84</v>
      </c>
      <c r="H6423" t="s">
        <v>85</v>
      </c>
      <c r="AC6423">
        <v>0</v>
      </c>
      <c r="AD6423">
        <v>1</v>
      </c>
      <c r="AE6423">
        <v>0</v>
      </c>
      <c r="AF6423">
        <v>0</v>
      </c>
      <c r="AG6423">
        <v>1</v>
      </c>
      <c r="AJ6423">
        <v>1</v>
      </c>
      <c r="AK6423">
        <v>0</v>
      </c>
      <c r="AL6423">
        <v>0</v>
      </c>
      <c r="AM6423">
        <v>1</v>
      </c>
      <c r="AN6423">
        <v>0</v>
      </c>
      <c r="AO6423">
        <v>1</v>
      </c>
      <c r="AP6423">
        <v>1</v>
      </c>
      <c r="AQ6423">
        <v>0</v>
      </c>
      <c r="AR6423">
        <v>0</v>
      </c>
      <c r="AS6423">
        <v>1</v>
      </c>
      <c r="AT6423">
        <v>0</v>
      </c>
      <c r="AV6423">
        <v>0</v>
      </c>
      <c r="AW6423">
        <v>1</v>
      </c>
    </row>
    <row r="6424" spans="1:49" x14ac:dyDescent="0.25">
      <c r="A6424" t="str">
        <f>"6420"</f>
        <v>6420</v>
      </c>
      <c r="B6424" t="str">
        <f t="shared" si="369"/>
        <v>1</v>
      </c>
      <c r="C6424" t="str">
        <f t="shared" si="372"/>
        <v>281</v>
      </c>
      <c r="D6424" t="str">
        <f>"21"</f>
        <v>21</v>
      </c>
      <c r="E6424" t="str">
        <f>"1-281-21"</f>
        <v>1-281-21</v>
      </c>
      <c r="F6424" t="s">
        <v>83</v>
      </c>
      <c r="G6424" t="s">
        <v>84</v>
      </c>
      <c r="H6424" t="s">
        <v>85</v>
      </c>
      <c r="AC6424">
        <v>1</v>
      </c>
      <c r="AD6424">
        <v>0</v>
      </c>
      <c r="AE6424">
        <v>0</v>
      </c>
      <c r="AF6424">
        <v>0</v>
      </c>
      <c r="AG6424">
        <v>1</v>
      </c>
      <c r="AJ6424">
        <v>1</v>
      </c>
      <c r="AK6424">
        <v>0</v>
      </c>
      <c r="AL6424">
        <v>1</v>
      </c>
      <c r="AM6424">
        <v>0</v>
      </c>
      <c r="AN6424">
        <v>0</v>
      </c>
      <c r="AO6424">
        <v>1</v>
      </c>
      <c r="AP6424">
        <v>1</v>
      </c>
      <c r="AQ6424">
        <v>1</v>
      </c>
      <c r="AR6424">
        <v>1</v>
      </c>
      <c r="AS6424">
        <v>1</v>
      </c>
      <c r="AT6424">
        <v>0</v>
      </c>
      <c r="AV6424">
        <v>1</v>
      </c>
      <c r="AW6424">
        <v>1</v>
      </c>
    </row>
    <row r="6425" spans="1:49" x14ac:dyDescent="0.25">
      <c r="A6425" t="str">
        <f>"6421"</f>
        <v>6421</v>
      </c>
      <c r="B6425" t="str">
        <f t="shared" si="369"/>
        <v>1</v>
      </c>
      <c r="C6425" t="str">
        <f t="shared" si="372"/>
        <v>281</v>
      </c>
      <c r="D6425" t="str">
        <f>"20"</f>
        <v>20</v>
      </c>
      <c r="E6425" t="str">
        <f>"1-281-20"</f>
        <v>1-281-20</v>
      </c>
      <c r="F6425" t="s">
        <v>83</v>
      </c>
      <c r="G6425" t="s">
        <v>84</v>
      </c>
      <c r="H6425" t="s">
        <v>85</v>
      </c>
      <c r="AC6425">
        <v>1</v>
      </c>
      <c r="AD6425">
        <v>0</v>
      </c>
      <c r="AE6425">
        <v>0</v>
      </c>
      <c r="AF6425">
        <v>0</v>
      </c>
      <c r="AG6425">
        <v>1</v>
      </c>
      <c r="AJ6425">
        <v>0</v>
      </c>
      <c r="AK6425">
        <v>1</v>
      </c>
      <c r="AL6425">
        <v>1</v>
      </c>
      <c r="AM6425">
        <v>0</v>
      </c>
      <c r="AN6425">
        <v>0</v>
      </c>
      <c r="AO6425">
        <v>1</v>
      </c>
      <c r="AP6425">
        <v>1</v>
      </c>
      <c r="AQ6425">
        <v>1</v>
      </c>
      <c r="AR6425">
        <v>1</v>
      </c>
      <c r="AS6425">
        <v>1</v>
      </c>
      <c r="AT6425">
        <v>0</v>
      </c>
      <c r="AV6425">
        <v>1</v>
      </c>
      <c r="AW6425">
        <v>1</v>
      </c>
    </row>
    <row r="6426" spans="1:49" x14ac:dyDescent="0.25">
      <c r="A6426" t="str">
        <f>"6422"</f>
        <v>6422</v>
      </c>
      <c r="B6426" t="str">
        <f t="shared" si="369"/>
        <v>1</v>
      </c>
      <c r="C6426" t="str">
        <f t="shared" si="372"/>
        <v>281</v>
      </c>
      <c r="D6426" t="str">
        <f>"17"</f>
        <v>17</v>
      </c>
      <c r="E6426" t="str">
        <f>"1-281-17"</f>
        <v>1-281-17</v>
      </c>
      <c r="F6426" t="s">
        <v>83</v>
      </c>
      <c r="G6426" t="s">
        <v>84</v>
      </c>
      <c r="H6426" t="s">
        <v>92</v>
      </c>
      <c r="I6426">
        <v>1</v>
      </c>
      <c r="J6426">
        <v>1</v>
      </c>
      <c r="N6426">
        <v>1</v>
      </c>
      <c r="O6426">
        <v>1</v>
      </c>
      <c r="P6426">
        <v>1</v>
      </c>
      <c r="Q6426">
        <v>1</v>
      </c>
      <c r="R6426">
        <v>1</v>
      </c>
      <c r="S6426">
        <v>1</v>
      </c>
      <c r="T6426">
        <v>1</v>
      </c>
      <c r="W6426">
        <v>1</v>
      </c>
      <c r="X6426">
        <v>1</v>
      </c>
      <c r="Y6426">
        <v>1</v>
      </c>
      <c r="Z6426">
        <v>1</v>
      </c>
      <c r="AA6426">
        <v>1</v>
      </c>
      <c r="AB6426">
        <v>1</v>
      </c>
    </row>
    <row r="6427" spans="1:49" x14ac:dyDescent="0.25">
      <c r="A6427" t="str">
        <f>"6423"</f>
        <v>6423</v>
      </c>
      <c r="B6427" t="str">
        <f t="shared" si="369"/>
        <v>1</v>
      </c>
      <c r="C6427" t="str">
        <f t="shared" si="372"/>
        <v>281</v>
      </c>
      <c r="D6427" t="str">
        <f>"10"</f>
        <v>10</v>
      </c>
      <c r="E6427" t="str">
        <f>"1-281-10"</f>
        <v>1-281-10</v>
      </c>
      <c r="F6427" t="s">
        <v>83</v>
      </c>
      <c r="G6427" t="s">
        <v>84</v>
      </c>
      <c r="H6427" t="s">
        <v>92</v>
      </c>
      <c r="I6427">
        <v>1</v>
      </c>
      <c r="J6427">
        <v>1</v>
      </c>
      <c r="N6427">
        <v>1</v>
      </c>
      <c r="O6427">
        <v>1</v>
      </c>
      <c r="P6427">
        <v>1</v>
      </c>
      <c r="Q6427">
        <v>1</v>
      </c>
      <c r="R6427">
        <v>1</v>
      </c>
      <c r="S6427">
        <v>1</v>
      </c>
      <c r="T6427">
        <v>1</v>
      </c>
      <c r="W6427">
        <v>1</v>
      </c>
      <c r="X6427">
        <v>1</v>
      </c>
      <c r="Y6427">
        <v>1</v>
      </c>
      <c r="Z6427">
        <v>1</v>
      </c>
      <c r="AA6427">
        <v>1</v>
      </c>
      <c r="AB6427">
        <v>1</v>
      </c>
    </row>
    <row r="6428" spans="1:49" x14ac:dyDescent="0.25">
      <c r="A6428" t="str">
        <f>"6424"</f>
        <v>6424</v>
      </c>
      <c r="B6428" t="str">
        <f t="shared" si="369"/>
        <v>1</v>
      </c>
      <c r="C6428" t="str">
        <f t="shared" si="372"/>
        <v>281</v>
      </c>
      <c r="D6428" t="str">
        <f>"1"</f>
        <v>1</v>
      </c>
      <c r="E6428" t="str">
        <f>"1-281-1"</f>
        <v>1-281-1</v>
      </c>
      <c r="F6428" t="s">
        <v>83</v>
      </c>
      <c r="G6428" t="s">
        <v>84</v>
      </c>
      <c r="H6428" t="s">
        <v>85</v>
      </c>
      <c r="AC6428">
        <v>1</v>
      </c>
      <c r="AD6428">
        <v>0</v>
      </c>
      <c r="AE6428">
        <v>0</v>
      </c>
      <c r="AF6428">
        <v>0</v>
      </c>
      <c r="AG6428">
        <v>1</v>
      </c>
      <c r="AJ6428">
        <v>1</v>
      </c>
      <c r="AK6428">
        <v>0</v>
      </c>
      <c r="AL6428">
        <v>0</v>
      </c>
      <c r="AM6428">
        <v>0</v>
      </c>
      <c r="AN6428">
        <v>1</v>
      </c>
      <c r="AO6428">
        <v>1</v>
      </c>
      <c r="AP6428">
        <v>1</v>
      </c>
      <c r="AQ6428">
        <v>1</v>
      </c>
      <c r="AR6428">
        <v>1</v>
      </c>
      <c r="AS6428">
        <v>1</v>
      </c>
      <c r="AT6428">
        <v>0</v>
      </c>
      <c r="AV6428">
        <v>1</v>
      </c>
      <c r="AW6428">
        <v>1</v>
      </c>
    </row>
    <row r="6429" spans="1:49" x14ac:dyDescent="0.25">
      <c r="A6429" t="str">
        <f>"6425"</f>
        <v>6425</v>
      </c>
      <c r="B6429" t="str">
        <f t="shared" si="369"/>
        <v>1</v>
      </c>
      <c r="C6429" t="str">
        <f t="shared" si="372"/>
        <v>281</v>
      </c>
      <c r="D6429" t="str">
        <f>"25"</f>
        <v>25</v>
      </c>
      <c r="E6429" t="str">
        <f>"1-281-25"</f>
        <v>1-281-25</v>
      </c>
      <c r="F6429" t="s">
        <v>83</v>
      </c>
      <c r="G6429" t="s">
        <v>84</v>
      </c>
      <c r="H6429" t="s">
        <v>85</v>
      </c>
      <c r="AC6429">
        <v>1</v>
      </c>
      <c r="AD6429">
        <v>0</v>
      </c>
      <c r="AE6429">
        <v>0</v>
      </c>
      <c r="AF6429">
        <v>0</v>
      </c>
      <c r="AG6429">
        <v>0</v>
      </c>
      <c r="AJ6429">
        <v>1</v>
      </c>
      <c r="AK6429">
        <v>0</v>
      </c>
      <c r="AL6429">
        <v>1</v>
      </c>
      <c r="AM6429">
        <v>0</v>
      </c>
      <c r="AN6429">
        <v>0</v>
      </c>
      <c r="AO6429">
        <v>0</v>
      </c>
      <c r="AP6429">
        <v>0</v>
      </c>
      <c r="AQ6429">
        <v>0</v>
      </c>
      <c r="AR6429">
        <v>0</v>
      </c>
      <c r="AS6429">
        <v>0</v>
      </c>
      <c r="AT6429">
        <v>1</v>
      </c>
      <c r="AV6429">
        <v>0</v>
      </c>
      <c r="AW6429">
        <v>0</v>
      </c>
    </row>
    <row r="6430" spans="1:49" x14ac:dyDescent="0.25">
      <c r="A6430" t="str">
        <f>"6426"</f>
        <v>6426</v>
      </c>
      <c r="B6430" t="str">
        <f t="shared" ref="B6430:B6493" si="373">"1"</f>
        <v>1</v>
      </c>
      <c r="C6430" t="str">
        <f t="shared" si="372"/>
        <v>281</v>
      </c>
      <c r="D6430" t="str">
        <f>"24"</f>
        <v>24</v>
      </c>
      <c r="E6430" t="str">
        <f>"1-281-24"</f>
        <v>1-281-24</v>
      </c>
      <c r="F6430" t="s">
        <v>83</v>
      </c>
      <c r="G6430" t="s">
        <v>84</v>
      </c>
      <c r="H6430" t="s">
        <v>92</v>
      </c>
      <c r="I6430">
        <v>1</v>
      </c>
      <c r="J6430">
        <v>1</v>
      </c>
      <c r="N6430">
        <v>1</v>
      </c>
      <c r="O6430">
        <v>1</v>
      </c>
      <c r="P6430">
        <v>1</v>
      </c>
      <c r="Q6430">
        <v>1</v>
      </c>
      <c r="R6430">
        <v>1</v>
      </c>
      <c r="S6430">
        <v>1</v>
      </c>
      <c r="T6430">
        <v>1</v>
      </c>
      <c r="W6430">
        <v>1</v>
      </c>
      <c r="X6430">
        <v>1</v>
      </c>
      <c r="Y6430">
        <v>1</v>
      </c>
      <c r="Z6430">
        <v>1</v>
      </c>
      <c r="AA6430">
        <v>1</v>
      </c>
      <c r="AB6430">
        <v>1</v>
      </c>
    </row>
    <row r="6431" spans="1:49" s="2" customFormat="1" x14ac:dyDescent="0.25">
      <c r="A6431" s="3" t="str">
        <f>"6427"</f>
        <v>6427</v>
      </c>
      <c r="B6431" s="3" t="str">
        <f t="shared" si="373"/>
        <v>1</v>
      </c>
      <c r="C6431" s="3" t="str">
        <f t="shared" si="372"/>
        <v>281</v>
      </c>
      <c r="D6431" s="3" t="str">
        <f>"16"</f>
        <v>16</v>
      </c>
      <c r="E6431" s="3" t="str">
        <f>"1-281-16"</f>
        <v>1-281-16</v>
      </c>
      <c r="F6431" s="3" t="s">
        <v>83</v>
      </c>
      <c r="G6431" s="4" t="s">
        <v>96</v>
      </c>
      <c r="I6431" s="4"/>
    </row>
    <row r="6432" spans="1:49" x14ac:dyDescent="0.25">
      <c r="A6432" t="str">
        <f>"6428"</f>
        <v>6428</v>
      </c>
      <c r="B6432" t="str">
        <f t="shared" si="373"/>
        <v>1</v>
      </c>
      <c r="C6432" t="str">
        <f t="shared" si="372"/>
        <v>281</v>
      </c>
      <c r="D6432" t="str">
        <f>"11"</f>
        <v>11</v>
      </c>
      <c r="E6432" t="str">
        <f>"1-281-11"</f>
        <v>1-281-11</v>
      </c>
      <c r="F6432" t="s">
        <v>83</v>
      </c>
      <c r="G6432" t="s">
        <v>84</v>
      </c>
      <c r="H6432" t="s">
        <v>92</v>
      </c>
      <c r="I6432">
        <v>1</v>
      </c>
      <c r="J6432">
        <v>1</v>
      </c>
      <c r="N6432">
        <v>1</v>
      </c>
      <c r="O6432">
        <v>1</v>
      </c>
      <c r="P6432">
        <v>1</v>
      </c>
      <c r="Q6432">
        <v>1</v>
      </c>
      <c r="R6432">
        <v>1</v>
      </c>
      <c r="S6432">
        <v>1</v>
      </c>
      <c r="T6432">
        <v>1</v>
      </c>
      <c r="W6432">
        <v>1</v>
      </c>
      <c r="X6432">
        <v>1</v>
      </c>
      <c r="Y6432">
        <v>1</v>
      </c>
      <c r="Z6432">
        <v>1</v>
      </c>
      <c r="AA6432">
        <v>1</v>
      </c>
      <c r="AB6432">
        <v>1</v>
      </c>
    </row>
    <row r="6433" spans="1:49" x14ac:dyDescent="0.25">
      <c r="A6433" t="str">
        <f>"6429"</f>
        <v>6429</v>
      </c>
      <c r="B6433" t="str">
        <f t="shared" si="373"/>
        <v>1</v>
      </c>
      <c r="C6433" t="str">
        <f t="shared" si="372"/>
        <v>281</v>
      </c>
      <c r="D6433" t="str">
        <f>"6"</f>
        <v>6</v>
      </c>
      <c r="E6433" t="str">
        <f>"1-281-6"</f>
        <v>1-281-6</v>
      </c>
      <c r="F6433" t="s">
        <v>83</v>
      </c>
      <c r="G6433" t="s">
        <v>84</v>
      </c>
      <c r="H6433" t="s">
        <v>85</v>
      </c>
      <c r="AC6433">
        <v>0</v>
      </c>
      <c r="AD6433">
        <v>1</v>
      </c>
      <c r="AE6433">
        <v>0</v>
      </c>
      <c r="AF6433">
        <v>0</v>
      </c>
      <c r="AG6433">
        <v>1</v>
      </c>
      <c r="AJ6433">
        <v>0</v>
      </c>
      <c r="AK6433">
        <v>1</v>
      </c>
      <c r="AL6433">
        <v>0</v>
      </c>
      <c r="AM6433">
        <v>0</v>
      </c>
      <c r="AN6433">
        <v>1</v>
      </c>
      <c r="AO6433">
        <v>1</v>
      </c>
      <c r="AP6433">
        <v>1</v>
      </c>
      <c r="AQ6433">
        <v>1</v>
      </c>
      <c r="AR6433">
        <v>1</v>
      </c>
      <c r="AS6433">
        <v>0</v>
      </c>
      <c r="AT6433">
        <v>1</v>
      </c>
      <c r="AV6433">
        <v>1</v>
      </c>
      <c r="AW6433">
        <v>1</v>
      </c>
    </row>
    <row r="6434" spans="1:49" x14ac:dyDescent="0.25">
      <c r="A6434" t="str">
        <f>"6430"</f>
        <v>6430</v>
      </c>
      <c r="B6434" t="str">
        <f t="shared" si="373"/>
        <v>1</v>
      </c>
      <c r="C6434" t="str">
        <f t="shared" si="372"/>
        <v>281</v>
      </c>
      <c r="D6434" t="str">
        <f>"19"</f>
        <v>19</v>
      </c>
      <c r="E6434" t="str">
        <f>"1-281-19"</f>
        <v>1-281-19</v>
      </c>
      <c r="F6434" t="s">
        <v>83</v>
      </c>
      <c r="G6434" t="s">
        <v>84</v>
      </c>
      <c r="H6434" t="s">
        <v>85</v>
      </c>
      <c r="AC6434">
        <v>1</v>
      </c>
      <c r="AD6434">
        <v>0</v>
      </c>
      <c r="AE6434">
        <v>0</v>
      </c>
      <c r="AF6434">
        <v>0</v>
      </c>
      <c r="AG6434">
        <v>1</v>
      </c>
      <c r="AJ6434">
        <v>0</v>
      </c>
      <c r="AK6434">
        <v>0</v>
      </c>
      <c r="AL6434">
        <v>0</v>
      </c>
      <c r="AM6434">
        <v>0</v>
      </c>
      <c r="AN6434">
        <v>1</v>
      </c>
      <c r="AO6434">
        <v>1</v>
      </c>
      <c r="AP6434">
        <v>1</v>
      </c>
      <c r="AQ6434">
        <v>1</v>
      </c>
      <c r="AR6434">
        <v>1</v>
      </c>
      <c r="AS6434">
        <v>0</v>
      </c>
      <c r="AT6434">
        <v>1</v>
      </c>
      <c r="AV6434">
        <v>1</v>
      </c>
      <c r="AW6434">
        <v>1</v>
      </c>
    </row>
    <row r="6435" spans="1:49" x14ac:dyDescent="0.25">
      <c r="A6435" t="str">
        <f>"6431"</f>
        <v>6431</v>
      </c>
      <c r="B6435" t="str">
        <f t="shared" si="373"/>
        <v>1</v>
      </c>
      <c r="C6435" t="str">
        <f t="shared" si="372"/>
        <v>281</v>
      </c>
      <c r="D6435" t="str">
        <f>"12"</f>
        <v>12</v>
      </c>
      <c r="E6435" t="str">
        <f>"1-281-12"</f>
        <v>1-281-12</v>
      </c>
      <c r="F6435" t="s">
        <v>83</v>
      </c>
      <c r="G6435" t="s">
        <v>84</v>
      </c>
      <c r="H6435" t="s">
        <v>85</v>
      </c>
      <c r="AC6435">
        <v>0</v>
      </c>
      <c r="AD6435">
        <v>1</v>
      </c>
      <c r="AE6435">
        <v>0</v>
      </c>
      <c r="AF6435">
        <v>0</v>
      </c>
      <c r="AG6435">
        <v>1</v>
      </c>
      <c r="AJ6435">
        <v>1</v>
      </c>
      <c r="AK6435">
        <v>0</v>
      </c>
      <c r="AL6435">
        <v>0</v>
      </c>
      <c r="AM6435">
        <v>0</v>
      </c>
      <c r="AN6435">
        <v>1</v>
      </c>
      <c r="AO6435">
        <v>1</v>
      </c>
      <c r="AP6435">
        <v>1</v>
      </c>
      <c r="AQ6435">
        <v>1</v>
      </c>
      <c r="AR6435">
        <v>1</v>
      </c>
      <c r="AS6435">
        <v>0</v>
      </c>
      <c r="AT6435">
        <v>1</v>
      </c>
      <c r="AV6435">
        <v>0</v>
      </c>
      <c r="AW6435">
        <v>1</v>
      </c>
    </row>
    <row r="6436" spans="1:49" x14ac:dyDescent="0.25">
      <c r="A6436" t="str">
        <f>"6432"</f>
        <v>6432</v>
      </c>
      <c r="B6436" t="str">
        <f t="shared" si="373"/>
        <v>1</v>
      </c>
      <c r="C6436" t="str">
        <f t="shared" si="372"/>
        <v>281</v>
      </c>
      <c r="D6436" t="str">
        <f>"5"</f>
        <v>5</v>
      </c>
      <c r="E6436" t="str">
        <f>"1-281-5"</f>
        <v>1-281-5</v>
      </c>
      <c r="F6436" t="s">
        <v>83</v>
      </c>
      <c r="G6436" t="s">
        <v>84</v>
      </c>
      <c r="H6436" t="s">
        <v>92</v>
      </c>
      <c r="I6436">
        <v>1</v>
      </c>
      <c r="J6436">
        <v>0</v>
      </c>
      <c r="N6436">
        <v>1</v>
      </c>
      <c r="O6436">
        <v>0</v>
      </c>
      <c r="P6436">
        <v>0</v>
      </c>
      <c r="Q6436">
        <v>0</v>
      </c>
      <c r="R6436">
        <v>0</v>
      </c>
      <c r="S6436">
        <v>0</v>
      </c>
      <c r="T6436">
        <v>0</v>
      </c>
      <c r="W6436">
        <v>0</v>
      </c>
      <c r="X6436">
        <v>0</v>
      </c>
      <c r="Y6436">
        <v>0</v>
      </c>
      <c r="Z6436">
        <v>0</v>
      </c>
      <c r="AA6436">
        <v>0</v>
      </c>
      <c r="AB6436">
        <v>0</v>
      </c>
    </row>
    <row r="6437" spans="1:49" x14ac:dyDescent="0.25">
      <c r="A6437" t="str">
        <f>"6433"</f>
        <v>6433</v>
      </c>
      <c r="B6437" t="str">
        <f t="shared" si="373"/>
        <v>1</v>
      </c>
      <c r="C6437" t="str">
        <f t="shared" si="372"/>
        <v>281</v>
      </c>
      <c r="D6437" t="str">
        <f>"13"</f>
        <v>13</v>
      </c>
      <c r="E6437" t="str">
        <f>"1-281-13"</f>
        <v>1-281-13</v>
      </c>
      <c r="F6437" t="s">
        <v>83</v>
      </c>
      <c r="G6437" t="s">
        <v>84</v>
      </c>
      <c r="H6437" t="s">
        <v>92</v>
      </c>
      <c r="I6437">
        <v>1</v>
      </c>
      <c r="J6437">
        <v>1</v>
      </c>
      <c r="N6437">
        <v>1</v>
      </c>
      <c r="O6437">
        <v>1</v>
      </c>
      <c r="P6437">
        <v>1</v>
      </c>
      <c r="Q6437">
        <v>1</v>
      </c>
      <c r="R6437">
        <v>1</v>
      </c>
      <c r="S6437">
        <v>1</v>
      </c>
      <c r="T6437">
        <v>1</v>
      </c>
      <c r="W6437">
        <v>1</v>
      </c>
      <c r="X6437">
        <v>1</v>
      </c>
      <c r="Y6437">
        <v>1</v>
      </c>
      <c r="Z6437">
        <v>1</v>
      </c>
      <c r="AA6437">
        <v>1</v>
      </c>
      <c r="AB6437">
        <v>1</v>
      </c>
    </row>
    <row r="6438" spans="1:49" x14ac:dyDescent="0.25">
      <c r="A6438" t="str">
        <f>"6434"</f>
        <v>6434</v>
      </c>
      <c r="B6438" t="str">
        <f t="shared" si="373"/>
        <v>1</v>
      </c>
      <c r="C6438" t="str">
        <f t="shared" si="372"/>
        <v>281</v>
      </c>
      <c r="D6438" t="str">
        <f>"3"</f>
        <v>3</v>
      </c>
      <c r="E6438" t="str">
        <f>"1-281-3"</f>
        <v>1-281-3</v>
      </c>
      <c r="F6438" t="s">
        <v>83</v>
      </c>
      <c r="G6438" t="s">
        <v>84</v>
      </c>
      <c r="H6438" t="s">
        <v>92</v>
      </c>
      <c r="I6438">
        <v>1</v>
      </c>
      <c r="J6438">
        <v>1</v>
      </c>
      <c r="N6438">
        <v>1</v>
      </c>
      <c r="O6438">
        <v>1</v>
      </c>
      <c r="P6438">
        <v>0</v>
      </c>
      <c r="Q6438">
        <v>0</v>
      </c>
      <c r="R6438">
        <v>1</v>
      </c>
      <c r="S6438">
        <v>1</v>
      </c>
      <c r="T6438">
        <v>1</v>
      </c>
      <c r="W6438">
        <v>1</v>
      </c>
      <c r="X6438">
        <v>1</v>
      </c>
      <c r="Y6438">
        <v>1</v>
      </c>
      <c r="Z6438">
        <v>0</v>
      </c>
      <c r="AA6438">
        <v>0</v>
      </c>
      <c r="AB6438">
        <v>1</v>
      </c>
    </row>
    <row r="6439" spans="1:49" x14ac:dyDescent="0.25">
      <c r="A6439" t="str">
        <f>"6435"</f>
        <v>6435</v>
      </c>
      <c r="B6439" t="str">
        <f t="shared" si="373"/>
        <v>1</v>
      </c>
      <c r="C6439" t="str">
        <f t="shared" si="372"/>
        <v>281</v>
      </c>
      <c r="D6439" t="str">
        <f>"4"</f>
        <v>4</v>
      </c>
      <c r="E6439" t="str">
        <f>"1-281-4"</f>
        <v>1-281-4</v>
      </c>
      <c r="F6439" t="s">
        <v>83</v>
      </c>
      <c r="G6439" t="s">
        <v>84</v>
      </c>
      <c r="H6439" t="s">
        <v>85</v>
      </c>
      <c r="AC6439">
        <v>1</v>
      </c>
      <c r="AD6439">
        <v>0</v>
      </c>
      <c r="AE6439">
        <v>0</v>
      </c>
      <c r="AF6439">
        <v>0</v>
      </c>
      <c r="AG6439">
        <v>0</v>
      </c>
      <c r="AJ6439">
        <v>1</v>
      </c>
      <c r="AK6439">
        <v>0</v>
      </c>
      <c r="AL6439">
        <v>1</v>
      </c>
      <c r="AM6439">
        <v>0</v>
      </c>
      <c r="AN6439">
        <v>0</v>
      </c>
      <c r="AO6439">
        <v>0</v>
      </c>
      <c r="AP6439">
        <v>0</v>
      </c>
      <c r="AQ6439">
        <v>0</v>
      </c>
      <c r="AR6439">
        <v>0</v>
      </c>
      <c r="AS6439">
        <v>0</v>
      </c>
      <c r="AT6439">
        <v>1</v>
      </c>
      <c r="AV6439">
        <v>0</v>
      </c>
      <c r="AW6439">
        <v>0</v>
      </c>
    </row>
    <row r="6440" spans="1:49" x14ac:dyDescent="0.25">
      <c r="A6440" t="str">
        <f>"6436"</f>
        <v>6436</v>
      </c>
      <c r="B6440" t="str">
        <f t="shared" si="373"/>
        <v>1</v>
      </c>
      <c r="C6440" t="str">
        <f t="shared" si="372"/>
        <v>281</v>
      </c>
      <c r="D6440" t="str">
        <f>"14"</f>
        <v>14</v>
      </c>
      <c r="E6440" t="str">
        <f>"1-281-14"</f>
        <v>1-281-14</v>
      </c>
      <c r="F6440" t="s">
        <v>83</v>
      </c>
      <c r="G6440" t="s">
        <v>84</v>
      </c>
      <c r="H6440" t="s">
        <v>85</v>
      </c>
      <c r="AC6440">
        <v>1</v>
      </c>
      <c r="AD6440">
        <v>0</v>
      </c>
      <c r="AE6440">
        <v>0</v>
      </c>
      <c r="AF6440">
        <v>0</v>
      </c>
      <c r="AG6440">
        <v>1</v>
      </c>
      <c r="AJ6440">
        <v>1</v>
      </c>
      <c r="AK6440">
        <v>0</v>
      </c>
      <c r="AL6440">
        <v>1</v>
      </c>
      <c r="AM6440">
        <v>0</v>
      </c>
      <c r="AN6440">
        <v>0</v>
      </c>
      <c r="AO6440">
        <v>1</v>
      </c>
      <c r="AP6440">
        <v>1</v>
      </c>
      <c r="AQ6440">
        <v>1</v>
      </c>
      <c r="AR6440">
        <v>1</v>
      </c>
      <c r="AS6440">
        <v>1</v>
      </c>
      <c r="AT6440">
        <v>0</v>
      </c>
      <c r="AV6440">
        <v>1</v>
      </c>
      <c r="AW6440">
        <v>1</v>
      </c>
    </row>
    <row r="6441" spans="1:49" x14ac:dyDescent="0.25">
      <c r="A6441" t="str">
        <f>"6437"</f>
        <v>6437</v>
      </c>
      <c r="B6441" t="str">
        <f t="shared" si="373"/>
        <v>1</v>
      </c>
      <c r="C6441" t="str">
        <f t="shared" ref="C6441:C6464" si="374">"282"</f>
        <v>282</v>
      </c>
      <c r="D6441" t="str">
        <f>"21"</f>
        <v>21</v>
      </c>
      <c r="E6441" t="str">
        <f>"1-282-21"</f>
        <v>1-282-21</v>
      </c>
      <c r="F6441" t="s">
        <v>83</v>
      </c>
      <c r="G6441" t="s">
        <v>84</v>
      </c>
      <c r="H6441" t="s">
        <v>92</v>
      </c>
      <c r="I6441">
        <v>1</v>
      </c>
      <c r="J6441">
        <v>1</v>
      </c>
      <c r="N6441">
        <v>1</v>
      </c>
      <c r="O6441">
        <v>1</v>
      </c>
      <c r="P6441">
        <v>1</v>
      </c>
      <c r="Q6441">
        <v>1</v>
      </c>
      <c r="R6441">
        <v>1</v>
      </c>
      <c r="S6441">
        <v>1</v>
      </c>
      <c r="T6441">
        <v>1</v>
      </c>
      <c r="W6441">
        <v>1</v>
      </c>
      <c r="X6441">
        <v>1</v>
      </c>
      <c r="Y6441">
        <v>1</v>
      </c>
      <c r="Z6441">
        <v>1</v>
      </c>
      <c r="AA6441">
        <v>1</v>
      </c>
      <c r="AB6441">
        <v>1</v>
      </c>
    </row>
    <row r="6442" spans="1:49" x14ac:dyDescent="0.25">
      <c r="A6442" t="str">
        <f>"6438"</f>
        <v>6438</v>
      </c>
      <c r="B6442" t="str">
        <f t="shared" si="373"/>
        <v>1</v>
      </c>
      <c r="C6442" t="str">
        <f t="shared" si="374"/>
        <v>282</v>
      </c>
      <c r="D6442" t="str">
        <f>"20"</f>
        <v>20</v>
      </c>
      <c r="E6442" t="str">
        <f>"1-282-20"</f>
        <v>1-282-20</v>
      </c>
      <c r="F6442" t="s">
        <v>83</v>
      </c>
      <c r="G6442" t="s">
        <v>88</v>
      </c>
      <c r="H6442" t="s">
        <v>95</v>
      </c>
      <c r="I6442">
        <v>1</v>
      </c>
      <c r="K6442">
        <v>1</v>
      </c>
      <c r="L6442">
        <v>0</v>
      </c>
      <c r="M6442">
        <v>0</v>
      </c>
      <c r="N6442">
        <v>1</v>
      </c>
      <c r="O6442">
        <v>1</v>
      </c>
      <c r="P6442">
        <v>1</v>
      </c>
      <c r="Q6442">
        <v>1</v>
      </c>
      <c r="R6442">
        <v>1</v>
      </c>
      <c r="S6442">
        <v>1</v>
      </c>
      <c r="T6442">
        <v>1</v>
      </c>
      <c r="W6442">
        <v>1</v>
      </c>
      <c r="X6442">
        <v>1</v>
      </c>
      <c r="Y6442">
        <v>1</v>
      </c>
      <c r="Z6442">
        <v>1</v>
      </c>
      <c r="AA6442">
        <v>1</v>
      </c>
      <c r="AB6442">
        <v>1</v>
      </c>
    </row>
    <row r="6443" spans="1:49" x14ac:dyDescent="0.25">
      <c r="A6443" t="str">
        <f>"6439"</f>
        <v>6439</v>
      </c>
      <c r="B6443" t="str">
        <f t="shared" si="373"/>
        <v>1</v>
      </c>
      <c r="C6443" t="str">
        <f t="shared" si="374"/>
        <v>282</v>
      </c>
      <c r="D6443" t="str">
        <f>"13"</f>
        <v>13</v>
      </c>
      <c r="E6443" t="str">
        <f>"1-282-13"</f>
        <v>1-282-13</v>
      </c>
      <c r="F6443" t="s">
        <v>83</v>
      </c>
      <c r="G6443" t="s">
        <v>84</v>
      </c>
      <c r="H6443" t="s">
        <v>92</v>
      </c>
      <c r="I6443">
        <v>1</v>
      </c>
      <c r="J6443">
        <v>1</v>
      </c>
      <c r="N6443">
        <v>1</v>
      </c>
      <c r="O6443">
        <v>1</v>
      </c>
      <c r="P6443">
        <v>1</v>
      </c>
      <c r="Q6443">
        <v>1</v>
      </c>
      <c r="R6443">
        <v>1</v>
      </c>
      <c r="S6443">
        <v>1</v>
      </c>
      <c r="T6443">
        <v>1</v>
      </c>
      <c r="W6443">
        <v>1</v>
      </c>
      <c r="X6443">
        <v>1</v>
      </c>
      <c r="Y6443">
        <v>1</v>
      </c>
      <c r="Z6443">
        <v>1</v>
      </c>
      <c r="AA6443">
        <v>1</v>
      </c>
      <c r="AB6443">
        <v>1</v>
      </c>
    </row>
    <row r="6444" spans="1:49" x14ac:dyDescent="0.25">
      <c r="A6444" t="str">
        <f>"6440"</f>
        <v>6440</v>
      </c>
      <c r="B6444" t="str">
        <f t="shared" si="373"/>
        <v>1</v>
      </c>
      <c r="C6444" t="str">
        <f t="shared" si="374"/>
        <v>282</v>
      </c>
      <c r="D6444" t="str">
        <f>"12"</f>
        <v>12</v>
      </c>
      <c r="E6444" t="str">
        <f>"1-282-12"</f>
        <v>1-282-12</v>
      </c>
      <c r="F6444" t="s">
        <v>83</v>
      </c>
      <c r="G6444" t="s">
        <v>84</v>
      </c>
      <c r="H6444" t="s">
        <v>92</v>
      </c>
      <c r="I6444">
        <v>1</v>
      </c>
      <c r="J6444">
        <v>1</v>
      </c>
      <c r="N6444">
        <v>1</v>
      </c>
      <c r="O6444">
        <v>1</v>
      </c>
      <c r="P6444">
        <v>1</v>
      </c>
      <c r="Q6444">
        <v>1</v>
      </c>
      <c r="R6444">
        <v>1</v>
      </c>
      <c r="S6444">
        <v>1</v>
      </c>
      <c r="T6444">
        <v>1</v>
      </c>
      <c r="W6444">
        <v>1</v>
      </c>
      <c r="X6444">
        <v>1</v>
      </c>
      <c r="Y6444">
        <v>1</v>
      </c>
      <c r="Z6444">
        <v>1</v>
      </c>
      <c r="AA6444">
        <v>1</v>
      </c>
      <c r="AB6444">
        <v>1</v>
      </c>
    </row>
    <row r="6445" spans="1:49" x14ac:dyDescent="0.25">
      <c r="A6445" t="str">
        <f>"6441"</f>
        <v>6441</v>
      </c>
      <c r="B6445" t="str">
        <f t="shared" si="373"/>
        <v>1</v>
      </c>
      <c r="C6445" t="str">
        <f t="shared" si="374"/>
        <v>282</v>
      </c>
      <c r="D6445" t="str">
        <f>"11"</f>
        <v>11</v>
      </c>
      <c r="E6445" t="str">
        <f>"1-282-11"</f>
        <v>1-282-11</v>
      </c>
      <c r="F6445" t="s">
        <v>83</v>
      </c>
      <c r="G6445" t="s">
        <v>84</v>
      </c>
      <c r="H6445" t="s">
        <v>92</v>
      </c>
      <c r="I6445">
        <v>0</v>
      </c>
      <c r="J6445">
        <v>0</v>
      </c>
      <c r="N6445">
        <v>1</v>
      </c>
      <c r="O6445">
        <v>0</v>
      </c>
      <c r="P6445">
        <v>0</v>
      </c>
      <c r="Q6445">
        <v>0</v>
      </c>
      <c r="R6445">
        <v>0</v>
      </c>
      <c r="S6445">
        <v>0</v>
      </c>
      <c r="T6445">
        <v>0</v>
      </c>
      <c r="W6445">
        <v>0</v>
      </c>
      <c r="X6445">
        <v>0</v>
      </c>
      <c r="Y6445">
        <v>0</v>
      </c>
      <c r="Z6445">
        <v>0</v>
      </c>
      <c r="AA6445">
        <v>0</v>
      </c>
      <c r="AB6445">
        <v>0</v>
      </c>
    </row>
    <row r="6446" spans="1:49" x14ac:dyDescent="0.25">
      <c r="A6446" t="str">
        <f>"6442"</f>
        <v>6442</v>
      </c>
      <c r="B6446" t="str">
        <f t="shared" si="373"/>
        <v>1</v>
      </c>
      <c r="C6446" t="str">
        <f t="shared" si="374"/>
        <v>282</v>
      </c>
      <c r="D6446" t="str">
        <f>"8"</f>
        <v>8</v>
      </c>
      <c r="E6446" t="str">
        <f>"1-282-8"</f>
        <v>1-282-8</v>
      </c>
      <c r="F6446" t="s">
        <v>83</v>
      </c>
      <c r="G6446" t="s">
        <v>84</v>
      </c>
      <c r="H6446" t="s">
        <v>92</v>
      </c>
      <c r="I6446">
        <v>1</v>
      </c>
      <c r="J6446">
        <v>1</v>
      </c>
      <c r="N6446">
        <v>1</v>
      </c>
      <c r="O6446">
        <v>1</v>
      </c>
      <c r="P6446">
        <v>1</v>
      </c>
      <c r="Q6446">
        <v>1</v>
      </c>
      <c r="R6446">
        <v>1</v>
      </c>
      <c r="S6446">
        <v>1</v>
      </c>
      <c r="T6446">
        <v>1</v>
      </c>
      <c r="W6446">
        <v>1</v>
      </c>
      <c r="X6446">
        <v>1</v>
      </c>
      <c r="Y6446">
        <v>1</v>
      </c>
      <c r="Z6446">
        <v>1</v>
      </c>
      <c r="AA6446">
        <v>1</v>
      </c>
      <c r="AB6446">
        <v>1</v>
      </c>
    </row>
    <row r="6447" spans="1:49" x14ac:dyDescent="0.25">
      <c r="A6447" t="str">
        <f>"6443"</f>
        <v>6443</v>
      </c>
      <c r="B6447" t="str">
        <f t="shared" si="373"/>
        <v>1</v>
      </c>
      <c r="C6447" t="str">
        <f t="shared" si="374"/>
        <v>282</v>
      </c>
      <c r="D6447" t="str">
        <f>"1"</f>
        <v>1</v>
      </c>
      <c r="E6447" t="str">
        <f>"1-282-1"</f>
        <v>1-282-1</v>
      </c>
      <c r="F6447" t="s">
        <v>83</v>
      </c>
      <c r="G6447" t="s">
        <v>84</v>
      </c>
      <c r="H6447" t="s">
        <v>92</v>
      </c>
      <c r="I6447">
        <v>1</v>
      </c>
      <c r="J6447">
        <v>1</v>
      </c>
      <c r="N6447">
        <v>1</v>
      </c>
      <c r="O6447">
        <v>1</v>
      </c>
      <c r="P6447">
        <v>1</v>
      </c>
      <c r="Q6447">
        <v>1</v>
      </c>
      <c r="R6447">
        <v>1</v>
      </c>
      <c r="S6447">
        <v>1</v>
      </c>
      <c r="T6447">
        <v>1</v>
      </c>
      <c r="W6447">
        <v>1</v>
      </c>
      <c r="X6447">
        <v>1</v>
      </c>
      <c r="Y6447">
        <v>1</v>
      </c>
      <c r="Z6447">
        <v>1</v>
      </c>
      <c r="AA6447">
        <v>1</v>
      </c>
      <c r="AB6447">
        <v>1</v>
      </c>
    </row>
    <row r="6448" spans="1:49" x14ac:dyDescent="0.25">
      <c r="A6448" t="str">
        <f>"6444"</f>
        <v>6444</v>
      </c>
      <c r="B6448" t="str">
        <f t="shared" si="373"/>
        <v>1</v>
      </c>
      <c r="C6448" t="str">
        <f t="shared" si="374"/>
        <v>282</v>
      </c>
      <c r="D6448" t="str">
        <f>"23"</f>
        <v>23</v>
      </c>
      <c r="E6448" t="str">
        <f>"1-282-23"</f>
        <v>1-282-23</v>
      </c>
      <c r="F6448" t="s">
        <v>83</v>
      </c>
      <c r="G6448" t="s">
        <v>84</v>
      </c>
      <c r="H6448" t="s">
        <v>92</v>
      </c>
      <c r="I6448">
        <v>1</v>
      </c>
      <c r="J6448">
        <v>1</v>
      </c>
      <c r="N6448">
        <v>1</v>
      </c>
      <c r="O6448">
        <v>1</v>
      </c>
      <c r="P6448">
        <v>1</v>
      </c>
      <c r="Q6448">
        <v>1</v>
      </c>
      <c r="R6448">
        <v>1</v>
      </c>
      <c r="S6448">
        <v>1</v>
      </c>
      <c r="T6448">
        <v>1</v>
      </c>
      <c r="W6448">
        <v>1</v>
      </c>
      <c r="X6448">
        <v>1</v>
      </c>
      <c r="Y6448">
        <v>1</v>
      </c>
      <c r="Z6448">
        <v>1</v>
      </c>
      <c r="AA6448">
        <v>1</v>
      </c>
      <c r="AB6448">
        <v>1</v>
      </c>
    </row>
    <row r="6449" spans="1:28" x14ac:dyDescent="0.25">
      <c r="A6449" t="str">
        <f>"6445"</f>
        <v>6445</v>
      </c>
      <c r="B6449" t="str">
        <f t="shared" si="373"/>
        <v>1</v>
      </c>
      <c r="C6449" t="str">
        <f t="shared" si="374"/>
        <v>282</v>
      </c>
      <c r="D6449" t="str">
        <f>"22"</f>
        <v>22</v>
      </c>
      <c r="E6449" t="str">
        <f>"1-282-22"</f>
        <v>1-282-22</v>
      </c>
      <c r="F6449" t="s">
        <v>83</v>
      </c>
      <c r="G6449" t="s">
        <v>84</v>
      </c>
      <c r="H6449" t="s">
        <v>92</v>
      </c>
      <c r="I6449">
        <v>1</v>
      </c>
      <c r="J6449">
        <v>1</v>
      </c>
      <c r="N6449">
        <v>1</v>
      </c>
      <c r="O6449">
        <v>1</v>
      </c>
      <c r="P6449">
        <v>1</v>
      </c>
      <c r="Q6449">
        <v>1</v>
      </c>
      <c r="R6449">
        <v>1</v>
      </c>
      <c r="S6449">
        <v>1</v>
      </c>
      <c r="T6449">
        <v>1</v>
      </c>
      <c r="W6449">
        <v>1</v>
      </c>
      <c r="X6449">
        <v>1</v>
      </c>
      <c r="Y6449">
        <v>1</v>
      </c>
      <c r="Z6449">
        <v>1</v>
      </c>
      <c r="AA6449">
        <v>1</v>
      </c>
      <c r="AB6449">
        <v>1</v>
      </c>
    </row>
    <row r="6450" spans="1:28" x14ac:dyDescent="0.25">
      <c r="A6450" t="str">
        <f>"6446"</f>
        <v>6446</v>
      </c>
      <c r="B6450" t="str">
        <f t="shared" si="373"/>
        <v>1</v>
      </c>
      <c r="C6450" t="str">
        <f t="shared" si="374"/>
        <v>282</v>
      </c>
      <c r="D6450" t="str">
        <f>"17"</f>
        <v>17</v>
      </c>
      <c r="E6450" t="str">
        <f>"1-282-17"</f>
        <v>1-282-17</v>
      </c>
      <c r="F6450" t="s">
        <v>83</v>
      </c>
      <c r="G6450" t="s">
        <v>84</v>
      </c>
      <c r="H6450" t="s">
        <v>92</v>
      </c>
      <c r="I6450">
        <v>1</v>
      </c>
      <c r="J6450">
        <v>1</v>
      </c>
      <c r="N6450">
        <v>1</v>
      </c>
      <c r="O6450">
        <v>1</v>
      </c>
      <c r="P6450">
        <v>1</v>
      </c>
      <c r="Q6450">
        <v>1</v>
      </c>
      <c r="R6450">
        <v>1</v>
      </c>
      <c r="S6450">
        <v>1</v>
      </c>
      <c r="T6450">
        <v>1</v>
      </c>
      <c r="W6450">
        <v>1</v>
      </c>
      <c r="X6450">
        <v>1</v>
      </c>
      <c r="Y6450">
        <v>1</v>
      </c>
      <c r="Z6450">
        <v>1</v>
      </c>
      <c r="AA6450">
        <v>1</v>
      </c>
      <c r="AB6450">
        <v>1</v>
      </c>
    </row>
    <row r="6451" spans="1:28" x14ac:dyDescent="0.25">
      <c r="A6451" t="str">
        <f>"6447"</f>
        <v>6447</v>
      </c>
      <c r="B6451" t="str">
        <f t="shared" si="373"/>
        <v>1</v>
      </c>
      <c r="C6451" t="str">
        <f t="shared" si="374"/>
        <v>282</v>
      </c>
      <c r="D6451" t="str">
        <f>"9"</f>
        <v>9</v>
      </c>
      <c r="E6451" t="str">
        <f>"1-282-9"</f>
        <v>1-282-9</v>
      </c>
      <c r="F6451" t="s">
        <v>83</v>
      </c>
      <c r="G6451" t="s">
        <v>84</v>
      </c>
      <c r="H6451" t="s">
        <v>92</v>
      </c>
      <c r="I6451">
        <v>1</v>
      </c>
      <c r="J6451">
        <v>1</v>
      </c>
      <c r="N6451">
        <v>1</v>
      </c>
      <c r="O6451">
        <v>1</v>
      </c>
      <c r="P6451">
        <v>0</v>
      </c>
      <c r="Q6451">
        <v>1</v>
      </c>
      <c r="R6451">
        <v>0</v>
      </c>
      <c r="S6451">
        <v>0</v>
      </c>
      <c r="T6451">
        <v>0</v>
      </c>
      <c r="W6451">
        <v>0</v>
      </c>
      <c r="X6451">
        <v>0</v>
      </c>
      <c r="Y6451">
        <v>0</v>
      </c>
      <c r="Z6451">
        <v>0</v>
      </c>
      <c r="AA6451">
        <v>0</v>
      </c>
      <c r="AB6451">
        <v>0</v>
      </c>
    </row>
    <row r="6452" spans="1:28" x14ac:dyDescent="0.25">
      <c r="A6452" t="str">
        <f>"6448"</f>
        <v>6448</v>
      </c>
      <c r="B6452" t="str">
        <f t="shared" si="373"/>
        <v>1</v>
      </c>
      <c r="C6452" t="str">
        <f t="shared" si="374"/>
        <v>282</v>
      </c>
      <c r="D6452" t="str">
        <f>"2"</f>
        <v>2</v>
      </c>
      <c r="E6452" t="str">
        <f>"1-282-2"</f>
        <v>1-282-2</v>
      </c>
      <c r="F6452" t="s">
        <v>83</v>
      </c>
      <c r="G6452" t="s">
        <v>84</v>
      </c>
      <c r="H6452" t="s">
        <v>92</v>
      </c>
      <c r="I6452">
        <v>1</v>
      </c>
      <c r="J6452">
        <v>1</v>
      </c>
      <c r="N6452">
        <v>1</v>
      </c>
      <c r="O6452">
        <v>1</v>
      </c>
      <c r="P6452">
        <v>1</v>
      </c>
      <c r="Q6452">
        <v>1</v>
      </c>
      <c r="R6452">
        <v>1</v>
      </c>
      <c r="S6452">
        <v>1</v>
      </c>
      <c r="T6452">
        <v>1</v>
      </c>
      <c r="W6452">
        <v>1</v>
      </c>
      <c r="X6452">
        <v>1</v>
      </c>
      <c r="Y6452">
        <v>1</v>
      </c>
      <c r="Z6452">
        <v>1</v>
      </c>
      <c r="AA6452">
        <v>1</v>
      </c>
      <c r="AB6452">
        <v>1</v>
      </c>
    </row>
    <row r="6453" spans="1:28" x14ac:dyDescent="0.25">
      <c r="A6453" t="str">
        <f>"6449"</f>
        <v>6449</v>
      </c>
      <c r="B6453" t="str">
        <f t="shared" si="373"/>
        <v>1</v>
      </c>
      <c r="C6453" t="str">
        <f t="shared" si="374"/>
        <v>282</v>
      </c>
      <c r="D6453" t="str">
        <f>"24"</f>
        <v>24</v>
      </c>
      <c r="E6453" t="str">
        <f>"1-282-24"</f>
        <v>1-282-24</v>
      </c>
      <c r="F6453" t="s">
        <v>83</v>
      </c>
      <c r="G6453" t="s">
        <v>84</v>
      </c>
      <c r="H6453" t="s">
        <v>92</v>
      </c>
      <c r="I6453">
        <v>1</v>
      </c>
      <c r="J6453">
        <v>1</v>
      </c>
      <c r="N6453">
        <v>1</v>
      </c>
      <c r="O6453">
        <v>1</v>
      </c>
      <c r="P6453">
        <v>1</v>
      </c>
      <c r="Q6453">
        <v>1</v>
      </c>
      <c r="R6453">
        <v>0</v>
      </c>
      <c r="S6453">
        <v>1</v>
      </c>
      <c r="T6453">
        <v>1</v>
      </c>
      <c r="W6453">
        <v>1</v>
      </c>
      <c r="X6453">
        <v>1</v>
      </c>
      <c r="Y6453">
        <v>1</v>
      </c>
      <c r="Z6453">
        <v>1</v>
      </c>
      <c r="AA6453">
        <v>1</v>
      </c>
      <c r="AB6453">
        <v>1</v>
      </c>
    </row>
    <row r="6454" spans="1:28" x14ac:dyDescent="0.25">
      <c r="A6454" t="str">
        <f>"6450"</f>
        <v>6450</v>
      </c>
      <c r="B6454" t="str">
        <f t="shared" si="373"/>
        <v>1</v>
      </c>
      <c r="C6454" t="str">
        <f t="shared" si="374"/>
        <v>282</v>
      </c>
      <c r="D6454" t="str">
        <f>"16"</f>
        <v>16</v>
      </c>
      <c r="E6454" t="str">
        <f>"1-282-16"</f>
        <v>1-282-16</v>
      </c>
      <c r="F6454" t="s">
        <v>83</v>
      </c>
      <c r="G6454" t="s">
        <v>84</v>
      </c>
      <c r="H6454" t="s">
        <v>92</v>
      </c>
      <c r="I6454">
        <v>1</v>
      </c>
      <c r="J6454">
        <v>1</v>
      </c>
      <c r="N6454">
        <v>1</v>
      </c>
      <c r="O6454">
        <v>1</v>
      </c>
      <c r="P6454">
        <v>1</v>
      </c>
      <c r="Q6454">
        <v>1</v>
      </c>
      <c r="R6454">
        <v>1</v>
      </c>
      <c r="S6454">
        <v>1</v>
      </c>
      <c r="T6454">
        <v>1</v>
      </c>
      <c r="W6454">
        <v>1</v>
      </c>
      <c r="X6454">
        <v>1</v>
      </c>
      <c r="Y6454">
        <v>1</v>
      </c>
      <c r="Z6454">
        <v>1</v>
      </c>
      <c r="AA6454">
        <v>1</v>
      </c>
      <c r="AB6454">
        <v>1</v>
      </c>
    </row>
    <row r="6455" spans="1:28" x14ac:dyDescent="0.25">
      <c r="A6455" t="str">
        <f>"6451"</f>
        <v>6451</v>
      </c>
      <c r="B6455" t="str">
        <f t="shared" si="373"/>
        <v>1</v>
      </c>
      <c r="C6455" t="str">
        <f t="shared" si="374"/>
        <v>282</v>
      </c>
      <c r="D6455" t="str">
        <f>"10"</f>
        <v>10</v>
      </c>
      <c r="E6455" t="str">
        <f>"1-282-10"</f>
        <v>1-282-10</v>
      </c>
      <c r="F6455" t="s">
        <v>83</v>
      </c>
      <c r="G6455" t="s">
        <v>84</v>
      </c>
      <c r="H6455" t="s">
        <v>92</v>
      </c>
      <c r="I6455">
        <v>1</v>
      </c>
      <c r="J6455">
        <v>1</v>
      </c>
      <c r="N6455">
        <v>1</v>
      </c>
      <c r="O6455">
        <v>1</v>
      </c>
      <c r="P6455">
        <v>1</v>
      </c>
      <c r="Q6455">
        <v>1</v>
      </c>
      <c r="R6455">
        <v>1</v>
      </c>
      <c r="S6455">
        <v>1</v>
      </c>
      <c r="T6455">
        <v>1</v>
      </c>
      <c r="W6455">
        <v>1</v>
      </c>
      <c r="X6455">
        <v>1</v>
      </c>
      <c r="Y6455">
        <v>1</v>
      </c>
      <c r="Z6455">
        <v>1</v>
      </c>
      <c r="AA6455">
        <v>1</v>
      </c>
      <c r="AB6455">
        <v>1</v>
      </c>
    </row>
    <row r="6456" spans="1:28" x14ac:dyDescent="0.25">
      <c r="A6456" t="str">
        <f>"6452"</f>
        <v>6452</v>
      </c>
      <c r="B6456" t="str">
        <f t="shared" si="373"/>
        <v>1</v>
      </c>
      <c r="C6456" t="str">
        <f t="shared" si="374"/>
        <v>282</v>
      </c>
      <c r="D6456" t="str">
        <f>"6"</f>
        <v>6</v>
      </c>
      <c r="E6456" t="str">
        <f>"1-282-6"</f>
        <v>1-282-6</v>
      </c>
      <c r="F6456" t="s">
        <v>83</v>
      </c>
      <c r="G6456" t="s">
        <v>84</v>
      </c>
      <c r="H6456" t="s">
        <v>92</v>
      </c>
      <c r="I6456">
        <v>1</v>
      </c>
      <c r="J6456">
        <v>1</v>
      </c>
      <c r="N6456">
        <v>1</v>
      </c>
      <c r="O6456">
        <v>1</v>
      </c>
      <c r="P6456">
        <v>1</v>
      </c>
      <c r="Q6456">
        <v>1</v>
      </c>
      <c r="R6456">
        <v>1</v>
      </c>
      <c r="S6456">
        <v>1</v>
      </c>
      <c r="T6456">
        <v>1</v>
      </c>
      <c r="W6456">
        <v>1</v>
      </c>
      <c r="X6456">
        <v>1</v>
      </c>
      <c r="Y6456">
        <v>1</v>
      </c>
      <c r="Z6456">
        <v>1</v>
      </c>
      <c r="AA6456">
        <v>1</v>
      </c>
      <c r="AB6456">
        <v>1</v>
      </c>
    </row>
    <row r="6457" spans="1:28" x14ac:dyDescent="0.25">
      <c r="A6457" t="str">
        <f>"6453"</f>
        <v>6453</v>
      </c>
      <c r="B6457" t="str">
        <f t="shared" si="373"/>
        <v>1</v>
      </c>
      <c r="C6457" t="str">
        <f t="shared" si="374"/>
        <v>282</v>
      </c>
      <c r="D6457" t="str">
        <f>"14"</f>
        <v>14</v>
      </c>
      <c r="E6457" t="str">
        <f>"1-282-14"</f>
        <v>1-282-14</v>
      </c>
      <c r="F6457" t="s">
        <v>83</v>
      </c>
      <c r="G6457" t="s">
        <v>84</v>
      </c>
      <c r="H6457" t="s">
        <v>92</v>
      </c>
      <c r="I6457">
        <v>1</v>
      </c>
      <c r="J6457">
        <v>1</v>
      </c>
      <c r="N6457">
        <v>1</v>
      </c>
      <c r="O6457">
        <v>1</v>
      </c>
      <c r="P6457">
        <v>1</v>
      </c>
      <c r="Q6457">
        <v>1</v>
      </c>
      <c r="R6457">
        <v>1</v>
      </c>
      <c r="S6457">
        <v>1</v>
      </c>
      <c r="T6457">
        <v>1</v>
      </c>
      <c r="W6457">
        <v>1</v>
      </c>
      <c r="X6457">
        <v>1</v>
      </c>
      <c r="Y6457">
        <v>1</v>
      </c>
      <c r="Z6457">
        <v>1</v>
      </c>
      <c r="AA6457">
        <v>1</v>
      </c>
      <c r="AB6457">
        <v>1</v>
      </c>
    </row>
    <row r="6458" spans="1:28" x14ac:dyDescent="0.25">
      <c r="A6458" t="str">
        <f>"6454"</f>
        <v>6454</v>
      </c>
      <c r="B6458" t="str">
        <f t="shared" si="373"/>
        <v>1</v>
      </c>
      <c r="C6458" t="str">
        <f t="shared" si="374"/>
        <v>282</v>
      </c>
      <c r="D6458" t="str">
        <f>"5"</f>
        <v>5</v>
      </c>
      <c r="E6458" t="str">
        <f>"1-282-5"</f>
        <v>1-282-5</v>
      </c>
      <c r="F6458" t="s">
        <v>83</v>
      </c>
      <c r="G6458" t="s">
        <v>84</v>
      </c>
      <c r="H6458" t="s">
        <v>92</v>
      </c>
      <c r="I6458">
        <v>1</v>
      </c>
      <c r="J6458">
        <v>1</v>
      </c>
      <c r="N6458">
        <v>1</v>
      </c>
      <c r="O6458">
        <v>1</v>
      </c>
      <c r="P6458">
        <v>1</v>
      </c>
      <c r="Q6458">
        <v>1</v>
      </c>
      <c r="R6458">
        <v>1</v>
      </c>
      <c r="S6458">
        <v>1</v>
      </c>
      <c r="T6458">
        <v>1</v>
      </c>
      <c r="W6458">
        <v>1</v>
      </c>
      <c r="X6458">
        <v>1</v>
      </c>
      <c r="Y6458">
        <v>1</v>
      </c>
      <c r="Z6458">
        <v>1</v>
      </c>
      <c r="AA6458">
        <v>1</v>
      </c>
      <c r="AB6458">
        <v>1</v>
      </c>
    </row>
    <row r="6459" spans="1:28" x14ac:dyDescent="0.25">
      <c r="A6459" t="str">
        <f>"6455"</f>
        <v>6455</v>
      </c>
      <c r="B6459" t="str">
        <f t="shared" si="373"/>
        <v>1</v>
      </c>
      <c r="C6459" t="str">
        <f t="shared" si="374"/>
        <v>282</v>
      </c>
      <c r="D6459" t="str">
        <f>"15"</f>
        <v>15</v>
      </c>
      <c r="E6459" t="str">
        <f>"1-282-15"</f>
        <v>1-282-15</v>
      </c>
      <c r="F6459" t="s">
        <v>83</v>
      </c>
      <c r="G6459" t="s">
        <v>84</v>
      </c>
      <c r="H6459" t="s">
        <v>92</v>
      </c>
      <c r="I6459">
        <v>1</v>
      </c>
      <c r="J6459">
        <v>1</v>
      </c>
      <c r="N6459">
        <v>1</v>
      </c>
      <c r="O6459">
        <v>1</v>
      </c>
      <c r="P6459">
        <v>1</v>
      </c>
      <c r="Q6459">
        <v>1</v>
      </c>
      <c r="R6459">
        <v>1</v>
      </c>
      <c r="S6459">
        <v>1</v>
      </c>
      <c r="T6459">
        <v>1</v>
      </c>
      <c r="W6459">
        <v>1</v>
      </c>
      <c r="X6459">
        <v>1</v>
      </c>
      <c r="Y6459">
        <v>1</v>
      </c>
      <c r="Z6459">
        <v>1</v>
      </c>
      <c r="AA6459">
        <v>1</v>
      </c>
      <c r="AB6459">
        <v>1</v>
      </c>
    </row>
    <row r="6460" spans="1:28" x14ac:dyDescent="0.25">
      <c r="A6460" t="str">
        <f>"6456"</f>
        <v>6456</v>
      </c>
      <c r="B6460" t="str">
        <f t="shared" si="373"/>
        <v>1</v>
      </c>
      <c r="C6460" t="str">
        <f t="shared" si="374"/>
        <v>282</v>
      </c>
      <c r="D6460" t="str">
        <f>"4"</f>
        <v>4</v>
      </c>
      <c r="E6460" t="str">
        <f>"1-282-4"</f>
        <v>1-282-4</v>
      </c>
      <c r="F6460" t="s">
        <v>83</v>
      </c>
      <c r="G6460" t="s">
        <v>84</v>
      </c>
      <c r="H6460" t="s">
        <v>92</v>
      </c>
      <c r="I6460">
        <v>1</v>
      </c>
      <c r="J6460">
        <v>1</v>
      </c>
      <c r="N6460">
        <v>1</v>
      </c>
      <c r="O6460">
        <v>1</v>
      </c>
      <c r="P6460">
        <v>1</v>
      </c>
      <c r="Q6460">
        <v>1</v>
      </c>
      <c r="R6460">
        <v>1</v>
      </c>
      <c r="S6460">
        <v>1</v>
      </c>
      <c r="T6460">
        <v>1</v>
      </c>
      <c r="W6460">
        <v>1</v>
      </c>
      <c r="X6460">
        <v>1</v>
      </c>
      <c r="Y6460">
        <v>1</v>
      </c>
      <c r="Z6460">
        <v>1</v>
      </c>
      <c r="AA6460">
        <v>1</v>
      </c>
      <c r="AB6460">
        <v>1</v>
      </c>
    </row>
    <row r="6461" spans="1:28" x14ac:dyDescent="0.25">
      <c r="A6461" t="str">
        <f>"6457"</f>
        <v>6457</v>
      </c>
      <c r="B6461" t="str">
        <f t="shared" si="373"/>
        <v>1</v>
      </c>
      <c r="C6461" t="str">
        <f t="shared" si="374"/>
        <v>282</v>
      </c>
      <c r="D6461" t="str">
        <f>"18"</f>
        <v>18</v>
      </c>
      <c r="E6461" t="str">
        <f>"1-282-18"</f>
        <v>1-282-18</v>
      </c>
      <c r="F6461" t="s">
        <v>83</v>
      </c>
      <c r="G6461" t="s">
        <v>84</v>
      </c>
      <c r="H6461" t="s">
        <v>92</v>
      </c>
      <c r="I6461">
        <v>1</v>
      </c>
      <c r="J6461">
        <v>1</v>
      </c>
      <c r="N6461">
        <v>1</v>
      </c>
      <c r="O6461">
        <v>1</v>
      </c>
      <c r="P6461">
        <v>1</v>
      </c>
      <c r="Q6461">
        <v>1</v>
      </c>
      <c r="R6461">
        <v>1</v>
      </c>
      <c r="S6461">
        <v>1</v>
      </c>
      <c r="T6461">
        <v>1</v>
      </c>
      <c r="W6461">
        <v>1</v>
      </c>
      <c r="X6461">
        <v>1</v>
      </c>
      <c r="Y6461">
        <v>1</v>
      </c>
      <c r="Z6461">
        <v>1</v>
      </c>
      <c r="AA6461">
        <v>1</v>
      </c>
      <c r="AB6461">
        <v>1</v>
      </c>
    </row>
    <row r="6462" spans="1:28" x14ac:dyDescent="0.25">
      <c r="A6462" t="str">
        <f>"6458"</f>
        <v>6458</v>
      </c>
      <c r="B6462" t="str">
        <f t="shared" si="373"/>
        <v>1</v>
      </c>
      <c r="C6462" t="str">
        <f t="shared" si="374"/>
        <v>282</v>
      </c>
      <c r="D6462" t="str">
        <f>"7"</f>
        <v>7</v>
      </c>
      <c r="E6462" t="str">
        <f>"1-282-7"</f>
        <v>1-282-7</v>
      </c>
      <c r="F6462" t="s">
        <v>83</v>
      </c>
      <c r="G6462" t="s">
        <v>84</v>
      </c>
      <c r="H6462" t="s">
        <v>92</v>
      </c>
      <c r="I6462">
        <v>1</v>
      </c>
      <c r="J6462">
        <v>1</v>
      </c>
      <c r="N6462">
        <v>1</v>
      </c>
      <c r="O6462">
        <v>1</v>
      </c>
      <c r="P6462">
        <v>1</v>
      </c>
      <c r="Q6462">
        <v>1</v>
      </c>
      <c r="R6462">
        <v>1</v>
      </c>
      <c r="S6462">
        <v>1</v>
      </c>
      <c r="T6462">
        <v>1</v>
      </c>
      <c r="W6462">
        <v>1</v>
      </c>
      <c r="X6462">
        <v>1</v>
      </c>
      <c r="Y6462">
        <v>1</v>
      </c>
      <c r="Z6462">
        <v>1</v>
      </c>
      <c r="AA6462">
        <v>1</v>
      </c>
      <c r="AB6462">
        <v>1</v>
      </c>
    </row>
    <row r="6463" spans="1:28" x14ac:dyDescent="0.25">
      <c r="A6463" t="str">
        <f>"6459"</f>
        <v>6459</v>
      </c>
      <c r="B6463" t="str">
        <f t="shared" si="373"/>
        <v>1</v>
      </c>
      <c r="C6463" t="str">
        <f t="shared" si="374"/>
        <v>282</v>
      </c>
      <c r="D6463" t="str">
        <f>"19"</f>
        <v>19</v>
      </c>
      <c r="E6463" t="str">
        <f>"1-282-19"</f>
        <v>1-282-19</v>
      </c>
      <c r="F6463" t="s">
        <v>83</v>
      </c>
      <c r="G6463" t="s">
        <v>84</v>
      </c>
      <c r="H6463" t="s">
        <v>92</v>
      </c>
      <c r="I6463">
        <v>1</v>
      </c>
      <c r="J6463">
        <v>1</v>
      </c>
      <c r="N6463">
        <v>1</v>
      </c>
      <c r="O6463">
        <v>1</v>
      </c>
      <c r="P6463">
        <v>1</v>
      </c>
      <c r="Q6463">
        <v>1</v>
      </c>
      <c r="R6463">
        <v>1</v>
      </c>
      <c r="S6463">
        <v>1</v>
      </c>
      <c r="T6463">
        <v>1</v>
      </c>
      <c r="W6463">
        <v>1</v>
      </c>
      <c r="X6463">
        <v>1</v>
      </c>
      <c r="Y6463">
        <v>1</v>
      </c>
      <c r="Z6463">
        <v>1</v>
      </c>
      <c r="AA6463">
        <v>1</v>
      </c>
      <c r="AB6463">
        <v>1</v>
      </c>
    </row>
    <row r="6464" spans="1:28" x14ac:dyDescent="0.25">
      <c r="A6464" t="str">
        <f>"6460"</f>
        <v>6460</v>
      </c>
      <c r="B6464" t="str">
        <f t="shared" si="373"/>
        <v>1</v>
      </c>
      <c r="C6464" t="str">
        <f t="shared" si="374"/>
        <v>282</v>
      </c>
      <c r="D6464" t="str">
        <f>"3"</f>
        <v>3</v>
      </c>
      <c r="E6464" t="str">
        <f>"1-282-3"</f>
        <v>1-282-3</v>
      </c>
      <c r="F6464" t="s">
        <v>83</v>
      </c>
      <c r="G6464" t="s">
        <v>84</v>
      </c>
      <c r="H6464" t="s">
        <v>92</v>
      </c>
      <c r="I6464">
        <v>1</v>
      </c>
      <c r="J6464">
        <v>1</v>
      </c>
      <c r="N6464">
        <v>1</v>
      </c>
      <c r="O6464">
        <v>1</v>
      </c>
      <c r="P6464">
        <v>1</v>
      </c>
      <c r="Q6464">
        <v>1</v>
      </c>
      <c r="R6464">
        <v>1</v>
      </c>
      <c r="S6464">
        <v>1</v>
      </c>
      <c r="T6464">
        <v>1</v>
      </c>
      <c r="W6464">
        <v>1</v>
      </c>
      <c r="X6464">
        <v>1</v>
      </c>
      <c r="Y6464">
        <v>1</v>
      </c>
      <c r="Z6464">
        <v>1</v>
      </c>
      <c r="AA6464">
        <v>1</v>
      </c>
      <c r="AB6464">
        <v>1</v>
      </c>
    </row>
    <row r="6465" spans="1:28" x14ac:dyDescent="0.25">
      <c r="A6465" t="str">
        <f>"6461"</f>
        <v>6461</v>
      </c>
      <c r="B6465" t="str">
        <f t="shared" si="373"/>
        <v>1</v>
      </c>
      <c r="C6465" t="str">
        <f t="shared" ref="C6465:C6489" si="375">"283"</f>
        <v>283</v>
      </c>
      <c r="D6465" t="str">
        <f>"25"</f>
        <v>25</v>
      </c>
      <c r="E6465" t="str">
        <f>"1-283-25"</f>
        <v>1-283-25</v>
      </c>
      <c r="F6465" t="s">
        <v>83</v>
      </c>
      <c r="G6465" t="s">
        <v>84</v>
      </c>
      <c r="H6465" t="s">
        <v>92</v>
      </c>
      <c r="I6465">
        <v>1</v>
      </c>
      <c r="J6465">
        <v>1</v>
      </c>
      <c r="N6465">
        <v>1</v>
      </c>
      <c r="O6465">
        <v>1</v>
      </c>
      <c r="P6465">
        <v>1</v>
      </c>
      <c r="Q6465">
        <v>1</v>
      </c>
      <c r="R6465">
        <v>1</v>
      </c>
      <c r="S6465">
        <v>1</v>
      </c>
      <c r="T6465">
        <v>1</v>
      </c>
      <c r="W6465">
        <v>1</v>
      </c>
      <c r="X6465">
        <v>1</v>
      </c>
      <c r="Y6465">
        <v>1</v>
      </c>
      <c r="Z6465">
        <v>1</v>
      </c>
      <c r="AA6465">
        <v>1</v>
      </c>
      <c r="AB6465">
        <v>1</v>
      </c>
    </row>
    <row r="6466" spans="1:28" x14ac:dyDescent="0.25">
      <c r="A6466" t="str">
        <f>"6462"</f>
        <v>6462</v>
      </c>
      <c r="B6466" t="str">
        <f t="shared" si="373"/>
        <v>1</v>
      </c>
      <c r="C6466" t="str">
        <f t="shared" si="375"/>
        <v>283</v>
      </c>
      <c r="D6466" t="str">
        <f>"24"</f>
        <v>24</v>
      </c>
      <c r="E6466" t="str">
        <f>"1-283-24"</f>
        <v>1-283-24</v>
      </c>
      <c r="F6466" t="s">
        <v>83</v>
      </c>
      <c r="G6466" t="s">
        <v>84</v>
      </c>
      <c r="H6466" t="s">
        <v>92</v>
      </c>
      <c r="I6466">
        <v>1</v>
      </c>
      <c r="J6466">
        <v>1</v>
      </c>
      <c r="N6466">
        <v>1</v>
      </c>
      <c r="O6466">
        <v>1</v>
      </c>
      <c r="P6466">
        <v>1</v>
      </c>
      <c r="Q6466">
        <v>1</v>
      </c>
      <c r="R6466">
        <v>1</v>
      </c>
      <c r="S6466">
        <v>1</v>
      </c>
      <c r="T6466">
        <v>1</v>
      </c>
      <c r="W6466">
        <v>1</v>
      </c>
      <c r="X6466">
        <v>1</v>
      </c>
      <c r="Y6466">
        <v>1</v>
      </c>
      <c r="Z6466">
        <v>1</v>
      </c>
      <c r="AA6466">
        <v>1</v>
      </c>
      <c r="AB6466">
        <v>1</v>
      </c>
    </row>
    <row r="6467" spans="1:28" x14ac:dyDescent="0.25">
      <c r="A6467" t="str">
        <f>"6463"</f>
        <v>6463</v>
      </c>
      <c r="B6467" t="str">
        <f t="shared" si="373"/>
        <v>1</v>
      </c>
      <c r="C6467" t="str">
        <f t="shared" si="375"/>
        <v>283</v>
      </c>
      <c r="D6467" t="str">
        <f>"16"</f>
        <v>16</v>
      </c>
      <c r="E6467" t="str">
        <f>"1-283-16"</f>
        <v>1-283-16</v>
      </c>
      <c r="F6467" t="s">
        <v>83</v>
      </c>
      <c r="G6467" t="s">
        <v>84</v>
      </c>
      <c r="H6467" t="s">
        <v>92</v>
      </c>
      <c r="I6467">
        <v>1</v>
      </c>
      <c r="J6467">
        <v>1</v>
      </c>
      <c r="N6467">
        <v>1</v>
      </c>
      <c r="O6467">
        <v>1</v>
      </c>
      <c r="P6467">
        <v>1</v>
      </c>
      <c r="Q6467">
        <v>1</v>
      </c>
      <c r="R6467">
        <v>1</v>
      </c>
      <c r="S6467">
        <v>1</v>
      </c>
      <c r="T6467">
        <v>1</v>
      </c>
      <c r="W6467">
        <v>1</v>
      </c>
      <c r="X6467">
        <v>1</v>
      </c>
      <c r="Y6467">
        <v>1</v>
      </c>
      <c r="Z6467">
        <v>1</v>
      </c>
      <c r="AA6467">
        <v>1</v>
      </c>
      <c r="AB6467">
        <v>1</v>
      </c>
    </row>
    <row r="6468" spans="1:28" x14ac:dyDescent="0.25">
      <c r="A6468" t="str">
        <f>"6464"</f>
        <v>6464</v>
      </c>
      <c r="B6468" t="str">
        <f t="shared" si="373"/>
        <v>1</v>
      </c>
      <c r="C6468" t="str">
        <f t="shared" si="375"/>
        <v>283</v>
      </c>
      <c r="D6468" t="str">
        <f>"8"</f>
        <v>8</v>
      </c>
      <c r="E6468" t="str">
        <f>"1-283-8"</f>
        <v>1-283-8</v>
      </c>
      <c r="F6468" t="s">
        <v>83</v>
      </c>
      <c r="G6468" t="s">
        <v>84</v>
      </c>
      <c r="H6468" t="s">
        <v>92</v>
      </c>
      <c r="I6468">
        <v>1</v>
      </c>
      <c r="J6468">
        <v>1</v>
      </c>
      <c r="N6468">
        <v>1</v>
      </c>
      <c r="O6468">
        <v>1</v>
      </c>
      <c r="P6468">
        <v>1</v>
      </c>
      <c r="Q6468">
        <v>1</v>
      </c>
      <c r="R6468">
        <v>1</v>
      </c>
      <c r="S6468">
        <v>1</v>
      </c>
      <c r="T6468">
        <v>1</v>
      </c>
      <c r="W6468">
        <v>1</v>
      </c>
      <c r="X6468">
        <v>1</v>
      </c>
      <c r="Y6468">
        <v>1</v>
      </c>
      <c r="Z6468">
        <v>1</v>
      </c>
      <c r="AA6468">
        <v>1</v>
      </c>
      <c r="AB6468">
        <v>1</v>
      </c>
    </row>
    <row r="6469" spans="1:28" x14ac:dyDescent="0.25">
      <c r="A6469" t="str">
        <f>"6465"</f>
        <v>6465</v>
      </c>
      <c r="B6469" t="str">
        <f t="shared" si="373"/>
        <v>1</v>
      </c>
      <c r="C6469" t="str">
        <f t="shared" si="375"/>
        <v>283</v>
      </c>
      <c r="D6469" t="str">
        <f>"4"</f>
        <v>4</v>
      </c>
      <c r="E6469" t="str">
        <f>"1-283-4"</f>
        <v>1-283-4</v>
      </c>
      <c r="F6469" t="s">
        <v>83</v>
      </c>
      <c r="G6469" t="s">
        <v>84</v>
      </c>
      <c r="H6469" t="s">
        <v>92</v>
      </c>
      <c r="I6469">
        <v>1</v>
      </c>
      <c r="J6469">
        <v>1</v>
      </c>
      <c r="N6469">
        <v>1</v>
      </c>
      <c r="O6469">
        <v>1</v>
      </c>
      <c r="P6469">
        <v>1</v>
      </c>
      <c r="Q6469">
        <v>1</v>
      </c>
      <c r="R6469">
        <v>1</v>
      </c>
      <c r="S6469">
        <v>1</v>
      </c>
      <c r="T6469">
        <v>1</v>
      </c>
      <c r="W6469">
        <v>1</v>
      </c>
      <c r="X6469">
        <v>1</v>
      </c>
      <c r="Y6469">
        <v>1</v>
      </c>
      <c r="Z6469">
        <v>1</v>
      </c>
      <c r="AA6469">
        <v>1</v>
      </c>
      <c r="AB6469">
        <v>1</v>
      </c>
    </row>
    <row r="6470" spans="1:28" x14ac:dyDescent="0.25">
      <c r="A6470" t="str">
        <f>"6466"</f>
        <v>6466</v>
      </c>
      <c r="B6470" t="str">
        <f t="shared" si="373"/>
        <v>1</v>
      </c>
      <c r="C6470" t="str">
        <f t="shared" si="375"/>
        <v>283</v>
      </c>
      <c r="D6470" t="str">
        <f>"17"</f>
        <v>17</v>
      </c>
      <c r="E6470" t="str">
        <f>"1-283-17"</f>
        <v>1-283-17</v>
      </c>
      <c r="F6470" t="s">
        <v>83</v>
      </c>
      <c r="G6470" t="s">
        <v>84</v>
      </c>
      <c r="H6470" t="s">
        <v>92</v>
      </c>
      <c r="I6470">
        <v>1</v>
      </c>
      <c r="J6470">
        <v>1</v>
      </c>
      <c r="N6470">
        <v>1</v>
      </c>
      <c r="O6470">
        <v>1</v>
      </c>
      <c r="P6470">
        <v>1</v>
      </c>
      <c r="Q6470">
        <v>1</v>
      </c>
      <c r="R6470">
        <v>1</v>
      </c>
      <c r="S6470">
        <v>1</v>
      </c>
      <c r="T6470">
        <v>1</v>
      </c>
      <c r="W6470">
        <v>1</v>
      </c>
      <c r="X6470">
        <v>1</v>
      </c>
      <c r="Y6470">
        <v>1</v>
      </c>
      <c r="Z6470">
        <v>1</v>
      </c>
      <c r="AA6470">
        <v>1</v>
      </c>
      <c r="AB6470">
        <v>1</v>
      </c>
    </row>
    <row r="6471" spans="1:28" x14ac:dyDescent="0.25">
      <c r="A6471" t="str">
        <f>"6467"</f>
        <v>6467</v>
      </c>
      <c r="B6471" t="str">
        <f t="shared" si="373"/>
        <v>1</v>
      </c>
      <c r="C6471" t="str">
        <f t="shared" si="375"/>
        <v>283</v>
      </c>
      <c r="D6471" t="str">
        <f>"9"</f>
        <v>9</v>
      </c>
      <c r="E6471" t="str">
        <f>"1-283-9"</f>
        <v>1-283-9</v>
      </c>
      <c r="F6471" t="s">
        <v>83</v>
      </c>
      <c r="G6471" t="s">
        <v>84</v>
      </c>
      <c r="H6471" t="s">
        <v>92</v>
      </c>
      <c r="I6471">
        <v>1</v>
      </c>
      <c r="J6471">
        <v>1</v>
      </c>
      <c r="N6471">
        <v>1</v>
      </c>
      <c r="O6471">
        <v>1</v>
      </c>
      <c r="P6471">
        <v>1</v>
      </c>
      <c r="Q6471">
        <v>1</v>
      </c>
      <c r="R6471">
        <v>1</v>
      </c>
      <c r="S6471">
        <v>1</v>
      </c>
      <c r="T6471">
        <v>1</v>
      </c>
      <c r="W6471">
        <v>1</v>
      </c>
      <c r="X6471">
        <v>1</v>
      </c>
      <c r="Y6471">
        <v>1</v>
      </c>
      <c r="Z6471">
        <v>1</v>
      </c>
      <c r="AA6471">
        <v>1</v>
      </c>
      <c r="AB6471">
        <v>1</v>
      </c>
    </row>
    <row r="6472" spans="1:28" x14ac:dyDescent="0.25">
      <c r="A6472" t="str">
        <f>"6468"</f>
        <v>6468</v>
      </c>
      <c r="B6472" t="str">
        <f t="shared" si="373"/>
        <v>1</v>
      </c>
      <c r="C6472" t="str">
        <f t="shared" si="375"/>
        <v>283</v>
      </c>
      <c r="D6472" t="str">
        <f>"7"</f>
        <v>7</v>
      </c>
      <c r="E6472" t="str">
        <f>"1-283-7"</f>
        <v>1-283-7</v>
      </c>
      <c r="F6472" t="s">
        <v>83</v>
      </c>
      <c r="G6472" t="s">
        <v>84</v>
      </c>
      <c r="H6472" t="s">
        <v>92</v>
      </c>
      <c r="I6472">
        <v>1</v>
      </c>
      <c r="J6472">
        <v>1</v>
      </c>
      <c r="N6472">
        <v>1</v>
      </c>
      <c r="O6472">
        <v>1</v>
      </c>
      <c r="P6472">
        <v>1</v>
      </c>
      <c r="Q6472">
        <v>1</v>
      </c>
      <c r="R6472">
        <v>1</v>
      </c>
      <c r="S6472">
        <v>1</v>
      </c>
      <c r="T6472">
        <v>1</v>
      </c>
      <c r="W6472">
        <v>1</v>
      </c>
      <c r="X6472">
        <v>1</v>
      </c>
      <c r="Y6472">
        <v>1</v>
      </c>
      <c r="Z6472">
        <v>1</v>
      </c>
      <c r="AA6472">
        <v>1</v>
      </c>
      <c r="AB6472">
        <v>1</v>
      </c>
    </row>
    <row r="6473" spans="1:28" x14ac:dyDescent="0.25">
      <c r="A6473" t="str">
        <f>"6469"</f>
        <v>6469</v>
      </c>
      <c r="B6473" t="str">
        <f t="shared" si="373"/>
        <v>1</v>
      </c>
      <c r="C6473" t="str">
        <f t="shared" si="375"/>
        <v>283</v>
      </c>
      <c r="D6473" t="str">
        <f>"21"</f>
        <v>21</v>
      </c>
      <c r="E6473" t="str">
        <f>"1-283-21"</f>
        <v>1-283-21</v>
      </c>
      <c r="F6473" t="s">
        <v>83</v>
      </c>
      <c r="G6473" t="s">
        <v>84</v>
      </c>
      <c r="H6473" t="s">
        <v>92</v>
      </c>
      <c r="I6473">
        <v>1</v>
      </c>
      <c r="J6473">
        <v>1</v>
      </c>
      <c r="N6473">
        <v>1</v>
      </c>
      <c r="O6473">
        <v>1</v>
      </c>
      <c r="P6473">
        <v>1</v>
      </c>
      <c r="Q6473">
        <v>1</v>
      </c>
      <c r="R6473">
        <v>1</v>
      </c>
      <c r="S6473">
        <v>1</v>
      </c>
      <c r="T6473">
        <v>1</v>
      </c>
      <c r="W6473">
        <v>1</v>
      </c>
      <c r="X6473">
        <v>1</v>
      </c>
      <c r="Y6473">
        <v>1</v>
      </c>
      <c r="Z6473">
        <v>1</v>
      </c>
      <c r="AA6473">
        <v>1</v>
      </c>
      <c r="AB6473">
        <v>1</v>
      </c>
    </row>
    <row r="6474" spans="1:28" x14ac:dyDescent="0.25">
      <c r="A6474" t="str">
        <f>"6470"</f>
        <v>6470</v>
      </c>
      <c r="B6474" t="str">
        <f t="shared" si="373"/>
        <v>1</v>
      </c>
      <c r="C6474" t="str">
        <f t="shared" si="375"/>
        <v>283</v>
      </c>
      <c r="D6474" t="str">
        <f>"20"</f>
        <v>20</v>
      </c>
      <c r="E6474" t="str">
        <f>"1-283-20"</f>
        <v>1-283-20</v>
      </c>
      <c r="F6474" t="s">
        <v>83</v>
      </c>
      <c r="G6474" t="s">
        <v>84</v>
      </c>
      <c r="H6474" t="s">
        <v>92</v>
      </c>
      <c r="I6474">
        <v>1</v>
      </c>
      <c r="J6474">
        <v>1</v>
      </c>
      <c r="N6474">
        <v>1</v>
      </c>
      <c r="O6474">
        <v>1</v>
      </c>
      <c r="P6474">
        <v>1</v>
      </c>
      <c r="Q6474">
        <v>1</v>
      </c>
      <c r="R6474">
        <v>1</v>
      </c>
      <c r="S6474">
        <v>1</v>
      </c>
      <c r="T6474">
        <v>1</v>
      </c>
      <c r="W6474">
        <v>1</v>
      </c>
      <c r="X6474">
        <v>1</v>
      </c>
      <c r="Y6474">
        <v>1</v>
      </c>
      <c r="Z6474">
        <v>1</v>
      </c>
      <c r="AA6474">
        <v>1</v>
      </c>
      <c r="AB6474">
        <v>1</v>
      </c>
    </row>
    <row r="6475" spans="1:28" x14ac:dyDescent="0.25">
      <c r="A6475" t="str">
        <f>"6471"</f>
        <v>6471</v>
      </c>
      <c r="B6475" t="str">
        <f t="shared" si="373"/>
        <v>1</v>
      </c>
      <c r="C6475" t="str">
        <f t="shared" si="375"/>
        <v>283</v>
      </c>
      <c r="D6475" t="str">
        <f>"15"</f>
        <v>15</v>
      </c>
      <c r="E6475" t="str">
        <f>"1-283-15"</f>
        <v>1-283-15</v>
      </c>
      <c r="F6475" t="s">
        <v>83</v>
      </c>
      <c r="G6475" t="s">
        <v>84</v>
      </c>
      <c r="H6475" t="s">
        <v>92</v>
      </c>
      <c r="I6475">
        <v>1</v>
      </c>
      <c r="J6475">
        <v>1</v>
      </c>
      <c r="N6475">
        <v>1</v>
      </c>
      <c r="O6475">
        <v>1</v>
      </c>
      <c r="P6475">
        <v>1</v>
      </c>
      <c r="Q6475">
        <v>1</v>
      </c>
      <c r="R6475">
        <v>1</v>
      </c>
      <c r="S6475">
        <v>1</v>
      </c>
      <c r="T6475">
        <v>1</v>
      </c>
      <c r="W6475">
        <v>1</v>
      </c>
      <c r="X6475">
        <v>1</v>
      </c>
      <c r="Y6475">
        <v>1</v>
      </c>
      <c r="Z6475">
        <v>1</v>
      </c>
      <c r="AA6475">
        <v>1</v>
      </c>
      <c r="AB6475">
        <v>1</v>
      </c>
    </row>
    <row r="6476" spans="1:28" x14ac:dyDescent="0.25">
      <c r="A6476" t="str">
        <f>"6472"</f>
        <v>6472</v>
      </c>
      <c r="B6476" t="str">
        <f t="shared" si="373"/>
        <v>1</v>
      </c>
      <c r="C6476" t="str">
        <f t="shared" si="375"/>
        <v>283</v>
      </c>
      <c r="D6476" t="str">
        <f>"10"</f>
        <v>10</v>
      </c>
      <c r="E6476" t="str">
        <f>"1-283-10"</f>
        <v>1-283-10</v>
      </c>
      <c r="F6476" t="s">
        <v>83</v>
      </c>
      <c r="G6476" t="s">
        <v>84</v>
      </c>
      <c r="H6476" t="s">
        <v>92</v>
      </c>
      <c r="I6476">
        <v>1</v>
      </c>
      <c r="J6476">
        <v>1</v>
      </c>
      <c r="N6476">
        <v>1</v>
      </c>
      <c r="O6476">
        <v>1</v>
      </c>
      <c r="P6476">
        <v>1</v>
      </c>
      <c r="Q6476">
        <v>1</v>
      </c>
      <c r="R6476">
        <v>1</v>
      </c>
      <c r="S6476">
        <v>1</v>
      </c>
      <c r="T6476">
        <v>1</v>
      </c>
      <c r="W6476">
        <v>1</v>
      </c>
      <c r="X6476">
        <v>1</v>
      </c>
      <c r="Y6476">
        <v>1</v>
      </c>
      <c r="Z6476">
        <v>1</v>
      </c>
      <c r="AA6476">
        <v>1</v>
      </c>
      <c r="AB6476">
        <v>1</v>
      </c>
    </row>
    <row r="6477" spans="1:28" x14ac:dyDescent="0.25">
      <c r="A6477" t="str">
        <f>"6473"</f>
        <v>6473</v>
      </c>
      <c r="B6477" t="str">
        <f t="shared" si="373"/>
        <v>1</v>
      </c>
      <c r="C6477" t="str">
        <f t="shared" si="375"/>
        <v>283</v>
      </c>
      <c r="D6477" t="str">
        <f>"1"</f>
        <v>1</v>
      </c>
      <c r="E6477" t="str">
        <f>"1-283-1"</f>
        <v>1-283-1</v>
      </c>
      <c r="F6477" t="s">
        <v>83</v>
      </c>
      <c r="G6477" t="s">
        <v>90</v>
      </c>
      <c r="H6477" t="s">
        <v>94</v>
      </c>
      <c r="I6477">
        <v>1</v>
      </c>
      <c r="K6477">
        <v>1</v>
      </c>
      <c r="L6477">
        <v>0</v>
      </c>
      <c r="M6477">
        <v>0</v>
      </c>
      <c r="N6477">
        <v>1</v>
      </c>
      <c r="O6477">
        <v>1</v>
      </c>
      <c r="P6477">
        <v>1</v>
      </c>
      <c r="Q6477">
        <v>1</v>
      </c>
      <c r="R6477">
        <v>1</v>
      </c>
      <c r="S6477">
        <v>1</v>
      </c>
      <c r="U6477">
        <v>0</v>
      </c>
      <c r="V6477">
        <v>1</v>
      </c>
      <c r="W6477">
        <v>1</v>
      </c>
      <c r="X6477">
        <v>1</v>
      </c>
      <c r="Y6477">
        <v>1</v>
      </c>
      <c r="Z6477">
        <v>1</v>
      </c>
      <c r="AA6477">
        <v>1</v>
      </c>
      <c r="AB6477">
        <v>1</v>
      </c>
    </row>
    <row r="6478" spans="1:28" x14ac:dyDescent="0.25">
      <c r="A6478" t="str">
        <f>"6474"</f>
        <v>6474</v>
      </c>
      <c r="B6478" t="str">
        <f t="shared" si="373"/>
        <v>1</v>
      </c>
      <c r="C6478" t="str">
        <f t="shared" si="375"/>
        <v>283</v>
      </c>
      <c r="D6478" t="str">
        <f>"23"</f>
        <v>23</v>
      </c>
      <c r="E6478" t="str">
        <f>"1-283-23"</f>
        <v>1-283-23</v>
      </c>
      <c r="F6478" t="s">
        <v>83</v>
      </c>
      <c r="G6478" t="s">
        <v>84</v>
      </c>
      <c r="H6478" t="s">
        <v>92</v>
      </c>
      <c r="I6478">
        <v>1</v>
      </c>
      <c r="J6478">
        <v>1</v>
      </c>
      <c r="N6478">
        <v>1</v>
      </c>
      <c r="O6478">
        <v>1</v>
      </c>
      <c r="P6478">
        <v>1</v>
      </c>
      <c r="Q6478">
        <v>1</v>
      </c>
      <c r="R6478">
        <v>1</v>
      </c>
      <c r="S6478">
        <v>1</v>
      </c>
      <c r="T6478">
        <v>1</v>
      </c>
      <c r="W6478">
        <v>1</v>
      </c>
      <c r="X6478">
        <v>1</v>
      </c>
      <c r="Y6478">
        <v>1</v>
      </c>
      <c r="Z6478">
        <v>1</v>
      </c>
      <c r="AA6478">
        <v>1</v>
      </c>
      <c r="AB6478">
        <v>1</v>
      </c>
    </row>
    <row r="6479" spans="1:28" x14ac:dyDescent="0.25">
      <c r="A6479" t="str">
        <f>"6475"</f>
        <v>6475</v>
      </c>
      <c r="B6479" t="str">
        <f t="shared" si="373"/>
        <v>1</v>
      </c>
      <c r="C6479" t="str">
        <f t="shared" si="375"/>
        <v>283</v>
      </c>
      <c r="D6479" t="str">
        <f>"22"</f>
        <v>22</v>
      </c>
      <c r="E6479" t="str">
        <f>"1-283-22"</f>
        <v>1-283-22</v>
      </c>
      <c r="F6479" t="s">
        <v>83</v>
      </c>
      <c r="G6479" t="s">
        <v>84</v>
      </c>
      <c r="H6479" t="s">
        <v>92</v>
      </c>
      <c r="I6479">
        <v>1</v>
      </c>
      <c r="J6479">
        <v>1</v>
      </c>
      <c r="N6479">
        <v>1</v>
      </c>
      <c r="O6479">
        <v>1</v>
      </c>
      <c r="P6479">
        <v>1</v>
      </c>
      <c r="Q6479">
        <v>1</v>
      </c>
      <c r="R6479">
        <v>1</v>
      </c>
      <c r="S6479">
        <v>1</v>
      </c>
      <c r="T6479">
        <v>1</v>
      </c>
      <c r="W6479">
        <v>1</v>
      </c>
      <c r="X6479">
        <v>1</v>
      </c>
      <c r="Y6479">
        <v>1</v>
      </c>
      <c r="Z6479">
        <v>1</v>
      </c>
      <c r="AA6479">
        <v>1</v>
      </c>
      <c r="AB6479">
        <v>1</v>
      </c>
    </row>
    <row r="6480" spans="1:28" x14ac:dyDescent="0.25">
      <c r="A6480" t="str">
        <f>"6476"</f>
        <v>6476</v>
      </c>
      <c r="B6480" t="str">
        <f t="shared" si="373"/>
        <v>1</v>
      </c>
      <c r="C6480" t="str">
        <f t="shared" si="375"/>
        <v>283</v>
      </c>
      <c r="D6480" t="str">
        <f>"18"</f>
        <v>18</v>
      </c>
      <c r="E6480" t="str">
        <f>"1-283-18"</f>
        <v>1-283-18</v>
      </c>
      <c r="F6480" t="s">
        <v>83</v>
      </c>
      <c r="G6480" t="s">
        <v>84</v>
      </c>
      <c r="H6480" t="s">
        <v>92</v>
      </c>
      <c r="I6480">
        <v>1</v>
      </c>
      <c r="J6480">
        <v>1</v>
      </c>
      <c r="N6480">
        <v>1</v>
      </c>
      <c r="O6480">
        <v>1</v>
      </c>
      <c r="P6480">
        <v>1</v>
      </c>
      <c r="Q6480">
        <v>1</v>
      </c>
      <c r="R6480">
        <v>1</v>
      </c>
      <c r="S6480">
        <v>1</v>
      </c>
      <c r="T6480">
        <v>1</v>
      </c>
      <c r="W6480">
        <v>1</v>
      </c>
      <c r="X6480">
        <v>1</v>
      </c>
      <c r="Y6480">
        <v>1</v>
      </c>
      <c r="Z6480">
        <v>1</v>
      </c>
      <c r="AA6480">
        <v>1</v>
      </c>
      <c r="AB6480">
        <v>1</v>
      </c>
    </row>
    <row r="6481" spans="1:49" x14ac:dyDescent="0.25">
      <c r="A6481" t="str">
        <f>"6477"</f>
        <v>6477</v>
      </c>
      <c r="B6481" t="str">
        <f t="shared" si="373"/>
        <v>1</v>
      </c>
      <c r="C6481" t="str">
        <f t="shared" si="375"/>
        <v>283</v>
      </c>
      <c r="D6481" t="str">
        <f>"11"</f>
        <v>11</v>
      </c>
      <c r="E6481" t="str">
        <f>"1-283-11"</f>
        <v>1-283-11</v>
      </c>
      <c r="F6481" t="s">
        <v>83</v>
      </c>
      <c r="G6481" t="s">
        <v>84</v>
      </c>
      <c r="H6481" t="s">
        <v>92</v>
      </c>
      <c r="I6481">
        <v>1</v>
      </c>
      <c r="J6481">
        <v>1</v>
      </c>
      <c r="N6481">
        <v>1</v>
      </c>
      <c r="O6481">
        <v>1</v>
      </c>
      <c r="P6481">
        <v>1</v>
      </c>
      <c r="Q6481">
        <v>1</v>
      </c>
      <c r="R6481">
        <v>1</v>
      </c>
      <c r="S6481">
        <v>1</v>
      </c>
      <c r="T6481">
        <v>1</v>
      </c>
      <c r="W6481">
        <v>1</v>
      </c>
      <c r="X6481">
        <v>1</v>
      </c>
      <c r="Y6481">
        <v>1</v>
      </c>
      <c r="Z6481">
        <v>1</v>
      </c>
      <c r="AA6481">
        <v>1</v>
      </c>
      <c r="AB6481">
        <v>1</v>
      </c>
    </row>
    <row r="6482" spans="1:49" x14ac:dyDescent="0.25">
      <c r="A6482" t="str">
        <f>"6478"</f>
        <v>6478</v>
      </c>
      <c r="B6482" t="str">
        <f t="shared" si="373"/>
        <v>1</v>
      </c>
      <c r="C6482" t="str">
        <f t="shared" si="375"/>
        <v>283</v>
      </c>
      <c r="D6482" t="str">
        <f>"6"</f>
        <v>6</v>
      </c>
      <c r="E6482" t="str">
        <f>"1-283-6"</f>
        <v>1-283-6</v>
      </c>
      <c r="F6482" t="s">
        <v>83</v>
      </c>
      <c r="G6482" t="s">
        <v>84</v>
      </c>
      <c r="H6482" t="s">
        <v>92</v>
      </c>
      <c r="I6482">
        <v>1</v>
      </c>
      <c r="J6482">
        <v>1</v>
      </c>
      <c r="N6482">
        <v>1</v>
      </c>
      <c r="O6482">
        <v>1</v>
      </c>
      <c r="P6482">
        <v>1</v>
      </c>
      <c r="Q6482">
        <v>1</v>
      </c>
      <c r="R6482">
        <v>1</v>
      </c>
      <c r="S6482">
        <v>1</v>
      </c>
      <c r="T6482">
        <v>1</v>
      </c>
      <c r="W6482">
        <v>1</v>
      </c>
      <c r="X6482">
        <v>1</v>
      </c>
      <c r="Y6482">
        <v>1</v>
      </c>
      <c r="Z6482">
        <v>1</v>
      </c>
      <c r="AA6482">
        <v>1</v>
      </c>
      <c r="AB6482">
        <v>1</v>
      </c>
    </row>
    <row r="6483" spans="1:49" x14ac:dyDescent="0.25">
      <c r="A6483" t="str">
        <f>"6479"</f>
        <v>6479</v>
      </c>
      <c r="B6483" t="str">
        <f t="shared" si="373"/>
        <v>1</v>
      </c>
      <c r="C6483" t="str">
        <f t="shared" si="375"/>
        <v>283</v>
      </c>
      <c r="D6483" t="str">
        <f>"19"</f>
        <v>19</v>
      </c>
      <c r="E6483" t="str">
        <f>"1-283-19"</f>
        <v>1-283-19</v>
      </c>
      <c r="F6483" t="s">
        <v>83</v>
      </c>
      <c r="G6483" t="s">
        <v>84</v>
      </c>
      <c r="H6483" t="s">
        <v>92</v>
      </c>
      <c r="I6483">
        <v>1</v>
      </c>
      <c r="J6483">
        <v>1</v>
      </c>
      <c r="N6483">
        <v>1</v>
      </c>
      <c r="O6483">
        <v>1</v>
      </c>
      <c r="P6483">
        <v>1</v>
      </c>
      <c r="Q6483">
        <v>1</v>
      </c>
      <c r="R6483">
        <v>1</v>
      </c>
      <c r="S6483">
        <v>1</v>
      </c>
      <c r="T6483">
        <v>1</v>
      </c>
      <c r="W6483">
        <v>1</v>
      </c>
      <c r="X6483">
        <v>1</v>
      </c>
      <c r="Y6483">
        <v>1</v>
      </c>
      <c r="Z6483">
        <v>1</v>
      </c>
      <c r="AA6483">
        <v>1</v>
      </c>
      <c r="AB6483">
        <v>1</v>
      </c>
    </row>
    <row r="6484" spans="1:49" x14ac:dyDescent="0.25">
      <c r="A6484" t="str">
        <f>"6480"</f>
        <v>6480</v>
      </c>
      <c r="B6484" t="str">
        <f t="shared" si="373"/>
        <v>1</v>
      </c>
      <c r="C6484" t="str">
        <f t="shared" si="375"/>
        <v>283</v>
      </c>
      <c r="D6484" t="str">
        <f>"12"</f>
        <v>12</v>
      </c>
      <c r="E6484" t="str">
        <f>"1-283-12"</f>
        <v>1-283-12</v>
      </c>
      <c r="F6484" t="s">
        <v>83</v>
      </c>
      <c r="G6484" t="s">
        <v>84</v>
      </c>
      <c r="H6484" t="s">
        <v>92</v>
      </c>
      <c r="I6484">
        <v>1</v>
      </c>
      <c r="J6484">
        <v>1</v>
      </c>
      <c r="N6484">
        <v>1</v>
      </c>
      <c r="O6484">
        <v>1</v>
      </c>
      <c r="P6484">
        <v>1</v>
      </c>
      <c r="Q6484">
        <v>1</v>
      </c>
      <c r="R6484">
        <v>1</v>
      </c>
      <c r="S6484">
        <v>1</v>
      </c>
      <c r="T6484">
        <v>1</v>
      </c>
      <c r="W6484">
        <v>1</v>
      </c>
      <c r="X6484">
        <v>1</v>
      </c>
      <c r="Y6484">
        <v>1</v>
      </c>
      <c r="Z6484">
        <v>1</v>
      </c>
      <c r="AA6484">
        <v>1</v>
      </c>
      <c r="AB6484">
        <v>1</v>
      </c>
    </row>
    <row r="6485" spans="1:49" x14ac:dyDescent="0.25">
      <c r="A6485" t="str">
        <f>"6481"</f>
        <v>6481</v>
      </c>
      <c r="B6485" t="str">
        <f t="shared" si="373"/>
        <v>1</v>
      </c>
      <c r="C6485" t="str">
        <f t="shared" si="375"/>
        <v>283</v>
      </c>
      <c r="D6485" t="str">
        <f>"3"</f>
        <v>3</v>
      </c>
      <c r="E6485" t="str">
        <f>"1-283-3"</f>
        <v>1-283-3</v>
      </c>
      <c r="F6485" t="s">
        <v>83</v>
      </c>
      <c r="G6485" t="s">
        <v>84</v>
      </c>
      <c r="H6485" t="s">
        <v>92</v>
      </c>
      <c r="I6485">
        <v>1</v>
      </c>
      <c r="J6485">
        <v>1</v>
      </c>
      <c r="N6485">
        <v>1</v>
      </c>
      <c r="O6485">
        <v>1</v>
      </c>
      <c r="P6485">
        <v>1</v>
      </c>
      <c r="Q6485">
        <v>1</v>
      </c>
      <c r="R6485">
        <v>1</v>
      </c>
      <c r="S6485">
        <v>1</v>
      </c>
      <c r="T6485">
        <v>1</v>
      </c>
      <c r="W6485">
        <v>0</v>
      </c>
      <c r="X6485">
        <v>1</v>
      </c>
      <c r="Y6485">
        <v>0</v>
      </c>
      <c r="Z6485">
        <v>1</v>
      </c>
      <c r="AA6485">
        <v>1</v>
      </c>
      <c r="AB6485">
        <v>0</v>
      </c>
    </row>
    <row r="6486" spans="1:49" x14ac:dyDescent="0.25">
      <c r="A6486" t="str">
        <f>"6482"</f>
        <v>6482</v>
      </c>
      <c r="B6486" t="str">
        <f t="shared" si="373"/>
        <v>1</v>
      </c>
      <c r="C6486" t="str">
        <f t="shared" si="375"/>
        <v>283</v>
      </c>
      <c r="D6486" t="str">
        <f>"13"</f>
        <v>13</v>
      </c>
      <c r="E6486" t="str">
        <f>"1-283-13"</f>
        <v>1-283-13</v>
      </c>
      <c r="F6486" t="s">
        <v>83</v>
      </c>
      <c r="G6486" t="s">
        <v>84</v>
      </c>
      <c r="H6486" t="s">
        <v>92</v>
      </c>
      <c r="I6486">
        <v>1</v>
      </c>
      <c r="J6486">
        <v>1</v>
      </c>
      <c r="N6486">
        <v>1</v>
      </c>
      <c r="O6486">
        <v>1</v>
      </c>
      <c r="P6486">
        <v>1</v>
      </c>
      <c r="Q6486">
        <v>1</v>
      </c>
      <c r="R6486">
        <v>1</v>
      </c>
      <c r="S6486">
        <v>1</v>
      </c>
      <c r="T6486">
        <v>1</v>
      </c>
      <c r="W6486">
        <v>1</v>
      </c>
      <c r="X6486">
        <v>1</v>
      </c>
      <c r="Y6486">
        <v>1</v>
      </c>
      <c r="Z6486">
        <v>1</v>
      </c>
      <c r="AA6486">
        <v>1</v>
      </c>
      <c r="AB6486">
        <v>1</v>
      </c>
    </row>
    <row r="6487" spans="1:49" x14ac:dyDescent="0.25">
      <c r="A6487" t="str">
        <f>"6483"</f>
        <v>6483</v>
      </c>
      <c r="B6487" t="str">
        <f t="shared" si="373"/>
        <v>1</v>
      </c>
      <c r="C6487" t="str">
        <f t="shared" si="375"/>
        <v>283</v>
      </c>
      <c r="D6487" t="str">
        <f>"5"</f>
        <v>5</v>
      </c>
      <c r="E6487" t="str">
        <f>"1-283-5"</f>
        <v>1-283-5</v>
      </c>
      <c r="F6487" t="s">
        <v>83</v>
      </c>
      <c r="G6487" t="s">
        <v>84</v>
      </c>
      <c r="H6487" t="s">
        <v>92</v>
      </c>
      <c r="I6487">
        <v>1</v>
      </c>
      <c r="J6487">
        <v>1</v>
      </c>
      <c r="N6487">
        <v>1</v>
      </c>
      <c r="O6487">
        <v>1</v>
      </c>
      <c r="P6487">
        <v>1</v>
      </c>
      <c r="Q6487">
        <v>1</v>
      </c>
      <c r="R6487">
        <v>1</v>
      </c>
      <c r="S6487">
        <v>1</v>
      </c>
      <c r="T6487">
        <v>1</v>
      </c>
      <c r="W6487">
        <v>1</v>
      </c>
      <c r="X6487">
        <v>1</v>
      </c>
      <c r="Y6487">
        <v>1</v>
      </c>
      <c r="Z6487">
        <v>1</v>
      </c>
      <c r="AA6487">
        <v>1</v>
      </c>
      <c r="AB6487">
        <v>1</v>
      </c>
    </row>
    <row r="6488" spans="1:49" x14ac:dyDescent="0.25">
      <c r="A6488" t="str">
        <f>"6484"</f>
        <v>6484</v>
      </c>
      <c r="B6488" t="str">
        <f t="shared" si="373"/>
        <v>1</v>
      </c>
      <c r="C6488" t="str">
        <f t="shared" si="375"/>
        <v>283</v>
      </c>
      <c r="D6488" t="str">
        <f>"14"</f>
        <v>14</v>
      </c>
      <c r="E6488" t="str">
        <f>"1-283-14"</f>
        <v>1-283-14</v>
      </c>
      <c r="F6488" t="s">
        <v>83</v>
      </c>
      <c r="G6488" t="s">
        <v>84</v>
      </c>
      <c r="H6488" t="s">
        <v>92</v>
      </c>
      <c r="I6488">
        <v>1</v>
      </c>
      <c r="J6488">
        <v>1</v>
      </c>
      <c r="N6488">
        <v>1</v>
      </c>
      <c r="O6488">
        <v>1</v>
      </c>
      <c r="P6488">
        <v>1</v>
      </c>
      <c r="Q6488">
        <v>1</v>
      </c>
      <c r="R6488">
        <v>1</v>
      </c>
      <c r="S6488">
        <v>1</v>
      </c>
      <c r="T6488">
        <v>1</v>
      </c>
      <c r="W6488">
        <v>1</v>
      </c>
      <c r="X6488">
        <v>1</v>
      </c>
      <c r="Y6488">
        <v>1</v>
      </c>
      <c r="Z6488">
        <v>1</v>
      </c>
      <c r="AA6488">
        <v>1</v>
      </c>
      <c r="AB6488">
        <v>1</v>
      </c>
    </row>
    <row r="6489" spans="1:49" x14ac:dyDescent="0.25">
      <c r="A6489" t="str">
        <f>"6485"</f>
        <v>6485</v>
      </c>
      <c r="B6489" t="str">
        <f t="shared" si="373"/>
        <v>1</v>
      </c>
      <c r="C6489" t="str">
        <f t="shared" si="375"/>
        <v>283</v>
      </c>
      <c r="D6489" t="str">
        <f>"2"</f>
        <v>2</v>
      </c>
      <c r="E6489" t="str">
        <f>"1-283-2"</f>
        <v>1-283-2</v>
      </c>
      <c r="F6489" t="s">
        <v>83</v>
      </c>
      <c r="G6489" t="s">
        <v>84</v>
      </c>
      <c r="H6489" t="s">
        <v>92</v>
      </c>
      <c r="I6489">
        <v>1</v>
      </c>
      <c r="J6489">
        <v>1</v>
      </c>
      <c r="N6489">
        <v>1</v>
      </c>
      <c r="O6489">
        <v>1</v>
      </c>
      <c r="P6489">
        <v>1</v>
      </c>
      <c r="Q6489">
        <v>1</v>
      </c>
      <c r="R6489">
        <v>1</v>
      </c>
      <c r="S6489">
        <v>1</v>
      </c>
      <c r="T6489">
        <v>1</v>
      </c>
      <c r="W6489">
        <v>1</v>
      </c>
      <c r="X6489">
        <v>1</v>
      </c>
      <c r="Y6489">
        <v>1</v>
      </c>
      <c r="Z6489">
        <v>1</v>
      </c>
      <c r="AA6489">
        <v>1</v>
      </c>
      <c r="AB6489">
        <v>1</v>
      </c>
    </row>
    <row r="6490" spans="1:49" x14ac:dyDescent="0.25">
      <c r="A6490" t="str">
        <f>"6486"</f>
        <v>6486</v>
      </c>
      <c r="B6490" t="str">
        <f t="shared" si="373"/>
        <v>1</v>
      </c>
      <c r="C6490" t="str">
        <f t="shared" ref="C6490:C6512" si="376">"284"</f>
        <v>284</v>
      </c>
      <c r="D6490" t="str">
        <f>"23"</f>
        <v>23</v>
      </c>
      <c r="E6490" t="str">
        <f>"1-284-23"</f>
        <v>1-284-23</v>
      </c>
      <c r="F6490" t="s">
        <v>83</v>
      </c>
      <c r="G6490" t="s">
        <v>84</v>
      </c>
      <c r="H6490" t="s">
        <v>85</v>
      </c>
      <c r="AC6490">
        <v>0</v>
      </c>
      <c r="AD6490">
        <v>1</v>
      </c>
      <c r="AE6490">
        <v>0</v>
      </c>
      <c r="AF6490">
        <v>0</v>
      </c>
      <c r="AG6490">
        <v>1</v>
      </c>
      <c r="AJ6490">
        <v>0</v>
      </c>
      <c r="AK6490">
        <v>1</v>
      </c>
      <c r="AL6490">
        <v>0</v>
      </c>
      <c r="AM6490">
        <v>0</v>
      </c>
      <c r="AN6490">
        <v>1</v>
      </c>
      <c r="AO6490">
        <v>1</v>
      </c>
      <c r="AP6490">
        <v>1</v>
      </c>
      <c r="AQ6490">
        <v>1</v>
      </c>
      <c r="AR6490">
        <v>1</v>
      </c>
      <c r="AS6490">
        <v>0</v>
      </c>
      <c r="AT6490">
        <v>1</v>
      </c>
      <c r="AV6490">
        <v>1</v>
      </c>
      <c r="AW6490">
        <v>1</v>
      </c>
    </row>
    <row r="6491" spans="1:49" x14ac:dyDescent="0.25">
      <c r="A6491" t="str">
        <f>"6487"</f>
        <v>6487</v>
      </c>
      <c r="B6491" t="str">
        <f t="shared" si="373"/>
        <v>1</v>
      </c>
      <c r="C6491" t="str">
        <f t="shared" si="376"/>
        <v>284</v>
      </c>
      <c r="D6491" t="str">
        <f>"22"</f>
        <v>22</v>
      </c>
      <c r="E6491" t="str">
        <f>"1-284-22"</f>
        <v>1-284-22</v>
      </c>
      <c r="F6491" t="s">
        <v>83</v>
      </c>
      <c r="G6491" t="s">
        <v>84</v>
      </c>
      <c r="H6491" t="s">
        <v>92</v>
      </c>
      <c r="I6491">
        <v>1</v>
      </c>
      <c r="J6491">
        <v>1</v>
      </c>
      <c r="N6491">
        <v>1</v>
      </c>
      <c r="O6491">
        <v>1</v>
      </c>
      <c r="P6491">
        <v>1</v>
      </c>
      <c r="Q6491">
        <v>1</v>
      </c>
      <c r="R6491">
        <v>1</v>
      </c>
      <c r="S6491">
        <v>1</v>
      </c>
      <c r="T6491">
        <v>1</v>
      </c>
      <c r="W6491">
        <v>1</v>
      </c>
      <c r="X6491">
        <v>1</v>
      </c>
      <c r="Y6491">
        <v>1</v>
      </c>
      <c r="Z6491">
        <v>1</v>
      </c>
      <c r="AA6491">
        <v>1</v>
      </c>
      <c r="AB6491">
        <v>1</v>
      </c>
    </row>
    <row r="6492" spans="1:49" x14ac:dyDescent="0.25">
      <c r="A6492" t="str">
        <f>"6488"</f>
        <v>6488</v>
      </c>
      <c r="B6492" t="str">
        <f t="shared" si="373"/>
        <v>1</v>
      </c>
      <c r="C6492" t="str">
        <f t="shared" si="376"/>
        <v>284</v>
      </c>
      <c r="D6492" t="str">
        <f>"16"</f>
        <v>16</v>
      </c>
      <c r="E6492" t="str">
        <f>"1-284-16"</f>
        <v>1-284-16</v>
      </c>
      <c r="F6492" t="s">
        <v>83</v>
      </c>
      <c r="G6492" t="s">
        <v>84</v>
      </c>
      <c r="H6492" t="s">
        <v>85</v>
      </c>
      <c r="AC6492">
        <v>1</v>
      </c>
      <c r="AD6492">
        <v>0</v>
      </c>
      <c r="AE6492">
        <v>0</v>
      </c>
      <c r="AF6492">
        <v>0</v>
      </c>
      <c r="AG6492">
        <v>0</v>
      </c>
      <c r="AJ6492">
        <v>0</v>
      </c>
      <c r="AK6492">
        <v>0</v>
      </c>
      <c r="AL6492">
        <v>0</v>
      </c>
      <c r="AM6492">
        <v>1</v>
      </c>
      <c r="AN6492">
        <v>0</v>
      </c>
      <c r="AO6492">
        <v>0</v>
      </c>
      <c r="AP6492">
        <v>0</v>
      </c>
      <c r="AQ6492">
        <v>0</v>
      </c>
      <c r="AR6492">
        <v>0</v>
      </c>
      <c r="AS6492">
        <v>0</v>
      </c>
      <c r="AT6492">
        <v>0</v>
      </c>
      <c r="AV6492">
        <v>0</v>
      </c>
      <c r="AW6492">
        <v>0</v>
      </c>
    </row>
    <row r="6493" spans="1:49" x14ac:dyDescent="0.25">
      <c r="A6493" t="str">
        <f>"6489"</f>
        <v>6489</v>
      </c>
      <c r="B6493" t="str">
        <f t="shared" si="373"/>
        <v>1</v>
      </c>
      <c r="C6493" t="str">
        <f t="shared" si="376"/>
        <v>284</v>
      </c>
      <c r="D6493" t="str">
        <f>"8"</f>
        <v>8</v>
      </c>
      <c r="E6493" t="str">
        <f>"1-284-8"</f>
        <v>1-284-8</v>
      </c>
      <c r="F6493" t="s">
        <v>83</v>
      </c>
      <c r="G6493" t="s">
        <v>84</v>
      </c>
      <c r="H6493" t="s">
        <v>92</v>
      </c>
      <c r="I6493">
        <v>1</v>
      </c>
      <c r="J6493">
        <v>1</v>
      </c>
      <c r="N6493">
        <v>1</v>
      </c>
      <c r="O6493">
        <v>1</v>
      </c>
      <c r="P6493">
        <v>1</v>
      </c>
      <c r="Q6493">
        <v>1</v>
      </c>
      <c r="R6493">
        <v>1</v>
      </c>
      <c r="S6493">
        <v>1</v>
      </c>
      <c r="T6493">
        <v>1</v>
      </c>
      <c r="W6493">
        <v>1</v>
      </c>
      <c r="X6493">
        <v>1</v>
      </c>
      <c r="Y6493">
        <v>1</v>
      </c>
      <c r="Z6493">
        <v>1</v>
      </c>
      <c r="AA6493">
        <v>1</v>
      </c>
      <c r="AB6493">
        <v>1</v>
      </c>
    </row>
    <row r="6494" spans="1:49" x14ac:dyDescent="0.25">
      <c r="A6494" t="str">
        <f>"6490"</f>
        <v>6490</v>
      </c>
      <c r="B6494" t="str">
        <f t="shared" ref="B6494:B6557" si="377">"1"</f>
        <v>1</v>
      </c>
      <c r="C6494" t="str">
        <f t="shared" si="376"/>
        <v>284</v>
      </c>
      <c r="D6494" t="str">
        <f>"1"</f>
        <v>1</v>
      </c>
      <c r="E6494" t="str">
        <f>"1-284-1"</f>
        <v>1-284-1</v>
      </c>
      <c r="F6494" t="s">
        <v>83</v>
      </c>
      <c r="G6494" t="s">
        <v>84</v>
      </c>
      <c r="H6494" t="s">
        <v>85</v>
      </c>
      <c r="AC6494">
        <v>1</v>
      </c>
      <c r="AD6494">
        <v>0</v>
      </c>
      <c r="AE6494">
        <v>0</v>
      </c>
      <c r="AF6494">
        <v>0</v>
      </c>
      <c r="AG6494">
        <v>1</v>
      </c>
      <c r="AJ6494">
        <v>1</v>
      </c>
      <c r="AK6494">
        <v>0</v>
      </c>
      <c r="AL6494">
        <v>0</v>
      </c>
      <c r="AM6494">
        <v>1</v>
      </c>
      <c r="AN6494">
        <v>0</v>
      </c>
      <c r="AO6494">
        <v>1</v>
      </c>
      <c r="AP6494">
        <v>1</v>
      </c>
      <c r="AQ6494">
        <v>1</v>
      </c>
      <c r="AR6494">
        <v>1</v>
      </c>
      <c r="AS6494">
        <v>0</v>
      </c>
      <c r="AT6494">
        <v>1</v>
      </c>
      <c r="AV6494">
        <v>1</v>
      </c>
      <c r="AW6494">
        <v>1</v>
      </c>
    </row>
    <row r="6495" spans="1:49" x14ac:dyDescent="0.25">
      <c r="A6495" t="str">
        <f>"6491"</f>
        <v>6491</v>
      </c>
      <c r="B6495" t="str">
        <f t="shared" si="377"/>
        <v>1</v>
      </c>
      <c r="C6495" t="str">
        <f t="shared" si="376"/>
        <v>284</v>
      </c>
      <c r="D6495" t="str">
        <f>"21"</f>
        <v>21</v>
      </c>
      <c r="E6495" t="str">
        <f>"1-284-21"</f>
        <v>1-284-21</v>
      </c>
      <c r="F6495" t="s">
        <v>83</v>
      </c>
      <c r="G6495" t="s">
        <v>84</v>
      </c>
      <c r="H6495" t="s">
        <v>92</v>
      </c>
      <c r="I6495">
        <v>1</v>
      </c>
      <c r="J6495">
        <v>1</v>
      </c>
      <c r="N6495">
        <v>1</v>
      </c>
      <c r="O6495">
        <v>1</v>
      </c>
      <c r="P6495">
        <v>1</v>
      </c>
      <c r="Q6495">
        <v>1</v>
      </c>
      <c r="R6495">
        <v>1</v>
      </c>
      <c r="S6495">
        <v>1</v>
      </c>
      <c r="T6495">
        <v>1</v>
      </c>
      <c r="W6495">
        <v>1</v>
      </c>
      <c r="X6495">
        <v>1</v>
      </c>
      <c r="Y6495">
        <v>1</v>
      </c>
      <c r="Z6495">
        <v>1</v>
      </c>
      <c r="AA6495">
        <v>1</v>
      </c>
      <c r="AB6495">
        <v>1</v>
      </c>
    </row>
    <row r="6496" spans="1:49" x14ac:dyDescent="0.25">
      <c r="A6496" t="str">
        <f>"6492"</f>
        <v>6492</v>
      </c>
      <c r="B6496" t="str">
        <f t="shared" si="377"/>
        <v>1</v>
      </c>
      <c r="C6496" t="str">
        <f t="shared" si="376"/>
        <v>284</v>
      </c>
      <c r="D6496" t="str">
        <f>"20"</f>
        <v>20</v>
      </c>
      <c r="E6496" t="str">
        <f>"1-284-20"</f>
        <v>1-284-20</v>
      </c>
      <c r="F6496" t="s">
        <v>83</v>
      </c>
      <c r="G6496" t="s">
        <v>84</v>
      </c>
      <c r="H6496" t="s">
        <v>92</v>
      </c>
      <c r="I6496">
        <v>1</v>
      </c>
      <c r="J6496">
        <v>1</v>
      </c>
      <c r="N6496">
        <v>1</v>
      </c>
      <c r="O6496">
        <v>1</v>
      </c>
      <c r="P6496">
        <v>1</v>
      </c>
      <c r="Q6496">
        <v>1</v>
      </c>
      <c r="R6496">
        <v>1</v>
      </c>
      <c r="S6496">
        <v>1</v>
      </c>
      <c r="T6496">
        <v>1</v>
      </c>
      <c r="W6496">
        <v>1</v>
      </c>
      <c r="X6496">
        <v>1</v>
      </c>
      <c r="Y6496">
        <v>1</v>
      </c>
      <c r="Z6496">
        <v>1</v>
      </c>
      <c r="AA6496">
        <v>1</v>
      </c>
      <c r="AB6496">
        <v>1</v>
      </c>
    </row>
    <row r="6497" spans="1:49" x14ac:dyDescent="0.25">
      <c r="A6497" t="str">
        <f>"6493"</f>
        <v>6493</v>
      </c>
      <c r="B6497" t="str">
        <f t="shared" si="377"/>
        <v>1</v>
      </c>
      <c r="C6497" t="str">
        <f t="shared" si="376"/>
        <v>284</v>
      </c>
      <c r="D6497" t="str">
        <f>"15"</f>
        <v>15</v>
      </c>
      <c r="E6497" t="str">
        <f>"1-284-15"</f>
        <v>1-284-15</v>
      </c>
      <c r="F6497" t="s">
        <v>83</v>
      </c>
      <c r="G6497" t="s">
        <v>84</v>
      </c>
      <c r="H6497" t="s">
        <v>92</v>
      </c>
      <c r="I6497">
        <v>1</v>
      </c>
      <c r="J6497">
        <v>1</v>
      </c>
      <c r="N6497">
        <v>1</v>
      </c>
      <c r="O6497">
        <v>1</v>
      </c>
      <c r="P6497">
        <v>1</v>
      </c>
      <c r="Q6497">
        <v>1</v>
      </c>
      <c r="R6497">
        <v>1</v>
      </c>
      <c r="S6497">
        <v>1</v>
      </c>
      <c r="T6497">
        <v>1</v>
      </c>
      <c r="W6497">
        <v>1</v>
      </c>
      <c r="X6497">
        <v>1</v>
      </c>
      <c r="Y6497">
        <v>1</v>
      </c>
      <c r="Z6497">
        <v>1</v>
      </c>
      <c r="AA6497">
        <v>1</v>
      </c>
      <c r="AB6497">
        <v>1</v>
      </c>
    </row>
    <row r="6498" spans="1:49" x14ac:dyDescent="0.25">
      <c r="A6498" t="str">
        <f>"6494"</f>
        <v>6494</v>
      </c>
      <c r="B6498" t="str">
        <f t="shared" si="377"/>
        <v>1</v>
      </c>
      <c r="C6498" t="str">
        <f t="shared" si="376"/>
        <v>284</v>
      </c>
      <c r="D6498" t="str">
        <f>"9"</f>
        <v>9</v>
      </c>
      <c r="E6498" t="str">
        <f>"1-284-9"</f>
        <v>1-284-9</v>
      </c>
      <c r="F6498" t="s">
        <v>83</v>
      </c>
      <c r="G6498" t="s">
        <v>84</v>
      </c>
      <c r="H6498" t="s">
        <v>92</v>
      </c>
      <c r="I6498">
        <v>1</v>
      </c>
      <c r="J6498">
        <v>1</v>
      </c>
      <c r="N6498">
        <v>1</v>
      </c>
      <c r="O6498">
        <v>1</v>
      </c>
      <c r="P6498">
        <v>1</v>
      </c>
      <c r="Q6498">
        <v>1</v>
      </c>
      <c r="R6498">
        <v>1</v>
      </c>
      <c r="S6498">
        <v>1</v>
      </c>
      <c r="T6498">
        <v>1</v>
      </c>
      <c r="W6498">
        <v>1</v>
      </c>
      <c r="X6498">
        <v>1</v>
      </c>
      <c r="Y6498">
        <v>1</v>
      </c>
      <c r="Z6498">
        <v>1</v>
      </c>
      <c r="AA6498">
        <v>1</v>
      </c>
      <c r="AB6498">
        <v>1</v>
      </c>
    </row>
    <row r="6499" spans="1:49" x14ac:dyDescent="0.25">
      <c r="A6499" t="str">
        <f>"6495"</f>
        <v>6495</v>
      </c>
      <c r="B6499" t="str">
        <f t="shared" si="377"/>
        <v>1</v>
      </c>
      <c r="C6499" t="str">
        <f t="shared" si="376"/>
        <v>284</v>
      </c>
      <c r="D6499" t="str">
        <f>"7"</f>
        <v>7</v>
      </c>
      <c r="E6499" t="str">
        <f>"1-284-7"</f>
        <v>1-284-7</v>
      </c>
      <c r="F6499" t="s">
        <v>83</v>
      </c>
      <c r="G6499" t="s">
        <v>84</v>
      </c>
      <c r="H6499" t="s">
        <v>92</v>
      </c>
      <c r="I6499">
        <v>1</v>
      </c>
      <c r="J6499">
        <v>1</v>
      </c>
      <c r="N6499">
        <v>1</v>
      </c>
      <c r="O6499">
        <v>1</v>
      </c>
      <c r="P6499">
        <v>1</v>
      </c>
      <c r="Q6499">
        <v>1</v>
      </c>
      <c r="R6499">
        <v>1</v>
      </c>
      <c r="S6499">
        <v>1</v>
      </c>
      <c r="T6499">
        <v>1</v>
      </c>
      <c r="W6499">
        <v>1</v>
      </c>
      <c r="X6499">
        <v>1</v>
      </c>
      <c r="Y6499">
        <v>1</v>
      </c>
      <c r="Z6499">
        <v>1</v>
      </c>
      <c r="AA6499">
        <v>1</v>
      </c>
      <c r="AB6499">
        <v>1</v>
      </c>
    </row>
    <row r="6500" spans="1:49" x14ac:dyDescent="0.25">
      <c r="A6500" t="str">
        <f>"6496"</f>
        <v>6496</v>
      </c>
      <c r="B6500" t="str">
        <f t="shared" si="377"/>
        <v>1</v>
      </c>
      <c r="C6500" t="str">
        <f t="shared" si="376"/>
        <v>284</v>
      </c>
      <c r="D6500" t="str">
        <f>"17"</f>
        <v>17</v>
      </c>
      <c r="E6500" t="str">
        <f>"1-284-17"</f>
        <v>1-284-17</v>
      </c>
      <c r="F6500" t="s">
        <v>83</v>
      </c>
      <c r="G6500" t="s">
        <v>84</v>
      </c>
      <c r="H6500" t="s">
        <v>92</v>
      </c>
      <c r="I6500">
        <v>1</v>
      </c>
      <c r="J6500">
        <v>1</v>
      </c>
      <c r="N6500">
        <v>1</v>
      </c>
      <c r="O6500">
        <v>1</v>
      </c>
      <c r="P6500">
        <v>1</v>
      </c>
      <c r="Q6500">
        <v>1</v>
      </c>
      <c r="R6500">
        <v>1</v>
      </c>
      <c r="S6500">
        <v>1</v>
      </c>
      <c r="T6500">
        <v>1</v>
      </c>
      <c r="W6500">
        <v>1</v>
      </c>
      <c r="X6500">
        <v>1</v>
      </c>
      <c r="Y6500">
        <v>1</v>
      </c>
      <c r="Z6500">
        <v>1</v>
      </c>
      <c r="AA6500">
        <v>1</v>
      </c>
      <c r="AB6500">
        <v>1</v>
      </c>
    </row>
    <row r="6501" spans="1:49" x14ac:dyDescent="0.25">
      <c r="A6501" t="str">
        <f>"6497"</f>
        <v>6497</v>
      </c>
      <c r="B6501" t="str">
        <f t="shared" si="377"/>
        <v>1</v>
      </c>
      <c r="C6501" t="str">
        <f t="shared" si="376"/>
        <v>284</v>
      </c>
      <c r="D6501" t="str">
        <f>"10"</f>
        <v>10</v>
      </c>
      <c r="E6501" t="str">
        <f>"1-284-10"</f>
        <v>1-284-10</v>
      </c>
      <c r="F6501" t="s">
        <v>83</v>
      </c>
      <c r="G6501" t="s">
        <v>84</v>
      </c>
      <c r="H6501" t="s">
        <v>85</v>
      </c>
      <c r="AC6501">
        <v>0</v>
      </c>
      <c r="AD6501">
        <v>1</v>
      </c>
      <c r="AE6501">
        <v>0</v>
      </c>
      <c r="AF6501">
        <v>0</v>
      </c>
      <c r="AG6501">
        <v>0</v>
      </c>
      <c r="AJ6501">
        <v>0</v>
      </c>
      <c r="AK6501">
        <v>1</v>
      </c>
      <c r="AL6501">
        <v>0</v>
      </c>
      <c r="AM6501">
        <v>0</v>
      </c>
      <c r="AN6501">
        <v>0</v>
      </c>
      <c r="AO6501">
        <v>0</v>
      </c>
      <c r="AP6501">
        <v>0</v>
      </c>
      <c r="AQ6501">
        <v>0</v>
      </c>
      <c r="AR6501">
        <v>0</v>
      </c>
      <c r="AS6501">
        <v>0</v>
      </c>
      <c r="AT6501">
        <v>0</v>
      </c>
      <c r="AV6501">
        <v>0</v>
      </c>
      <c r="AW6501">
        <v>0</v>
      </c>
    </row>
    <row r="6502" spans="1:49" x14ac:dyDescent="0.25">
      <c r="A6502" t="str">
        <f>"6498"</f>
        <v>6498</v>
      </c>
      <c r="B6502" t="str">
        <f t="shared" si="377"/>
        <v>1</v>
      </c>
      <c r="C6502" t="str">
        <f t="shared" si="376"/>
        <v>284</v>
      </c>
      <c r="D6502" t="str">
        <f>"3"</f>
        <v>3</v>
      </c>
      <c r="E6502" t="str">
        <f>"1-284-3"</f>
        <v>1-284-3</v>
      </c>
      <c r="F6502" t="s">
        <v>83</v>
      </c>
      <c r="G6502" t="s">
        <v>84</v>
      </c>
      <c r="H6502" t="s">
        <v>85</v>
      </c>
      <c r="AC6502">
        <v>0</v>
      </c>
      <c r="AD6502">
        <v>1</v>
      </c>
      <c r="AE6502">
        <v>0</v>
      </c>
      <c r="AF6502">
        <v>0</v>
      </c>
      <c r="AG6502">
        <v>0</v>
      </c>
      <c r="AJ6502">
        <v>0</v>
      </c>
      <c r="AK6502">
        <v>1</v>
      </c>
      <c r="AL6502">
        <v>0</v>
      </c>
      <c r="AM6502">
        <v>0</v>
      </c>
      <c r="AN6502">
        <v>1</v>
      </c>
      <c r="AO6502">
        <v>0</v>
      </c>
      <c r="AP6502">
        <v>0</v>
      </c>
      <c r="AQ6502">
        <v>0</v>
      </c>
      <c r="AR6502">
        <v>0</v>
      </c>
      <c r="AS6502">
        <v>0</v>
      </c>
      <c r="AT6502">
        <v>1</v>
      </c>
      <c r="AV6502">
        <v>0</v>
      </c>
      <c r="AW6502">
        <v>0</v>
      </c>
    </row>
    <row r="6503" spans="1:49" x14ac:dyDescent="0.25">
      <c r="A6503" t="str">
        <f>"6499"</f>
        <v>6499</v>
      </c>
      <c r="B6503" t="str">
        <f t="shared" si="377"/>
        <v>1</v>
      </c>
      <c r="C6503" t="str">
        <f t="shared" si="376"/>
        <v>284</v>
      </c>
      <c r="D6503" t="str">
        <f>"18"</f>
        <v>18</v>
      </c>
      <c r="E6503" t="str">
        <f>"1-284-18"</f>
        <v>1-284-18</v>
      </c>
      <c r="F6503" t="s">
        <v>83</v>
      </c>
      <c r="G6503" t="s">
        <v>84</v>
      </c>
      <c r="H6503" t="s">
        <v>85</v>
      </c>
      <c r="AC6503">
        <v>0</v>
      </c>
      <c r="AD6503">
        <v>0</v>
      </c>
      <c r="AE6503">
        <v>0</v>
      </c>
      <c r="AF6503">
        <v>0</v>
      </c>
      <c r="AG6503">
        <v>0</v>
      </c>
      <c r="AJ6503">
        <v>0</v>
      </c>
      <c r="AK6503">
        <v>0</v>
      </c>
      <c r="AL6503">
        <v>0</v>
      </c>
      <c r="AM6503">
        <v>0</v>
      </c>
      <c r="AN6503">
        <v>1</v>
      </c>
      <c r="AO6503">
        <v>0</v>
      </c>
      <c r="AP6503">
        <v>0</v>
      </c>
      <c r="AQ6503">
        <v>0</v>
      </c>
      <c r="AR6503">
        <v>0</v>
      </c>
      <c r="AS6503">
        <v>0</v>
      </c>
      <c r="AT6503">
        <v>0</v>
      </c>
      <c r="AV6503">
        <v>0</v>
      </c>
      <c r="AW6503">
        <v>0</v>
      </c>
    </row>
    <row r="6504" spans="1:49" x14ac:dyDescent="0.25">
      <c r="A6504" t="str">
        <f>"6500"</f>
        <v>6500</v>
      </c>
      <c r="B6504" t="str">
        <f t="shared" si="377"/>
        <v>1</v>
      </c>
      <c r="C6504" t="str">
        <f t="shared" si="376"/>
        <v>284</v>
      </c>
      <c r="D6504" t="str">
        <f>"11"</f>
        <v>11</v>
      </c>
      <c r="E6504" t="str">
        <f>"1-284-11"</f>
        <v>1-284-11</v>
      </c>
      <c r="F6504" t="s">
        <v>83</v>
      </c>
      <c r="G6504" t="s">
        <v>84</v>
      </c>
      <c r="H6504" t="s">
        <v>85</v>
      </c>
      <c r="AC6504">
        <v>0</v>
      </c>
      <c r="AD6504">
        <v>1</v>
      </c>
      <c r="AE6504">
        <v>0</v>
      </c>
      <c r="AF6504">
        <v>0</v>
      </c>
      <c r="AG6504">
        <v>1</v>
      </c>
      <c r="AJ6504">
        <v>0</v>
      </c>
      <c r="AK6504">
        <v>1</v>
      </c>
      <c r="AL6504">
        <v>0</v>
      </c>
      <c r="AM6504">
        <v>0</v>
      </c>
      <c r="AN6504">
        <v>1</v>
      </c>
      <c r="AO6504">
        <v>1</v>
      </c>
      <c r="AP6504">
        <v>1</v>
      </c>
      <c r="AQ6504">
        <v>1</v>
      </c>
      <c r="AR6504">
        <v>1</v>
      </c>
      <c r="AS6504">
        <v>1</v>
      </c>
      <c r="AT6504">
        <v>0</v>
      </c>
      <c r="AV6504">
        <v>1</v>
      </c>
      <c r="AW6504">
        <v>1</v>
      </c>
    </row>
    <row r="6505" spans="1:49" x14ac:dyDescent="0.25">
      <c r="A6505" t="str">
        <f>"6501"</f>
        <v>6501</v>
      </c>
      <c r="B6505" t="str">
        <f t="shared" si="377"/>
        <v>1</v>
      </c>
      <c r="C6505" t="str">
        <f t="shared" si="376"/>
        <v>284</v>
      </c>
      <c r="D6505" t="str">
        <f>"5"</f>
        <v>5</v>
      </c>
      <c r="E6505" t="str">
        <f>"1-284-5"</f>
        <v>1-284-5</v>
      </c>
      <c r="F6505" t="s">
        <v>83</v>
      </c>
      <c r="G6505" t="s">
        <v>84</v>
      </c>
      <c r="H6505" t="s">
        <v>85</v>
      </c>
      <c r="AC6505">
        <v>0</v>
      </c>
      <c r="AD6505">
        <v>1</v>
      </c>
      <c r="AE6505">
        <v>0</v>
      </c>
      <c r="AF6505">
        <v>0</v>
      </c>
      <c r="AG6505">
        <v>1</v>
      </c>
      <c r="AJ6505">
        <v>0</v>
      </c>
      <c r="AK6505">
        <v>1</v>
      </c>
      <c r="AL6505">
        <v>1</v>
      </c>
      <c r="AM6505">
        <v>0</v>
      </c>
      <c r="AN6505">
        <v>0</v>
      </c>
      <c r="AO6505">
        <v>1</v>
      </c>
      <c r="AP6505">
        <v>1</v>
      </c>
      <c r="AQ6505">
        <v>1</v>
      </c>
      <c r="AR6505">
        <v>1</v>
      </c>
      <c r="AS6505">
        <v>1</v>
      </c>
      <c r="AT6505">
        <v>0</v>
      </c>
      <c r="AV6505">
        <v>1</v>
      </c>
      <c r="AW6505">
        <v>1</v>
      </c>
    </row>
    <row r="6506" spans="1:49" x14ac:dyDescent="0.25">
      <c r="A6506" t="str">
        <f>"6502"</f>
        <v>6502</v>
      </c>
      <c r="B6506" t="str">
        <f t="shared" si="377"/>
        <v>1</v>
      </c>
      <c r="C6506" t="str">
        <f t="shared" si="376"/>
        <v>284</v>
      </c>
      <c r="D6506" t="str">
        <f>"19"</f>
        <v>19</v>
      </c>
      <c r="E6506" t="str">
        <f>"1-284-19"</f>
        <v>1-284-19</v>
      </c>
      <c r="F6506" t="s">
        <v>83</v>
      </c>
      <c r="G6506" t="s">
        <v>84</v>
      </c>
      <c r="H6506" t="s">
        <v>85</v>
      </c>
      <c r="AC6506">
        <v>0</v>
      </c>
      <c r="AD6506">
        <v>1</v>
      </c>
      <c r="AE6506">
        <v>0</v>
      </c>
      <c r="AF6506">
        <v>0</v>
      </c>
      <c r="AG6506">
        <v>1</v>
      </c>
      <c r="AJ6506">
        <v>0</v>
      </c>
      <c r="AK6506">
        <v>1</v>
      </c>
      <c r="AL6506">
        <v>0</v>
      </c>
      <c r="AM6506">
        <v>0</v>
      </c>
      <c r="AN6506">
        <v>1</v>
      </c>
      <c r="AO6506">
        <v>1</v>
      </c>
      <c r="AP6506">
        <v>1</v>
      </c>
      <c r="AQ6506">
        <v>1</v>
      </c>
      <c r="AR6506">
        <v>1</v>
      </c>
      <c r="AS6506">
        <v>0</v>
      </c>
      <c r="AT6506">
        <v>1</v>
      </c>
      <c r="AV6506">
        <v>1</v>
      </c>
      <c r="AW6506">
        <v>1</v>
      </c>
    </row>
    <row r="6507" spans="1:49" x14ac:dyDescent="0.25">
      <c r="A6507" t="str">
        <f>"6503"</f>
        <v>6503</v>
      </c>
      <c r="B6507" t="str">
        <f t="shared" si="377"/>
        <v>1</v>
      </c>
      <c r="C6507" t="str">
        <f t="shared" si="376"/>
        <v>284</v>
      </c>
      <c r="D6507" t="str">
        <f>"12"</f>
        <v>12</v>
      </c>
      <c r="E6507" t="str">
        <f>"1-284-12"</f>
        <v>1-284-12</v>
      </c>
      <c r="F6507" t="s">
        <v>83</v>
      </c>
      <c r="G6507" t="s">
        <v>84</v>
      </c>
      <c r="H6507" t="s">
        <v>92</v>
      </c>
      <c r="I6507">
        <v>1</v>
      </c>
      <c r="J6507">
        <v>1</v>
      </c>
      <c r="N6507">
        <v>1</v>
      </c>
      <c r="O6507">
        <v>1</v>
      </c>
      <c r="P6507">
        <v>1</v>
      </c>
      <c r="Q6507">
        <v>1</v>
      </c>
      <c r="R6507">
        <v>1</v>
      </c>
      <c r="S6507">
        <v>1</v>
      </c>
      <c r="T6507">
        <v>1</v>
      </c>
      <c r="W6507">
        <v>1</v>
      </c>
      <c r="X6507">
        <v>1</v>
      </c>
      <c r="Y6507">
        <v>1</v>
      </c>
      <c r="Z6507">
        <v>1</v>
      </c>
      <c r="AA6507">
        <v>1</v>
      </c>
      <c r="AB6507">
        <v>1</v>
      </c>
    </row>
    <row r="6508" spans="1:49" x14ac:dyDescent="0.25">
      <c r="A6508" t="str">
        <f>"6504"</f>
        <v>6504</v>
      </c>
      <c r="B6508" t="str">
        <f t="shared" si="377"/>
        <v>1</v>
      </c>
      <c r="C6508" t="str">
        <f t="shared" si="376"/>
        <v>284</v>
      </c>
      <c r="D6508" t="str">
        <f>"4"</f>
        <v>4</v>
      </c>
      <c r="E6508" t="str">
        <f>"1-284-4"</f>
        <v>1-284-4</v>
      </c>
      <c r="F6508" t="s">
        <v>83</v>
      </c>
      <c r="G6508" t="s">
        <v>84</v>
      </c>
      <c r="H6508" t="s">
        <v>92</v>
      </c>
      <c r="I6508">
        <v>1</v>
      </c>
      <c r="J6508">
        <v>1</v>
      </c>
      <c r="N6508">
        <v>1</v>
      </c>
      <c r="O6508">
        <v>1</v>
      </c>
      <c r="P6508">
        <v>1</v>
      </c>
      <c r="Q6508">
        <v>1</v>
      </c>
      <c r="R6508">
        <v>1</v>
      </c>
      <c r="S6508">
        <v>1</v>
      </c>
      <c r="T6508">
        <v>1</v>
      </c>
      <c r="W6508">
        <v>1</v>
      </c>
      <c r="X6508">
        <v>1</v>
      </c>
      <c r="Y6508">
        <v>1</v>
      </c>
      <c r="Z6508">
        <v>1</v>
      </c>
      <c r="AA6508">
        <v>1</v>
      </c>
      <c r="AB6508">
        <v>1</v>
      </c>
    </row>
    <row r="6509" spans="1:49" x14ac:dyDescent="0.25">
      <c r="A6509" t="str">
        <f>"6505"</f>
        <v>6505</v>
      </c>
      <c r="B6509" t="str">
        <f t="shared" si="377"/>
        <v>1</v>
      </c>
      <c r="C6509" t="str">
        <f t="shared" si="376"/>
        <v>284</v>
      </c>
      <c r="D6509" t="str">
        <f>"13"</f>
        <v>13</v>
      </c>
      <c r="E6509" t="str">
        <f>"1-284-13"</f>
        <v>1-284-13</v>
      </c>
      <c r="F6509" t="s">
        <v>83</v>
      </c>
      <c r="G6509" t="s">
        <v>84</v>
      </c>
      <c r="H6509" t="s">
        <v>92</v>
      </c>
      <c r="I6509">
        <v>1</v>
      </c>
      <c r="J6509">
        <v>1</v>
      </c>
      <c r="N6509">
        <v>1</v>
      </c>
      <c r="O6509">
        <v>1</v>
      </c>
      <c r="P6509">
        <v>1</v>
      </c>
      <c r="Q6509">
        <v>1</v>
      </c>
      <c r="R6509">
        <v>1</v>
      </c>
      <c r="S6509">
        <v>1</v>
      </c>
      <c r="T6509">
        <v>1</v>
      </c>
      <c r="W6509">
        <v>1</v>
      </c>
      <c r="X6509">
        <v>1</v>
      </c>
      <c r="Y6509">
        <v>1</v>
      </c>
      <c r="Z6509">
        <v>1</v>
      </c>
      <c r="AA6509">
        <v>1</v>
      </c>
      <c r="AB6509">
        <v>1</v>
      </c>
    </row>
    <row r="6510" spans="1:49" x14ac:dyDescent="0.25">
      <c r="A6510" t="str">
        <f>"6506"</f>
        <v>6506</v>
      </c>
      <c r="B6510" t="str">
        <f t="shared" si="377"/>
        <v>1</v>
      </c>
      <c r="C6510" t="str">
        <f t="shared" si="376"/>
        <v>284</v>
      </c>
      <c r="D6510" t="str">
        <f>"2"</f>
        <v>2</v>
      </c>
      <c r="E6510" t="str">
        <f>"1-284-2"</f>
        <v>1-284-2</v>
      </c>
      <c r="F6510" t="s">
        <v>83</v>
      </c>
      <c r="G6510" t="s">
        <v>84</v>
      </c>
      <c r="H6510" t="s">
        <v>85</v>
      </c>
      <c r="AC6510">
        <v>1</v>
      </c>
      <c r="AD6510">
        <v>0</v>
      </c>
      <c r="AE6510">
        <v>0</v>
      </c>
      <c r="AF6510">
        <v>0</v>
      </c>
      <c r="AG6510">
        <v>1</v>
      </c>
      <c r="AJ6510">
        <v>0</v>
      </c>
      <c r="AK6510">
        <v>1</v>
      </c>
      <c r="AL6510">
        <v>0</v>
      </c>
      <c r="AM6510">
        <v>0</v>
      </c>
      <c r="AN6510">
        <v>1</v>
      </c>
      <c r="AO6510">
        <v>1</v>
      </c>
      <c r="AP6510">
        <v>1</v>
      </c>
      <c r="AQ6510">
        <v>1</v>
      </c>
      <c r="AR6510">
        <v>1</v>
      </c>
      <c r="AS6510">
        <v>0</v>
      </c>
      <c r="AT6510">
        <v>1</v>
      </c>
      <c r="AV6510">
        <v>1</v>
      </c>
      <c r="AW6510">
        <v>1</v>
      </c>
    </row>
    <row r="6511" spans="1:49" x14ac:dyDescent="0.25">
      <c r="A6511" t="str">
        <f>"6507"</f>
        <v>6507</v>
      </c>
      <c r="B6511" t="str">
        <f t="shared" si="377"/>
        <v>1</v>
      </c>
      <c r="C6511" t="str">
        <f t="shared" si="376"/>
        <v>284</v>
      </c>
      <c r="D6511" t="str">
        <f>"14"</f>
        <v>14</v>
      </c>
      <c r="E6511" t="str">
        <f>"1-284-14"</f>
        <v>1-284-14</v>
      </c>
      <c r="F6511" t="s">
        <v>83</v>
      </c>
      <c r="G6511" t="s">
        <v>84</v>
      </c>
      <c r="H6511" t="s">
        <v>85</v>
      </c>
      <c r="AC6511">
        <v>0</v>
      </c>
      <c r="AD6511">
        <v>1</v>
      </c>
      <c r="AE6511">
        <v>0</v>
      </c>
      <c r="AF6511">
        <v>0</v>
      </c>
      <c r="AG6511">
        <v>0</v>
      </c>
      <c r="AJ6511">
        <v>0</v>
      </c>
      <c r="AK6511">
        <v>1</v>
      </c>
      <c r="AL6511">
        <v>0</v>
      </c>
      <c r="AM6511">
        <v>0</v>
      </c>
      <c r="AN6511">
        <v>1</v>
      </c>
      <c r="AO6511">
        <v>0</v>
      </c>
      <c r="AP6511">
        <v>0</v>
      </c>
      <c r="AQ6511">
        <v>0</v>
      </c>
      <c r="AR6511">
        <v>0</v>
      </c>
      <c r="AS6511">
        <v>0</v>
      </c>
      <c r="AT6511">
        <v>1</v>
      </c>
      <c r="AV6511">
        <v>0</v>
      </c>
      <c r="AW6511">
        <v>0</v>
      </c>
    </row>
    <row r="6512" spans="1:49" x14ac:dyDescent="0.25">
      <c r="A6512" t="str">
        <f>"6508"</f>
        <v>6508</v>
      </c>
      <c r="B6512" t="str">
        <f t="shared" si="377"/>
        <v>1</v>
      </c>
      <c r="C6512" t="str">
        <f t="shared" si="376"/>
        <v>284</v>
      </c>
      <c r="D6512" t="str">
        <f>"6"</f>
        <v>6</v>
      </c>
      <c r="E6512" t="str">
        <f>"1-284-6"</f>
        <v>1-284-6</v>
      </c>
      <c r="F6512" t="s">
        <v>83</v>
      </c>
      <c r="G6512" t="s">
        <v>84</v>
      </c>
      <c r="H6512" t="s">
        <v>85</v>
      </c>
      <c r="AC6512">
        <v>1</v>
      </c>
      <c r="AD6512">
        <v>0</v>
      </c>
      <c r="AE6512">
        <v>0</v>
      </c>
      <c r="AF6512">
        <v>0</v>
      </c>
      <c r="AG6512">
        <v>1</v>
      </c>
      <c r="AJ6512">
        <v>0</v>
      </c>
      <c r="AK6512">
        <v>1</v>
      </c>
      <c r="AL6512">
        <v>1</v>
      </c>
      <c r="AM6512">
        <v>0</v>
      </c>
      <c r="AN6512">
        <v>0</v>
      </c>
      <c r="AO6512">
        <v>0</v>
      </c>
      <c r="AP6512">
        <v>0</v>
      </c>
      <c r="AQ6512">
        <v>0</v>
      </c>
      <c r="AR6512">
        <v>0</v>
      </c>
      <c r="AS6512">
        <v>1</v>
      </c>
      <c r="AT6512">
        <v>0</v>
      </c>
      <c r="AV6512">
        <v>0</v>
      </c>
      <c r="AW6512">
        <v>0</v>
      </c>
    </row>
    <row r="6513" spans="1:49" x14ac:dyDescent="0.25">
      <c r="A6513" t="str">
        <f>"6509"</f>
        <v>6509</v>
      </c>
      <c r="B6513" t="str">
        <f t="shared" si="377"/>
        <v>1</v>
      </c>
      <c r="C6513" t="str">
        <f t="shared" ref="C6513:C6537" si="378">"285"</f>
        <v>285</v>
      </c>
      <c r="D6513" t="str">
        <f>"21"</f>
        <v>21</v>
      </c>
      <c r="E6513" t="str">
        <f>"1-285-21"</f>
        <v>1-285-21</v>
      </c>
      <c r="F6513" t="s">
        <v>83</v>
      </c>
      <c r="G6513" t="s">
        <v>84</v>
      </c>
      <c r="H6513" t="s">
        <v>92</v>
      </c>
      <c r="I6513">
        <v>1</v>
      </c>
      <c r="J6513">
        <v>1</v>
      </c>
      <c r="N6513">
        <v>1</v>
      </c>
      <c r="O6513">
        <v>1</v>
      </c>
      <c r="P6513">
        <v>1</v>
      </c>
      <c r="Q6513">
        <v>1</v>
      </c>
      <c r="R6513">
        <v>1</v>
      </c>
      <c r="S6513">
        <v>1</v>
      </c>
      <c r="T6513">
        <v>1</v>
      </c>
      <c r="W6513">
        <v>1</v>
      </c>
      <c r="X6513">
        <v>1</v>
      </c>
      <c r="Y6513">
        <v>1</v>
      </c>
      <c r="Z6513">
        <v>1</v>
      </c>
      <c r="AA6513">
        <v>1</v>
      </c>
      <c r="AB6513">
        <v>1</v>
      </c>
    </row>
    <row r="6514" spans="1:49" x14ac:dyDescent="0.25">
      <c r="A6514" t="str">
        <f>"6510"</f>
        <v>6510</v>
      </c>
      <c r="B6514" t="str">
        <f t="shared" si="377"/>
        <v>1</v>
      </c>
      <c r="C6514" t="str">
        <f t="shared" si="378"/>
        <v>285</v>
      </c>
      <c r="D6514" t="str">
        <f>"20"</f>
        <v>20</v>
      </c>
      <c r="E6514" t="str">
        <f>"1-285-20"</f>
        <v>1-285-20</v>
      </c>
      <c r="F6514" t="s">
        <v>83</v>
      </c>
      <c r="G6514" t="s">
        <v>84</v>
      </c>
      <c r="H6514" t="s">
        <v>85</v>
      </c>
      <c r="AC6514">
        <v>0</v>
      </c>
      <c r="AD6514">
        <v>1</v>
      </c>
      <c r="AE6514">
        <v>0</v>
      </c>
      <c r="AF6514">
        <v>0</v>
      </c>
      <c r="AG6514">
        <v>0</v>
      </c>
      <c r="AJ6514">
        <v>1</v>
      </c>
      <c r="AK6514">
        <v>0</v>
      </c>
      <c r="AL6514">
        <v>0</v>
      </c>
      <c r="AM6514">
        <v>0</v>
      </c>
      <c r="AN6514">
        <v>1</v>
      </c>
      <c r="AO6514">
        <v>1</v>
      </c>
      <c r="AP6514">
        <v>1</v>
      </c>
      <c r="AQ6514">
        <v>1</v>
      </c>
      <c r="AR6514">
        <v>1</v>
      </c>
      <c r="AS6514">
        <v>0</v>
      </c>
      <c r="AT6514">
        <v>1</v>
      </c>
      <c r="AV6514">
        <v>1</v>
      </c>
      <c r="AW6514">
        <v>1</v>
      </c>
    </row>
    <row r="6515" spans="1:49" x14ac:dyDescent="0.25">
      <c r="A6515" t="str">
        <f>"6511"</f>
        <v>6511</v>
      </c>
      <c r="B6515" t="str">
        <f t="shared" si="377"/>
        <v>1</v>
      </c>
      <c r="C6515" t="str">
        <f t="shared" si="378"/>
        <v>285</v>
      </c>
      <c r="D6515" t="str">
        <f>"15"</f>
        <v>15</v>
      </c>
      <c r="E6515" t="str">
        <f>"1-285-15"</f>
        <v>1-285-15</v>
      </c>
      <c r="F6515" t="s">
        <v>83</v>
      </c>
      <c r="G6515" t="s">
        <v>84</v>
      </c>
      <c r="H6515" t="s">
        <v>85</v>
      </c>
      <c r="AC6515">
        <v>0</v>
      </c>
      <c r="AD6515">
        <v>1</v>
      </c>
      <c r="AE6515">
        <v>0</v>
      </c>
      <c r="AF6515">
        <v>0</v>
      </c>
      <c r="AG6515">
        <v>1</v>
      </c>
      <c r="AJ6515">
        <v>0</v>
      </c>
      <c r="AK6515">
        <v>1</v>
      </c>
      <c r="AL6515">
        <v>1</v>
      </c>
      <c r="AM6515">
        <v>0</v>
      </c>
      <c r="AN6515">
        <v>0</v>
      </c>
      <c r="AO6515">
        <v>1</v>
      </c>
      <c r="AP6515">
        <v>1</v>
      </c>
      <c r="AQ6515">
        <v>1</v>
      </c>
      <c r="AR6515">
        <v>1</v>
      </c>
      <c r="AS6515">
        <v>0</v>
      </c>
      <c r="AT6515">
        <v>1</v>
      </c>
      <c r="AV6515">
        <v>1</v>
      </c>
      <c r="AW6515">
        <v>1</v>
      </c>
    </row>
    <row r="6516" spans="1:49" x14ac:dyDescent="0.25">
      <c r="A6516" t="str">
        <f>"6512"</f>
        <v>6512</v>
      </c>
      <c r="B6516" t="str">
        <f t="shared" si="377"/>
        <v>1</v>
      </c>
      <c r="C6516" t="str">
        <f t="shared" si="378"/>
        <v>285</v>
      </c>
      <c r="D6516" t="str">
        <f>"14"</f>
        <v>14</v>
      </c>
      <c r="E6516" t="str">
        <f>"1-285-14"</f>
        <v>1-285-14</v>
      </c>
      <c r="F6516" t="s">
        <v>83</v>
      </c>
      <c r="G6516" t="s">
        <v>84</v>
      </c>
      <c r="H6516" t="s">
        <v>85</v>
      </c>
      <c r="AC6516">
        <v>0</v>
      </c>
      <c r="AD6516">
        <v>1</v>
      </c>
      <c r="AE6516">
        <v>0</v>
      </c>
      <c r="AF6516">
        <v>0</v>
      </c>
      <c r="AG6516">
        <v>0</v>
      </c>
      <c r="AJ6516">
        <v>0</v>
      </c>
      <c r="AK6516">
        <v>1</v>
      </c>
      <c r="AL6516">
        <v>0</v>
      </c>
      <c r="AM6516">
        <v>0</v>
      </c>
      <c r="AN6516">
        <v>1</v>
      </c>
      <c r="AO6516">
        <v>0</v>
      </c>
      <c r="AP6516">
        <v>0</v>
      </c>
      <c r="AQ6516">
        <v>0</v>
      </c>
      <c r="AR6516">
        <v>0</v>
      </c>
      <c r="AS6516">
        <v>0</v>
      </c>
      <c r="AT6516">
        <v>0</v>
      </c>
      <c r="AV6516">
        <v>0</v>
      </c>
      <c r="AW6516">
        <v>0</v>
      </c>
    </row>
    <row r="6517" spans="1:49" x14ac:dyDescent="0.25">
      <c r="A6517" t="str">
        <f>"6513"</f>
        <v>6513</v>
      </c>
      <c r="B6517" t="str">
        <f t="shared" si="377"/>
        <v>1</v>
      </c>
      <c r="C6517" t="str">
        <f t="shared" si="378"/>
        <v>285</v>
      </c>
      <c r="D6517" t="str">
        <f>"11"</f>
        <v>11</v>
      </c>
      <c r="E6517" t="str">
        <f>"1-285-11"</f>
        <v>1-285-11</v>
      </c>
      <c r="F6517" t="s">
        <v>83</v>
      </c>
      <c r="G6517" t="s">
        <v>84</v>
      </c>
      <c r="H6517" t="s">
        <v>85</v>
      </c>
      <c r="AC6517">
        <v>1</v>
      </c>
      <c r="AD6517">
        <v>0</v>
      </c>
      <c r="AE6517">
        <v>0</v>
      </c>
      <c r="AF6517">
        <v>0</v>
      </c>
      <c r="AG6517">
        <v>0</v>
      </c>
      <c r="AJ6517">
        <v>0</v>
      </c>
      <c r="AK6517">
        <v>0</v>
      </c>
      <c r="AL6517">
        <v>1</v>
      </c>
      <c r="AM6517">
        <v>0</v>
      </c>
      <c r="AN6517">
        <v>0</v>
      </c>
      <c r="AO6517">
        <v>0</v>
      </c>
      <c r="AP6517">
        <v>0</v>
      </c>
      <c r="AQ6517">
        <v>0</v>
      </c>
      <c r="AR6517">
        <v>1</v>
      </c>
      <c r="AS6517">
        <v>0</v>
      </c>
      <c r="AT6517">
        <v>1</v>
      </c>
      <c r="AV6517">
        <v>0</v>
      </c>
      <c r="AW6517">
        <v>0</v>
      </c>
    </row>
    <row r="6518" spans="1:49" x14ac:dyDescent="0.25">
      <c r="A6518" t="str">
        <f>"6514"</f>
        <v>6514</v>
      </c>
      <c r="B6518" t="str">
        <f t="shared" si="377"/>
        <v>1</v>
      </c>
      <c r="C6518" t="str">
        <f t="shared" si="378"/>
        <v>285</v>
      </c>
      <c r="D6518" t="str">
        <f>"8"</f>
        <v>8</v>
      </c>
      <c r="E6518" t="str">
        <f>"1-285-8"</f>
        <v>1-285-8</v>
      </c>
      <c r="F6518" t="s">
        <v>83</v>
      </c>
      <c r="G6518" t="s">
        <v>84</v>
      </c>
      <c r="H6518" t="s">
        <v>85</v>
      </c>
      <c r="AC6518">
        <v>1</v>
      </c>
      <c r="AD6518">
        <v>0</v>
      </c>
      <c r="AE6518">
        <v>0</v>
      </c>
      <c r="AF6518">
        <v>0</v>
      </c>
      <c r="AG6518">
        <v>0</v>
      </c>
      <c r="AJ6518">
        <v>1</v>
      </c>
      <c r="AK6518">
        <v>0</v>
      </c>
      <c r="AL6518">
        <v>1</v>
      </c>
      <c r="AM6518">
        <v>0</v>
      </c>
      <c r="AN6518">
        <v>0</v>
      </c>
      <c r="AO6518">
        <v>0</v>
      </c>
      <c r="AP6518">
        <v>0</v>
      </c>
      <c r="AQ6518">
        <v>0</v>
      </c>
      <c r="AR6518">
        <v>0</v>
      </c>
      <c r="AS6518">
        <v>1</v>
      </c>
      <c r="AT6518">
        <v>0</v>
      </c>
      <c r="AV6518">
        <v>0</v>
      </c>
      <c r="AW6518">
        <v>0</v>
      </c>
    </row>
    <row r="6519" spans="1:49" x14ac:dyDescent="0.25">
      <c r="A6519" t="str">
        <f>"6515"</f>
        <v>6515</v>
      </c>
      <c r="B6519" t="str">
        <f t="shared" si="377"/>
        <v>1</v>
      </c>
      <c r="C6519" t="str">
        <f t="shared" si="378"/>
        <v>285</v>
      </c>
      <c r="D6519" t="str">
        <f>"1"</f>
        <v>1</v>
      </c>
      <c r="E6519" t="str">
        <f>"1-285-1"</f>
        <v>1-285-1</v>
      </c>
      <c r="F6519" t="s">
        <v>83</v>
      </c>
      <c r="G6519" t="s">
        <v>84</v>
      </c>
      <c r="H6519" t="s">
        <v>85</v>
      </c>
      <c r="AC6519">
        <v>0</v>
      </c>
      <c r="AD6519">
        <v>1</v>
      </c>
      <c r="AE6519">
        <v>0</v>
      </c>
      <c r="AF6519">
        <v>0</v>
      </c>
      <c r="AG6519">
        <v>0</v>
      </c>
      <c r="AJ6519">
        <v>0</v>
      </c>
      <c r="AK6519">
        <v>1</v>
      </c>
      <c r="AL6519">
        <v>0</v>
      </c>
      <c r="AM6519">
        <v>1</v>
      </c>
      <c r="AN6519">
        <v>0</v>
      </c>
      <c r="AO6519">
        <v>0</v>
      </c>
      <c r="AP6519">
        <v>0</v>
      </c>
      <c r="AQ6519">
        <v>0</v>
      </c>
      <c r="AR6519">
        <v>0</v>
      </c>
      <c r="AS6519">
        <v>0</v>
      </c>
      <c r="AT6519">
        <v>1</v>
      </c>
      <c r="AV6519">
        <v>0</v>
      </c>
      <c r="AW6519">
        <v>0</v>
      </c>
    </row>
    <row r="6520" spans="1:49" x14ac:dyDescent="0.25">
      <c r="A6520" t="str">
        <f>"6516"</f>
        <v>6516</v>
      </c>
      <c r="B6520" t="str">
        <f t="shared" si="377"/>
        <v>1</v>
      </c>
      <c r="C6520" t="str">
        <f t="shared" si="378"/>
        <v>285</v>
      </c>
      <c r="D6520" t="str">
        <f>"23"</f>
        <v>23</v>
      </c>
      <c r="E6520" t="str">
        <f>"1-285-23"</f>
        <v>1-285-23</v>
      </c>
      <c r="F6520" t="s">
        <v>83</v>
      </c>
      <c r="G6520" t="s">
        <v>84</v>
      </c>
      <c r="H6520" t="s">
        <v>85</v>
      </c>
      <c r="AC6520">
        <v>1</v>
      </c>
      <c r="AD6520">
        <v>0</v>
      </c>
      <c r="AE6520">
        <v>0</v>
      </c>
      <c r="AF6520">
        <v>0</v>
      </c>
      <c r="AG6520">
        <v>0</v>
      </c>
      <c r="AJ6520">
        <v>1</v>
      </c>
      <c r="AK6520">
        <v>0</v>
      </c>
      <c r="AL6520">
        <v>1</v>
      </c>
      <c r="AM6520">
        <v>0</v>
      </c>
      <c r="AN6520">
        <v>0</v>
      </c>
      <c r="AO6520">
        <v>0</v>
      </c>
      <c r="AP6520">
        <v>1</v>
      </c>
      <c r="AQ6520">
        <v>0</v>
      </c>
      <c r="AR6520">
        <v>0</v>
      </c>
      <c r="AS6520">
        <v>1</v>
      </c>
      <c r="AT6520">
        <v>0</v>
      </c>
      <c r="AV6520">
        <v>1</v>
      </c>
      <c r="AW6520">
        <v>0</v>
      </c>
    </row>
    <row r="6521" spans="1:49" x14ac:dyDescent="0.25">
      <c r="A6521" t="str">
        <f>"6517"</f>
        <v>6517</v>
      </c>
      <c r="B6521" t="str">
        <f t="shared" si="377"/>
        <v>1</v>
      </c>
      <c r="C6521" t="str">
        <f t="shared" si="378"/>
        <v>285</v>
      </c>
      <c r="D6521" t="str">
        <f>"22"</f>
        <v>22</v>
      </c>
      <c r="E6521" t="str">
        <f>"1-285-22"</f>
        <v>1-285-22</v>
      </c>
      <c r="F6521" t="s">
        <v>83</v>
      </c>
      <c r="G6521" t="s">
        <v>84</v>
      </c>
      <c r="H6521" t="s">
        <v>92</v>
      </c>
      <c r="I6521">
        <v>1</v>
      </c>
      <c r="J6521">
        <v>1</v>
      </c>
      <c r="N6521">
        <v>1</v>
      </c>
      <c r="O6521">
        <v>1</v>
      </c>
      <c r="P6521">
        <v>1</v>
      </c>
      <c r="Q6521">
        <v>1</v>
      </c>
      <c r="R6521">
        <v>0</v>
      </c>
      <c r="S6521">
        <v>1</v>
      </c>
      <c r="T6521">
        <v>1</v>
      </c>
      <c r="W6521">
        <v>1</v>
      </c>
      <c r="X6521">
        <v>0</v>
      </c>
      <c r="Y6521">
        <v>1</v>
      </c>
      <c r="Z6521">
        <v>1</v>
      </c>
      <c r="AA6521">
        <v>0</v>
      </c>
      <c r="AB6521">
        <v>1</v>
      </c>
    </row>
    <row r="6522" spans="1:49" x14ac:dyDescent="0.25">
      <c r="A6522" t="str">
        <f>"6518"</f>
        <v>6518</v>
      </c>
      <c r="B6522" t="str">
        <f t="shared" si="377"/>
        <v>1</v>
      </c>
      <c r="C6522" t="str">
        <f t="shared" si="378"/>
        <v>285</v>
      </c>
      <c r="D6522" t="str">
        <f>"17"</f>
        <v>17</v>
      </c>
      <c r="E6522" t="str">
        <f>"1-285-17"</f>
        <v>1-285-17</v>
      </c>
      <c r="F6522" t="s">
        <v>83</v>
      </c>
      <c r="G6522" t="s">
        <v>84</v>
      </c>
      <c r="H6522" t="s">
        <v>92</v>
      </c>
      <c r="I6522">
        <v>1</v>
      </c>
      <c r="J6522">
        <v>1</v>
      </c>
      <c r="N6522">
        <v>1</v>
      </c>
      <c r="O6522">
        <v>1</v>
      </c>
      <c r="P6522">
        <v>1</v>
      </c>
      <c r="Q6522">
        <v>1</v>
      </c>
      <c r="R6522">
        <v>1</v>
      </c>
      <c r="S6522">
        <v>1</v>
      </c>
      <c r="T6522">
        <v>1</v>
      </c>
      <c r="W6522">
        <v>1</v>
      </c>
      <c r="X6522">
        <v>1</v>
      </c>
      <c r="Y6522">
        <v>1</v>
      </c>
      <c r="Z6522">
        <v>1</v>
      </c>
      <c r="AA6522">
        <v>1</v>
      </c>
      <c r="AB6522">
        <v>1</v>
      </c>
    </row>
    <row r="6523" spans="1:49" x14ac:dyDescent="0.25">
      <c r="A6523" t="str">
        <f>"6519"</f>
        <v>6519</v>
      </c>
      <c r="B6523" t="str">
        <f t="shared" si="377"/>
        <v>1</v>
      </c>
      <c r="C6523" t="str">
        <f t="shared" si="378"/>
        <v>285</v>
      </c>
      <c r="D6523" t="str">
        <f>"9"</f>
        <v>9</v>
      </c>
      <c r="E6523" t="str">
        <f>"1-285-9"</f>
        <v>1-285-9</v>
      </c>
      <c r="F6523" t="s">
        <v>83</v>
      </c>
      <c r="G6523" t="s">
        <v>84</v>
      </c>
      <c r="H6523" t="s">
        <v>85</v>
      </c>
      <c r="AC6523">
        <v>1</v>
      </c>
      <c r="AD6523">
        <v>0</v>
      </c>
      <c r="AE6523">
        <v>0</v>
      </c>
      <c r="AF6523">
        <v>0</v>
      </c>
      <c r="AG6523">
        <v>0</v>
      </c>
      <c r="AJ6523">
        <v>1</v>
      </c>
      <c r="AK6523">
        <v>0</v>
      </c>
      <c r="AL6523">
        <v>1</v>
      </c>
      <c r="AM6523">
        <v>0</v>
      </c>
      <c r="AN6523">
        <v>0</v>
      </c>
      <c r="AO6523">
        <v>0</v>
      </c>
      <c r="AP6523">
        <v>1</v>
      </c>
      <c r="AQ6523">
        <v>0</v>
      </c>
      <c r="AR6523">
        <v>0</v>
      </c>
      <c r="AS6523">
        <v>1</v>
      </c>
      <c r="AT6523">
        <v>0</v>
      </c>
      <c r="AV6523">
        <v>1</v>
      </c>
      <c r="AW6523">
        <v>0</v>
      </c>
    </row>
    <row r="6524" spans="1:49" x14ac:dyDescent="0.25">
      <c r="A6524" t="str">
        <f>"6520"</f>
        <v>6520</v>
      </c>
      <c r="B6524" t="str">
        <f t="shared" si="377"/>
        <v>1</v>
      </c>
      <c r="C6524" t="str">
        <f t="shared" si="378"/>
        <v>285</v>
      </c>
      <c r="D6524" t="str">
        <f>"6"</f>
        <v>6</v>
      </c>
      <c r="E6524" t="str">
        <f>"1-285-6"</f>
        <v>1-285-6</v>
      </c>
      <c r="F6524" t="s">
        <v>83</v>
      </c>
      <c r="G6524" t="s">
        <v>84</v>
      </c>
      <c r="H6524" t="s">
        <v>85</v>
      </c>
      <c r="AC6524">
        <v>1</v>
      </c>
      <c r="AD6524">
        <v>0</v>
      </c>
      <c r="AE6524">
        <v>0</v>
      </c>
      <c r="AF6524">
        <v>0</v>
      </c>
      <c r="AG6524">
        <v>1</v>
      </c>
      <c r="AJ6524">
        <v>1</v>
      </c>
      <c r="AK6524">
        <v>0</v>
      </c>
      <c r="AL6524">
        <v>1</v>
      </c>
      <c r="AM6524">
        <v>0</v>
      </c>
      <c r="AN6524">
        <v>0</v>
      </c>
      <c r="AO6524">
        <v>0</v>
      </c>
      <c r="AP6524">
        <v>1</v>
      </c>
      <c r="AQ6524">
        <v>0</v>
      </c>
      <c r="AR6524">
        <v>0</v>
      </c>
      <c r="AS6524">
        <v>1</v>
      </c>
      <c r="AT6524">
        <v>0</v>
      </c>
      <c r="AV6524">
        <v>1</v>
      </c>
      <c r="AW6524">
        <v>0</v>
      </c>
    </row>
    <row r="6525" spans="1:49" x14ac:dyDescent="0.25">
      <c r="A6525" t="str">
        <f>"6521"</f>
        <v>6521</v>
      </c>
      <c r="B6525" t="str">
        <f t="shared" si="377"/>
        <v>1</v>
      </c>
      <c r="C6525" t="str">
        <f t="shared" si="378"/>
        <v>285</v>
      </c>
      <c r="D6525" t="str">
        <f>"25"</f>
        <v>25</v>
      </c>
      <c r="E6525" t="str">
        <f>"1-285-25"</f>
        <v>1-285-25</v>
      </c>
      <c r="F6525" t="s">
        <v>83</v>
      </c>
      <c r="G6525" t="s">
        <v>84</v>
      </c>
      <c r="H6525" t="s">
        <v>92</v>
      </c>
      <c r="I6525">
        <v>1</v>
      </c>
      <c r="J6525">
        <v>1</v>
      </c>
      <c r="N6525">
        <v>1</v>
      </c>
      <c r="O6525">
        <v>1</v>
      </c>
      <c r="P6525">
        <v>1</v>
      </c>
      <c r="Q6525">
        <v>1</v>
      </c>
      <c r="R6525">
        <v>1</v>
      </c>
      <c r="S6525">
        <v>1</v>
      </c>
      <c r="T6525">
        <v>1</v>
      </c>
      <c r="W6525">
        <v>1</v>
      </c>
      <c r="X6525">
        <v>1</v>
      </c>
      <c r="Y6525">
        <v>1</v>
      </c>
      <c r="Z6525">
        <v>1</v>
      </c>
      <c r="AA6525">
        <v>1</v>
      </c>
      <c r="AB6525">
        <v>1</v>
      </c>
    </row>
    <row r="6526" spans="1:49" x14ac:dyDescent="0.25">
      <c r="A6526" t="str">
        <f>"6522"</f>
        <v>6522</v>
      </c>
      <c r="B6526" t="str">
        <f t="shared" si="377"/>
        <v>1</v>
      </c>
      <c r="C6526" t="str">
        <f t="shared" si="378"/>
        <v>285</v>
      </c>
      <c r="D6526" t="str">
        <f>"16"</f>
        <v>16</v>
      </c>
      <c r="E6526" t="str">
        <f>"1-285-16"</f>
        <v>1-285-16</v>
      </c>
      <c r="F6526" t="s">
        <v>83</v>
      </c>
      <c r="G6526" t="s">
        <v>88</v>
      </c>
      <c r="H6526" t="s">
        <v>89</v>
      </c>
      <c r="AC6526">
        <v>0</v>
      </c>
      <c r="AD6526">
        <v>0</v>
      </c>
      <c r="AE6526">
        <v>0</v>
      </c>
      <c r="AF6526">
        <v>0</v>
      </c>
      <c r="AH6526">
        <v>0</v>
      </c>
      <c r="AI6526">
        <v>0</v>
      </c>
      <c r="AJ6526">
        <v>0</v>
      </c>
      <c r="AK6526">
        <v>0</v>
      </c>
      <c r="AL6526">
        <v>0</v>
      </c>
      <c r="AM6526">
        <v>0</v>
      </c>
      <c r="AN6526">
        <v>0</v>
      </c>
      <c r="AO6526">
        <v>0</v>
      </c>
      <c r="AP6526">
        <v>0</v>
      </c>
      <c r="AQ6526">
        <v>0</v>
      </c>
      <c r="AR6526">
        <v>0</v>
      </c>
      <c r="AS6526">
        <v>0</v>
      </c>
      <c r="AT6526">
        <v>1</v>
      </c>
      <c r="AV6526">
        <v>0</v>
      </c>
      <c r="AW6526">
        <v>1</v>
      </c>
    </row>
    <row r="6527" spans="1:49" x14ac:dyDescent="0.25">
      <c r="A6527" t="str">
        <f>"6523"</f>
        <v>6523</v>
      </c>
      <c r="B6527" t="str">
        <f t="shared" si="377"/>
        <v>1</v>
      </c>
      <c r="C6527" t="str">
        <f t="shared" si="378"/>
        <v>285</v>
      </c>
      <c r="D6527" t="str">
        <f>"10"</f>
        <v>10</v>
      </c>
      <c r="E6527" t="str">
        <f>"1-285-10"</f>
        <v>1-285-10</v>
      </c>
      <c r="F6527" t="s">
        <v>83</v>
      </c>
      <c r="G6527" t="s">
        <v>84</v>
      </c>
      <c r="H6527" t="s">
        <v>85</v>
      </c>
      <c r="AC6527">
        <v>1</v>
      </c>
      <c r="AD6527">
        <v>0</v>
      </c>
      <c r="AE6527">
        <v>0</v>
      </c>
      <c r="AF6527">
        <v>0</v>
      </c>
      <c r="AG6527">
        <v>0</v>
      </c>
      <c r="AJ6527">
        <v>1</v>
      </c>
      <c r="AK6527">
        <v>0</v>
      </c>
      <c r="AL6527">
        <v>0</v>
      </c>
      <c r="AM6527">
        <v>1</v>
      </c>
      <c r="AN6527">
        <v>0</v>
      </c>
      <c r="AO6527">
        <v>0</v>
      </c>
      <c r="AP6527">
        <v>0</v>
      </c>
      <c r="AQ6527">
        <v>0</v>
      </c>
      <c r="AR6527">
        <v>0</v>
      </c>
      <c r="AS6527">
        <v>0</v>
      </c>
      <c r="AT6527">
        <v>1</v>
      </c>
      <c r="AV6527">
        <v>0</v>
      </c>
      <c r="AW6527">
        <v>0</v>
      </c>
    </row>
    <row r="6528" spans="1:49" x14ac:dyDescent="0.25">
      <c r="A6528" t="str">
        <f>"6524"</f>
        <v>6524</v>
      </c>
      <c r="B6528" t="str">
        <f t="shared" si="377"/>
        <v>1</v>
      </c>
      <c r="C6528" t="str">
        <f t="shared" si="378"/>
        <v>285</v>
      </c>
      <c r="D6528" t="str">
        <f>"3"</f>
        <v>3</v>
      </c>
      <c r="E6528" t="str">
        <f>"1-285-3"</f>
        <v>1-285-3</v>
      </c>
      <c r="F6528" t="s">
        <v>83</v>
      </c>
      <c r="G6528" t="s">
        <v>84</v>
      </c>
      <c r="H6528" t="s">
        <v>85</v>
      </c>
      <c r="AC6528">
        <v>1</v>
      </c>
      <c r="AD6528">
        <v>0</v>
      </c>
      <c r="AE6528">
        <v>0</v>
      </c>
      <c r="AF6528">
        <v>0</v>
      </c>
      <c r="AG6528">
        <v>1</v>
      </c>
      <c r="AJ6528">
        <v>0</v>
      </c>
      <c r="AK6528">
        <v>1</v>
      </c>
      <c r="AL6528">
        <v>0</v>
      </c>
      <c r="AM6528">
        <v>0</v>
      </c>
      <c r="AN6528">
        <v>1</v>
      </c>
      <c r="AO6528">
        <v>1</v>
      </c>
      <c r="AP6528">
        <v>1</v>
      </c>
      <c r="AQ6528">
        <v>1</v>
      </c>
      <c r="AR6528">
        <v>1</v>
      </c>
      <c r="AS6528">
        <v>1</v>
      </c>
      <c r="AT6528">
        <v>0</v>
      </c>
      <c r="AV6528">
        <v>1</v>
      </c>
      <c r="AW6528">
        <v>1</v>
      </c>
    </row>
    <row r="6529" spans="1:49" x14ac:dyDescent="0.25">
      <c r="A6529" t="str">
        <f>"6525"</f>
        <v>6525</v>
      </c>
      <c r="B6529" t="str">
        <f t="shared" si="377"/>
        <v>1</v>
      </c>
      <c r="C6529" t="str">
        <f t="shared" si="378"/>
        <v>285</v>
      </c>
      <c r="D6529" t="str">
        <f>"24"</f>
        <v>24</v>
      </c>
      <c r="E6529" t="str">
        <f>"1-285-24"</f>
        <v>1-285-24</v>
      </c>
      <c r="F6529" t="s">
        <v>83</v>
      </c>
      <c r="G6529" t="s">
        <v>84</v>
      </c>
      <c r="H6529" t="s">
        <v>92</v>
      </c>
      <c r="I6529">
        <v>1</v>
      </c>
      <c r="J6529">
        <v>1</v>
      </c>
      <c r="N6529">
        <v>1</v>
      </c>
      <c r="O6529">
        <v>1</v>
      </c>
      <c r="P6529">
        <v>1</v>
      </c>
      <c r="Q6529">
        <v>1</v>
      </c>
      <c r="R6529">
        <v>1</v>
      </c>
      <c r="S6529">
        <v>1</v>
      </c>
      <c r="T6529">
        <v>0</v>
      </c>
      <c r="W6529">
        <v>1</v>
      </c>
      <c r="X6529">
        <v>1</v>
      </c>
      <c r="Y6529">
        <v>1</v>
      </c>
      <c r="Z6529">
        <v>1</v>
      </c>
      <c r="AA6529">
        <v>1</v>
      </c>
      <c r="AB6529">
        <v>1</v>
      </c>
    </row>
    <row r="6530" spans="1:49" x14ac:dyDescent="0.25">
      <c r="A6530" t="str">
        <f>"6526"</f>
        <v>6526</v>
      </c>
      <c r="B6530" t="str">
        <f t="shared" si="377"/>
        <v>1</v>
      </c>
      <c r="C6530" t="str">
        <f t="shared" si="378"/>
        <v>285</v>
      </c>
      <c r="D6530" t="str">
        <f>"12"</f>
        <v>12</v>
      </c>
      <c r="E6530" t="str">
        <f>"1-285-12"</f>
        <v>1-285-12</v>
      </c>
      <c r="F6530" t="s">
        <v>83</v>
      </c>
      <c r="G6530" t="s">
        <v>84</v>
      </c>
      <c r="H6530" t="s">
        <v>92</v>
      </c>
      <c r="I6530">
        <v>1</v>
      </c>
      <c r="J6530">
        <v>1</v>
      </c>
      <c r="N6530">
        <v>1</v>
      </c>
      <c r="O6530">
        <v>1</v>
      </c>
      <c r="P6530">
        <v>1</v>
      </c>
      <c r="Q6530">
        <v>1</v>
      </c>
      <c r="R6530">
        <v>1</v>
      </c>
      <c r="S6530">
        <v>1</v>
      </c>
      <c r="T6530">
        <v>1</v>
      </c>
      <c r="W6530">
        <v>1</v>
      </c>
      <c r="X6530">
        <v>1</v>
      </c>
      <c r="Y6530">
        <v>1</v>
      </c>
      <c r="Z6530">
        <v>1</v>
      </c>
      <c r="AA6530">
        <v>1</v>
      </c>
      <c r="AB6530">
        <v>1</v>
      </c>
    </row>
    <row r="6531" spans="1:49" x14ac:dyDescent="0.25">
      <c r="A6531" t="str">
        <f>"6527"</f>
        <v>6527</v>
      </c>
      <c r="B6531" t="str">
        <f t="shared" si="377"/>
        <v>1</v>
      </c>
      <c r="C6531" t="str">
        <f t="shared" si="378"/>
        <v>285</v>
      </c>
      <c r="D6531" t="str">
        <f>"5"</f>
        <v>5</v>
      </c>
      <c r="E6531" t="str">
        <f>"1-285-5"</f>
        <v>1-285-5</v>
      </c>
      <c r="F6531" t="s">
        <v>83</v>
      </c>
      <c r="G6531" t="s">
        <v>84</v>
      </c>
      <c r="H6531" t="s">
        <v>92</v>
      </c>
      <c r="I6531">
        <v>1</v>
      </c>
      <c r="J6531">
        <v>1</v>
      </c>
      <c r="N6531">
        <v>1</v>
      </c>
      <c r="O6531">
        <v>1</v>
      </c>
      <c r="P6531">
        <v>1</v>
      </c>
      <c r="Q6531">
        <v>1</v>
      </c>
      <c r="R6531">
        <v>1</v>
      </c>
      <c r="S6531">
        <v>1</v>
      </c>
      <c r="T6531">
        <v>0</v>
      </c>
      <c r="W6531">
        <v>0</v>
      </c>
      <c r="X6531">
        <v>0</v>
      </c>
      <c r="Y6531">
        <v>0</v>
      </c>
      <c r="Z6531">
        <v>0</v>
      </c>
      <c r="AA6531">
        <v>0</v>
      </c>
      <c r="AB6531">
        <v>0</v>
      </c>
    </row>
    <row r="6532" spans="1:49" x14ac:dyDescent="0.25">
      <c r="A6532" t="str">
        <f>"6528"</f>
        <v>6528</v>
      </c>
      <c r="B6532" t="str">
        <f t="shared" si="377"/>
        <v>1</v>
      </c>
      <c r="C6532" t="str">
        <f t="shared" si="378"/>
        <v>285</v>
      </c>
      <c r="D6532" t="str">
        <f>"13"</f>
        <v>13</v>
      </c>
      <c r="E6532" t="str">
        <f>"1-285-13"</f>
        <v>1-285-13</v>
      </c>
      <c r="F6532" t="s">
        <v>83</v>
      </c>
      <c r="G6532" t="s">
        <v>84</v>
      </c>
      <c r="H6532" t="s">
        <v>85</v>
      </c>
      <c r="AC6532">
        <v>0</v>
      </c>
      <c r="AD6532">
        <v>1</v>
      </c>
      <c r="AE6532">
        <v>0</v>
      </c>
      <c r="AF6532">
        <v>0</v>
      </c>
      <c r="AG6532">
        <v>0</v>
      </c>
      <c r="AJ6532">
        <v>0</v>
      </c>
      <c r="AK6532">
        <v>1</v>
      </c>
      <c r="AL6532">
        <v>0</v>
      </c>
      <c r="AM6532">
        <v>0</v>
      </c>
      <c r="AN6532">
        <v>1</v>
      </c>
      <c r="AO6532">
        <v>0</v>
      </c>
      <c r="AP6532">
        <v>0</v>
      </c>
      <c r="AQ6532">
        <v>0</v>
      </c>
      <c r="AR6532">
        <v>0</v>
      </c>
      <c r="AS6532">
        <v>0</v>
      </c>
      <c r="AT6532">
        <v>0</v>
      </c>
      <c r="AV6532">
        <v>0</v>
      </c>
      <c r="AW6532">
        <v>0</v>
      </c>
    </row>
    <row r="6533" spans="1:49" x14ac:dyDescent="0.25">
      <c r="A6533" t="str">
        <f>"6529"</f>
        <v>6529</v>
      </c>
      <c r="B6533" t="str">
        <f t="shared" si="377"/>
        <v>1</v>
      </c>
      <c r="C6533" t="str">
        <f t="shared" si="378"/>
        <v>285</v>
      </c>
      <c r="D6533" t="str">
        <f>"2"</f>
        <v>2</v>
      </c>
      <c r="E6533" t="str">
        <f>"1-285-2"</f>
        <v>1-285-2</v>
      </c>
      <c r="F6533" t="s">
        <v>83</v>
      </c>
      <c r="G6533" t="s">
        <v>84</v>
      </c>
      <c r="H6533" t="s">
        <v>85</v>
      </c>
      <c r="AC6533">
        <v>0</v>
      </c>
      <c r="AD6533">
        <v>1</v>
      </c>
      <c r="AE6533">
        <v>0</v>
      </c>
      <c r="AF6533">
        <v>0</v>
      </c>
      <c r="AG6533">
        <v>1</v>
      </c>
      <c r="AJ6533">
        <v>1</v>
      </c>
      <c r="AK6533">
        <v>0</v>
      </c>
      <c r="AL6533">
        <v>0</v>
      </c>
      <c r="AM6533">
        <v>0</v>
      </c>
      <c r="AN6533">
        <v>1</v>
      </c>
      <c r="AO6533">
        <v>1</v>
      </c>
      <c r="AP6533">
        <v>1</v>
      </c>
      <c r="AQ6533">
        <v>1</v>
      </c>
      <c r="AR6533">
        <v>1</v>
      </c>
      <c r="AS6533">
        <v>1</v>
      </c>
      <c r="AT6533">
        <v>0</v>
      </c>
      <c r="AV6533">
        <v>1</v>
      </c>
      <c r="AW6533">
        <v>1</v>
      </c>
    </row>
    <row r="6534" spans="1:49" x14ac:dyDescent="0.25">
      <c r="A6534" t="str">
        <f>"6530"</f>
        <v>6530</v>
      </c>
      <c r="B6534" t="str">
        <f t="shared" si="377"/>
        <v>1</v>
      </c>
      <c r="C6534" t="str">
        <f t="shared" si="378"/>
        <v>285</v>
      </c>
      <c r="D6534" t="str">
        <f>"18"</f>
        <v>18</v>
      </c>
      <c r="E6534" t="str">
        <f>"1-285-18"</f>
        <v>1-285-18</v>
      </c>
      <c r="F6534" t="s">
        <v>83</v>
      </c>
      <c r="G6534" t="s">
        <v>84</v>
      </c>
      <c r="H6534" t="s">
        <v>85</v>
      </c>
      <c r="AC6534">
        <v>0</v>
      </c>
      <c r="AD6534">
        <v>1</v>
      </c>
      <c r="AE6534">
        <v>0</v>
      </c>
      <c r="AF6534">
        <v>0</v>
      </c>
      <c r="AG6534">
        <v>1</v>
      </c>
      <c r="AJ6534">
        <v>1</v>
      </c>
      <c r="AK6534">
        <v>0</v>
      </c>
      <c r="AL6534">
        <v>0</v>
      </c>
      <c r="AM6534">
        <v>0</v>
      </c>
      <c r="AN6534">
        <v>1</v>
      </c>
      <c r="AO6534">
        <v>1</v>
      </c>
      <c r="AP6534">
        <v>1</v>
      </c>
      <c r="AQ6534">
        <v>1</v>
      </c>
      <c r="AR6534">
        <v>1</v>
      </c>
      <c r="AS6534">
        <v>0</v>
      </c>
      <c r="AT6534">
        <v>1</v>
      </c>
      <c r="AV6534">
        <v>1</v>
      </c>
      <c r="AW6534">
        <v>1</v>
      </c>
    </row>
    <row r="6535" spans="1:49" x14ac:dyDescent="0.25">
      <c r="A6535" t="str">
        <f>"6531"</f>
        <v>6531</v>
      </c>
      <c r="B6535" t="str">
        <f t="shared" si="377"/>
        <v>1</v>
      </c>
      <c r="C6535" t="str">
        <f t="shared" si="378"/>
        <v>285</v>
      </c>
      <c r="D6535" t="str">
        <f>"4"</f>
        <v>4</v>
      </c>
      <c r="E6535" t="str">
        <f>"1-285-4"</f>
        <v>1-285-4</v>
      </c>
      <c r="F6535" t="s">
        <v>83</v>
      </c>
      <c r="G6535" t="s">
        <v>84</v>
      </c>
      <c r="H6535" t="s">
        <v>92</v>
      </c>
      <c r="I6535">
        <v>1</v>
      </c>
      <c r="J6535">
        <v>1</v>
      </c>
      <c r="N6535">
        <v>1</v>
      </c>
      <c r="O6535">
        <v>1</v>
      </c>
      <c r="P6535">
        <v>1</v>
      </c>
      <c r="Q6535">
        <v>1</v>
      </c>
      <c r="R6535">
        <v>1</v>
      </c>
      <c r="S6535">
        <v>1</v>
      </c>
      <c r="T6535">
        <v>1</v>
      </c>
      <c r="W6535">
        <v>1</v>
      </c>
      <c r="X6535">
        <v>1</v>
      </c>
      <c r="Y6535">
        <v>1</v>
      </c>
      <c r="Z6535">
        <v>1</v>
      </c>
      <c r="AA6535">
        <v>1</v>
      </c>
      <c r="AB6535">
        <v>1</v>
      </c>
    </row>
    <row r="6536" spans="1:49" x14ac:dyDescent="0.25">
      <c r="A6536" t="str">
        <f>"6532"</f>
        <v>6532</v>
      </c>
      <c r="B6536" t="str">
        <f t="shared" si="377"/>
        <v>1</v>
      </c>
      <c r="C6536" t="str">
        <f t="shared" si="378"/>
        <v>285</v>
      </c>
      <c r="D6536" t="str">
        <f>"19"</f>
        <v>19</v>
      </c>
      <c r="E6536" t="str">
        <f>"1-285-19"</f>
        <v>1-285-19</v>
      </c>
      <c r="F6536" t="s">
        <v>83</v>
      </c>
      <c r="G6536" t="s">
        <v>84</v>
      </c>
      <c r="H6536" t="s">
        <v>92</v>
      </c>
      <c r="I6536">
        <v>1</v>
      </c>
      <c r="J6536">
        <v>1</v>
      </c>
      <c r="N6536">
        <v>1</v>
      </c>
      <c r="O6536">
        <v>1</v>
      </c>
      <c r="P6536">
        <v>1</v>
      </c>
      <c r="Q6536">
        <v>1</v>
      </c>
      <c r="R6536">
        <v>1</v>
      </c>
      <c r="S6536">
        <v>1</v>
      </c>
      <c r="T6536">
        <v>1</v>
      </c>
      <c r="W6536">
        <v>1</v>
      </c>
      <c r="X6536">
        <v>1</v>
      </c>
      <c r="Y6536">
        <v>1</v>
      </c>
      <c r="Z6536">
        <v>1</v>
      </c>
      <c r="AA6536">
        <v>1</v>
      </c>
      <c r="AB6536">
        <v>1</v>
      </c>
    </row>
    <row r="6537" spans="1:49" x14ac:dyDescent="0.25">
      <c r="A6537" t="str">
        <f>"6533"</f>
        <v>6533</v>
      </c>
      <c r="B6537" t="str">
        <f t="shared" si="377"/>
        <v>1</v>
      </c>
      <c r="C6537" t="str">
        <f t="shared" si="378"/>
        <v>285</v>
      </c>
      <c r="D6537" t="str">
        <f>"7"</f>
        <v>7</v>
      </c>
      <c r="E6537" t="str">
        <f>"1-285-7"</f>
        <v>1-285-7</v>
      </c>
      <c r="F6537" t="s">
        <v>83</v>
      </c>
      <c r="G6537" t="s">
        <v>84</v>
      </c>
      <c r="H6537" t="s">
        <v>92</v>
      </c>
      <c r="I6537">
        <v>1</v>
      </c>
      <c r="J6537">
        <v>1</v>
      </c>
      <c r="N6537">
        <v>1</v>
      </c>
      <c r="O6537">
        <v>1</v>
      </c>
      <c r="P6537">
        <v>1</v>
      </c>
      <c r="Q6537">
        <v>1</v>
      </c>
      <c r="R6537">
        <v>1</v>
      </c>
      <c r="S6537">
        <v>1</v>
      </c>
      <c r="T6537">
        <v>1</v>
      </c>
      <c r="W6537">
        <v>1</v>
      </c>
      <c r="X6537">
        <v>1</v>
      </c>
      <c r="Y6537">
        <v>1</v>
      </c>
      <c r="Z6537">
        <v>1</v>
      </c>
      <c r="AA6537">
        <v>1</v>
      </c>
      <c r="AB6537">
        <v>1</v>
      </c>
    </row>
    <row r="6538" spans="1:49" x14ac:dyDescent="0.25">
      <c r="A6538" t="str">
        <f>"6534"</f>
        <v>6534</v>
      </c>
      <c r="B6538" t="str">
        <f t="shared" si="377"/>
        <v>1</v>
      </c>
      <c r="C6538" t="str">
        <f t="shared" ref="C6538:C6560" si="379">"286"</f>
        <v>286</v>
      </c>
      <c r="D6538" t="str">
        <f>"21"</f>
        <v>21</v>
      </c>
      <c r="E6538" t="str">
        <f>"1-286-21"</f>
        <v>1-286-21</v>
      </c>
      <c r="F6538" t="s">
        <v>83</v>
      </c>
      <c r="G6538" t="s">
        <v>84</v>
      </c>
      <c r="H6538" t="s">
        <v>85</v>
      </c>
      <c r="AC6538">
        <v>0</v>
      </c>
      <c r="AD6538">
        <v>1</v>
      </c>
      <c r="AE6538">
        <v>0</v>
      </c>
      <c r="AF6538">
        <v>0</v>
      </c>
      <c r="AG6538">
        <v>1</v>
      </c>
      <c r="AJ6538">
        <v>0</v>
      </c>
      <c r="AK6538">
        <v>1</v>
      </c>
      <c r="AL6538">
        <v>0</v>
      </c>
      <c r="AM6538">
        <v>0</v>
      </c>
      <c r="AN6538">
        <v>1</v>
      </c>
      <c r="AO6538">
        <v>1</v>
      </c>
      <c r="AP6538">
        <v>1</v>
      </c>
      <c r="AQ6538">
        <v>1</v>
      </c>
      <c r="AR6538">
        <v>1</v>
      </c>
      <c r="AS6538">
        <v>0</v>
      </c>
      <c r="AT6538">
        <v>1</v>
      </c>
      <c r="AV6538">
        <v>1</v>
      </c>
      <c r="AW6538">
        <v>1</v>
      </c>
    </row>
    <row r="6539" spans="1:49" x14ac:dyDescent="0.25">
      <c r="A6539" t="str">
        <f>"6535"</f>
        <v>6535</v>
      </c>
      <c r="B6539" t="str">
        <f t="shared" si="377"/>
        <v>1</v>
      </c>
      <c r="C6539" t="str">
        <f t="shared" si="379"/>
        <v>286</v>
      </c>
      <c r="D6539" t="str">
        <f>"20"</f>
        <v>20</v>
      </c>
      <c r="E6539" t="str">
        <f>"1-286-20"</f>
        <v>1-286-20</v>
      </c>
      <c r="F6539" t="s">
        <v>83</v>
      </c>
      <c r="G6539" t="s">
        <v>84</v>
      </c>
      <c r="H6539" t="s">
        <v>92</v>
      </c>
      <c r="I6539">
        <v>1</v>
      </c>
      <c r="J6539">
        <v>1</v>
      </c>
      <c r="N6539">
        <v>1</v>
      </c>
      <c r="O6539">
        <v>1</v>
      </c>
      <c r="P6539">
        <v>1</v>
      </c>
      <c r="Q6539">
        <v>1</v>
      </c>
      <c r="R6539">
        <v>1</v>
      </c>
      <c r="S6539">
        <v>1</v>
      </c>
      <c r="T6539">
        <v>1</v>
      </c>
      <c r="W6539">
        <v>1</v>
      </c>
      <c r="X6539">
        <v>1</v>
      </c>
      <c r="Y6539">
        <v>1</v>
      </c>
      <c r="Z6539">
        <v>1</v>
      </c>
      <c r="AA6539">
        <v>1</v>
      </c>
      <c r="AB6539">
        <v>1</v>
      </c>
    </row>
    <row r="6540" spans="1:49" x14ac:dyDescent="0.25">
      <c r="A6540" t="str">
        <f>"6536"</f>
        <v>6536</v>
      </c>
      <c r="B6540" t="str">
        <f t="shared" si="377"/>
        <v>1</v>
      </c>
      <c r="C6540" t="str">
        <f t="shared" si="379"/>
        <v>286</v>
      </c>
      <c r="D6540" t="str">
        <f>"13"</f>
        <v>13</v>
      </c>
      <c r="E6540" t="str">
        <f>"1-286-13"</f>
        <v>1-286-13</v>
      </c>
      <c r="F6540" t="s">
        <v>83</v>
      </c>
      <c r="G6540" t="s">
        <v>84</v>
      </c>
      <c r="H6540" t="s">
        <v>85</v>
      </c>
      <c r="AC6540">
        <v>1</v>
      </c>
      <c r="AD6540">
        <v>0</v>
      </c>
      <c r="AE6540">
        <v>0</v>
      </c>
      <c r="AF6540">
        <v>0</v>
      </c>
      <c r="AG6540">
        <v>1</v>
      </c>
      <c r="AJ6540">
        <v>1</v>
      </c>
      <c r="AK6540">
        <v>0</v>
      </c>
      <c r="AL6540">
        <v>0</v>
      </c>
      <c r="AM6540">
        <v>1</v>
      </c>
      <c r="AN6540">
        <v>0</v>
      </c>
      <c r="AO6540">
        <v>1</v>
      </c>
      <c r="AP6540">
        <v>1</v>
      </c>
      <c r="AQ6540">
        <v>1</v>
      </c>
      <c r="AR6540">
        <v>1</v>
      </c>
      <c r="AS6540">
        <v>0</v>
      </c>
      <c r="AT6540">
        <v>1</v>
      </c>
      <c r="AV6540">
        <v>1</v>
      </c>
      <c r="AW6540">
        <v>1</v>
      </c>
    </row>
    <row r="6541" spans="1:49" x14ac:dyDescent="0.25">
      <c r="A6541" t="str">
        <f>"6537"</f>
        <v>6537</v>
      </c>
      <c r="B6541" t="str">
        <f t="shared" si="377"/>
        <v>1</v>
      </c>
      <c r="C6541" t="str">
        <f t="shared" si="379"/>
        <v>286</v>
      </c>
      <c r="D6541" t="str">
        <f>"12"</f>
        <v>12</v>
      </c>
      <c r="E6541" t="str">
        <f>"1-286-12"</f>
        <v>1-286-12</v>
      </c>
      <c r="F6541" t="s">
        <v>83</v>
      </c>
      <c r="G6541" t="s">
        <v>84</v>
      </c>
      <c r="H6541" t="s">
        <v>92</v>
      </c>
      <c r="I6541">
        <v>1</v>
      </c>
      <c r="J6541">
        <v>1</v>
      </c>
      <c r="N6541">
        <v>1</v>
      </c>
      <c r="O6541">
        <v>1</v>
      </c>
      <c r="P6541">
        <v>1</v>
      </c>
      <c r="Q6541">
        <v>1</v>
      </c>
      <c r="R6541">
        <v>1</v>
      </c>
      <c r="S6541">
        <v>1</v>
      </c>
      <c r="T6541">
        <v>1</v>
      </c>
      <c r="W6541">
        <v>1</v>
      </c>
      <c r="X6541">
        <v>1</v>
      </c>
      <c r="Y6541">
        <v>1</v>
      </c>
      <c r="Z6541">
        <v>1</v>
      </c>
      <c r="AA6541">
        <v>1</v>
      </c>
      <c r="AB6541">
        <v>1</v>
      </c>
    </row>
    <row r="6542" spans="1:49" x14ac:dyDescent="0.25">
      <c r="A6542" t="str">
        <f>"6538"</f>
        <v>6538</v>
      </c>
      <c r="B6542" t="str">
        <f t="shared" si="377"/>
        <v>1</v>
      </c>
      <c r="C6542" t="str">
        <f t="shared" si="379"/>
        <v>286</v>
      </c>
      <c r="D6542" t="str">
        <f>"11"</f>
        <v>11</v>
      </c>
      <c r="E6542" t="str">
        <f>"1-286-11"</f>
        <v>1-286-11</v>
      </c>
      <c r="F6542" t="s">
        <v>83</v>
      </c>
      <c r="G6542" t="s">
        <v>84</v>
      </c>
      <c r="H6542" t="s">
        <v>92</v>
      </c>
      <c r="I6542">
        <v>1</v>
      </c>
      <c r="J6542">
        <v>1</v>
      </c>
      <c r="N6542">
        <v>1</v>
      </c>
      <c r="O6542">
        <v>1</v>
      </c>
      <c r="P6542">
        <v>1</v>
      </c>
      <c r="Q6542">
        <v>1</v>
      </c>
      <c r="R6542">
        <v>1</v>
      </c>
      <c r="S6542">
        <v>1</v>
      </c>
      <c r="T6542">
        <v>1</v>
      </c>
      <c r="W6542">
        <v>1</v>
      </c>
      <c r="X6542">
        <v>1</v>
      </c>
      <c r="Y6542">
        <v>1</v>
      </c>
      <c r="Z6542">
        <v>1</v>
      </c>
      <c r="AA6542">
        <v>1</v>
      </c>
      <c r="AB6542">
        <v>1</v>
      </c>
    </row>
    <row r="6543" spans="1:49" x14ac:dyDescent="0.25">
      <c r="A6543" t="str">
        <f>"6539"</f>
        <v>6539</v>
      </c>
      <c r="B6543" t="str">
        <f t="shared" si="377"/>
        <v>1</v>
      </c>
      <c r="C6543" t="str">
        <f t="shared" si="379"/>
        <v>286</v>
      </c>
      <c r="D6543" t="str">
        <f>"8"</f>
        <v>8</v>
      </c>
      <c r="E6543" t="str">
        <f>"1-286-8"</f>
        <v>1-286-8</v>
      </c>
      <c r="F6543" t="s">
        <v>83</v>
      </c>
      <c r="G6543" t="s">
        <v>84</v>
      </c>
      <c r="H6543" t="s">
        <v>85</v>
      </c>
      <c r="AC6543">
        <v>0</v>
      </c>
      <c r="AD6543">
        <v>1</v>
      </c>
      <c r="AE6543">
        <v>0</v>
      </c>
      <c r="AF6543">
        <v>0</v>
      </c>
      <c r="AG6543">
        <v>0</v>
      </c>
      <c r="AJ6543">
        <v>0</v>
      </c>
      <c r="AK6543">
        <v>1</v>
      </c>
      <c r="AL6543">
        <v>0</v>
      </c>
      <c r="AM6543">
        <v>1</v>
      </c>
      <c r="AN6543">
        <v>0</v>
      </c>
      <c r="AO6543">
        <v>1</v>
      </c>
      <c r="AP6543">
        <v>1</v>
      </c>
      <c r="AQ6543">
        <v>1</v>
      </c>
      <c r="AR6543">
        <v>1</v>
      </c>
      <c r="AS6543">
        <v>0</v>
      </c>
      <c r="AT6543">
        <v>1</v>
      </c>
      <c r="AV6543">
        <v>1</v>
      </c>
      <c r="AW6543">
        <v>1</v>
      </c>
    </row>
    <row r="6544" spans="1:49" x14ac:dyDescent="0.25">
      <c r="A6544" t="str">
        <f>"6540"</f>
        <v>6540</v>
      </c>
      <c r="B6544" t="str">
        <f t="shared" si="377"/>
        <v>1</v>
      </c>
      <c r="C6544" t="str">
        <f t="shared" si="379"/>
        <v>286</v>
      </c>
      <c r="D6544" t="str">
        <f>"1"</f>
        <v>1</v>
      </c>
      <c r="E6544" t="str">
        <f>"1-286-1"</f>
        <v>1-286-1</v>
      </c>
      <c r="F6544" t="s">
        <v>83</v>
      </c>
      <c r="G6544" t="s">
        <v>84</v>
      </c>
      <c r="H6544" t="s">
        <v>85</v>
      </c>
      <c r="AC6544">
        <v>1</v>
      </c>
      <c r="AD6544">
        <v>0</v>
      </c>
      <c r="AE6544">
        <v>0</v>
      </c>
      <c r="AF6544">
        <v>0</v>
      </c>
      <c r="AG6544">
        <v>1</v>
      </c>
      <c r="AJ6544">
        <v>1</v>
      </c>
      <c r="AK6544">
        <v>0</v>
      </c>
      <c r="AL6544">
        <v>1</v>
      </c>
      <c r="AM6544">
        <v>0</v>
      </c>
      <c r="AN6544">
        <v>0</v>
      </c>
      <c r="AO6544">
        <v>1</v>
      </c>
      <c r="AP6544">
        <v>1</v>
      </c>
      <c r="AQ6544">
        <v>1</v>
      </c>
      <c r="AR6544">
        <v>1</v>
      </c>
      <c r="AS6544">
        <v>1</v>
      </c>
      <c r="AT6544">
        <v>0</v>
      </c>
      <c r="AV6544">
        <v>1</v>
      </c>
      <c r="AW6544">
        <v>1</v>
      </c>
    </row>
    <row r="6545" spans="1:49" x14ac:dyDescent="0.25">
      <c r="A6545" t="str">
        <f>"6541"</f>
        <v>6541</v>
      </c>
      <c r="B6545" t="str">
        <f t="shared" si="377"/>
        <v>1</v>
      </c>
      <c r="C6545" t="str">
        <f t="shared" si="379"/>
        <v>286</v>
      </c>
      <c r="D6545" t="str">
        <f>"17"</f>
        <v>17</v>
      </c>
      <c r="E6545" t="str">
        <f>"1-286-17"</f>
        <v>1-286-17</v>
      </c>
      <c r="F6545" t="s">
        <v>83</v>
      </c>
      <c r="G6545" t="s">
        <v>84</v>
      </c>
      <c r="H6545" t="s">
        <v>85</v>
      </c>
      <c r="AC6545">
        <v>0</v>
      </c>
      <c r="AD6545">
        <v>1</v>
      </c>
      <c r="AE6545">
        <v>0</v>
      </c>
      <c r="AF6545">
        <v>0</v>
      </c>
      <c r="AG6545">
        <v>0</v>
      </c>
      <c r="AJ6545">
        <v>0</v>
      </c>
      <c r="AK6545">
        <v>1</v>
      </c>
      <c r="AL6545">
        <v>0</v>
      </c>
      <c r="AM6545">
        <v>0</v>
      </c>
      <c r="AN6545">
        <v>1</v>
      </c>
      <c r="AO6545">
        <v>0</v>
      </c>
      <c r="AP6545">
        <v>0</v>
      </c>
      <c r="AQ6545">
        <v>0</v>
      </c>
      <c r="AR6545">
        <v>0</v>
      </c>
      <c r="AS6545">
        <v>1</v>
      </c>
      <c r="AT6545">
        <v>0</v>
      </c>
      <c r="AV6545">
        <v>0</v>
      </c>
      <c r="AW6545">
        <v>0</v>
      </c>
    </row>
    <row r="6546" spans="1:49" x14ac:dyDescent="0.25">
      <c r="A6546" t="str">
        <f>"6542"</f>
        <v>6542</v>
      </c>
      <c r="B6546" t="str">
        <f t="shared" si="377"/>
        <v>1</v>
      </c>
      <c r="C6546" t="str">
        <f t="shared" si="379"/>
        <v>286</v>
      </c>
      <c r="D6546" t="str">
        <f>"9"</f>
        <v>9</v>
      </c>
      <c r="E6546" t="str">
        <f>"1-286-9"</f>
        <v>1-286-9</v>
      </c>
      <c r="F6546" t="s">
        <v>83</v>
      </c>
      <c r="G6546" t="s">
        <v>84</v>
      </c>
      <c r="H6546" t="s">
        <v>85</v>
      </c>
      <c r="AC6546">
        <v>0</v>
      </c>
      <c r="AD6546">
        <v>1</v>
      </c>
      <c r="AE6546">
        <v>0</v>
      </c>
      <c r="AF6546">
        <v>0</v>
      </c>
      <c r="AG6546">
        <v>1</v>
      </c>
      <c r="AJ6546">
        <v>0</v>
      </c>
      <c r="AK6546">
        <v>1</v>
      </c>
      <c r="AL6546">
        <v>0</v>
      </c>
      <c r="AM6546">
        <v>0</v>
      </c>
      <c r="AN6546">
        <v>1</v>
      </c>
      <c r="AO6546">
        <v>1</v>
      </c>
      <c r="AP6546">
        <v>1</v>
      </c>
      <c r="AQ6546">
        <v>1</v>
      </c>
      <c r="AR6546">
        <v>1</v>
      </c>
      <c r="AS6546">
        <v>0</v>
      </c>
      <c r="AT6546">
        <v>1</v>
      </c>
      <c r="AV6546">
        <v>1</v>
      </c>
      <c r="AW6546">
        <v>1</v>
      </c>
    </row>
    <row r="6547" spans="1:49" x14ac:dyDescent="0.25">
      <c r="A6547" t="str">
        <f>"6543"</f>
        <v>6543</v>
      </c>
      <c r="B6547" t="str">
        <f t="shared" si="377"/>
        <v>1</v>
      </c>
      <c r="C6547" t="str">
        <f t="shared" si="379"/>
        <v>286</v>
      </c>
      <c r="D6547" t="str">
        <f>"6"</f>
        <v>6</v>
      </c>
      <c r="E6547" t="str">
        <f>"1-286-6"</f>
        <v>1-286-6</v>
      </c>
      <c r="F6547" t="s">
        <v>83</v>
      </c>
      <c r="G6547" t="s">
        <v>84</v>
      </c>
      <c r="H6547" t="s">
        <v>92</v>
      </c>
      <c r="I6547">
        <v>1</v>
      </c>
      <c r="J6547">
        <v>1</v>
      </c>
      <c r="N6547">
        <v>1</v>
      </c>
      <c r="O6547">
        <v>1</v>
      </c>
      <c r="P6547">
        <v>1</v>
      </c>
      <c r="Q6547">
        <v>1</v>
      </c>
      <c r="R6547">
        <v>1</v>
      </c>
      <c r="S6547">
        <v>1</v>
      </c>
      <c r="T6547">
        <v>1</v>
      </c>
      <c r="W6547">
        <v>1</v>
      </c>
      <c r="X6547">
        <v>1</v>
      </c>
      <c r="Y6547">
        <v>1</v>
      </c>
      <c r="Z6547">
        <v>1</v>
      </c>
      <c r="AA6547">
        <v>1</v>
      </c>
      <c r="AB6547">
        <v>1</v>
      </c>
    </row>
    <row r="6548" spans="1:49" x14ac:dyDescent="0.25">
      <c r="A6548" t="str">
        <f>"6544"</f>
        <v>6544</v>
      </c>
      <c r="B6548" t="str">
        <f t="shared" si="377"/>
        <v>1</v>
      </c>
      <c r="C6548" t="str">
        <f t="shared" si="379"/>
        <v>286</v>
      </c>
      <c r="D6548" t="str">
        <f>"23"</f>
        <v>23</v>
      </c>
      <c r="E6548" t="str">
        <f>"1-286-23"</f>
        <v>1-286-23</v>
      </c>
      <c r="F6548" t="s">
        <v>83</v>
      </c>
      <c r="G6548" t="s">
        <v>84</v>
      </c>
      <c r="H6548" t="s">
        <v>85</v>
      </c>
      <c r="AC6548">
        <v>1</v>
      </c>
      <c r="AD6548">
        <v>0</v>
      </c>
      <c r="AE6548">
        <v>0</v>
      </c>
      <c r="AF6548">
        <v>0</v>
      </c>
      <c r="AG6548">
        <v>1</v>
      </c>
      <c r="AJ6548">
        <v>0</v>
      </c>
      <c r="AK6548">
        <v>1</v>
      </c>
      <c r="AL6548">
        <v>1</v>
      </c>
      <c r="AM6548">
        <v>0</v>
      </c>
      <c r="AN6548">
        <v>0</v>
      </c>
      <c r="AO6548">
        <v>1</v>
      </c>
      <c r="AP6548">
        <v>1</v>
      </c>
      <c r="AQ6548">
        <v>1</v>
      </c>
      <c r="AR6548">
        <v>1</v>
      </c>
      <c r="AS6548">
        <v>0</v>
      </c>
      <c r="AT6548">
        <v>1</v>
      </c>
      <c r="AV6548">
        <v>1</v>
      </c>
      <c r="AW6548">
        <v>1</v>
      </c>
    </row>
    <row r="6549" spans="1:49" x14ac:dyDescent="0.25">
      <c r="A6549" t="str">
        <f>"6545"</f>
        <v>6545</v>
      </c>
      <c r="B6549" t="str">
        <f t="shared" si="377"/>
        <v>1</v>
      </c>
      <c r="C6549" t="str">
        <f t="shared" si="379"/>
        <v>286</v>
      </c>
      <c r="D6549" t="str">
        <f>"22"</f>
        <v>22</v>
      </c>
      <c r="E6549" t="str">
        <f>"1-286-22"</f>
        <v>1-286-22</v>
      </c>
      <c r="F6549" t="s">
        <v>83</v>
      </c>
      <c r="G6549" t="s">
        <v>84</v>
      </c>
      <c r="H6549" t="s">
        <v>92</v>
      </c>
      <c r="I6549">
        <v>1</v>
      </c>
      <c r="J6549">
        <v>0</v>
      </c>
      <c r="N6549">
        <v>1</v>
      </c>
      <c r="O6549">
        <v>1</v>
      </c>
      <c r="P6549">
        <v>1</v>
      </c>
      <c r="Q6549">
        <v>1</v>
      </c>
      <c r="R6549">
        <v>1</v>
      </c>
      <c r="S6549">
        <v>1</v>
      </c>
      <c r="T6549">
        <v>1</v>
      </c>
      <c r="W6549">
        <v>1</v>
      </c>
      <c r="X6549">
        <v>1</v>
      </c>
      <c r="Y6549">
        <v>1</v>
      </c>
      <c r="Z6549">
        <v>1</v>
      </c>
      <c r="AA6549">
        <v>1</v>
      </c>
      <c r="AB6549">
        <v>1</v>
      </c>
    </row>
    <row r="6550" spans="1:49" x14ac:dyDescent="0.25">
      <c r="A6550" t="str">
        <f>"6546"</f>
        <v>6546</v>
      </c>
      <c r="B6550" t="str">
        <f t="shared" si="377"/>
        <v>1</v>
      </c>
      <c r="C6550" t="str">
        <f t="shared" si="379"/>
        <v>286</v>
      </c>
      <c r="D6550" t="str">
        <f>"16"</f>
        <v>16</v>
      </c>
      <c r="E6550" t="str">
        <f>"1-286-16"</f>
        <v>1-286-16</v>
      </c>
      <c r="F6550" t="s">
        <v>83</v>
      </c>
      <c r="G6550" t="s">
        <v>84</v>
      </c>
      <c r="H6550" t="s">
        <v>92</v>
      </c>
      <c r="I6550">
        <v>1</v>
      </c>
      <c r="J6550">
        <v>1</v>
      </c>
      <c r="N6550">
        <v>1</v>
      </c>
      <c r="O6550">
        <v>1</v>
      </c>
      <c r="P6550">
        <v>1</v>
      </c>
      <c r="Q6550">
        <v>1</v>
      </c>
      <c r="R6550">
        <v>1</v>
      </c>
      <c r="S6550">
        <v>1</v>
      </c>
      <c r="T6550">
        <v>1</v>
      </c>
      <c r="W6550">
        <v>1</v>
      </c>
      <c r="X6550">
        <v>1</v>
      </c>
      <c r="Y6550">
        <v>1</v>
      </c>
      <c r="Z6550">
        <v>1</v>
      </c>
      <c r="AA6550">
        <v>1</v>
      </c>
      <c r="AB6550">
        <v>1</v>
      </c>
    </row>
    <row r="6551" spans="1:49" x14ac:dyDescent="0.25">
      <c r="A6551" t="str">
        <f>"6547"</f>
        <v>6547</v>
      </c>
      <c r="B6551" t="str">
        <f t="shared" si="377"/>
        <v>1</v>
      </c>
      <c r="C6551" t="str">
        <f t="shared" si="379"/>
        <v>286</v>
      </c>
      <c r="D6551" t="str">
        <f>"10"</f>
        <v>10</v>
      </c>
      <c r="E6551" t="str">
        <f>"1-286-10"</f>
        <v>1-286-10</v>
      </c>
      <c r="F6551" t="s">
        <v>83</v>
      </c>
      <c r="G6551" t="s">
        <v>84</v>
      </c>
      <c r="H6551" t="s">
        <v>85</v>
      </c>
      <c r="AC6551">
        <v>0</v>
      </c>
      <c r="AD6551">
        <v>1</v>
      </c>
      <c r="AE6551">
        <v>0</v>
      </c>
      <c r="AF6551">
        <v>0</v>
      </c>
      <c r="AG6551">
        <v>1</v>
      </c>
      <c r="AJ6551">
        <v>0</v>
      </c>
      <c r="AK6551">
        <v>1</v>
      </c>
      <c r="AL6551">
        <v>0</v>
      </c>
      <c r="AM6551">
        <v>1</v>
      </c>
      <c r="AN6551">
        <v>0</v>
      </c>
      <c r="AO6551">
        <v>1</v>
      </c>
      <c r="AP6551">
        <v>1</v>
      </c>
      <c r="AQ6551">
        <v>1</v>
      </c>
      <c r="AR6551">
        <v>1</v>
      </c>
      <c r="AS6551">
        <v>0</v>
      </c>
      <c r="AT6551">
        <v>1</v>
      </c>
      <c r="AV6551">
        <v>1</v>
      </c>
      <c r="AW6551">
        <v>1</v>
      </c>
    </row>
    <row r="6552" spans="1:49" x14ac:dyDescent="0.25">
      <c r="A6552" t="str">
        <f>"6548"</f>
        <v>6548</v>
      </c>
      <c r="B6552" t="str">
        <f t="shared" si="377"/>
        <v>1</v>
      </c>
      <c r="C6552" t="str">
        <f t="shared" si="379"/>
        <v>286</v>
      </c>
      <c r="D6552" t="str">
        <f>"4"</f>
        <v>4</v>
      </c>
      <c r="E6552" t="str">
        <f>"1-286-4"</f>
        <v>1-286-4</v>
      </c>
      <c r="F6552" t="s">
        <v>83</v>
      </c>
      <c r="G6552" t="s">
        <v>84</v>
      </c>
      <c r="H6552" t="s">
        <v>92</v>
      </c>
      <c r="I6552">
        <v>1</v>
      </c>
      <c r="J6552">
        <v>1</v>
      </c>
      <c r="N6552">
        <v>1</v>
      </c>
      <c r="O6552">
        <v>1</v>
      </c>
      <c r="P6552">
        <v>1</v>
      </c>
      <c r="Q6552">
        <v>1</v>
      </c>
      <c r="R6552">
        <v>1</v>
      </c>
      <c r="S6552">
        <v>1</v>
      </c>
      <c r="T6552">
        <v>1</v>
      </c>
      <c r="W6552">
        <v>1</v>
      </c>
      <c r="X6552">
        <v>1</v>
      </c>
      <c r="Y6552">
        <v>1</v>
      </c>
      <c r="Z6552">
        <v>1</v>
      </c>
      <c r="AA6552">
        <v>1</v>
      </c>
      <c r="AB6552">
        <v>1</v>
      </c>
    </row>
    <row r="6553" spans="1:49" x14ac:dyDescent="0.25">
      <c r="A6553" t="str">
        <f>"6549"</f>
        <v>6549</v>
      </c>
      <c r="B6553" t="str">
        <f t="shared" si="377"/>
        <v>1</v>
      </c>
      <c r="C6553" t="str">
        <f t="shared" si="379"/>
        <v>286</v>
      </c>
      <c r="D6553" t="str">
        <f>"14"</f>
        <v>14</v>
      </c>
      <c r="E6553" t="str">
        <f>"1-286-14"</f>
        <v>1-286-14</v>
      </c>
      <c r="F6553" t="s">
        <v>83</v>
      </c>
      <c r="G6553" t="s">
        <v>84</v>
      </c>
      <c r="H6553" t="s">
        <v>92</v>
      </c>
      <c r="I6553">
        <v>1</v>
      </c>
      <c r="J6553">
        <v>1</v>
      </c>
      <c r="N6553">
        <v>1</v>
      </c>
      <c r="O6553">
        <v>1</v>
      </c>
      <c r="P6553">
        <v>1</v>
      </c>
      <c r="Q6553">
        <v>1</v>
      </c>
      <c r="R6553">
        <v>1</v>
      </c>
      <c r="S6553">
        <v>1</v>
      </c>
      <c r="T6553">
        <v>1</v>
      </c>
      <c r="W6553">
        <v>1</v>
      </c>
      <c r="X6553">
        <v>0</v>
      </c>
      <c r="Y6553">
        <v>0</v>
      </c>
      <c r="Z6553">
        <v>0</v>
      </c>
      <c r="AA6553">
        <v>0</v>
      </c>
      <c r="AB6553">
        <v>0</v>
      </c>
    </row>
    <row r="6554" spans="1:49" x14ac:dyDescent="0.25">
      <c r="A6554" t="str">
        <f>"6550"</f>
        <v>6550</v>
      </c>
      <c r="B6554" t="str">
        <f t="shared" si="377"/>
        <v>1</v>
      </c>
      <c r="C6554" t="str">
        <f t="shared" si="379"/>
        <v>286</v>
      </c>
      <c r="D6554" t="str">
        <f>"5"</f>
        <v>5</v>
      </c>
      <c r="E6554" t="str">
        <f>"1-286-5"</f>
        <v>1-286-5</v>
      </c>
      <c r="F6554" t="s">
        <v>83</v>
      </c>
      <c r="G6554" t="s">
        <v>84</v>
      </c>
      <c r="H6554" t="s">
        <v>85</v>
      </c>
      <c r="AC6554">
        <v>1</v>
      </c>
      <c r="AD6554">
        <v>0</v>
      </c>
      <c r="AE6554">
        <v>0</v>
      </c>
      <c r="AF6554">
        <v>0</v>
      </c>
      <c r="AG6554">
        <v>1</v>
      </c>
      <c r="AJ6554">
        <v>0</v>
      </c>
      <c r="AK6554">
        <v>1</v>
      </c>
      <c r="AL6554">
        <v>1</v>
      </c>
      <c r="AM6554">
        <v>0</v>
      </c>
      <c r="AN6554">
        <v>0</v>
      </c>
      <c r="AO6554">
        <v>1</v>
      </c>
      <c r="AP6554">
        <v>1</v>
      </c>
      <c r="AQ6554">
        <v>1</v>
      </c>
      <c r="AR6554">
        <v>1</v>
      </c>
      <c r="AS6554">
        <v>0</v>
      </c>
      <c r="AT6554">
        <v>1</v>
      </c>
      <c r="AV6554">
        <v>1</v>
      </c>
      <c r="AW6554">
        <v>1</v>
      </c>
    </row>
    <row r="6555" spans="1:49" x14ac:dyDescent="0.25">
      <c r="A6555" t="str">
        <f>"6551"</f>
        <v>6551</v>
      </c>
      <c r="B6555" t="str">
        <f t="shared" si="377"/>
        <v>1</v>
      </c>
      <c r="C6555" t="str">
        <f t="shared" si="379"/>
        <v>286</v>
      </c>
      <c r="D6555" t="str">
        <f>"15"</f>
        <v>15</v>
      </c>
      <c r="E6555" t="str">
        <f>"1-286-15"</f>
        <v>1-286-15</v>
      </c>
      <c r="F6555" t="s">
        <v>83</v>
      </c>
      <c r="G6555" t="s">
        <v>84</v>
      </c>
      <c r="H6555" t="s">
        <v>92</v>
      </c>
      <c r="I6555">
        <v>1</v>
      </c>
      <c r="J6555">
        <v>1</v>
      </c>
      <c r="N6555">
        <v>1</v>
      </c>
      <c r="O6555">
        <v>1</v>
      </c>
      <c r="P6555">
        <v>1</v>
      </c>
      <c r="Q6555">
        <v>1</v>
      </c>
      <c r="R6555">
        <v>1</v>
      </c>
      <c r="S6555">
        <v>1</v>
      </c>
      <c r="T6555">
        <v>1</v>
      </c>
      <c r="W6555">
        <v>1</v>
      </c>
      <c r="X6555">
        <v>1</v>
      </c>
      <c r="Y6555">
        <v>1</v>
      </c>
      <c r="Z6555">
        <v>1</v>
      </c>
      <c r="AA6555">
        <v>1</v>
      </c>
      <c r="AB6555">
        <v>1</v>
      </c>
    </row>
    <row r="6556" spans="1:49" x14ac:dyDescent="0.25">
      <c r="A6556" t="str">
        <f>"6552"</f>
        <v>6552</v>
      </c>
      <c r="B6556" t="str">
        <f t="shared" si="377"/>
        <v>1</v>
      </c>
      <c r="C6556" t="str">
        <f t="shared" si="379"/>
        <v>286</v>
      </c>
      <c r="D6556" t="str">
        <f>"2"</f>
        <v>2</v>
      </c>
      <c r="E6556" t="str">
        <f>"1-286-2"</f>
        <v>1-286-2</v>
      </c>
      <c r="F6556" t="s">
        <v>83</v>
      </c>
      <c r="G6556" t="s">
        <v>84</v>
      </c>
      <c r="H6556" t="s">
        <v>85</v>
      </c>
      <c r="AC6556">
        <v>0</v>
      </c>
      <c r="AD6556">
        <v>1</v>
      </c>
      <c r="AE6556">
        <v>0</v>
      </c>
      <c r="AF6556">
        <v>0</v>
      </c>
      <c r="AG6556">
        <v>0</v>
      </c>
      <c r="AJ6556">
        <v>1</v>
      </c>
      <c r="AK6556">
        <v>0</v>
      </c>
      <c r="AL6556">
        <v>0</v>
      </c>
      <c r="AM6556">
        <v>1</v>
      </c>
      <c r="AN6556">
        <v>0</v>
      </c>
      <c r="AO6556">
        <v>1</v>
      </c>
      <c r="AP6556">
        <v>1</v>
      </c>
      <c r="AQ6556">
        <v>1</v>
      </c>
      <c r="AR6556">
        <v>1</v>
      </c>
      <c r="AS6556">
        <v>1</v>
      </c>
      <c r="AT6556">
        <v>0</v>
      </c>
      <c r="AV6556">
        <v>1</v>
      </c>
      <c r="AW6556">
        <v>1</v>
      </c>
    </row>
    <row r="6557" spans="1:49" x14ac:dyDescent="0.25">
      <c r="A6557" t="str">
        <f>"6553"</f>
        <v>6553</v>
      </c>
      <c r="B6557" t="str">
        <f t="shared" si="377"/>
        <v>1</v>
      </c>
      <c r="C6557" t="str">
        <f t="shared" si="379"/>
        <v>286</v>
      </c>
      <c r="D6557" t="str">
        <f>"18"</f>
        <v>18</v>
      </c>
      <c r="E6557" t="str">
        <f>"1-286-18"</f>
        <v>1-286-18</v>
      </c>
      <c r="F6557" t="s">
        <v>83</v>
      </c>
      <c r="G6557" t="s">
        <v>84</v>
      </c>
      <c r="H6557" t="s">
        <v>85</v>
      </c>
      <c r="AC6557">
        <v>1</v>
      </c>
      <c r="AD6557">
        <v>0</v>
      </c>
      <c r="AE6557">
        <v>0</v>
      </c>
      <c r="AF6557">
        <v>0</v>
      </c>
      <c r="AG6557">
        <v>1</v>
      </c>
      <c r="AJ6557">
        <v>1</v>
      </c>
      <c r="AK6557">
        <v>0</v>
      </c>
      <c r="AL6557">
        <v>1</v>
      </c>
      <c r="AM6557">
        <v>0</v>
      </c>
      <c r="AN6557">
        <v>0</v>
      </c>
      <c r="AO6557">
        <v>0</v>
      </c>
      <c r="AP6557">
        <v>1</v>
      </c>
      <c r="AQ6557">
        <v>1</v>
      </c>
      <c r="AR6557">
        <v>1</v>
      </c>
      <c r="AS6557">
        <v>1</v>
      </c>
      <c r="AT6557">
        <v>0</v>
      </c>
      <c r="AV6557">
        <v>1</v>
      </c>
      <c r="AW6557">
        <v>1</v>
      </c>
    </row>
    <row r="6558" spans="1:49" x14ac:dyDescent="0.25">
      <c r="A6558" t="str">
        <f>"6554"</f>
        <v>6554</v>
      </c>
      <c r="B6558" t="str">
        <f t="shared" ref="B6558:B6621" si="380">"1"</f>
        <v>1</v>
      </c>
      <c r="C6558" t="str">
        <f t="shared" si="379"/>
        <v>286</v>
      </c>
      <c r="D6558" t="str">
        <f>"7"</f>
        <v>7</v>
      </c>
      <c r="E6558" t="str">
        <f>"1-286-7"</f>
        <v>1-286-7</v>
      </c>
      <c r="F6558" t="s">
        <v>83</v>
      </c>
      <c r="G6558" t="s">
        <v>84</v>
      </c>
      <c r="H6558" t="s">
        <v>92</v>
      </c>
      <c r="I6558">
        <v>1</v>
      </c>
      <c r="J6558">
        <v>1</v>
      </c>
      <c r="N6558">
        <v>1</v>
      </c>
      <c r="O6558">
        <v>1</v>
      </c>
      <c r="P6558">
        <v>1</v>
      </c>
      <c r="Q6558">
        <v>1</v>
      </c>
      <c r="R6558">
        <v>1</v>
      </c>
      <c r="S6558">
        <v>1</v>
      </c>
      <c r="T6558">
        <v>1</v>
      </c>
      <c r="W6558">
        <v>1</v>
      </c>
      <c r="X6558">
        <v>1</v>
      </c>
      <c r="Y6558">
        <v>1</v>
      </c>
      <c r="Z6558">
        <v>1</v>
      </c>
      <c r="AA6558">
        <v>1</v>
      </c>
      <c r="AB6558">
        <v>1</v>
      </c>
    </row>
    <row r="6559" spans="1:49" x14ac:dyDescent="0.25">
      <c r="A6559" t="str">
        <f>"6555"</f>
        <v>6555</v>
      </c>
      <c r="B6559" t="str">
        <f t="shared" si="380"/>
        <v>1</v>
      </c>
      <c r="C6559" t="str">
        <f t="shared" si="379"/>
        <v>286</v>
      </c>
      <c r="D6559" t="str">
        <f>"19"</f>
        <v>19</v>
      </c>
      <c r="E6559" t="str">
        <f>"1-286-19"</f>
        <v>1-286-19</v>
      </c>
      <c r="F6559" t="s">
        <v>83</v>
      </c>
      <c r="G6559" t="s">
        <v>84</v>
      </c>
      <c r="H6559" t="s">
        <v>85</v>
      </c>
      <c r="AC6559">
        <v>1</v>
      </c>
      <c r="AD6559">
        <v>0</v>
      </c>
      <c r="AE6559">
        <v>0</v>
      </c>
      <c r="AF6559">
        <v>0</v>
      </c>
      <c r="AG6559">
        <v>1</v>
      </c>
      <c r="AJ6559">
        <v>1</v>
      </c>
      <c r="AK6559">
        <v>0</v>
      </c>
      <c r="AL6559">
        <v>1</v>
      </c>
      <c r="AM6559">
        <v>0</v>
      </c>
      <c r="AN6559">
        <v>0</v>
      </c>
      <c r="AO6559">
        <v>1</v>
      </c>
      <c r="AP6559">
        <v>1</v>
      </c>
      <c r="AQ6559">
        <v>1</v>
      </c>
      <c r="AR6559">
        <v>1</v>
      </c>
      <c r="AS6559">
        <v>1</v>
      </c>
      <c r="AT6559">
        <v>0</v>
      </c>
      <c r="AV6559">
        <v>1</v>
      </c>
      <c r="AW6559">
        <v>1</v>
      </c>
    </row>
    <row r="6560" spans="1:49" x14ac:dyDescent="0.25">
      <c r="A6560" t="str">
        <f>"6556"</f>
        <v>6556</v>
      </c>
      <c r="B6560" t="str">
        <f t="shared" si="380"/>
        <v>1</v>
      </c>
      <c r="C6560" t="str">
        <f t="shared" si="379"/>
        <v>286</v>
      </c>
      <c r="D6560" t="str">
        <f>"3"</f>
        <v>3</v>
      </c>
      <c r="E6560" t="str">
        <f>"1-286-3"</f>
        <v>1-286-3</v>
      </c>
      <c r="F6560" t="s">
        <v>83</v>
      </c>
      <c r="G6560" t="s">
        <v>84</v>
      </c>
      <c r="H6560" t="s">
        <v>85</v>
      </c>
      <c r="AC6560">
        <v>0</v>
      </c>
      <c r="AD6560">
        <v>1</v>
      </c>
      <c r="AE6560">
        <v>0</v>
      </c>
      <c r="AF6560">
        <v>0</v>
      </c>
      <c r="AG6560">
        <v>0</v>
      </c>
      <c r="AJ6560">
        <v>0</v>
      </c>
      <c r="AK6560">
        <v>1</v>
      </c>
      <c r="AL6560">
        <v>0</v>
      </c>
      <c r="AM6560">
        <v>0</v>
      </c>
      <c r="AN6560">
        <v>1</v>
      </c>
      <c r="AO6560">
        <v>0</v>
      </c>
      <c r="AP6560">
        <v>0</v>
      </c>
      <c r="AQ6560">
        <v>0</v>
      </c>
      <c r="AR6560">
        <v>0</v>
      </c>
      <c r="AS6560">
        <v>0</v>
      </c>
      <c r="AT6560">
        <v>1</v>
      </c>
      <c r="AV6560">
        <v>0</v>
      </c>
      <c r="AW6560">
        <v>1</v>
      </c>
    </row>
    <row r="6561" spans="1:49" x14ac:dyDescent="0.25">
      <c r="A6561" t="str">
        <f>"6557"</f>
        <v>6557</v>
      </c>
      <c r="B6561" t="str">
        <f t="shared" si="380"/>
        <v>1</v>
      </c>
      <c r="C6561" t="str">
        <f t="shared" ref="C6561:C6585" si="381">"287"</f>
        <v>287</v>
      </c>
      <c r="D6561" t="str">
        <f>"23"</f>
        <v>23</v>
      </c>
      <c r="E6561" t="str">
        <f>"1-287-23"</f>
        <v>1-287-23</v>
      </c>
      <c r="F6561" t="s">
        <v>83</v>
      </c>
      <c r="G6561" t="s">
        <v>84</v>
      </c>
      <c r="H6561" t="s">
        <v>92</v>
      </c>
      <c r="I6561">
        <v>1</v>
      </c>
      <c r="J6561">
        <v>1</v>
      </c>
      <c r="N6561">
        <v>1</v>
      </c>
      <c r="O6561">
        <v>1</v>
      </c>
      <c r="P6561">
        <v>1</v>
      </c>
      <c r="Q6561">
        <v>1</v>
      </c>
      <c r="R6561">
        <v>1</v>
      </c>
      <c r="S6561">
        <v>1</v>
      </c>
      <c r="T6561">
        <v>1</v>
      </c>
      <c r="W6561">
        <v>1</v>
      </c>
      <c r="X6561">
        <v>1</v>
      </c>
      <c r="Y6561">
        <v>1</v>
      </c>
      <c r="Z6561">
        <v>1</v>
      </c>
      <c r="AA6561">
        <v>1</v>
      </c>
      <c r="AB6561">
        <v>1</v>
      </c>
    </row>
    <row r="6562" spans="1:49" x14ac:dyDescent="0.25">
      <c r="A6562" t="str">
        <f>"6558"</f>
        <v>6558</v>
      </c>
      <c r="B6562" t="str">
        <f t="shared" si="380"/>
        <v>1</v>
      </c>
      <c r="C6562" t="str">
        <f t="shared" si="381"/>
        <v>287</v>
      </c>
      <c r="D6562" t="str">
        <f>"22"</f>
        <v>22</v>
      </c>
      <c r="E6562" t="str">
        <f>"1-287-22"</f>
        <v>1-287-22</v>
      </c>
      <c r="F6562" t="s">
        <v>83</v>
      </c>
      <c r="G6562" t="s">
        <v>84</v>
      </c>
      <c r="H6562" t="s">
        <v>92</v>
      </c>
      <c r="I6562">
        <v>1</v>
      </c>
      <c r="J6562">
        <v>1</v>
      </c>
      <c r="N6562">
        <v>1</v>
      </c>
      <c r="O6562">
        <v>1</v>
      </c>
      <c r="P6562">
        <v>1</v>
      </c>
      <c r="Q6562">
        <v>1</v>
      </c>
      <c r="R6562">
        <v>1</v>
      </c>
      <c r="S6562">
        <v>1</v>
      </c>
      <c r="T6562">
        <v>1</v>
      </c>
      <c r="W6562">
        <v>1</v>
      </c>
      <c r="X6562">
        <v>1</v>
      </c>
      <c r="Y6562">
        <v>1</v>
      </c>
      <c r="Z6562">
        <v>1</v>
      </c>
      <c r="AA6562">
        <v>1</v>
      </c>
      <c r="AB6562">
        <v>1</v>
      </c>
    </row>
    <row r="6563" spans="1:49" x14ac:dyDescent="0.25">
      <c r="A6563" t="str">
        <f>"6559"</f>
        <v>6559</v>
      </c>
      <c r="B6563" t="str">
        <f t="shared" si="380"/>
        <v>1</v>
      </c>
      <c r="C6563" t="str">
        <f t="shared" si="381"/>
        <v>287</v>
      </c>
      <c r="D6563" t="str">
        <f>"16"</f>
        <v>16</v>
      </c>
      <c r="E6563" t="str">
        <f>"1-287-16"</f>
        <v>1-287-16</v>
      </c>
      <c r="F6563" t="s">
        <v>83</v>
      </c>
      <c r="G6563" t="s">
        <v>84</v>
      </c>
      <c r="H6563" t="s">
        <v>85</v>
      </c>
      <c r="AC6563">
        <v>1</v>
      </c>
      <c r="AD6563">
        <v>0</v>
      </c>
      <c r="AE6563">
        <v>0</v>
      </c>
      <c r="AF6563">
        <v>0</v>
      </c>
      <c r="AG6563">
        <v>1</v>
      </c>
      <c r="AJ6563">
        <v>0</v>
      </c>
      <c r="AK6563">
        <v>1</v>
      </c>
      <c r="AL6563">
        <v>0</v>
      </c>
      <c r="AM6563">
        <v>1</v>
      </c>
      <c r="AN6563">
        <v>0</v>
      </c>
      <c r="AO6563">
        <v>1</v>
      </c>
      <c r="AP6563">
        <v>1</v>
      </c>
      <c r="AQ6563">
        <v>1</v>
      </c>
      <c r="AR6563">
        <v>1</v>
      </c>
      <c r="AS6563">
        <v>0</v>
      </c>
      <c r="AT6563">
        <v>0</v>
      </c>
      <c r="AV6563">
        <v>1</v>
      </c>
      <c r="AW6563">
        <v>1</v>
      </c>
    </row>
    <row r="6564" spans="1:49" x14ac:dyDescent="0.25">
      <c r="A6564" t="str">
        <f>"6560"</f>
        <v>6560</v>
      </c>
      <c r="B6564" t="str">
        <f t="shared" si="380"/>
        <v>1</v>
      </c>
      <c r="C6564" t="str">
        <f t="shared" si="381"/>
        <v>287</v>
      </c>
      <c r="D6564" t="str">
        <f>"8"</f>
        <v>8</v>
      </c>
      <c r="E6564" t="str">
        <f>"1-287-8"</f>
        <v>1-287-8</v>
      </c>
      <c r="F6564" t="s">
        <v>83</v>
      </c>
      <c r="G6564" t="s">
        <v>84</v>
      </c>
      <c r="H6564" t="s">
        <v>85</v>
      </c>
      <c r="AC6564">
        <v>0</v>
      </c>
      <c r="AD6564">
        <v>1</v>
      </c>
      <c r="AE6564">
        <v>0</v>
      </c>
      <c r="AF6564">
        <v>0</v>
      </c>
      <c r="AG6564">
        <v>1</v>
      </c>
      <c r="AJ6564">
        <v>0</v>
      </c>
      <c r="AK6564">
        <v>1</v>
      </c>
      <c r="AL6564">
        <v>0</v>
      </c>
      <c r="AM6564">
        <v>0</v>
      </c>
      <c r="AN6564">
        <v>1</v>
      </c>
      <c r="AO6564">
        <v>1</v>
      </c>
      <c r="AP6564">
        <v>1</v>
      </c>
      <c r="AQ6564">
        <v>1</v>
      </c>
      <c r="AR6564">
        <v>1</v>
      </c>
      <c r="AS6564">
        <v>1</v>
      </c>
      <c r="AT6564">
        <v>0</v>
      </c>
      <c r="AV6564">
        <v>1</v>
      </c>
      <c r="AW6564">
        <v>1</v>
      </c>
    </row>
    <row r="6565" spans="1:49" x14ac:dyDescent="0.25">
      <c r="A6565" t="str">
        <f>"6561"</f>
        <v>6561</v>
      </c>
      <c r="B6565" t="str">
        <f t="shared" si="380"/>
        <v>1</v>
      </c>
      <c r="C6565" t="str">
        <f t="shared" si="381"/>
        <v>287</v>
      </c>
      <c r="D6565" t="str">
        <f>"6"</f>
        <v>6</v>
      </c>
      <c r="E6565" t="str">
        <f>"1-287-6"</f>
        <v>1-287-6</v>
      </c>
      <c r="F6565" t="s">
        <v>83</v>
      </c>
      <c r="G6565" t="s">
        <v>84</v>
      </c>
      <c r="H6565" t="s">
        <v>85</v>
      </c>
      <c r="AC6565">
        <v>0</v>
      </c>
      <c r="AD6565">
        <v>1</v>
      </c>
      <c r="AE6565">
        <v>0</v>
      </c>
      <c r="AF6565">
        <v>0</v>
      </c>
      <c r="AG6565">
        <v>0</v>
      </c>
      <c r="AJ6565">
        <v>0</v>
      </c>
      <c r="AK6565">
        <v>0</v>
      </c>
      <c r="AL6565">
        <v>0</v>
      </c>
      <c r="AM6565">
        <v>0</v>
      </c>
      <c r="AN6565">
        <v>1</v>
      </c>
      <c r="AO6565">
        <v>0</v>
      </c>
      <c r="AP6565">
        <v>0</v>
      </c>
      <c r="AQ6565">
        <v>0</v>
      </c>
      <c r="AR6565">
        <v>0</v>
      </c>
      <c r="AS6565">
        <v>0</v>
      </c>
      <c r="AT6565">
        <v>0</v>
      </c>
      <c r="AV6565">
        <v>0</v>
      </c>
      <c r="AW6565">
        <v>0</v>
      </c>
    </row>
    <row r="6566" spans="1:49" x14ac:dyDescent="0.25">
      <c r="A6566" t="str">
        <f>"6562"</f>
        <v>6562</v>
      </c>
      <c r="B6566" t="str">
        <f t="shared" si="380"/>
        <v>1</v>
      </c>
      <c r="C6566" t="str">
        <f t="shared" si="381"/>
        <v>287</v>
      </c>
      <c r="D6566" t="str">
        <f>"21"</f>
        <v>21</v>
      </c>
      <c r="E6566" t="str">
        <f>"1-287-21"</f>
        <v>1-287-21</v>
      </c>
      <c r="F6566" t="s">
        <v>83</v>
      </c>
      <c r="G6566" t="s">
        <v>84</v>
      </c>
      <c r="H6566" t="s">
        <v>92</v>
      </c>
      <c r="I6566">
        <v>1</v>
      </c>
      <c r="J6566">
        <v>1</v>
      </c>
      <c r="N6566">
        <v>1</v>
      </c>
      <c r="O6566">
        <v>1</v>
      </c>
      <c r="P6566">
        <v>1</v>
      </c>
      <c r="Q6566">
        <v>1</v>
      </c>
      <c r="R6566">
        <v>1</v>
      </c>
      <c r="S6566">
        <v>1</v>
      </c>
      <c r="T6566">
        <v>1</v>
      </c>
      <c r="W6566">
        <v>1</v>
      </c>
      <c r="X6566">
        <v>1</v>
      </c>
      <c r="Y6566">
        <v>1</v>
      </c>
      <c r="Z6566">
        <v>1</v>
      </c>
      <c r="AA6566">
        <v>1</v>
      </c>
      <c r="AB6566">
        <v>1</v>
      </c>
    </row>
    <row r="6567" spans="1:49" x14ac:dyDescent="0.25">
      <c r="A6567" t="str">
        <f>"6563"</f>
        <v>6563</v>
      </c>
      <c r="B6567" t="str">
        <f t="shared" si="380"/>
        <v>1</v>
      </c>
      <c r="C6567" t="str">
        <f t="shared" si="381"/>
        <v>287</v>
      </c>
      <c r="D6567" t="str">
        <f>"20"</f>
        <v>20</v>
      </c>
      <c r="E6567" t="str">
        <f>"1-287-20"</f>
        <v>1-287-20</v>
      </c>
      <c r="F6567" t="s">
        <v>83</v>
      </c>
      <c r="G6567" t="s">
        <v>84</v>
      </c>
      <c r="H6567" t="s">
        <v>85</v>
      </c>
      <c r="AC6567">
        <v>0</v>
      </c>
      <c r="AD6567">
        <v>1</v>
      </c>
      <c r="AE6567">
        <v>0</v>
      </c>
      <c r="AF6567">
        <v>0</v>
      </c>
      <c r="AG6567">
        <v>1</v>
      </c>
      <c r="AJ6567">
        <v>0</v>
      </c>
      <c r="AK6567">
        <v>1</v>
      </c>
      <c r="AL6567">
        <v>0</v>
      </c>
      <c r="AM6567">
        <v>1</v>
      </c>
      <c r="AN6567">
        <v>0</v>
      </c>
      <c r="AO6567">
        <v>1</v>
      </c>
      <c r="AP6567">
        <v>1</v>
      </c>
      <c r="AQ6567">
        <v>1</v>
      </c>
      <c r="AR6567">
        <v>1</v>
      </c>
      <c r="AS6567">
        <v>0</v>
      </c>
      <c r="AT6567">
        <v>1</v>
      </c>
      <c r="AV6567">
        <v>1</v>
      </c>
      <c r="AW6567">
        <v>1</v>
      </c>
    </row>
    <row r="6568" spans="1:49" x14ac:dyDescent="0.25">
      <c r="A6568" t="str">
        <f>"6564"</f>
        <v>6564</v>
      </c>
      <c r="B6568" t="str">
        <f t="shared" si="380"/>
        <v>1</v>
      </c>
      <c r="C6568" t="str">
        <f t="shared" si="381"/>
        <v>287</v>
      </c>
      <c r="D6568" t="str">
        <f>"15"</f>
        <v>15</v>
      </c>
      <c r="E6568" t="str">
        <f>"1-287-15"</f>
        <v>1-287-15</v>
      </c>
      <c r="F6568" t="s">
        <v>83</v>
      </c>
      <c r="G6568" t="s">
        <v>84</v>
      </c>
      <c r="H6568" t="s">
        <v>85</v>
      </c>
      <c r="AC6568">
        <v>1</v>
      </c>
      <c r="AD6568">
        <v>0</v>
      </c>
      <c r="AE6568">
        <v>0</v>
      </c>
      <c r="AF6568">
        <v>0</v>
      </c>
      <c r="AG6568">
        <v>1</v>
      </c>
      <c r="AJ6568">
        <v>1</v>
      </c>
      <c r="AK6568">
        <v>0</v>
      </c>
      <c r="AL6568">
        <v>0</v>
      </c>
      <c r="AM6568">
        <v>1</v>
      </c>
      <c r="AN6568">
        <v>0</v>
      </c>
      <c r="AO6568">
        <v>1</v>
      </c>
      <c r="AP6568">
        <v>1</v>
      </c>
      <c r="AQ6568">
        <v>1</v>
      </c>
      <c r="AR6568">
        <v>1</v>
      </c>
      <c r="AS6568">
        <v>0</v>
      </c>
      <c r="AT6568">
        <v>1</v>
      </c>
      <c r="AV6568">
        <v>1</v>
      </c>
      <c r="AW6568">
        <v>1</v>
      </c>
    </row>
    <row r="6569" spans="1:49" x14ac:dyDescent="0.25">
      <c r="A6569" t="str">
        <f>"6565"</f>
        <v>6565</v>
      </c>
      <c r="B6569" t="str">
        <f t="shared" si="380"/>
        <v>1</v>
      </c>
      <c r="C6569" t="str">
        <f t="shared" si="381"/>
        <v>287</v>
      </c>
      <c r="D6569" t="str">
        <f>"9"</f>
        <v>9</v>
      </c>
      <c r="E6569" t="str">
        <f>"1-287-9"</f>
        <v>1-287-9</v>
      </c>
      <c r="F6569" t="s">
        <v>83</v>
      </c>
      <c r="G6569" t="s">
        <v>84</v>
      </c>
      <c r="H6569" t="s">
        <v>85</v>
      </c>
      <c r="AC6569">
        <v>1</v>
      </c>
      <c r="AD6569">
        <v>0</v>
      </c>
      <c r="AE6569">
        <v>0</v>
      </c>
      <c r="AF6569">
        <v>0</v>
      </c>
      <c r="AG6569">
        <v>1</v>
      </c>
      <c r="AJ6569">
        <v>0</v>
      </c>
      <c r="AK6569">
        <v>1</v>
      </c>
      <c r="AL6569">
        <v>1</v>
      </c>
      <c r="AM6569">
        <v>0</v>
      </c>
      <c r="AN6569">
        <v>0</v>
      </c>
      <c r="AO6569">
        <v>1</v>
      </c>
      <c r="AP6569">
        <v>1</v>
      </c>
      <c r="AQ6569">
        <v>1</v>
      </c>
      <c r="AR6569">
        <v>1</v>
      </c>
      <c r="AS6569">
        <v>0</v>
      </c>
      <c r="AT6569">
        <v>1</v>
      </c>
      <c r="AV6569">
        <v>1</v>
      </c>
      <c r="AW6569">
        <v>1</v>
      </c>
    </row>
    <row r="6570" spans="1:49" x14ac:dyDescent="0.25">
      <c r="A6570" t="str">
        <f>"6566"</f>
        <v>6566</v>
      </c>
      <c r="B6570" t="str">
        <f t="shared" si="380"/>
        <v>1</v>
      </c>
      <c r="C6570" t="str">
        <f t="shared" si="381"/>
        <v>287</v>
      </c>
      <c r="D6570" t="str">
        <f>"1"</f>
        <v>1</v>
      </c>
      <c r="E6570" t="str">
        <f>"1-287-1"</f>
        <v>1-287-1</v>
      </c>
      <c r="F6570" t="s">
        <v>83</v>
      </c>
      <c r="G6570" t="s">
        <v>88</v>
      </c>
      <c r="H6570" t="s">
        <v>89</v>
      </c>
      <c r="AC6570">
        <v>0</v>
      </c>
      <c r="AD6570">
        <v>1</v>
      </c>
      <c r="AE6570">
        <v>0</v>
      </c>
      <c r="AF6570">
        <v>0</v>
      </c>
      <c r="AH6570">
        <v>1</v>
      </c>
      <c r="AI6570">
        <v>0</v>
      </c>
      <c r="AJ6570">
        <v>1</v>
      </c>
      <c r="AK6570">
        <v>0</v>
      </c>
      <c r="AL6570">
        <v>0</v>
      </c>
      <c r="AM6570">
        <v>0</v>
      </c>
      <c r="AN6570">
        <v>1</v>
      </c>
      <c r="AO6570">
        <v>1</v>
      </c>
      <c r="AP6570">
        <v>1</v>
      </c>
      <c r="AQ6570">
        <v>1</v>
      </c>
      <c r="AR6570">
        <v>1</v>
      </c>
      <c r="AS6570">
        <v>1</v>
      </c>
      <c r="AT6570">
        <v>0</v>
      </c>
      <c r="AV6570">
        <v>1</v>
      </c>
      <c r="AW6570">
        <v>1</v>
      </c>
    </row>
    <row r="6571" spans="1:49" x14ac:dyDescent="0.25">
      <c r="A6571" t="str">
        <f>"6567"</f>
        <v>6567</v>
      </c>
      <c r="B6571" t="str">
        <f t="shared" si="380"/>
        <v>1</v>
      </c>
      <c r="C6571" t="str">
        <f t="shared" si="381"/>
        <v>287</v>
      </c>
      <c r="D6571" t="str">
        <f>"18"</f>
        <v>18</v>
      </c>
      <c r="E6571" t="str">
        <f>"1-287-18"</f>
        <v>1-287-18</v>
      </c>
      <c r="F6571" t="s">
        <v>83</v>
      </c>
      <c r="G6571" t="s">
        <v>88</v>
      </c>
      <c r="H6571" t="s">
        <v>89</v>
      </c>
      <c r="AC6571">
        <v>0</v>
      </c>
      <c r="AD6571">
        <v>1</v>
      </c>
      <c r="AE6571">
        <v>0</v>
      </c>
      <c r="AF6571">
        <v>0</v>
      </c>
      <c r="AH6571">
        <v>0</v>
      </c>
      <c r="AI6571">
        <v>1</v>
      </c>
      <c r="AJ6571">
        <v>0</v>
      </c>
      <c r="AK6571">
        <v>1</v>
      </c>
      <c r="AL6571">
        <v>0</v>
      </c>
      <c r="AM6571">
        <v>0</v>
      </c>
      <c r="AN6571">
        <v>1</v>
      </c>
      <c r="AO6571">
        <v>0</v>
      </c>
      <c r="AP6571">
        <v>0</v>
      </c>
      <c r="AQ6571">
        <v>0</v>
      </c>
      <c r="AR6571">
        <v>0</v>
      </c>
      <c r="AS6571">
        <v>0</v>
      </c>
      <c r="AT6571">
        <v>1</v>
      </c>
      <c r="AV6571">
        <v>0</v>
      </c>
      <c r="AW6571">
        <v>0</v>
      </c>
    </row>
    <row r="6572" spans="1:49" x14ac:dyDescent="0.25">
      <c r="A6572" t="str">
        <f>"6568"</f>
        <v>6568</v>
      </c>
      <c r="B6572" t="str">
        <f t="shared" si="380"/>
        <v>1</v>
      </c>
      <c r="C6572" t="str">
        <f t="shared" si="381"/>
        <v>287</v>
      </c>
      <c r="D6572" t="str">
        <f>"10"</f>
        <v>10</v>
      </c>
      <c r="E6572" t="str">
        <f>"1-287-10"</f>
        <v>1-287-10</v>
      </c>
      <c r="F6572" t="s">
        <v>83</v>
      </c>
      <c r="G6572" t="s">
        <v>84</v>
      </c>
      <c r="H6572" t="s">
        <v>85</v>
      </c>
      <c r="AC6572">
        <v>1</v>
      </c>
      <c r="AD6572">
        <v>0</v>
      </c>
      <c r="AE6572">
        <v>0</v>
      </c>
      <c r="AF6572">
        <v>0</v>
      </c>
      <c r="AG6572">
        <v>0</v>
      </c>
      <c r="AJ6572">
        <v>0</v>
      </c>
      <c r="AK6572">
        <v>1</v>
      </c>
      <c r="AL6572">
        <v>0</v>
      </c>
      <c r="AM6572">
        <v>1</v>
      </c>
      <c r="AN6572">
        <v>0</v>
      </c>
      <c r="AO6572">
        <v>0</v>
      </c>
      <c r="AP6572">
        <v>0</v>
      </c>
      <c r="AQ6572">
        <v>0</v>
      </c>
      <c r="AR6572">
        <v>1</v>
      </c>
      <c r="AS6572">
        <v>0</v>
      </c>
      <c r="AT6572">
        <v>1</v>
      </c>
      <c r="AV6572">
        <v>1</v>
      </c>
      <c r="AW6572">
        <v>0</v>
      </c>
    </row>
    <row r="6573" spans="1:49" x14ac:dyDescent="0.25">
      <c r="A6573" t="str">
        <f>"6569"</f>
        <v>6569</v>
      </c>
      <c r="B6573" t="str">
        <f t="shared" si="380"/>
        <v>1</v>
      </c>
      <c r="C6573" t="str">
        <f t="shared" si="381"/>
        <v>287</v>
      </c>
      <c r="D6573" t="str">
        <f>"7"</f>
        <v>7</v>
      </c>
      <c r="E6573" t="str">
        <f>"1-287-7"</f>
        <v>1-287-7</v>
      </c>
      <c r="F6573" t="s">
        <v>83</v>
      </c>
      <c r="G6573" t="s">
        <v>84</v>
      </c>
      <c r="H6573" t="s">
        <v>85</v>
      </c>
      <c r="AC6573">
        <v>1</v>
      </c>
      <c r="AD6573">
        <v>0</v>
      </c>
      <c r="AE6573">
        <v>0</v>
      </c>
      <c r="AF6573">
        <v>0</v>
      </c>
      <c r="AG6573">
        <v>1</v>
      </c>
      <c r="AJ6573">
        <v>0</v>
      </c>
      <c r="AK6573">
        <v>1</v>
      </c>
      <c r="AL6573">
        <v>1</v>
      </c>
      <c r="AM6573">
        <v>0</v>
      </c>
      <c r="AN6573">
        <v>0</v>
      </c>
      <c r="AO6573">
        <v>1</v>
      </c>
      <c r="AP6573">
        <v>1</v>
      </c>
      <c r="AQ6573">
        <v>1</v>
      </c>
      <c r="AR6573">
        <v>1</v>
      </c>
      <c r="AS6573">
        <v>0</v>
      </c>
      <c r="AT6573">
        <v>1</v>
      </c>
      <c r="AV6573">
        <v>1</v>
      </c>
      <c r="AW6573">
        <v>1</v>
      </c>
    </row>
    <row r="6574" spans="1:49" x14ac:dyDescent="0.25">
      <c r="A6574" t="str">
        <f>"6570"</f>
        <v>6570</v>
      </c>
      <c r="B6574" t="str">
        <f t="shared" si="380"/>
        <v>1</v>
      </c>
      <c r="C6574" t="str">
        <f t="shared" si="381"/>
        <v>287</v>
      </c>
      <c r="D6574" t="str">
        <f>"25"</f>
        <v>25</v>
      </c>
      <c r="E6574" t="str">
        <f>"1-287-25"</f>
        <v>1-287-25</v>
      </c>
      <c r="F6574" t="s">
        <v>83</v>
      </c>
      <c r="G6574" t="s">
        <v>88</v>
      </c>
      <c r="H6574" t="s">
        <v>95</v>
      </c>
      <c r="I6574">
        <v>1</v>
      </c>
      <c r="K6574">
        <v>0</v>
      </c>
      <c r="L6574">
        <v>1</v>
      </c>
      <c r="M6574">
        <v>0</v>
      </c>
      <c r="N6574">
        <v>1</v>
      </c>
      <c r="O6574">
        <v>1</v>
      </c>
      <c r="P6574">
        <v>1</v>
      </c>
      <c r="Q6574">
        <v>1</v>
      </c>
      <c r="R6574">
        <v>1</v>
      </c>
      <c r="S6574">
        <v>1</v>
      </c>
      <c r="T6574">
        <v>1</v>
      </c>
      <c r="W6574">
        <v>1</v>
      </c>
      <c r="X6574">
        <v>1</v>
      </c>
      <c r="Y6574">
        <v>1</v>
      </c>
      <c r="Z6574">
        <v>1</v>
      </c>
      <c r="AA6574">
        <v>1</v>
      </c>
      <c r="AB6574">
        <v>1</v>
      </c>
    </row>
    <row r="6575" spans="1:49" x14ac:dyDescent="0.25">
      <c r="A6575" t="str">
        <f>"6571"</f>
        <v>6571</v>
      </c>
      <c r="B6575" t="str">
        <f t="shared" si="380"/>
        <v>1</v>
      </c>
      <c r="C6575" t="str">
        <f t="shared" si="381"/>
        <v>287</v>
      </c>
      <c r="D6575" t="str">
        <f>"17"</f>
        <v>17</v>
      </c>
      <c r="E6575" t="str">
        <f>"1-287-17"</f>
        <v>1-287-17</v>
      </c>
      <c r="F6575" t="s">
        <v>83</v>
      </c>
      <c r="G6575" t="s">
        <v>84</v>
      </c>
      <c r="H6575" t="s">
        <v>85</v>
      </c>
      <c r="AC6575">
        <v>0</v>
      </c>
      <c r="AD6575">
        <v>1</v>
      </c>
      <c r="AE6575">
        <v>0</v>
      </c>
      <c r="AF6575">
        <v>0</v>
      </c>
      <c r="AG6575">
        <v>0</v>
      </c>
      <c r="AJ6575">
        <v>0</v>
      </c>
      <c r="AK6575">
        <v>1</v>
      </c>
      <c r="AL6575">
        <v>0</v>
      </c>
      <c r="AM6575">
        <v>0</v>
      </c>
      <c r="AN6575">
        <v>1</v>
      </c>
      <c r="AO6575">
        <v>0</v>
      </c>
      <c r="AP6575">
        <v>0</v>
      </c>
      <c r="AQ6575">
        <v>0</v>
      </c>
      <c r="AR6575">
        <v>0</v>
      </c>
      <c r="AS6575">
        <v>0</v>
      </c>
      <c r="AT6575">
        <v>1</v>
      </c>
      <c r="AV6575">
        <v>0</v>
      </c>
      <c r="AW6575">
        <v>0</v>
      </c>
    </row>
    <row r="6576" spans="1:49" x14ac:dyDescent="0.25">
      <c r="A6576" t="str">
        <f>"6572"</f>
        <v>6572</v>
      </c>
      <c r="B6576" t="str">
        <f t="shared" si="380"/>
        <v>1</v>
      </c>
      <c r="C6576" t="str">
        <f t="shared" si="381"/>
        <v>287</v>
      </c>
      <c r="D6576" t="str">
        <f>"11"</f>
        <v>11</v>
      </c>
      <c r="E6576" t="str">
        <f>"1-287-11"</f>
        <v>1-287-11</v>
      </c>
      <c r="F6576" t="s">
        <v>83</v>
      </c>
      <c r="G6576" t="s">
        <v>84</v>
      </c>
      <c r="H6576" t="s">
        <v>92</v>
      </c>
      <c r="I6576">
        <v>1</v>
      </c>
      <c r="J6576">
        <v>1</v>
      </c>
      <c r="N6576">
        <v>1</v>
      </c>
      <c r="O6576">
        <v>1</v>
      </c>
      <c r="P6576">
        <v>1</v>
      </c>
      <c r="Q6576">
        <v>1</v>
      </c>
      <c r="R6576">
        <v>1</v>
      </c>
      <c r="S6576">
        <v>1</v>
      </c>
      <c r="T6576">
        <v>1</v>
      </c>
      <c r="W6576">
        <v>1</v>
      </c>
      <c r="X6576">
        <v>1</v>
      </c>
      <c r="Y6576">
        <v>1</v>
      </c>
      <c r="Z6576">
        <v>1</v>
      </c>
      <c r="AA6576">
        <v>1</v>
      </c>
      <c r="AB6576">
        <v>1</v>
      </c>
    </row>
    <row r="6577" spans="1:49" x14ac:dyDescent="0.25">
      <c r="A6577" t="str">
        <f>"6573"</f>
        <v>6573</v>
      </c>
      <c r="B6577" t="str">
        <f t="shared" si="380"/>
        <v>1</v>
      </c>
      <c r="C6577" t="str">
        <f t="shared" si="381"/>
        <v>287</v>
      </c>
      <c r="D6577" t="str">
        <f>"4"</f>
        <v>4</v>
      </c>
      <c r="E6577" t="str">
        <f>"1-287-4"</f>
        <v>1-287-4</v>
      </c>
      <c r="F6577" t="s">
        <v>83</v>
      </c>
      <c r="G6577" t="s">
        <v>84</v>
      </c>
      <c r="H6577" t="s">
        <v>85</v>
      </c>
      <c r="AC6577">
        <v>1</v>
      </c>
      <c r="AD6577">
        <v>0</v>
      </c>
      <c r="AE6577">
        <v>0</v>
      </c>
      <c r="AF6577">
        <v>0</v>
      </c>
      <c r="AG6577">
        <v>1</v>
      </c>
      <c r="AJ6577">
        <v>1</v>
      </c>
      <c r="AK6577">
        <v>0</v>
      </c>
      <c r="AL6577">
        <v>1</v>
      </c>
      <c r="AM6577">
        <v>0</v>
      </c>
      <c r="AN6577">
        <v>0</v>
      </c>
      <c r="AO6577">
        <v>1</v>
      </c>
      <c r="AP6577">
        <v>1</v>
      </c>
      <c r="AQ6577">
        <v>1</v>
      </c>
      <c r="AR6577">
        <v>1</v>
      </c>
      <c r="AS6577">
        <v>1</v>
      </c>
      <c r="AT6577">
        <v>0</v>
      </c>
      <c r="AV6577">
        <v>1</v>
      </c>
      <c r="AW6577">
        <v>1</v>
      </c>
    </row>
    <row r="6578" spans="1:49" x14ac:dyDescent="0.25">
      <c r="A6578" t="str">
        <f>"6574"</f>
        <v>6574</v>
      </c>
      <c r="B6578" t="str">
        <f t="shared" si="380"/>
        <v>1</v>
      </c>
      <c r="C6578" t="str">
        <f t="shared" si="381"/>
        <v>287</v>
      </c>
      <c r="D6578" t="str">
        <f>"19"</f>
        <v>19</v>
      </c>
      <c r="E6578" t="str">
        <f>"1-287-19"</f>
        <v>1-287-19</v>
      </c>
      <c r="F6578" t="s">
        <v>83</v>
      </c>
      <c r="G6578" t="s">
        <v>88</v>
      </c>
      <c r="H6578" t="s">
        <v>89</v>
      </c>
      <c r="AC6578">
        <v>0</v>
      </c>
      <c r="AD6578">
        <v>1</v>
      </c>
      <c r="AE6578">
        <v>0</v>
      </c>
      <c r="AF6578">
        <v>0</v>
      </c>
      <c r="AH6578">
        <v>0</v>
      </c>
      <c r="AI6578">
        <v>1</v>
      </c>
      <c r="AJ6578">
        <v>0</v>
      </c>
      <c r="AK6578">
        <v>1</v>
      </c>
      <c r="AL6578">
        <v>0</v>
      </c>
      <c r="AM6578">
        <v>1</v>
      </c>
      <c r="AN6578">
        <v>0</v>
      </c>
      <c r="AO6578">
        <v>0</v>
      </c>
      <c r="AP6578">
        <v>0</v>
      </c>
      <c r="AQ6578">
        <v>0</v>
      </c>
      <c r="AR6578">
        <v>0</v>
      </c>
      <c r="AS6578">
        <v>0</v>
      </c>
      <c r="AT6578">
        <v>1</v>
      </c>
      <c r="AV6578">
        <v>0</v>
      </c>
      <c r="AW6578">
        <v>0</v>
      </c>
    </row>
    <row r="6579" spans="1:49" x14ac:dyDescent="0.25">
      <c r="A6579" t="str">
        <f>"6575"</f>
        <v>6575</v>
      </c>
      <c r="B6579" t="str">
        <f t="shared" si="380"/>
        <v>1</v>
      </c>
      <c r="C6579" t="str">
        <f t="shared" si="381"/>
        <v>287</v>
      </c>
      <c r="D6579" t="str">
        <f>"12"</f>
        <v>12</v>
      </c>
      <c r="E6579" t="str">
        <f>"1-287-12"</f>
        <v>1-287-12</v>
      </c>
      <c r="F6579" t="s">
        <v>83</v>
      </c>
      <c r="G6579" t="s">
        <v>84</v>
      </c>
      <c r="H6579" t="s">
        <v>85</v>
      </c>
      <c r="AC6579">
        <v>0</v>
      </c>
      <c r="AD6579">
        <v>1</v>
      </c>
      <c r="AE6579">
        <v>0</v>
      </c>
      <c r="AF6579">
        <v>0</v>
      </c>
      <c r="AG6579">
        <v>1</v>
      </c>
      <c r="AJ6579">
        <v>0</v>
      </c>
      <c r="AK6579">
        <v>1</v>
      </c>
      <c r="AL6579">
        <v>0</v>
      </c>
      <c r="AM6579">
        <v>1</v>
      </c>
      <c r="AN6579">
        <v>0</v>
      </c>
      <c r="AO6579">
        <v>1</v>
      </c>
      <c r="AP6579">
        <v>1</v>
      </c>
      <c r="AQ6579">
        <v>1</v>
      </c>
      <c r="AR6579">
        <v>1</v>
      </c>
      <c r="AS6579">
        <v>0</v>
      </c>
      <c r="AT6579">
        <v>1</v>
      </c>
      <c r="AV6579">
        <v>1</v>
      </c>
      <c r="AW6579">
        <v>1</v>
      </c>
    </row>
    <row r="6580" spans="1:49" x14ac:dyDescent="0.25">
      <c r="A6580" t="str">
        <f>"6576"</f>
        <v>6576</v>
      </c>
      <c r="B6580" t="str">
        <f t="shared" si="380"/>
        <v>1</v>
      </c>
      <c r="C6580" t="str">
        <f t="shared" si="381"/>
        <v>287</v>
      </c>
      <c r="D6580" t="str">
        <f>"2"</f>
        <v>2</v>
      </c>
      <c r="E6580" t="str">
        <f>"1-287-2"</f>
        <v>1-287-2</v>
      </c>
      <c r="F6580" t="s">
        <v>83</v>
      </c>
      <c r="G6580" t="s">
        <v>84</v>
      </c>
      <c r="H6580" t="s">
        <v>85</v>
      </c>
      <c r="AC6580">
        <v>1</v>
      </c>
      <c r="AD6580">
        <v>0</v>
      </c>
      <c r="AE6580">
        <v>0</v>
      </c>
      <c r="AF6580">
        <v>0</v>
      </c>
      <c r="AG6580">
        <v>0</v>
      </c>
      <c r="AJ6580">
        <v>1</v>
      </c>
      <c r="AK6580">
        <v>0</v>
      </c>
      <c r="AL6580">
        <v>0</v>
      </c>
      <c r="AM6580">
        <v>1</v>
      </c>
      <c r="AN6580">
        <v>0</v>
      </c>
      <c r="AO6580">
        <v>0</v>
      </c>
      <c r="AP6580">
        <v>0</v>
      </c>
      <c r="AQ6580">
        <v>0</v>
      </c>
      <c r="AR6580">
        <v>0</v>
      </c>
      <c r="AS6580">
        <v>0</v>
      </c>
      <c r="AT6580">
        <v>1</v>
      </c>
      <c r="AV6580">
        <v>0</v>
      </c>
      <c r="AW6580">
        <v>0</v>
      </c>
    </row>
    <row r="6581" spans="1:49" x14ac:dyDescent="0.25">
      <c r="A6581" t="str">
        <f>"6577"</f>
        <v>6577</v>
      </c>
      <c r="B6581" t="str">
        <f t="shared" si="380"/>
        <v>1</v>
      </c>
      <c r="C6581" t="str">
        <f t="shared" si="381"/>
        <v>287</v>
      </c>
      <c r="D6581" t="str">
        <f>"13"</f>
        <v>13</v>
      </c>
      <c r="E6581" t="str">
        <f>"1-287-13"</f>
        <v>1-287-13</v>
      </c>
      <c r="F6581" t="s">
        <v>83</v>
      </c>
      <c r="G6581" t="s">
        <v>88</v>
      </c>
      <c r="H6581" t="s">
        <v>89</v>
      </c>
      <c r="AC6581">
        <v>0</v>
      </c>
      <c r="AD6581">
        <v>1</v>
      </c>
      <c r="AE6581">
        <v>0</v>
      </c>
      <c r="AF6581">
        <v>0</v>
      </c>
      <c r="AH6581">
        <v>0</v>
      </c>
      <c r="AI6581">
        <v>1</v>
      </c>
      <c r="AJ6581">
        <v>1</v>
      </c>
      <c r="AK6581">
        <v>0</v>
      </c>
      <c r="AL6581">
        <v>0</v>
      </c>
      <c r="AM6581">
        <v>1</v>
      </c>
      <c r="AN6581">
        <v>0</v>
      </c>
      <c r="AO6581">
        <v>0</v>
      </c>
      <c r="AP6581">
        <v>0</v>
      </c>
      <c r="AQ6581">
        <v>0</v>
      </c>
      <c r="AR6581">
        <v>0</v>
      </c>
      <c r="AS6581">
        <v>0</v>
      </c>
      <c r="AT6581">
        <v>1</v>
      </c>
      <c r="AV6581">
        <v>0</v>
      </c>
      <c r="AW6581">
        <v>0</v>
      </c>
    </row>
    <row r="6582" spans="1:49" x14ac:dyDescent="0.25">
      <c r="A6582" t="str">
        <f>"6578"</f>
        <v>6578</v>
      </c>
      <c r="B6582" t="str">
        <f t="shared" si="380"/>
        <v>1</v>
      </c>
      <c r="C6582" t="str">
        <f t="shared" si="381"/>
        <v>287</v>
      </c>
      <c r="D6582" t="str">
        <f>"3"</f>
        <v>3</v>
      </c>
      <c r="E6582" t="str">
        <f>"1-287-3"</f>
        <v>1-287-3</v>
      </c>
      <c r="F6582" t="s">
        <v>83</v>
      </c>
      <c r="G6582" t="s">
        <v>84</v>
      </c>
      <c r="H6582" t="s">
        <v>85</v>
      </c>
      <c r="AC6582">
        <v>0</v>
      </c>
      <c r="AD6582">
        <v>1</v>
      </c>
      <c r="AE6582">
        <v>0</v>
      </c>
      <c r="AF6582">
        <v>0</v>
      </c>
      <c r="AG6582">
        <v>1</v>
      </c>
      <c r="AJ6582">
        <v>0</v>
      </c>
      <c r="AK6582">
        <v>1</v>
      </c>
      <c r="AL6582">
        <v>0</v>
      </c>
      <c r="AM6582">
        <v>0</v>
      </c>
      <c r="AN6582">
        <v>1</v>
      </c>
      <c r="AO6582">
        <v>1</v>
      </c>
      <c r="AP6582">
        <v>1</v>
      </c>
      <c r="AQ6582">
        <v>1</v>
      </c>
      <c r="AR6582">
        <v>1</v>
      </c>
      <c r="AS6582">
        <v>0</v>
      </c>
      <c r="AT6582">
        <v>1</v>
      </c>
      <c r="AV6582">
        <v>1</v>
      </c>
      <c r="AW6582">
        <v>1</v>
      </c>
    </row>
    <row r="6583" spans="1:49" x14ac:dyDescent="0.25">
      <c r="A6583" t="str">
        <f>"6579"</f>
        <v>6579</v>
      </c>
      <c r="B6583" t="str">
        <f t="shared" si="380"/>
        <v>1</v>
      </c>
      <c r="C6583" t="str">
        <f t="shared" si="381"/>
        <v>287</v>
      </c>
      <c r="D6583" t="str">
        <f>"14"</f>
        <v>14</v>
      </c>
      <c r="E6583" t="str">
        <f>"1-287-14"</f>
        <v>1-287-14</v>
      </c>
      <c r="F6583" t="s">
        <v>83</v>
      </c>
      <c r="G6583" t="s">
        <v>84</v>
      </c>
      <c r="H6583" t="s">
        <v>85</v>
      </c>
      <c r="AC6583">
        <v>0</v>
      </c>
      <c r="AD6583">
        <v>1</v>
      </c>
      <c r="AE6583">
        <v>0</v>
      </c>
      <c r="AF6583">
        <v>0</v>
      </c>
      <c r="AG6583">
        <v>0</v>
      </c>
      <c r="AJ6583">
        <v>0</v>
      </c>
      <c r="AK6583">
        <v>1</v>
      </c>
      <c r="AL6583">
        <v>0</v>
      </c>
      <c r="AM6583">
        <v>0</v>
      </c>
      <c r="AN6583">
        <v>1</v>
      </c>
      <c r="AO6583">
        <v>0</v>
      </c>
      <c r="AP6583">
        <v>0</v>
      </c>
      <c r="AQ6583">
        <v>0</v>
      </c>
      <c r="AR6583">
        <v>0</v>
      </c>
      <c r="AS6583">
        <v>0</v>
      </c>
      <c r="AT6583">
        <v>0</v>
      </c>
      <c r="AV6583">
        <v>0</v>
      </c>
      <c r="AW6583">
        <v>0</v>
      </c>
    </row>
    <row r="6584" spans="1:49" x14ac:dyDescent="0.25">
      <c r="A6584" t="str">
        <f>"6580"</f>
        <v>6580</v>
      </c>
      <c r="B6584" t="str">
        <f t="shared" si="380"/>
        <v>1</v>
      </c>
      <c r="C6584" t="str">
        <f t="shared" si="381"/>
        <v>287</v>
      </c>
      <c r="D6584" t="str">
        <f>"5"</f>
        <v>5</v>
      </c>
      <c r="E6584" t="str">
        <f>"1-287-5"</f>
        <v>1-287-5</v>
      </c>
      <c r="F6584" t="s">
        <v>83</v>
      </c>
      <c r="G6584" t="s">
        <v>84</v>
      </c>
      <c r="H6584" t="s">
        <v>85</v>
      </c>
      <c r="AC6584">
        <v>1</v>
      </c>
      <c r="AD6584">
        <v>0</v>
      </c>
      <c r="AE6584">
        <v>0</v>
      </c>
      <c r="AF6584">
        <v>0</v>
      </c>
      <c r="AG6584">
        <v>0</v>
      </c>
      <c r="AJ6584">
        <v>1</v>
      </c>
      <c r="AK6584">
        <v>0</v>
      </c>
      <c r="AL6584">
        <v>0</v>
      </c>
      <c r="AM6584">
        <v>1</v>
      </c>
      <c r="AN6584">
        <v>0</v>
      </c>
      <c r="AO6584">
        <v>1</v>
      </c>
      <c r="AP6584">
        <v>1</v>
      </c>
      <c r="AQ6584">
        <v>1</v>
      </c>
      <c r="AR6584">
        <v>1</v>
      </c>
      <c r="AS6584">
        <v>0</v>
      </c>
      <c r="AT6584">
        <v>1</v>
      </c>
      <c r="AV6584">
        <v>1</v>
      </c>
      <c r="AW6584">
        <v>1</v>
      </c>
    </row>
    <row r="6585" spans="1:49" x14ac:dyDescent="0.25">
      <c r="A6585" t="str">
        <f>"6581"</f>
        <v>6581</v>
      </c>
      <c r="B6585" t="str">
        <f t="shared" si="380"/>
        <v>1</v>
      </c>
      <c r="C6585" t="str">
        <f t="shared" si="381"/>
        <v>287</v>
      </c>
      <c r="D6585" t="str">
        <f>"24"</f>
        <v>24</v>
      </c>
      <c r="E6585" t="str">
        <f>"1-287-24"</f>
        <v>1-287-24</v>
      </c>
      <c r="F6585" t="s">
        <v>83</v>
      </c>
      <c r="G6585" t="s">
        <v>84</v>
      </c>
      <c r="H6585" t="s">
        <v>85</v>
      </c>
      <c r="AC6585">
        <v>1</v>
      </c>
      <c r="AD6585">
        <v>0</v>
      </c>
      <c r="AE6585">
        <v>0</v>
      </c>
      <c r="AF6585">
        <v>0</v>
      </c>
      <c r="AG6585">
        <v>1</v>
      </c>
      <c r="AJ6585">
        <v>0</v>
      </c>
      <c r="AK6585">
        <v>1</v>
      </c>
      <c r="AL6585">
        <v>1</v>
      </c>
      <c r="AM6585">
        <v>0</v>
      </c>
      <c r="AN6585">
        <v>0</v>
      </c>
      <c r="AO6585">
        <v>1</v>
      </c>
      <c r="AP6585">
        <v>1</v>
      </c>
      <c r="AQ6585">
        <v>1</v>
      </c>
      <c r="AR6585">
        <v>1</v>
      </c>
      <c r="AS6585">
        <v>1</v>
      </c>
      <c r="AT6585">
        <v>0</v>
      </c>
      <c r="AV6585">
        <v>1</v>
      </c>
      <c r="AW6585">
        <v>1</v>
      </c>
    </row>
    <row r="6586" spans="1:49" x14ac:dyDescent="0.25">
      <c r="A6586" t="str">
        <f>"6582"</f>
        <v>6582</v>
      </c>
      <c r="B6586" t="str">
        <f t="shared" si="380"/>
        <v>1</v>
      </c>
      <c r="C6586" t="str">
        <f t="shared" ref="C6586:C6610" si="382">"288"</f>
        <v>288</v>
      </c>
      <c r="D6586" t="str">
        <f>"20"</f>
        <v>20</v>
      </c>
      <c r="E6586" t="str">
        <f>"1-288-20"</f>
        <v>1-288-20</v>
      </c>
      <c r="F6586" t="s">
        <v>83</v>
      </c>
      <c r="G6586" t="s">
        <v>84</v>
      </c>
      <c r="H6586" t="s">
        <v>92</v>
      </c>
      <c r="I6586">
        <v>1</v>
      </c>
      <c r="J6586">
        <v>1</v>
      </c>
      <c r="N6586">
        <v>1</v>
      </c>
      <c r="O6586">
        <v>1</v>
      </c>
      <c r="P6586">
        <v>1</v>
      </c>
      <c r="Q6586">
        <v>1</v>
      </c>
      <c r="R6586">
        <v>1</v>
      </c>
      <c r="S6586">
        <v>1</v>
      </c>
      <c r="T6586">
        <v>1</v>
      </c>
      <c r="W6586">
        <v>1</v>
      </c>
      <c r="X6586">
        <v>1</v>
      </c>
      <c r="Y6586">
        <v>1</v>
      </c>
      <c r="Z6586">
        <v>1</v>
      </c>
      <c r="AA6586">
        <v>1</v>
      </c>
      <c r="AB6586">
        <v>1</v>
      </c>
    </row>
    <row r="6587" spans="1:49" x14ac:dyDescent="0.25">
      <c r="A6587" t="str">
        <f>"6583"</f>
        <v>6583</v>
      </c>
      <c r="B6587" t="str">
        <f t="shared" si="380"/>
        <v>1</v>
      </c>
      <c r="C6587" t="str">
        <f t="shared" si="382"/>
        <v>288</v>
      </c>
      <c r="D6587" t="str">
        <f>"19"</f>
        <v>19</v>
      </c>
      <c r="E6587" t="str">
        <f>"1-288-19"</f>
        <v>1-288-19</v>
      </c>
      <c r="F6587" t="s">
        <v>83</v>
      </c>
      <c r="G6587" t="s">
        <v>88</v>
      </c>
      <c r="H6587" t="s">
        <v>95</v>
      </c>
      <c r="I6587">
        <v>0</v>
      </c>
      <c r="K6587">
        <v>0</v>
      </c>
      <c r="L6587">
        <v>0</v>
      </c>
      <c r="M6587">
        <v>1</v>
      </c>
      <c r="N6587">
        <v>1</v>
      </c>
      <c r="O6587">
        <v>1</v>
      </c>
      <c r="P6587">
        <v>1</v>
      </c>
      <c r="Q6587">
        <v>1</v>
      </c>
      <c r="R6587">
        <v>1</v>
      </c>
      <c r="S6587">
        <v>1</v>
      </c>
      <c r="T6587">
        <v>1</v>
      </c>
      <c r="W6587">
        <v>1</v>
      </c>
      <c r="X6587">
        <v>1</v>
      </c>
      <c r="Y6587">
        <v>1</v>
      </c>
      <c r="Z6587">
        <v>1</v>
      </c>
      <c r="AA6587">
        <v>1</v>
      </c>
      <c r="AB6587">
        <v>1</v>
      </c>
    </row>
    <row r="6588" spans="1:49" x14ac:dyDescent="0.25">
      <c r="A6588" t="str">
        <f>"6584"</f>
        <v>6584</v>
      </c>
      <c r="B6588" t="str">
        <f t="shared" si="380"/>
        <v>1</v>
      </c>
      <c r="C6588" t="str">
        <f t="shared" si="382"/>
        <v>288</v>
      </c>
      <c r="D6588" t="str">
        <f>"13"</f>
        <v>13</v>
      </c>
      <c r="E6588" t="str">
        <f>"1-288-13"</f>
        <v>1-288-13</v>
      </c>
      <c r="F6588" t="s">
        <v>83</v>
      </c>
      <c r="G6588" t="s">
        <v>84</v>
      </c>
      <c r="H6588" t="s">
        <v>92</v>
      </c>
      <c r="I6588">
        <v>0</v>
      </c>
      <c r="J6588">
        <v>1</v>
      </c>
      <c r="N6588">
        <v>1</v>
      </c>
      <c r="O6588">
        <v>1</v>
      </c>
      <c r="P6588">
        <v>1</v>
      </c>
      <c r="Q6588">
        <v>1</v>
      </c>
      <c r="R6588">
        <v>0</v>
      </c>
      <c r="S6588">
        <v>1</v>
      </c>
      <c r="T6588">
        <v>0</v>
      </c>
      <c r="W6588">
        <v>1</v>
      </c>
      <c r="X6588">
        <v>1</v>
      </c>
      <c r="Y6588">
        <v>1</v>
      </c>
      <c r="Z6588">
        <v>1</v>
      </c>
      <c r="AA6588">
        <v>1</v>
      </c>
      <c r="AB6588">
        <v>1</v>
      </c>
    </row>
    <row r="6589" spans="1:49" x14ac:dyDescent="0.25">
      <c r="A6589" t="str">
        <f>"6585"</f>
        <v>6585</v>
      </c>
      <c r="B6589" t="str">
        <f t="shared" si="380"/>
        <v>1</v>
      </c>
      <c r="C6589" t="str">
        <f t="shared" si="382"/>
        <v>288</v>
      </c>
      <c r="D6589" t="str">
        <f>"8"</f>
        <v>8</v>
      </c>
      <c r="E6589" t="str">
        <f>"1-288-8"</f>
        <v>1-288-8</v>
      </c>
      <c r="F6589" t="s">
        <v>83</v>
      </c>
      <c r="G6589" t="s">
        <v>84</v>
      </c>
      <c r="H6589" t="s">
        <v>92</v>
      </c>
      <c r="I6589">
        <v>1</v>
      </c>
      <c r="J6589">
        <v>1</v>
      </c>
      <c r="N6589">
        <v>1</v>
      </c>
      <c r="O6589">
        <v>1</v>
      </c>
      <c r="P6589">
        <v>1</v>
      </c>
      <c r="Q6589">
        <v>1</v>
      </c>
      <c r="R6589">
        <v>1</v>
      </c>
      <c r="S6589">
        <v>1</v>
      </c>
      <c r="T6589">
        <v>1</v>
      </c>
      <c r="W6589">
        <v>1</v>
      </c>
      <c r="X6589">
        <v>1</v>
      </c>
      <c r="Y6589">
        <v>1</v>
      </c>
      <c r="Z6589">
        <v>1</v>
      </c>
      <c r="AA6589">
        <v>1</v>
      </c>
      <c r="AB6589">
        <v>1</v>
      </c>
    </row>
    <row r="6590" spans="1:49" x14ac:dyDescent="0.25">
      <c r="A6590" t="str">
        <f>"6586"</f>
        <v>6586</v>
      </c>
      <c r="B6590" t="str">
        <f t="shared" si="380"/>
        <v>1</v>
      </c>
      <c r="C6590" t="str">
        <f t="shared" si="382"/>
        <v>288</v>
      </c>
      <c r="D6590" t="str">
        <f>"3"</f>
        <v>3</v>
      </c>
      <c r="E6590" t="str">
        <f>"1-288-3"</f>
        <v>1-288-3</v>
      </c>
      <c r="F6590" t="s">
        <v>83</v>
      </c>
      <c r="G6590" t="s">
        <v>84</v>
      </c>
      <c r="H6590" t="s">
        <v>92</v>
      </c>
      <c r="I6590">
        <v>1</v>
      </c>
      <c r="J6590">
        <v>1</v>
      </c>
      <c r="N6590">
        <v>1</v>
      </c>
      <c r="O6590">
        <v>1</v>
      </c>
      <c r="P6590">
        <v>1</v>
      </c>
      <c r="Q6590">
        <v>1</v>
      </c>
      <c r="R6590">
        <v>1</v>
      </c>
      <c r="S6590">
        <v>1</v>
      </c>
      <c r="T6590">
        <v>1</v>
      </c>
      <c r="W6590">
        <v>1</v>
      </c>
      <c r="X6590">
        <v>1</v>
      </c>
      <c r="Y6590">
        <v>1</v>
      </c>
      <c r="Z6590">
        <v>1</v>
      </c>
      <c r="AA6590">
        <v>1</v>
      </c>
      <c r="AB6590">
        <v>0</v>
      </c>
    </row>
    <row r="6591" spans="1:49" x14ac:dyDescent="0.25">
      <c r="A6591" t="str">
        <f>"6587"</f>
        <v>6587</v>
      </c>
      <c r="B6591" t="str">
        <f t="shared" si="380"/>
        <v>1</v>
      </c>
      <c r="C6591" t="str">
        <f t="shared" si="382"/>
        <v>288</v>
      </c>
      <c r="D6591" t="str">
        <f>"25"</f>
        <v>25</v>
      </c>
      <c r="E6591" t="str">
        <f>"1-288-25"</f>
        <v>1-288-25</v>
      </c>
      <c r="F6591" t="s">
        <v>83</v>
      </c>
      <c r="G6591" t="s">
        <v>88</v>
      </c>
      <c r="H6591" t="s">
        <v>95</v>
      </c>
      <c r="I6591">
        <v>1</v>
      </c>
      <c r="K6591">
        <v>0</v>
      </c>
      <c r="L6591">
        <v>0</v>
      </c>
      <c r="M6591">
        <v>1</v>
      </c>
      <c r="N6591">
        <v>1</v>
      </c>
      <c r="O6591">
        <v>1</v>
      </c>
      <c r="P6591">
        <v>1</v>
      </c>
      <c r="Q6591">
        <v>1</v>
      </c>
      <c r="R6591">
        <v>1</v>
      </c>
      <c r="S6591">
        <v>1</v>
      </c>
      <c r="T6591">
        <v>1</v>
      </c>
      <c r="W6591">
        <v>1</v>
      </c>
      <c r="X6591">
        <v>1</v>
      </c>
      <c r="Y6591">
        <v>1</v>
      </c>
      <c r="Z6591">
        <v>1</v>
      </c>
      <c r="AA6591">
        <v>1</v>
      </c>
      <c r="AB6591">
        <v>1</v>
      </c>
    </row>
    <row r="6592" spans="1:49" x14ac:dyDescent="0.25">
      <c r="A6592" t="str">
        <f>"6588"</f>
        <v>6588</v>
      </c>
      <c r="B6592" t="str">
        <f t="shared" si="380"/>
        <v>1</v>
      </c>
      <c r="C6592" t="str">
        <f t="shared" si="382"/>
        <v>288</v>
      </c>
      <c r="D6592" t="str">
        <f>"24"</f>
        <v>24</v>
      </c>
      <c r="E6592" t="str">
        <f>"1-288-24"</f>
        <v>1-288-24</v>
      </c>
      <c r="F6592" t="s">
        <v>83</v>
      </c>
      <c r="G6592" t="s">
        <v>84</v>
      </c>
      <c r="H6592" t="s">
        <v>92</v>
      </c>
      <c r="I6592">
        <v>1</v>
      </c>
      <c r="J6592">
        <v>1</v>
      </c>
      <c r="N6592">
        <v>1</v>
      </c>
      <c r="O6592">
        <v>1</v>
      </c>
      <c r="P6592">
        <v>1</v>
      </c>
      <c r="Q6592">
        <v>1</v>
      </c>
      <c r="R6592">
        <v>1</v>
      </c>
      <c r="S6592">
        <v>1</v>
      </c>
      <c r="T6592">
        <v>1</v>
      </c>
      <c r="W6592">
        <v>1</v>
      </c>
      <c r="X6592">
        <v>1</v>
      </c>
      <c r="Y6592">
        <v>1</v>
      </c>
      <c r="Z6592">
        <v>1</v>
      </c>
      <c r="AA6592">
        <v>1</v>
      </c>
      <c r="AB6592">
        <v>1</v>
      </c>
    </row>
    <row r="6593" spans="1:28" x14ac:dyDescent="0.25">
      <c r="A6593" t="str">
        <f>"6589"</f>
        <v>6589</v>
      </c>
      <c r="B6593" t="str">
        <f t="shared" si="380"/>
        <v>1</v>
      </c>
      <c r="C6593" t="str">
        <f t="shared" si="382"/>
        <v>288</v>
      </c>
      <c r="D6593" t="str">
        <f>"15"</f>
        <v>15</v>
      </c>
      <c r="E6593" t="str">
        <f>"1-288-15"</f>
        <v>1-288-15</v>
      </c>
      <c r="F6593" t="s">
        <v>83</v>
      </c>
      <c r="G6593" t="s">
        <v>84</v>
      </c>
      <c r="H6593" t="s">
        <v>92</v>
      </c>
      <c r="I6593">
        <v>1</v>
      </c>
      <c r="J6593">
        <v>1</v>
      </c>
      <c r="N6593">
        <v>1</v>
      </c>
      <c r="O6593">
        <v>1</v>
      </c>
      <c r="P6593">
        <v>1</v>
      </c>
      <c r="Q6593">
        <v>1</v>
      </c>
      <c r="R6593">
        <v>1</v>
      </c>
      <c r="S6593">
        <v>1</v>
      </c>
      <c r="T6593">
        <v>1</v>
      </c>
      <c r="W6593">
        <v>1</v>
      </c>
      <c r="X6593">
        <v>1</v>
      </c>
      <c r="Y6593">
        <v>1</v>
      </c>
      <c r="Z6593">
        <v>1</v>
      </c>
      <c r="AA6593">
        <v>1</v>
      </c>
      <c r="AB6593">
        <v>1</v>
      </c>
    </row>
    <row r="6594" spans="1:28" x14ac:dyDescent="0.25">
      <c r="A6594" t="str">
        <f>"6590"</f>
        <v>6590</v>
      </c>
      <c r="B6594" t="str">
        <f t="shared" si="380"/>
        <v>1</v>
      </c>
      <c r="C6594" t="str">
        <f t="shared" si="382"/>
        <v>288</v>
      </c>
      <c r="D6594" t="str">
        <f>"9"</f>
        <v>9</v>
      </c>
      <c r="E6594" t="str">
        <f>"1-288-9"</f>
        <v>1-288-9</v>
      </c>
      <c r="F6594" t="s">
        <v>83</v>
      </c>
      <c r="G6594" t="s">
        <v>84</v>
      </c>
      <c r="H6594" t="s">
        <v>92</v>
      </c>
      <c r="I6594">
        <v>1</v>
      </c>
      <c r="J6594">
        <v>0</v>
      </c>
      <c r="N6594">
        <v>1</v>
      </c>
      <c r="O6594">
        <v>1</v>
      </c>
      <c r="P6594">
        <v>1</v>
      </c>
      <c r="Q6594">
        <v>1</v>
      </c>
      <c r="R6594">
        <v>1</v>
      </c>
      <c r="S6594">
        <v>1</v>
      </c>
      <c r="T6594">
        <v>0</v>
      </c>
      <c r="W6594">
        <v>1</v>
      </c>
      <c r="X6594">
        <v>1</v>
      </c>
      <c r="Y6594">
        <v>1</v>
      </c>
      <c r="Z6594">
        <v>0</v>
      </c>
      <c r="AA6594">
        <v>0</v>
      </c>
      <c r="AB6594">
        <v>0</v>
      </c>
    </row>
    <row r="6595" spans="1:28" x14ac:dyDescent="0.25">
      <c r="A6595" t="str">
        <f>"6591"</f>
        <v>6591</v>
      </c>
      <c r="B6595" t="str">
        <f t="shared" si="380"/>
        <v>1</v>
      </c>
      <c r="C6595" t="str">
        <f t="shared" si="382"/>
        <v>288</v>
      </c>
      <c r="D6595" t="str">
        <f>"1"</f>
        <v>1</v>
      </c>
      <c r="E6595" t="str">
        <f>"1-288-1"</f>
        <v>1-288-1</v>
      </c>
      <c r="F6595" t="s">
        <v>83</v>
      </c>
      <c r="G6595" t="s">
        <v>84</v>
      </c>
      <c r="H6595" t="s">
        <v>92</v>
      </c>
      <c r="I6595">
        <v>1</v>
      </c>
      <c r="J6595">
        <v>1</v>
      </c>
      <c r="N6595">
        <v>1</v>
      </c>
      <c r="O6595">
        <v>1</v>
      </c>
      <c r="P6595">
        <v>1</v>
      </c>
      <c r="Q6595">
        <v>1</v>
      </c>
      <c r="R6595">
        <v>1</v>
      </c>
      <c r="S6595">
        <v>1</v>
      </c>
      <c r="T6595">
        <v>1</v>
      </c>
      <c r="W6595">
        <v>1</v>
      </c>
      <c r="X6595">
        <v>1</v>
      </c>
      <c r="Y6595">
        <v>1</v>
      </c>
      <c r="Z6595">
        <v>1</v>
      </c>
      <c r="AA6595">
        <v>1</v>
      </c>
      <c r="AB6595">
        <v>1</v>
      </c>
    </row>
    <row r="6596" spans="1:28" x14ac:dyDescent="0.25">
      <c r="A6596" t="str">
        <f>"6592"</f>
        <v>6592</v>
      </c>
      <c r="B6596" t="str">
        <f t="shared" si="380"/>
        <v>1</v>
      </c>
      <c r="C6596" t="str">
        <f t="shared" si="382"/>
        <v>288</v>
      </c>
      <c r="D6596" t="str">
        <f>"23"</f>
        <v>23</v>
      </c>
      <c r="E6596" t="str">
        <f>"1-288-23"</f>
        <v>1-288-23</v>
      </c>
      <c r="F6596" t="s">
        <v>83</v>
      </c>
      <c r="G6596" t="s">
        <v>84</v>
      </c>
      <c r="H6596" t="s">
        <v>92</v>
      </c>
      <c r="I6596">
        <v>1</v>
      </c>
      <c r="J6596">
        <v>1</v>
      </c>
      <c r="N6596">
        <v>1</v>
      </c>
      <c r="O6596">
        <v>1</v>
      </c>
      <c r="P6596">
        <v>1</v>
      </c>
      <c r="Q6596">
        <v>1</v>
      </c>
      <c r="R6596">
        <v>1</v>
      </c>
      <c r="S6596">
        <v>1</v>
      </c>
      <c r="T6596">
        <v>1</v>
      </c>
      <c r="W6596">
        <v>1</v>
      </c>
      <c r="X6596">
        <v>1</v>
      </c>
      <c r="Y6596">
        <v>1</v>
      </c>
      <c r="Z6596">
        <v>1</v>
      </c>
      <c r="AA6596">
        <v>1</v>
      </c>
      <c r="AB6596">
        <v>1</v>
      </c>
    </row>
    <row r="6597" spans="1:28" x14ac:dyDescent="0.25">
      <c r="A6597" t="str">
        <f>"6593"</f>
        <v>6593</v>
      </c>
      <c r="B6597" t="str">
        <f t="shared" si="380"/>
        <v>1</v>
      </c>
      <c r="C6597" t="str">
        <f t="shared" si="382"/>
        <v>288</v>
      </c>
      <c r="D6597" t="str">
        <f>"22"</f>
        <v>22</v>
      </c>
      <c r="E6597" t="str">
        <f>"1-288-22"</f>
        <v>1-288-22</v>
      </c>
      <c r="F6597" t="s">
        <v>83</v>
      </c>
      <c r="G6597" t="s">
        <v>88</v>
      </c>
      <c r="H6597" t="s">
        <v>95</v>
      </c>
      <c r="I6597">
        <v>1</v>
      </c>
      <c r="K6597">
        <v>0</v>
      </c>
      <c r="L6597">
        <v>0</v>
      </c>
      <c r="M6597">
        <v>1</v>
      </c>
      <c r="N6597">
        <v>1</v>
      </c>
      <c r="O6597">
        <v>1</v>
      </c>
      <c r="P6597">
        <v>1</v>
      </c>
      <c r="Q6597">
        <v>1</v>
      </c>
      <c r="R6597">
        <v>1</v>
      </c>
      <c r="S6597">
        <v>1</v>
      </c>
      <c r="T6597">
        <v>0</v>
      </c>
      <c r="W6597">
        <v>1</v>
      </c>
      <c r="X6597">
        <v>1</v>
      </c>
      <c r="Y6597">
        <v>1</v>
      </c>
      <c r="Z6597">
        <v>1</v>
      </c>
      <c r="AA6597">
        <v>1</v>
      </c>
      <c r="AB6597">
        <v>1</v>
      </c>
    </row>
    <row r="6598" spans="1:28" x14ac:dyDescent="0.25">
      <c r="A6598" t="str">
        <f>"6594"</f>
        <v>6594</v>
      </c>
      <c r="B6598" t="str">
        <f t="shared" si="380"/>
        <v>1</v>
      </c>
      <c r="C6598" t="str">
        <f t="shared" si="382"/>
        <v>288</v>
      </c>
      <c r="D6598" t="str">
        <f>"14"</f>
        <v>14</v>
      </c>
      <c r="E6598" t="str">
        <f>"1-288-14"</f>
        <v>1-288-14</v>
      </c>
      <c r="F6598" t="s">
        <v>83</v>
      </c>
      <c r="G6598" t="s">
        <v>84</v>
      </c>
      <c r="H6598" t="s">
        <v>92</v>
      </c>
      <c r="I6598">
        <v>1</v>
      </c>
      <c r="J6598">
        <v>1</v>
      </c>
      <c r="N6598">
        <v>1</v>
      </c>
      <c r="O6598">
        <v>1</v>
      </c>
      <c r="P6598">
        <v>1</v>
      </c>
      <c r="Q6598">
        <v>1</v>
      </c>
      <c r="R6598">
        <v>1</v>
      </c>
      <c r="S6598">
        <v>1</v>
      </c>
      <c r="T6598">
        <v>1</v>
      </c>
      <c r="W6598">
        <v>0</v>
      </c>
      <c r="X6598">
        <v>1</v>
      </c>
      <c r="Y6598">
        <v>1</v>
      </c>
      <c r="Z6598">
        <v>1</v>
      </c>
      <c r="AA6598">
        <v>1</v>
      </c>
      <c r="AB6598">
        <v>1</v>
      </c>
    </row>
    <row r="6599" spans="1:28" x14ac:dyDescent="0.25">
      <c r="A6599" t="str">
        <f>"6595"</f>
        <v>6595</v>
      </c>
      <c r="B6599" t="str">
        <f t="shared" si="380"/>
        <v>1</v>
      </c>
      <c r="C6599" t="str">
        <f t="shared" si="382"/>
        <v>288</v>
      </c>
      <c r="D6599" t="str">
        <f>"10"</f>
        <v>10</v>
      </c>
      <c r="E6599" t="str">
        <f>"1-288-10"</f>
        <v>1-288-10</v>
      </c>
      <c r="F6599" t="s">
        <v>83</v>
      </c>
      <c r="G6599" t="s">
        <v>84</v>
      </c>
      <c r="H6599" t="s">
        <v>92</v>
      </c>
      <c r="I6599">
        <v>1</v>
      </c>
      <c r="J6599">
        <v>1</v>
      </c>
      <c r="N6599">
        <v>1</v>
      </c>
      <c r="O6599">
        <v>0</v>
      </c>
      <c r="P6599">
        <v>0</v>
      </c>
      <c r="Q6599">
        <v>1</v>
      </c>
      <c r="R6599">
        <v>0</v>
      </c>
      <c r="S6599">
        <v>1</v>
      </c>
      <c r="T6599">
        <v>0</v>
      </c>
      <c r="W6599">
        <v>1</v>
      </c>
      <c r="X6599">
        <v>1</v>
      </c>
      <c r="Y6599">
        <v>1</v>
      </c>
      <c r="Z6599">
        <v>1</v>
      </c>
      <c r="AA6599">
        <v>1</v>
      </c>
      <c r="AB6599">
        <v>1</v>
      </c>
    </row>
    <row r="6600" spans="1:28" x14ac:dyDescent="0.25">
      <c r="A6600" t="str">
        <f>"6596"</f>
        <v>6596</v>
      </c>
      <c r="B6600" t="str">
        <f t="shared" si="380"/>
        <v>1</v>
      </c>
      <c r="C6600" t="str">
        <f t="shared" si="382"/>
        <v>288</v>
      </c>
      <c r="D6600" t="str">
        <f>"6"</f>
        <v>6</v>
      </c>
      <c r="E6600" t="str">
        <f>"1-288-6"</f>
        <v>1-288-6</v>
      </c>
      <c r="F6600" t="s">
        <v>83</v>
      </c>
      <c r="G6600" t="s">
        <v>84</v>
      </c>
      <c r="H6600" t="s">
        <v>92</v>
      </c>
      <c r="I6600">
        <v>1</v>
      </c>
      <c r="J6600">
        <v>1</v>
      </c>
      <c r="N6600">
        <v>1</v>
      </c>
      <c r="O6600">
        <v>1</v>
      </c>
      <c r="P6600">
        <v>1</v>
      </c>
      <c r="Q6600">
        <v>1</v>
      </c>
      <c r="R6600">
        <v>1</v>
      </c>
      <c r="S6600">
        <v>1</v>
      </c>
      <c r="T6600">
        <v>1</v>
      </c>
      <c r="W6600">
        <v>0</v>
      </c>
      <c r="X6600">
        <v>1</v>
      </c>
      <c r="Y6600">
        <v>1</v>
      </c>
      <c r="Z6600">
        <v>1</v>
      </c>
      <c r="AA6600">
        <v>1</v>
      </c>
      <c r="AB6600">
        <v>1</v>
      </c>
    </row>
    <row r="6601" spans="1:28" x14ac:dyDescent="0.25">
      <c r="A6601" t="str">
        <f>"6597"</f>
        <v>6597</v>
      </c>
      <c r="B6601" t="str">
        <f t="shared" si="380"/>
        <v>1</v>
      </c>
      <c r="C6601" t="str">
        <f t="shared" si="382"/>
        <v>288</v>
      </c>
      <c r="D6601" t="str">
        <f>"16"</f>
        <v>16</v>
      </c>
      <c r="E6601" t="str">
        <f>"1-288-16"</f>
        <v>1-288-16</v>
      </c>
      <c r="F6601" t="s">
        <v>83</v>
      </c>
      <c r="G6601" t="s">
        <v>84</v>
      </c>
      <c r="H6601" t="s">
        <v>92</v>
      </c>
      <c r="I6601">
        <v>1</v>
      </c>
      <c r="J6601">
        <v>1</v>
      </c>
      <c r="N6601">
        <v>1</v>
      </c>
      <c r="O6601">
        <v>1</v>
      </c>
      <c r="P6601">
        <v>0</v>
      </c>
      <c r="Q6601">
        <v>1</v>
      </c>
      <c r="R6601">
        <v>0</v>
      </c>
      <c r="S6601">
        <v>1</v>
      </c>
      <c r="T6601">
        <v>0</v>
      </c>
      <c r="W6601">
        <v>0</v>
      </c>
      <c r="X6601">
        <v>0</v>
      </c>
      <c r="Y6601">
        <v>0</v>
      </c>
      <c r="Z6601">
        <v>0</v>
      </c>
      <c r="AA6601">
        <v>0</v>
      </c>
      <c r="AB6601">
        <v>0</v>
      </c>
    </row>
    <row r="6602" spans="1:28" x14ac:dyDescent="0.25">
      <c r="A6602" t="str">
        <f>"6598"</f>
        <v>6598</v>
      </c>
      <c r="B6602" t="str">
        <f t="shared" si="380"/>
        <v>1</v>
      </c>
      <c r="C6602" t="str">
        <f t="shared" si="382"/>
        <v>288</v>
      </c>
      <c r="D6602" t="str">
        <f>"11"</f>
        <v>11</v>
      </c>
      <c r="E6602" t="str">
        <f>"1-288-11"</f>
        <v>1-288-11</v>
      </c>
      <c r="F6602" t="s">
        <v>83</v>
      </c>
      <c r="G6602" t="s">
        <v>84</v>
      </c>
      <c r="H6602" t="s">
        <v>92</v>
      </c>
      <c r="I6602">
        <v>1</v>
      </c>
      <c r="J6602">
        <v>1</v>
      </c>
      <c r="N6602">
        <v>1</v>
      </c>
      <c r="O6602">
        <v>1</v>
      </c>
      <c r="P6602">
        <v>0</v>
      </c>
      <c r="Q6602">
        <v>1</v>
      </c>
      <c r="R6602">
        <v>1</v>
      </c>
      <c r="S6602">
        <v>1</v>
      </c>
      <c r="T6602">
        <v>1</v>
      </c>
      <c r="W6602">
        <v>1</v>
      </c>
      <c r="X6602">
        <v>1</v>
      </c>
      <c r="Y6602">
        <v>1</v>
      </c>
      <c r="Z6602">
        <v>0</v>
      </c>
      <c r="AA6602">
        <v>0</v>
      </c>
      <c r="AB6602">
        <v>1</v>
      </c>
    </row>
    <row r="6603" spans="1:28" x14ac:dyDescent="0.25">
      <c r="A6603" t="str">
        <f>"6599"</f>
        <v>6599</v>
      </c>
      <c r="B6603" t="str">
        <f t="shared" si="380"/>
        <v>1</v>
      </c>
      <c r="C6603" t="str">
        <f t="shared" si="382"/>
        <v>288</v>
      </c>
      <c r="D6603" t="str">
        <f>"4"</f>
        <v>4</v>
      </c>
      <c r="E6603" t="str">
        <f>"1-288-4"</f>
        <v>1-288-4</v>
      </c>
      <c r="F6603" t="s">
        <v>83</v>
      </c>
      <c r="G6603" t="s">
        <v>84</v>
      </c>
      <c r="H6603" t="s">
        <v>92</v>
      </c>
      <c r="I6603">
        <v>1</v>
      </c>
      <c r="J6603">
        <v>1</v>
      </c>
      <c r="N6603">
        <v>1</v>
      </c>
      <c r="O6603">
        <v>1</v>
      </c>
      <c r="P6603">
        <v>1</v>
      </c>
      <c r="Q6603">
        <v>1</v>
      </c>
      <c r="R6603">
        <v>0</v>
      </c>
      <c r="S6603">
        <v>1</v>
      </c>
      <c r="T6603">
        <v>1</v>
      </c>
      <c r="W6603">
        <v>1</v>
      </c>
      <c r="X6603">
        <v>1</v>
      </c>
      <c r="Y6603">
        <v>1</v>
      </c>
      <c r="Z6603">
        <v>1</v>
      </c>
      <c r="AA6603">
        <v>0</v>
      </c>
      <c r="AB6603">
        <v>1</v>
      </c>
    </row>
    <row r="6604" spans="1:28" x14ac:dyDescent="0.25">
      <c r="A6604" t="str">
        <f>"6600"</f>
        <v>6600</v>
      </c>
      <c r="B6604" t="str">
        <f t="shared" si="380"/>
        <v>1</v>
      </c>
      <c r="C6604" t="str">
        <f t="shared" si="382"/>
        <v>288</v>
      </c>
      <c r="D6604" t="str">
        <f>"17"</f>
        <v>17</v>
      </c>
      <c r="E6604" t="str">
        <f>"1-288-17"</f>
        <v>1-288-17</v>
      </c>
      <c r="F6604" t="s">
        <v>83</v>
      </c>
      <c r="G6604" t="s">
        <v>84</v>
      </c>
      <c r="H6604" t="s">
        <v>92</v>
      </c>
      <c r="I6604">
        <v>1</v>
      </c>
      <c r="J6604">
        <v>1</v>
      </c>
      <c r="N6604">
        <v>1</v>
      </c>
      <c r="O6604">
        <v>1</v>
      </c>
      <c r="P6604">
        <v>1</v>
      </c>
      <c r="Q6604">
        <v>1</v>
      </c>
      <c r="R6604">
        <v>1</v>
      </c>
      <c r="S6604">
        <v>1</v>
      </c>
      <c r="T6604">
        <v>1</v>
      </c>
      <c r="W6604">
        <v>1</v>
      </c>
      <c r="X6604">
        <v>1</v>
      </c>
      <c r="Y6604">
        <v>1</v>
      </c>
      <c r="Z6604">
        <v>1</v>
      </c>
      <c r="AA6604">
        <v>1</v>
      </c>
      <c r="AB6604">
        <v>1</v>
      </c>
    </row>
    <row r="6605" spans="1:28" x14ac:dyDescent="0.25">
      <c r="A6605" t="str">
        <f>"6601"</f>
        <v>6601</v>
      </c>
      <c r="B6605" t="str">
        <f t="shared" si="380"/>
        <v>1</v>
      </c>
      <c r="C6605" t="str">
        <f t="shared" si="382"/>
        <v>288</v>
      </c>
      <c r="D6605" t="str">
        <f>"12"</f>
        <v>12</v>
      </c>
      <c r="E6605" t="str">
        <f>"1-288-12"</f>
        <v>1-288-12</v>
      </c>
      <c r="F6605" t="s">
        <v>83</v>
      </c>
      <c r="G6605" t="s">
        <v>84</v>
      </c>
      <c r="H6605" t="s">
        <v>92</v>
      </c>
      <c r="I6605">
        <v>1</v>
      </c>
      <c r="J6605">
        <v>1</v>
      </c>
      <c r="N6605">
        <v>1</v>
      </c>
      <c r="O6605">
        <v>1</v>
      </c>
      <c r="P6605">
        <v>1</v>
      </c>
      <c r="Q6605">
        <v>1</v>
      </c>
      <c r="R6605">
        <v>1</v>
      </c>
      <c r="S6605">
        <v>1</v>
      </c>
      <c r="T6605">
        <v>0</v>
      </c>
      <c r="W6605">
        <v>1</v>
      </c>
      <c r="X6605">
        <v>1</v>
      </c>
      <c r="Y6605">
        <v>1</v>
      </c>
      <c r="Z6605">
        <v>1</v>
      </c>
      <c r="AA6605">
        <v>1</v>
      </c>
      <c r="AB6605">
        <v>1</v>
      </c>
    </row>
    <row r="6606" spans="1:28" x14ac:dyDescent="0.25">
      <c r="A6606" t="str">
        <f>"6602"</f>
        <v>6602</v>
      </c>
      <c r="B6606" t="str">
        <f t="shared" si="380"/>
        <v>1</v>
      </c>
      <c r="C6606" t="str">
        <f t="shared" si="382"/>
        <v>288</v>
      </c>
      <c r="D6606" t="str">
        <f>"5"</f>
        <v>5</v>
      </c>
      <c r="E6606" t="str">
        <f>"1-288-5"</f>
        <v>1-288-5</v>
      </c>
      <c r="F6606" t="s">
        <v>83</v>
      </c>
      <c r="G6606" t="s">
        <v>84</v>
      </c>
      <c r="H6606" t="s">
        <v>92</v>
      </c>
      <c r="I6606">
        <v>1</v>
      </c>
      <c r="J6606">
        <v>1</v>
      </c>
      <c r="N6606">
        <v>1</v>
      </c>
      <c r="O6606">
        <v>1</v>
      </c>
      <c r="P6606">
        <v>1</v>
      </c>
      <c r="Q6606">
        <v>1</v>
      </c>
      <c r="R6606">
        <v>1</v>
      </c>
      <c r="S6606">
        <v>1</v>
      </c>
      <c r="T6606">
        <v>1</v>
      </c>
      <c r="W6606">
        <v>1</v>
      </c>
      <c r="X6606">
        <v>1</v>
      </c>
      <c r="Y6606">
        <v>1</v>
      </c>
      <c r="Z6606">
        <v>1</v>
      </c>
      <c r="AA6606">
        <v>0</v>
      </c>
      <c r="AB6606">
        <v>1</v>
      </c>
    </row>
    <row r="6607" spans="1:28" x14ac:dyDescent="0.25">
      <c r="A6607" t="str">
        <f>"6603"</f>
        <v>6603</v>
      </c>
      <c r="B6607" t="str">
        <f t="shared" si="380"/>
        <v>1</v>
      </c>
      <c r="C6607" t="str">
        <f t="shared" si="382"/>
        <v>288</v>
      </c>
      <c r="D6607" t="str">
        <f>"18"</f>
        <v>18</v>
      </c>
      <c r="E6607" t="str">
        <f>"1-288-18"</f>
        <v>1-288-18</v>
      </c>
      <c r="F6607" t="s">
        <v>83</v>
      </c>
      <c r="G6607" t="s">
        <v>84</v>
      </c>
      <c r="H6607" t="s">
        <v>92</v>
      </c>
      <c r="I6607">
        <v>1</v>
      </c>
      <c r="J6607">
        <v>1</v>
      </c>
      <c r="N6607">
        <v>1</v>
      </c>
      <c r="O6607">
        <v>1</v>
      </c>
      <c r="P6607">
        <v>1</v>
      </c>
      <c r="Q6607">
        <v>1</v>
      </c>
      <c r="R6607">
        <v>1</v>
      </c>
      <c r="S6607">
        <v>1</v>
      </c>
      <c r="T6607">
        <v>1</v>
      </c>
      <c r="W6607">
        <v>1</v>
      </c>
      <c r="X6607">
        <v>1</v>
      </c>
      <c r="Y6607">
        <v>1</v>
      </c>
      <c r="Z6607">
        <v>1</v>
      </c>
      <c r="AA6607">
        <v>1</v>
      </c>
      <c r="AB6607">
        <v>1</v>
      </c>
    </row>
    <row r="6608" spans="1:28" x14ac:dyDescent="0.25">
      <c r="A6608" t="str">
        <f>"6604"</f>
        <v>6604</v>
      </c>
      <c r="B6608" t="str">
        <f t="shared" si="380"/>
        <v>1</v>
      </c>
      <c r="C6608" t="str">
        <f t="shared" si="382"/>
        <v>288</v>
      </c>
      <c r="D6608" t="str">
        <f>"2"</f>
        <v>2</v>
      </c>
      <c r="E6608" t="str">
        <f>"1-288-2"</f>
        <v>1-288-2</v>
      </c>
      <c r="F6608" t="s">
        <v>83</v>
      </c>
      <c r="G6608" t="s">
        <v>84</v>
      </c>
      <c r="H6608" t="s">
        <v>92</v>
      </c>
      <c r="I6608">
        <v>1</v>
      </c>
      <c r="J6608">
        <v>1</v>
      </c>
      <c r="N6608">
        <v>1</v>
      </c>
      <c r="O6608">
        <v>1</v>
      </c>
      <c r="P6608">
        <v>1</v>
      </c>
      <c r="Q6608">
        <v>1</v>
      </c>
      <c r="R6608">
        <v>1</v>
      </c>
      <c r="S6608">
        <v>1</v>
      </c>
      <c r="T6608">
        <v>1</v>
      </c>
      <c r="W6608">
        <v>1</v>
      </c>
      <c r="X6608">
        <v>1</v>
      </c>
      <c r="Y6608">
        <v>1</v>
      </c>
      <c r="Z6608">
        <v>1</v>
      </c>
      <c r="AA6608">
        <v>1</v>
      </c>
      <c r="AB6608">
        <v>1</v>
      </c>
    </row>
    <row r="6609" spans="1:28" x14ac:dyDescent="0.25">
      <c r="A6609" t="str">
        <f>"6605"</f>
        <v>6605</v>
      </c>
      <c r="B6609" t="str">
        <f t="shared" si="380"/>
        <v>1</v>
      </c>
      <c r="C6609" t="str">
        <f t="shared" si="382"/>
        <v>288</v>
      </c>
      <c r="D6609" t="str">
        <f>"21"</f>
        <v>21</v>
      </c>
      <c r="E6609" t="str">
        <f>"1-288-21"</f>
        <v>1-288-21</v>
      </c>
      <c r="F6609" t="s">
        <v>83</v>
      </c>
      <c r="G6609" t="s">
        <v>84</v>
      </c>
      <c r="H6609" t="s">
        <v>92</v>
      </c>
      <c r="I6609">
        <v>1</v>
      </c>
      <c r="J6609">
        <v>1</v>
      </c>
      <c r="N6609">
        <v>1</v>
      </c>
      <c r="O6609">
        <v>1</v>
      </c>
      <c r="P6609">
        <v>1</v>
      </c>
      <c r="Q6609">
        <v>1</v>
      </c>
      <c r="R6609">
        <v>1</v>
      </c>
      <c r="S6609">
        <v>1</v>
      </c>
      <c r="T6609">
        <v>1</v>
      </c>
      <c r="W6609">
        <v>1</v>
      </c>
      <c r="X6609">
        <v>1</v>
      </c>
      <c r="Y6609">
        <v>1</v>
      </c>
      <c r="Z6609">
        <v>1</v>
      </c>
      <c r="AA6609">
        <v>1</v>
      </c>
      <c r="AB6609">
        <v>1</v>
      </c>
    </row>
    <row r="6610" spans="1:28" x14ac:dyDescent="0.25">
      <c r="A6610" t="str">
        <f>"6606"</f>
        <v>6606</v>
      </c>
      <c r="B6610" t="str">
        <f t="shared" si="380"/>
        <v>1</v>
      </c>
      <c r="C6610" t="str">
        <f t="shared" si="382"/>
        <v>288</v>
      </c>
      <c r="D6610" t="str">
        <f>"7"</f>
        <v>7</v>
      </c>
      <c r="E6610" t="str">
        <f>"1-288-7"</f>
        <v>1-288-7</v>
      </c>
      <c r="F6610" t="s">
        <v>83</v>
      </c>
      <c r="G6610" t="s">
        <v>84</v>
      </c>
      <c r="H6610" t="s">
        <v>92</v>
      </c>
      <c r="I6610">
        <v>1</v>
      </c>
      <c r="J6610">
        <v>1</v>
      </c>
      <c r="N6610">
        <v>1</v>
      </c>
      <c r="O6610">
        <v>1</v>
      </c>
      <c r="P6610">
        <v>1</v>
      </c>
      <c r="Q6610">
        <v>1</v>
      </c>
      <c r="R6610">
        <v>1</v>
      </c>
      <c r="S6610">
        <v>1</v>
      </c>
      <c r="T6610">
        <v>1</v>
      </c>
      <c r="W6610">
        <v>0</v>
      </c>
      <c r="X6610">
        <v>1</v>
      </c>
      <c r="Y6610">
        <v>1</v>
      </c>
      <c r="Z6610">
        <v>1</v>
      </c>
      <c r="AA6610">
        <v>1</v>
      </c>
      <c r="AB6610">
        <v>1</v>
      </c>
    </row>
    <row r="6611" spans="1:28" x14ac:dyDescent="0.25">
      <c r="A6611" t="str">
        <f>"6607"</f>
        <v>6607</v>
      </c>
      <c r="B6611" t="str">
        <f t="shared" si="380"/>
        <v>1</v>
      </c>
      <c r="C6611" t="str">
        <f t="shared" ref="C6611:C6635" si="383">"289"</f>
        <v>289</v>
      </c>
      <c r="D6611" t="str">
        <f>"21"</f>
        <v>21</v>
      </c>
      <c r="E6611" t="str">
        <f>"1-289-21"</f>
        <v>1-289-21</v>
      </c>
      <c r="F6611" t="s">
        <v>83</v>
      </c>
      <c r="G6611" t="s">
        <v>84</v>
      </c>
      <c r="H6611" t="s">
        <v>92</v>
      </c>
      <c r="I6611">
        <v>1</v>
      </c>
      <c r="J6611">
        <v>1</v>
      </c>
      <c r="N6611">
        <v>1</v>
      </c>
      <c r="O6611">
        <v>1</v>
      </c>
      <c r="P6611">
        <v>1</v>
      </c>
      <c r="Q6611">
        <v>1</v>
      </c>
      <c r="R6611">
        <v>1</v>
      </c>
      <c r="S6611">
        <v>1</v>
      </c>
      <c r="T6611">
        <v>1</v>
      </c>
      <c r="W6611">
        <v>1</v>
      </c>
      <c r="X6611">
        <v>1</v>
      </c>
      <c r="Y6611">
        <v>1</v>
      </c>
      <c r="Z6611">
        <v>1</v>
      </c>
      <c r="AA6611">
        <v>1</v>
      </c>
      <c r="AB6611">
        <v>0</v>
      </c>
    </row>
    <row r="6612" spans="1:28" x14ac:dyDescent="0.25">
      <c r="A6612" t="str">
        <f>"6608"</f>
        <v>6608</v>
      </c>
      <c r="B6612" t="str">
        <f t="shared" si="380"/>
        <v>1</v>
      </c>
      <c r="C6612" t="str">
        <f t="shared" si="383"/>
        <v>289</v>
      </c>
      <c r="D6612" t="str">
        <f>"20"</f>
        <v>20</v>
      </c>
      <c r="E6612" t="str">
        <f>"1-289-20"</f>
        <v>1-289-20</v>
      </c>
      <c r="F6612" t="s">
        <v>83</v>
      </c>
      <c r="G6612" t="s">
        <v>84</v>
      </c>
      <c r="H6612" t="s">
        <v>92</v>
      </c>
      <c r="I6612">
        <v>1</v>
      </c>
      <c r="J6612">
        <v>1</v>
      </c>
      <c r="N6612">
        <v>1</v>
      </c>
      <c r="O6612">
        <v>1</v>
      </c>
      <c r="P6612">
        <v>1</v>
      </c>
      <c r="Q6612">
        <v>1</v>
      </c>
      <c r="R6612">
        <v>1</v>
      </c>
      <c r="S6612">
        <v>1</v>
      </c>
      <c r="T6612">
        <v>1</v>
      </c>
      <c r="W6612">
        <v>1</v>
      </c>
      <c r="X6612">
        <v>1</v>
      </c>
      <c r="Y6612">
        <v>1</v>
      </c>
      <c r="Z6612">
        <v>1</v>
      </c>
      <c r="AA6612">
        <v>1</v>
      </c>
      <c r="AB6612">
        <v>1</v>
      </c>
    </row>
    <row r="6613" spans="1:28" x14ac:dyDescent="0.25">
      <c r="A6613" t="str">
        <f>"6609"</f>
        <v>6609</v>
      </c>
      <c r="B6613" t="str">
        <f t="shared" si="380"/>
        <v>1</v>
      </c>
      <c r="C6613" t="str">
        <f t="shared" si="383"/>
        <v>289</v>
      </c>
      <c r="D6613" t="str">
        <f>"15"</f>
        <v>15</v>
      </c>
      <c r="E6613" t="str">
        <f>"1-289-15"</f>
        <v>1-289-15</v>
      </c>
      <c r="F6613" t="s">
        <v>83</v>
      </c>
      <c r="G6613" t="s">
        <v>84</v>
      </c>
      <c r="H6613" t="s">
        <v>92</v>
      </c>
      <c r="I6613">
        <v>1</v>
      </c>
      <c r="J6613">
        <v>1</v>
      </c>
      <c r="N6613">
        <v>1</v>
      </c>
      <c r="O6613">
        <v>1</v>
      </c>
      <c r="P6613">
        <v>1</v>
      </c>
      <c r="Q6613">
        <v>1</v>
      </c>
      <c r="R6613">
        <v>1</v>
      </c>
      <c r="S6613">
        <v>1</v>
      </c>
      <c r="T6613">
        <v>1</v>
      </c>
      <c r="W6613">
        <v>1</v>
      </c>
      <c r="X6613">
        <v>1</v>
      </c>
      <c r="Y6613">
        <v>1</v>
      </c>
      <c r="Z6613">
        <v>1</v>
      </c>
      <c r="AA6613">
        <v>1</v>
      </c>
      <c r="AB6613">
        <v>1</v>
      </c>
    </row>
    <row r="6614" spans="1:28" x14ac:dyDescent="0.25">
      <c r="A6614" t="str">
        <f>"6610"</f>
        <v>6610</v>
      </c>
      <c r="B6614" t="str">
        <f t="shared" si="380"/>
        <v>1</v>
      </c>
      <c r="C6614" t="str">
        <f t="shared" si="383"/>
        <v>289</v>
      </c>
      <c r="D6614" t="str">
        <f>"8"</f>
        <v>8</v>
      </c>
      <c r="E6614" t="str">
        <f>"1-289-8"</f>
        <v>1-289-8</v>
      </c>
      <c r="F6614" t="s">
        <v>83</v>
      </c>
      <c r="G6614" t="s">
        <v>84</v>
      </c>
      <c r="H6614" t="s">
        <v>92</v>
      </c>
      <c r="I6614">
        <v>1</v>
      </c>
      <c r="J6614">
        <v>1</v>
      </c>
      <c r="N6614">
        <v>1</v>
      </c>
      <c r="O6614">
        <v>1</v>
      </c>
      <c r="P6614">
        <v>1</v>
      </c>
      <c r="Q6614">
        <v>1</v>
      </c>
      <c r="R6614">
        <v>1</v>
      </c>
      <c r="S6614">
        <v>1</v>
      </c>
      <c r="T6614">
        <v>1</v>
      </c>
      <c r="W6614">
        <v>1</v>
      </c>
      <c r="X6614">
        <v>1</v>
      </c>
      <c r="Y6614">
        <v>1</v>
      </c>
      <c r="Z6614">
        <v>1</v>
      </c>
      <c r="AA6614">
        <v>1</v>
      </c>
      <c r="AB6614">
        <v>1</v>
      </c>
    </row>
    <row r="6615" spans="1:28" x14ac:dyDescent="0.25">
      <c r="A6615" t="str">
        <f>"6611"</f>
        <v>6611</v>
      </c>
      <c r="B6615" t="str">
        <f t="shared" si="380"/>
        <v>1</v>
      </c>
      <c r="C6615" t="str">
        <f t="shared" si="383"/>
        <v>289</v>
      </c>
      <c r="D6615" t="str">
        <f>"1"</f>
        <v>1</v>
      </c>
      <c r="E6615" t="str">
        <f>"1-289-1"</f>
        <v>1-289-1</v>
      </c>
      <c r="F6615" t="s">
        <v>83</v>
      </c>
      <c r="G6615" t="s">
        <v>84</v>
      </c>
      <c r="H6615" t="s">
        <v>92</v>
      </c>
      <c r="I6615">
        <v>1</v>
      </c>
      <c r="J6615">
        <v>1</v>
      </c>
      <c r="N6615">
        <v>1</v>
      </c>
      <c r="O6615">
        <v>1</v>
      </c>
      <c r="P6615">
        <v>1</v>
      </c>
      <c r="Q6615">
        <v>1</v>
      </c>
      <c r="R6615">
        <v>1</v>
      </c>
      <c r="S6615">
        <v>1</v>
      </c>
      <c r="T6615">
        <v>1</v>
      </c>
      <c r="W6615">
        <v>1</v>
      </c>
      <c r="X6615">
        <v>1</v>
      </c>
      <c r="Y6615">
        <v>1</v>
      </c>
      <c r="Z6615">
        <v>1</v>
      </c>
      <c r="AA6615">
        <v>1</v>
      </c>
      <c r="AB6615">
        <v>1</v>
      </c>
    </row>
    <row r="6616" spans="1:28" x14ac:dyDescent="0.25">
      <c r="A6616" t="str">
        <f>"6612"</f>
        <v>6612</v>
      </c>
      <c r="B6616" t="str">
        <f t="shared" si="380"/>
        <v>1</v>
      </c>
      <c r="C6616" t="str">
        <f t="shared" si="383"/>
        <v>289</v>
      </c>
      <c r="D6616" t="str">
        <f>"23"</f>
        <v>23</v>
      </c>
      <c r="E6616" t="str">
        <f>"1-289-23"</f>
        <v>1-289-23</v>
      </c>
      <c r="F6616" t="s">
        <v>83</v>
      </c>
      <c r="G6616" t="s">
        <v>84</v>
      </c>
      <c r="H6616" t="s">
        <v>92</v>
      </c>
      <c r="I6616">
        <v>1</v>
      </c>
      <c r="J6616">
        <v>1</v>
      </c>
      <c r="N6616">
        <v>1</v>
      </c>
      <c r="O6616">
        <v>1</v>
      </c>
      <c r="P6616">
        <v>1</v>
      </c>
      <c r="Q6616">
        <v>1</v>
      </c>
      <c r="R6616">
        <v>1</v>
      </c>
      <c r="S6616">
        <v>1</v>
      </c>
      <c r="T6616">
        <v>1</v>
      </c>
      <c r="W6616">
        <v>1</v>
      </c>
      <c r="X6616">
        <v>1</v>
      </c>
      <c r="Y6616">
        <v>1</v>
      </c>
      <c r="Z6616">
        <v>1</v>
      </c>
      <c r="AA6616">
        <v>1</v>
      </c>
      <c r="AB6616">
        <v>1</v>
      </c>
    </row>
    <row r="6617" spans="1:28" x14ac:dyDescent="0.25">
      <c r="A6617" t="str">
        <f>"6613"</f>
        <v>6613</v>
      </c>
      <c r="B6617" t="str">
        <f t="shared" si="380"/>
        <v>1</v>
      </c>
      <c r="C6617" t="str">
        <f t="shared" si="383"/>
        <v>289</v>
      </c>
      <c r="D6617" t="str">
        <f>"22"</f>
        <v>22</v>
      </c>
      <c r="E6617" t="str">
        <f>"1-289-22"</f>
        <v>1-289-22</v>
      </c>
      <c r="F6617" t="s">
        <v>83</v>
      </c>
      <c r="G6617" t="s">
        <v>84</v>
      </c>
      <c r="H6617" t="s">
        <v>92</v>
      </c>
      <c r="I6617">
        <v>1</v>
      </c>
      <c r="J6617">
        <v>1</v>
      </c>
      <c r="N6617">
        <v>1</v>
      </c>
      <c r="O6617">
        <v>1</v>
      </c>
      <c r="P6617">
        <v>1</v>
      </c>
      <c r="Q6617">
        <v>1</v>
      </c>
      <c r="R6617">
        <v>1</v>
      </c>
      <c r="S6617">
        <v>1</v>
      </c>
      <c r="T6617">
        <v>1</v>
      </c>
      <c r="W6617">
        <v>1</v>
      </c>
      <c r="X6617">
        <v>1</v>
      </c>
      <c r="Y6617">
        <v>1</v>
      </c>
      <c r="Z6617">
        <v>1</v>
      </c>
      <c r="AA6617">
        <v>1</v>
      </c>
      <c r="AB6617">
        <v>1</v>
      </c>
    </row>
    <row r="6618" spans="1:28" x14ac:dyDescent="0.25">
      <c r="A6618" t="str">
        <f>"6614"</f>
        <v>6614</v>
      </c>
      <c r="B6618" t="str">
        <f t="shared" si="380"/>
        <v>1</v>
      </c>
      <c r="C6618" t="str">
        <f t="shared" si="383"/>
        <v>289</v>
      </c>
      <c r="D6618" t="str">
        <f>"16"</f>
        <v>16</v>
      </c>
      <c r="E6618" t="str">
        <f>"1-289-16"</f>
        <v>1-289-16</v>
      </c>
      <c r="F6618" t="s">
        <v>83</v>
      </c>
      <c r="G6618" t="s">
        <v>84</v>
      </c>
      <c r="H6618" t="s">
        <v>92</v>
      </c>
      <c r="I6618">
        <v>1</v>
      </c>
      <c r="J6618">
        <v>1</v>
      </c>
      <c r="N6618">
        <v>1</v>
      </c>
      <c r="O6618">
        <v>1</v>
      </c>
      <c r="P6618">
        <v>1</v>
      </c>
      <c r="Q6618">
        <v>1</v>
      </c>
      <c r="R6618">
        <v>1</v>
      </c>
      <c r="S6618">
        <v>1</v>
      </c>
      <c r="T6618">
        <v>1</v>
      </c>
      <c r="W6618">
        <v>1</v>
      </c>
      <c r="X6618">
        <v>1</v>
      </c>
      <c r="Y6618">
        <v>1</v>
      </c>
      <c r="Z6618">
        <v>1</v>
      </c>
      <c r="AA6618">
        <v>1</v>
      </c>
      <c r="AB6618">
        <v>1</v>
      </c>
    </row>
    <row r="6619" spans="1:28" x14ac:dyDescent="0.25">
      <c r="A6619" t="str">
        <f>"6615"</f>
        <v>6615</v>
      </c>
      <c r="B6619" t="str">
        <f t="shared" si="380"/>
        <v>1</v>
      </c>
      <c r="C6619" t="str">
        <f t="shared" si="383"/>
        <v>289</v>
      </c>
      <c r="D6619" t="str">
        <f>"9"</f>
        <v>9</v>
      </c>
      <c r="E6619" t="str">
        <f>"1-289-9"</f>
        <v>1-289-9</v>
      </c>
      <c r="F6619" t="s">
        <v>83</v>
      </c>
      <c r="G6619" t="s">
        <v>84</v>
      </c>
      <c r="H6619" t="s">
        <v>92</v>
      </c>
      <c r="I6619">
        <v>1</v>
      </c>
      <c r="J6619">
        <v>1</v>
      </c>
      <c r="N6619">
        <v>1</v>
      </c>
      <c r="O6619">
        <v>1</v>
      </c>
      <c r="P6619">
        <v>1</v>
      </c>
      <c r="Q6619">
        <v>1</v>
      </c>
      <c r="R6619">
        <v>1</v>
      </c>
      <c r="S6619">
        <v>1</v>
      </c>
      <c r="T6619">
        <v>1</v>
      </c>
      <c r="W6619">
        <v>1</v>
      </c>
      <c r="X6619">
        <v>1</v>
      </c>
      <c r="Y6619">
        <v>1</v>
      </c>
      <c r="Z6619">
        <v>1</v>
      </c>
      <c r="AA6619">
        <v>1</v>
      </c>
      <c r="AB6619">
        <v>1</v>
      </c>
    </row>
    <row r="6620" spans="1:28" x14ac:dyDescent="0.25">
      <c r="A6620" t="str">
        <f>"6616"</f>
        <v>6616</v>
      </c>
      <c r="B6620" t="str">
        <f t="shared" si="380"/>
        <v>1</v>
      </c>
      <c r="C6620" t="str">
        <f t="shared" si="383"/>
        <v>289</v>
      </c>
      <c r="D6620" t="str">
        <f>"6"</f>
        <v>6</v>
      </c>
      <c r="E6620" t="str">
        <f>"1-289-6"</f>
        <v>1-289-6</v>
      </c>
      <c r="F6620" t="s">
        <v>83</v>
      </c>
      <c r="G6620" t="s">
        <v>84</v>
      </c>
      <c r="H6620" t="s">
        <v>92</v>
      </c>
      <c r="I6620">
        <v>1</v>
      </c>
      <c r="J6620">
        <v>1</v>
      </c>
      <c r="N6620">
        <v>1</v>
      </c>
      <c r="O6620">
        <v>1</v>
      </c>
      <c r="P6620">
        <v>1</v>
      </c>
      <c r="Q6620">
        <v>1</v>
      </c>
      <c r="R6620">
        <v>1</v>
      </c>
      <c r="S6620">
        <v>1</v>
      </c>
      <c r="T6620">
        <v>1</v>
      </c>
      <c r="W6620">
        <v>1</v>
      </c>
      <c r="X6620">
        <v>1</v>
      </c>
      <c r="Y6620">
        <v>1</v>
      </c>
      <c r="Z6620">
        <v>1</v>
      </c>
      <c r="AA6620">
        <v>1</v>
      </c>
      <c r="AB6620">
        <v>1</v>
      </c>
    </row>
    <row r="6621" spans="1:28" x14ac:dyDescent="0.25">
      <c r="A6621" t="str">
        <f>"6617"</f>
        <v>6617</v>
      </c>
      <c r="B6621" t="str">
        <f t="shared" si="380"/>
        <v>1</v>
      </c>
      <c r="C6621" t="str">
        <f t="shared" si="383"/>
        <v>289</v>
      </c>
      <c r="D6621" t="str">
        <f>"17"</f>
        <v>17</v>
      </c>
      <c r="E6621" t="str">
        <f>"1-289-17"</f>
        <v>1-289-17</v>
      </c>
      <c r="F6621" t="s">
        <v>83</v>
      </c>
      <c r="G6621" t="s">
        <v>84</v>
      </c>
      <c r="H6621" t="s">
        <v>92</v>
      </c>
      <c r="I6621">
        <v>1</v>
      </c>
      <c r="J6621">
        <v>1</v>
      </c>
      <c r="N6621">
        <v>1</v>
      </c>
      <c r="O6621">
        <v>1</v>
      </c>
      <c r="P6621">
        <v>1</v>
      </c>
      <c r="Q6621">
        <v>1</v>
      </c>
      <c r="R6621">
        <v>1</v>
      </c>
      <c r="S6621">
        <v>1</v>
      </c>
      <c r="T6621">
        <v>1</v>
      </c>
      <c r="W6621">
        <v>1</v>
      </c>
      <c r="X6621">
        <v>1</v>
      </c>
      <c r="Y6621">
        <v>1</v>
      </c>
      <c r="Z6621">
        <v>1</v>
      </c>
      <c r="AA6621">
        <v>1</v>
      </c>
      <c r="AB6621">
        <v>1</v>
      </c>
    </row>
    <row r="6622" spans="1:28" x14ac:dyDescent="0.25">
      <c r="A6622" t="str">
        <f>"6618"</f>
        <v>6618</v>
      </c>
      <c r="B6622" t="str">
        <f t="shared" ref="B6622:B6685" si="384">"1"</f>
        <v>1</v>
      </c>
      <c r="C6622" t="str">
        <f t="shared" si="383"/>
        <v>289</v>
      </c>
      <c r="D6622" t="str">
        <f>"10"</f>
        <v>10</v>
      </c>
      <c r="E6622" t="str">
        <f>"1-289-10"</f>
        <v>1-289-10</v>
      </c>
      <c r="F6622" t="s">
        <v>83</v>
      </c>
      <c r="G6622" t="s">
        <v>84</v>
      </c>
      <c r="H6622" t="s">
        <v>92</v>
      </c>
      <c r="I6622">
        <v>1</v>
      </c>
      <c r="J6622">
        <v>1</v>
      </c>
      <c r="N6622">
        <v>1</v>
      </c>
      <c r="O6622">
        <v>1</v>
      </c>
      <c r="P6622">
        <v>1</v>
      </c>
      <c r="Q6622">
        <v>1</v>
      </c>
      <c r="R6622">
        <v>1</v>
      </c>
      <c r="S6622">
        <v>1</v>
      </c>
      <c r="T6622">
        <v>1</v>
      </c>
      <c r="W6622">
        <v>1</v>
      </c>
      <c r="X6622">
        <v>1</v>
      </c>
      <c r="Y6622">
        <v>1</v>
      </c>
      <c r="Z6622">
        <v>1</v>
      </c>
      <c r="AA6622">
        <v>1</v>
      </c>
      <c r="AB6622">
        <v>1</v>
      </c>
    </row>
    <row r="6623" spans="1:28" x14ac:dyDescent="0.25">
      <c r="A6623" t="str">
        <f>"6619"</f>
        <v>6619</v>
      </c>
      <c r="B6623" t="str">
        <f t="shared" si="384"/>
        <v>1</v>
      </c>
      <c r="C6623" t="str">
        <f t="shared" si="383"/>
        <v>289</v>
      </c>
      <c r="D6623" t="str">
        <f>"3"</f>
        <v>3</v>
      </c>
      <c r="E6623" t="str">
        <f>"1-289-3"</f>
        <v>1-289-3</v>
      </c>
      <c r="F6623" t="s">
        <v>83</v>
      </c>
      <c r="G6623" t="s">
        <v>84</v>
      </c>
      <c r="H6623" t="s">
        <v>92</v>
      </c>
      <c r="I6623">
        <v>1</v>
      </c>
      <c r="J6623">
        <v>1</v>
      </c>
      <c r="N6623">
        <v>1</v>
      </c>
      <c r="O6623">
        <v>1</v>
      </c>
      <c r="P6623">
        <v>1</v>
      </c>
      <c r="Q6623">
        <v>1</v>
      </c>
      <c r="R6623">
        <v>1</v>
      </c>
      <c r="S6623">
        <v>1</v>
      </c>
      <c r="T6623">
        <v>1</v>
      </c>
      <c r="W6623">
        <v>1</v>
      </c>
      <c r="X6623">
        <v>1</v>
      </c>
      <c r="Y6623">
        <v>1</v>
      </c>
      <c r="Z6623">
        <v>1</v>
      </c>
      <c r="AA6623">
        <v>1</v>
      </c>
      <c r="AB6623">
        <v>1</v>
      </c>
    </row>
    <row r="6624" spans="1:28" x14ac:dyDescent="0.25">
      <c r="A6624" t="str">
        <f>"6620"</f>
        <v>6620</v>
      </c>
      <c r="B6624" t="str">
        <f t="shared" si="384"/>
        <v>1</v>
      </c>
      <c r="C6624" t="str">
        <f t="shared" si="383"/>
        <v>289</v>
      </c>
      <c r="D6624" t="str">
        <f>"25"</f>
        <v>25</v>
      </c>
      <c r="E6624" t="str">
        <f>"1-289-25"</f>
        <v>1-289-25</v>
      </c>
      <c r="F6624" t="s">
        <v>83</v>
      </c>
      <c r="G6624" t="s">
        <v>84</v>
      </c>
      <c r="H6624" t="s">
        <v>92</v>
      </c>
      <c r="I6624">
        <v>1</v>
      </c>
      <c r="J6624">
        <v>1</v>
      </c>
      <c r="N6624">
        <v>1</v>
      </c>
      <c r="O6624">
        <v>1</v>
      </c>
      <c r="P6624">
        <v>1</v>
      </c>
      <c r="Q6624">
        <v>1</v>
      </c>
      <c r="R6624">
        <v>1</v>
      </c>
      <c r="S6624">
        <v>1</v>
      </c>
      <c r="T6624">
        <v>1</v>
      </c>
      <c r="W6624">
        <v>1</v>
      </c>
      <c r="X6624">
        <v>1</v>
      </c>
      <c r="Y6624">
        <v>1</v>
      </c>
      <c r="Z6624">
        <v>1</v>
      </c>
      <c r="AA6624">
        <v>1</v>
      </c>
      <c r="AB6624">
        <v>1</v>
      </c>
    </row>
    <row r="6625" spans="1:28" x14ac:dyDescent="0.25">
      <c r="A6625" t="str">
        <f>"6621"</f>
        <v>6621</v>
      </c>
      <c r="B6625" t="str">
        <f t="shared" si="384"/>
        <v>1</v>
      </c>
      <c r="C6625" t="str">
        <f t="shared" si="383"/>
        <v>289</v>
      </c>
      <c r="D6625" t="str">
        <f>"24"</f>
        <v>24</v>
      </c>
      <c r="E6625" t="str">
        <f>"1-289-24"</f>
        <v>1-289-24</v>
      </c>
      <c r="F6625" t="s">
        <v>83</v>
      </c>
      <c r="G6625" t="s">
        <v>84</v>
      </c>
      <c r="H6625" t="s">
        <v>92</v>
      </c>
      <c r="I6625">
        <v>1</v>
      </c>
      <c r="J6625">
        <v>1</v>
      </c>
      <c r="N6625">
        <v>1</v>
      </c>
      <c r="O6625">
        <v>1</v>
      </c>
      <c r="P6625">
        <v>1</v>
      </c>
      <c r="Q6625">
        <v>1</v>
      </c>
      <c r="R6625">
        <v>1</v>
      </c>
      <c r="S6625">
        <v>1</v>
      </c>
      <c r="T6625">
        <v>1</v>
      </c>
      <c r="W6625">
        <v>1</v>
      </c>
      <c r="X6625">
        <v>1</v>
      </c>
      <c r="Y6625">
        <v>1</v>
      </c>
      <c r="Z6625">
        <v>1</v>
      </c>
      <c r="AA6625">
        <v>1</v>
      </c>
      <c r="AB6625">
        <v>1</v>
      </c>
    </row>
    <row r="6626" spans="1:28" x14ac:dyDescent="0.25">
      <c r="A6626" t="str">
        <f>"6622"</f>
        <v>6622</v>
      </c>
      <c r="B6626" t="str">
        <f t="shared" si="384"/>
        <v>1</v>
      </c>
      <c r="C6626" t="str">
        <f t="shared" si="383"/>
        <v>289</v>
      </c>
      <c r="D6626" t="str">
        <f>"18"</f>
        <v>18</v>
      </c>
      <c r="E6626" t="str">
        <f>"1-289-18"</f>
        <v>1-289-18</v>
      </c>
      <c r="F6626" t="s">
        <v>83</v>
      </c>
      <c r="G6626" t="s">
        <v>84</v>
      </c>
      <c r="H6626" t="s">
        <v>92</v>
      </c>
      <c r="I6626">
        <v>1</v>
      </c>
      <c r="J6626">
        <v>1</v>
      </c>
      <c r="N6626">
        <v>1</v>
      </c>
      <c r="O6626">
        <v>1</v>
      </c>
      <c r="P6626">
        <v>1</v>
      </c>
      <c r="Q6626">
        <v>1</v>
      </c>
      <c r="R6626">
        <v>1</v>
      </c>
      <c r="S6626">
        <v>1</v>
      </c>
      <c r="T6626">
        <v>1</v>
      </c>
      <c r="W6626">
        <v>1</v>
      </c>
      <c r="X6626">
        <v>1</v>
      </c>
      <c r="Y6626">
        <v>1</v>
      </c>
      <c r="Z6626">
        <v>1</v>
      </c>
      <c r="AA6626">
        <v>1</v>
      </c>
      <c r="AB6626">
        <v>1</v>
      </c>
    </row>
    <row r="6627" spans="1:28" x14ac:dyDescent="0.25">
      <c r="A6627" t="str">
        <f>"6623"</f>
        <v>6623</v>
      </c>
      <c r="B6627" t="str">
        <f t="shared" si="384"/>
        <v>1</v>
      </c>
      <c r="C6627" t="str">
        <f t="shared" si="383"/>
        <v>289</v>
      </c>
      <c r="D6627" t="str">
        <f>"11"</f>
        <v>11</v>
      </c>
      <c r="E6627" t="str">
        <f>"1-289-11"</f>
        <v>1-289-11</v>
      </c>
      <c r="F6627" t="s">
        <v>83</v>
      </c>
      <c r="G6627" t="s">
        <v>86</v>
      </c>
      <c r="H6627" t="s">
        <v>93</v>
      </c>
      <c r="I6627">
        <v>1</v>
      </c>
      <c r="K6627">
        <v>1</v>
      </c>
      <c r="L6627">
        <v>0</v>
      </c>
      <c r="M6627">
        <v>0</v>
      </c>
      <c r="N6627">
        <v>1</v>
      </c>
      <c r="O6627">
        <v>1</v>
      </c>
      <c r="P6627">
        <v>1</v>
      </c>
      <c r="Q6627">
        <v>1</v>
      </c>
      <c r="R6627">
        <v>1</v>
      </c>
      <c r="U6627">
        <v>0</v>
      </c>
      <c r="V6627">
        <v>1</v>
      </c>
      <c r="W6627">
        <v>1</v>
      </c>
      <c r="X6627">
        <v>1</v>
      </c>
      <c r="Y6627">
        <v>1</v>
      </c>
      <c r="Z6627">
        <v>1</v>
      </c>
      <c r="AA6627">
        <v>1</v>
      </c>
      <c r="AB6627">
        <v>1</v>
      </c>
    </row>
    <row r="6628" spans="1:28" x14ac:dyDescent="0.25">
      <c r="A6628" t="str">
        <f>"6624"</f>
        <v>6624</v>
      </c>
      <c r="B6628" t="str">
        <f t="shared" si="384"/>
        <v>1</v>
      </c>
      <c r="C6628" t="str">
        <f t="shared" si="383"/>
        <v>289</v>
      </c>
      <c r="D6628" t="str">
        <f>"4"</f>
        <v>4</v>
      </c>
      <c r="E6628" t="str">
        <f>"1-289-4"</f>
        <v>1-289-4</v>
      </c>
      <c r="F6628" t="s">
        <v>83</v>
      </c>
      <c r="G6628" t="s">
        <v>84</v>
      </c>
      <c r="H6628" t="s">
        <v>92</v>
      </c>
      <c r="I6628">
        <v>1</v>
      </c>
      <c r="J6628">
        <v>1</v>
      </c>
      <c r="N6628">
        <v>1</v>
      </c>
      <c r="O6628">
        <v>1</v>
      </c>
      <c r="P6628">
        <v>1</v>
      </c>
      <c r="Q6628">
        <v>1</v>
      </c>
      <c r="R6628">
        <v>1</v>
      </c>
      <c r="S6628">
        <v>1</v>
      </c>
      <c r="T6628">
        <v>1</v>
      </c>
      <c r="W6628">
        <v>1</v>
      </c>
      <c r="X6628">
        <v>1</v>
      </c>
      <c r="Y6628">
        <v>1</v>
      </c>
      <c r="Z6628">
        <v>1</v>
      </c>
      <c r="AA6628">
        <v>1</v>
      </c>
      <c r="AB6628">
        <v>1</v>
      </c>
    </row>
    <row r="6629" spans="1:28" x14ac:dyDescent="0.25">
      <c r="A6629" t="str">
        <f>"6625"</f>
        <v>6625</v>
      </c>
      <c r="B6629" t="str">
        <f t="shared" si="384"/>
        <v>1</v>
      </c>
      <c r="C6629" t="str">
        <f t="shared" si="383"/>
        <v>289</v>
      </c>
      <c r="D6629" t="str">
        <f>"19"</f>
        <v>19</v>
      </c>
      <c r="E6629" t="str">
        <f>"1-289-19"</f>
        <v>1-289-19</v>
      </c>
      <c r="F6629" t="s">
        <v>83</v>
      </c>
      <c r="G6629" t="s">
        <v>84</v>
      </c>
      <c r="H6629" t="s">
        <v>92</v>
      </c>
      <c r="I6629">
        <v>1</v>
      </c>
      <c r="J6629">
        <v>1</v>
      </c>
      <c r="N6629">
        <v>1</v>
      </c>
      <c r="O6629">
        <v>1</v>
      </c>
      <c r="P6629">
        <v>1</v>
      </c>
      <c r="Q6629">
        <v>1</v>
      </c>
      <c r="R6629">
        <v>1</v>
      </c>
      <c r="S6629">
        <v>1</v>
      </c>
      <c r="T6629">
        <v>1</v>
      </c>
      <c r="W6629">
        <v>1</v>
      </c>
      <c r="X6629">
        <v>1</v>
      </c>
      <c r="Y6629">
        <v>1</v>
      </c>
      <c r="Z6629">
        <v>1</v>
      </c>
      <c r="AA6629">
        <v>1</v>
      </c>
      <c r="AB6629">
        <v>1</v>
      </c>
    </row>
    <row r="6630" spans="1:28" x14ac:dyDescent="0.25">
      <c r="A6630" t="str">
        <f>"6626"</f>
        <v>6626</v>
      </c>
      <c r="B6630" t="str">
        <f t="shared" si="384"/>
        <v>1</v>
      </c>
      <c r="C6630" t="str">
        <f t="shared" si="383"/>
        <v>289</v>
      </c>
      <c r="D6630" t="str">
        <f>"12"</f>
        <v>12</v>
      </c>
      <c r="E6630" t="str">
        <f>"1-289-12"</f>
        <v>1-289-12</v>
      </c>
      <c r="F6630" t="s">
        <v>83</v>
      </c>
      <c r="G6630" t="s">
        <v>84</v>
      </c>
      <c r="H6630" t="s">
        <v>92</v>
      </c>
      <c r="I6630">
        <v>1</v>
      </c>
      <c r="J6630">
        <v>0</v>
      </c>
      <c r="N6630">
        <v>1</v>
      </c>
      <c r="O6630">
        <v>1</v>
      </c>
      <c r="P6630">
        <v>1</v>
      </c>
      <c r="Q6630">
        <v>1</v>
      </c>
      <c r="R6630">
        <v>1</v>
      </c>
      <c r="S6630">
        <v>0</v>
      </c>
      <c r="T6630">
        <v>1</v>
      </c>
      <c r="W6630">
        <v>1</v>
      </c>
      <c r="X6630">
        <v>1</v>
      </c>
      <c r="Y6630">
        <v>1</v>
      </c>
      <c r="Z6630">
        <v>0</v>
      </c>
      <c r="AA6630">
        <v>1</v>
      </c>
      <c r="AB6630">
        <v>1</v>
      </c>
    </row>
    <row r="6631" spans="1:28" x14ac:dyDescent="0.25">
      <c r="A6631" t="str">
        <f>"6627"</f>
        <v>6627</v>
      </c>
      <c r="B6631" t="str">
        <f t="shared" si="384"/>
        <v>1</v>
      </c>
      <c r="C6631" t="str">
        <f t="shared" si="383"/>
        <v>289</v>
      </c>
      <c r="D6631" t="str">
        <f>"5"</f>
        <v>5</v>
      </c>
      <c r="E6631" t="str">
        <f>"1-289-5"</f>
        <v>1-289-5</v>
      </c>
      <c r="F6631" t="s">
        <v>83</v>
      </c>
      <c r="G6631" t="s">
        <v>84</v>
      </c>
      <c r="H6631" t="s">
        <v>92</v>
      </c>
      <c r="I6631">
        <v>1</v>
      </c>
      <c r="J6631">
        <v>1</v>
      </c>
      <c r="N6631">
        <v>1</v>
      </c>
      <c r="O6631">
        <v>1</v>
      </c>
      <c r="P6631">
        <v>1</v>
      </c>
      <c r="Q6631">
        <v>1</v>
      </c>
      <c r="R6631">
        <v>1</v>
      </c>
      <c r="S6631">
        <v>1</v>
      </c>
      <c r="T6631">
        <v>1</v>
      </c>
      <c r="W6631">
        <v>1</v>
      </c>
      <c r="X6631">
        <v>1</v>
      </c>
      <c r="Y6631">
        <v>1</v>
      </c>
      <c r="Z6631">
        <v>1</v>
      </c>
      <c r="AA6631">
        <v>1</v>
      </c>
      <c r="AB6631">
        <v>1</v>
      </c>
    </row>
    <row r="6632" spans="1:28" x14ac:dyDescent="0.25">
      <c r="A6632" t="str">
        <f>"6628"</f>
        <v>6628</v>
      </c>
      <c r="B6632" t="str">
        <f t="shared" si="384"/>
        <v>1</v>
      </c>
      <c r="C6632" t="str">
        <f t="shared" si="383"/>
        <v>289</v>
      </c>
      <c r="D6632" t="str">
        <f>"13"</f>
        <v>13</v>
      </c>
      <c r="E6632" t="str">
        <f>"1-289-13"</f>
        <v>1-289-13</v>
      </c>
      <c r="F6632" t="s">
        <v>83</v>
      </c>
      <c r="G6632" t="s">
        <v>84</v>
      </c>
      <c r="H6632" t="s">
        <v>92</v>
      </c>
      <c r="I6632">
        <v>1</v>
      </c>
      <c r="J6632">
        <v>1</v>
      </c>
      <c r="N6632">
        <v>1</v>
      </c>
      <c r="O6632">
        <v>1</v>
      </c>
      <c r="P6632">
        <v>1</v>
      </c>
      <c r="Q6632">
        <v>1</v>
      </c>
      <c r="R6632">
        <v>0</v>
      </c>
      <c r="S6632">
        <v>1</v>
      </c>
      <c r="T6632">
        <v>0</v>
      </c>
      <c r="W6632">
        <v>1</v>
      </c>
      <c r="X6632">
        <v>0</v>
      </c>
      <c r="Y6632">
        <v>0</v>
      </c>
      <c r="Z6632">
        <v>0</v>
      </c>
      <c r="AA6632">
        <v>0</v>
      </c>
      <c r="AB6632">
        <v>0</v>
      </c>
    </row>
    <row r="6633" spans="1:28" x14ac:dyDescent="0.25">
      <c r="A6633" t="str">
        <f>"6629"</f>
        <v>6629</v>
      </c>
      <c r="B6633" t="str">
        <f t="shared" si="384"/>
        <v>1</v>
      </c>
      <c r="C6633" t="str">
        <f t="shared" si="383"/>
        <v>289</v>
      </c>
      <c r="D6633" t="str">
        <f>"2"</f>
        <v>2</v>
      </c>
      <c r="E6633" t="str">
        <f>"1-289-2"</f>
        <v>1-289-2</v>
      </c>
      <c r="F6633" t="s">
        <v>83</v>
      </c>
      <c r="G6633" t="s">
        <v>84</v>
      </c>
      <c r="H6633" t="s">
        <v>92</v>
      </c>
      <c r="I6633">
        <v>1</v>
      </c>
      <c r="J6633">
        <v>1</v>
      </c>
      <c r="N6633">
        <v>1</v>
      </c>
      <c r="O6633">
        <v>0</v>
      </c>
      <c r="P6633">
        <v>1</v>
      </c>
      <c r="Q6633">
        <v>1</v>
      </c>
      <c r="R6633">
        <v>1</v>
      </c>
      <c r="S6633">
        <v>1</v>
      </c>
      <c r="T6633">
        <v>1</v>
      </c>
      <c r="W6633">
        <v>1</v>
      </c>
      <c r="X6633">
        <v>1</v>
      </c>
      <c r="Y6633">
        <v>1</v>
      </c>
      <c r="Z6633">
        <v>1</v>
      </c>
      <c r="AA6633">
        <v>1</v>
      </c>
      <c r="AB6633">
        <v>1</v>
      </c>
    </row>
    <row r="6634" spans="1:28" x14ac:dyDescent="0.25">
      <c r="A6634" t="str">
        <f>"6630"</f>
        <v>6630</v>
      </c>
      <c r="B6634" t="str">
        <f t="shared" si="384"/>
        <v>1</v>
      </c>
      <c r="C6634" t="str">
        <f t="shared" si="383"/>
        <v>289</v>
      </c>
      <c r="D6634" t="str">
        <f>"14"</f>
        <v>14</v>
      </c>
      <c r="E6634" t="str">
        <f>"1-289-14"</f>
        <v>1-289-14</v>
      </c>
      <c r="F6634" t="s">
        <v>83</v>
      </c>
      <c r="G6634" t="s">
        <v>84</v>
      </c>
      <c r="H6634" t="s">
        <v>92</v>
      </c>
      <c r="I6634">
        <v>1</v>
      </c>
      <c r="J6634">
        <v>1</v>
      </c>
      <c r="N6634">
        <v>1</v>
      </c>
      <c r="O6634">
        <v>1</v>
      </c>
      <c r="P6634">
        <v>1</v>
      </c>
      <c r="Q6634">
        <v>1</v>
      </c>
      <c r="R6634">
        <v>1</v>
      </c>
      <c r="S6634">
        <v>1</v>
      </c>
      <c r="T6634">
        <v>1</v>
      </c>
      <c r="W6634">
        <v>1</v>
      </c>
      <c r="X6634">
        <v>1</v>
      </c>
      <c r="Y6634">
        <v>1</v>
      </c>
      <c r="Z6634">
        <v>1</v>
      </c>
      <c r="AA6634">
        <v>1</v>
      </c>
      <c r="AB6634">
        <v>1</v>
      </c>
    </row>
    <row r="6635" spans="1:28" x14ac:dyDescent="0.25">
      <c r="A6635" t="str">
        <f>"6631"</f>
        <v>6631</v>
      </c>
      <c r="B6635" t="str">
        <f t="shared" si="384"/>
        <v>1</v>
      </c>
      <c r="C6635" t="str">
        <f t="shared" si="383"/>
        <v>289</v>
      </c>
      <c r="D6635" t="str">
        <f>"7"</f>
        <v>7</v>
      </c>
      <c r="E6635" t="str">
        <f>"1-289-7"</f>
        <v>1-289-7</v>
      </c>
      <c r="F6635" t="s">
        <v>83</v>
      </c>
      <c r="G6635" t="s">
        <v>84</v>
      </c>
      <c r="H6635" t="s">
        <v>92</v>
      </c>
      <c r="I6635">
        <v>1</v>
      </c>
      <c r="J6635">
        <v>1</v>
      </c>
      <c r="N6635">
        <v>1</v>
      </c>
      <c r="O6635">
        <v>1</v>
      </c>
      <c r="P6635">
        <v>0</v>
      </c>
      <c r="Q6635">
        <v>1</v>
      </c>
      <c r="R6635">
        <v>1</v>
      </c>
      <c r="S6635">
        <v>0</v>
      </c>
      <c r="T6635">
        <v>1</v>
      </c>
      <c r="W6635">
        <v>1</v>
      </c>
      <c r="X6635">
        <v>1</v>
      </c>
      <c r="Y6635">
        <v>1</v>
      </c>
      <c r="Z6635">
        <v>1</v>
      </c>
      <c r="AA6635">
        <v>1</v>
      </c>
      <c r="AB6635">
        <v>1</v>
      </c>
    </row>
    <row r="6636" spans="1:28" x14ac:dyDescent="0.25">
      <c r="A6636" t="str">
        <f>"6632"</f>
        <v>6632</v>
      </c>
      <c r="B6636" t="str">
        <f t="shared" si="384"/>
        <v>1</v>
      </c>
      <c r="C6636" t="str">
        <f t="shared" ref="C6636:C6660" si="385">"290"</f>
        <v>290</v>
      </c>
      <c r="D6636" t="str">
        <f>"21"</f>
        <v>21</v>
      </c>
      <c r="E6636" t="str">
        <f>"1-290-21"</f>
        <v>1-290-21</v>
      </c>
      <c r="F6636" t="s">
        <v>83</v>
      </c>
      <c r="G6636" t="s">
        <v>84</v>
      </c>
      <c r="H6636" t="s">
        <v>92</v>
      </c>
      <c r="I6636">
        <v>1</v>
      </c>
      <c r="J6636">
        <v>1</v>
      </c>
      <c r="N6636">
        <v>1</v>
      </c>
      <c r="O6636">
        <v>1</v>
      </c>
      <c r="P6636">
        <v>1</v>
      </c>
      <c r="Q6636">
        <v>1</v>
      </c>
      <c r="R6636">
        <v>1</v>
      </c>
      <c r="S6636">
        <v>1</v>
      </c>
      <c r="T6636">
        <v>1</v>
      </c>
      <c r="W6636">
        <v>1</v>
      </c>
      <c r="X6636">
        <v>1</v>
      </c>
      <c r="Y6636">
        <v>1</v>
      </c>
      <c r="Z6636">
        <v>1</v>
      </c>
      <c r="AA6636">
        <v>0</v>
      </c>
      <c r="AB6636">
        <v>1</v>
      </c>
    </row>
    <row r="6637" spans="1:28" x14ac:dyDescent="0.25">
      <c r="A6637" t="str">
        <f>"6633"</f>
        <v>6633</v>
      </c>
      <c r="B6637" t="str">
        <f t="shared" si="384"/>
        <v>1</v>
      </c>
      <c r="C6637" t="str">
        <f t="shared" si="385"/>
        <v>290</v>
      </c>
      <c r="D6637" t="str">
        <f>"20"</f>
        <v>20</v>
      </c>
      <c r="E6637" t="str">
        <f>"1-290-20"</f>
        <v>1-290-20</v>
      </c>
      <c r="F6637" t="s">
        <v>83</v>
      </c>
      <c r="G6637" t="s">
        <v>84</v>
      </c>
      <c r="H6637" t="s">
        <v>92</v>
      </c>
      <c r="I6637">
        <v>1</v>
      </c>
      <c r="J6637">
        <v>1</v>
      </c>
      <c r="N6637">
        <v>1</v>
      </c>
      <c r="O6637">
        <v>1</v>
      </c>
      <c r="P6637">
        <v>1</v>
      </c>
      <c r="Q6637">
        <v>1</v>
      </c>
      <c r="R6637">
        <v>1</v>
      </c>
      <c r="S6637">
        <v>1</v>
      </c>
      <c r="T6637">
        <v>0</v>
      </c>
      <c r="W6637">
        <v>1</v>
      </c>
      <c r="X6637">
        <v>1</v>
      </c>
      <c r="Y6637">
        <v>1</v>
      </c>
      <c r="Z6637">
        <v>1</v>
      </c>
      <c r="AA6637">
        <v>1</v>
      </c>
      <c r="AB6637">
        <v>1</v>
      </c>
    </row>
    <row r="6638" spans="1:28" x14ac:dyDescent="0.25">
      <c r="A6638" t="str">
        <f>"6634"</f>
        <v>6634</v>
      </c>
      <c r="B6638" t="str">
        <f t="shared" si="384"/>
        <v>1</v>
      </c>
      <c r="C6638" t="str">
        <f t="shared" si="385"/>
        <v>290</v>
      </c>
      <c r="D6638" t="str">
        <f>"15"</f>
        <v>15</v>
      </c>
      <c r="E6638" t="str">
        <f>"1-290-15"</f>
        <v>1-290-15</v>
      </c>
      <c r="F6638" t="s">
        <v>83</v>
      </c>
      <c r="G6638" t="s">
        <v>84</v>
      </c>
      <c r="H6638" t="s">
        <v>92</v>
      </c>
      <c r="I6638">
        <v>1</v>
      </c>
      <c r="J6638">
        <v>1</v>
      </c>
      <c r="N6638">
        <v>1</v>
      </c>
      <c r="O6638">
        <v>1</v>
      </c>
      <c r="P6638">
        <v>1</v>
      </c>
      <c r="Q6638">
        <v>1</v>
      </c>
      <c r="R6638">
        <v>1</v>
      </c>
      <c r="S6638">
        <v>1</v>
      </c>
      <c r="T6638">
        <v>1</v>
      </c>
      <c r="W6638">
        <v>1</v>
      </c>
      <c r="X6638">
        <v>1</v>
      </c>
      <c r="Y6638">
        <v>1</v>
      </c>
      <c r="Z6638">
        <v>1</v>
      </c>
      <c r="AA6638">
        <v>1</v>
      </c>
      <c r="AB6638">
        <v>1</v>
      </c>
    </row>
    <row r="6639" spans="1:28" x14ac:dyDescent="0.25">
      <c r="A6639" t="str">
        <f>"6635"</f>
        <v>6635</v>
      </c>
      <c r="B6639" t="str">
        <f t="shared" si="384"/>
        <v>1</v>
      </c>
      <c r="C6639" t="str">
        <f t="shared" si="385"/>
        <v>290</v>
      </c>
      <c r="D6639" t="str">
        <f>"8"</f>
        <v>8</v>
      </c>
      <c r="E6639" t="str">
        <f>"1-290-8"</f>
        <v>1-290-8</v>
      </c>
      <c r="F6639" t="s">
        <v>83</v>
      </c>
      <c r="G6639" t="s">
        <v>84</v>
      </c>
      <c r="H6639" t="s">
        <v>92</v>
      </c>
      <c r="I6639">
        <v>1</v>
      </c>
      <c r="J6639">
        <v>1</v>
      </c>
      <c r="N6639">
        <v>1</v>
      </c>
      <c r="O6639">
        <v>1</v>
      </c>
      <c r="P6639">
        <v>1</v>
      </c>
      <c r="Q6639">
        <v>1</v>
      </c>
      <c r="R6639">
        <v>1</v>
      </c>
      <c r="S6639">
        <v>1</v>
      </c>
      <c r="T6639">
        <v>1</v>
      </c>
      <c r="W6639">
        <v>1</v>
      </c>
      <c r="X6639">
        <v>1</v>
      </c>
      <c r="Y6639">
        <v>1</v>
      </c>
      <c r="Z6639">
        <v>1</v>
      </c>
      <c r="AA6639">
        <v>1</v>
      </c>
      <c r="AB6639">
        <v>1</v>
      </c>
    </row>
    <row r="6640" spans="1:28" x14ac:dyDescent="0.25">
      <c r="A6640" t="str">
        <f>"6636"</f>
        <v>6636</v>
      </c>
      <c r="B6640" t="str">
        <f t="shared" si="384"/>
        <v>1</v>
      </c>
      <c r="C6640" t="str">
        <f t="shared" si="385"/>
        <v>290</v>
      </c>
      <c r="D6640" t="str">
        <f>"1"</f>
        <v>1</v>
      </c>
      <c r="E6640" t="str">
        <f>"1-290-1"</f>
        <v>1-290-1</v>
      </c>
      <c r="F6640" t="s">
        <v>83</v>
      </c>
      <c r="G6640" t="s">
        <v>88</v>
      </c>
      <c r="H6640" t="s">
        <v>95</v>
      </c>
      <c r="I6640">
        <v>1</v>
      </c>
      <c r="K6640">
        <v>0</v>
      </c>
      <c r="L6640">
        <v>0</v>
      </c>
      <c r="M6640">
        <v>1</v>
      </c>
      <c r="N6640">
        <v>1</v>
      </c>
      <c r="O6640">
        <v>1</v>
      </c>
      <c r="P6640">
        <v>1</v>
      </c>
      <c r="Q6640">
        <v>1</v>
      </c>
      <c r="R6640">
        <v>1</v>
      </c>
      <c r="S6640">
        <v>1</v>
      </c>
      <c r="T6640">
        <v>1</v>
      </c>
      <c r="W6640">
        <v>1</v>
      </c>
      <c r="X6640">
        <v>1</v>
      </c>
      <c r="Y6640">
        <v>1</v>
      </c>
      <c r="Z6640">
        <v>1</v>
      </c>
      <c r="AA6640">
        <v>1</v>
      </c>
      <c r="AB6640">
        <v>1</v>
      </c>
    </row>
    <row r="6641" spans="1:28" x14ac:dyDescent="0.25">
      <c r="A6641" t="str">
        <f>"6637"</f>
        <v>6637</v>
      </c>
      <c r="B6641" t="str">
        <f t="shared" si="384"/>
        <v>1</v>
      </c>
      <c r="C6641" t="str">
        <f t="shared" si="385"/>
        <v>290</v>
      </c>
      <c r="D6641" t="str">
        <f>"25"</f>
        <v>25</v>
      </c>
      <c r="E6641" t="str">
        <f>"1-290-25"</f>
        <v>1-290-25</v>
      </c>
      <c r="F6641" t="s">
        <v>83</v>
      </c>
      <c r="G6641" t="s">
        <v>84</v>
      </c>
      <c r="H6641" t="s">
        <v>92</v>
      </c>
      <c r="I6641">
        <v>1</v>
      </c>
      <c r="J6641">
        <v>1</v>
      </c>
      <c r="N6641">
        <v>1</v>
      </c>
      <c r="O6641">
        <v>1</v>
      </c>
      <c r="P6641">
        <v>1</v>
      </c>
      <c r="Q6641">
        <v>1</v>
      </c>
      <c r="R6641">
        <v>1</v>
      </c>
      <c r="S6641">
        <v>1</v>
      </c>
      <c r="T6641">
        <v>1</v>
      </c>
      <c r="W6641">
        <v>1</v>
      </c>
      <c r="X6641">
        <v>1</v>
      </c>
      <c r="Y6641">
        <v>1</v>
      </c>
      <c r="Z6641">
        <v>1</v>
      </c>
      <c r="AA6641">
        <v>1</v>
      </c>
      <c r="AB6641">
        <v>1</v>
      </c>
    </row>
    <row r="6642" spans="1:28" x14ac:dyDescent="0.25">
      <c r="A6642" t="str">
        <f>"6638"</f>
        <v>6638</v>
      </c>
      <c r="B6642" t="str">
        <f t="shared" si="384"/>
        <v>1</v>
      </c>
      <c r="C6642" t="str">
        <f t="shared" si="385"/>
        <v>290</v>
      </c>
      <c r="D6642" t="str">
        <f>"24"</f>
        <v>24</v>
      </c>
      <c r="E6642" t="str">
        <f>"1-290-24"</f>
        <v>1-290-24</v>
      </c>
      <c r="F6642" t="s">
        <v>83</v>
      </c>
      <c r="G6642" t="s">
        <v>88</v>
      </c>
      <c r="H6642" t="s">
        <v>95</v>
      </c>
      <c r="I6642">
        <v>1</v>
      </c>
      <c r="K6642">
        <v>0</v>
      </c>
      <c r="L6642">
        <v>0</v>
      </c>
      <c r="M6642">
        <v>1</v>
      </c>
      <c r="N6642">
        <v>1</v>
      </c>
      <c r="O6642">
        <v>1</v>
      </c>
      <c r="P6642">
        <v>1</v>
      </c>
      <c r="Q6642">
        <v>1</v>
      </c>
      <c r="R6642">
        <v>1</v>
      </c>
      <c r="S6642">
        <v>1</v>
      </c>
      <c r="T6642">
        <v>1</v>
      </c>
      <c r="W6642">
        <v>1</v>
      </c>
      <c r="X6642">
        <v>1</v>
      </c>
      <c r="Y6642">
        <v>1</v>
      </c>
      <c r="Z6642">
        <v>1</v>
      </c>
      <c r="AA6642">
        <v>1</v>
      </c>
      <c r="AB6642">
        <v>1</v>
      </c>
    </row>
    <row r="6643" spans="1:28" x14ac:dyDescent="0.25">
      <c r="A6643" t="str">
        <f>"6639"</f>
        <v>6639</v>
      </c>
      <c r="B6643" t="str">
        <f t="shared" si="384"/>
        <v>1</v>
      </c>
      <c r="C6643" t="str">
        <f t="shared" si="385"/>
        <v>290</v>
      </c>
      <c r="D6643" t="str">
        <f>"17"</f>
        <v>17</v>
      </c>
      <c r="E6643" t="str">
        <f>"1-290-17"</f>
        <v>1-290-17</v>
      </c>
      <c r="F6643" t="s">
        <v>83</v>
      </c>
      <c r="G6643" t="s">
        <v>84</v>
      </c>
      <c r="H6643" t="s">
        <v>92</v>
      </c>
      <c r="I6643">
        <v>1</v>
      </c>
      <c r="J6643">
        <v>1</v>
      </c>
      <c r="N6643">
        <v>1</v>
      </c>
      <c r="O6643">
        <v>1</v>
      </c>
      <c r="P6643">
        <v>1</v>
      </c>
      <c r="Q6643">
        <v>1</v>
      </c>
      <c r="R6643">
        <v>1</v>
      </c>
      <c r="S6643">
        <v>1</v>
      </c>
      <c r="T6643">
        <v>1</v>
      </c>
      <c r="W6643">
        <v>1</v>
      </c>
      <c r="X6643">
        <v>1</v>
      </c>
      <c r="Y6643">
        <v>1</v>
      </c>
      <c r="Z6643">
        <v>1</v>
      </c>
      <c r="AA6643">
        <v>1</v>
      </c>
      <c r="AB6643">
        <v>1</v>
      </c>
    </row>
    <row r="6644" spans="1:28" x14ac:dyDescent="0.25">
      <c r="A6644" t="str">
        <f>"6640"</f>
        <v>6640</v>
      </c>
      <c r="B6644" t="str">
        <f t="shared" si="384"/>
        <v>1</v>
      </c>
      <c r="C6644" t="str">
        <f t="shared" si="385"/>
        <v>290</v>
      </c>
      <c r="D6644" t="str">
        <f>"9"</f>
        <v>9</v>
      </c>
      <c r="E6644" t="str">
        <f>"1-290-9"</f>
        <v>1-290-9</v>
      </c>
      <c r="F6644" t="s">
        <v>83</v>
      </c>
      <c r="G6644" t="s">
        <v>84</v>
      </c>
      <c r="H6644" t="s">
        <v>92</v>
      </c>
      <c r="I6644">
        <v>1</v>
      </c>
      <c r="J6644">
        <v>0</v>
      </c>
      <c r="N6644">
        <v>1</v>
      </c>
      <c r="O6644">
        <v>0</v>
      </c>
      <c r="P6644">
        <v>0</v>
      </c>
      <c r="Q6644">
        <v>0</v>
      </c>
      <c r="R6644">
        <v>0</v>
      </c>
      <c r="S6644">
        <v>0</v>
      </c>
      <c r="T6644">
        <v>0</v>
      </c>
      <c r="W6644">
        <v>1</v>
      </c>
      <c r="X6644">
        <v>0</v>
      </c>
      <c r="Y6644">
        <v>0</v>
      </c>
      <c r="Z6644">
        <v>0</v>
      </c>
      <c r="AA6644">
        <v>0</v>
      </c>
      <c r="AB6644">
        <v>0</v>
      </c>
    </row>
    <row r="6645" spans="1:28" x14ac:dyDescent="0.25">
      <c r="A6645" t="str">
        <f>"6641"</f>
        <v>6641</v>
      </c>
      <c r="B6645" t="str">
        <f t="shared" si="384"/>
        <v>1</v>
      </c>
      <c r="C6645" t="str">
        <f t="shared" si="385"/>
        <v>290</v>
      </c>
      <c r="D6645" t="str">
        <f>"6"</f>
        <v>6</v>
      </c>
      <c r="E6645" t="str">
        <f>"1-290-6"</f>
        <v>1-290-6</v>
      </c>
      <c r="F6645" t="s">
        <v>83</v>
      </c>
      <c r="G6645" t="s">
        <v>84</v>
      </c>
      <c r="H6645" t="s">
        <v>92</v>
      </c>
      <c r="I6645">
        <v>1</v>
      </c>
      <c r="J6645">
        <v>1</v>
      </c>
      <c r="N6645">
        <v>1</v>
      </c>
      <c r="O6645">
        <v>1</v>
      </c>
      <c r="P6645">
        <v>1</v>
      </c>
      <c r="Q6645">
        <v>1</v>
      </c>
      <c r="R6645">
        <v>1</v>
      </c>
      <c r="S6645">
        <v>1</v>
      </c>
      <c r="T6645">
        <v>1</v>
      </c>
      <c r="W6645">
        <v>1</v>
      </c>
      <c r="X6645">
        <v>1</v>
      </c>
      <c r="Y6645">
        <v>1</v>
      </c>
      <c r="Z6645">
        <v>1</v>
      </c>
      <c r="AA6645">
        <v>1</v>
      </c>
      <c r="AB6645">
        <v>1</v>
      </c>
    </row>
    <row r="6646" spans="1:28" x14ac:dyDescent="0.25">
      <c r="A6646" t="str">
        <f>"6642"</f>
        <v>6642</v>
      </c>
      <c r="B6646" t="str">
        <f t="shared" si="384"/>
        <v>1</v>
      </c>
      <c r="C6646" t="str">
        <f t="shared" si="385"/>
        <v>290</v>
      </c>
      <c r="D6646" t="str">
        <f>"23"</f>
        <v>23</v>
      </c>
      <c r="E6646" t="str">
        <f>"1-290-23"</f>
        <v>1-290-23</v>
      </c>
      <c r="F6646" t="s">
        <v>83</v>
      </c>
      <c r="G6646" t="s">
        <v>84</v>
      </c>
      <c r="H6646" t="s">
        <v>92</v>
      </c>
      <c r="I6646">
        <v>1</v>
      </c>
      <c r="J6646">
        <v>1</v>
      </c>
      <c r="N6646">
        <v>1</v>
      </c>
      <c r="O6646">
        <v>1</v>
      </c>
      <c r="P6646">
        <v>1</v>
      </c>
      <c r="Q6646">
        <v>1</v>
      </c>
      <c r="R6646">
        <v>1</v>
      </c>
      <c r="S6646">
        <v>1</v>
      </c>
      <c r="T6646">
        <v>1</v>
      </c>
      <c r="W6646">
        <v>1</v>
      </c>
      <c r="X6646">
        <v>1</v>
      </c>
      <c r="Y6646">
        <v>1</v>
      </c>
      <c r="Z6646">
        <v>1</v>
      </c>
      <c r="AA6646">
        <v>1</v>
      </c>
      <c r="AB6646">
        <v>1</v>
      </c>
    </row>
    <row r="6647" spans="1:28" x14ac:dyDescent="0.25">
      <c r="A6647" t="str">
        <f>"6643"</f>
        <v>6643</v>
      </c>
      <c r="B6647" t="str">
        <f t="shared" si="384"/>
        <v>1</v>
      </c>
      <c r="C6647" t="str">
        <f t="shared" si="385"/>
        <v>290</v>
      </c>
      <c r="D6647" t="str">
        <f>"22"</f>
        <v>22</v>
      </c>
      <c r="E6647" t="str">
        <f>"1-290-22"</f>
        <v>1-290-22</v>
      </c>
      <c r="F6647" t="s">
        <v>83</v>
      </c>
      <c r="G6647" t="s">
        <v>84</v>
      </c>
      <c r="H6647" t="s">
        <v>92</v>
      </c>
      <c r="I6647">
        <v>1</v>
      </c>
      <c r="J6647">
        <v>1</v>
      </c>
      <c r="N6647">
        <v>1</v>
      </c>
      <c r="O6647">
        <v>1</v>
      </c>
      <c r="P6647">
        <v>1</v>
      </c>
      <c r="Q6647">
        <v>1</v>
      </c>
      <c r="R6647">
        <v>1</v>
      </c>
      <c r="S6647">
        <v>1</v>
      </c>
      <c r="T6647">
        <v>1</v>
      </c>
      <c r="W6647">
        <v>1</v>
      </c>
      <c r="X6647">
        <v>1</v>
      </c>
      <c r="Y6647">
        <v>1</v>
      </c>
      <c r="Z6647">
        <v>1</v>
      </c>
      <c r="AA6647">
        <v>1</v>
      </c>
      <c r="AB6647">
        <v>1</v>
      </c>
    </row>
    <row r="6648" spans="1:28" x14ac:dyDescent="0.25">
      <c r="A6648" t="str">
        <f>"6644"</f>
        <v>6644</v>
      </c>
      <c r="B6648" t="str">
        <f t="shared" si="384"/>
        <v>1</v>
      </c>
      <c r="C6648" t="str">
        <f t="shared" si="385"/>
        <v>290</v>
      </c>
      <c r="D6648" t="str">
        <f>"16"</f>
        <v>16</v>
      </c>
      <c r="E6648" t="str">
        <f>"1-290-16"</f>
        <v>1-290-16</v>
      </c>
      <c r="F6648" t="s">
        <v>83</v>
      </c>
      <c r="G6648" t="s">
        <v>84</v>
      </c>
      <c r="H6648" t="s">
        <v>92</v>
      </c>
      <c r="I6648">
        <v>1</v>
      </c>
      <c r="J6648">
        <v>1</v>
      </c>
      <c r="N6648">
        <v>1</v>
      </c>
      <c r="O6648">
        <v>1</v>
      </c>
      <c r="P6648">
        <v>1</v>
      </c>
      <c r="Q6648">
        <v>1</v>
      </c>
      <c r="R6648">
        <v>1</v>
      </c>
      <c r="S6648">
        <v>1</v>
      </c>
      <c r="T6648">
        <v>1</v>
      </c>
      <c r="W6648">
        <v>1</v>
      </c>
      <c r="X6648">
        <v>1</v>
      </c>
      <c r="Y6648">
        <v>1</v>
      </c>
      <c r="Z6648">
        <v>1</v>
      </c>
      <c r="AA6648">
        <v>1</v>
      </c>
      <c r="AB6648">
        <v>1</v>
      </c>
    </row>
    <row r="6649" spans="1:28" x14ac:dyDescent="0.25">
      <c r="A6649" t="str">
        <f>"6645"</f>
        <v>6645</v>
      </c>
      <c r="B6649" t="str">
        <f t="shared" si="384"/>
        <v>1</v>
      </c>
      <c r="C6649" t="str">
        <f t="shared" si="385"/>
        <v>290</v>
      </c>
      <c r="D6649" t="str">
        <f>"10"</f>
        <v>10</v>
      </c>
      <c r="E6649" t="str">
        <f>"1-290-10"</f>
        <v>1-290-10</v>
      </c>
      <c r="F6649" t="s">
        <v>83</v>
      </c>
      <c r="G6649" t="s">
        <v>84</v>
      </c>
      <c r="H6649" t="s">
        <v>92</v>
      </c>
      <c r="I6649">
        <v>1</v>
      </c>
      <c r="J6649">
        <v>1</v>
      </c>
      <c r="N6649">
        <v>1</v>
      </c>
      <c r="O6649">
        <v>1</v>
      </c>
      <c r="P6649">
        <v>1</v>
      </c>
      <c r="Q6649">
        <v>1</v>
      </c>
      <c r="R6649">
        <v>1</v>
      </c>
      <c r="S6649">
        <v>1</v>
      </c>
      <c r="T6649">
        <v>1</v>
      </c>
      <c r="W6649">
        <v>1</v>
      </c>
      <c r="X6649">
        <v>1</v>
      </c>
      <c r="Y6649">
        <v>1</v>
      </c>
      <c r="Z6649">
        <v>1</v>
      </c>
      <c r="AA6649">
        <v>1</v>
      </c>
      <c r="AB6649">
        <v>1</v>
      </c>
    </row>
    <row r="6650" spans="1:28" x14ac:dyDescent="0.25">
      <c r="A6650" t="str">
        <f>"6646"</f>
        <v>6646</v>
      </c>
      <c r="B6650" t="str">
        <f t="shared" si="384"/>
        <v>1</v>
      </c>
      <c r="C6650" t="str">
        <f t="shared" si="385"/>
        <v>290</v>
      </c>
      <c r="D6650" t="str">
        <f>"5"</f>
        <v>5</v>
      </c>
      <c r="E6650" t="str">
        <f>"1-290-5"</f>
        <v>1-290-5</v>
      </c>
      <c r="F6650" t="s">
        <v>83</v>
      </c>
      <c r="G6650" t="s">
        <v>84</v>
      </c>
      <c r="H6650" t="s">
        <v>92</v>
      </c>
      <c r="I6650">
        <v>1</v>
      </c>
      <c r="J6650">
        <v>1</v>
      </c>
      <c r="N6650">
        <v>1</v>
      </c>
      <c r="O6650">
        <v>1</v>
      </c>
      <c r="P6650">
        <v>1</v>
      </c>
      <c r="Q6650">
        <v>1</v>
      </c>
      <c r="R6650">
        <v>1</v>
      </c>
      <c r="S6650">
        <v>1</v>
      </c>
      <c r="T6650">
        <v>1</v>
      </c>
      <c r="W6650">
        <v>1</v>
      </c>
      <c r="X6650">
        <v>1</v>
      </c>
      <c r="Y6650">
        <v>1</v>
      </c>
      <c r="Z6650">
        <v>1</v>
      </c>
      <c r="AA6650">
        <v>1</v>
      </c>
      <c r="AB6650">
        <v>1</v>
      </c>
    </row>
    <row r="6651" spans="1:28" x14ac:dyDescent="0.25">
      <c r="A6651" t="str">
        <f>"6647"</f>
        <v>6647</v>
      </c>
      <c r="B6651" t="str">
        <f t="shared" si="384"/>
        <v>1</v>
      </c>
      <c r="C6651" t="str">
        <f t="shared" si="385"/>
        <v>290</v>
      </c>
      <c r="D6651" t="str">
        <f>"18"</f>
        <v>18</v>
      </c>
      <c r="E6651" t="str">
        <f>"1-290-18"</f>
        <v>1-290-18</v>
      </c>
      <c r="F6651" t="s">
        <v>83</v>
      </c>
      <c r="G6651" t="s">
        <v>84</v>
      </c>
      <c r="H6651" t="s">
        <v>92</v>
      </c>
      <c r="I6651">
        <v>1</v>
      </c>
      <c r="J6651">
        <v>1</v>
      </c>
      <c r="N6651">
        <v>1</v>
      </c>
      <c r="O6651">
        <v>1</v>
      </c>
      <c r="P6651">
        <v>1</v>
      </c>
      <c r="Q6651">
        <v>1</v>
      </c>
      <c r="R6651">
        <v>1</v>
      </c>
      <c r="S6651">
        <v>1</v>
      </c>
      <c r="T6651">
        <v>1</v>
      </c>
      <c r="W6651">
        <v>1</v>
      </c>
      <c r="X6651">
        <v>1</v>
      </c>
      <c r="Y6651">
        <v>1</v>
      </c>
      <c r="Z6651">
        <v>1</v>
      </c>
      <c r="AA6651">
        <v>1</v>
      </c>
      <c r="AB6651">
        <v>1</v>
      </c>
    </row>
    <row r="6652" spans="1:28" x14ac:dyDescent="0.25">
      <c r="A6652" t="str">
        <f>"6648"</f>
        <v>6648</v>
      </c>
      <c r="B6652" t="str">
        <f t="shared" si="384"/>
        <v>1</v>
      </c>
      <c r="C6652" t="str">
        <f t="shared" si="385"/>
        <v>290</v>
      </c>
      <c r="D6652" t="str">
        <f>"11"</f>
        <v>11</v>
      </c>
      <c r="E6652" t="str">
        <f>"1-290-11"</f>
        <v>1-290-11</v>
      </c>
      <c r="F6652" t="s">
        <v>83</v>
      </c>
      <c r="G6652" t="s">
        <v>84</v>
      </c>
      <c r="H6652" t="s">
        <v>92</v>
      </c>
      <c r="I6652">
        <v>1</v>
      </c>
      <c r="J6652">
        <v>1</v>
      </c>
      <c r="N6652">
        <v>1</v>
      </c>
      <c r="O6652">
        <v>1</v>
      </c>
      <c r="P6652">
        <v>1</v>
      </c>
      <c r="Q6652">
        <v>1</v>
      </c>
      <c r="R6652">
        <v>1</v>
      </c>
      <c r="S6652">
        <v>1</v>
      </c>
      <c r="T6652">
        <v>1</v>
      </c>
      <c r="W6652">
        <v>1</v>
      </c>
      <c r="X6652">
        <v>1</v>
      </c>
      <c r="Y6652">
        <v>1</v>
      </c>
      <c r="Z6652">
        <v>1</v>
      </c>
      <c r="AA6652">
        <v>1</v>
      </c>
      <c r="AB6652">
        <v>1</v>
      </c>
    </row>
    <row r="6653" spans="1:28" x14ac:dyDescent="0.25">
      <c r="A6653" t="str">
        <f>"6649"</f>
        <v>6649</v>
      </c>
      <c r="B6653" t="str">
        <f t="shared" si="384"/>
        <v>1</v>
      </c>
      <c r="C6653" t="str">
        <f t="shared" si="385"/>
        <v>290</v>
      </c>
      <c r="D6653" t="str">
        <f>"3"</f>
        <v>3</v>
      </c>
      <c r="E6653" t="str">
        <f>"1-290-3"</f>
        <v>1-290-3</v>
      </c>
      <c r="F6653" t="s">
        <v>83</v>
      </c>
      <c r="G6653" t="s">
        <v>84</v>
      </c>
      <c r="H6653" t="s">
        <v>92</v>
      </c>
      <c r="I6653">
        <v>1</v>
      </c>
      <c r="J6653">
        <v>1</v>
      </c>
      <c r="N6653">
        <v>1</v>
      </c>
      <c r="O6653">
        <v>1</v>
      </c>
      <c r="P6653">
        <v>1</v>
      </c>
      <c r="Q6653">
        <v>1</v>
      </c>
      <c r="R6653">
        <v>1</v>
      </c>
      <c r="S6653">
        <v>1</v>
      </c>
      <c r="T6653">
        <v>1</v>
      </c>
      <c r="W6653">
        <v>1</v>
      </c>
      <c r="X6653">
        <v>1</v>
      </c>
      <c r="Y6653">
        <v>1</v>
      </c>
      <c r="Z6653">
        <v>1</v>
      </c>
      <c r="AA6653">
        <v>1</v>
      </c>
      <c r="AB6653">
        <v>1</v>
      </c>
    </row>
    <row r="6654" spans="1:28" x14ac:dyDescent="0.25">
      <c r="A6654" t="str">
        <f>"6650"</f>
        <v>6650</v>
      </c>
      <c r="B6654" t="str">
        <f t="shared" si="384"/>
        <v>1</v>
      </c>
      <c r="C6654" t="str">
        <f t="shared" si="385"/>
        <v>290</v>
      </c>
      <c r="D6654" t="str">
        <f>"19"</f>
        <v>19</v>
      </c>
      <c r="E6654" t="str">
        <f>"1-290-19"</f>
        <v>1-290-19</v>
      </c>
      <c r="F6654" t="s">
        <v>83</v>
      </c>
      <c r="G6654" t="s">
        <v>84</v>
      </c>
      <c r="H6654" t="s">
        <v>92</v>
      </c>
      <c r="I6654">
        <v>1</v>
      </c>
      <c r="J6654">
        <v>1</v>
      </c>
      <c r="N6654">
        <v>1</v>
      </c>
      <c r="O6654">
        <v>1</v>
      </c>
      <c r="P6654">
        <v>1</v>
      </c>
      <c r="Q6654">
        <v>1</v>
      </c>
      <c r="R6654">
        <v>1</v>
      </c>
      <c r="S6654">
        <v>1</v>
      </c>
      <c r="T6654">
        <v>1</v>
      </c>
      <c r="W6654">
        <v>1</v>
      </c>
      <c r="X6654">
        <v>1</v>
      </c>
      <c r="Y6654">
        <v>1</v>
      </c>
      <c r="Z6654">
        <v>1</v>
      </c>
      <c r="AA6654">
        <v>1</v>
      </c>
      <c r="AB6654">
        <v>1</v>
      </c>
    </row>
    <row r="6655" spans="1:28" x14ac:dyDescent="0.25">
      <c r="A6655" t="str">
        <f>"6651"</f>
        <v>6651</v>
      </c>
      <c r="B6655" t="str">
        <f t="shared" si="384"/>
        <v>1</v>
      </c>
      <c r="C6655" t="str">
        <f t="shared" si="385"/>
        <v>290</v>
      </c>
      <c r="D6655" t="str">
        <f>"12"</f>
        <v>12</v>
      </c>
      <c r="E6655" t="str">
        <f>"1-290-12"</f>
        <v>1-290-12</v>
      </c>
      <c r="F6655" t="s">
        <v>83</v>
      </c>
      <c r="G6655" t="s">
        <v>84</v>
      </c>
      <c r="H6655" t="s">
        <v>92</v>
      </c>
      <c r="I6655">
        <v>1</v>
      </c>
      <c r="J6655">
        <v>1</v>
      </c>
      <c r="N6655">
        <v>1</v>
      </c>
      <c r="O6655">
        <v>1</v>
      </c>
      <c r="P6655">
        <v>1</v>
      </c>
      <c r="Q6655">
        <v>1</v>
      </c>
      <c r="R6655">
        <v>1</v>
      </c>
      <c r="S6655">
        <v>1</v>
      </c>
      <c r="T6655">
        <v>1</v>
      </c>
      <c r="W6655">
        <v>1</v>
      </c>
      <c r="X6655">
        <v>1</v>
      </c>
      <c r="Y6655">
        <v>1</v>
      </c>
      <c r="Z6655">
        <v>1</v>
      </c>
      <c r="AA6655">
        <v>1</v>
      </c>
      <c r="AB6655">
        <v>1</v>
      </c>
    </row>
    <row r="6656" spans="1:28" x14ac:dyDescent="0.25">
      <c r="A6656" t="str">
        <f>"6652"</f>
        <v>6652</v>
      </c>
      <c r="B6656" t="str">
        <f t="shared" si="384"/>
        <v>1</v>
      </c>
      <c r="C6656" t="str">
        <f t="shared" si="385"/>
        <v>290</v>
      </c>
      <c r="D6656" t="str">
        <f>"2"</f>
        <v>2</v>
      </c>
      <c r="E6656" t="str">
        <f>"1-290-2"</f>
        <v>1-290-2</v>
      </c>
      <c r="F6656" t="s">
        <v>83</v>
      </c>
      <c r="G6656" t="s">
        <v>84</v>
      </c>
      <c r="H6656" t="s">
        <v>92</v>
      </c>
      <c r="I6656">
        <v>1</v>
      </c>
      <c r="J6656">
        <v>1</v>
      </c>
      <c r="N6656">
        <v>1</v>
      </c>
      <c r="O6656">
        <v>1</v>
      </c>
      <c r="P6656">
        <v>1</v>
      </c>
      <c r="Q6656">
        <v>1</v>
      </c>
      <c r="R6656">
        <v>1</v>
      </c>
      <c r="S6656">
        <v>1</v>
      </c>
      <c r="T6656">
        <v>1</v>
      </c>
      <c r="W6656">
        <v>1</v>
      </c>
      <c r="X6656">
        <v>1</v>
      </c>
      <c r="Y6656">
        <v>1</v>
      </c>
      <c r="Z6656">
        <v>1</v>
      </c>
      <c r="AA6656">
        <v>1</v>
      </c>
      <c r="AB6656">
        <v>1</v>
      </c>
    </row>
    <row r="6657" spans="1:28" x14ac:dyDescent="0.25">
      <c r="A6657" t="str">
        <f>"6653"</f>
        <v>6653</v>
      </c>
      <c r="B6657" t="str">
        <f t="shared" si="384"/>
        <v>1</v>
      </c>
      <c r="C6657" t="str">
        <f t="shared" si="385"/>
        <v>290</v>
      </c>
      <c r="D6657" t="str">
        <f>"13"</f>
        <v>13</v>
      </c>
      <c r="E6657" t="str">
        <f>"1-290-13"</f>
        <v>1-290-13</v>
      </c>
      <c r="F6657" t="s">
        <v>83</v>
      </c>
      <c r="G6657" t="s">
        <v>84</v>
      </c>
      <c r="H6657" t="s">
        <v>92</v>
      </c>
      <c r="I6657">
        <v>1</v>
      </c>
      <c r="J6657">
        <v>1</v>
      </c>
      <c r="N6657">
        <v>1</v>
      </c>
      <c r="O6657">
        <v>1</v>
      </c>
      <c r="P6657">
        <v>1</v>
      </c>
      <c r="Q6657">
        <v>1</v>
      </c>
      <c r="R6657">
        <v>1</v>
      </c>
      <c r="S6657">
        <v>1</v>
      </c>
      <c r="T6657">
        <v>1</v>
      </c>
      <c r="W6657">
        <v>1</v>
      </c>
      <c r="X6657">
        <v>1</v>
      </c>
      <c r="Y6657">
        <v>1</v>
      </c>
      <c r="Z6657">
        <v>1</v>
      </c>
      <c r="AA6657">
        <v>1</v>
      </c>
      <c r="AB6657">
        <v>1</v>
      </c>
    </row>
    <row r="6658" spans="1:28" x14ac:dyDescent="0.25">
      <c r="A6658" t="str">
        <f>"6654"</f>
        <v>6654</v>
      </c>
      <c r="B6658" t="str">
        <f t="shared" si="384"/>
        <v>1</v>
      </c>
      <c r="C6658" t="str">
        <f t="shared" si="385"/>
        <v>290</v>
      </c>
      <c r="D6658" t="str">
        <f>"4"</f>
        <v>4</v>
      </c>
      <c r="E6658" t="str">
        <f>"1-290-4"</f>
        <v>1-290-4</v>
      </c>
      <c r="F6658" t="s">
        <v>83</v>
      </c>
      <c r="G6658" t="s">
        <v>84</v>
      </c>
      <c r="H6658" t="s">
        <v>92</v>
      </c>
      <c r="I6658">
        <v>1</v>
      </c>
      <c r="J6658">
        <v>1</v>
      </c>
      <c r="N6658">
        <v>1</v>
      </c>
      <c r="O6658">
        <v>1</v>
      </c>
      <c r="P6658">
        <v>1</v>
      </c>
      <c r="Q6658">
        <v>1</v>
      </c>
      <c r="R6658">
        <v>1</v>
      </c>
      <c r="S6658">
        <v>1</v>
      </c>
      <c r="T6658">
        <v>1</v>
      </c>
      <c r="W6658">
        <v>1</v>
      </c>
      <c r="X6658">
        <v>1</v>
      </c>
      <c r="Y6658">
        <v>1</v>
      </c>
      <c r="Z6658">
        <v>1</v>
      </c>
      <c r="AA6658">
        <v>1</v>
      </c>
      <c r="AB6658">
        <v>1</v>
      </c>
    </row>
    <row r="6659" spans="1:28" x14ac:dyDescent="0.25">
      <c r="A6659" t="str">
        <f>"6655"</f>
        <v>6655</v>
      </c>
      <c r="B6659" t="str">
        <f t="shared" si="384"/>
        <v>1</v>
      </c>
      <c r="C6659" t="str">
        <f t="shared" si="385"/>
        <v>290</v>
      </c>
      <c r="D6659" t="str">
        <f>"14"</f>
        <v>14</v>
      </c>
      <c r="E6659" t="str">
        <f>"1-290-14"</f>
        <v>1-290-14</v>
      </c>
      <c r="F6659" t="s">
        <v>83</v>
      </c>
      <c r="G6659" t="s">
        <v>84</v>
      </c>
      <c r="H6659" t="s">
        <v>92</v>
      </c>
      <c r="I6659">
        <v>1</v>
      </c>
      <c r="J6659">
        <v>1</v>
      </c>
      <c r="N6659">
        <v>1</v>
      </c>
      <c r="O6659">
        <v>1</v>
      </c>
      <c r="P6659">
        <v>1</v>
      </c>
      <c r="Q6659">
        <v>1</v>
      </c>
      <c r="R6659">
        <v>1</v>
      </c>
      <c r="S6659">
        <v>1</v>
      </c>
      <c r="T6659">
        <v>1</v>
      </c>
      <c r="W6659">
        <v>1</v>
      </c>
      <c r="X6659">
        <v>1</v>
      </c>
      <c r="Y6659">
        <v>1</v>
      </c>
      <c r="Z6659">
        <v>1</v>
      </c>
      <c r="AA6659">
        <v>1</v>
      </c>
      <c r="AB6659">
        <v>1</v>
      </c>
    </row>
    <row r="6660" spans="1:28" x14ac:dyDescent="0.25">
      <c r="A6660" t="str">
        <f>"6656"</f>
        <v>6656</v>
      </c>
      <c r="B6660" t="str">
        <f t="shared" si="384"/>
        <v>1</v>
      </c>
      <c r="C6660" t="str">
        <f t="shared" si="385"/>
        <v>290</v>
      </c>
      <c r="D6660" t="str">
        <f>"7"</f>
        <v>7</v>
      </c>
      <c r="E6660" t="str">
        <f>"1-290-7"</f>
        <v>1-290-7</v>
      </c>
      <c r="F6660" t="s">
        <v>83</v>
      </c>
      <c r="G6660" t="s">
        <v>88</v>
      </c>
      <c r="H6660" t="s">
        <v>95</v>
      </c>
      <c r="I6660">
        <v>1</v>
      </c>
      <c r="K6660">
        <v>0</v>
      </c>
      <c r="L6660">
        <v>1</v>
      </c>
      <c r="M6660">
        <v>0</v>
      </c>
      <c r="N6660">
        <v>1</v>
      </c>
      <c r="O6660">
        <v>1</v>
      </c>
      <c r="P6660">
        <v>1</v>
      </c>
      <c r="Q6660">
        <v>1</v>
      </c>
      <c r="R6660">
        <v>1</v>
      </c>
      <c r="S6660">
        <v>1</v>
      </c>
      <c r="T6660">
        <v>1</v>
      </c>
      <c r="W6660">
        <v>1</v>
      </c>
      <c r="X6660">
        <v>1</v>
      </c>
      <c r="Y6660">
        <v>1</v>
      </c>
      <c r="Z6660">
        <v>1</v>
      </c>
      <c r="AA6660">
        <v>1</v>
      </c>
      <c r="AB6660">
        <v>1</v>
      </c>
    </row>
    <row r="6661" spans="1:28" x14ac:dyDescent="0.25">
      <c r="A6661" t="str">
        <f>"6657"</f>
        <v>6657</v>
      </c>
      <c r="B6661" t="str">
        <f t="shared" si="384"/>
        <v>1</v>
      </c>
      <c r="C6661" t="str">
        <f t="shared" ref="C6661:C6685" si="386">"291"</f>
        <v>291</v>
      </c>
      <c r="D6661" t="str">
        <f>"21"</f>
        <v>21</v>
      </c>
      <c r="E6661" t="str">
        <f>"1-291-21"</f>
        <v>1-291-21</v>
      </c>
      <c r="F6661" t="s">
        <v>83</v>
      </c>
      <c r="G6661" t="s">
        <v>84</v>
      </c>
      <c r="H6661" t="s">
        <v>92</v>
      </c>
      <c r="I6661">
        <v>1</v>
      </c>
      <c r="J6661">
        <v>1</v>
      </c>
      <c r="N6661">
        <v>1</v>
      </c>
      <c r="O6661">
        <v>1</v>
      </c>
      <c r="P6661">
        <v>1</v>
      </c>
      <c r="Q6661">
        <v>1</v>
      </c>
      <c r="R6661">
        <v>1</v>
      </c>
      <c r="S6661">
        <v>1</v>
      </c>
      <c r="T6661">
        <v>1</v>
      </c>
      <c r="W6661">
        <v>1</v>
      </c>
      <c r="X6661">
        <v>1</v>
      </c>
      <c r="Y6661">
        <v>1</v>
      </c>
      <c r="Z6661">
        <v>1</v>
      </c>
      <c r="AA6661">
        <v>1</v>
      </c>
      <c r="AB6661">
        <v>1</v>
      </c>
    </row>
    <row r="6662" spans="1:28" x14ac:dyDescent="0.25">
      <c r="A6662" t="str">
        <f>"6658"</f>
        <v>6658</v>
      </c>
      <c r="B6662" t="str">
        <f t="shared" si="384"/>
        <v>1</v>
      </c>
      <c r="C6662" t="str">
        <f t="shared" si="386"/>
        <v>291</v>
      </c>
      <c r="D6662" t="str">
        <f>"20"</f>
        <v>20</v>
      </c>
      <c r="E6662" t="str">
        <f>"1-291-20"</f>
        <v>1-291-20</v>
      </c>
      <c r="F6662" t="s">
        <v>83</v>
      </c>
      <c r="G6662" t="s">
        <v>84</v>
      </c>
      <c r="H6662" t="s">
        <v>92</v>
      </c>
      <c r="I6662">
        <v>1</v>
      </c>
      <c r="J6662">
        <v>1</v>
      </c>
      <c r="N6662">
        <v>1</v>
      </c>
      <c r="O6662">
        <v>1</v>
      </c>
      <c r="P6662">
        <v>1</v>
      </c>
      <c r="Q6662">
        <v>1</v>
      </c>
      <c r="R6662">
        <v>1</v>
      </c>
      <c r="S6662">
        <v>1</v>
      </c>
      <c r="T6662">
        <v>1</v>
      </c>
      <c r="W6662">
        <v>1</v>
      </c>
      <c r="X6662">
        <v>1</v>
      </c>
      <c r="Y6662">
        <v>1</v>
      </c>
      <c r="Z6662">
        <v>1</v>
      </c>
      <c r="AA6662">
        <v>1</v>
      </c>
      <c r="AB6662">
        <v>1</v>
      </c>
    </row>
    <row r="6663" spans="1:28" x14ac:dyDescent="0.25">
      <c r="A6663" t="str">
        <f>"6659"</f>
        <v>6659</v>
      </c>
      <c r="B6663" t="str">
        <f t="shared" si="384"/>
        <v>1</v>
      </c>
      <c r="C6663" t="str">
        <f t="shared" si="386"/>
        <v>291</v>
      </c>
      <c r="D6663" t="str">
        <f>"13"</f>
        <v>13</v>
      </c>
      <c r="E6663" t="str">
        <f>"1-291-13"</f>
        <v>1-291-13</v>
      </c>
      <c r="F6663" t="s">
        <v>83</v>
      </c>
      <c r="G6663" t="s">
        <v>84</v>
      </c>
      <c r="H6663" t="s">
        <v>92</v>
      </c>
      <c r="I6663">
        <v>1</v>
      </c>
      <c r="J6663">
        <v>1</v>
      </c>
      <c r="N6663">
        <v>1</v>
      </c>
      <c r="O6663">
        <v>1</v>
      </c>
      <c r="P6663">
        <v>1</v>
      </c>
      <c r="Q6663">
        <v>1</v>
      </c>
      <c r="R6663">
        <v>1</v>
      </c>
      <c r="S6663">
        <v>1</v>
      </c>
      <c r="T6663">
        <v>1</v>
      </c>
      <c r="W6663">
        <v>1</v>
      </c>
      <c r="X6663">
        <v>1</v>
      </c>
      <c r="Y6663">
        <v>1</v>
      </c>
      <c r="Z6663">
        <v>1</v>
      </c>
      <c r="AA6663">
        <v>1</v>
      </c>
      <c r="AB6663">
        <v>1</v>
      </c>
    </row>
    <row r="6664" spans="1:28" x14ac:dyDescent="0.25">
      <c r="A6664" t="str">
        <f>"6660"</f>
        <v>6660</v>
      </c>
      <c r="B6664" t="str">
        <f t="shared" si="384"/>
        <v>1</v>
      </c>
      <c r="C6664" t="str">
        <f t="shared" si="386"/>
        <v>291</v>
      </c>
      <c r="D6664" t="str">
        <f>"8"</f>
        <v>8</v>
      </c>
      <c r="E6664" t="str">
        <f>"1-291-8"</f>
        <v>1-291-8</v>
      </c>
      <c r="F6664" t="s">
        <v>83</v>
      </c>
      <c r="G6664" t="s">
        <v>84</v>
      </c>
      <c r="H6664" t="s">
        <v>92</v>
      </c>
      <c r="I6664">
        <v>1</v>
      </c>
      <c r="J6664">
        <v>1</v>
      </c>
      <c r="N6664">
        <v>1</v>
      </c>
      <c r="O6664">
        <v>1</v>
      </c>
      <c r="P6664">
        <v>1</v>
      </c>
      <c r="Q6664">
        <v>1</v>
      </c>
      <c r="R6664">
        <v>1</v>
      </c>
      <c r="S6664">
        <v>1</v>
      </c>
      <c r="T6664">
        <v>1</v>
      </c>
      <c r="W6664">
        <v>1</v>
      </c>
      <c r="X6664">
        <v>1</v>
      </c>
      <c r="Y6664">
        <v>1</v>
      </c>
      <c r="Z6664">
        <v>1</v>
      </c>
      <c r="AA6664">
        <v>1</v>
      </c>
      <c r="AB6664">
        <v>1</v>
      </c>
    </row>
    <row r="6665" spans="1:28" x14ac:dyDescent="0.25">
      <c r="A6665" t="str">
        <f>"6661"</f>
        <v>6661</v>
      </c>
      <c r="B6665" t="str">
        <f t="shared" si="384"/>
        <v>1</v>
      </c>
      <c r="C6665" t="str">
        <f t="shared" si="386"/>
        <v>291</v>
      </c>
      <c r="D6665" t="str">
        <f>"3"</f>
        <v>3</v>
      </c>
      <c r="E6665" t="str">
        <f>"1-291-3"</f>
        <v>1-291-3</v>
      </c>
      <c r="F6665" t="s">
        <v>83</v>
      </c>
      <c r="G6665" t="s">
        <v>84</v>
      </c>
      <c r="H6665" t="s">
        <v>92</v>
      </c>
      <c r="I6665">
        <v>1</v>
      </c>
      <c r="J6665">
        <v>1</v>
      </c>
      <c r="N6665">
        <v>1</v>
      </c>
      <c r="O6665">
        <v>1</v>
      </c>
      <c r="P6665">
        <v>1</v>
      </c>
      <c r="Q6665">
        <v>1</v>
      </c>
      <c r="R6665">
        <v>1</v>
      </c>
      <c r="S6665">
        <v>1</v>
      </c>
      <c r="T6665">
        <v>1</v>
      </c>
      <c r="W6665">
        <v>1</v>
      </c>
      <c r="X6665">
        <v>1</v>
      </c>
      <c r="Y6665">
        <v>1</v>
      </c>
      <c r="Z6665">
        <v>1</v>
      </c>
      <c r="AA6665">
        <v>1</v>
      </c>
      <c r="AB6665">
        <v>1</v>
      </c>
    </row>
    <row r="6666" spans="1:28" x14ac:dyDescent="0.25">
      <c r="A6666" t="str">
        <f>"6662"</f>
        <v>6662</v>
      </c>
      <c r="B6666" t="str">
        <f t="shared" si="384"/>
        <v>1</v>
      </c>
      <c r="C6666" t="str">
        <f t="shared" si="386"/>
        <v>291</v>
      </c>
      <c r="D6666" t="str">
        <f>"25"</f>
        <v>25</v>
      </c>
      <c r="E6666" t="str">
        <f>"1-291-25"</f>
        <v>1-291-25</v>
      </c>
      <c r="F6666" t="s">
        <v>83</v>
      </c>
      <c r="G6666" t="s">
        <v>84</v>
      </c>
      <c r="H6666" t="s">
        <v>92</v>
      </c>
      <c r="I6666">
        <v>1</v>
      </c>
      <c r="J6666">
        <v>1</v>
      </c>
      <c r="N6666">
        <v>1</v>
      </c>
      <c r="O6666">
        <v>1</v>
      </c>
      <c r="P6666">
        <v>1</v>
      </c>
      <c r="Q6666">
        <v>1</v>
      </c>
      <c r="R6666">
        <v>1</v>
      </c>
      <c r="S6666">
        <v>1</v>
      </c>
      <c r="T6666">
        <v>1</v>
      </c>
      <c r="W6666">
        <v>1</v>
      </c>
      <c r="X6666">
        <v>1</v>
      </c>
      <c r="Y6666">
        <v>1</v>
      </c>
      <c r="Z6666">
        <v>1</v>
      </c>
      <c r="AA6666">
        <v>1</v>
      </c>
      <c r="AB6666">
        <v>1</v>
      </c>
    </row>
    <row r="6667" spans="1:28" x14ac:dyDescent="0.25">
      <c r="A6667" t="str">
        <f>"6663"</f>
        <v>6663</v>
      </c>
      <c r="B6667" t="str">
        <f t="shared" si="384"/>
        <v>1</v>
      </c>
      <c r="C6667" t="str">
        <f t="shared" si="386"/>
        <v>291</v>
      </c>
      <c r="D6667" t="str">
        <f>"24"</f>
        <v>24</v>
      </c>
      <c r="E6667" t="str">
        <f>"1-291-24"</f>
        <v>1-291-24</v>
      </c>
      <c r="F6667" t="s">
        <v>83</v>
      </c>
      <c r="G6667" t="s">
        <v>84</v>
      </c>
      <c r="H6667" t="s">
        <v>92</v>
      </c>
      <c r="I6667">
        <v>1</v>
      </c>
      <c r="J6667">
        <v>1</v>
      </c>
      <c r="N6667">
        <v>1</v>
      </c>
      <c r="O6667">
        <v>1</v>
      </c>
      <c r="P6667">
        <v>1</v>
      </c>
      <c r="Q6667">
        <v>1</v>
      </c>
      <c r="R6667">
        <v>1</v>
      </c>
      <c r="S6667">
        <v>1</v>
      </c>
      <c r="T6667">
        <v>1</v>
      </c>
      <c r="W6667">
        <v>1</v>
      </c>
      <c r="X6667">
        <v>1</v>
      </c>
      <c r="Y6667">
        <v>1</v>
      </c>
      <c r="Z6667">
        <v>1</v>
      </c>
      <c r="AA6667">
        <v>1</v>
      </c>
      <c r="AB6667">
        <v>1</v>
      </c>
    </row>
    <row r="6668" spans="1:28" x14ac:dyDescent="0.25">
      <c r="A6668" t="str">
        <f>"6664"</f>
        <v>6664</v>
      </c>
      <c r="B6668" t="str">
        <f t="shared" si="384"/>
        <v>1</v>
      </c>
      <c r="C6668" t="str">
        <f t="shared" si="386"/>
        <v>291</v>
      </c>
      <c r="D6668" t="str">
        <f>"14"</f>
        <v>14</v>
      </c>
      <c r="E6668" t="str">
        <f>"1-291-14"</f>
        <v>1-291-14</v>
      </c>
      <c r="F6668" t="s">
        <v>83</v>
      </c>
      <c r="G6668" t="s">
        <v>84</v>
      </c>
      <c r="H6668" t="s">
        <v>92</v>
      </c>
      <c r="I6668">
        <v>1</v>
      </c>
      <c r="J6668">
        <v>1</v>
      </c>
      <c r="N6668">
        <v>1</v>
      </c>
      <c r="O6668">
        <v>1</v>
      </c>
      <c r="P6668">
        <v>1</v>
      </c>
      <c r="Q6668">
        <v>1</v>
      </c>
      <c r="R6668">
        <v>1</v>
      </c>
      <c r="S6668">
        <v>1</v>
      </c>
      <c r="T6668">
        <v>1</v>
      </c>
      <c r="W6668">
        <v>1</v>
      </c>
      <c r="X6668">
        <v>1</v>
      </c>
      <c r="Y6668">
        <v>1</v>
      </c>
      <c r="Z6668">
        <v>1</v>
      </c>
      <c r="AA6668">
        <v>1</v>
      </c>
      <c r="AB6668">
        <v>1</v>
      </c>
    </row>
    <row r="6669" spans="1:28" x14ac:dyDescent="0.25">
      <c r="A6669" t="str">
        <f>"6665"</f>
        <v>6665</v>
      </c>
      <c r="B6669" t="str">
        <f t="shared" si="384"/>
        <v>1</v>
      </c>
      <c r="C6669" t="str">
        <f t="shared" si="386"/>
        <v>291</v>
      </c>
      <c r="D6669" t="str">
        <f>"9"</f>
        <v>9</v>
      </c>
      <c r="E6669" t="str">
        <f>"1-291-9"</f>
        <v>1-291-9</v>
      </c>
      <c r="F6669" t="s">
        <v>83</v>
      </c>
      <c r="G6669" t="s">
        <v>84</v>
      </c>
      <c r="H6669" t="s">
        <v>92</v>
      </c>
      <c r="I6669">
        <v>1</v>
      </c>
      <c r="J6669">
        <v>1</v>
      </c>
      <c r="N6669">
        <v>1</v>
      </c>
      <c r="O6669">
        <v>1</v>
      </c>
      <c r="P6669">
        <v>1</v>
      </c>
      <c r="Q6669">
        <v>1</v>
      </c>
      <c r="R6669">
        <v>1</v>
      </c>
      <c r="S6669">
        <v>1</v>
      </c>
      <c r="T6669">
        <v>1</v>
      </c>
      <c r="W6669">
        <v>1</v>
      </c>
      <c r="X6669">
        <v>1</v>
      </c>
      <c r="Y6669">
        <v>1</v>
      </c>
      <c r="Z6669">
        <v>1</v>
      </c>
      <c r="AA6669">
        <v>1</v>
      </c>
      <c r="AB6669">
        <v>1</v>
      </c>
    </row>
    <row r="6670" spans="1:28" x14ac:dyDescent="0.25">
      <c r="A6670" t="str">
        <f>"6666"</f>
        <v>6666</v>
      </c>
      <c r="B6670" t="str">
        <f t="shared" si="384"/>
        <v>1</v>
      </c>
      <c r="C6670" t="str">
        <f t="shared" si="386"/>
        <v>291</v>
      </c>
      <c r="D6670" t="str">
        <f>"7"</f>
        <v>7</v>
      </c>
      <c r="E6670" t="str">
        <f>"1-291-7"</f>
        <v>1-291-7</v>
      </c>
      <c r="F6670" t="s">
        <v>83</v>
      </c>
      <c r="G6670" t="s">
        <v>84</v>
      </c>
      <c r="H6670" t="s">
        <v>92</v>
      </c>
      <c r="I6670">
        <v>1</v>
      </c>
      <c r="J6670">
        <v>1</v>
      </c>
      <c r="N6670">
        <v>1</v>
      </c>
      <c r="O6670">
        <v>1</v>
      </c>
      <c r="P6670">
        <v>1</v>
      </c>
      <c r="Q6670">
        <v>1</v>
      </c>
      <c r="R6670">
        <v>1</v>
      </c>
      <c r="S6670">
        <v>1</v>
      </c>
      <c r="T6670">
        <v>1</v>
      </c>
      <c r="W6670">
        <v>1</v>
      </c>
      <c r="X6670">
        <v>1</v>
      </c>
      <c r="Y6670">
        <v>1</v>
      </c>
      <c r="Z6670">
        <v>1</v>
      </c>
      <c r="AA6670">
        <v>1</v>
      </c>
      <c r="AB6670">
        <v>1</v>
      </c>
    </row>
    <row r="6671" spans="1:28" x14ac:dyDescent="0.25">
      <c r="A6671" t="str">
        <f>"6667"</f>
        <v>6667</v>
      </c>
      <c r="B6671" t="str">
        <f t="shared" si="384"/>
        <v>1</v>
      </c>
      <c r="C6671" t="str">
        <f t="shared" si="386"/>
        <v>291</v>
      </c>
      <c r="D6671" t="str">
        <f>"16"</f>
        <v>16</v>
      </c>
      <c r="E6671" t="str">
        <f>"1-291-16"</f>
        <v>1-291-16</v>
      </c>
      <c r="F6671" t="s">
        <v>83</v>
      </c>
      <c r="G6671" t="s">
        <v>84</v>
      </c>
      <c r="H6671" t="s">
        <v>92</v>
      </c>
      <c r="I6671">
        <v>1</v>
      </c>
      <c r="J6671">
        <v>1</v>
      </c>
      <c r="N6671">
        <v>1</v>
      </c>
      <c r="O6671">
        <v>1</v>
      </c>
      <c r="P6671">
        <v>1</v>
      </c>
      <c r="Q6671">
        <v>1</v>
      </c>
      <c r="R6671">
        <v>0</v>
      </c>
      <c r="S6671">
        <v>1</v>
      </c>
      <c r="T6671">
        <v>0</v>
      </c>
      <c r="W6671">
        <v>1</v>
      </c>
      <c r="X6671">
        <v>1</v>
      </c>
      <c r="Y6671">
        <v>1</v>
      </c>
      <c r="Z6671">
        <v>1</v>
      </c>
      <c r="AA6671">
        <v>1</v>
      </c>
      <c r="AB6671">
        <v>1</v>
      </c>
    </row>
    <row r="6672" spans="1:28" x14ac:dyDescent="0.25">
      <c r="A6672" t="str">
        <f>"6668"</f>
        <v>6668</v>
      </c>
      <c r="B6672" t="str">
        <f t="shared" si="384"/>
        <v>1</v>
      </c>
      <c r="C6672" t="str">
        <f t="shared" si="386"/>
        <v>291</v>
      </c>
      <c r="D6672" t="str">
        <f>"10"</f>
        <v>10</v>
      </c>
      <c r="E6672" t="str">
        <f>"1-291-10"</f>
        <v>1-291-10</v>
      </c>
      <c r="F6672" t="s">
        <v>83</v>
      </c>
      <c r="G6672" t="s">
        <v>84</v>
      </c>
      <c r="H6672" t="s">
        <v>92</v>
      </c>
      <c r="I6672">
        <v>1</v>
      </c>
      <c r="J6672">
        <v>1</v>
      </c>
      <c r="N6672">
        <v>1</v>
      </c>
      <c r="O6672">
        <v>1</v>
      </c>
      <c r="P6672">
        <v>1</v>
      </c>
      <c r="Q6672">
        <v>1</v>
      </c>
      <c r="R6672">
        <v>1</v>
      </c>
      <c r="S6672">
        <v>1</v>
      </c>
      <c r="T6672">
        <v>1</v>
      </c>
      <c r="W6672">
        <v>1</v>
      </c>
      <c r="X6672">
        <v>1</v>
      </c>
      <c r="Y6672">
        <v>1</v>
      </c>
      <c r="Z6672">
        <v>1</v>
      </c>
      <c r="AA6672">
        <v>1</v>
      </c>
      <c r="AB6672">
        <v>1</v>
      </c>
    </row>
    <row r="6673" spans="1:49" x14ac:dyDescent="0.25">
      <c r="A6673" t="str">
        <f>"6669"</f>
        <v>6669</v>
      </c>
      <c r="B6673" t="str">
        <f t="shared" si="384"/>
        <v>1</v>
      </c>
      <c r="C6673" t="str">
        <f t="shared" si="386"/>
        <v>291</v>
      </c>
      <c r="D6673" t="str">
        <f>"2"</f>
        <v>2</v>
      </c>
      <c r="E6673" t="str">
        <f>"1-291-2"</f>
        <v>1-291-2</v>
      </c>
      <c r="F6673" t="s">
        <v>83</v>
      </c>
      <c r="G6673" t="s">
        <v>84</v>
      </c>
      <c r="H6673" t="s">
        <v>92</v>
      </c>
      <c r="I6673">
        <v>1</v>
      </c>
      <c r="J6673">
        <v>1</v>
      </c>
      <c r="N6673">
        <v>1</v>
      </c>
      <c r="O6673">
        <v>1</v>
      </c>
      <c r="P6673">
        <v>1</v>
      </c>
      <c r="Q6673">
        <v>1</v>
      </c>
      <c r="R6673">
        <v>1</v>
      </c>
      <c r="S6673">
        <v>1</v>
      </c>
      <c r="T6673">
        <v>1</v>
      </c>
      <c r="W6673">
        <v>1</v>
      </c>
      <c r="X6673">
        <v>1</v>
      </c>
      <c r="Y6673">
        <v>1</v>
      </c>
      <c r="Z6673">
        <v>1</v>
      </c>
      <c r="AA6673">
        <v>1</v>
      </c>
      <c r="AB6673">
        <v>1</v>
      </c>
    </row>
    <row r="6674" spans="1:49" x14ac:dyDescent="0.25">
      <c r="A6674" t="str">
        <f>"6670"</f>
        <v>6670</v>
      </c>
      <c r="B6674" t="str">
        <f t="shared" si="384"/>
        <v>1</v>
      </c>
      <c r="C6674" t="str">
        <f t="shared" si="386"/>
        <v>291</v>
      </c>
      <c r="D6674" t="str">
        <f>"23"</f>
        <v>23</v>
      </c>
      <c r="E6674" t="str">
        <f>"1-291-23"</f>
        <v>1-291-23</v>
      </c>
      <c r="F6674" t="s">
        <v>83</v>
      </c>
      <c r="G6674" t="s">
        <v>84</v>
      </c>
      <c r="H6674" t="s">
        <v>92</v>
      </c>
      <c r="I6674">
        <v>1</v>
      </c>
      <c r="J6674">
        <v>1</v>
      </c>
      <c r="N6674">
        <v>0</v>
      </c>
      <c r="O6674">
        <v>1</v>
      </c>
      <c r="P6674">
        <v>0</v>
      </c>
      <c r="Q6674">
        <v>1</v>
      </c>
      <c r="R6674">
        <v>1</v>
      </c>
      <c r="S6674">
        <v>1</v>
      </c>
      <c r="T6674">
        <v>0</v>
      </c>
      <c r="W6674">
        <v>1</v>
      </c>
      <c r="X6674">
        <v>1</v>
      </c>
      <c r="Y6674">
        <v>1</v>
      </c>
      <c r="Z6674">
        <v>1</v>
      </c>
      <c r="AA6674">
        <v>1</v>
      </c>
      <c r="AB6674">
        <v>1</v>
      </c>
    </row>
    <row r="6675" spans="1:49" x14ac:dyDescent="0.25">
      <c r="A6675" t="str">
        <f>"6671"</f>
        <v>6671</v>
      </c>
      <c r="B6675" t="str">
        <f t="shared" si="384"/>
        <v>1</v>
      </c>
      <c r="C6675" t="str">
        <f t="shared" si="386"/>
        <v>291</v>
      </c>
      <c r="D6675" t="str">
        <f>"22"</f>
        <v>22</v>
      </c>
      <c r="E6675" t="str">
        <f>"1-291-22"</f>
        <v>1-291-22</v>
      </c>
      <c r="F6675" t="s">
        <v>83</v>
      </c>
      <c r="G6675" t="s">
        <v>84</v>
      </c>
      <c r="H6675" t="s">
        <v>92</v>
      </c>
      <c r="I6675">
        <v>1</v>
      </c>
      <c r="J6675">
        <v>1</v>
      </c>
      <c r="N6675">
        <v>1</v>
      </c>
      <c r="O6675">
        <v>1</v>
      </c>
      <c r="P6675">
        <v>1</v>
      </c>
      <c r="Q6675">
        <v>1</v>
      </c>
      <c r="R6675">
        <v>1</v>
      </c>
      <c r="S6675">
        <v>1</v>
      </c>
      <c r="T6675">
        <v>1</v>
      </c>
      <c r="W6675">
        <v>1</v>
      </c>
      <c r="X6675">
        <v>1</v>
      </c>
      <c r="Y6675">
        <v>1</v>
      </c>
      <c r="Z6675">
        <v>1</v>
      </c>
      <c r="AA6675">
        <v>1</v>
      </c>
      <c r="AB6675">
        <v>1</v>
      </c>
    </row>
    <row r="6676" spans="1:49" x14ac:dyDescent="0.25">
      <c r="A6676" t="str">
        <f>"6672"</f>
        <v>6672</v>
      </c>
      <c r="B6676" t="str">
        <f t="shared" si="384"/>
        <v>1</v>
      </c>
      <c r="C6676" t="str">
        <f t="shared" si="386"/>
        <v>291</v>
      </c>
      <c r="D6676" t="str">
        <f>"15"</f>
        <v>15</v>
      </c>
      <c r="E6676" t="str">
        <f>"1-291-15"</f>
        <v>1-291-15</v>
      </c>
      <c r="F6676" t="s">
        <v>83</v>
      </c>
      <c r="G6676" t="s">
        <v>84</v>
      </c>
      <c r="H6676" t="s">
        <v>92</v>
      </c>
      <c r="I6676">
        <v>1</v>
      </c>
      <c r="J6676">
        <v>1</v>
      </c>
      <c r="N6676">
        <v>1</v>
      </c>
      <c r="O6676">
        <v>1</v>
      </c>
      <c r="P6676">
        <v>1</v>
      </c>
      <c r="Q6676">
        <v>1</v>
      </c>
      <c r="R6676">
        <v>1</v>
      </c>
      <c r="S6676">
        <v>1</v>
      </c>
      <c r="T6676">
        <v>1</v>
      </c>
      <c r="W6676">
        <v>1</v>
      </c>
      <c r="X6676">
        <v>1</v>
      </c>
      <c r="Y6676">
        <v>1</v>
      </c>
      <c r="Z6676">
        <v>1</v>
      </c>
      <c r="AA6676">
        <v>1</v>
      </c>
      <c r="AB6676">
        <v>1</v>
      </c>
    </row>
    <row r="6677" spans="1:49" x14ac:dyDescent="0.25">
      <c r="A6677" t="str">
        <f>"6673"</f>
        <v>6673</v>
      </c>
      <c r="B6677" t="str">
        <f t="shared" si="384"/>
        <v>1</v>
      </c>
      <c r="C6677" t="str">
        <f t="shared" si="386"/>
        <v>291</v>
      </c>
      <c r="D6677" t="str">
        <f>"11"</f>
        <v>11</v>
      </c>
      <c r="E6677" t="str">
        <f>"1-291-11"</f>
        <v>1-291-11</v>
      </c>
      <c r="F6677" t="s">
        <v>83</v>
      </c>
      <c r="G6677" t="s">
        <v>84</v>
      </c>
      <c r="H6677" t="s">
        <v>92</v>
      </c>
      <c r="I6677">
        <v>1</v>
      </c>
      <c r="J6677">
        <v>1</v>
      </c>
      <c r="N6677">
        <v>1</v>
      </c>
      <c r="O6677">
        <v>1</v>
      </c>
      <c r="P6677">
        <v>1</v>
      </c>
      <c r="Q6677">
        <v>1</v>
      </c>
      <c r="R6677">
        <v>1</v>
      </c>
      <c r="S6677">
        <v>1</v>
      </c>
      <c r="T6677">
        <v>1</v>
      </c>
      <c r="W6677">
        <v>1</v>
      </c>
      <c r="X6677">
        <v>1</v>
      </c>
      <c r="Y6677">
        <v>1</v>
      </c>
      <c r="Z6677">
        <v>1</v>
      </c>
      <c r="AA6677">
        <v>1</v>
      </c>
      <c r="AB6677">
        <v>1</v>
      </c>
    </row>
    <row r="6678" spans="1:49" x14ac:dyDescent="0.25">
      <c r="A6678" t="str">
        <f>"6674"</f>
        <v>6674</v>
      </c>
      <c r="B6678" t="str">
        <f t="shared" si="384"/>
        <v>1</v>
      </c>
      <c r="C6678" t="str">
        <f t="shared" si="386"/>
        <v>291</v>
      </c>
      <c r="D6678" t="str">
        <f>"1"</f>
        <v>1</v>
      </c>
      <c r="E6678" t="str">
        <f>"1-291-1"</f>
        <v>1-291-1</v>
      </c>
      <c r="F6678" t="s">
        <v>83</v>
      </c>
      <c r="G6678" t="s">
        <v>84</v>
      </c>
      <c r="H6678" t="s">
        <v>92</v>
      </c>
      <c r="I6678">
        <v>1</v>
      </c>
      <c r="J6678">
        <v>1</v>
      </c>
      <c r="N6678">
        <v>1</v>
      </c>
      <c r="O6678">
        <v>1</v>
      </c>
      <c r="P6678">
        <v>1</v>
      </c>
      <c r="Q6678">
        <v>1</v>
      </c>
      <c r="R6678">
        <v>1</v>
      </c>
      <c r="S6678">
        <v>1</v>
      </c>
      <c r="T6678">
        <v>1</v>
      </c>
      <c r="W6678">
        <v>1</v>
      </c>
      <c r="X6678">
        <v>1</v>
      </c>
      <c r="Y6678">
        <v>1</v>
      </c>
      <c r="Z6678">
        <v>1</v>
      </c>
      <c r="AA6678">
        <v>1</v>
      </c>
      <c r="AB6678">
        <v>1</v>
      </c>
    </row>
    <row r="6679" spans="1:49" x14ac:dyDescent="0.25">
      <c r="A6679" t="str">
        <f>"6675"</f>
        <v>6675</v>
      </c>
      <c r="B6679" t="str">
        <f t="shared" si="384"/>
        <v>1</v>
      </c>
      <c r="C6679" t="str">
        <f t="shared" si="386"/>
        <v>291</v>
      </c>
      <c r="D6679" t="str">
        <f>"17"</f>
        <v>17</v>
      </c>
      <c r="E6679" t="str">
        <f>"1-291-17"</f>
        <v>1-291-17</v>
      </c>
      <c r="F6679" t="s">
        <v>83</v>
      </c>
      <c r="G6679" t="s">
        <v>84</v>
      </c>
      <c r="H6679" t="s">
        <v>92</v>
      </c>
      <c r="I6679">
        <v>1</v>
      </c>
      <c r="J6679">
        <v>1</v>
      </c>
      <c r="N6679">
        <v>1</v>
      </c>
      <c r="O6679">
        <v>1</v>
      </c>
      <c r="P6679">
        <v>1</v>
      </c>
      <c r="Q6679">
        <v>1</v>
      </c>
      <c r="R6679">
        <v>1</v>
      </c>
      <c r="S6679">
        <v>1</v>
      </c>
      <c r="T6679">
        <v>1</v>
      </c>
      <c r="W6679">
        <v>1</v>
      </c>
      <c r="X6679">
        <v>1</v>
      </c>
      <c r="Y6679">
        <v>1</v>
      </c>
      <c r="Z6679">
        <v>1</v>
      </c>
      <c r="AA6679">
        <v>1</v>
      </c>
      <c r="AB6679">
        <v>1</v>
      </c>
    </row>
    <row r="6680" spans="1:49" x14ac:dyDescent="0.25">
      <c r="A6680" t="str">
        <f>"6676"</f>
        <v>6676</v>
      </c>
      <c r="B6680" t="str">
        <f t="shared" si="384"/>
        <v>1</v>
      </c>
      <c r="C6680" t="str">
        <f t="shared" si="386"/>
        <v>291</v>
      </c>
      <c r="D6680" t="str">
        <f>"12"</f>
        <v>12</v>
      </c>
      <c r="E6680" t="str">
        <f>"1-291-12"</f>
        <v>1-291-12</v>
      </c>
      <c r="F6680" t="s">
        <v>83</v>
      </c>
      <c r="G6680" t="s">
        <v>84</v>
      </c>
      <c r="H6680" t="s">
        <v>92</v>
      </c>
      <c r="I6680">
        <v>1</v>
      </c>
      <c r="J6680">
        <v>1</v>
      </c>
      <c r="N6680">
        <v>1</v>
      </c>
      <c r="O6680">
        <v>1</v>
      </c>
      <c r="P6680">
        <v>1</v>
      </c>
      <c r="Q6680">
        <v>1</v>
      </c>
      <c r="R6680">
        <v>1</v>
      </c>
      <c r="S6680">
        <v>1</v>
      </c>
      <c r="T6680">
        <v>1</v>
      </c>
      <c r="W6680">
        <v>1</v>
      </c>
      <c r="X6680">
        <v>1</v>
      </c>
      <c r="Y6680">
        <v>1</v>
      </c>
      <c r="Z6680">
        <v>1</v>
      </c>
      <c r="AA6680">
        <v>1</v>
      </c>
      <c r="AB6680">
        <v>1</v>
      </c>
    </row>
    <row r="6681" spans="1:49" x14ac:dyDescent="0.25">
      <c r="A6681" t="str">
        <f>"6677"</f>
        <v>6677</v>
      </c>
      <c r="B6681" t="str">
        <f t="shared" si="384"/>
        <v>1</v>
      </c>
      <c r="C6681" t="str">
        <f t="shared" si="386"/>
        <v>291</v>
      </c>
      <c r="D6681" t="str">
        <f>"5"</f>
        <v>5</v>
      </c>
      <c r="E6681" t="str">
        <f>"1-291-5"</f>
        <v>1-291-5</v>
      </c>
      <c r="F6681" t="s">
        <v>83</v>
      </c>
      <c r="G6681" t="s">
        <v>84</v>
      </c>
      <c r="H6681" t="s">
        <v>92</v>
      </c>
      <c r="I6681">
        <v>1</v>
      </c>
      <c r="J6681">
        <v>1</v>
      </c>
      <c r="N6681">
        <v>1</v>
      </c>
      <c r="O6681">
        <v>1</v>
      </c>
      <c r="P6681">
        <v>1</v>
      </c>
      <c r="Q6681">
        <v>1</v>
      </c>
      <c r="R6681">
        <v>1</v>
      </c>
      <c r="S6681">
        <v>1</v>
      </c>
      <c r="T6681">
        <v>1</v>
      </c>
      <c r="W6681">
        <v>1</v>
      </c>
      <c r="X6681">
        <v>1</v>
      </c>
      <c r="Y6681">
        <v>1</v>
      </c>
      <c r="Z6681">
        <v>1</v>
      </c>
      <c r="AA6681">
        <v>1</v>
      </c>
      <c r="AB6681">
        <v>1</v>
      </c>
    </row>
    <row r="6682" spans="1:49" x14ac:dyDescent="0.25">
      <c r="A6682" t="str">
        <f>"6678"</f>
        <v>6678</v>
      </c>
      <c r="B6682" t="str">
        <f t="shared" si="384"/>
        <v>1</v>
      </c>
      <c r="C6682" t="str">
        <f t="shared" si="386"/>
        <v>291</v>
      </c>
      <c r="D6682" t="str">
        <f>"18"</f>
        <v>18</v>
      </c>
      <c r="E6682" t="str">
        <f>"1-291-18"</f>
        <v>1-291-18</v>
      </c>
      <c r="F6682" t="s">
        <v>83</v>
      </c>
      <c r="G6682" t="s">
        <v>84</v>
      </c>
      <c r="H6682" t="s">
        <v>92</v>
      </c>
      <c r="I6682">
        <v>1</v>
      </c>
      <c r="J6682">
        <v>1</v>
      </c>
      <c r="N6682">
        <v>1</v>
      </c>
      <c r="O6682">
        <v>1</v>
      </c>
      <c r="P6682">
        <v>1</v>
      </c>
      <c r="Q6682">
        <v>1</v>
      </c>
      <c r="R6682">
        <v>1</v>
      </c>
      <c r="S6682">
        <v>1</v>
      </c>
      <c r="T6682">
        <v>1</v>
      </c>
      <c r="W6682">
        <v>1</v>
      </c>
      <c r="X6682">
        <v>1</v>
      </c>
      <c r="Y6682">
        <v>1</v>
      </c>
      <c r="Z6682">
        <v>1</v>
      </c>
      <c r="AA6682">
        <v>1</v>
      </c>
      <c r="AB6682">
        <v>1</v>
      </c>
    </row>
    <row r="6683" spans="1:49" x14ac:dyDescent="0.25">
      <c r="A6683" t="str">
        <f>"6679"</f>
        <v>6679</v>
      </c>
      <c r="B6683" t="str">
        <f t="shared" si="384"/>
        <v>1</v>
      </c>
      <c r="C6683" t="str">
        <f t="shared" si="386"/>
        <v>291</v>
      </c>
      <c r="D6683" t="str">
        <f>"4"</f>
        <v>4</v>
      </c>
      <c r="E6683" t="str">
        <f>"1-291-4"</f>
        <v>1-291-4</v>
      </c>
      <c r="F6683" t="s">
        <v>83</v>
      </c>
      <c r="G6683" t="s">
        <v>84</v>
      </c>
      <c r="H6683" t="s">
        <v>92</v>
      </c>
      <c r="I6683">
        <v>1</v>
      </c>
      <c r="J6683">
        <v>1</v>
      </c>
      <c r="N6683">
        <v>1</v>
      </c>
      <c r="O6683">
        <v>1</v>
      </c>
      <c r="P6683">
        <v>1</v>
      </c>
      <c r="Q6683">
        <v>1</v>
      </c>
      <c r="R6683">
        <v>1</v>
      </c>
      <c r="S6683">
        <v>1</v>
      </c>
      <c r="T6683">
        <v>1</v>
      </c>
      <c r="W6683">
        <v>1</v>
      </c>
      <c r="X6683">
        <v>1</v>
      </c>
      <c r="Y6683">
        <v>1</v>
      </c>
      <c r="Z6683">
        <v>1</v>
      </c>
      <c r="AA6683">
        <v>1</v>
      </c>
      <c r="AB6683">
        <v>1</v>
      </c>
    </row>
    <row r="6684" spans="1:49" x14ac:dyDescent="0.25">
      <c r="A6684" t="str">
        <f>"6680"</f>
        <v>6680</v>
      </c>
      <c r="B6684" t="str">
        <f t="shared" si="384"/>
        <v>1</v>
      </c>
      <c r="C6684" t="str">
        <f t="shared" si="386"/>
        <v>291</v>
      </c>
      <c r="D6684" t="str">
        <f>"19"</f>
        <v>19</v>
      </c>
      <c r="E6684" t="str">
        <f>"1-291-19"</f>
        <v>1-291-19</v>
      </c>
      <c r="F6684" t="s">
        <v>83</v>
      </c>
      <c r="G6684" t="s">
        <v>84</v>
      </c>
      <c r="H6684" t="s">
        <v>92</v>
      </c>
      <c r="I6684">
        <v>1</v>
      </c>
      <c r="J6684">
        <v>1</v>
      </c>
      <c r="N6684">
        <v>1</v>
      </c>
      <c r="O6684">
        <v>1</v>
      </c>
      <c r="P6684">
        <v>1</v>
      </c>
      <c r="Q6684">
        <v>1</v>
      </c>
      <c r="R6684">
        <v>1</v>
      </c>
      <c r="S6684">
        <v>1</v>
      </c>
      <c r="T6684">
        <v>1</v>
      </c>
      <c r="W6684">
        <v>1</v>
      </c>
      <c r="X6684">
        <v>1</v>
      </c>
      <c r="Y6684">
        <v>1</v>
      </c>
      <c r="Z6684">
        <v>1</v>
      </c>
      <c r="AA6684">
        <v>1</v>
      </c>
      <c r="AB6684">
        <v>1</v>
      </c>
    </row>
    <row r="6685" spans="1:49" x14ac:dyDescent="0.25">
      <c r="A6685" t="str">
        <f>"6681"</f>
        <v>6681</v>
      </c>
      <c r="B6685" t="str">
        <f t="shared" si="384"/>
        <v>1</v>
      </c>
      <c r="C6685" t="str">
        <f t="shared" si="386"/>
        <v>291</v>
      </c>
      <c r="D6685" t="str">
        <f>"6"</f>
        <v>6</v>
      </c>
      <c r="E6685" t="str">
        <f>"1-291-6"</f>
        <v>1-291-6</v>
      </c>
      <c r="F6685" t="s">
        <v>83</v>
      </c>
      <c r="G6685" t="s">
        <v>84</v>
      </c>
      <c r="H6685" t="s">
        <v>92</v>
      </c>
      <c r="I6685">
        <v>0</v>
      </c>
      <c r="J6685">
        <v>0</v>
      </c>
      <c r="N6685">
        <v>1</v>
      </c>
      <c r="O6685">
        <v>1</v>
      </c>
      <c r="P6685">
        <v>1</v>
      </c>
      <c r="Q6685">
        <v>1</v>
      </c>
      <c r="R6685">
        <v>0</v>
      </c>
      <c r="S6685">
        <v>1</v>
      </c>
      <c r="T6685">
        <v>1</v>
      </c>
      <c r="W6685">
        <v>1</v>
      </c>
      <c r="X6685">
        <v>1</v>
      </c>
      <c r="Y6685">
        <v>1</v>
      </c>
      <c r="Z6685">
        <v>1</v>
      </c>
      <c r="AA6685">
        <v>1</v>
      </c>
      <c r="AB6685">
        <v>1</v>
      </c>
    </row>
    <row r="6686" spans="1:49" x14ac:dyDescent="0.25">
      <c r="A6686" t="str">
        <f>"6682"</f>
        <v>6682</v>
      </c>
      <c r="B6686" t="str">
        <f t="shared" ref="B6686:B6749" si="387">"1"</f>
        <v>1</v>
      </c>
      <c r="C6686" t="str">
        <f t="shared" ref="C6686:C6705" si="388">"292"</f>
        <v>292</v>
      </c>
      <c r="D6686" t="str">
        <f>"20"</f>
        <v>20</v>
      </c>
      <c r="E6686" t="str">
        <f>"1-292-20"</f>
        <v>1-292-20</v>
      </c>
      <c r="F6686" t="s">
        <v>83</v>
      </c>
      <c r="G6686" t="s">
        <v>84</v>
      </c>
      <c r="H6686" t="s">
        <v>85</v>
      </c>
      <c r="AC6686">
        <v>0</v>
      </c>
      <c r="AD6686">
        <v>1</v>
      </c>
      <c r="AE6686">
        <v>0</v>
      </c>
      <c r="AF6686">
        <v>0</v>
      </c>
      <c r="AG6686">
        <v>1</v>
      </c>
      <c r="AJ6686">
        <v>0</v>
      </c>
      <c r="AK6686">
        <v>1</v>
      </c>
      <c r="AL6686">
        <v>1</v>
      </c>
      <c r="AM6686">
        <v>0</v>
      </c>
      <c r="AN6686">
        <v>0</v>
      </c>
      <c r="AO6686">
        <v>1</v>
      </c>
      <c r="AP6686">
        <v>1</v>
      </c>
      <c r="AQ6686">
        <v>1</v>
      </c>
      <c r="AR6686">
        <v>1</v>
      </c>
      <c r="AS6686">
        <v>0</v>
      </c>
      <c r="AT6686">
        <v>1</v>
      </c>
      <c r="AV6686">
        <v>1</v>
      </c>
      <c r="AW6686">
        <v>1</v>
      </c>
    </row>
    <row r="6687" spans="1:49" x14ac:dyDescent="0.25">
      <c r="A6687" t="str">
        <f>"6683"</f>
        <v>6683</v>
      </c>
      <c r="B6687" t="str">
        <f t="shared" si="387"/>
        <v>1</v>
      </c>
      <c r="C6687" t="str">
        <f t="shared" si="388"/>
        <v>292</v>
      </c>
      <c r="D6687" t="str">
        <f>"13"</f>
        <v>13</v>
      </c>
      <c r="E6687" t="str">
        <f>"1-292-13"</f>
        <v>1-292-13</v>
      </c>
      <c r="F6687" t="s">
        <v>83</v>
      </c>
      <c r="G6687" t="s">
        <v>84</v>
      </c>
      <c r="H6687" t="s">
        <v>92</v>
      </c>
      <c r="I6687">
        <v>1</v>
      </c>
      <c r="J6687">
        <v>1</v>
      </c>
      <c r="N6687">
        <v>1</v>
      </c>
      <c r="O6687">
        <v>1</v>
      </c>
      <c r="P6687">
        <v>1</v>
      </c>
      <c r="Q6687">
        <v>1</v>
      </c>
      <c r="R6687">
        <v>1</v>
      </c>
      <c r="S6687">
        <v>1</v>
      </c>
      <c r="T6687">
        <v>1</v>
      </c>
      <c r="W6687">
        <v>1</v>
      </c>
      <c r="X6687">
        <v>1</v>
      </c>
      <c r="Y6687">
        <v>1</v>
      </c>
      <c r="Z6687">
        <v>1</v>
      </c>
      <c r="AA6687">
        <v>1</v>
      </c>
      <c r="AB6687">
        <v>1</v>
      </c>
    </row>
    <row r="6688" spans="1:49" x14ac:dyDescent="0.25">
      <c r="A6688" t="str">
        <f>"6684"</f>
        <v>6684</v>
      </c>
      <c r="B6688" t="str">
        <f t="shared" si="387"/>
        <v>1</v>
      </c>
      <c r="C6688" t="str">
        <f t="shared" si="388"/>
        <v>292</v>
      </c>
      <c r="D6688" t="str">
        <f>"12"</f>
        <v>12</v>
      </c>
      <c r="E6688" t="str">
        <f>"1-292-12"</f>
        <v>1-292-12</v>
      </c>
      <c r="F6688" t="s">
        <v>83</v>
      </c>
      <c r="G6688" t="s">
        <v>84</v>
      </c>
      <c r="H6688" t="s">
        <v>92</v>
      </c>
      <c r="I6688">
        <v>1</v>
      </c>
      <c r="J6688">
        <v>1</v>
      </c>
      <c r="N6688">
        <v>1</v>
      </c>
      <c r="O6688">
        <v>1</v>
      </c>
      <c r="P6688">
        <v>1</v>
      </c>
      <c r="Q6688">
        <v>1</v>
      </c>
      <c r="R6688">
        <v>1</v>
      </c>
      <c r="S6688">
        <v>1</v>
      </c>
      <c r="T6688">
        <v>1</v>
      </c>
      <c r="W6688">
        <v>1</v>
      </c>
      <c r="X6688">
        <v>1</v>
      </c>
      <c r="Y6688">
        <v>1</v>
      </c>
      <c r="Z6688">
        <v>1</v>
      </c>
      <c r="AA6688">
        <v>1</v>
      </c>
      <c r="AB6688">
        <v>1</v>
      </c>
    </row>
    <row r="6689" spans="1:49" x14ac:dyDescent="0.25">
      <c r="A6689" t="str">
        <f>"6685"</f>
        <v>6685</v>
      </c>
      <c r="B6689" t="str">
        <f t="shared" si="387"/>
        <v>1</v>
      </c>
      <c r="C6689" t="str">
        <f t="shared" si="388"/>
        <v>292</v>
      </c>
      <c r="D6689" t="str">
        <f>"11"</f>
        <v>11</v>
      </c>
      <c r="E6689" t="str">
        <f>"1-292-11"</f>
        <v>1-292-11</v>
      </c>
      <c r="F6689" t="s">
        <v>83</v>
      </c>
      <c r="G6689" t="s">
        <v>84</v>
      </c>
      <c r="H6689" t="s">
        <v>85</v>
      </c>
      <c r="AC6689">
        <v>0</v>
      </c>
      <c r="AD6689">
        <v>1</v>
      </c>
      <c r="AE6689">
        <v>0</v>
      </c>
      <c r="AF6689">
        <v>0</v>
      </c>
      <c r="AG6689">
        <v>1</v>
      </c>
      <c r="AJ6689">
        <v>1</v>
      </c>
      <c r="AK6689">
        <v>0</v>
      </c>
      <c r="AL6689">
        <v>0</v>
      </c>
      <c r="AM6689">
        <v>0</v>
      </c>
      <c r="AN6689">
        <v>1</v>
      </c>
      <c r="AO6689">
        <v>0</v>
      </c>
      <c r="AP6689">
        <v>0</v>
      </c>
      <c r="AQ6689">
        <v>0</v>
      </c>
      <c r="AR6689">
        <v>0</v>
      </c>
      <c r="AS6689">
        <v>0</v>
      </c>
      <c r="AT6689">
        <v>0</v>
      </c>
      <c r="AV6689">
        <v>0</v>
      </c>
      <c r="AW6689">
        <v>0</v>
      </c>
    </row>
    <row r="6690" spans="1:49" x14ac:dyDescent="0.25">
      <c r="A6690" t="str">
        <f>"6686"</f>
        <v>6686</v>
      </c>
      <c r="B6690" t="str">
        <f t="shared" si="387"/>
        <v>1</v>
      </c>
      <c r="C6690" t="str">
        <f t="shared" si="388"/>
        <v>292</v>
      </c>
      <c r="D6690" t="str">
        <f>"8"</f>
        <v>8</v>
      </c>
      <c r="E6690" t="str">
        <f>"1-292-8"</f>
        <v>1-292-8</v>
      </c>
      <c r="F6690" t="s">
        <v>83</v>
      </c>
      <c r="G6690" t="s">
        <v>84</v>
      </c>
      <c r="H6690" t="s">
        <v>85</v>
      </c>
      <c r="AC6690">
        <v>0</v>
      </c>
      <c r="AD6690">
        <v>1</v>
      </c>
      <c r="AE6690">
        <v>0</v>
      </c>
      <c r="AF6690">
        <v>0</v>
      </c>
      <c r="AG6690">
        <v>1</v>
      </c>
      <c r="AJ6690">
        <v>0</v>
      </c>
      <c r="AK6690">
        <v>0</v>
      </c>
      <c r="AL6690">
        <v>0</v>
      </c>
      <c r="AM6690">
        <v>0</v>
      </c>
      <c r="AN6690">
        <v>1</v>
      </c>
      <c r="AO6690">
        <v>1</v>
      </c>
      <c r="AP6690">
        <v>1</v>
      </c>
      <c r="AQ6690">
        <v>1</v>
      </c>
      <c r="AR6690">
        <v>1</v>
      </c>
      <c r="AS6690">
        <v>0</v>
      </c>
      <c r="AT6690">
        <v>1</v>
      </c>
      <c r="AV6690">
        <v>1</v>
      </c>
      <c r="AW6690">
        <v>1</v>
      </c>
    </row>
    <row r="6691" spans="1:49" x14ac:dyDescent="0.25">
      <c r="A6691" t="str">
        <f>"6687"</f>
        <v>6687</v>
      </c>
      <c r="B6691" t="str">
        <f t="shared" si="387"/>
        <v>1</v>
      </c>
      <c r="C6691" t="str">
        <f t="shared" si="388"/>
        <v>292</v>
      </c>
      <c r="D6691" t="str">
        <f>"2"</f>
        <v>2</v>
      </c>
      <c r="E6691" t="str">
        <f>"1-292-2"</f>
        <v>1-292-2</v>
      </c>
      <c r="F6691" t="s">
        <v>83</v>
      </c>
      <c r="G6691" t="s">
        <v>84</v>
      </c>
      <c r="H6691" t="s">
        <v>92</v>
      </c>
      <c r="I6691">
        <v>1</v>
      </c>
      <c r="J6691">
        <v>1</v>
      </c>
      <c r="N6691">
        <v>1</v>
      </c>
      <c r="O6691">
        <v>1</v>
      </c>
      <c r="P6691">
        <v>1</v>
      </c>
      <c r="Q6691">
        <v>1</v>
      </c>
      <c r="R6691">
        <v>1</v>
      </c>
      <c r="S6691">
        <v>1</v>
      </c>
      <c r="T6691">
        <v>1</v>
      </c>
      <c r="W6691">
        <v>1</v>
      </c>
      <c r="X6691">
        <v>1</v>
      </c>
      <c r="Y6691">
        <v>1</v>
      </c>
      <c r="Z6691">
        <v>1</v>
      </c>
      <c r="AA6691">
        <v>1</v>
      </c>
      <c r="AB6691">
        <v>1</v>
      </c>
    </row>
    <row r="6692" spans="1:49" x14ac:dyDescent="0.25">
      <c r="A6692" t="str">
        <f>"6688"</f>
        <v>6688</v>
      </c>
      <c r="B6692" t="str">
        <f t="shared" si="387"/>
        <v>1</v>
      </c>
      <c r="C6692" t="str">
        <f t="shared" si="388"/>
        <v>292</v>
      </c>
      <c r="D6692" t="str">
        <f>"17"</f>
        <v>17</v>
      </c>
      <c r="E6692" t="str">
        <f>"1-292-17"</f>
        <v>1-292-17</v>
      </c>
      <c r="F6692" t="s">
        <v>83</v>
      </c>
      <c r="G6692" t="s">
        <v>84</v>
      </c>
      <c r="H6692" t="s">
        <v>85</v>
      </c>
      <c r="AC6692">
        <v>0</v>
      </c>
      <c r="AD6692">
        <v>1</v>
      </c>
      <c r="AE6692">
        <v>0</v>
      </c>
      <c r="AF6692">
        <v>0</v>
      </c>
      <c r="AG6692">
        <v>0</v>
      </c>
      <c r="AJ6692">
        <v>0</v>
      </c>
      <c r="AK6692">
        <v>1</v>
      </c>
      <c r="AL6692">
        <v>0</v>
      </c>
      <c r="AM6692">
        <v>0</v>
      </c>
      <c r="AN6692">
        <v>1</v>
      </c>
      <c r="AO6692">
        <v>1</v>
      </c>
      <c r="AP6692">
        <v>1</v>
      </c>
      <c r="AQ6692">
        <v>1</v>
      </c>
      <c r="AR6692">
        <v>1</v>
      </c>
      <c r="AS6692">
        <v>1</v>
      </c>
      <c r="AT6692">
        <v>0</v>
      </c>
      <c r="AV6692">
        <v>1</v>
      </c>
      <c r="AW6692">
        <v>1</v>
      </c>
    </row>
    <row r="6693" spans="1:49" x14ac:dyDescent="0.25">
      <c r="A6693" t="str">
        <f>"6689"</f>
        <v>6689</v>
      </c>
      <c r="B6693" t="str">
        <f t="shared" si="387"/>
        <v>1</v>
      </c>
      <c r="C6693" t="str">
        <f t="shared" si="388"/>
        <v>292</v>
      </c>
      <c r="D6693" t="str">
        <f>"9"</f>
        <v>9</v>
      </c>
      <c r="E6693" t="str">
        <f>"1-292-9"</f>
        <v>1-292-9</v>
      </c>
      <c r="F6693" t="s">
        <v>83</v>
      </c>
      <c r="G6693" t="s">
        <v>84</v>
      </c>
      <c r="H6693" t="s">
        <v>85</v>
      </c>
      <c r="AC6693">
        <v>0</v>
      </c>
      <c r="AD6693">
        <v>1</v>
      </c>
      <c r="AE6693">
        <v>0</v>
      </c>
      <c r="AF6693">
        <v>0</v>
      </c>
      <c r="AG6693">
        <v>1</v>
      </c>
      <c r="AJ6693">
        <v>0</v>
      </c>
      <c r="AK6693">
        <v>1</v>
      </c>
      <c r="AL6693">
        <v>0</v>
      </c>
      <c r="AM6693">
        <v>1</v>
      </c>
      <c r="AN6693">
        <v>0</v>
      </c>
      <c r="AO6693">
        <v>1</v>
      </c>
      <c r="AP6693">
        <v>1</v>
      </c>
      <c r="AQ6693">
        <v>1</v>
      </c>
      <c r="AR6693">
        <v>1</v>
      </c>
      <c r="AS6693">
        <v>0</v>
      </c>
      <c r="AT6693">
        <v>0</v>
      </c>
      <c r="AV6693">
        <v>1</v>
      </c>
      <c r="AW6693">
        <v>1</v>
      </c>
    </row>
    <row r="6694" spans="1:49" x14ac:dyDescent="0.25">
      <c r="A6694" t="str">
        <f>"6690"</f>
        <v>6690</v>
      </c>
      <c r="B6694" t="str">
        <f t="shared" si="387"/>
        <v>1</v>
      </c>
      <c r="C6694" t="str">
        <f t="shared" si="388"/>
        <v>292</v>
      </c>
      <c r="D6694" t="str">
        <f>"1"</f>
        <v>1</v>
      </c>
      <c r="E6694" t="str">
        <f>"1-292-1"</f>
        <v>1-292-1</v>
      </c>
      <c r="F6694" t="s">
        <v>83</v>
      </c>
      <c r="G6694" t="s">
        <v>84</v>
      </c>
      <c r="H6694" t="s">
        <v>92</v>
      </c>
      <c r="I6694">
        <v>1</v>
      </c>
      <c r="J6694">
        <v>1</v>
      </c>
      <c r="N6694">
        <v>1</v>
      </c>
      <c r="O6694">
        <v>1</v>
      </c>
      <c r="P6694">
        <v>1</v>
      </c>
      <c r="Q6694">
        <v>1</v>
      </c>
      <c r="R6694">
        <v>1</v>
      </c>
      <c r="S6694">
        <v>1</v>
      </c>
      <c r="T6694">
        <v>1</v>
      </c>
      <c r="W6694">
        <v>1</v>
      </c>
      <c r="X6694">
        <v>1</v>
      </c>
      <c r="Y6694">
        <v>1</v>
      </c>
      <c r="Z6694">
        <v>1</v>
      </c>
      <c r="AA6694">
        <v>1</v>
      </c>
      <c r="AB6694">
        <v>1</v>
      </c>
    </row>
    <row r="6695" spans="1:49" x14ac:dyDescent="0.25">
      <c r="A6695" t="str">
        <f>"6691"</f>
        <v>6691</v>
      </c>
      <c r="B6695" t="str">
        <f t="shared" si="387"/>
        <v>1</v>
      </c>
      <c r="C6695" t="str">
        <f t="shared" si="388"/>
        <v>292</v>
      </c>
      <c r="D6695" t="str">
        <f>"16"</f>
        <v>16</v>
      </c>
      <c r="E6695" t="str">
        <f>"1-292-16"</f>
        <v>1-292-16</v>
      </c>
      <c r="F6695" t="s">
        <v>83</v>
      </c>
      <c r="G6695" t="s">
        <v>84</v>
      </c>
      <c r="H6695" t="s">
        <v>92</v>
      </c>
      <c r="I6695">
        <v>1</v>
      </c>
      <c r="J6695">
        <v>1</v>
      </c>
      <c r="N6695">
        <v>1</v>
      </c>
      <c r="O6695">
        <v>1</v>
      </c>
      <c r="P6695">
        <v>1</v>
      </c>
      <c r="Q6695">
        <v>1</v>
      </c>
      <c r="R6695">
        <v>1</v>
      </c>
      <c r="S6695">
        <v>1</v>
      </c>
      <c r="T6695">
        <v>1</v>
      </c>
      <c r="W6695">
        <v>1</v>
      </c>
      <c r="X6695">
        <v>1</v>
      </c>
      <c r="Y6695">
        <v>1</v>
      </c>
      <c r="Z6695">
        <v>1</v>
      </c>
      <c r="AA6695">
        <v>1</v>
      </c>
      <c r="AB6695">
        <v>1</v>
      </c>
    </row>
    <row r="6696" spans="1:49" x14ac:dyDescent="0.25">
      <c r="A6696" t="str">
        <f>"6692"</f>
        <v>6692</v>
      </c>
      <c r="B6696" t="str">
        <f t="shared" si="387"/>
        <v>1</v>
      </c>
      <c r="C6696" t="str">
        <f t="shared" si="388"/>
        <v>292</v>
      </c>
      <c r="D6696" t="str">
        <f>"10"</f>
        <v>10</v>
      </c>
      <c r="E6696" t="str">
        <f>"1-292-10"</f>
        <v>1-292-10</v>
      </c>
      <c r="F6696" t="s">
        <v>83</v>
      </c>
      <c r="G6696" t="s">
        <v>84</v>
      </c>
      <c r="H6696" t="s">
        <v>92</v>
      </c>
      <c r="I6696">
        <v>1</v>
      </c>
      <c r="J6696">
        <v>1</v>
      </c>
      <c r="N6696">
        <v>1</v>
      </c>
      <c r="O6696">
        <v>1</v>
      </c>
      <c r="P6696">
        <v>1</v>
      </c>
      <c r="Q6696">
        <v>1</v>
      </c>
      <c r="R6696">
        <v>1</v>
      </c>
      <c r="S6696">
        <v>1</v>
      </c>
      <c r="T6696">
        <v>1</v>
      </c>
      <c r="W6696">
        <v>1</v>
      </c>
      <c r="X6696">
        <v>1</v>
      </c>
      <c r="Y6696">
        <v>1</v>
      </c>
      <c r="Z6696">
        <v>1</v>
      </c>
      <c r="AA6696">
        <v>1</v>
      </c>
      <c r="AB6696">
        <v>1</v>
      </c>
    </row>
    <row r="6697" spans="1:49" x14ac:dyDescent="0.25">
      <c r="A6697" t="str">
        <f>"6693"</f>
        <v>6693</v>
      </c>
      <c r="B6697" t="str">
        <f t="shared" si="387"/>
        <v>1</v>
      </c>
      <c r="C6697" t="str">
        <f t="shared" si="388"/>
        <v>292</v>
      </c>
      <c r="D6697" t="str">
        <f>"7"</f>
        <v>7</v>
      </c>
      <c r="E6697" t="str">
        <f>"1-292-7"</f>
        <v>1-292-7</v>
      </c>
      <c r="F6697" t="s">
        <v>83</v>
      </c>
      <c r="G6697" t="s">
        <v>84</v>
      </c>
      <c r="H6697" t="s">
        <v>92</v>
      </c>
      <c r="I6697">
        <v>1</v>
      </c>
      <c r="J6697">
        <v>1</v>
      </c>
      <c r="N6697">
        <v>1</v>
      </c>
      <c r="O6697">
        <v>1</v>
      </c>
      <c r="P6697">
        <v>1</v>
      </c>
      <c r="Q6697">
        <v>1</v>
      </c>
      <c r="R6697">
        <v>1</v>
      </c>
      <c r="S6697">
        <v>1</v>
      </c>
      <c r="T6697">
        <v>1</v>
      </c>
      <c r="W6697">
        <v>1</v>
      </c>
      <c r="X6697">
        <v>1</v>
      </c>
      <c r="Y6697">
        <v>1</v>
      </c>
      <c r="Z6697">
        <v>1</v>
      </c>
      <c r="AA6697">
        <v>1</v>
      </c>
      <c r="AB6697">
        <v>1</v>
      </c>
    </row>
    <row r="6698" spans="1:49" x14ac:dyDescent="0.25">
      <c r="A6698" t="str">
        <f>"6694"</f>
        <v>6694</v>
      </c>
      <c r="B6698" t="str">
        <f t="shared" si="387"/>
        <v>1</v>
      </c>
      <c r="C6698" t="str">
        <f t="shared" si="388"/>
        <v>292</v>
      </c>
      <c r="D6698" t="str">
        <f>"14"</f>
        <v>14</v>
      </c>
      <c r="E6698" t="str">
        <f>"1-292-14"</f>
        <v>1-292-14</v>
      </c>
      <c r="F6698" t="s">
        <v>83</v>
      </c>
      <c r="G6698" t="s">
        <v>84</v>
      </c>
      <c r="H6698" t="s">
        <v>92</v>
      </c>
      <c r="I6698">
        <v>1</v>
      </c>
      <c r="J6698">
        <v>1</v>
      </c>
      <c r="N6698">
        <v>1</v>
      </c>
      <c r="O6698">
        <v>1</v>
      </c>
      <c r="P6698">
        <v>1</v>
      </c>
      <c r="Q6698">
        <v>1</v>
      </c>
      <c r="R6698">
        <v>1</v>
      </c>
      <c r="S6698">
        <v>1</v>
      </c>
      <c r="T6698">
        <v>1</v>
      </c>
      <c r="W6698">
        <v>1</v>
      </c>
      <c r="X6698">
        <v>1</v>
      </c>
      <c r="Y6698">
        <v>1</v>
      </c>
      <c r="Z6698">
        <v>1</v>
      </c>
      <c r="AA6698">
        <v>1</v>
      </c>
      <c r="AB6698">
        <v>1</v>
      </c>
    </row>
    <row r="6699" spans="1:49" x14ac:dyDescent="0.25">
      <c r="A6699" t="str">
        <f>"6695"</f>
        <v>6695</v>
      </c>
      <c r="B6699" t="str">
        <f t="shared" si="387"/>
        <v>1</v>
      </c>
      <c r="C6699" t="str">
        <f t="shared" si="388"/>
        <v>292</v>
      </c>
      <c r="D6699" t="str">
        <f>"4"</f>
        <v>4</v>
      </c>
      <c r="E6699" t="str">
        <f>"1-292-4"</f>
        <v>1-292-4</v>
      </c>
      <c r="F6699" t="s">
        <v>83</v>
      </c>
      <c r="G6699" t="s">
        <v>84</v>
      </c>
      <c r="H6699" t="s">
        <v>92</v>
      </c>
      <c r="I6699">
        <v>1</v>
      </c>
      <c r="J6699">
        <v>1</v>
      </c>
      <c r="N6699">
        <v>1</v>
      </c>
      <c r="O6699">
        <v>1</v>
      </c>
      <c r="P6699">
        <v>1</v>
      </c>
      <c r="Q6699">
        <v>1</v>
      </c>
      <c r="R6699">
        <v>1</v>
      </c>
      <c r="S6699">
        <v>1</v>
      </c>
      <c r="T6699">
        <v>1</v>
      </c>
      <c r="W6699">
        <v>1</v>
      </c>
      <c r="X6699">
        <v>1</v>
      </c>
      <c r="Y6699">
        <v>1</v>
      </c>
      <c r="Z6699">
        <v>1</v>
      </c>
      <c r="AA6699">
        <v>1</v>
      </c>
      <c r="AB6699">
        <v>1</v>
      </c>
    </row>
    <row r="6700" spans="1:49" x14ac:dyDescent="0.25">
      <c r="A6700" t="str">
        <f>"6696"</f>
        <v>6696</v>
      </c>
      <c r="B6700" t="str">
        <f t="shared" si="387"/>
        <v>1</v>
      </c>
      <c r="C6700" t="str">
        <f t="shared" si="388"/>
        <v>292</v>
      </c>
      <c r="D6700" t="str">
        <f>"15"</f>
        <v>15</v>
      </c>
      <c r="E6700" t="str">
        <f>"1-292-15"</f>
        <v>1-292-15</v>
      </c>
      <c r="F6700" t="s">
        <v>83</v>
      </c>
      <c r="G6700" t="s">
        <v>84</v>
      </c>
      <c r="H6700" t="s">
        <v>92</v>
      </c>
      <c r="I6700">
        <v>1</v>
      </c>
      <c r="J6700">
        <v>1</v>
      </c>
      <c r="N6700">
        <v>1</v>
      </c>
      <c r="O6700">
        <v>1</v>
      </c>
      <c r="P6700">
        <v>1</v>
      </c>
      <c r="Q6700">
        <v>1</v>
      </c>
      <c r="R6700">
        <v>1</v>
      </c>
      <c r="S6700">
        <v>1</v>
      </c>
      <c r="T6700">
        <v>1</v>
      </c>
      <c r="W6700">
        <v>1</v>
      </c>
      <c r="X6700">
        <v>1</v>
      </c>
      <c r="Y6700">
        <v>1</v>
      </c>
      <c r="Z6700">
        <v>1</v>
      </c>
      <c r="AA6700">
        <v>1</v>
      </c>
      <c r="AB6700">
        <v>1</v>
      </c>
    </row>
    <row r="6701" spans="1:49" x14ac:dyDescent="0.25">
      <c r="A6701" t="str">
        <f>"6697"</f>
        <v>6697</v>
      </c>
      <c r="B6701" t="str">
        <f t="shared" si="387"/>
        <v>1</v>
      </c>
      <c r="C6701" t="str">
        <f t="shared" si="388"/>
        <v>292</v>
      </c>
      <c r="D6701" t="str">
        <f>"5"</f>
        <v>5</v>
      </c>
      <c r="E6701" t="str">
        <f>"1-292-5"</f>
        <v>1-292-5</v>
      </c>
      <c r="F6701" t="s">
        <v>83</v>
      </c>
      <c r="G6701" t="s">
        <v>84</v>
      </c>
      <c r="H6701" t="s">
        <v>92</v>
      </c>
      <c r="I6701">
        <v>1</v>
      </c>
      <c r="J6701">
        <v>1</v>
      </c>
      <c r="N6701">
        <v>1</v>
      </c>
      <c r="O6701">
        <v>1</v>
      </c>
      <c r="P6701">
        <v>1</v>
      </c>
      <c r="Q6701">
        <v>1</v>
      </c>
      <c r="R6701">
        <v>1</v>
      </c>
      <c r="S6701">
        <v>1</v>
      </c>
      <c r="T6701">
        <v>1</v>
      </c>
      <c r="W6701">
        <v>1</v>
      </c>
      <c r="X6701">
        <v>1</v>
      </c>
      <c r="Y6701">
        <v>1</v>
      </c>
      <c r="Z6701">
        <v>1</v>
      </c>
      <c r="AA6701">
        <v>1</v>
      </c>
      <c r="AB6701">
        <v>1</v>
      </c>
    </row>
    <row r="6702" spans="1:49" x14ac:dyDescent="0.25">
      <c r="A6702" t="str">
        <f>"6698"</f>
        <v>6698</v>
      </c>
      <c r="B6702" t="str">
        <f t="shared" si="387"/>
        <v>1</v>
      </c>
      <c r="C6702" t="str">
        <f t="shared" si="388"/>
        <v>292</v>
      </c>
      <c r="D6702" t="str">
        <f>"18"</f>
        <v>18</v>
      </c>
      <c r="E6702" t="str">
        <f>"1-292-18"</f>
        <v>1-292-18</v>
      </c>
      <c r="F6702" t="s">
        <v>83</v>
      </c>
      <c r="G6702" t="s">
        <v>84</v>
      </c>
      <c r="H6702" t="s">
        <v>85</v>
      </c>
      <c r="AC6702">
        <v>1</v>
      </c>
      <c r="AD6702">
        <v>0</v>
      </c>
      <c r="AE6702">
        <v>0</v>
      </c>
      <c r="AF6702">
        <v>0</v>
      </c>
      <c r="AG6702">
        <v>1</v>
      </c>
      <c r="AJ6702">
        <v>1</v>
      </c>
      <c r="AK6702">
        <v>0</v>
      </c>
      <c r="AL6702">
        <v>1</v>
      </c>
      <c r="AM6702">
        <v>0</v>
      </c>
      <c r="AN6702">
        <v>0</v>
      </c>
      <c r="AO6702">
        <v>1</v>
      </c>
      <c r="AP6702">
        <v>1</v>
      </c>
      <c r="AQ6702">
        <v>1</v>
      </c>
      <c r="AR6702">
        <v>1</v>
      </c>
      <c r="AS6702">
        <v>1</v>
      </c>
      <c r="AT6702">
        <v>0</v>
      </c>
      <c r="AV6702">
        <v>1</v>
      </c>
      <c r="AW6702">
        <v>1</v>
      </c>
    </row>
    <row r="6703" spans="1:49" x14ac:dyDescent="0.25">
      <c r="A6703" t="str">
        <f>"6699"</f>
        <v>6699</v>
      </c>
      <c r="B6703" t="str">
        <f t="shared" si="387"/>
        <v>1</v>
      </c>
      <c r="C6703" t="str">
        <f t="shared" si="388"/>
        <v>292</v>
      </c>
      <c r="D6703" t="str">
        <f>"3"</f>
        <v>3</v>
      </c>
      <c r="E6703" t="str">
        <f>"1-292-3"</f>
        <v>1-292-3</v>
      </c>
      <c r="F6703" t="s">
        <v>83</v>
      </c>
      <c r="G6703" t="s">
        <v>84</v>
      </c>
      <c r="H6703" t="s">
        <v>85</v>
      </c>
      <c r="AC6703">
        <v>0</v>
      </c>
      <c r="AD6703">
        <v>1</v>
      </c>
      <c r="AE6703">
        <v>0</v>
      </c>
      <c r="AF6703">
        <v>0</v>
      </c>
      <c r="AG6703">
        <v>1</v>
      </c>
      <c r="AJ6703">
        <v>1</v>
      </c>
      <c r="AK6703">
        <v>0</v>
      </c>
      <c r="AL6703">
        <v>0</v>
      </c>
      <c r="AM6703">
        <v>1</v>
      </c>
      <c r="AN6703">
        <v>0</v>
      </c>
      <c r="AO6703">
        <v>1</v>
      </c>
      <c r="AP6703">
        <v>1</v>
      </c>
      <c r="AQ6703">
        <v>1</v>
      </c>
      <c r="AR6703">
        <v>1</v>
      </c>
      <c r="AS6703">
        <v>0</v>
      </c>
      <c r="AT6703">
        <v>1</v>
      </c>
      <c r="AV6703">
        <v>1</v>
      </c>
      <c r="AW6703">
        <v>1</v>
      </c>
    </row>
    <row r="6704" spans="1:49" x14ac:dyDescent="0.25">
      <c r="A6704" t="str">
        <f>"6700"</f>
        <v>6700</v>
      </c>
      <c r="B6704" t="str">
        <f t="shared" si="387"/>
        <v>1</v>
      </c>
      <c r="C6704" t="str">
        <f t="shared" si="388"/>
        <v>292</v>
      </c>
      <c r="D6704" t="str">
        <f>"19"</f>
        <v>19</v>
      </c>
      <c r="E6704" t="str">
        <f>"1-292-19"</f>
        <v>1-292-19</v>
      </c>
      <c r="F6704" t="s">
        <v>83</v>
      </c>
      <c r="G6704" t="s">
        <v>84</v>
      </c>
      <c r="H6704" t="s">
        <v>85</v>
      </c>
      <c r="AC6704">
        <v>1</v>
      </c>
      <c r="AD6704">
        <v>0</v>
      </c>
      <c r="AE6704">
        <v>0</v>
      </c>
      <c r="AF6704">
        <v>0</v>
      </c>
      <c r="AG6704">
        <v>1</v>
      </c>
      <c r="AJ6704">
        <v>1</v>
      </c>
      <c r="AK6704">
        <v>0</v>
      </c>
      <c r="AL6704">
        <v>1</v>
      </c>
      <c r="AM6704">
        <v>0</v>
      </c>
      <c r="AN6704">
        <v>0</v>
      </c>
      <c r="AO6704">
        <v>1</v>
      </c>
      <c r="AP6704">
        <v>1</v>
      </c>
      <c r="AQ6704">
        <v>1</v>
      </c>
      <c r="AR6704">
        <v>1</v>
      </c>
      <c r="AS6704">
        <v>1</v>
      </c>
      <c r="AT6704">
        <v>0</v>
      </c>
      <c r="AV6704">
        <v>1</v>
      </c>
      <c r="AW6704">
        <v>1</v>
      </c>
    </row>
    <row r="6705" spans="1:49" x14ac:dyDescent="0.25">
      <c r="A6705" t="str">
        <f>"6701"</f>
        <v>6701</v>
      </c>
      <c r="B6705" t="str">
        <f t="shared" si="387"/>
        <v>1</v>
      </c>
      <c r="C6705" t="str">
        <f t="shared" si="388"/>
        <v>292</v>
      </c>
      <c r="D6705" t="str">
        <f>"6"</f>
        <v>6</v>
      </c>
      <c r="E6705" t="str">
        <f>"1-292-6"</f>
        <v>1-292-6</v>
      </c>
      <c r="F6705" t="s">
        <v>83</v>
      </c>
      <c r="G6705" t="s">
        <v>84</v>
      </c>
      <c r="H6705" t="s">
        <v>85</v>
      </c>
      <c r="AC6705">
        <v>1</v>
      </c>
      <c r="AD6705">
        <v>0</v>
      </c>
      <c r="AE6705">
        <v>0</v>
      </c>
      <c r="AF6705">
        <v>0</v>
      </c>
      <c r="AG6705">
        <v>1</v>
      </c>
      <c r="AJ6705">
        <v>1</v>
      </c>
      <c r="AK6705">
        <v>0</v>
      </c>
      <c r="AL6705">
        <v>1</v>
      </c>
      <c r="AM6705">
        <v>0</v>
      </c>
      <c r="AN6705">
        <v>0</v>
      </c>
      <c r="AO6705">
        <v>1</v>
      </c>
      <c r="AP6705">
        <v>1</v>
      </c>
      <c r="AQ6705">
        <v>1</v>
      </c>
      <c r="AR6705">
        <v>1</v>
      </c>
      <c r="AS6705">
        <v>1</v>
      </c>
      <c r="AT6705">
        <v>0</v>
      </c>
      <c r="AV6705">
        <v>1</v>
      </c>
      <c r="AW6705">
        <v>1</v>
      </c>
    </row>
    <row r="6706" spans="1:49" x14ac:dyDescent="0.25">
      <c r="A6706" t="str">
        <f>"6702"</f>
        <v>6702</v>
      </c>
      <c r="B6706" t="str">
        <f t="shared" si="387"/>
        <v>1</v>
      </c>
      <c r="C6706" t="str">
        <f t="shared" ref="C6706:C6730" si="389">"293"</f>
        <v>293</v>
      </c>
      <c r="D6706" t="str">
        <f>"21"</f>
        <v>21</v>
      </c>
      <c r="E6706" t="str">
        <f>"1-293-21"</f>
        <v>1-293-21</v>
      </c>
      <c r="F6706" t="s">
        <v>83</v>
      </c>
      <c r="G6706" t="s">
        <v>84</v>
      </c>
      <c r="H6706" t="s">
        <v>85</v>
      </c>
      <c r="AC6706">
        <v>0</v>
      </c>
      <c r="AD6706">
        <v>1</v>
      </c>
      <c r="AE6706">
        <v>0</v>
      </c>
      <c r="AF6706">
        <v>0</v>
      </c>
      <c r="AG6706">
        <v>1</v>
      </c>
      <c r="AJ6706">
        <v>1</v>
      </c>
      <c r="AK6706">
        <v>0</v>
      </c>
      <c r="AL6706">
        <v>0</v>
      </c>
      <c r="AM6706">
        <v>0</v>
      </c>
      <c r="AN6706">
        <v>1</v>
      </c>
      <c r="AO6706">
        <v>1</v>
      </c>
      <c r="AP6706">
        <v>1</v>
      </c>
      <c r="AQ6706">
        <v>1</v>
      </c>
      <c r="AR6706">
        <v>1</v>
      </c>
      <c r="AS6706">
        <v>0</v>
      </c>
      <c r="AT6706">
        <v>1</v>
      </c>
      <c r="AV6706">
        <v>1</v>
      </c>
      <c r="AW6706">
        <v>1</v>
      </c>
    </row>
    <row r="6707" spans="1:49" x14ac:dyDescent="0.25">
      <c r="A6707" t="str">
        <f>"6703"</f>
        <v>6703</v>
      </c>
      <c r="B6707" t="str">
        <f t="shared" si="387"/>
        <v>1</v>
      </c>
      <c r="C6707" t="str">
        <f t="shared" si="389"/>
        <v>293</v>
      </c>
      <c r="D6707" t="str">
        <f>"20"</f>
        <v>20</v>
      </c>
      <c r="E6707" t="str">
        <f>"1-293-20"</f>
        <v>1-293-20</v>
      </c>
      <c r="F6707" t="s">
        <v>83</v>
      </c>
      <c r="G6707" t="s">
        <v>84</v>
      </c>
      <c r="H6707" t="s">
        <v>92</v>
      </c>
      <c r="I6707">
        <v>1</v>
      </c>
      <c r="J6707">
        <v>1</v>
      </c>
      <c r="N6707">
        <v>1</v>
      </c>
      <c r="O6707">
        <v>1</v>
      </c>
      <c r="P6707">
        <v>1</v>
      </c>
      <c r="Q6707">
        <v>1</v>
      </c>
      <c r="R6707">
        <v>1</v>
      </c>
      <c r="S6707">
        <v>1</v>
      </c>
      <c r="T6707">
        <v>1</v>
      </c>
      <c r="W6707">
        <v>1</v>
      </c>
      <c r="X6707">
        <v>1</v>
      </c>
      <c r="Y6707">
        <v>1</v>
      </c>
      <c r="Z6707">
        <v>1</v>
      </c>
      <c r="AA6707">
        <v>1</v>
      </c>
      <c r="AB6707">
        <v>1</v>
      </c>
    </row>
    <row r="6708" spans="1:49" x14ac:dyDescent="0.25">
      <c r="A6708" t="str">
        <f>"6704"</f>
        <v>6704</v>
      </c>
      <c r="B6708" t="str">
        <f t="shared" si="387"/>
        <v>1</v>
      </c>
      <c r="C6708" t="str">
        <f t="shared" si="389"/>
        <v>293</v>
      </c>
      <c r="D6708" t="str">
        <f>"15"</f>
        <v>15</v>
      </c>
      <c r="E6708" t="str">
        <f>"1-293-15"</f>
        <v>1-293-15</v>
      </c>
      <c r="F6708" t="s">
        <v>83</v>
      </c>
      <c r="G6708" t="s">
        <v>84</v>
      </c>
      <c r="H6708" t="s">
        <v>85</v>
      </c>
      <c r="AC6708">
        <v>1</v>
      </c>
      <c r="AD6708">
        <v>0</v>
      </c>
      <c r="AE6708">
        <v>0</v>
      </c>
      <c r="AF6708">
        <v>0</v>
      </c>
      <c r="AG6708">
        <v>1</v>
      </c>
      <c r="AJ6708">
        <v>1</v>
      </c>
      <c r="AK6708">
        <v>0</v>
      </c>
      <c r="AL6708">
        <v>1</v>
      </c>
      <c r="AM6708">
        <v>0</v>
      </c>
      <c r="AN6708">
        <v>0</v>
      </c>
      <c r="AO6708">
        <v>1</v>
      </c>
      <c r="AP6708">
        <v>1</v>
      </c>
      <c r="AQ6708">
        <v>1</v>
      </c>
      <c r="AR6708">
        <v>1</v>
      </c>
      <c r="AS6708">
        <v>1</v>
      </c>
      <c r="AT6708">
        <v>0</v>
      </c>
      <c r="AV6708">
        <v>1</v>
      </c>
      <c r="AW6708">
        <v>1</v>
      </c>
    </row>
    <row r="6709" spans="1:49" x14ac:dyDescent="0.25">
      <c r="A6709" t="str">
        <f>"6705"</f>
        <v>6705</v>
      </c>
      <c r="B6709" t="str">
        <f t="shared" si="387"/>
        <v>1</v>
      </c>
      <c r="C6709" t="str">
        <f t="shared" si="389"/>
        <v>293</v>
      </c>
      <c r="D6709" t="str">
        <f>"14"</f>
        <v>14</v>
      </c>
      <c r="E6709" t="str">
        <f>"1-293-14"</f>
        <v>1-293-14</v>
      </c>
      <c r="F6709" t="s">
        <v>83</v>
      </c>
      <c r="G6709" t="s">
        <v>84</v>
      </c>
      <c r="H6709" t="s">
        <v>85</v>
      </c>
      <c r="AC6709">
        <v>0</v>
      </c>
      <c r="AD6709">
        <v>1</v>
      </c>
      <c r="AE6709">
        <v>0</v>
      </c>
      <c r="AF6709">
        <v>0</v>
      </c>
      <c r="AG6709">
        <v>1</v>
      </c>
      <c r="AJ6709">
        <v>0</v>
      </c>
      <c r="AK6709">
        <v>1</v>
      </c>
      <c r="AL6709">
        <v>1</v>
      </c>
      <c r="AM6709">
        <v>0</v>
      </c>
      <c r="AN6709">
        <v>0</v>
      </c>
      <c r="AO6709">
        <v>1</v>
      </c>
      <c r="AP6709">
        <v>1</v>
      </c>
      <c r="AQ6709">
        <v>1</v>
      </c>
      <c r="AR6709">
        <v>1</v>
      </c>
      <c r="AS6709">
        <v>1</v>
      </c>
      <c r="AT6709">
        <v>0</v>
      </c>
      <c r="AV6709">
        <v>1</v>
      </c>
      <c r="AW6709">
        <v>1</v>
      </c>
    </row>
    <row r="6710" spans="1:49" x14ac:dyDescent="0.25">
      <c r="A6710" t="str">
        <f>"6706"</f>
        <v>6706</v>
      </c>
      <c r="B6710" t="str">
        <f t="shared" si="387"/>
        <v>1</v>
      </c>
      <c r="C6710" t="str">
        <f t="shared" si="389"/>
        <v>293</v>
      </c>
      <c r="D6710" t="str">
        <f>"11"</f>
        <v>11</v>
      </c>
      <c r="E6710" t="str">
        <f>"1-293-11"</f>
        <v>1-293-11</v>
      </c>
      <c r="F6710" t="s">
        <v>83</v>
      </c>
      <c r="G6710" t="s">
        <v>84</v>
      </c>
      <c r="H6710" t="s">
        <v>85</v>
      </c>
      <c r="AC6710">
        <v>1</v>
      </c>
      <c r="AD6710">
        <v>0</v>
      </c>
      <c r="AE6710">
        <v>0</v>
      </c>
      <c r="AF6710">
        <v>0</v>
      </c>
      <c r="AG6710">
        <v>0</v>
      </c>
      <c r="AJ6710">
        <v>0</v>
      </c>
      <c r="AK6710">
        <v>1</v>
      </c>
      <c r="AL6710">
        <v>0</v>
      </c>
      <c r="AM6710">
        <v>1</v>
      </c>
      <c r="AN6710">
        <v>0</v>
      </c>
      <c r="AO6710">
        <v>0</v>
      </c>
      <c r="AP6710">
        <v>0</v>
      </c>
      <c r="AQ6710">
        <v>0</v>
      </c>
      <c r="AR6710">
        <v>0</v>
      </c>
      <c r="AS6710">
        <v>1</v>
      </c>
      <c r="AT6710">
        <v>0</v>
      </c>
      <c r="AV6710">
        <v>0</v>
      </c>
      <c r="AW6710">
        <v>0</v>
      </c>
    </row>
    <row r="6711" spans="1:49" x14ac:dyDescent="0.25">
      <c r="A6711" t="str">
        <f>"6707"</f>
        <v>6707</v>
      </c>
      <c r="B6711" t="str">
        <f t="shared" si="387"/>
        <v>1</v>
      </c>
      <c r="C6711" t="str">
        <f t="shared" si="389"/>
        <v>293</v>
      </c>
      <c r="D6711" t="str">
        <f>"8"</f>
        <v>8</v>
      </c>
      <c r="E6711" t="str">
        <f>"1-293-8"</f>
        <v>1-293-8</v>
      </c>
      <c r="F6711" t="s">
        <v>83</v>
      </c>
      <c r="G6711" t="s">
        <v>84</v>
      </c>
      <c r="H6711" t="s">
        <v>85</v>
      </c>
      <c r="AC6711">
        <v>1</v>
      </c>
      <c r="AD6711">
        <v>0</v>
      </c>
      <c r="AE6711">
        <v>0</v>
      </c>
      <c r="AF6711">
        <v>0</v>
      </c>
      <c r="AG6711">
        <v>1</v>
      </c>
      <c r="AJ6711">
        <v>1</v>
      </c>
      <c r="AK6711">
        <v>0</v>
      </c>
      <c r="AL6711">
        <v>1</v>
      </c>
      <c r="AM6711">
        <v>0</v>
      </c>
      <c r="AN6711">
        <v>0</v>
      </c>
      <c r="AO6711">
        <v>1</v>
      </c>
      <c r="AP6711">
        <v>1</v>
      </c>
      <c r="AQ6711">
        <v>1</v>
      </c>
      <c r="AR6711">
        <v>1</v>
      </c>
      <c r="AS6711">
        <v>1</v>
      </c>
      <c r="AT6711">
        <v>0</v>
      </c>
      <c r="AV6711">
        <v>1</v>
      </c>
      <c r="AW6711">
        <v>1</v>
      </c>
    </row>
    <row r="6712" spans="1:49" x14ac:dyDescent="0.25">
      <c r="A6712" t="str">
        <f>"6708"</f>
        <v>6708</v>
      </c>
      <c r="B6712" t="str">
        <f t="shared" si="387"/>
        <v>1</v>
      </c>
      <c r="C6712" t="str">
        <f t="shared" si="389"/>
        <v>293</v>
      </c>
      <c r="D6712" t="str">
        <f>"3"</f>
        <v>3</v>
      </c>
      <c r="E6712" t="str">
        <f>"1-293-3"</f>
        <v>1-293-3</v>
      </c>
      <c r="F6712" t="s">
        <v>83</v>
      </c>
      <c r="G6712" t="s">
        <v>84</v>
      </c>
      <c r="H6712" t="s">
        <v>85</v>
      </c>
      <c r="AC6712">
        <v>1</v>
      </c>
      <c r="AD6712">
        <v>0</v>
      </c>
      <c r="AE6712">
        <v>0</v>
      </c>
      <c r="AF6712">
        <v>0</v>
      </c>
      <c r="AG6712">
        <v>1</v>
      </c>
      <c r="AJ6712">
        <v>1</v>
      </c>
      <c r="AK6712">
        <v>0</v>
      </c>
      <c r="AL6712">
        <v>1</v>
      </c>
      <c r="AM6712">
        <v>0</v>
      </c>
      <c r="AN6712">
        <v>0</v>
      </c>
      <c r="AO6712">
        <v>1</v>
      </c>
      <c r="AP6712">
        <v>1</v>
      </c>
      <c r="AQ6712">
        <v>1</v>
      </c>
      <c r="AR6712">
        <v>1</v>
      </c>
      <c r="AS6712">
        <v>0</v>
      </c>
      <c r="AT6712">
        <v>1</v>
      </c>
      <c r="AV6712">
        <v>1</v>
      </c>
      <c r="AW6712">
        <v>1</v>
      </c>
    </row>
    <row r="6713" spans="1:49" x14ac:dyDescent="0.25">
      <c r="A6713" t="str">
        <f>"6709"</f>
        <v>6709</v>
      </c>
      <c r="B6713" t="str">
        <f t="shared" si="387"/>
        <v>1</v>
      </c>
      <c r="C6713" t="str">
        <f t="shared" si="389"/>
        <v>293</v>
      </c>
      <c r="D6713" t="str">
        <f>"25"</f>
        <v>25</v>
      </c>
      <c r="E6713" t="str">
        <f>"1-293-25"</f>
        <v>1-293-25</v>
      </c>
      <c r="F6713" t="s">
        <v>83</v>
      </c>
      <c r="G6713" t="s">
        <v>84</v>
      </c>
      <c r="H6713" t="s">
        <v>92</v>
      </c>
      <c r="I6713">
        <v>1</v>
      </c>
      <c r="J6713">
        <v>0</v>
      </c>
      <c r="N6713">
        <v>1</v>
      </c>
      <c r="O6713">
        <v>0</v>
      </c>
      <c r="P6713">
        <v>0</v>
      </c>
      <c r="Q6713">
        <v>0</v>
      </c>
      <c r="R6713">
        <v>1</v>
      </c>
      <c r="S6713">
        <v>0</v>
      </c>
      <c r="T6713">
        <v>0</v>
      </c>
      <c r="W6713">
        <v>0</v>
      </c>
      <c r="X6713">
        <v>1</v>
      </c>
      <c r="Y6713">
        <v>1</v>
      </c>
      <c r="Z6713">
        <v>0</v>
      </c>
      <c r="AA6713">
        <v>0</v>
      </c>
      <c r="AB6713">
        <v>1</v>
      </c>
    </row>
    <row r="6714" spans="1:49" x14ac:dyDescent="0.25">
      <c r="A6714" t="str">
        <f>"6710"</f>
        <v>6710</v>
      </c>
      <c r="B6714" t="str">
        <f t="shared" si="387"/>
        <v>1</v>
      </c>
      <c r="C6714" t="str">
        <f t="shared" si="389"/>
        <v>293</v>
      </c>
      <c r="D6714" t="str">
        <f>"24"</f>
        <v>24</v>
      </c>
      <c r="E6714" t="str">
        <f>"1-293-24"</f>
        <v>1-293-24</v>
      </c>
      <c r="F6714" t="s">
        <v>83</v>
      </c>
      <c r="G6714" t="s">
        <v>84</v>
      </c>
      <c r="H6714" t="s">
        <v>92</v>
      </c>
      <c r="I6714">
        <v>1</v>
      </c>
      <c r="J6714">
        <v>1</v>
      </c>
      <c r="N6714">
        <v>1</v>
      </c>
      <c r="O6714">
        <v>1</v>
      </c>
      <c r="P6714">
        <v>1</v>
      </c>
      <c r="Q6714">
        <v>1</v>
      </c>
      <c r="R6714">
        <v>1</v>
      </c>
      <c r="S6714">
        <v>1</v>
      </c>
      <c r="T6714">
        <v>1</v>
      </c>
      <c r="W6714">
        <v>1</v>
      </c>
      <c r="X6714">
        <v>1</v>
      </c>
      <c r="Y6714">
        <v>1</v>
      </c>
      <c r="Z6714">
        <v>1</v>
      </c>
      <c r="AA6714">
        <v>1</v>
      </c>
      <c r="AB6714">
        <v>1</v>
      </c>
    </row>
    <row r="6715" spans="1:49" x14ac:dyDescent="0.25">
      <c r="A6715" t="str">
        <f>"6711"</f>
        <v>6711</v>
      </c>
      <c r="B6715" t="str">
        <f t="shared" si="387"/>
        <v>1</v>
      </c>
      <c r="C6715" t="str">
        <f t="shared" si="389"/>
        <v>293</v>
      </c>
      <c r="D6715" t="str">
        <f>"17"</f>
        <v>17</v>
      </c>
      <c r="E6715" t="str">
        <f>"1-293-17"</f>
        <v>1-293-17</v>
      </c>
      <c r="F6715" t="s">
        <v>83</v>
      </c>
      <c r="G6715" t="s">
        <v>84</v>
      </c>
      <c r="H6715" t="s">
        <v>85</v>
      </c>
      <c r="AC6715">
        <v>0</v>
      </c>
      <c r="AD6715">
        <v>1</v>
      </c>
      <c r="AE6715">
        <v>0</v>
      </c>
      <c r="AF6715">
        <v>0</v>
      </c>
      <c r="AG6715">
        <v>1</v>
      </c>
      <c r="AJ6715">
        <v>0</v>
      </c>
      <c r="AK6715">
        <v>1</v>
      </c>
      <c r="AL6715">
        <v>0</v>
      </c>
      <c r="AM6715">
        <v>0</v>
      </c>
      <c r="AN6715">
        <v>1</v>
      </c>
      <c r="AO6715">
        <v>1</v>
      </c>
      <c r="AP6715">
        <v>1</v>
      </c>
      <c r="AQ6715">
        <v>1</v>
      </c>
      <c r="AR6715">
        <v>1</v>
      </c>
      <c r="AS6715">
        <v>0</v>
      </c>
      <c r="AT6715">
        <v>1</v>
      </c>
      <c r="AV6715">
        <v>1</v>
      </c>
      <c r="AW6715">
        <v>1</v>
      </c>
    </row>
    <row r="6716" spans="1:49" x14ac:dyDescent="0.25">
      <c r="A6716" t="str">
        <f>"6712"</f>
        <v>6712</v>
      </c>
      <c r="B6716" t="str">
        <f t="shared" si="387"/>
        <v>1</v>
      </c>
      <c r="C6716" t="str">
        <f t="shared" si="389"/>
        <v>293</v>
      </c>
      <c r="D6716" t="str">
        <f>"9"</f>
        <v>9</v>
      </c>
      <c r="E6716" t="str">
        <f>"1-293-9"</f>
        <v>1-293-9</v>
      </c>
      <c r="F6716" t="s">
        <v>83</v>
      </c>
      <c r="G6716" t="s">
        <v>84</v>
      </c>
      <c r="H6716" t="s">
        <v>85</v>
      </c>
      <c r="AC6716">
        <v>1</v>
      </c>
      <c r="AD6716">
        <v>0</v>
      </c>
      <c r="AE6716">
        <v>0</v>
      </c>
      <c r="AF6716">
        <v>0</v>
      </c>
      <c r="AG6716">
        <v>1</v>
      </c>
      <c r="AJ6716">
        <v>1</v>
      </c>
      <c r="AK6716">
        <v>0</v>
      </c>
      <c r="AL6716">
        <v>0</v>
      </c>
      <c r="AM6716">
        <v>1</v>
      </c>
      <c r="AN6716">
        <v>0</v>
      </c>
      <c r="AO6716">
        <v>1</v>
      </c>
      <c r="AP6716">
        <v>1</v>
      </c>
      <c r="AQ6716">
        <v>1</v>
      </c>
      <c r="AR6716">
        <v>1</v>
      </c>
      <c r="AS6716">
        <v>1</v>
      </c>
      <c r="AT6716">
        <v>0</v>
      </c>
      <c r="AV6716">
        <v>1</v>
      </c>
      <c r="AW6716">
        <v>1</v>
      </c>
    </row>
    <row r="6717" spans="1:49" x14ac:dyDescent="0.25">
      <c r="A6717" t="str">
        <f>"6713"</f>
        <v>6713</v>
      </c>
      <c r="B6717" t="str">
        <f t="shared" si="387"/>
        <v>1</v>
      </c>
      <c r="C6717" t="str">
        <f t="shared" si="389"/>
        <v>293</v>
      </c>
      <c r="D6717" t="str">
        <f>"5"</f>
        <v>5</v>
      </c>
      <c r="E6717" t="str">
        <f>"1-293-5"</f>
        <v>1-293-5</v>
      </c>
      <c r="F6717" t="s">
        <v>83</v>
      </c>
      <c r="G6717" t="s">
        <v>84</v>
      </c>
      <c r="H6717" t="s">
        <v>92</v>
      </c>
      <c r="I6717">
        <v>1</v>
      </c>
      <c r="J6717">
        <v>1</v>
      </c>
      <c r="N6717">
        <v>1</v>
      </c>
      <c r="O6717">
        <v>1</v>
      </c>
      <c r="P6717">
        <v>1</v>
      </c>
      <c r="Q6717">
        <v>1</v>
      </c>
      <c r="R6717">
        <v>1</v>
      </c>
      <c r="S6717">
        <v>1</v>
      </c>
      <c r="T6717">
        <v>1</v>
      </c>
      <c r="W6717">
        <v>1</v>
      </c>
      <c r="X6717">
        <v>1</v>
      </c>
      <c r="Y6717">
        <v>1</v>
      </c>
      <c r="Z6717">
        <v>1</v>
      </c>
      <c r="AA6717">
        <v>1</v>
      </c>
      <c r="AB6717">
        <v>1</v>
      </c>
    </row>
    <row r="6718" spans="1:49" x14ac:dyDescent="0.25">
      <c r="A6718" t="str">
        <f>"6714"</f>
        <v>6714</v>
      </c>
      <c r="B6718" t="str">
        <f t="shared" si="387"/>
        <v>1</v>
      </c>
      <c r="C6718" t="str">
        <f t="shared" si="389"/>
        <v>293</v>
      </c>
      <c r="D6718" t="str">
        <f>"23"</f>
        <v>23</v>
      </c>
      <c r="E6718" t="str">
        <f>"1-293-23"</f>
        <v>1-293-23</v>
      </c>
      <c r="F6718" t="s">
        <v>83</v>
      </c>
      <c r="G6718" t="s">
        <v>84</v>
      </c>
      <c r="H6718" t="s">
        <v>85</v>
      </c>
      <c r="AC6718">
        <v>1</v>
      </c>
      <c r="AD6718">
        <v>0</v>
      </c>
      <c r="AE6718">
        <v>0</v>
      </c>
      <c r="AF6718">
        <v>0</v>
      </c>
      <c r="AG6718">
        <v>1</v>
      </c>
      <c r="AJ6718">
        <v>1</v>
      </c>
      <c r="AK6718">
        <v>0</v>
      </c>
      <c r="AL6718">
        <v>0</v>
      </c>
      <c r="AM6718">
        <v>1</v>
      </c>
      <c r="AN6718">
        <v>0</v>
      </c>
      <c r="AO6718">
        <v>1</v>
      </c>
      <c r="AP6718">
        <v>1</v>
      </c>
      <c r="AQ6718">
        <v>1</v>
      </c>
      <c r="AR6718">
        <v>1</v>
      </c>
      <c r="AS6718">
        <v>0</v>
      </c>
      <c r="AT6718">
        <v>1</v>
      </c>
      <c r="AV6718">
        <v>1</v>
      </c>
      <c r="AW6718">
        <v>1</v>
      </c>
    </row>
    <row r="6719" spans="1:49" x14ac:dyDescent="0.25">
      <c r="A6719" t="str">
        <f>"6715"</f>
        <v>6715</v>
      </c>
      <c r="B6719" t="str">
        <f t="shared" si="387"/>
        <v>1</v>
      </c>
      <c r="C6719" t="str">
        <f t="shared" si="389"/>
        <v>293</v>
      </c>
      <c r="D6719" t="str">
        <f>"22"</f>
        <v>22</v>
      </c>
      <c r="E6719" t="str">
        <f>"1-293-22"</f>
        <v>1-293-22</v>
      </c>
      <c r="F6719" t="s">
        <v>83</v>
      </c>
      <c r="G6719" t="s">
        <v>84</v>
      </c>
      <c r="H6719" t="s">
        <v>92</v>
      </c>
      <c r="I6719">
        <v>1</v>
      </c>
      <c r="J6719">
        <v>1</v>
      </c>
      <c r="N6719">
        <v>1</v>
      </c>
      <c r="O6719">
        <v>1</v>
      </c>
      <c r="P6719">
        <v>1</v>
      </c>
      <c r="Q6719">
        <v>1</v>
      </c>
      <c r="R6719">
        <v>1</v>
      </c>
      <c r="S6719">
        <v>1</v>
      </c>
      <c r="T6719">
        <v>1</v>
      </c>
      <c r="W6719">
        <v>1</v>
      </c>
      <c r="X6719">
        <v>1</v>
      </c>
      <c r="Y6719">
        <v>1</v>
      </c>
      <c r="Z6719">
        <v>1</v>
      </c>
      <c r="AA6719">
        <v>1</v>
      </c>
      <c r="AB6719">
        <v>1</v>
      </c>
    </row>
    <row r="6720" spans="1:49" x14ac:dyDescent="0.25">
      <c r="A6720" t="str">
        <f>"6716"</f>
        <v>6716</v>
      </c>
      <c r="B6720" t="str">
        <f t="shared" si="387"/>
        <v>1</v>
      </c>
      <c r="C6720" t="str">
        <f t="shared" si="389"/>
        <v>293</v>
      </c>
      <c r="D6720" t="str">
        <f>"16"</f>
        <v>16</v>
      </c>
      <c r="E6720" t="str">
        <f>"1-293-16"</f>
        <v>1-293-16</v>
      </c>
      <c r="F6720" t="s">
        <v>83</v>
      </c>
      <c r="G6720" t="s">
        <v>84</v>
      </c>
      <c r="H6720" t="s">
        <v>85</v>
      </c>
      <c r="AC6720">
        <v>0</v>
      </c>
      <c r="AD6720">
        <v>1</v>
      </c>
      <c r="AE6720">
        <v>0</v>
      </c>
      <c r="AF6720">
        <v>0</v>
      </c>
      <c r="AG6720">
        <v>1</v>
      </c>
      <c r="AJ6720">
        <v>0</v>
      </c>
      <c r="AK6720">
        <v>1</v>
      </c>
      <c r="AL6720">
        <v>0</v>
      </c>
      <c r="AM6720">
        <v>1</v>
      </c>
      <c r="AN6720">
        <v>0</v>
      </c>
      <c r="AO6720">
        <v>1</v>
      </c>
      <c r="AP6720">
        <v>1</v>
      </c>
      <c r="AQ6720">
        <v>1</v>
      </c>
      <c r="AR6720">
        <v>1</v>
      </c>
      <c r="AS6720">
        <v>0</v>
      </c>
      <c r="AT6720">
        <v>1</v>
      </c>
      <c r="AV6720">
        <v>1</v>
      </c>
      <c r="AW6720">
        <v>1</v>
      </c>
    </row>
    <row r="6721" spans="1:49" x14ac:dyDescent="0.25">
      <c r="A6721" t="str">
        <f>"6717"</f>
        <v>6717</v>
      </c>
      <c r="B6721" t="str">
        <f t="shared" si="387"/>
        <v>1</v>
      </c>
      <c r="C6721" t="str">
        <f t="shared" si="389"/>
        <v>293</v>
      </c>
      <c r="D6721" t="str">
        <f>"10"</f>
        <v>10</v>
      </c>
      <c r="E6721" t="str">
        <f>"1-293-10"</f>
        <v>1-293-10</v>
      </c>
      <c r="F6721" t="s">
        <v>83</v>
      </c>
      <c r="G6721" t="s">
        <v>84</v>
      </c>
      <c r="H6721" t="s">
        <v>92</v>
      </c>
      <c r="I6721">
        <v>1</v>
      </c>
      <c r="J6721">
        <v>1</v>
      </c>
      <c r="N6721">
        <v>1</v>
      </c>
      <c r="O6721">
        <v>1</v>
      </c>
      <c r="P6721">
        <v>1</v>
      </c>
      <c r="Q6721">
        <v>1</v>
      </c>
      <c r="R6721">
        <v>1</v>
      </c>
      <c r="S6721">
        <v>1</v>
      </c>
      <c r="T6721">
        <v>1</v>
      </c>
      <c r="W6721">
        <v>1</v>
      </c>
      <c r="X6721">
        <v>1</v>
      </c>
      <c r="Y6721">
        <v>1</v>
      </c>
      <c r="Z6721">
        <v>1</v>
      </c>
      <c r="AA6721">
        <v>1</v>
      </c>
      <c r="AB6721">
        <v>1</v>
      </c>
    </row>
    <row r="6722" spans="1:49" x14ac:dyDescent="0.25">
      <c r="A6722" t="str">
        <f>"6718"</f>
        <v>6718</v>
      </c>
      <c r="B6722" t="str">
        <f t="shared" si="387"/>
        <v>1</v>
      </c>
      <c r="C6722" t="str">
        <f t="shared" si="389"/>
        <v>293</v>
      </c>
      <c r="D6722" t="str">
        <f>"1"</f>
        <v>1</v>
      </c>
      <c r="E6722" t="str">
        <f>"1-293-1"</f>
        <v>1-293-1</v>
      </c>
      <c r="F6722" t="s">
        <v>83</v>
      </c>
      <c r="G6722" t="s">
        <v>84</v>
      </c>
      <c r="H6722" t="s">
        <v>85</v>
      </c>
      <c r="AC6722">
        <v>0</v>
      </c>
      <c r="AD6722">
        <v>1</v>
      </c>
      <c r="AE6722">
        <v>0</v>
      </c>
      <c r="AF6722">
        <v>0</v>
      </c>
      <c r="AG6722">
        <v>1</v>
      </c>
      <c r="AJ6722">
        <v>0</v>
      </c>
      <c r="AK6722">
        <v>1</v>
      </c>
      <c r="AL6722">
        <v>0</v>
      </c>
      <c r="AM6722">
        <v>0</v>
      </c>
      <c r="AN6722">
        <v>1</v>
      </c>
      <c r="AO6722">
        <v>1</v>
      </c>
      <c r="AP6722">
        <v>1</v>
      </c>
      <c r="AQ6722">
        <v>1</v>
      </c>
      <c r="AR6722">
        <v>1</v>
      </c>
      <c r="AS6722">
        <v>0</v>
      </c>
      <c r="AT6722">
        <v>1</v>
      </c>
      <c r="AV6722">
        <v>1</v>
      </c>
      <c r="AW6722">
        <v>1</v>
      </c>
    </row>
    <row r="6723" spans="1:49" x14ac:dyDescent="0.25">
      <c r="A6723" t="str">
        <f>"6719"</f>
        <v>6719</v>
      </c>
      <c r="B6723" t="str">
        <f t="shared" si="387"/>
        <v>1</v>
      </c>
      <c r="C6723" t="str">
        <f t="shared" si="389"/>
        <v>293</v>
      </c>
      <c r="D6723" t="str">
        <f>"12"</f>
        <v>12</v>
      </c>
      <c r="E6723" t="str">
        <f>"1-293-12"</f>
        <v>1-293-12</v>
      </c>
      <c r="F6723" t="s">
        <v>83</v>
      </c>
      <c r="G6723" t="s">
        <v>84</v>
      </c>
      <c r="H6723" t="s">
        <v>85</v>
      </c>
      <c r="AC6723">
        <v>0</v>
      </c>
      <c r="AD6723">
        <v>1</v>
      </c>
      <c r="AE6723">
        <v>0</v>
      </c>
      <c r="AF6723">
        <v>0</v>
      </c>
      <c r="AG6723">
        <v>1</v>
      </c>
      <c r="AJ6723">
        <v>1</v>
      </c>
      <c r="AK6723">
        <v>0</v>
      </c>
      <c r="AL6723">
        <v>0</v>
      </c>
      <c r="AM6723">
        <v>0</v>
      </c>
      <c r="AN6723">
        <v>1</v>
      </c>
      <c r="AO6723">
        <v>1</v>
      </c>
      <c r="AP6723">
        <v>1</v>
      </c>
      <c r="AQ6723">
        <v>0</v>
      </c>
      <c r="AR6723">
        <v>1</v>
      </c>
      <c r="AS6723">
        <v>0</v>
      </c>
      <c r="AT6723">
        <v>1</v>
      </c>
      <c r="AV6723">
        <v>1</v>
      </c>
      <c r="AW6723">
        <v>1</v>
      </c>
    </row>
    <row r="6724" spans="1:49" x14ac:dyDescent="0.25">
      <c r="A6724" t="str">
        <f>"6720"</f>
        <v>6720</v>
      </c>
      <c r="B6724" t="str">
        <f t="shared" si="387"/>
        <v>1</v>
      </c>
      <c r="C6724" t="str">
        <f t="shared" si="389"/>
        <v>293</v>
      </c>
      <c r="D6724" t="str">
        <f>"2"</f>
        <v>2</v>
      </c>
      <c r="E6724" t="str">
        <f>"1-293-2"</f>
        <v>1-293-2</v>
      </c>
      <c r="F6724" t="s">
        <v>83</v>
      </c>
      <c r="G6724" t="s">
        <v>84</v>
      </c>
      <c r="H6724" t="s">
        <v>92</v>
      </c>
      <c r="I6724">
        <v>1</v>
      </c>
      <c r="J6724">
        <v>1</v>
      </c>
      <c r="N6724">
        <v>1</v>
      </c>
      <c r="O6724">
        <v>1</v>
      </c>
      <c r="P6724">
        <v>1</v>
      </c>
      <c r="Q6724">
        <v>1</v>
      </c>
      <c r="R6724">
        <v>1</v>
      </c>
      <c r="S6724">
        <v>1</v>
      </c>
      <c r="T6724">
        <v>1</v>
      </c>
      <c r="W6724">
        <v>1</v>
      </c>
      <c r="X6724">
        <v>1</v>
      </c>
      <c r="Y6724">
        <v>1</v>
      </c>
      <c r="Z6724">
        <v>1</v>
      </c>
      <c r="AA6724">
        <v>1</v>
      </c>
      <c r="AB6724">
        <v>1</v>
      </c>
    </row>
    <row r="6725" spans="1:49" x14ac:dyDescent="0.25">
      <c r="A6725" t="str">
        <f>"6721"</f>
        <v>6721</v>
      </c>
      <c r="B6725" t="str">
        <f t="shared" si="387"/>
        <v>1</v>
      </c>
      <c r="C6725" t="str">
        <f t="shared" si="389"/>
        <v>293</v>
      </c>
      <c r="D6725" t="str">
        <f>"13"</f>
        <v>13</v>
      </c>
      <c r="E6725" t="str">
        <f>"1-293-13"</f>
        <v>1-293-13</v>
      </c>
      <c r="F6725" t="s">
        <v>83</v>
      </c>
      <c r="G6725" t="s">
        <v>84</v>
      </c>
      <c r="H6725" t="s">
        <v>92</v>
      </c>
      <c r="I6725">
        <v>1</v>
      </c>
      <c r="J6725">
        <v>1</v>
      </c>
      <c r="N6725">
        <v>1</v>
      </c>
      <c r="O6725">
        <v>1</v>
      </c>
      <c r="P6725">
        <v>1</v>
      </c>
      <c r="Q6725">
        <v>1</v>
      </c>
      <c r="R6725">
        <v>1</v>
      </c>
      <c r="S6725">
        <v>1</v>
      </c>
      <c r="T6725">
        <v>1</v>
      </c>
      <c r="W6725">
        <v>1</v>
      </c>
      <c r="X6725">
        <v>1</v>
      </c>
      <c r="Y6725">
        <v>1</v>
      </c>
      <c r="Z6725">
        <v>1</v>
      </c>
      <c r="AA6725">
        <v>1</v>
      </c>
      <c r="AB6725">
        <v>1</v>
      </c>
    </row>
    <row r="6726" spans="1:49" x14ac:dyDescent="0.25">
      <c r="A6726" t="str">
        <f>"6722"</f>
        <v>6722</v>
      </c>
      <c r="B6726" t="str">
        <f t="shared" si="387"/>
        <v>1</v>
      </c>
      <c r="C6726" t="str">
        <f t="shared" si="389"/>
        <v>293</v>
      </c>
      <c r="D6726" t="str">
        <f>"7"</f>
        <v>7</v>
      </c>
      <c r="E6726" t="str">
        <f>"1-293-7"</f>
        <v>1-293-7</v>
      </c>
      <c r="F6726" t="s">
        <v>83</v>
      </c>
      <c r="G6726" t="s">
        <v>84</v>
      </c>
      <c r="H6726" t="s">
        <v>92</v>
      </c>
      <c r="I6726">
        <v>1</v>
      </c>
      <c r="J6726">
        <v>1</v>
      </c>
      <c r="N6726">
        <v>1</v>
      </c>
      <c r="O6726">
        <v>1</v>
      </c>
      <c r="P6726">
        <v>1</v>
      </c>
      <c r="Q6726">
        <v>1</v>
      </c>
      <c r="R6726">
        <v>1</v>
      </c>
      <c r="S6726">
        <v>1</v>
      </c>
      <c r="T6726">
        <v>1</v>
      </c>
      <c r="W6726">
        <v>1</v>
      </c>
      <c r="X6726">
        <v>1</v>
      </c>
      <c r="Y6726">
        <v>1</v>
      </c>
      <c r="Z6726">
        <v>1</v>
      </c>
      <c r="AA6726">
        <v>1</v>
      </c>
      <c r="AB6726">
        <v>1</v>
      </c>
    </row>
    <row r="6727" spans="1:49" x14ac:dyDescent="0.25">
      <c r="A6727" t="str">
        <f>"6723"</f>
        <v>6723</v>
      </c>
      <c r="B6727" t="str">
        <f t="shared" si="387"/>
        <v>1</v>
      </c>
      <c r="C6727" t="str">
        <f t="shared" si="389"/>
        <v>293</v>
      </c>
      <c r="D6727" t="str">
        <f>"18"</f>
        <v>18</v>
      </c>
      <c r="E6727" t="str">
        <f>"1-293-18"</f>
        <v>1-293-18</v>
      </c>
      <c r="F6727" t="s">
        <v>83</v>
      </c>
      <c r="G6727" t="s">
        <v>84</v>
      </c>
      <c r="H6727" t="s">
        <v>92</v>
      </c>
      <c r="I6727">
        <v>1</v>
      </c>
      <c r="J6727">
        <v>1</v>
      </c>
      <c r="N6727">
        <v>1</v>
      </c>
      <c r="O6727">
        <v>1</v>
      </c>
      <c r="P6727">
        <v>1</v>
      </c>
      <c r="Q6727">
        <v>1</v>
      </c>
      <c r="R6727">
        <v>1</v>
      </c>
      <c r="S6727">
        <v>1</v>
      </c>
      <c r="T6727">
        <v>1</v>
      </c>
      <c r="W6727">
        <v>1</v>
      </c>
      <c r="X6727">
        <v>1</v>
      </c>
      <c r="Y6727">
        <v>1</v>
      </c>
      <c r="Z6727">
        <v>1</v>
      </c>
      <c r="AA6727">
        <v>1</v>
      </c>
      <c r="AB6727">
        <v>1</v>
      </c>
    </row>
    <row r="6728" spans="1:49" x14ac:dyDescent="0.25">
      <c r="A6728" t="str">
        <f>"6724"</f>
        <v>6724</v>
      </c>
      <c r="B6728" t="str">
        <f t="shared" si="387"/>
        <v>1</v>
      </c>
      <c r="C6728" t="str">
        <f t="shared" si="389"/>
        <v>293</v>
      </c>
      <c r="D6728" t="str">
        <f>"6"</f>
        <v>6</v>
      </c>
      <c r="E6728" t="str">
        <f>"1-293-6"</f>
        <v>1-293-6</v>
      </c>
      <c r="F6728" t="s">
        <v>83</v>
      </c>
      <c r="G6728" t="s">
        <v>84</v>
      </c>
      <c r="H6728" t="s">
        <v>85</v>
      </c>
      <c r="AC6728">
        <v>0</v>
      </c>
      <c r="AD6728">
        <v>1</v>
      </c>
      <c r="AE6728">
        <v>0</v>
      </c>
      <c r="AF6728">
        <v>0</v>
      </c>
      <c r="AG6728">
        <v>0</v>
      </c>
      <c r="AJ6728">
        <v>0</v>
      </c>
      <c r="AK6728">
        <v>0</v>
      </c>
      <c r="AL6728">
        <v>0</v>
      </c>
      <c r="AM6728">
        <v>0</v>
      </c>
      <c r="AN6728">
        <v>1</v>
      </c>
      <c r="AO6728">
        <v>0</v>
      </c>
      <c r="AP6728">
        <v>0</v>
      </c>
      <c r="AQ6728">
        <v>0</v>
      </c>
      <c r="AR6728">
        <v>0</v>
      </c>
      <c r="AS6728">
        <v>0</v>
      </c>
      <c r="AT6728">
        <v>0</v>
      </c>
      <c r="AV6728">
        <v>0</v>
      </c>
      <c r="AW6728">
        <v>0</v>
      </c>
    </row>
    <row r="6729" spans="1:49" x14ac:dyDescent="0.25">
      <c r="A6729" t="str">
        <f>"6725"</f>
        <v>6725</v>
      </c>
      <c r="B6729" t="str">
        <f t="shared" si="387"/>
        <v>1</v>
      </c>
      <c r="C6729" t="str">
        <f t="shared" si="389"/>
        <v>293</v>
      </c>
      <c r="D6729" t="str">
        <f>"19"</f>
        <v>19</v>
      </c>
      <c r="E6729" t="str">
        <f>"1-293-19"</f>
        <v>1-293-19</v>
      </c>
      <c r="F6729" t="s">
        <v>83</v>
      </c>
      <c r="G6729" t="s">
        <v>84</v>
      </c>
      <c r="H6729" t="s">
        <v>85</v>
      </c>
      <c r="AC6729">
        <v>0</v>
      </c>
      <c r="AD6729">
        <v>1</v>
      </c>
      <c r="AE6729">
        <v>0</v>
      </c>
      <c r="AF6729">
        <v>0</v>
      </c>
      <c r="AG6729">
        <v>0</v>
      </c>
      <c r="AJ6729">
        <v>0</v>
      </c>
      <c r="AK6729">
        <v>1</v>
      </c>
      <c r="AL6729">
        <v>0</v>
      </c>
      <c r="AM6729">
        <v>1</v>
      </c>
      <c r="AN6729">
        <v>0</v>
      </c>
      <c r="AO6729">
        <v>0</v>
      </c>
      <c r="AP6729">
        <v>0</v>
      </c>
      <c r="AQ6729">
        <v>0</v>
      </c>
      <c r="AR6729">
        <v>0</v>
      </c>
      <c r="AS6729">
        <v>0</v>
      </c>
      <c r="AT6729">
        <v>1</v>
      </c>
      <c r="AV6729">
        <v>0</v>
      </c>
      <c r="AW6729">
        <v>0</v>
      </c>
    </row>
    <row r="6730" spans="1:49" x14ac:dyDescent="0.25">
      <c r="A6730" t="str">
        <f>"6726"</f>
        <v>6726</v>
      </c>
      <c r="B6730" t="str">
        <f t="shared" si="387"/>
        <v>1</v>
      </c>
      <c r="C6730" t="str">
        <f t="shared" si="389"/>
        <v>293</v>
      </c>
      <c r="D6730" t="str">
        <f>"4"</f>
        <v>4</v>
      </c>
      <c r="E6730" t="str">
        <f>"1-293-4"</f>
        <v>1-293-4</v>
      </c>
      <c r="F6730" t="s">
        <v>83</v>
      </c>
      <c r="G6730" t="s">
        <v>84</v>
      </c>
      <c r="H6730" t="s">
        <v>85</v>
      </c>
      <c r="AC6730">
        <v>0</v>
      </c>
      <c r="AD6730">
        <v>1</v>
      </c>
      <c r="AE6730">
        <v>0</v>
      </c>
      <c r="AF6730">
        <v>0</v>
      </c>
      <c r="AG6730">
        <v>1</v>
      </c>
      <c r="AJ6730">
        <v>0</v>
      </c>
      <c r="AK6730">
        <v>1</v>
      </c>
      <c r="AL6730">
        <v>0</v>
      </c>
      <c r="AM6730">
        <v>0</v>
      </c>
      <c r="AN6730">
        <v>1</v>
      </c>
      <c r="AO6730">
        <v>1</v>
      </c>
      <c r="AP6730">
        <v>1</v>
      </c>
      <c r="AQ6730">
        <v>1</v>
      </c>
      <c r="AR6730">
        <v>0</v>
      </c>
      <c r="AS6730">
        <v>0</v>
      </c>
      <c r="AT6730">
        <v>1</v>
      </c>
      <c r="AV6730">
        <v>1</v>
      </c>
      <c r="AW6730">
        <v>1</v>
      </c>
    </row>
    <row r="6731" spans="1:49" x14ac:dyDescent="0.25">
      <c r="A6731" t="str">
        <f>"6727"</f>
        <v>6727</v>
      </c>
      <c r="B6731" t="str">
        <f t="shared" si="387"/>
        <v>1</v>
      </c>
      <c r="C6731" t="str">
        <f t="shared" ref="C6731:C6748" si="390">"294"</f>
        <v>294</v>
      </c>
      <c r="D6731" t="str">
        <f>"13"</f>
        <v>13</v>
      </c>
      <c r="E6731" t="str">
        <f>"1-294-13"</f>
        <v>1-294-13</v>
      </c>
      <c r="F6731" t="s">
        <v>83</v>
      </c>
      <c r="G6731" t="s">
        <v>84</v>
      </c>
      <c r="H6731" t="s">
        <v>85</v>
      </c>
      <c r="AC6731">
        <v>0</v>
      </c>
      <c r="AD6731">
        <v>1</v>
      </c>
      <c r="AE6731">
        <v>0</v>
      </c>
      <c r="AF6731">
        <v>0</v>
      </c>
      <c r="AG6731">
        <v>0</v>
      </c>
      <c r="AJ6731">
        <v>0</v>
      </c>
      <c r="AK6731">
        <v>1</v>
      </c>
      <c r="AL6731">
        <v>0</v>
      </c>
      <c r="AM6731">
        <v>0</v>
      </c>
      <c r="AN6731">
        <v>0</v>
      </c>
      <c r="AO6731">
        <v>0</v>
      </c>
      <c r="AP6731">
        <v>0</v>
      </c>
      <c r="AQ6731">
        <v>0</v>
      </c>
      <c r="AR6731">
        <v>0</v>
      </c>
      <c r="AS6731">
        <v>0</v>
      </c>
      <c r="AT6731">
        <v>0</v>
      </c>
      <c r="AV6731">
        <v>0</v>
      </c>
      <c r="AW6731">
        <v>0</v>
      </c>
    </row>
    <row r="6732" spans="1:49" x14ac:dyDescent="0.25">
      <c r="A6732" t="str">
        <f>"6728"</f>
        <v>6728</v>
      </c>
      <c r="B6732" t="str">
        <f t="shared" si="387"/>
        <v>1</v>
      </c>
      <c r="C6732" t="str">
        <f t="shared" si="390"/>
        <v>294</v>
      </c>
      <c r="D6732" t="str">
        <f>"8"</f>
        <v>8</v>
      </c>
      <c r="E6732" t="str">
        <f>"1-294-8"</f>
        <v>1-294-8</v>
      </c>
      <c r="F6732" t="s">
        <v>83</v>
      </c>
      <c r="G6732" t="s">
        <v>84</v>
      </c>
      <c r="H6732" t="s">
        <v>85</v>
      </c>
      <c r="AC6732">
        <v>0</v>
      </c>
      <c r="AD6732">
        <v>1</v>
      </c>
      <c r="AE6732">
        <v>0</v>
      </c>
      <c r="AF6732">
        <v>0</v>
      </c>
      <c r="AG6732">
        <v>0</v>
      </c>
      <c r="AJ6732">
        <v>0</v>
      </c>
      <c r="AK6732">
        <v>1</v>
      </c>
      <c r="AL6732">
        <v>0</v>
      </c>
      <c r="AM6732">
        <v>0</v>
      </c>
      <c r="AN6732">
        <v>1</v>
      </c>
      <c r="AO6732">
        <v>0</v>
      </c>
      <c r="AP6732">
        <v>0</v>
      </c>
      <c r="AQ6732">
        <v>0</v>
      </c>
      <c r="AR6732">
        <v>0</v>
      </c>
      <c r="AS6732">
        <v>1</v>
      </c>
      <c r="AT6732">
        <v>0</v>
      </c>
      <c r="AV6732">
        <v>0</v>
      </c>
      <c r="AW6732">
        <v>0</v>
      </c>
    </row>
    <row r="6733" spans="1:49" x14ac:dyDescent="0.25">
      <c r="A6733" t="str">
        <f>"6729"</f>
        <v>6729</v>
      </c>
      <c r="B6733" t="str">
        <f t="shared" si="387"/>
        <v>1</v>
      </c>
      <c r="C6733" t="str">
        <f t="shared" si="390"/>
        <v>294</v>
      </c>
      <c r="D6733" t="str">
        <f>"2"</f>
        <v>2</v>
      </c>
      <c r="E6733" t="str">
        <f>"1-294-2"</f>
        <v>1-294-2</v>
      </c>
      <c r="F6733" t="s">
        <v>83</v>
      </c>
      <c r="G6733" t="s">
        <v>84</v>
      </c>
      <c r="H6733" t="s">
        <v>92</v>
      </c>
      <c r="I6733">
        <v>1</v>
      </c>
      <c r="J6733">
        <v>1</v>
      </c>
      <c r="N6733">
        <v>1</v>
      </c>
      <c r="O6733">
        <v>1</v>
      </c>
      <c r="P6733">
        <v>1</v>
      </c>
      <c r="Q6733">
        <v>1</v>
      </c>
      <c r="R6733">
        <v>1</v>
      </c>
      <c r="S6733">
        <v>1</v>
      </c>
      <c r="T6733">
        <v>1</v>
      </c>
      <c r="W6733">
        <v>1</v>
      </c>
      <c r="X6733">
        <v>1</v>
      </c>
      <c r="Y6733">
        <v>1</v>
      </c>
      <c r="Z6733">
        <v>1</v>
      </c>
      <c r="AA6733">
        <v>1</v>
      </c>
      <c r="AB6733">
        <v>1</v>
      </c>
    </row>
    <row r="6734" spans="1:49" x14ac:dyDescent="0.25">
      <c r="A6734" t="str">
        <f>"6730"</f>
        <v>6730</v>
      </c>
      <c r="B6734" t="str">
        <f t="shared" si="387"/>
        <v>1</v>
      </c>
      <c r="C6734" t="str">
        <f t="shared" si="390"/>
        <v>294</v>
      </c>
      <c r="D6734" t="str">
        <f>"15"</f>
        <v>15</v>
      </c>
      <c r="E6734" t="str">
        <f>"1-294-15"</f>
        <v>1-294-15</v>
      </c>
      <c r="F6734" t="s">
        <v>83</v>
      </c>
      <c r="G6734" t="s">
        <v>86</v>
      </c>
      <c r="H6734" t="s">
        <v>87</v>
      </c>
      <c r="AC6734">
        <v>1</v>
      </c>
      <c r="AD6734">
        <v>0</v>
      </c>
      <c r="AE6734">
        <v>0</v>
      </c>
      <c r="AF6734">
        <v>0</v>
      </c>
      <c r="AH6734">
        <v>1</v>
      </c>
      <c r="AI6734">
        <v>0</v>
      </c>
      <c r="AJ6734">
        <v>0</v>
      </c>
      <c r="AK6734">
        <v>1</v>
      </c>
      <c r="AL6734">
        <v>0</v>
      </c>
      <c r="AM6734">
        <v>1</v>
      </c>
      <c r="AN6734">
        <v>0</v>
      </c>
      <c r="AO6734">
        <v>0</v>
      </c>
      <c r="AP6734">
        <v>0</v>
      </c>
      <c r="AQ6734">
        <v>0</v>
      </c>
      <c r="AU6734">
        <v>0</v>
      </c>
      <c r="AV6734">
        <v>0</v>
      </c>
      <c r="AW6734">
        <v>0</v>
      </c>
    </row>
    <row r="6735" spans="1:49" x14ac:dyDescent="0.25">
      <c r="A6735" t="str">
        <f>"6731"</f>
        <v>6731</v>
      </c>
      <c r="B6735" t="str">
        <f t="shared" si="387"/>
        <v>1</v>
      </c>
      <c r="C6735" t="str">
        <f t="shared" si="390"/>
        <v>294</v>
      </c>
      <c r="D6735" t="str">
        <f>"9"</f>
        <v>9</v>
      </c>
      <c r="E6735" t="str">
        <f>"1-294-9"</f>
        <v>1-294-9</v>
      </c>
      <c r="F6735" t="s">
        <v>83</v>
      </c>
      <c r="G6735" t="s">
        <v>84</v>
      </c>
      <c r="H6735" t="s">
        <v>85</v>
      </c>
      <c r="AC6735">
        <v>0</v>
      </c>
      <c r="AD6735">
        <v>1</v>
      </c>
      <c r="AE6735">
        <v>0</v>
      </c>
      <c r="AF6735">
        <v>0</v>
      </c>
      <c r="AG6735">
        <v>0</v>
      </c>
      <c r="AJ6735">
        <v>0</v>
      </c>
      <c r="AK6735">
        <v>1</v>
      </c>
      <c r="AL6735">
        <v>0</v>
      </c>
      <c r="AM6735">
        <v>1</v>
      </c>
      <c r="AN6735">
        <v>0</v>
      </c>
      <c r="AO6735">
        <v>0</v>
      </c>
      <c r="AP6735">
        <v>0</v>
      </c>
      <c r="AQ6735">
        <v>0</v>
      </c>
      <c r="AR6735">
        <v>0</v>
      </c>
      <c r="AS6735">
        <v>1</v>
      </c>
      <c r="AT6735">
        <v>0</v>
      </c>
      <c r="AV6735">
        <v>0</v>
      </c>
      <c r="AW6735">
        <v>0</v>
      </c>
    </row>
    <row r="6736" spans="1:49" x14ac:dyDescent="0.25">
      <c r="A6736" t="str">
        <f>"6732"</f>
        <v>6732</v>
      </c>
      <c r="B6736" t="str">
        <f t="shared" si="387"/>
        <v>1</v>
      </c>
      <c r="C6736" t="str">
        <f t="shared" si="390"/>
        <v>294</v>
      </c>
      <c r="D6736" t="str">
        <f>"6"</f>
        <v>6</v>
      </c>
      <c r="E6736" t="str">
        <f>"1-294-6"</f>
        <v>1-294-6</v>
      </c>
      <c r="F6736" t="s">
        <v>83</v>
      </c>
      <c r="G6736" t="s">
        <v>84</v>
      </c>
      <c r="H6736" t="s">
        <v>92</v>
      </c>
      <c r="I6736">
        <v>1</v>
      </c>
      <c r="J6736">
        <v>1</v>
      </c>
      <c r="N6736">
        <v>1</v>
      </c>
      <c r="O6736">
        <v>1</v>
      </c>
      <c r="P6736">
        <v>1</v>
      </c>
      <c r="Q6736">
        <v>1</v>
      </c>
      <c r="R6736">
        <v>1</v>
      </c>
      <c r="S6736">
        <v>1</v>
      </c>
      <c r="T6736">
        <v>1</v>
      </c>
      <c r="W6736">
        <v>1</v>
      </c>
      <c r="X6736">
        <v>1</v>
      </c>
      <c r="Y6736">
        <v>1</v>
      </c>
      <c r="Z6736">
        <v>1</v>
      </c>
      <c r="AA6736">
        <v>1</v>
      </c>
      <c r="AB6736">
        <v>1</v>
      </c>
    </row>
    <row r="6737" spans="1:49" x14ac:dyDescent="0.25">
      <c r="A6737" t="str">
        <f>"6733"</f>
        <v>6733</v>
      </c>
      <c r="B6737" t="str">
        <f t="shared" si="387"/>
        <v>1</v>
      </c>
      <c r="C6737" t="str">
        <f t="shared" si="390"/>
        <v>294</v>
      </c>
      <c r="D6737" t="str">
        <f>"16"</f>
        <v>16</v>
      </c>
      <c r="E6737" t="str">
        <f>"1-294-16"</f>
        <v>1-294-16</v>
      </c>
      <c r="F6737" t="s">
        <v>83</v>
      </c>
      <c r="G6737" t="s">
        <v>86</v>
      </c>
      <c r="H6737" t="s">
        <v>87</v>
      </c>
      <c r="AC6737">
        <v>1</v>
      </c>
      <c r="AD6737">
        <v>0</v>
      </c>
      <c r="AE6737">
        <v>0</v>
      </c>
      <c r="AF6737">
        <v>0</v>
      </c>
      <c r="AH6737">
        <v>1</v>
      </c>
      <c r="AI6737">
        <v>0</v>
      </c>
      <c r="AJ6737">
        <v>1</v>
      </c>
      <c r="AK6737">
        <v>0</v>
      </c>
      <c r="AL6737">
        <v>1</v>
      </c>
      <c r="AM6737">
        <v>0</v>
      </c>
      <c r="AN6737">
        <v>0</v>
      </c>
      <c r="AO6737">
        <v>1</v>
      </c>
      <c r="AP6737">
        <v>1</v>
      </c>
      <c r="AQ6737">
        <v>1</v>
      </c>
      <c r="AU6737">
        <v>1</v>
      </c>
      <c r="AV6737">
        <v>1</v>
      </c>
      <c r="AW6737">
        <v>1</v>
      </c>
    </row>
    <row r="6738" spans="1:49" x14ac:dyDescent="0.25">
      <c r="A6738" t="str">
        <f>"6734"</f>
        <v>6734</v>
      </c>
      <c r="B6738" t="str">
        <f t="shared" si="387"/>
        <v>1</v>
      </c>
      <c r="C6738" t="str">
        <f t="shared" si="390"/>
        <v>294</v>
      </c>
      <c r="D6738" t="str">
        <f>"10"</f>
        <v>10</v>
      </c>
      <c r="E6738" t="str">
        <f>"1-294-10"</f>
        <v>1-294-10</v>
      </c>
      <c r="F6738" t="s">
        <v>83</v>
      </c>
      <c r="G6738" t="s">
        <v>84</v>
      </c>
      <c r="H6738" t="s">
        <v>85</v>
      </c>
      <c r="AC6738">
        <v>0</v>
      </c>
      <c r="AD6738">
        <v>1</v>
      </c>
      <c r="AE6738">
        <v>0</v>
      </c>
      <c r="AF6738">
        <v>0</v>
      </c>
      <c r="AG6738">
        <v>1</v>
      </c>
      <c r="AJ6738">
        <v>1</v>
      </c>
      <c r="AK6738">
        <v>0</v>
      </c>
      <c r="AL6738">
        <v>0</v>
      </c>
      <c r="AM6738">
        <v>1</v>
      </c>
      <c r="AN6738">
        <v>0</v>
      </c>
      <c r="AO6738">
        <v>1</v>
      </c>
      <c r="AP6738">
        <v>1</v>
      </c>
      <c r="AQ6738">
        <v>1</v>
      </c>
      <c r="AR6738">
        <v>1</v>
      </c>
      <c r="AS6738">
        <v>0</v>
      </c>
      <c r="AT6738">
        <v>1</v>
      </c>
      <c r="AV6738">
        <v>1</v>
      </c>
      <c r="AW6738">
        <v>1</v>
      </c>
    </row>
    <row r="6739" spans="1:49" x14ac:dyDescent="0.25">
      <c r="A6739" t="str">
        <f>"6735"</f>
        <v>6735</v>
      </c>
      <c r="B6739" t="str">
        <f t="shared" si="387"/>
        <v>1</v>
      </c>
      <c r="C6739" t="str">
        <f t="shared" si="390"/>
        <v>294</v>
      </c>
      <c r="D6739" t="str">
        <f>"3"</f>
        <v>3</v>
      </c>
      <c r="E6739" t="str">
        <f>"1-294-3"</f>
        <v>1-294-3</v>
      </c>
      <c r="F6739" t="s">
        <v>83</v>
      </c>
      <c r="G6739" t="s">
        <v>84</v>
      </c>
      <c r="H6739" t="s">
        <v>92</v>
      </c>
      <c r="I6739">
        <v>1</v>
      </c>
      <c r="J6739">
        <v>1</v>
      </c>
      <c r="N6739">
        <v>1</v>
      </c>
      <c r="O6739">
        <v>1</v>
      </c>
      <c r="P6739">
        <v>1</v>
      </c>
      <c r="Q6739">
        <v>1</v>
      </c>
      <c r="R6739">
        <v>1</v>
      </c>
      <c r="S6739">
        <v>1</v>
      </c>
      <c r="T6739">
        <v>1</v>
      </c>
      <c r="W6739">
        <v>1</v>
      </c>
      <c r="X6739">
        <v>1</v>
      </c>
      <c r="Y6739">
        <v>1</v>
      </c>
      <c r="Z6739">
        <v>1</v>
      </c>
      <c r="AA6739">
        <v>1</v>
      </c>
      <c r="AB6739">
        <v>1</v>
      </c>
    </row>
    <row r="6740" spans="1:49" x14ac:dyDescent="0.25">
      <c r="A6740" t="str">
        <f>"6736"</f>
        <v>6736</v>
      </c>
      <c r="B6740" t="str">
        <f t="shared" si="387"/>
        <v>1</v>
      </c>
      <c r="C6740" t="str">
        <f t="shared" si="390"/>
        <v>294</v>
      </c>
      <c r="D6740" t="str">
        <f>"14"</f>
        <v>14</v>
      </c>
      <c r="E6740" t="str">
        <f>"1-294-14"</f>
        <v>1-294-14</v>
      </c>
      <c r="F6740" t="s">
        <v>83</v>
      </c>
      <c r="G6740" t="s">
        <v>84</v>
      </c>
      <c r="H6740" t="s">
        <v>85</v>
      </c>
      <c r="AC6740">
        <v>0</v>
      </c>
      <c r="AD6740">
        <v>1</v>
      </c>
      <c r="AE6740">
        <v>0</v>
      </c>
      <c r="AF6740">
        <v>0</v>
      </c>
      <c r="AG6740">
        <v>1</v>
      </c>
      <c r="AJ6740">
        <v>0</v>
      </c>
      <c r="AK6740">
        <v>1</v>
      </c>
      <c r="AL6740">
        <v>0</v>
      </c>
      <c r="AM6740">
        <v>0</v>
      </c>
      <c r="AN6740">
        <v>1</v>
      </c>
      <c r="AO6740">
        <v>1</v>
      </c>
      <c r="AP6740">
        <v>1</v>
      </c>
      <c r="AQ6740">
        <v>1</v>
      </c>
      <c r="AR6740">
        <v>1</v>
      </c>
      <c r="AS6740">
        <v>1</v>
      </c>
      <c r="AT6740">
        <v>0</v>
      </c>
      <c r="AV6740">
        <v>1</v>
      </c>
      <c r="AW6740">
        <v>1</v>
      </c>
    </row>
    <row r="6741" spans="1:49" x14ac:dyDescent="0.25">
      <c r="A6741" t="str">
        <f>"6737"</f>
        <v>6737</v>
      </c>
      <c r="B6741" t="str">
        <f t="shared" si="387"/>
        <v>1</v>
      </c>
      <c r="C6741" t="str">
        <f t="shared" si="390"/>
        <v>294</v>
      </c>
      <c r="D6741" t="str">
        <f>"11"</f>
        <v>11</v>
      </c>
      <c r="E6741" t="str">
        <f>"1-294-11"</f>
        <v>1-294-11</v>
      </c>
      <c r="F6741" t="s">
        <v>83</v>
      </c>
      <c r="G6741" t="s">
        <v>86</v>
      </c>
      <c r="H6741" t="s">
        <v>87</v>
      </c>
      <c r="AC6741">
        <v>1</v>
      </c>
      <c r="AD6741">
        <v>0</v>
      </c>
      <c r="AE6741">
        <v>0</v>
      </c>
      <c r="AF6741">
        <v>0</v>
      </c>
      <c r="AH6741">
        <v>1</v>
      </c>
      <c r="AI6741">
        <v>0</v>
      </c>
      <c r="AJ6741">
        <v>1</v>
      </c>
      <c r="AK6741">
        <v>0</v>
      </c>
      <c r="AL6741">
        <v>0</v>
      </c>
      <c r="AM6741">
        <v>0</v>
      </c>
      <c r="AN6741">
        <v>0</v>
      </c>
      <c r="AO6741">
        <v>0</v>
      </c>
      <c r="AP6741">
        <v>0</v>
      </c>
      <c r="AQ6741">
        <v>0</v>
      </c>
      <c r="AU6741">
        <v>1</v>
      </c>
      <c r="AV6741">
        <v>0</v>
      </c>
      <c r="AW6741">
        <v>1</v>
      </c>
    </row>
    <row r="6742" spans="1:49" x14ac:dyDescent="0.25">
      <c r="A6742" t="str">
        <f>"6738"</f>
        <v>6738</v>
      </c>
      <c r="B6742" t="str">
        <f t="shared" si="387"/>
        <v>1</v>
      </c>
      <c r="C6742" t="str">
        <f t="shared" si="390"/>
        <v>294</v>
      </c>
      <c r="D6742" t="str">
        <f>"1"</f>
        <v>1</v>
      </c>
      <c r="E6742" t="str">
        <f>"1-294-1"</f>
        <v>1-294-1</v>
      </c>
      <c r="F6742" t="s">
        <v>83</v>
      </c>
      <c r="G6742" t="s">
        <v>84</v>
      </c>
      <c r="H6742" t="s">
        <v>92</v>
      </c>
      <c r="I6742">
        <v>1</v>
      </c>
      <c r="J6742">
        <v>1</v>
      </c>
      <c r="N6742">
        <v>1</v>
      </c>
      <c r="O6742">
        <v>1</v>
      </c>
      <c r="P6742">
        <v>1</v>
      </c>
      <c r="Q6742">
        <v>1</v>
      </c>
      <c r="R6742">
        <v>1</v>
      </c>
      <c r="S6742">
        <v>1</v>
      </c>
      <c r="T6742">
        <v>1</v>
      </c>
      <c r="W6742">
        <v>1</v>
      </c>
      <c r="X6742">
        <v>1</v>
      </c>
      <c r="Y6742">
        <v>1</v>
      </c>
      <c r="Z6742">
        <v>1</v>
      </c>
      <c r="AA6742">
        <v>1</v>
      </c>
      <c r="AB6742">
        <v>1</v>
      </c>
    </row>
    <row r="6743" spans="1:49" x14ac:dyDescent="0.25">
      <c r="A6743" t="str">
        <f>"6739"</f>
        <v>6739</v>
      </c>
      <c r="B6743" t="str">
        <f t="shared" si="387"/>
        <v>1</v>
      </c>
      <c r="C6743" t="str">
        <f t="shared" si="390"/>
        <v>294</v>
      </c>
      <c r="D6743" t="str">
        <f>"17"</f>
        <v>17</v>
      </c>
      <c r="E6743" t="str">
        <f>"1-294-17"</f>
        <v>1-294-17</v>
      </c>
      <c r="F6743" t="s">
        <v>83</v>
      </c>
      <c r="G6743" t="s">
        <v>86</v>
      </c>
      <c r="H6743" t="s">
        <v>87</v>
      </c>
      <c r="AC6743">
        <v>1</v>
      </c>
      <c r="AD6743">
        <v>0</v>
      </c>
      <c r="AE6743">
        <v>0</v>
      </c>
      <c r="AF6743">
        <v>0</v>
      </c>
      <c r="AH6743">
        <v>1</v>
      </c>
      <c r="AI6743">
        <v>0</v>
      </c>
      <c r="AJ6743">
        <v>0</v>
      </c>
      <c r="AK6743">
        <v>1</v>
      </c>
      <c r="AL6743">
        <v>0</v>
      </c>
      <c r="AM6743">
        <v>0</v>
      </c>
      <c r="AN6743">
        <v>1</v>
      </c>
      <c r="AO6743">
        <v>1</v>
      </c>
      <c r="AP6743">
        <v>1</v>
      </c>
      <c r="AQ6743">
        <v>1</v>
      </c>
      <c r="AU6743">
        <v>1</v>
      </c>
      <c r="AV6743">
        <v>1</v>
      </c>
      <c r="AW6743">
        <v>1</v>
      </c>
    </row>
    <row r="6744" spans="1:49" x14ac:dyDescent="0.25">
      <c r="A6744" t="str">
        <f>"6740"</f>
        <v>6740</v>
      </c>
      <c r="B6744" t="str">
        <f t="shared" si="387"/>
        <v>1</v>
      </c>
      <c r="C6744" t="str">
        <f t="shared" si="390"/>
        <v>294</v>
      </c>
      <c r="D6744" t="str">
        <f>"12"</f>
        <v>12</v>
      </c>
      <c r="E6744" t="str">
        <f>"1-294-12"</f>
        <v>1-294-12</v>
      </c>
      <c r="F6744" t="s">
        <v>83</v>
      </c>
      <c r="G6744" t="s">
        <v>84</v>
      </c>
      <c r="H6744" t="s">
        <v>85</v>
      </c>
      <c r="AC6744">
        <v>1</v>
      </c>
      <c r="AD6744">
        <v>0</v>
      </c>
      <c r="AE6744">
        <v>0</v>
      </c>
      <c r="AF6744">
        <v>0</v>
      </c>
      <c r="AG6744">
        <v>1</v>
      </c>
      <c r="AJ6744">
        <v>0</v>
      </c>
      <c r="AK6744">
        <v>1</v>
      </c>
      <c r="AL6744">
        <v>1</v>
      </c>
      <c r="AM6744">
        <v>0</v>
      </c>
      <c r="AN6744">
        <v>0</v>
      </c>
      <c r="AO6744">
        <v>1</v>
      </c>
      <c r="AP6744">
        <v>1</v>
      </c>
      <c r="AQ6744">
        <v>1</v>
      </c>
      <c r="AR6744">
        <v>1</v>
      </c>
      <c r="AS6744">
        <v>1</v>
      </c>
      <c r="AT6744">
        <v>0</v>
      </c>
      <c r="AV6744">
        <v>1</v>
      </c>
      <c r="AW6744">
        <v>1</v>
      </c>
    </row>
    <row r="6745" spans="1:49" x14ac:dyDescent="0.25">
      <c r="A6745" t="str">
        <f>"6741"</f>
        <v>6741</v>
      </c>
      <c r="B6745" t="str">
        <f t="shared" si="387"/>
        <v>1</v>
      </c>
      <c r="C6745" t="str">
        <f t="shared" si="390"/>
        <v>294</v>
      </c>
      <c r="D6745" t="str">
        <f>"7"</f>
        <v>7</v>
      </c>
      <c r="E6745" t="str">
        <f>"1-294-7"</f>
        <v>1-294-7</v>
      </c>
      <c r="F6745" t="s">
        <v>83</v>
      </c>
      <c r="G6745" t="s">
        <v>86</v>
      </c>
      <c r="H6745" t="s">
        <v>93</v>
      </c>
      <c r="I6745">
        <v>1</v>
      </c>
      <c r="K6745">
        <v>0</v>
      </c>
      <c r="L6745">
        <v>0</v>
      </c>
      <c r="M6745">
        <v>1</v>
      </c>
      <c r="N6745">
        <v>1</v>
      </c>
      <c r="O6745">
        <v>1</v>
      </c>
      <c r="P6745">
        <v>0</v>
      </c>
      <c r="Q6745">
        <v>0</v>
      </c>
      <c r="R6745">
        <v>0</v>
      </c>
      <c r="U6745">
        <v>0</v>
      </c>
      <c r="V6745">
        <v>1</v>
      </c>
      <c r="W6745">
        <v>0</v>
      </c>
      <c r="X6745">
        <v>0</v>
      </c>
      <c r="Y6745">
        <v>0</v>
      </c>
      <c r="Z6745">
        <v>0</v>
      </c>
      <c r="AA6745">
        <v>0</v>
      </c>
      <c r="AB6745">
        <v>0</v>
      </c>
    </row>
    <row r="6746" spans="1:49" x14ac:dyDescent="0.25">
      <c r="A6746" t="str">
        <f>"6742"</f>
        <v>6742</v>
      </c>
      <c r="B6746" t="str">
        <f t="shared" si="387"/>
        <v>1</v>
      </c>
      <c r="C6746" t="str">
        <f t="shared" si="390"/>
        <v>294</v>
      </c>
      <c r="D6746" t="str">
        <f>"18"</f>
        <v>18</v>
      </c>
      <c r="E6746" t="str">
        <f>"1-294-18"</f>
        <v>1-294-18</v>
      </c>
      <c r="F6746" t="s">
        <v>83</v>
      </c>
      <c r="G6746" t="s">
        <v>84</v>
      </c>
      <c r="H6746" t="s">
        <v>85</v>
      </c>
      <c r="AC6746">
        <v>1</v>
      </c>
      <c r="AD6746">
        <v>0</v>
      </c>
      <c r="AE6746">
        <v>0</v>
      </c>
      <c r="AF6746">
        <v>0</v>
      </c>
      <c r="AG6746">
        <v>1</v>
      </c>
      <c r="AJ6746">
        <v>0</v>
      </c>
      <c r="AK6746">
        <v>1</v>
      </c>
      <c r="AL6746">
        <v>1</v>
      </c>
      <c r="AM6746">
        <v>0</v>
      </c>
      <c r="AN6746">
        <v>0</v>
      </c>
      <c r="AO6746">
        <v>1</v>
      </c>
      <c r="AP6746">
        <v>1</v>
      </c>
      <c r="AQ6746">
        <v>1</v>
      </c>
      <c r="AR6746">
        <v>1</v>
      </c>
      <c r="AS6746">
        <v>1</v>
      </c>
      <c r="AT6746">
        <v>0</v>
      </c>
      <c r="AV6746">
        <v>1</v>
      </c>
      <c r="AW6746">
        <v>1</v>
      </c>
    </row>
    <row r="6747" spans="1:49" x14ac:dyDescent="0.25">
      <c r="A6747" t="str">
        <f>"6743"</f>
        <v>6743</v>
      </c>
      <c r="B6747" t="str">
        <f t="shared" si="387"/>
        <v>1</v>
      </c>
      <c r="C6747" t="str">
        <f t="shared" si="390"/>
        <v>294</v>
      </c>
      <c r="D6747" t="str">
        <f>"5"</f>
        <v>5</v>
      </c>
      <c r="E6747" t="str">
        <f>"1-294-5"</f>
        <v>1-294-5</v>
      </c>
      <c r="F6747" t="s">
        <v>83</v>
      </c>
      <c r="G6747" t="s">
        <v>84</v>
      </c>
      <c r="H6747" t="s">
        <v>92</v>
      </c>
      <c r="I6747">
        <v>1</v>
      </c>
      <c r="J6747">
        <v>1</v>
      </c>
      <c r="N6747">
        <v>1</v>
      </c>
      <c r="O6747">
        <v>1</v>
      </c>
      <c r="P6747">
        <v>1</v>
      </c>
      <c r="Q6747">
        <v>1</v>
      </c>
      <c r="R6747">
        <v>1</v>
      </c>
      <c r="S6747">
        <v>1</v>
      </c>
      <c r="T6747">
        <v>1</v>
      </c>
      <c r="W6747">
        <v>1</v>
      </c>
      <c r="X6747">
        <v>1</v>
      </c>
      <c r="Y6747">
        <v>1</v>
      </c>
      <c r="Z6747">
        <v>1</v>
      </c>
      <c r="AA6747">
        <v>1</v>
      </c>
      <c r="AB6747">
        <v>1</v>
      </c>
    </row>
    <row r="6748" spans="1:49" x14ac:dyDescent="0.25">
      <c r="A6748" t="str">
        <f>"6744"</f>
        <v>6744</v>
      </c>
      <c r="B6748" t="str">
        <f t="shared" si="387"/>
        <v>1</v>
      </c>
      <c r="C6748" t="str">
        <f t="shared" si="390"/>
        <v>294</v>
      </c>
      <c r="D6748" t="str">
        <f>"4"</f>
        <v>4</v>
      </c>
      <c r="E6748" t="str">
        <f>"1-294-4"</f>
        <v>1-294-4</v>
      </c>
      <c r="F6748" t="s">
        <v>83</v>
      </c>
      <c r="G6748" t="s">
        <v>84</v>
      </c>
      <c r="H6748" t="s">
        <v>92</v>
      </c>
      <c r="I6748">
        <v>1</v>
      </c>
      <c r="J6748">
        <v>1</v>
      </c>
      <c r="N6748">
        <v>1</v>
      </c>
      <c r="O6748">
        <v>1</v>
      </c>
      <c r="P6748">
        <v>1</v>
      </c>
      <c r="Q6748">
        <v>1</v>
      </c>
      <c r="R6748">
        <v>1</v>
      </c>
      <c r="S6748">
        <v>1</v>
      </c>
      <c r="T6748">
        <v>1</v>
      </c>
      <c r="W6748">
        <v>1</v>
      </c>
      <c r="X6748">
        <v>1</v>
      </c>
      <c r="Y6748">
        <v>1</v>
      </c>
      <c r="Z6748">
        <v>1</v>
      </c>
      <c r="AA6748">
        <v>1</v>
      </c>
      <c r="AB6748">
        <v>1</v>
      </c>
    </row>
    <row r="6749" spans="1:49" x14ac:dyDescent="0.25">
      <c r="A6749" t="str">
        <f>"6745"</f>
        <v>6745</v>
      </c>
      <c r="B6749" t="str">
        <f t="shared" si="387"/>
        <v>1</v>
      </c>
      <c r="C6749" t="str">
        <f t="shared" ref="C6749:C6762" si="391">"295"</f>
        <v>295</v>
      </c>
      <c r="D6749" t="str">
        <f>"13"</f>
        <v>13</v>
      </c>
      <c r="E6749" t="str">
        <f>"1-295-13"</f>
        <v>1-295-13</v>
      </c>
      <c r="F6749" t="s">
        <v>83</v>
      </c>
      <c r="G6749" t="s">
        <v>84</v>
      </c>
      <c r="H6749" t="s">
        <v>92</v>
      </c>
      <c r="I6749">
        <v>1</v>
      </c>
      <c r="J6749">
        <v>1</v>
      </c>
      <c r="N6749">
        <v>1</v>
      </c>
      <c r="O6749">
        <v>1</v>
      </c>
      <c r="P6749">
        <v>1</v>
      </c>
      <c r="Q6749">
        <v>1</v>
      </c>
      <c r="R6749">
        <v>1</v>
      </c>
      <c r="S6749">
        <v>1</v>
      </c>
      <c r="T6749">
        <v>1</v>
      </c>
      <c r="W6749">
        <v>1</v>
      </c>
      <c r="X6749">
        <v>1</v>
      </c>
      <c r="Y6749">
        <v>1</v>
      </c>
      <c r="Z6749">
        <v>1</v>
      </c>
      <c r="AA6749">
        <v>1</v>
      </c>
      <c r="AB6749">
        <v>1</v>
      </c>
    </row>
    <row r="6750" spans="1:49" x14ac:dyDescent="0.25">
      <c r="A6750" t="str">
        <f>"6746"</f>
        <v>6746</v>
      </c>
      <c r="B6750" t="str">
        <f t="shared" ref="B6750:B6813" si="392">"1"</f>
        <v>1</v>
      </c>
      <c r="C6750" t="str">
        <f t="shared" si="391"/>
        <v>295</v>
      </c>
      <c r="D6750" t="str">
        <f>"8"</f>
        <v>8</v>
      </c>
      <c r="E6750" t="str">
        <f>"1-295-8"</f>
        <v>1-295-8</v>
      </c>
      <c r="F6750" t="s">
        <v>83</v>
      </c>
      <c r="G6750" t="s">
        <v>84</v>
      </c>
      <c r="H6750" t="s">
        <v>92</v>
      </c>
      <c r="I6750">
        <v>1</v>
      </c>
      <c r="J6750">
        <v>1</v>
      </c>
      <c r="N6750">
        <v>1</v>
      </c>
      <c r="O6750">
        <v>1</v>
      </c>
      <c r="P6750">
        <v>1</v>
      </c>
      <c r="Q6750">
        <v>1</v>
      </c>
      <c r="R6750">
        <v>1</v>
      </c>
      <c r="S6750">
        <v>1</v>
      </c>
      <c r="T6750">
        <v>1</v>
      </c>
      <c r="W6750">
        <v>1</v>
      </c>
      <c r="X6750">
        <v>1</v>
      </c>
      <c r="Y6750">
        <v>1</v>
      </c>
      <c r="Z6750">
        <v>1</v>
      </c>
      <c r="AA6750">
        <v>1</v>
      </c>
      <c r="AB6750">
        <v>1</v>
      </c>
    </row>
    <row r="6751" spans="1:49" x14ac:dyDescent="0.25">
      <c r="A6751" t="str">
        <f>"6747"</f>
        <v>6747</v>
      </c>
      <c r="B6751" t="str">
        <f t="shared" si="392"/>
        <v>1</v>
      </c>
      <c r="C6751" t="str">
        <f t="shared" si="391"/>
        <v>295</v>
      </c>
      <c r="D6751" t="str">
        <f>"7"</f>
        <v>7</v>
      </c>
      <c r="E6751" t="str">
        <f>"1-295-7"</f>
        <v>1-295-7</v>
      </c>
      <c r="F6751" t="s">
        <v>83</v>
      </c>
      <c r="G6751" t="s">
        <v>84</v>
      </c>
      <c r="H6751" t="s">
        <v>92</v>
      </c>
      <c r="I6751">
        <v>1</v>
      </c>
      <c r="J6751">
        <v>1</v>
      </c>
      <c r="N6751">
        <v>1</v>
      </c>
      <c r="O6751">
        <v>0</v>
      </c>
      <c r="P6751">
        <v>0</v>
      </c>
      <c r="Q6751">
        <v>0</v>
      </c>
      <c r="R6751">
        <v>0</v>
      </c>
      <c r="S6751">
        <v>0</v>
      </c>
      <c r="T6751">
        <v>1</v>
      </c>
      <c r="W6751">
        <v>1</v>
      </c>
      <c r="X6751">
        <v>1</v>
      </c>
      <c r="Y6751">
        <v>1</v>
      </c>
      <c r="Z6751">
        <v>1</v>
      </c>
      <c r="AA6751">
        <v>1</v>
      </c>
      <c r="AB6751">
        <v>1</v>
      </c>
    </row>
    <row r="6752" spans="1:49" x14ac:dyDescent="0.25">
      <c r="A6752" t="str">
        <f>"6748"</f>
        <v>6748</v>
      </c>
      <c r="B6752" t="str">
        <f t="shared" si="392"/>
        <v>1</v>
      </c>
      <c r="C6752" t="str">
        <f t="shared" si="391"/>
        <v>295</v>
      </c>
      <c r="D6752" t="str">
        <f>"14"</f>
        <v>14</v>
      </c>
      <c r="E6752" t="str">
        <f>"1-295-14"</f>
        <v>1-295-14</v>
      </c>
      <c r="F6752" t="s">
        <v>83</v>
      </c>
      <c r="G6752" t="s">
        <v>84</v>
      </c>
      <c r="H6752" t="s">
        <v>92</v>
      </c>
      <c r="I6752">
        <v>1</v>
      </c>
      <c r="J6752">
        <v>1</v>
      </c>
      <c r="N6752">
        <v>1</v>
      </c>
      <c r="O6752">
        <v>1</v>
      </c>
      <c r="P6752">
        <v>1</v>
      </c>
      <c r="Q6752">
        <v>1</v>
      </c>
      <c r="R6752">
        <v>1</v>
      </c>
      <c r="S6752">
        <v>1</v>
      </c>
      <c r="T6752">
        <v>1</v>
      </c>
      <c r="W6752">
        <v>1</v>
      </c>
      <c r="X6752">
        <v>1</v>
      </c>
      <c r="Y6752">
        <v>1</v>
      </c>
      <c r="Z6752">
        <v>1</v>
      </c>
      <c r="AA6752">
        <v>1</v>
      </c>
      <c r="AB6752">
        <v>1</v>
      </c>
    </row>
    <row r="6753" spans="1:28" x14ac:dyDescent="0.25">
      <c r="A6753" t="str">
        <f>"6749"</f>
        <v>6749</v>
      </c>
      <c r="B6753" t="str">
        <f t="shared" si="392"/>
        <v>1</v>
      </c>
      <c r="C6753" t="str">
        <f t="shared" si="391"/>
        <v>295</v>
      </c>
      <c r="D6753" t="str">
        <f>"9"</f>
        <v>9</v>
      </c>
      <c r="E6753" t="str">
        <f>"1-295-9"</f>
        <v>1-295-9</v>
      </c>
      <c r="F6753" t="s">
        <v>83</v>
      </c>
      <c r="G6753" t="s">
        <v>84</v>
      </c>
      <c r="H6753" t="s">
        <v>92</v>
      </c>
      <c r="I6753">
        <v>1</v>
      </c>
      <c r="J6753">
        <v>1</v>
      </c>
      <c r="N6753">
        <v>1</v>
      </c>
      <c r="O6753">
        <v>1</v>
      </c>
      <c r="P6753">
        <v>1</v>
      </c>
      <c r="Q6753">
        <v>1</v>
      </c>
      <c r="R6753">
        <v>1</v>
      </c>
      <c r="S6753">
        <v>1</v>
      </c>
      <c r="T6753">
        <v>1</v>
      </c>
      <c r="W6753">
        <v>1</v>
      </c>
      <c r="X6753">
        <v>1</v>
      </c>
      <c r="Y6753">
        <v>1</v>
      </c>
      <c r="Z6753">
        <v>1</v>
      </c>
      <c r="AA6753">
        <v>1</v>
      </c>
      <c r="AB6753">
        <v>1</v>
      </c>
    </row>
    <row r="6754" spans="1:28" x14ac:dyDescent="0.25">
      <c r="A6754" t="str">
        <f>"6750"</f>
        <v>6750</v>
      </c>
      <c r="B6754" t="str">
        <f t="shared" si="392"/>
        <v>1</v>
      </c>
      <c r="C6754" t="str">
        <f t="shared" si="391"/>
        <v>295</v>
      </c>
      <c r="D6754" t="str">
        <f>"4"</f>
        <v>4</v>
      </c>
      <c r="E6754" t="str">
        <f>"1-295-4"</f>
        <v>1-295-4</v>
      </c>
      <c r="F6754" t="s">
        <v>83</v>
      </c>
      <c r="G6754" t="s">
        <v>84</v>
      </c>
      <c r="H6754" t="s">
        <v>92</v>
      </c>
      <c r="I6754">
        <v>1</v>
      </c>
      <c r="J6754">
        <v>1</v>
      </c>
      <c r="N6754">
        <v>1</v>
      </c>
      <c r="O6754">
        <v>1</v>
      </c>
      <c r="P6754">
        <v>1</v>
      </c>
      <c r="Q6754">
        <v>1</v>
      </c>
      <c r="R6754">
        <v>1</v>
      </c>
      <c r="S6754">
        <v>1</v>
      </c>
      <c r="T6754">
        <v>1</v>
      </c>
      <c r="W6754">
        <v>1</v>
      </c>
      <c r="X6754">
        <v>1</v>
      </c>
      <c r="Y6754">
        <v>1</v>
      </c>
      <c r="Z6754">
        <v>1</v>
      </c>
      <c r="AA6754">
        <v>1</v>
      </c>
      <c r="AB6754">
        <v>1</v>
      </c>
    </row>
    <row r="6755" spans="1:28" x14ac:dyDescent="0.25">
      <c r="A6755" t="str">
        <f>"6751"</f>
        <v>6751</v>
      </c>
      <c r="B6755" t="str">
        <f t="shared" si="392"/>
        <v>1</v>
      </c>
      <c r="C6755" t="str">
        <f t="shared" si="391"/>
        <v>295</v>
      </c>
      <c r="D6755" t="str">
        <f>"10"</f>
        <v>10</v>
      </c>
      <c r="E6755" t="str">
        <f>"1-295-10"</f>
        <v>1-295-10</v>
      </c>
      <c r="F6755" t="s">
        <v>83</v>
      </c>
      <c r="G6755" t="s">
        <v>88</v>
      </c>
      <c r="H6755" t="s">
        <v>95</v>
      </c>
      <c r="I6755">
        <v>1</v>
      </c>
      <c r="K6755">
        <v>0</v>
      </c>
      <c r="L6755">
        <v>0</v>
      </c>
      <c r="M6755">
        <v>1</v>
      </c>
      <c r="N6755">
        <v>1</v>
      </c>
      <c r="O6755">
        <v>1</v>
      </c>
      <c r="P6755">
        <v>1</v>
      </c>
      <c r="Q6755">
        <v>1</v>
      </c>
      <c r="R6755">
        <v>1</v>
      </c>
      <c r="S6755">
        <v>1</v>
      </c>
      <c r="T6755">
        <v>1</v>
      </c>
      <c r="W6755">
        <v>1</v>
      </c>
      <c r="X6755">
        <v>1</v>
      </c>
      <c r="Y6755">
        <v>1</v>
      </c>
      <c r="Z6755">
        <v>1</v>
      </c>
      <c r="AA6755">
        <v>1</v>
      </c>
      <c r="AB6755">
        <v>1</v>
      </c>
    </row>
    <row r="6756" spans="1:28" x14ac:dyDescent="0.25">
      <c r="A6756" t="str">
        <f>"6752"</f>
        <v>6752</v>
      </c>
      <c r="B6756" t="str">
        <f t="shared" si="392"/>
        <v>1</v>
      </c>
      <c r="C6756" t="str">
        <f t="shared" si="391"/>
        <v>295</v>
      </c>
      <c r="D6756" t="str">
        <f>"1"</f>
        <v>1</v>
      </c>
      <c r="E6756" t="str">
        <f>"1-295-1"</f>
        <v>1-295-1</v>
      </c>
      <c r="F6756" t="s">
        <v>83</v>
      </c>
      <c r="G6756" t="s">
        <v>84</v>
      </c>
      <c r="H6756" t="s">
        <v>92</v>
      </c>
      <c r="I6756">
        <v>1</v>
      </c>
      <c r="J6756">
        <v>1</v>
      </c>
      <c r="N6756">
        <v>1</v>
      </c>
      <c r="O6756">
        <v>1</v>
      </c>
      <c r="P6756">
        <v>1</v>
      </c>
      <c r="Q6756">
        <v>1</v>
      </c>
      <c r="R6756">
        <v>1</v>
      </c>
      <c r="S6756">
        <v>1</v>
      </c>
      <c r="T6756">
        <v>1</v>
      </c>
      <c r="W6756">
        <v>1</v>
      </c>
      <c r="X6756">
        <v>1</v>
      </c>
      <c r="Y6756">
        <v>1</v>
      </c>
      <c r="Z6756">
        <v>1</v>
      </c>
      <c r="AA6756">
        <v>1</v>
      </c>
      <c r="AB6756">
        <v>1</v>
      </c>
    </row>
    <row r="6757" spans="1:28" x14ac:dyDescent="0.25">
      <c r="A6757" t="str">
        <f>"6753"</f>
        <v>6753</v>
      </c>
      <c r="B6757" t="str">
        <f t="shared" si="392"/>
        <v>1</v>
      </c>
      <c r="C6757" t="str">
        <f t="shared" si="391"/>
        <v>295</v>
      </c>
      <c r="D6757" t="str">
        <f>"11"</f>
        <v>11</v>
      </c>
      <c r="E6757" t="str">
        <f>"1-295-11"</f>
        <v>1-295-11</v>
      </c>
      <c r="F6757" t="s">
        <v>83</v>
      </c>
      <c r="G6757" t="s">
        <v>84</v>
      </c>
      <c r="H6757" t="s">
        <v>92</v>
      </c>
      <c r="I6757">
        <v>1</v>
      </c>
      <c r="J6757">
        <v>1</v>
      </c>
      <c r="N6757">
        <v>1</v>
      </c>
      <c r="O6757">
        <v>1</v>
      </c>
      <c r="P6757">
        <v>1</v>
      </c>
      <c r="Q6757">
        <v>1</v>
      </c>
      <c r="R6757">
        <v>1</v>
      </c>
      <c r="S6757">
        <v>1</v>
      </c>
      <c r="T6757">
        <v>1</v>
      </c>
      <c r="W6757">
        <v>1</v>
      </c>
      <c r="X6757">
        <v>1</v>
      </c>
      <c r="Y6757">
        <v>1</v>
      </c>
      <c r="Z6757">
        <v>1</v>
      </c>
      <c r="AA6757">
        <v>1</v>
      </c>
      <c r="AB6757">
        <v>1</v>
      </c>
    </row>
    <row r="6758" spans="1:28" x14ac:dyDescent="0.25">
      <c r="A6758" t="str">
        <f>"6754"</f>
        <v>6754</v>
      </c>
      <c r="B6758" t="str">
        <f t="shared" si="392"/>
        <v>1</v>
      </c>
      <c r="C6758" t="str">
        <f t="shared" si="391"/>
        <v>295</v>
      </c>
      <c r="D6758" t="str">
        <f>"5"</f>
        <v>5</v>
      </c>
      <c r="E6758" t="str">
        <f>"1-295-5"</f>
        <v>1-295-5</v>
      </c>
      <c r="F6758" t="s">
        <v>83</v>
      </c>
      <c r="G6758" t="s">
        <v>84</v>
      </c>
      <c r="H6758" t="s">
        <v>92</v>
      </c>
      <c r="I6758">
        <v>1</v>
      </c>
      <c r="J6758">
        <v>1</v>
      </c>
      <c r="N6758">
        <v>1</v>
      </c>
      <c r="O6758">
        <v>1</v>
      </c>
      <c r="P6758">
        <v>1</v>
      </c>
      <c r="Q6758">
        <v>1</v>
      </c>
      <c r="R6758">
        <v>1</v>
      </c>
      <c r="S6758">
        <v>1</v>
      </c>
      <c r="T6758">
        <v>1</v>
      </c>
      <c r="W6758">
        <v>1</v>
      </c>
      <c r="X6758">
        <v>1</v>
      </c>
      <c r="Y6758">
        <v>1</v>
      </c>
      <c r="Z6758">
        <v>1</v>
      </c>
      <c r="AA6758">
        <v>1</v>
      </c>
      <c r="AB6758">
        <v>1</v>
      </c>
    </row>
    <row r="6759" spans="1:28" x14ac:dyDescent="0.25">
      <c r="A6759" t="str">
        <f>"6755"</f>
        <v>6755</v>
      </c>
      <c r="B6759" t="str">
        <f t="shared" si="392"/>
        <v>1</v>
      </c>
      <c r="C6759" t="str">
        <f t="shared" si="391"/>
        <v>295</v>
      </c>
      <c r="D6759" t="str">
        <f>"12"</f>
        <v>12</v>
      </c>
      <c r="E6759" t="str">
        <f>"1-295-12"</f>
        <v>1-295-12</v>
      </c>
      <c r="F6759" t="s">
        <v>83</v>
      </c>
      <c r="G6759" t="s">
        <v>84</v>
      </c>
      <c r="H6759" t="s">
        <v>92</v>
      </c>
      <c r="I6759">
        <v>1</v>
      </c>
      <c r="J6759">
        <v>1</v>
      </c>
      <c r="N6759">
        <v>1</v>
      </c>
      <c r="O6759">
        <v>1</v>
      </c>
      <c r="P6759">
        <v>1</v>
      </c>
      <c r="Q6759">
        <v>1</v>
      </c>
      <c r="R6759">
        <v>1</v>
      </c>
      <c r="S6759">
        <v>1</v>
      </c>
      <c r="T6759">
        <v>1</v>
      </c>
      <c r="W6759">
        <v>0</v>
      </c>
      <c r="X6759">
        <v>1</v>
      </c>
      <c r="Y6759">
        <v>0</v>
      </c>
      <c r="Z6759">
        <v>1</v>
      </c>
      <c r="AA6759">
        <v>1</v>
      </c>
      <c r="AB6759">
        <v>0</v>
      </c>
    </row>
    <row r="6760" spans="1:28" x14ac:dyDescent="0.25">
      <c r="A6760" t="str">
        <f>"6756"</f>
        <v>6756</v>
      </c>
      <c r="B6760" t="str">
        <f t="shared" si="392"/>
        <v>1</v>
      </c>
      <c r="C6760" t="str">
        <f t="shared" si="391"/>
        <v>295</v>
      </c>
      <c r="D6760" t="str">
        <f>"2"</f>
        <v>2</v>
      </c>
      <c r="E6760" t="str">
        <f>"1-295-2"</f>
        <v>1-295-2</v>
      </c>
      <c r="F6760" t="s">
        <v>83</v>
      </c>
      <c r="G6760" t="s">
        <v>84</v>
      </c>
      <c r="H6760" t="s">
        <v>92</v>
      </c>
      <c r="I6760">
        <v>1</v>
      </c>
      <c r="J6760">
        <v>1</v>
      </c>
      <c r="N6760">
        <v>1</v>
      </c>
      <c r="O6760">
        <v>1</v>
      </c>
      <c r="P6760">
        <v>1</v>
      </c>
      <c r="Q6760">
        <v>1</v>
      </c>
      <c r="R6760">
        <v>1</v>
      </c>
      <c r="S6760">
        <v>1</v>
      </c>
      <c r="T6760">
        <v>1</v>
      </c>
      <c r="W6760">
        <v>1</v>
      </c>
      <c r="X6760">
        <v>1</v>
      </c>
      <c r="Y6760">
        <v>1</v>
      </c>
      <c r="Z6760">
        <v>1</v>
      </c>
      <c r="AA6760">
        <v>1</v>
      </c>
      <c r="AB6760">
        <v>1</v>
      </c>
    </row>
    <row r="6761" spans="1:28" x14ac:dyDescent="0.25">
      <c r="A6761" t="str">
        <f>"6757"</f>
        <v>6757</v>
      </c>
      <c r="B6761" t="str">
        <f t="shared" si="392"/>
        <v>1</v>
      </c>
      <c r="C6761" t="str">
        <f t="shared" si="391"/>
        <v>295</v>
      </c>
      <c r="D6761" t="str">
        <f>"6"</f>
        <v>6</v>
      </c>
      <c r="E6761" t="str">
        <f>"1-295-6"</f>
        <v>1-295-6</v>
      </c>
      <c r="F6761" t="s">
        <v>83</v>
      </c>
      <c r="G6761" t="s">
        <v>84</v>
      </c>
      <c r="H6761" t="s">
        <v>92</v>
      </c>
      <c r="I6761">
        <v>1</v>
      </c>
      <c r="J6761">
        <v>1</v>
      </c>
      <c r="N6761">
        <v>1</v>
      </c>
      <c r="O6761">
        <v>1</v>
      </c>
      <c r="P6761">
        <v>1</v>
      </c>
      <c r="Q6761">
        <v>1</v>
      </c>
      <c r="R6761">
        <v>1</v>
      </c>
      <c r="S6761">
        <v>1</v>
      </c>
      <c r="T6761">
        <v>1</v>
      </c>
      <c r="W6761">
        <v>1</v>
      </c>
      <c r="X6761">
        <v>1</v>
      </c>
      <c r="Y6761">
        <v>1</v>
      </c>
      <c r="Z6761">
        <v>1</v>
      </c>
      <c r="AA6761">
        <v>1</v>
      </c>
      <c r="AB6761">
        <v>1</v>
      </c>
    </row>
    <row r="6762" spans="1:28" x14ac:dyDescent="0.25">
      <c r="A6762" t="str">
        <f>"6758"</f>
        <v>6758</v>
      </c>
      <c r="B6762" t="str">
        <f t="shared" si="392"/>
        <v>1</v>
      </c>
      <c r="C6762" t="str">
        <f t="shared" si="391"/>
        <v>295</v>
      </c>
      <c r="D6762" t="str">
        <f>"3"</f>
        <v>3</v>
      </c>
      <c r="E6762" t="str">
        <f>"1-295-3"</f>
        <v>1-295-3</v>
      </c>
      <c r="F6762" t="s">
        <v>83</v>
      </c>
      <c r="G6762" t="s">
        <v>84</v>
      </c>
      <c r="H6762" t="s">
        <v>92</v>
      </c>
      <c r="I6762">
        <v>1</v>
      </c>
      <c r="J6762">
        <v>1</v>
      </c>
      <c r="N6762">
        <v>1</v>
      </c>
      <c r="O6762">
        <v>1</v>
      </c>
      <c r="P6762">
        <v>1</v>
      </c>
      <c r="Q6762">
        <v>1</v>
      </c>
      <c r="R6762">
        <v>1</v>
      </c>
      <c r="S6762">
        <v>1</v>
      </c>
      <c r="T6762">
        <v>1</v>
      </c>
      <c r="W6762">
        <v>1</v>
      </c>
      <c r="X6762">
        <v>1</v>
      </c>
      <c r="Y6762">
        <v>1</v>
      </c>
      <c r="Z6762">
        <v>1</v>
      </c>
      <c r="AA6762">
        <v>1</v>
      </c>
      <c r="AB6762">
        <v>1</v>
      </c>
    </row>
    <row r="6763" spans="1:28" x14ac:dyDescent="0.25">
      <c r="A6763" t="str">
        <f>"6759"</f>
        <v>6759</v>
      </c>
      <c r="B6763" t="str">
        <f t="shared" si="392"/>
        <v>1</v>
      </c>
      <c r="C6763" t="str">
        <f t="shared" ref="C6763:C6787" si="393">"296"</f>
        <v>296</v>
      </c>
      <c r="D6763" t="str">
        <f>"21"</f>
        <v>21</v>
      </c>
      <c r="E6763" t="str">
        <f>"1-296-21"</f>
        <v>1-296-21</v>
      </c>
      <c r="F6763" t="s">
        <v>83</v>
      </c>
      <c r="G6763" t="s">
        <v>88</v>
      </c>
      <c r="H6763" t="s">
        <v>95</v>
      </c>
      <c r="I6763">
        <v>1</v>
      </c>
      <c r="K6763">
        <v>0</v>
      </c>
      <c r="L6763">
        <v>0</v>
      </c>
      <c r="M6763">
        <v>1</v>
      </c>
      <c r="N6763">
        <v>1</v>
      </c>
      <c r="O6763">
        <v>1</v>
      </c>
      <c r="P6763">
        <v>1</v>
      </c>
      <c r="Q6763">
        <v>1</v>
      </c>
      <c r="R6763">
        <v>1</v>
      </c>
      <c r="S6763">
        <v>1</v>
      </c>
      <c r="T6763">
        <v>1</v>
      </c>
      <c r="W6763">
        <v>1</v>
      </c>
      <c r="X6763">
        <v>1</v>
      </c>
      <c r="Y6763">
        <v>1</v>
      </c>
      <c r="Z6763">
        <v>1</v>
      </c>
      <c r="AA6763">
        <v>1</v>
      </c>
      <c r="AB6763">
        <v>1</v>
      </c>
    </row>
    <row r="6764" spans="1:28" x14ac:dyDescent="0.25">
      <c r="A6764" t="str">
        <f>"6760"</f>
        <v>6760</v>
      </c>
      <c r="B6764" t="str">
        <f t="shared" si="392"/>
        <v>1</v>
      </c>
      <c r="C6764" t="str">
        <f t="shared" si="393"/>
        <v>296</v>
      </c>
      <c r="D6764" t="str">
        <f>"20"</f>
        <v>20</v>
      </c>
      <c r="E6764" t="str">
        <f>"1-296-20"</f>
        <v>1-296-20</v>
      </c>
      <c r="F6764" t="s">
        <v>83</v>
      </c>
      <c r="G6764" t="s">
        <v>84</v>
      </c>
      <c r="H6764" t="s">
        <v>92</v>
      </c>
      <c r="I6764">
        <v>1</v>
      </c>
      <c r="J6764">
        <v>1</v>
      </c>
      <c r="N6764">
        <v>1</v>
      </c>
      <c r="O6764">
        <v>1</v>
      </c>
      <c r="P6764">
        <v>1</v>
      </c>
      <c r="Q6764">
        <v>1</v>
      </c>
      <c r="R6764">
        <v>1</v>
      </c>
      <c r="S6764">
        <v>1</v>
      </c>
      <c r="T6764">
        <v>1</v>
      </c>
      <c r="W6764">
        <v>1</v>
      </c>
      <c r="X6764">
        <v>1</v>
      </c>
      <c r="Y6764">
        <v>1</v>
      </c>
      <c r="Z6764">
        <v>1</v>
      </c>
      <c r="AA6764">
        <v>1</v>
      </c>
      <c r="AB6764">
        <v>1</v>
      </c>
    </row>
    <row r="6765" spans="1:28" x14ac:dyDescent="0.25">
      <c r="A6765" t="str">
        <f>"6761"</f>
        <v>6761</v>
      </c>
      <c r="B6765" t="str">
        <f t="shared" si="392"/>
        <v>1</v>
      </c>
      <c r="C6765" t="str">
        <f t="shared" si="393"/>
        <v>296</v>
      </c>
      <c r="D6765" t="str">
        <f>"13"</f>
        <v>13</v>
      </c>
      <c r="E6765" t="str">
        <f>"1-296-13"</f>
        <v>1-296-13</v>
      </c>
      <c r="F6765" t="s">
        <v>83</v>
      </c>
      <c r="G6765" t="s">
        <v>84</v>
      </c>
      <c r="H6765" t="s">
        <v>92</v>
      </c>
      <c r="I6765">
        <v>1</v>
      </c>
      <c r="J6765">
        <v>1</v>
      </c>
      <c r="N6765">
        <v>1</v>
      </c>
      <c r="O6765">
        <v>1</v>
      </c>
      <c r="P6765">
        <v>0</v>
      </c>
      <c r="Q6765">
        <v>1</v>
      </c>
      <c r="R6765">
        <v>0</v>
      </c>
      <c r="S6765">
        <v>1</v>
      </c>
      <c r="T6765">
        <v>0</v>
      </c>
      <c r="W6765">
        <v>0</v>
      </c>
      <c r="X6765">
        <v>1</v>
      </c>
      <c r="Y6765">
        <v>0</v>
      </c>
      <c r="Z6765">
        <v>1</v>
      </c>
      <c r="AA6765">
        <v>0</v>
      </c>
      <c r="AB6765">
        <v>0</v>
      </c>
    </row>
    <row r="6766" spans="1:28" x14ac:dyDescent="0.25">
      <c r="A6766" t="str">
        <f>"6762"</f>
        <v>6762</v>
      </c>
      <c r="B6766" t="str">
        <f t="shared" si="392"/>
        <v>1</v>
      </c>
      <c r="C6766" t="str">
        <f t="shared" si="393"/>
        <v>296</v>
      </c>
      <c r="D6766" t="str">
        <f>"8"</f>
        <v>8</v>
      </c>
      <c r="E6766" t="str">
        <f>"1-296-8"</f>
        <v>1-296-8</v>
      </c>
      <c r="F6766" t="s">
        <v>83</v>
      </c>
      <c r="G6766" t="s">
        <v>84</v>
      </c>
      <c r="H6766" t="s">
        <v>92</v>
      </c>
      <c r="I6766">
        <v>1</v>
      </c>
      <c r="J6766">
        <v>1</v>
      </c>
      <c r="N6766">
        <v>1</v>
      </c>
      <c r="O6766">
        <v>1</v>
      </c>
      <c r="P6766">
        <v>1</v>
      </c>
      <c r="Q6766">
        <v>1</v>
      </c>
      <c r="R6766">
        <v>1</v>
      </c>
      <c r="S6766">
        <v>1</v>
      </c>
      <c r="T6766">
        <v>1</v>
      </c>
      <c r="W6766">
        <v>1</v>
      </c>
      <c r="X6766">
        <v>1</v>
      </c>
      <c r="Y6766">
        <v>1</v>
      </c>
      <c r="Z6766">
        <v>1</v>
      </c>
      <c r="AA6766">
        <v>1</v>
      </c>
      <c r="AB6766">
        <v>1</v>
      </c>
    </row>
    <row r="6767" spans="1:28" x14ac:dyDescent="0.25">
      <c r="A6767" t="str">
        <f>"6763"</f>
        <v>6763</v>
      </c>
      <c r="B6767" t="str">
        <f t="shared" si="392"/>
        <v>1</v>
      </c>
      <c r="C6767" t="str">
        <f t="shared" si="393"/>
        <v>296</v>
      </c>
      <c r="D6767" t="str">
        <f>"5"</f>
        <v>5</v>
      </c>
      <c r="E6767" t="str">
        <f>"1-296-5"</f>
        <v>1-296-5</v>
      </c>
      <c r="F6767" t="s">
        <v>83</v>
      </c>
      <c r="G6767" t="s">
        <v>84</v>
      </c>
      <c r="H6767" t="s">
        <v>92</v>
      </c>
      <c r="I6767">
        <v>1</v>
      </c>
      <c r="J6767">
        <v>1</v>
      </c>
      <c r="N6767">
        <v>1</v>
      </c>
      <c r="O6767">
        <v>1</v>
      </c>
      <c r="P6767">
        <v>1</v>
      </c>
      <c r="Q6767">
        <v>1</v>
      </c>
      <c r="R6767">
        <v>1</v>
      </c>
      <c r="S6767">
        <v>1</v>
      </c>
      <c r="T6767">
        <v>1</v>
      </c>
      <c r="W6767">
        <v>1</v>
      </c>
      <c r="X6767">
        <v>1</v>
      </c>
      <c r="Y6767">
        <v>1</v>
      </c>
      <c r="Z6767">
        <v>1</v>
      </c>
      <c r="AA6767">
        <v>1</v>
      </c>
      <c r="AB6767">
        <v>1</v>
      </c>
    </row>
    <row r="6768" spans="1:28" x14ac:dyDescent="0.25">
      <c r="A6768" t="str">
        <f>"6764"</f>
        <v>6764</v>
      </c>
      <c r="B6768" t="str">
        <f t="shared" si="392"/>
        <v>1</v>
      </c>
      <c r="C6768" t="str">
        <f t="shared" si="393"/>
        <v>296</v>
      </c>
      <c r="D6768" t="str">
        <f>"23"</f>
        <v>23</v>
      </c>
      <c r="E6768" t="str">
        <f>"1-296-23"</f>
        <v>1-296-23</v>
      </c>
      <c r="F6768" t="s">
        <v>83</v>
      </c>
      <c r="G6768" t="s">
        <v>84</v>
      </c>
      <c r="H6768" t="s">
        <v>92</v>
      </c>
      <c r="I6768">
        <v>1</v>
      </c>
      <c r="J6768">
        <v>1</v>
      </c>
      <c r="N6768">
        <v>1</v>
      </c>
      <c r="O6768">
        <v>1</v>
      </c>
      <c r="P6768">
        <v>1</v>
      </c>
      <c r="Q6768">
        <v>1</v>
      </c>
      <c r="R6768">
        <v>1</v>
      </c>
      <c r="S6768">
        <v>1</v>
      </c>
      <c r="T6768">
        <v>1</v>
      </c>
      <c r="W6768">
        <v>1</v>
      </c>
      <c r="X6768">
        <v>1</v>
      </c>
      <c r="Y6768">
        <v>1</v>
      </c>
      <c r="Z6768">
        <v>1</v>
      </c>
      <c r="AA6768">
        <v>1</v>
      </c>
      <c r="AB6768">
        <v>1</v>
      </c>
    </row>
    <row r="6769" spans="1:28" x14ac:dyDescent="0.25">
      <c r="A6769" t="str">
        <f>"6765"</f>
        <v>6765</v>
      </c>
      <c r="B6769" t="str">
        <f t="shared" si="392"/>
        <v>1</v>
      </c>
      <c r="C6769" t="str">
        <f t="shared" si="393"/>
        <v>296</v>
      </c>
      <c r="D6769" t="str">
        <f>"22"</f>
        <v>22</v>
      </c>
      <c r="E6769" t="str">
        <f>"1-296-22"</f>
        <v>1-296-22</v>
      </c>
      <c r="F6769" t="s">
        <v>83</v>
      </c>
      <c r="G6769" t="s">
        <v>84</v>
      </c>
      <c r="H6769" t="s">
        <v>92</v>
      </c>
      <c r="I6769">
        <v>1</v>
      </c>
      <c r="J6769">
        <v>1</v>
      </c>
      <c r="N6769">
        <v>1</v>
      </c>
      <c r="O6769">
        <v>1</v>
      </c>
      <c r="P6769">
        <v>1</v>
      </c>
      <c r="Q6769">
        <v>1</v>
      </c>
      <c r="R6769">
        <v>1</v>
      </c>
      <c r="S6769">
        <v>1</v>
      </c>
      <c r="T6769">
        <v>1</v>
      </c>
      <c r="W6769">
        <v>1</v>
      </c>
      <c r="X6769">
        <v>1</v>
      </c>
      <c r="Y6769">
        <v>1</v>
      </c>
      <c r="Z6769">
        <v>1</v>
      </c>
      <c r="AA6769">
        <v>1</v>
      </c>
      <c r="AB6769">
        <v>1</v>
      </c>
    </row>
    <row r="6770" spans="1:28" x14ac:dyDescent="0.25">
      <c r="A6770" t="str">
        <f>"6766"</f>
        <v>6766</v>
      </c>
      <c r="B6770" t="str">
        <f t="shared" si="392"/>
        <v>1</v>
      </c>
      <c r="C6770" t="str">
        <f t="shared" si="393"/>
        <v>296</v>
      </c>
      <c r="D6770" t="str">
        <f>"14"</f>
        <v>14</v>
      </c>
      <c r="E6770" t="str">
        <f>"1-296-14"</f>
        <v>1-296-14</v>
      </c>
      <c r="F6770" t="s">
        <v>83</v>
      </c>
      <c r="G6770" t="s">
        <v>84</v>
      </c>
      <c r="H6770" t="s">
        <v>92</v>
      </c>
      <c r="I6770">
        <v>1</v>
      </c>
      <c r="J6770">
        <v>1</v>
      </c>
      <c r="N6770">
        <v>1</v>
      </c>
      <c r="O6770">
        <v>1</v>
      </c>
      <c r="P6770">
        <v>1</v>
      </c>
      <c r="Q6770">
        <v>1</v>
      </c>
      <c r="R6770">
        <v>1</v>
      </c>
      <c r="S6770">
        <v>1</v>
      </c>
      <c r="T6770">
        <v>1</v>
      </c>
      <c r="W6770">
        <v>1</v>
      </c>
      <c r="X6770">
        <v>1</v>
      </c>
      <c r="Y6770">
        <v>1</v>
      </c>
      <c r="Z6770">
        <v>1</v>
      </c>
      <c r="AA6770">
        <v>1</v>
      </c>
      <c r="AB6770">
        <v>1</v>
      </c>
    </row>
    <row r="6771" spans="1:28" x14ac:dyDescent="0.25">
      <c r="A6771" t="str">
        <f>"6767"</f>
        <v>6767</v>
      </c>
      <c r="B6771" t="str">
        <f t="shared" si="392"/>
        <v>1</v>
      </c>
      <c r="C6771" t="str">
        <f t="shared" si="393"/>
        <v>296</v>
      </c>
      <c r="D6771" t="str">
        <f>"9"</f>
        <v>9</v>
      </c>
      <c r="E6771" t="str">
        <f>"1-296-9"</f>
        <v>1-296-9</v>
      </c>
      <c r="F6771" t="s">
        <v>83</v>
      </c>
      <c r="G6771" t="s">
        <v>84</v>
      </c>
      <c r="H6771" t="s">
        <v>92</v>
      </c>
      <c r="I6771">
        <v>1</v>
      </c>
      <c r="J6771">
        <v>1</v>
      </c>
      <c r="N6771">
        <v>1</v>
      </c>
      <c r="O6771">
        <v>1</v>
      </c>
      <c r="P6771">
        <v>1</v>
      </c>
      <c r="Q6771">
        <v>1</v>
      </c>
      <c r="R6771">
        <v>1</v>
      </c>
      <c r="S6771">
        <v>1</v>
      </c>
      <c r="T6771">
        <v>1</v>
      </c>
      <c r="W6771">
        <v>1</v>
      </c>
      <c r="X6771">
        <v>1</v>
      </c>
      <c r="Y6771">
        <v>1</v>
      </c>
      <c r="Z6771">
        <v>1</v>
      </c>
      <c r="AA6771">
        <v>1</v>
      </c>
      <c r="AB6771">
        <v>1</v>
      </c>
    </row>
    <row r="6772" spans="1:28" x14ac:dyDescent="0.25">
      <c r="A6772" t="str">
        <f>"6768"</f>
        <v>6768</v>
      </c>
      <c r="B6772" t="str">
        <f t="shared" si="392"/>
        <v>1</v>
      </c>
      <c r="C6772" t="str">
        <f t="shared" si="393"/>
        <v>296</v>
      </c>
      <c r="D6772" t="str">
        <f>"3"</f>
        <v>3</v>
      </c>
      <c r="E6772" t="str">
        <f>"1-296-3"</f>
        <v>1-296-3</v>
      </c>
      <c r="F6772" t="s">
        <v>83</v>
      </c>
      <c r="G6772" t="s">
        <v>84</v>
      </c>
      <c r="H6772" t="s">
        <v>92</v>
      </c>
      <c r="I6772">
        <v>1</v>
      </c>
      <c r="J6772">
        <v>1</v>
      </c>
      <c r="N6772">
        <v>1</v>
      </c>
      <c r="O6772">
        <v>1</v>
      </c>
      <c r="P6772">
        <v>1</v>
      </c>
      <c r="Q6772">
        <v>1</v>
      </c>
      <c r="R6772">
        <v>1</v>
      </c>
      <c r="S6772">
        <v>1</v>
      </c>
      <c r="T6772">
        <v>1</v>
      </c>
      <c r="W6772">
        <v>1</v>
      </c>
      <c r="X6772">
        <v>1</v>
      </c>
      <c r="Y6772">
        <v>1</v>
      </c>
      <c r="Z6772">
        <v>1</v>
      </c>
      <c r="AA6772">
        <v>1</v>
      </c>
      <c r="AB6772">
        <v>1</v>
      </c>
    </row>
    <row r="6773" spans="1:28" x14ac:dyDescent="0.25">
      <c r="A6773" t="str">
        <f>"6769"</f>
        <v>6769</v>
      </c>
      <c r="B6773" t="str">
        <f t="shared" si="392"/>
        <v>1</v>
      </c>
      <c r="C6773" t="str">
        <f t="shared" si="393"/>
        <v>296</v>
      </c>
      <c r="D6773" t="str">
        <f>"25"</f>
        <v>25</v>
      </c>
      <c r="E6773" t="str">
        <f>"1-296-25"</f>
        <v>1-296-25</v>
      </c>
      <c r="F6773" t="s">
        <v>83</v>
      </c>
      <c r="G6773" t="s">
        <v>84</v>
      </c>
      <c r="H6773" t="s">
        <v>92</v>
      </c>
      <c r="I6773">
        <v>1</v>
      </c>
      <c r="J6773">
        <v>1</v>
      </c>
      <c r="N6773">
        <v>1</v>
      </c>
      <c r="O6773">
        <v>1</v>
      </c>
      <c r="P6773">
        <v>1</v>
      </c>
      <c r="Q6773">
        <v>1</v>
      </c>
      <c r="R6773">
        <v>1</v>
      </c>
      <c r="S6773">
        <v>1</v>
      </c>
      <c r="T6773">
        <v>1</v>
      </c>
      <c r="W6773">
        <v>1</v>
      </c>
      <c r="X6773">
        <v>1</v>
      </c>
      <c r="Y6773">
        <v>1</v>
      </c>
      <c r="Z6773">
        <v>1</v>
      </c>
      <c r="AA6773">
        <v>1</v>
      </c>
      <c r="AB6773">
        <v>1</v>
      </c>
    </row>
    <row r="6774" spans="1:28" x14ac:dyDescent="0.25">
      <c r="A6774" t="str">
        <f>"6770"</f>
        <v>6770</v>
      </c>
      <c r="B6774" t="str">
        <f t="shared" si="392"/>
        <v>1</v>
      </c>
      <c r="C6774" t="str">
        <f t="shared" si="393"/>
        <v>296</v>
      </c>
      <c r="D6774" t="str">
        <f>"24"</f>
        <v>24</v>
      </c>
      <c r="E6774" t="str">
        <f>"1-296-24"</f>
        <v>1-296-24</v>
      </c>
      <c r="F6774" t="s">
        <v>83</v>
      </c>
      <c r="G6774" t="s">
        <v>84</v>
      </c>
      <c r="H6774" t="s">
        <v>92</v>
      </c>
      <c r="I6774">
        <v>1</v>
      </c>
      <c r="J6774">
        <v>1</v>
      </c>
      <c r="N6774">
        <v>1</v>
      </c>
      <c r="O6774">
        <v>1</v>
      </c>
      <c r="P6774">
        <v>1</v>
      </c>
      <c r="Q6774">
        <v>1</v>
      </c>
      <c r="R6774">
        <v>1</v>
      </c>
      <c r="S6774">
        <v>1</v>
      </c>
      <c r="T6774">
        <v>1</v>
      </c>
      <c r="W6774">
        <v>1</v>
      </c>
      <c r="X6774">
        <v>1</v>
      </c>
      <c r="Y6774">
        <v>1</v>
      </c>
      <c r="Z6774">
        <v>1</v>
      </c>
      <c r="AA6774">
        <v>1</v>
      </c>
      <c r="AB6774">
        <v>1</v>
      </c>
    </row>
    <row r="6775" spans="1:28" x14ac:dyDescent="0.25">
      <c r="A6775" t="str">
        <f>"6771"</f>
        <v>6771</v>
      </c>
      <c r="B6775" t="str">
        <f t="shared" si="392"/>
        <v>1</v>
      </c>
      <c r="C6775" t="str">
        <f t="shared" si="393"/>
        <v>296</v>
      </c>
      <c r="D6775" t="str">
        <f>"15"</f>
        <v>15</v>
      </c>
      <c r="E6775" t="str">
        <f>"1-296-15"</f>
        <v>1-296-15</v>
      </c>
      <c r="F6775" t="s">
        <v>83</v>
      </c>
      <c r="G6775" t="s">
        <v>84</v>
      </c>
      <c r="H6775" t="s">
        <v>92</v>
      </c>
      <c r="I6775">
        <v>1</v>
      </c>
      <c r="J6775">
        <v>1</v>
      </c>
      <c r="N6775">
        <v>1</v>
      </c>
      <c r="O6775">
        <v>1</v>
      </c>
      <c r="P6775">
        <v>1</v>
      </c>
      <c r="Q6775">
        <v>1</v>
      </c>
      <c r="R6775">
        <v>1</v>
      </c>
      <c r="S6775">
        <v>1</v>
      </c>
      <c r="T6775">
        <v>1</v>
      </c>
      <c r="W6775">
        <v>1</v>
      </c>
      <c r="X6775">
        <v>1</v>
      </c>
      <c r="Y6775">
        <v>1</v>
      </c>
      <c r="Z6775">
        <v>1</v>
      </c>
      <c r="AA6775">
        <v>1</v>
      </c>
      <c r="AB6775">
        <v>1</v>
      </c>
    </row>
    <row r="6776" spans="1:28" x14ac:dyDescent="0.25">
      <c r="A6776" t="str">
        <f>"6772"</f>
        <v>6772</v>
      </c>
      <c r="B6776" t="str">
        <f t="shared" si="392"/>
        <v>1</v>
      </c>
      <c r="C6776" t="str">
        <f t="shared" si="393"/>
        <v>296</v>
      </c>
      <c r="D6776" t="str">
        <f>"10"</f>
        <v>10</v>
      </c>
      <c r="E6776" t="str">
        <f>"1-296-10"</f>
        <v>1-296-10</v>
      </c>
      <c r="F6776" t="s">
        <v>83</v>
      </c>
      <c r="G6776" t="s">
        <v>84</v>
      </c>
      <c r="H6776" t="s">
        <v>92</v>
      </c>
      <c r="I6776">
        <v>1</v>
      </c>
      <c r="J6776">
        <v>1</v>
      </c>
      <c r="N6776">
        <v>1</v>
      </c>
      <c r="O6776">
        <v>1</v>
      </c>
      <c r="P6776">
        <v>1</v>
      </c>
      <c r="Q6776">
        <v>1</v>
      </c>
      <c r="R6776">
        <v>1</v>
      </c>
      <c r="S6776">
        <v>1</v>
      </c>
      <c r="T6776">
        <v>1</v>
      </c>
      <c r="W6776">
        <v>1</v>
      </c>
      <c r="X6776">
        <v>1</v>
      </c>
      <c r="Y6776">
        <v>1</v>
      </c>
      <c r="Z6776">
        <v>1</v>
      </c>
      <c r="AA6776">
        <v>1</v>
      </c>
      <c r="AB6776">
        <v>1</v>
      </c>
    </row>
    <row r="6777" spans="1:28" x14ac:dyDescent="0.25">
      <c r="A6777" t="str">
        <f>"6773"</f>
        <v>6773</v>
      </c>
      <c r="B6777" t="str">
        <f t="shared" si="392"/>
        <v>1</v>
      </c>
      <c r="C6777" t="str">
        <f t="shared" si="393"/>
        <v>296</v>
      </c>
      <c r="D6777" t="str">
        <f>"6"</f>
        <v>6</v>
      </c>
      <c r="E6777" t="str">
        <f>"1-296-6"</f>
        <v>1-296-6</v>
      </c>
      <c r="F6777" t="s">
        <v>83</v>
      </c>
      <c r="G6777" t="s">
        <v>84</v>
      </c>
      <c r="H6777" t="s">
        <v>92</v>
      </c>
      <c r="I6777">
        <v>1</v>
      </c>
      <c r="J6777">
        <v>1</v>
      </c>
      <c r="N6777">
        <v>1</v>
      </c>
      <c r="O6777">
        <v>1</v>
      </c>
      <c r="P6777">
        <v>1</v>
      </c>
      <c r="Q6777">
        <v>1</v>
      </c>
      <c r="R6777">
        <v>1</v>
      </c>
      <c r="S6777">
        <v>1</v>
      </c>
      <c r="T6777">
        <v>1</v>
      </c>
      <c r="W6777">
        <v>1</v>
      </c>
      <c r="X6777">
        <v>1</v>
      </c>
      <c r="Y6777">
        <v>1</v>
      </c>
      <c r="Z6777">
        <v>1</v>
      </c>
      <c r="AA6777">
        <v>1</v>
      </c>
      <c r="AB6777">
        <v>1</v>
      </c>
    </row>
    <row r="6778" spans="1:28" x14ac:dyDescent="0.25">
      <c r="A6778" t="str">
        <f>"6774"</f>
        <v>6774</v>
      </c>
      <c r="B6778" t="str">
        <f t="shared" si="392"/>
        <v>1</v>
      </c>
      <c r="C6778" t="str">
        <f t="shared" si="393"/>
        <v>296</v>
      </c>
      <c r="D6778" t="str">
        <f>"16"</f>
        <v>16</v>
      </c>
      <c r="E6778" t="str">
        <f>"1-296-16"</f>
        <v>1-296-16</v>
      </c>
      <c r="F6778" t="s">
        <v>83</v>
      </c>
      <c r="G6778" t="s">
        <v>84</v>
      </c>
      <c r="H6778" t="s">
        <v>92</v>
      </c>
      <c r="I6778">
        <v>1</v>
      </c>
      <c r="J6778">
        <v>1</v>
      </c>
      <c r="N6778">
        <v>1</v>
      </c>
      <c r="O6778">
        <v>1</v>
      </c>
      <c r="P6778">
        <v>1</v>
      </c>
      <c r="Q6778">
        <v>1</v>
      </c>
      <c r="R6778">
        <v>1</v>
      </c>
      <c r="S6778">
        <v>1</v>
      </c>
      <c r="T6778">
        <v>1</v>
      </c>
      <c r="W6778">
        <v>1</v>
      </c>
      <c r="X6778">
        <v>1</v>
      </c>
      <c r="Y6778">
        <v>1</v>
      </c>
      <c r="Z6778">
        <v>1</v>
      </c>
      <c r="AA6778">
        <v>1</v>
      </c>
      <c r="AB6778">
        <v>1</v>
      </c>
    </row>
    <row r="6779" spans="1:28" x14ac:dyDescent="0.25">
      <c r="A6779" t="str">
        <f>"6775"</f>
        <v>6775</v>
      </c>
      <c r="B6779" t="str">
        <f t="shared" si="392"/>
        <v>1</v>
      </c>
      <c r="C6779" t="str">
        <f t="shared" si="393"/>
        <v>296</v>
      </c>
      <c r="D6779" t="str">
        <f>"11"</f>
        <v>11</v>
      </c>
      <c r="E6779" t="str">
        <f>"1-296-11"</f>
        <v>1-296-11</v>
      </c>
      <c r="F6779" t="s">
        <v>83</v>
      </c>
      <c r="G6779" t="s">
        <v>84</v>
      </c>
      <c r="H6779" t="s">
        <v>92</v>
      </c>
      <c r="I6779">
        <v>1</v>
      </c>
      <c r="J6779">
        <v>1</v>
      </c>
      <c r="N6779">
        <v>1</v>
      </c>
      <c r="O6779">
        <v>1</v>
      </c>
      <c r="P6779">
        <v>1</v>
      </c>
      <c r="Q6779">
        <v>1</v>
      </c>
      <c r="R6779">
        <v>1</v>
      </c>
      <c r="S6779">
        <v>1</v>
      </c>
      <c r="T6779">
        <v>1</v>
      </c>
      <c r="W6779">
        <v>1</v>
      </c>
      <c r="X6779">
        <v>1</v>
      </c>
      <c r="Y6779">
        <v>1</v>
      </c>
      <c r="Z6779">
        <v>1</v>
      </c>
      <c r="AA6779">
        <v>1</v>
      </c>
      <c r="AB6779">
        <v>1</v>
      </c>
    </row>
    <row r="6780" spans="1:28" x14ac:dyDescent="0.25">
      <c r="A6780" t="str">
        <f>"6776"</f>
        <v>6776</v>
      </c>
      <c r="B6780" t="str">
        <f t="shared" si="392"/>
        <v>1</v>
      </c>
      <c r="C6780" t="str">
        <f t="shared" si="393"/>
        <v>296</v>
      </c>
      <c r="D6780" t="str">
        <f>"1"</f>
        <v>1</v>
      </c>
      <c r="E6780" t="str">
        <f>"1-296-1"</f>
        <v>1-296-1</v>
      </c>
      <c r="F6780" t="s">
        <v>83</v>
      </c>
      <c r="G6780" t="s">
        <v>84</v>
      </c>
      <c r="H6780" t="s">
        <v>92</v>
      </c>
      <c r="I6780">
        <v>1</v>
      </c>
      <c r="J6780">
        <v>1</v>
      </c>
      <c r="N6780">
        <v>1</v>
      </c>
      <c r="O6780">
        <v>1</v>
      </c>
      <c r="P6780">
        <v>1</v>
      </c>
      <c r="Q6780">
        <v>1</v>
      </c>
      <c r="R6780">
        <v>1</v>
      </c>
      <c r="S6780">
        <v>1</v>
      </c>
      <c r="T6780">
        <v>1</v>
      </c>
      <c r="W6780">
        <v>1</v>
      </c>
      <c r="X6780">
        <v>1</v>
      </c>
      <c r="Y6780">
        <v>1</v>
      </c>
      <c r="Z6780">
        <v>1</v>
      </c>
      <c r="AA6780">
        <v>1</v>
      </c>
      <c r="AB6780">
        <v>0</v>
      </c>
    </row>
    <row r="6781" spans="1:28" x14ac:dyDescent="0.25">
      <c r="A6781" t="str">
        <f>"6777"</f>
        <v>6777</v>
      </c>
      <c r="B6781" t="str">
        <f t="shared" si="392"/>
        <v>1</v>
      </c>
      <c r="C6781" t="str">
        <f t="shared" si="393"/>
        <v>296</v>
      </c>
      <c r="D6781" t="str">
        <f>"17"</f>
        <v>17</v>
      </c>
      <c r="E6781" t="str">
        <f>"1-296-17"</f>
        <v>1-296-17</v>
      </c>
      <c r="F6781" t="s">
        <v>83</v>
      </c>
      <c r="G6781" t="s">
        <v>84</v>
      </c>
      <c r="H6781" t="s">
        <v>92</v>
      </c>
      <c r="I6781">
        <v>1</v>
      </c>
      <c r="J6781">
        <v>0</v>
      </c>
      <c r="N6781">
        <v>1</v>
      </c>
      <c r="O6781">
        <v>1</v>
      </c>
      <c r="P6781">
        <v>1</v>
      </c>
      <c r="Q6781">
        <v>1</v>
      </c>
      <c r="R6781">
        <v>1</v>
      </c>
      <c r="S6781">
        <v>1</v>
      </c>
      <c r="T6781">
        <v>1</v>
      </c>
      <c r="W6781">
        <v>1</v>
      </c>
      <c r="X6781">
        <v>1</v>
      </c>
      <c r="Y6781">
        <v>1</v>
      </c>
      <c r="Z6781">
        <v>1</v>
      </c>
      <c r="AA6781">
        <v>1</v>
      </c>
      <c r="AB6781">
        <v>1</v>
      </c>
    </row>
    <row r="6782" spans="1:28" x14ac:dyDescent="0.25">
      <c r="A6782" t="str">
        <f>"6778"</f>
        <v>6778</v>
      </c>
      <c r="B6782" t="str">
        <f t="shared" si="392"/>
        <v>1</v>
      </c>
      <c r="C6782" t="str">
        <f t="shared" si="393"/>
        <v>296</v>
      </c>
      <c r="D6782" t="str">
        <f>"12"</f>
        <v>12</v>
      </c>
      <c r="E6782" t="str">
        <f>"1-296-12"</f>
        <v>1-296-12</v>
      </c>
      <c r="F6782" t="s">
        <v>83</v>
      </c>
      <c r="G6782" t="s">
        <v>84</v>
      </c>
      <c r="H6782" t="s">
        <v>92</v>
      </c>
      <c r="I6782">
        <v>1</v>
      </c>
      <c r="J6782">
        <v>0</v>
      </c>
      <c r="N6782">
        <v>1</v>
      </c>
      <c r="O6782">
        <v>1</v>
      </c>
      <c r="P6782">
        <v>0</v>
      </c>
      <c r="Q6782">
        <v>1</v>
      </c>
      <c r="R6782">
        <v>0</v>
      </c>
      <c r="S6782">
        <v>1</v>
      </c>
      <c r="T6782">
        <v>0</v>
      </c>
      <c r="W6782">
        <v>0</v>
      </c>
      <c r="X6782">
        <v>1</v>
      </c>
      <c r="Y6782">
        <v>0</v>
      </c>
      <c r="Z6782">
        <v>0</v>
      </c>
      <c r="AA6782">
        <v>0</v>
      </c>
      <c r="AB6782">
        <v>0</v>
      </c>
    </row>
    <row r="6783" spans="1:28" x14ac:dyDescent="0.25">
      <c r="A6783" t="str">
        <f>"6779"</f>
        <v>6779</v>
      </c>
      <c r="B6783" t="str">
        <f t="shared" si="392"/>
        <v>1</v>
      </c>
      <c r="C6783" t="str">
        <f t="shared" si="393"/>
        <v>296</v>
      </c>
      <c r="D6783" t="str">
        <f>"7"</f>
        <v>7</v>
      </c>
      <c r="E6783" t="str">
        <f>"1-296-7"</f>
        <v>1-296-7</v>
      </c>
      <c r="F6783" t="s">
        <v>83</v>
      </c>
      <c r="G6783" t="s">
        <v>84</v>
      </c>
      <c r="H6783" t="s">
        <v>92</v>
      </c>
      <c r="I6783">
        <v>1</v>
      </c>
      <c r="J6783">
        <v>1</v>
      </c>
      <c r="N6783">
        <v>1</v>
      </c>
      <c r="O6783">
        <v>1</v>
      </c>
      <c r="P6783">
        <v>1</v>
      </c>
      <c r="Q6783">
        <v>1</v>
      </c>
      <c r="R6783">
        <v>1</v>
      </c>
      <c r="S6783">
        <v>1</v>
      </c>
      <c r="T6783">
        <v>1</v>
      </c>
      <c r="W6783">
        <v>1</v>
      </c>
      <c r="X6783">
        <v>1</v>
      </c>
      <c r="Y6783">
        <v>1</v>
      </c>
      <c r="Z6783">
        <v>1</v>
      </c>
      <c r="AA6783">
        <v>1</v>
      </c>
      <c r="AB6783">
        <v>1</v>
      </c>
    </row>
    <row r="6784" spans="1:28" x14ac:dyDescent="0.25">
      <c r="A6784" t="str">
        <f>"6780"</f>
        <v>6780</v>
      </c>
      <c r="B6784" t="str">
        <f t="shared" si="392"/>
        <v>1</v>
      </c>
      <c r="C6784" t="str">
        <f t="shared" si="393"/>
        <v>296</v>
      </c>
      <c r="D6784" t="str">
        <f>"18"</f>
        <v>18</v>
      </c>
      <c r="E6784" t="str">
        <f>"1-296-18"</f>
        <v>1-296-18</v>
      </c>
      <c r="F6784" t="s">
        <v>83</v>
      </c>
      <c r="G6784" t="s">
        <v>84</v>
      </c>
      <c r="H6784" t="s">
        <v>92</v>
      </c>
      <c r="I6784">
        <v>1</v>
      </c>
      <c r="J6784">
        <v>0</v>
      </c>
      <c r="N6784">
        <v>1</v>
      </c>
      <c r="O6784">
        <v>1</v>
      </c>
      <c r="P6784">
        <v>1</v>
      </c>
      <c r="Q6784">
        <v>1</v>
      </c>
      <c r="R6784">
        <v>1</v>
      </c>
      <c r="S6784">
        <v>1</v>
      </c>
      <c r="T6784">
        <v>1</v>
      </c>
      <c r="W6784">
        <v>1</v>
      </c>
      <c r="X6784">
        <v>1</v>
      </c>
      <c r="Y6784">
        <v>1</v>
      </c>
      <c r="Z6784">
        <v>1</v>
      </c>
      <c r="AA6784">
        <v>1</v>
      </c>
      <c r="AB6784">
        <v>1</v>
      </c>
    </row>
    <row r="6785" spans="1:49" x14ac:dyDescent="0.25">
      <c r="A6785" t="str">
        <f>"6781"</f>
        <v>6781</v>
      </c>
      <c r="B6785" t="str">
        <f t="shared" si="392"/>
        <v>1</v>
      </c>
      <c r="C6785" t="str">
        <f t="shared" si="393"/>
        <v>296</v>
      </c>
      <c r="D6785" t="str">
        <f>"2"</f>
        <v>2</v>
      </c>
      <c r="E6785" t="str">
        <f>"1-296-2"</f>
        <v>1-296-2</v>
      </c>
      <c r="F6785" t="s">
        <v>83</v>
      </c>
      <c r="G6785" t="s">
        <v>84</v>
      </c>
      <c r="H6785" t="s">
        <v>92</v>
      </c>
      <c r="I6785">
        <v>1</v>
      </c>
      <c r="J6785">
        <v>1</v>
      </c>
      <c r="N6785">
        <v>1</v>
      </c>
      <c r="O6785">
        <v>1</v>
      </c>
      <c r="P6785">
        <v>1</v>
      </c>
      <c r="Q6785">
        <v>1</v>
      </c>
      <c r="R6785">
        <v>1</v>
      </c>
      <c r="S6785">
        <v>1</v>
      </c>
      <c r="T6785">
        <v>1</v>
      </c>
      <c r="W6785">
        <v>1</v>
      </c>
      <c r="X6785">
        <v>1</v>
      </c>
      <c r="Y6785">
        <v>1</v>
      </c>
      <c r="Z6785">
        <v>1</v>
      </c>
      <c r="AA6785">
        <v>1</v>
      </c>
      <c r="AB6785">
        <v>1</v>
      </c>
    </row>
    <row r="6786" spans="1:49" x14ac:dyDescent="0.25">
      <c r="A6786" t="str">
        <f>"6782"</f>
        <v>6782</v>
      </c>
      <c r="B6786" t="str">
        <f t="shared" si="392"/>
        <v>1</v>
      </c>
      <c r="C6786" t="str">
        <f t="shared" si="393"/>
        <v>296</v>
      </c>
      <c r="D6786" t="str">
        <f>"19"</f>
        <v>19</v>
      </c>
      <c r="E6786" t="str">
        <f>"1-296-19"</f>
        <v>1-296-19</v>
      </c>
      <c r="F6786" t="s">
        <v>83</v>
      </c>
      <c r="G6786" t="s">
        <v>84</v>
      </c>
      <c r="H6786" t="s">
        <v>92</v>
      </c>
      <c r="I6786">
        <v>1</v>
      </c>
      <c r="J6786">
        <v>1</v>
      </c>
      <c r="N6786">
        <v>1</v>
      </c>
      <c r="O6786">
        <v>1</v>
      </c>
      <c r="P6786">
        <v>1</v>
      </c>
      <c r="Q6786">
        <v>1</v>
      </c>
      <c r="R6786">
        <v>1</v>
      </c>
      <c r="S6786">
        <v>1</v>
      </c>
      <c r="T6786">
        <v>1</v>
      </c>
      <c r="W6786">
        <v>1</v>
      </c>
      <c r="X6786">
        <v>1</v>
      </c>
      <c r="Y6786">
        <v>1</v>
      </c>
      <c r="Z6786">
        <v>1</v>
      </c>
      <c r="AA6786">
        <v>1</v>
      </c>
      <c r="AB6786">
        <v>1</v>
      </c>
    </row>
    <row r="6787" spans="1:49" x14ac:dyDescent="0.25">
      <c r="A6787" t="str">
        <f>"6783"</f>
        <v>6783</v>
      </c>
      <c r="B6787" t="str">
        <f t="shared" si="392"/>
        <v>1</v>
      </c>
      <c r="C6787" t="str">
        <f t="shared" si="393"/>
        <v>296</v>
      </c>
      <c r="D6787" t="str">
        <f>"4"</f>
        <v>4</v>
      </c>
      <c r="E6787" t="str">
        <f>"1-296-4"</f>
        <v>1-296-4</v>
      </c>
      <c r="F6787" t="s">
        <v>83</v>
      </c>
      <c r="G6787" t="s">
        <v>84</v>
      </c>
      <c r="H6787" t="s">
        <v>92</v>
      </c>
      <c r="I6787">
        <v>1</v>
      </c>
      <c r="J6787">
        <v>1</v>
      </c>
      <c r="N6787">
        <v>1</v>
      </c>
      <c r="O6787">
        <v>1</v>
      </c>
      <c r="P6787">
        <v>1</v>
      </c>
      <c r="Q6787">
        <v>1</v>
      </c>
      <c r="R6787">
        <v>1</v>
      </c>
      <c r="S6787">
        <v>1</v>
      </c>
      <c r="T6787">
        <v>1</v>
      </c>
      <c r="W6787">
        <v>1</v>
      </c>
      <c r="X6787">
        <v>1</v>
      </c>
      <c r="Y6787">
        <v>1</v>
      </c>
      <c r="Z6787">
        <v>1</v>
      </c>
      <c r="AA6787">
        <v>1</v>
      </c>
      <c r="AB6787">
        <v>1</v>
      </c>
    </row>
    <row r="6788" spans="1:49" x14ac:dyDescent="0.25">
      <c r="A6788" t="str">
        <f>"6784"</f>
        <v>6784</v>
      </c>
      <c r="B6788" t="str">
        <f t="shared" si="392"/>
        <v>1</v>
      </c>
      <c r="C6788" t="str">
        <f t="shared" ref="C6788:C6807" si="394">"297"</f>
        <v>297</v>
      </c>
      <c r="D6788" t="str">
        <f>"20"</f>
        <v>20</v>
      </c>
      <c r="E6788" t="str">
        <f>"1-297-20"</f>
        <v>1-297-20</v>
      </c>
      <c r="F6788" t="s">
        <v>83</v>
      </c>
      <c r="G6788" t="s">
        <v>84</v>
      </c>
      <c r="H6788" t="s">
        <v>85</v>
      </c>
      <c r="AC6788">
        <v>0</v>
      </c>
      <c r="AD6788">
        <v>0</v>
      </c>
      <c r="AE6788">
        <v>0</v>
      </c>
      <c r="AF6788">
        <v>0</v>
      </c>
      <c r="AG6788">
        <v>1</v>
      </c>
      <c r="AJ6788">
        <v>0</v>
      </c>
      <c r="AK6788">
        <v>1</v>
      </c>
      <c r="AL6788">
        <v>0</v>
      </c>
      <c r="AM6788">
        <v>1</v>
      </c>
      <c r="AN6788">
        <v>0</v>
      </c>
      <c r="AO6788">
        <v>1</v>
      </c>
      <c r="AP6788">
        <v>1</v>
      </c>
      <c r="AQ6788">
        <v>1</v>
      </c>
      <c r="AR6788">
        <v>1</v>
      </c>
      <c r="AS6788">
        <v>0</v>
      </c>
      <c r="AT6788">
        <v>0</v>
      </c>
      <c r="AV6788">
        <v>1</v>
      </c>
      <c r="AW6788">
        <v>1</v>
      </c>
    </row>
    <row r="6789" spans="1:49" x14ac:dyDescent="0.25">
      <c r="A6789" t="str">
        <f>"6785"</f>
        <v>6785</v>
      </c>
      <c r="B6789" t="str">
        <f t="shared" si="392"/>
        <v>1</v>
      </c>
      <c r="C6789" t="str">
        <f t="shared" si="394"/>
        <v>297</v>
      </c>
      <c r="D6789" t="str">
        <f>"13"</f>
        <v>13</v>
      </c>
      <c r="E6789" t="str">
        <f>"1-297-13"</f>
        <v>1-297-13</v>
      </c>
      <c r="F6789" t="s">
        <v>83</v>
      </c>
      <c r="G6789" t="s">
        <v>84</v>
      </c>
      <c r="H6789" t="s">
        <v>85</v>
      </c>
      <c r="AC6789">
        <v>0</v>
      </c>
      <c r="AD6789">
        <v>1</v>
      </c>
      <c r="AE6789">
        <v>0</v>
      </c>
      <c r="AF6789">
        <v>0</v>
      </c>
      <c r="AG6789">
        <v>1</v>
      </c>
      <c r="AJ6789">
        <v>0</v>
      </c>
      <c r="AK6789">
        <v>1</v>
      </c>
      <c r="AL6789">
        <v>1</v>
      </c>
      <c r="AM6789">
        <v>0</v>
      </c>
      <c r="AN6789">
        <v>0</v>
      </c>
      <c r="AO6789">
        <v>1</v>
      </c>
      <c r="AP6789">
        <v>1</v>
      </c>
      <c r="AQ6789">
        <v>1</v>
      </c>
      <c r="AR6789">
        <v>1</v>
      </c>
      <c r="AS6789">
        <v>0</v>
      </c>
      <c r="AT6789">
        <v>1</v>
      </c>
      <c r="AV6789">
        <v>1</v>
      </c>
      <c r="AW6789">
        <v>1</v>
      </c>
    </row>
    <row r="6790" spans="1:49" x14ac:dyDescent="0.25">
      <c r="A6790" t="str">
        <f>"6786"</f>
        <v>6786</v>
      </c>
      <c r="B6790" t="str">
        <f t="shared" si="392"/>
        <v>1</v>
      </c>
      <c r="C6790" t="str">
        <f t="shared" si="394"/>
        <v>297</v>
      </c>
      <c r="D6790" t="str">
        <f>"8"</f>
        <v>8</v>
      </c>
      <c r="E6790" t="str">
        <f>"1-297-8"</f>
        <v>1-297-8</v>
      </c>
      <c r="F6790" t="s">
        <v>83</v>
      </c>
      <c r="G6790" t="s">
        <v>84</v>
      </c>
      <c r="H6790" t="s">
        <v>85</v>
      </c>
      <c r="AC6790">
        <v>1</v>
      </c>
      <c r="AD6790">
        <v>0</v>
      </c>
      <c r="AE6790">
        <v>0</v>
      </c>
      <c r="AF6790">
        <v>0</v>
      </c>
      <c r="AG6790">
        <v>0</v>
      </c>
      <c r="AJ6790">
        <v>1</v>
      </c>
      <c r="AK6790">
        <v>0</v>
      </c>
      <c r="AL6790">
        <v>1</v>
      </c>
      <c r="AM6790">
        <v>0</v>
      </c>
      <c r="AN6790">
        <v>0</v>
      </c>
      <c r="AO6790">
        <v>0</v>
      </c>
      <c r="AP6790">
        <v>0</v>
      </c>
      <c r="AQ6790">
        <v>0</v>
      </c>
      <c r="AR6790">
        <v>0</v>
      </c>
      <c r="AS6790">
        <v>0</v>
      </c>
      <c r="AT6790">
        <v>0</v>
      </c>
      <c r="AV6790">
        <v>0</v>
      </c>
      <c r="AW6790">
        <v>0</v>
      </c>
    </row>
    <row r="6791" spans="1:49" x14ac:dyDescent="0.25">
      <c r="A6791" t="str">
        <f>"6787"</f>
        <v>6787</v>
      </c>
      <c r="B6791" t="str">
        <f t="shared" si="392"/>
        <v>1</v>
      </c>
      <c r="C6791" t="str">
        <f t="shared" si="394"/>
        <v>297</v>
      </c>
      <c r="D6791" t="str">
        <f>"2"</f>
        <v>2</v>
      </c>
      <c r="E6791" t="str">
        <f>"1-297-2"</f>
        <v>1-297-2</v>
      </c>
      <c r="F6791" t="s">
        <v>83</v>
      </c>
      <c r="G6791" t="s">
        <v>84</v>
      </c>
      <c r="H6791" t="s">
        <v>85</v>
      </c>
      <c r="AC6791">
        <v>1</v>
      </c>
      <c r="AD6791">
        <v>0</v>
      </c>
      <c r="AE6791">
        <v>0</v>
      </c>
      <c r="AF6791">
        <v>0</v>
      </c>
      <c r="AG6791">
        <v>0</v>
      </c>
      <c r="AJ6791">
        <v>1</v>
      </c>
      <c r="AK6791">
        <v>0</v>
      </c>
      <c r="AL6791">
        <v>1</v>
      </c>
      <c r="AM6791">
        <v>0</v>
      </c>
      <c r="AN6791">
        <v>0</v>
      </c>
      <c r="AO6791">
        <v>0</v>
      </c>
      <c r="AP6791">
        <v>0</v>
      </c>
      <c r="AQ6791">
        <v>0</v>
      </c>
      <c r="AR6791">
        <v>0</v>
      </c>
      <c r="AS6791">
        <v>0</v>
      </c>
      <c r="AT6791">
        <v>1</v>
      </c>
      <c r="AV6791">
        <v>1</v>
      </c>
      <c r="AW6791">
        <v>0</v>
      </c>
    </row>
    <row r="6792" spans="1:49" x14ac:dyDescent="0.25">
      <c r="A6792" t="str">
        <f>"6788"</f>
        <v>6788</v>
      </c>
      <c r="B6792" t="str">
        <f t="shared" si="392"/>
        <v>1</v>
      </c>
      <c r="C6792" t="str">
        <f t="shared" si="394"/>
        <v>297</v>
      </c>
      <c r="D6792" t="str">
        <f>"14"</f>
        <v>14</v>
      </c>
      <c r="E6792" t="str">
        <f>"1-297-14"</f>
        <v>1-297-14</v>
      </c>
      <c r="F6792" t="s">
        <v>83</v>
      </c>
      <c r="G6792" t="s">
        <v>84</v>
      </c>
      <c r="H6792" t="s">
        <v>85</v>
      </c>
      <c r="AC6792">
        <v>1</v>
      </c>
      <c r="AD6792">
        <v>0</v>
      </c>
      <c r="AE6792">
        <v>0</v>
      </c>
      <c r="AF6792">
        <v>0</v>
      </c>
      <c r="AG6792">
        <v>1</v>
      </c>
      <c r="AJ6792">
        <v>1</v>
      </c>
      <c r="AK6792">
        <v>0</v>
      </c>
      <c r="AL6792">
        <v>1</v>
      </c>
      <c r="AM6792">
        <v>0</v>
      </c>
      <c r="AN6792">
        <v>0</v>
      </c>
      <c r="AO6792">
        <v>1</v>
      </c>
      <c r="AP6792">
        <v>1</v>
      </c>
      <c r="AQ6792">
        <v>1</v>
      </c>
      <c r="AR6792">
        <v>1</v>
      </c>
      <c r="AS6792">
        <v>1</v>
      </c>
      <c r="AT6792">
        <v>0</v>
      </c>
      <c r="AV6792">
        <v>1</v>
      </c>
      <c r="AW6792">
        <v>1</v>
      </c>
    </row>
    <row r="6793" spans="1:49" x14ac:dyDescent="0.25">
      <c r="A6793" t="str">
        <f>"6789"</f>
        <v>6789</v>
      </c>
      <c r="B6793" t="str">
        <f t="shared" si="392"/>
        <v>1</v>
      </c>
      <c r="C6793" t="str">
        <f t="shared" si="394"/>
        <v>297</v>
      </c>
      <c r="D6793" t="str">
        <f>"9"</f>
        <v>9</v>
      </c>
      <c r="E6793" t="str">
        <f>"1-297-9"</f>
        <v>1-297-9</v>
      </c>
      <c r="F6793" t="s">
        <v>83</v>
      </c>
      <c r="G6793" t="s">
        <v>84</v>
      </c>
      <c r="H6793" t="s">
        <v>85</v>
      </c>
      <c r="AC6793">
        <v>1</v>
      </c>
      <c r="AD6793">
        <v>0</v>
      </c>
      <c r="AE6793">
        <v>0</v>
      </c>
      <c r="AF6793">
        <v>0</v>
      </c>
      <c r="AG6793">
        <v>1</v>
      </c>
      <c r="AJ6793">
        <v>1</v>
      </c>
      <c r="AK6793">
        <v>0</v>
      </c>
      <c r="AL6793">
        <v>1</v>
      </c>
      <c r="AM6793">
        <v>0</v>
      </c>
      <c r="AN6793">
        <v>0</v>
      </c>
      <c r="AO6793">
        <v>1</v>
      </c>
      <c r="AP6793">
        <v>1</v>
      </c>
      <c r="AQ6793">
        <v>1</v>
      </c>
      <c r="AR6793">
        <v>1</v>
      </c>
      <c r="AS6793">
        <v>1</v>
      </c>
      <c r="AT6793">
        <v>0</v>
      </c>
      <c r="AV6793">
        <v>1</v>
      </c>
      <c r="AW6793">
        <v>1</v>
      </c>
    </row>
    <row r="6794" spans="1:49" x14ac:dyDescent="0.25">
      <c r="A6794" t="str">
        <f>"6790"</f>
        <v>6790</v>
      </c>
      <c r="B6794" t="str">
        <f t="shared" si="392"/>
        <v>1</v>
      </c>
      <c r="C6794" t="str">
        <f t="shared" si="394"/>
        <v>297</v>
      </c>
      <c r="D6794" t="str">
        <f>"4"</f>
        <v>4</v>
      </c>
      <c r="E6794" t="str">
        <f>"1-297-4"</f>
        <v>1-297-4</v>
      </c>
      <c r="F6794" t="s">
        <v>83</v>
      </c>
      <c r="G6794" t="s">
        <v>84</v>
      </c>
      <c r="H6794" t="s">
        <v>85</v>
      </c>
      <c r="AC6794">
        <v>0</v>
      </c>
      <c r="AD6794">
        <v>1</v>
      </c>
      <c r="AE6794">
        <v>0</v>
      </c>
      <c r="AF6794">
        <v>0</v>
      </c>
      <c r="AG6794">
        <v>0</v>
      </c>
      <c r="AJ6794">
        <v>0</v>
      </c>
      <c r="AK6794">
        <v>1</v>
      </c>
      <c r="AL6794">
        <v>0</v>
      </c>
      <c r="AM6794">
        <v>1</v>
      </c>
      <c r="AN6794">
        <v>0</v>
      </c>
      <c r="AO6794">
        <v>0</v>
      </c>
      <c r="AP6794">
        <v>0</v>
      </c>
      <c r="AQ6794">
        <v>0</v>
      </c>
      <c r="AR6794">
        <v>0</v>
      </c>
      <c r="AS6794">
        <v>0</v>
      </c>
      <c r="AT6794">
        <v>1</v>
      </c>
      <c r="AV6794">
        <v>0</v>
      </c>
      <c r="AW6794">
        <v>1</v>
      </c>
    </row>
    <row r="6795" spans="1:49" x14ac:dyDescent="0.25">
      <c r="A6795" t="str">
        <f>"6791"</f>
        <v>6791</v>
      </c>
      <c r="B6795" t="str">
        <f t="shared" si="392"/>
        <v>1</v>
      </c>
      <c r="C6795" t="str">
        <f t="shared" si="394"/>
        <v>297</v>
      </c>
      <c r="D6795" t="str">
        <f>"15"</f>
        <v>15</v>
      </c>
      <c r="E6795" t="str">
        <f>"1-297-15"</f>
        <v>1-297-15</v>
      </c>
      <c r="F6795" t="s">
        <v>83</v>
      </c>
      <c r="G6795" t="s">
        <v>86</v>
      </c>
      <c r="H6795" t="s">
        <v>87</v>
      </c>
      <c r="AC6795">
        <v>1</v>
      </c>
      <c r="AD6795">
        <v>0</v>
      </c>
      <c r="AE6795">
        <v>0</v>
      </c>
      <c r="AF6795">
        <v>0</v>
      </c>
      <c r="AH6795">
        <v>1</v>
      </c>
      <c r="AI6795">
        <v>0</v>
      </c>
      <c r="AJ6795">
        <v>1</v>
      </c>
      <c r="AK6795">
        <v>0</v>
      </c>
      <c r="AL6795">
        <v>1</v>
      </c>
      <c r="AM6795">
        <v>0</v>
      </c>
      <c r="AN6795">
        <v>0</v>
      </c>
      <c r="AO6795">
        <v>1</v>
      </c>
      <c r="AP6795">
        <v>1</v>
      </c>
      <c r="AQ6795">
        <v>1</v>
      </c>
      <c r="AU6795">
        <v>1</v>
      </c>
      <c r="AV6795">
        <v>1</v>
      </c>
      <c r="AW6795">
        <v>1</v>
      </c>
    </row>
    <row r="6796" spans="1:49" x14ac:dyDescent="0.25">
      <c r="A6796" t="str">
        <f>"6792"</f>
        <v>6792</v>
      </c>
      <c r="B6796" t="str">
        <f t="shared" si="392"/>
        <v>1</v>
      </c>
      <c r="C6796" t="str">
        <f t="shared" si="394"/>
        <v>297</v>
      </c>
      <c r="D6796" t="str">
        <f>"10"</f>
        <v>10</v>
      </c>
      <c r="E6796" t="str">
        <f>"1-297-10"</f>
        <v>1-297-10</v>
      </c>
      <c r="F6796" t="s">
        <v>83</v>
      </c>
      <c r="G6796" t="s">
        <v>84</v>
      </c>
      <c r="H6796" t="s">
        <v>85</v>
      </c>
      <c r="AC6796">
        <v>1</v>
      </c>
      <c r="AD6796">
        <v>0</v>
      </c>
      <c r="AE6796">
        <v>0</v>
      </c>
      <c r="AF6796">
        <v>0</v>
      </c>
      <c r="AG6796">
        <v>1</v>
      </c>
      <c r="AJ6796">
        <v>0</v>
      </c>
      <c r="AK6796">
        <v>1</v>
      </c>
      <c r="AL6796">
        <v>1</v>
      </c>
      <c r="AM6796">
        <v>0</v>
      </c>
      <c r="AN6796">
        <v>0</v>
      </c>
      <c r="AO6796">
        <v>1</v>
      </c>
      <c r="AP6796">
        <v>1</v>
      </c>
      <c r="AQ6796">
        <v>1</v>
      </c>
      <c r="AR6796">
        <v>1</v>
      </c>
      <c r="AS6796">
        <v>1</v>
      </c>
      <c r="AT6796">
        <v>0</v>
      </c>
      <c r="AV6796">
        <v>1</v>
      </c>
      <c r="AW6796">
        <v>1</v>
      </c>
    </row>
    <row r="6797" spans="1:49" x14ac:dyDescent="0.25">
      <c r="A6797" t="str">
        <f>"6793"</f>
        <v>6793</v>
      </c>
      <c r="B6797" t="str">
        <f t="shared" si="392"/>
        <v>1</v>
      </c>
      <c r="C6797" t="str">
        <f t="shared" si="394"/>
        <v>297</v>
      </c>
      <c r="D6797" t="str">
        <f>"6"</f>
        <v>6</v>
      </c>
      <c r="E6797" t="str">
        <f>"1-297-6"</f>
        <v>1-297-6</v>
      </c>
      <c r="F6797" t="s">
        <v>83</v>
      </c>
      <c r="G6797" t="s">
        <v>84</v>
      </c>
      <c r="H6797" t="s">
        <v>85</v>
      </c>
      <c r="AC6797">
        <v>0</v>
      </c>
      <c r="AD6797">
        <v>1</v>
      </c>
      <c r="AE6797">
        <v>0</v>
      </c>
      <c r="AF6797">
        <v>0</v>
      </c>
      <c r="AG6797">
        <v>1</v>
      </c>
      <c r="AJ6797">
        <v>0</v>
      </c>
      <c r="AK6797">
        <v>1</v>
      </c>
      <c r="AL6797">
        <v>0</v>
      </c>
      <c r="AM6797">
        <v>0</v>
      </c>
      <c r="AN6797">
        <v>1</v>
      </c>
      <c r="AO6797">
        <v>1</v>
      </c>
      <c r="AP6797">
        <v>1</v>
      </c>
      <c r="AQ6797">
        <v>1</v>
      </c>
      <c r="AR6797">
        <v>1</v>
      </c>
      <c r="AS6797">
        <v>0</v>
      </c>
      <c r="AT6797">
        <v>1</v>
      </c>
      <c r="AV6797">
        <v>1</v>
      </c>
      <c r="AW6797">
        <v>1</v>
      </c>
    </row>
    <row r="6798" spans="1:49" x14ac:dyDescent="0.25">
      <c r="A6798" t="str">
        <f>"6794"</f>
        <v>6794</v>
      </c>
      <c r="B6798" t="str">
        <f t="shared" si="392"/>
        <v>1</v>
      </c>
      <c r="C6798" t="str">
        <f t="shared" si="394"/>
        <v>297</v>
      </c>
      <c r="D6798" t="str">
        <f>"17"</f>
        <v>17</v>
      </c>
      <c r="E6798" t="str">
        <f>"1-297-17"</f>
        <v>1-297-17</v>
      </c>
      <c r="F6798" t="s">
        <v>83</v>
      </c>
      <c r="G6798" t="s">
        <v>84</v>
      </c>
      <c r="H6798" t="s">
        <v>85</v>
      </c>
      <c r="AC6798">
        <v>0</v>
      </c>
      <c r="AD6798">
        <v>1</v>
      </c>
      <c r="AE6798">
        <v>0</v>
      </c>
      <c r="AF6798">
        <v>0</v>
      </c>
      <c r="AG6798">
        <v>0</v>
      </c>
      <c r="AJ6798">
        <v>1</v>
      </c>
      <c r="AK6798">
        <v>0</v>
      </c>
      <c r="AL6798">
        <v>0</v>
      </c>
      <c r="AM6798">
        <v>0</v>
      </c>
      <c r="AN6798">
        <v>1</v>
      </c>
      <c r="AO6798">
        <v>0</v>
      </c>
      <c r="AP6798">
        <v>0</v>
      </c>
      <c r="AQ6798">
        <v>0</v>
      </c>
      <c r="AR6798">
        <v>0</v>
      </c>
      <c r="AS6798">
        <v>0</v>
      </c>
      <c r="AT6798">
        <v>1</v>
      </c>
      <c r="AV6798">
        <v>1</v>
      </c>
      <c r="AW6798">
        <v>1</v>
      </c>
    </row>
    <row r="6799" spans="1:49" x14ac:dyDescent="0.25">
      <c r="A6799" t="str">
        <f>"6795"</f>
        <v>6795</v>
      </c>
      <c r="B6799" t="str">
        <f t="shared" si="392"/>
        <v>1</v>
      </c>
      <c r="C6799" t="str">
        <f t="shared" si="394"/>
        <v>297</v>
      </c>
      <c r="D6799" t="str">
        <f>"11"</f>
        <v>11</v>
      </c>
      <c r="E6799" t="str">
        <f>"1-297-11"</f>
        <v>1-297-11</v>
      </c>
      <c r="F6799" t="s">
        <v>83</v>
      </c>
      <c r="G6799" t="s">
        <v>84</v>
      </c>
      <c r="H6799" t="s">
        <v>85</v>
      </c>
      <c r="AC6799">
        <v>1</v>
      </c>
      <c r="AD6799">
        <v>0</v>
      </c>
      <c r="AE6799">
        <v>0</v>
      </c>
      <c r="AF6799">
        <v>0</v>
      </c>
      <c r="AG6799">
        <v>1</v>
      </c>
      <c r="AJ6799">
        <v>1</v>
      </c>
      <c r="AK6799">
        <v>0</v>
      </c>
      <c r="AL6799">
        <v>1</v>
      </c>
      <c r="AM6799">
        <v>0</v>
      </c>
      <c r="AN6799">
        <v>0</v>
      </c>
      <c r="AO6799">
        <v>1</v>
      </c>
      <c r="AP6799">
        <v>1</v>
      </c>
      <c r="AQ6799">
        <v>0</v>
      </c>
      <c r="AR6799">
        <v>1</v>
      </c>
      <c r="AS6799">
        <v>1</v>
      </c>
      <c r="AT6799">
        <v>0</v>
      </c>
      <c r="AV6799">
        <v>1</v>
      </c>
      <c r="AW6799">
        <v>1</v>
      </c>
    </row>
    <row r="6800" spans="1:49" x14ac:dyDescent="0.25">
      <c r="A6800" t="str">
        <f>"6796"</f>
        <v>6796</v>
      </c>
      <c r="B6800" t="str">
        <f t="shared" si="392"/>
        <v>1</v>
      </c>
      <c r="C6800" t="str">
        <f t="shared" si="394"/>
        <v>297</v>
      </c>
      <c r="D6800" t="str">
        <f>"16"</f>
        <v>16</v>
      </c>
      <c r="E6800" t="str">
        <f>"1-297-16"</f>
        <v>1-297-16</v>
      </c>
      <c r="F6800" t="s">
        <v>83</v>
      </c>
      <c r="G6800" t="s">
        <v>84</v>
      </c>
      <c r="H6800" t="s">
        <v>85</v>
      </c>
      <c r="AC6800">
        <v>1</v>
      </c>
      <c r="AD6800">
        <v>0</v>
      </c>
      <c r="AE6800">
        <v>0</v>
      </c>
      <c r="AF6800">
        <v>0</v>
      </c>
      <c r="AG6800">
        <v>1</v>
      </c>
      <c r="AJ6800">
        <v>1</v>
      </c>
      <c r="AK6800">
        <v>0</v>
      </c>
      <c r="AL6800">
        <v>0</v>
      </c>
      <c r="AM6800">
        <v>0</v>
      </c>
      <c r="AN6800">
        <v>1</v>
      </c>
      <c r="AO6800">
        <v>1</v>
      </c>
      <c r="AP6800">
        <v>1</v>
      </c>
      <c r="AQ6800">
        <v>1</v>
      </c>
      <c r="AR6800">
        <v>1</v>
      </c>
      <c r="AS6800">
        <v>1</v>
      </c>
      <c r="AT6800">
        <v>0</v>
      </c>
      <c r="AV6800">
        <v>1</v>
      </c>
      <c r="AW6800">
        <v>1</v>
      </c>
    </row>
    <row r="6801" spans="1:49" x14ac:dyDescent="0.25">
      <c r="A6801" t="str">
        <f>"6797"</f>
        <v>6797</v>
      </c>
      <c r="B6801" t="str">
        <f t="shared" si="392"/>
        <v>1</v>
      </c>
      <c r="C6801" t="str">
        <f t="shared" si="394"/>
        <v>297</v>
      </c>
      <c r="D6801" t="str">
        <f>"12"</f>
        <v>12</v>
      </c>
      <c r="E6801" t="str">
        <f>"1-297-12"</f>
        <v>1-297-12</v>
      </c>
      <c r="F6801" t="s">
        <v>83</v>
      </c>
      <c r="G6801" t="s">
        <v>84</v>
      </c>
      <c r="H6801" t="s">
        <v>85</v>
      </c>
      <c r="AC6801">
        <v>0</v>
      </c>
      <c r="AD6801">
        <v>1</v>
      </c>
      <c r="AE6801">
        <v>0</v>
      </c>
      <c r="AF6801">
        <v>0</v>
      </c>
      <c r="AG6801">
        <v>0</v>
      </c>
      <c r="AJ6801">
        <v>0</v>
      </c>
      <c r="AK6801">
        <v>1</v>
      </c>
      <c r="AL6801">
        <v>0</v>
      </c>
      <c r="AM6801">
        <v>0</v>
      </c>
      <c r="AN6801">
        <v>0</v>
      </c>
      <c r="AO6801">
        <v>0</v>
      </c>
      <c r="AP6801">
        <v>0</v>
      </c>
      <c r="AQ6801">
        <v>0</v>
      </c>
      <c r="AR6801">
        <v>0</v>
      </c>
      <c r="AS6801">
        <v>0</v>
      </c>
      <c r="AT6801">
        <v>0</v>
      </c>
      <c r="AV6801">
        <v>0</v>
      </c>
      <c r="AW6801">
        <v>0</v>
      </c>
    </row>
    <row r="6802" spans="1:49" x14ac:dyDescent="0.25">
      <c r="A6802" t="str">
        <f>"6798"</f>
        <v>6798</v>
      </c>
      <c r="B6802" t="str">
        <f t="shared" si="392"/>
        <v>1</v>
      </c>
      <c r="C6802" t="str">
        <f t="shared" si="394"/>
        <v>297</v>
      </c>
      <c r="D6802" t="str">
        <f>"7"</f>
        <v>7</v>
      </c>
      <c r="E6802" t="str">
        <f>"1-297-7"</f>
        <v>1-297-7</v>
      </c>
      <c r="F6802" t="s">
        <v>83</v>
      </c>
      <c r="G6802" t="s">
        <v>84</v>
      </c>
      <c r="H6802" t="s">
        <v>85</v>
      </c>
      <c r="AC6802">
        <v>1</v>
      </c>
      <c r="AD6802">
        <v>0</v>
      </c>
      <c r="AE6802">
        <v>0</v>
      </c>
      <c r="AF6802">
        <v>0</v>
      </c>
      <c r="AG6802">
        <v>1</v>
      </c>
      <c r="AJ6802">
        <v>0</v>
      </c>
      <c r="AK6802">
        <v>1</v>
      </c>
      <c r="AL6802">
        <v>1</v>
      </c>
      <c r="AM6802">
        <v>0</v>
      </c>
      <c r="AN6802">
        <v>0</v>
      </c>
      <c r="AO6802">
        <v>0</v>
      </c>
      <c r="AP6802">
        <v>0</v>
      </c>
      <c r="AQ6802">
        <v>0</v>
      </c>
      <c r="AR6802">
        <v>0</v>
      </c>
      <c r="AS6802">
        <v>1</v>
      </c>
      <c r="AT6802">
        <v>0</v>
      </c>
      <c r="AV6802">
        <v>0</v>
      </c>
      <c r="AW6802">
        <v>0</v>
      </c>
    </row>
    <row r="6803" spans="1:49" x14ac:dyDescent="0.25">
      <c r="A6803" t="str">
        <f>"6799"</f>
        <v>6799</v>
      </c>
      <c r="B6803" t="str">
        <f t="shared" si="392"/>
        <v>1</v>
      </c>
      <c r="C6803" t="str">
        <f t="shared" si="394"/>
        <v>297</v>
      </c>
      <c r="D6803" t="str">
        <f>"18"</f>
        <v>18</v>
      </c>
      <c r="E6803" t="str">
        <f>"1-297-18"</f>
        <v>1-297-18</v>
      </c>
      <c r="F6803" t="s">
        <v>83</v>
      </c>
      <c r="G6803" t="s">
        <v>84</v>
      </c>
      <c r="H6803" t="s">
        <v>85</v>
      </c>
      <c r="AC6803">
        <v>1</v>
      </c>
      <c r="AD6803">
        <v>0</v>
      </c>
      <c r="AE6803">
        <v>0</v>
      </c>
      <c r="AF6803">
        <v>0</v>
      </c>
      <c r="AG6803">
        <v>1</v>
      </c>
      <c r="AJ6803">
        <v>0</v>
      </c>
      <c r="AK6803">
        <v>1</v>
      </c>
      <c r="AL6803">
        <v>1</v>
      </c>
      <c r="AM6803">
        <v>0</v>
      </c>
      <c r="AN6803">
        <v>0</v>
      </c>
      <c r="AO6803">
        <v>1</v>
      </c>
      <c r="AP6803">
        <v>1</v>
      </c>
      <c r="AQ6803">
        <v>1</v>
      </c>
      <c r="AR6803">
        <v>1</v>
      </c>
      <c r="AS6803">
        <v>0</v>
      </c>
      <c r="AT6803">
        <v>1</v>
      </c>
      <c r="AV6803">
        <v>1</v>
      </c>
      <c r="AW6803">
        <v>1</v>
      </c>
    </row>
    <row r="6804" spans="1:49" x14ac:dyDescent="0.25">
      <c r="A6804" t="str">
        <f>"6800"</f>
        <v>6800</v>
      </c>
      <c r="B6804" t="str">
        <f t="shared" si="392"/>
        <v>1</v>
      </c>
      <c r="C6804" t="str">
        <f t="shared" si="394"/>
        <v>297</v>
      </c>
      <c r="D6804" t="str">
        <f>"3"</f>
        <v>3</v>
      </c>
      <c r="E6804" t="str">
        <f>"1-297-3"</f>
        <v>1-297-3</v>
      </c>
      <c r="F6804" t="s">
        <v>83</v>
      </c>
      <c r="G6804" t="s">
        <v>84</v>
      </c>
      <c r="H6804" t="s">
        <v>85</v>
      </c>
      <c r="AC6804">
        <v>1</v>
      </c>
      <c r="AD6804">
        <v>0</v>
      </c>
      <c r="AE6804">
        <v>0</v>
      </c>
      <c r="AF6804">
        <v>0</v>
      </c>
      <c r="AG6804">
        <v>1</v>
      </c>
      <c r="AJ6804">
        <v>1</v>
      </c>
      <c r="AK6804">
        <v>0</v>
      </c>
      <c r="AL6804">
        <v>1</v>
      </c>
      <c r="AM6804">
        <v>0</v>
      </c>
      <c r="AN6804">
        <v>0</v>
      </c>
      <c r="AO6804">
        <v>1</v>
      </c>
      <c r="AP6804">
        <v>1</v>
      </c>
      <c r="AQ6804">
        <v>1</v>
      </c>
      <c r="AR6804">
        <v>1</v>
      </c>
      <c r="AS6804">
        <v>0</v>
      </c>
      <c r="AT6804">
        <v>1</v>
      </c>
      <c r="AV6804">
        <v>1</v>
      </c>
      <c r="AW6804">
        <v>0</v>
      </c>
    </row>
    <row r="6805" spans="1:49" x14ac:dyDescent="0.25">
      <c r="A6805" t="str">
        <f>"6801"</f>
        <v>6801</v>
      </c>
      <c r="B6805" t="str">
        <f t="shared" si="392"/>
        <v>1</v>
      </c>
      <c r="C6805" t="str">
        <f t="shared" si="394"/>
        <v>297</v>
      </c>
      <c r="D6805" t="str">
        <f>"19"</f>
        <v>19</v>
      </c>
      <c r="E6805" t="str">
        <f>"1-297-19"</f>
        <v>1-297-19</v>
      </c>
      <c r="F6805" t="s">
        <v>83</v>
      </c>
      <c r="G6805" t="s">
        <v>84</v>
      </c>
      <c r="H6805" t="s">
        <v>85</v>
      </c>
      <c r="AC6805">
        <v>0</v>
      </c>
      <c r="AD6805">
        <v>1</v>
      </c>
      <c r="AE6805">
        <v>0</v>
      </c>
      <c r="AF6805">
        <v>0</v>
      </c>
      <c r="AG6805">
        <v>1</v>
      </c>
      <c r="AJ6805">
        <v>1</v>
      </c>
      <c r="AK6805">
        <v>0</v>
      </c>
      <c r="AL6805">
        <v>0</v>
      </c>
      <c r="AM6805">
        <v>1</v>
      </c>
      <c r="AN6805">
        <v>0</v>
      </c>
      <c r="AO6805">
        <v>1</v>
      </c>
      <c r="AP6805">
        <v>1</v>
      </c>
      <c r="AQ6805">
        <v>1</v>
      </c>
      <c r="AR6805">
        <v>1</v>
      </c>
      <c r="AS6805">
        <v>0</v>
      </c>
      <c r="AT6805">
        <v>1</v>
      </c>
      <c r="AV6805">
        <v>1</v>
      </c>
      <c r="AW6805">
        <v>1</v>
      </c>
    </row>
    <row r="6806" spans="1:49" x14ac:dyDescent="0.25">
      <c r="A6806" t="str">
        <f>"6802"</f>
        <v>6802</v>
      </c>
      <c r="B6806" t="str">
        <f t="shared" si="392"/>
        <v>1</v>
      </c>
      <c r="C6806" t="str">
        <f t="shared" si="394"/>
        <v>297</v>
      </c>
      <c r="D6806" t="str">
        <f>"5"</f>
        <v>5</v>
      </c>
      <c r="E6806" t="str">
        <f>"1-297-5"</f>
        <v>1-297-5</v>
      </c>
      <c r="F6806" t="s">
        <v>83</v>
      </c>
      <c r="G6806" t="s">
        <v>84</v>
      </c>
      <c r="H6806" t="s">
        <v>85</v>
      </c>
      <c r="AC6806">
        <v>0</v>
      </c>
      <c r="AD6806">
        <v>1</v>
      </c>
      <c r="AE6806">
        <v>0</v>
      </c>
      <c r="AF6806">
        <v>0</v>
      </c>
      <c r="AG6806">
        <v>1</v>
      </c>
      <c r="AJ6806">
        <v>0</v>
      </c>
      <c r="AK6806">
        <v>1</v>
      </c>
      <c r="AL6806">
        <v>0</v>
      </c>
      <c r="AM6806">
        <v>1</v>
      </c>
      <c r="AN6806">
        <v>0</v>
      </c>
      <c r="AO6806">
        <v>1</v>
      </c>
      <c r="AP6806">
        <v>1</v>
      </c>
      <c r="AQ6806">
        <v>1</v>
      </c>
      <c r="AR6806">
        <v>1</v>
      </c>
      <c r="AS6806">
        <v>1</v>
      </c>
      <c r="AT6806">
        <v>0</v>
      </c>
      <c r="AV6806">
        <v>1</v>
      </c>
      <c r="AW6806">
        <v>0</v>
      </c>
    </row>
    <row r="6807" spans="1:49" x14ac:dyDescent="0.25">
      <c r="A6807" t="str">
        <f>"6803"</f>
        <v>6803</v>
      </c>
      <c r="B6807" t="str">
        <f t="shared" si="392"/>
        <v>1</v>
      </c>
      <c r="C6807" t="str">
        <f t="shared" si="394"/>
        <v>297</v>
      </c>
      <c r="D6807" t="str">
        <f>"1"</f>
        <v>1</v>
      </c>
      <c r="E6807" t="str">
        <f>"1-297-1"</f>
        <v>1-297-1</v>
      </c>
      <c r="F6807" t="s">
        <v>83</v>
      </c>
      <c r="G6807" t="s">
        <v>88</v>
      </c>
      <c r="H6807" t="s">
        <v>89</v>
      </c>
      <c r="AC6807">
        <v>0</v>
      </c>
      <c r="AD6807">
        <v>1</v>
      </c>
      <c r="AE6807">
        <v>0</v>
      </c>
      <c r="AF6807">
        <v>0</v>
      </c>
      <c r="AH6807">
        <v>1</v>
      </c>
      <c r="AI6807">
        <v>0</v>
      </c>
      <c r="AJ6807">
        <v>0</v>
      </c>
      <c r="AK6807">
        <v>1</v>
      </c>
      <c r="AL6807">
        <v>0</v>
      </c>
      <c r="AM6807">
        <v>0</v>
      </c>
      <c r="AN6807">
        <v>0</v>
      </c>
      <c r="AO6807">
        <v>1</v>
      </c>
      <c r="AP6807">
        <v>1</v>
      </c>
      <c r="AQ6807">
        <v>1</v>
      </c>
      <c r="AR6807">
        <v>1</v>
      </c>
      <c r="AS6807">
        <v>0</v>
      </c>
      <c r="AT6807">
        <v>0</v>
      </c>
      <c r="AV6807">
        <v>1</v>
      </c>
      <c r="AW6807">
        <v>1</v>
      </c>
    </row>
    <row r="6808" spans="1:49" x14ac:dyDescent="0.25">
      <c r="A6808" t="str">
        <f>"6804"</f>
        <v>6804</v>
      </c>
      <c r="B6808" t="str">
        <f t="shared" si="392"/>
        <v>1</v>
      </c>
      <c r="C6808" t="str">
        <f t="shared" ref="C6808:C6832" si="395">"298"</f>
        <v>298</v>
      </c>
      <c r="D6808" t="str">
        <f>"21"</f>
        <v>21</v>
      </c>
      <c r="E6808" t="str">
        <f>"1-298-21"</f>
        <v>1-298-21</v>
      </c>
      <c r="F6808" t="s">
        <v>83</v>
      </c>
      <c r="G6808" t="s">
        <v>84</v>
      </c>
      <c r="H6808" t="s">
        <v>85</v>
      </c>
      <c r="AC6808">
        <v>0</v>
      </c>
      <c r="AD6808">
        <v>1</v>
      </c>
      <c r="AE6808">
        <v>0</v>
      </c>
      <c r="AF6808">
        <v>0</v>
      </c>
      <c r="AG6808">
        <v>1</v>
      </c>
      <c r="AJ6808">
        <v>1</v>
      </c>
      <c r="AK6808">
        <v>0</v>
      </c>
      <c r="AL6808">
        <v>0</v>
      </c>
      <c r="AM6808">
        <v>0</v>
      </c>
      <c r="AN6808">
        <v>1</v>
      </c>
      <c r="AO6808">
        <v>1</v>
      </c>
      <c r="AP6808">
        <v>1</v>
      </c>
      <c r="AQ6808">
        <v>1</v>
      </c>
      <c r="AR6808">
        <v>1</v>
      </c>
      <c r="AS6808">
        <v>0</v>
      </c>
      <c r="AT6808">
        <v>1</v>
      </c>
      <c r="AV6808">
        <v>1</v>
      </c>
      <c r="AW6808">
        <v>1</v>
      </c>
    </row>
    <row r="6809" spans="1:49" x14ac:dyDescent="0.25">
      <c r="A6809" t="str">
        <f>"6805"</f>
        <v>6805</v>
      </c>
      <c r="B6809" t="str">
        <f t="shared" si="392"/>
        <v>1</v>
      </c>
      <c r="C6809" t="str">
        <f t="shared" si="395"/>
        <v>298</v>
      </c>
      <c r="D6809" t="str">
        <f>"20"</f>
        <v>20</v>
      </c>
      <c r="E6809" t="str">
        <f>"1-298-20"</f>
        <v>1-298-20</v>
      </c>
      <c r="F6809" t="s">
        <v>83</v>
      </c>
      <c r="G6809" t="s">
        <v>84</v>
      </c>
      <c r="H6809" t="s">
        <v>85</v>
      </c>
      <c r="AC6809">
        <v>0</v>
      </c>
      <c r="AD6809">
        <v>1</v>
      </c>
      <c r="AE6809">
        <v>0</v>
      </c>
      <c r="AF6809">
        <v>0</v>
      </c>
      <c r="AG6809">
        <v>1</v>
      </c>
      <c r="AJ6809">
        <v>0</v>
      </c>
      <c r="AK6809">
        <v>1</v>
      </c>
      <c r="AL6809">
        <v>0</v>
      </c>
      <c r="AM6809">
        <v>0</v>
      </c>
      <c r="AN6809">
        <v>1</v>
      </c>
      <c r="AO6809">
        <v>1</v>
      </c>
      <c r="AP6809">
        <v>1</v>
      </c>
      <c r="AQ6809">
        <v>1</v>
      </c>
      <c r="AR6809">
        <v>1</v>
      </c>
      <c r="AS6809">
        <v>0</v>
      </c>
      <c r="AT6809">
        <v>1</v>
      </c>
      <c r="AV6809">
        <v>0</v>
      </c>
      <c r="AW6809">
        <v>1</v>
      </c>
    </row>
    <row r="6810" spans="1:49" x14ac:dyDescent="0.25">
      <c r="A6810" t="str">
        <f>"6806"</f>
        <v>6806</v>
      </c>
      <c r="B6810" t="str">
        <f t="shared" si="392"/>
        <v>1</v>
      </c>
      <c r="C6810" t="str">
        <f t="shared" si="395"/>
        <v>298</v>
      </c>
      <c r="D6810" t="str">
        <f>"15"</f>
        <v>15</v>
      </c>
      <c r="E6810" t="str">
        <f>"1-298-15"</f>
        <v>1-298-15</v>
      </c>
      <c r="F6810" t="s">
        <v>83</v>
      </c>
      <c r="G6810" t="s">
        <v>84</v>
      </c>
      <c r="H6810" t="s">
        <v>85</v>
      </c>
      <c r="AC6810">
        <v>1</v>
      </c>
      <c r="AD6810">
        <v>0</v>
      </c>
      <c r="AE6810">
        <v>0</v>
      </c>
      <c r="AF6810">
        <v>0</v>
      </c>
      <c r="AG6810">
        <v>1</v>
      </c>
      <c r="AJ6810">
        <v>1</v>
      </c>
      <c r="AK6810">
        <v>0</v>
      </c>
      <c r="AL6810">
        <v>1</v>
      </c>
      <c r="AM6810">
        <v>0</v>
      </c>
      <c r="AN6810">
        <v>0</v>
      </c>
      <c r="AO6810">
        <v>1</v>
      </c>
      <c r="AP6810">
        <v>1</v>
      </c>
      <c r="AQ6810">
        <v>1</v>
      </c>
      <c r="AR6810">
        <v>1</v>
      </c>
      <c r="AS6810">
        <v>1</v>
      </c>
      <c r="AT6810">
        <v>0</v>
      </c>
      <c r="AV6810">
        <v>1</v>
      </c>
      <c r="AW6810">
        <v>1</v>
      </c>
    </row>
    <row r="6811" spans="1:49" x14ac:dyDescent="0.25">
      <c r="A6811" t="str">
        <f>"6807"</f>
        <v>6807</v>
      </c>
      <c r="B6811" t="str">
        <f t="shared" si="392"/>
        <v>1</v>
      </c>
      <c r="C6811" t="str">
        <f t="shared" si="395"/>
        <v>298</v>
      </c>
      <c r="D6811" t="str">
        <f>"8"</f>
        <v>8</v>
      </c>
      <c r="E6811" t="str">
        <f>"1-298-8"</f>
        <v>1-298-8</v>
      </c>
      <c r="F6811" t="s">
        <v>83</v>
      </c>
      <c r="G6811" t="s">
        <v>84</v>
      </c>
      <c r="H6811" t="s">
        <v>85</v>
      </c>
      <c r="AC6811">
        <v>1</v>
      </c>
      <c r="AD6811">
        <v>0</v>
      </c>
      <c r="AE6811">
        <v>0</v>
      </c>
      <c r="AF6811">
        <v>0</v>
      </c>
      <c r="AG6811">
        <v>1</v>
      </c>
      <c r="AJ6811">
        <v>1</v>
      </c>
      <c r="AK6811">
        <v>0</v>
      </c>
      <c r="AL6811">
        <v>1</v>
      </c>
      <c r="AM6811">
        <v>0</v>
      </c>
      <c r="AN6811">
        <v>0</v>
      </c>
      <c r="AO6811">
        <v>1</v>
      </c>
      <c r="AP6811">
        <v>1</v>
      </c>
      <c r="AQ6811">
        <v>1</v>
      </c>
      <c r="AR6811">
        <v>1</v>
      </c>
      <c r="AS6811">
        <v>1</v>
      </c>
      <c r="AT6811">
        <v>0</v>
      </c>
      <c r="AV6811">
        <v>1</v>
      </c>
      <c r="AW6811">
        <v>1</v>
      </c>
    </row>
    <row r="6812" spans="1:49" x14ac:dyDescent="0.25">
      <c r="A6812" t="str">
        <f>"6808"</f>
        <v>6808</v>
      </c>
      <c r="B6812" t="str">
        <f t="shared" si="392"/>
        <v>1</v>
      </c>
      <c r="C6812" t="str">
        <f t="shared" si="395"/>
        <v>298</v>
      </c>
      <c r="D6812" t="str">
        <f>"5"</f>
        <v>5</v>
      </c>
      <c r="E6812" t="str">
        <f>"1-298-5"</f>
        <v>1-298-5</v>
      </c>
      <c r="F6812" t="s">
        <v>83</v>
      </c>
      <c r="G6812" t="s">
        <v>84</v>
      </c>
      <c r="H6812" t="s">
        <v>85</v>
      </c>
      <c r="AC6812">
        <v>0</v>
      </c>
      <c r="AD6812">
        <v>1</v>
      </c>
      <c r="AE6812">
        <v>0</v>
      </c>
      <c r="AF6812">
        <v>0</v>
      </c>
      <c r="AG6812">
        <v>1</v>
      </c>
      <c r="AJ6812">
        <v>0</v>
      </c>
      <c r="AK6812">
        <v>1</v>
      </c>
      <c r="AL6812">
        <v>0</v>
      </c>
      <c r="AM6812">
        <v>0</v>
      </c>
      <c r="AN6812">
        <v>1</v>
      </c>
      <c r="AO6812">
        <v>1</v>
      </c>
      <c r="AP6812">
        <v>1</v>
      </c>
      <c r="AQ6812">
        <v>1</v>
      </c>
      <c r="AR6812">
        <v>1</v>
      </c>
      <c r="AS6812">
        <v>1</v>
      </c>
      <c r="AT6812">
        <v>0</v>
      </c>
      <c r="AV6812">
        <v>1</v>
      </c>
      <c r="AW6812">
        <v>1</v>
      </c>
    </row>
    <row r="6813" spans="1:49" x14ac:dyDescent="0.25">
      <c r="A6813" t="str">
        <f>"6809"</f>
        <v>6809</v>
      </c>
      <c r="B6813" t="str">
        <f t="shared" si="392"/>
        <v>1</v>
      </c>
      <c r="C6813" t="str">
        <f t="shared" si="395"/>
        <v>298</v>
      </c>
      <c r="D6813" t="str">
        <f>"16"</f>
        <v>16</v>
      </c>
      <c r="E6813" t="str">
        <f>"1-298-16"</f>
        <v>1-298-16</v>
      </c>
      <c r="F6813" t="s">
        <v>83</v>
      </c>
      <c r="G6813" t="s">
        <v>84</v>
      </c>
      <c r="H6813" t="s">
        <v>85</v>
      </c>
      <c r="AC6813">
        <v>1</v>
      </c>
      <c r="AD6813">
        <v>0</v>
      </c>
      <c r="AE6813">
        <v>0</v>
      </c>
      <c r="AF6813">
        <v>0</v>
      </c>
      <c r="AG6813">
        <v>1</v>
      </c>
      <c r="AJ6813">
        <v>1</v>
      </c>
      <c r="AK6813">
        <v>0</v>
      </c>
      <c r="AL6813">
        <v>1</v>
      </c>
      <c r="AM6813">
        <v>0</v>
      </c>
      <c r="AN6813">
        <v>0</v>
      </c>
      <c r="AO6813">
        <v>1</v>
      </c>
      <c r="AP6813">
        <v>1</v>
      </c>
      <c r="AQ6813">
        <v>1</v>
      </c>
      <c r="AR6813">
        <v>1</v>
      </c>
      <c r="AS6813">
        <v>1</v>
      </c>
      <c r="AT6813">
        <v>0</v>
      </c>
      <c r="AV6813">
        <v>1</v>
      </c>
      <c r="AW6813">
        <v>1</v>
      </c>
    </row>
    <row r="6814" spans="1:49" x14ac:dyDescent="0.25">
      <c r="A6814" t="str">
        <f>"6810"</f>
        <v>6810</v>
      </c>
      <c r="B6814" t="str">
        <f t="shared" ref="B6814:B6877" si="396">"1"</f>
        <v>1</v>
      </c>
      <c r="C6814" t="str">
        <f t="shared" si="395"/>
        <v>298</v>
      </c>
      <c r="D6814" t="str">
        <f>"9"</f>
        <v>9</v>
      </c>
      <c r="E6814" t="str">
        <f>"1-298-9"</f>
        <v>1-298-9</v>
      </c>
      <c r="F6814" t="s">
        <v>83</v>
      </c>
      <c r="G6814" t="s">
        <v>84</v>
      </c>
      <c r="H6814" t="s">
        <v>85</v>
      </c>
      <c r="AC6814">
        <v>1</v>
      </c>
      <c r="AD6814">
        <v>0</v>
      </c>
      <c r="AE6814">
        <v>0</v>
      </c>
      <c r="AF6814">
        <v>0</v>
      </c>
      <c r="AG6814">
        <v>1</v>
      </c>
      <c r="AJ6814">
        <v>1</v>
      </c>
      <c r="AK6814">
        <v>0</v>
      </c>
      <c r="AL6814">
        <v>1</v>
      </c>
      <c r="AM6814">
        <v>0</v>
      </c>
      <c r="AN6814">
        <v>0</v>
      </c>
      <c r="AO6814">
        <v>1</v>
      </c>
      <c r="AP6814">
        <v>1</v>
      </c>
      <c r="AQ6814">
        <v>1</v>
      </c>
      <c r="AR6814">
        <v>1</v>
      </c>
      <c r="AS6814">
        <v>1</v>
      </c>
      <c r="AT6814">
        <v>0</v>
      </c>
      <c r="AV6814">
        <v>1</v>
      </c>
      <c r="AW6814">
        <v>1</v>
      </c>
    </row>
    <row r="6815" spans="1:49" x14ac:dyDescent="0.25">
      <c r="A6815" t="str">
        <f>"6811"</f>
        <v>6811</v>
      </c>
      <c r="B6815" t="str">
        <f t="shared" si="396"/>
        <v>1</v>
      </c>
      <c r="C6815" t="str">
        <f t="shared" si="395"/>
        <v>298</v>
      </c>
      <c r="D6815" t="str">
        <f>"1"</f>
        <v>1</v>
      </c>
      <c r="E6815" t="str">
        <f>"1-298-1"</f>
        <v>1-298-1</v>
      </c>
      <c r="F6815" t="s">
        <v>83</v>
      </c>
      <c r="G6815" t="s">
        <v>84</v>
      </c>
      <c r="H6815" t="s">
        <v>85</v>
      </c>
      <c r="AC6815">
        <v>1</v>
      </c>
      <c r="AD6815">
        <v>0</v>
      </c>
      <c r="AE6815">
        <v>0</v>
      </c>
      <c r="AF6815">
        <v>0</v>
      </c>
      <c r="AG6815">
        <v>1</v>
      </c>
      <c r="AJ6815">
        <v>1</v>
      </c>
      <c r="AK6815">
        <v>0</v>
      </c>
      <c r="AL6815">
        <v>1</v>
      </c>
      <c r="AM6815">
        <v>0</v>
      </c>
      <c r="AN6815">
        <v>0</v>
      </c>
      <c r="AO6815">
        <v>1</v>
      </c>
      <c r="AP6815">
        <v>1</v>
      </c>
      <c r="AQ6815">
        <v>1</v>
      </c>
      <c r="AR6815">
        <v>1</v>
      </c>
      <c r="AS6815">
        <v>1</v>
      </c>
      <c r="AT6815">
        <v>0</v>
      </c>
      <c r="AV6815">
        <v>1</v>
      </c>
      <c r="AW6815">
        <v>1</v>
      </c>
    </row>
    <row r="6816" spans="1:49" x14ac:dyDescent="0.25">
      <c r="A6816" t="str">
        <f>"6812"</f>
        <v>6812</v>
      </c>
      <c r="B6816" t="str">
        <f t="shared" si="396"/>
        <v>1</v>
      </c>
      <c r="C6816" t="str">
        <f t="shared" si="395"/>
        <v>298</v>
      </c>
      <c r="D6816" t="str">
        <f>"25"</f>
        <v>25</v>
      </c>
      <c r="E6816" t="str">
        <f>"1-298-25"</f>
        <v>1-298-25</v>
      </c>
      <c r="F6816" t="s">
        <v>83</v>
      </c>
      <c r="G6816" t="s">
        <v>84</v>
      </c>
      <c r="H6816" t="s">
        <v>85</v>
      </c>
      <c r="AC6816">
        <v>0</v>
      </c>
      <c r="AD6816">
        <v>1</v>
      </c>
      <c r="AE6816">
        <v>0</v>
      </c>
      <c r="AF6816">
        <v>0</v>
      </c>
      <c r="AG6816">
        <v>0</v>
      </c>
      <c r="AJ6816">
        <v>1</v>
      </c>
      <c r="AK6816">
        <v>0</v>
      </c>
      <c r="AL6816">
        <v>0</v>
      </c>
      <c r="AM6816">
        <v>0</v>
      </c>
      <c r="AN6816">
        <v>0</v>
      </c>
      <c r="AO6816">
        <v>0</v>
      </c>
      <c r="AP6816">
        <v>0</v>
      </c>
      <c r="AQ6816">
        <v>0</v>
      </c>
      <c r="AR6816">
        <v>0</v>
      </c>
      <c r="AS6816">
        <v>1</v>
      </c>
      <c r="AT6816">
        <v>0</v>
      </c>
      <c r="AV6816">
        <v>0</v>
      </c>
      <c r="AW6816">
        <v>1</v>
      </c>
    </row>
    <row r="6817" spans="1:49" x14ac:dyDescent="0.25">
      <c r="A6817" t="str">
        <f>"6813"</f>
        <v>6813</v>
      </c>
      <c r="B6817" t="str">
        <f t="shared" si="396"/>
        <v>1</v>
      </c>
      <c r="C6817" t="str">
        <f t="shared" si="395"/>
        <v>298</v>
      </c>
      <c r="D6817" t="str">
        <f>"24"</f>
        <v>24</v>
      </c>
      <c r="E6817" t="str">
        <f>"1-298-24"</f>
        <v>1-298-24</v>
      </c>
      <c r="F6817" t="s">
        <v>83</v>
      </c>
      <c r="G6817" t="s">
        <v>84</v>
      </c>
      <c r="H6817" t="s">
        <v>85</v>
      </c>
      <c r="AC6817">
        <v>0</v>
      </c>
      <c r="AD6817">
        <v>1</v>
      </c>
      <c r="AE6817">
        <v>0</v>
      </c>
      <c r="AF6817">
        <v>0</v>
      </c>
      <c r="AG6817">
        <v>1</v>
      </c>
      <c r="AJ6817">
        <v>0</v>
      </c>
      <c r="AK6817">
        <v>1</v>
      </c>
      <c r="AL6817">
        <v>1</v>
      </c>
      <c r="AM6817">
        <v>0</v>
      </c>
      <c r="AN6817">
        <v>0</v>
      </c>
      <c r="AO6817">
        <v>1</v>
      </c>
      <c r="AP6817">
        <v>1</v>
      </c>
      <c r="AQ6817">
        <v>1</v>
      </c>
      <c r="AR6817">
        <v>1</v>
      </c>
      <c r="AS6817">
        <v>0</v>
      </c>
      <c r="AT6817">
        <v>1</v>
      </c>
      <c r="AV6817">
        <v>1</v>
      </c>
      <c r="AW6817">
        <v>1</v>
      </c>
    </row>
    <row r="6818" spans="1:49" x14ac:dyDescent="0.25">
      <c r="A6818" t="str">
        <f>"6814"</f>
        <v>6814</v>
      </c>
      <c r="B6818" t="str">
        <f t="shared" si="396"/>
        <v>1</v>
      </c>
      <c r="C6818" t="str">
        <f t="shared" si="395"/>
        <v>298</v>
      </c>
      <c r="D6818" t="str">
        <f>"18"</f>
        <v>18</v>
      </c>
      <c r="E6818" t="str">
        <f>"1-298-18"</f>
        <v>1-298-18</v>
      </c>
      <c r="F6818" t="s">
        <v>83</v>
      </c>
      <c r="G6818" t="s">
        <v>84</v>
      </c>
      <c r="H6818" t="s">
        <v>85</v>
      </c>
      <c r="AC6818">
        <v>0</v>
      </c>
      <c r="AD6818">
        <v>1</v>
      </c>
      <c r="AE6818">
        <v>0</v>
      </c>
      <c r="AF6818">
        <v>0</v>
      </c>
      <c r="AG6818">
        <v>0</v>
      </c>
      <c r="AJ6818">
        <v>1</v>
      </c>
      <c r="AK6818">
        <v>0</v>
      </c>
      <c r="AL6818">
        <v>0</v>
      </c>
      <c r="AM6818">
        <v>0</v>
      </c>
      <c r="AN6818">
        <v>1</v>
      </c>
      <c r="AO6818">
        <v>0</v>
      </c>
      <c r="AP6818">
        <v>0</v>
      </c>
      <c r="AQ6818">
        <v>0</v>
      </c>
      <c r="AR6818">
        <v>1</v>
      </c>
      <c r="AS6818">
        <v>0</v>
      </c>
      <c r="AT6818">
        <v>1</v>
      </c>
      <c r="AV6818">
        <v>0</v>
      </c>
      <c r="AW6818">
        <v>1</v>
      </c>
    </row>
    <row r="6819" spans="1:49" x14ac:dyDescent="0.25">
      <c r="A6819" t="str">
        <f>"6815"</f>
        <v>6815</v>
      </c>
      <c r="B6819" t="str">
        <f t="shared" si="396"/>
        <v>1</v>
      </c>
      <c r="C6819" t="str">
        <f t="shared" si="395"/>
        <v>298</v>
      </c>
      <c r="D6819" t="str">
        <f>"10"</f>
        <v>10</v>
      </c>
      <c r="E6819" t="str">
        <f>"1-298-10"</f>
        <v>1-298-10</v>
      </c>
      <c r="F6819" t="s">
        <v>83</v>
      </c>
      <c r="G6819" t="s">
        <v>84</v>
      </c>
      <c r="H6819" t="s">
        <v>85</v>
      </c>
      <c r="AC6819">
        <v>1</v>
      </c>
      <c r="AD6819">
        <v>0</v>
      </c>
      <c r="AE6819">
        <v>0</v>
      </c>
      <c r="AF6819">
        <v>0</v>
      </c>
      <c r="AG6819">
        <v>1</v>
      </c>
      <c r="AJ6819">
        <v>1</v>
      </c>
      <c r="AK6819">
        <v>0</v>
      </c>
      <c r="AL6819">
        <v>1</v>
      </c>
      <c r="AM6819">
        <v>0</v>
      </c>
      <c r="AN6819">
        <v>0</v>
      </c>
      <c r="AO6819">
        <v>1</v>
      </c>
      <c r="AP6819">
        <v>1</v>
      </c>
      <c r="AQ6819">
        <v>1</v>
      </c>
      <c r="AR6819">
        <v>1</v>
      </c>
      <c r="AS6819">
        <v>0</v>
      </c>
      <c r="AT6819">
        <v>1</v>
      </c>
      <c r="AV6819">
        <v>1</v>
      </c>
      <c r="AW6819">
        <v>1</v>
      </c>
    </row>
    <row r="6820" spans="1:49" x14ac:dyDescent="0.25">
      <c r="A6820" t="str">
        <f>"6816"</f>
        <v>6816</v>
      </c>
      <c r="B6820" t="str">
        <f t="shared" si="396"/>
        <v>1</v>
      </c>
      <c r="C6820" t="str">
        <f t="shared" si="395"/>
        <v>298</v>
      </c>
      <c r="D6820" t="str">
        <f>"6"</f>
        <v>6</v>
      </c>
      <c r="E6820" t="str">
        <f>"1-298-6"</f>
        <v>1-298-6</v>
      </c>
      <c r="F6820" t="s">
        <v>83</v>
      </c>
      <c r="G6820" t="s">
        <v>84</v>
      </c>
      <c r="H6820" t="s">
        <v>85</v>
      </c>
      <c r="AC6820">
        <v>0</v>
      </c>
      <c r="AD6820">
        <v>1</v>
      </c>
      <c r="AE6820">
        <v>0</v>
      </c>
      <c r="AF6820">
        <v>0</v>
      </c>
      <c r="AG6820">
        <v>1</v>
      </c>
      <c r="AJ6820">
        <v>0</v>
      </c>
      <c r="AK6820">
        <v>1</v>
      </c>
      <c r="AL6820">
        <v>0</v>
      </c>
      <c r="AM6820">
        <v>0</v>
      </c>
      <c r="AN6820">
        <v>1</v>
      </c>
      <c r="AO6820">
        <v>1</v>
      </c>
      <c r="AP6820">
        <v>1</v>
      </c>
      <c r="AQ6820">
        <v>1</v>
      </c>
      <c r="AR6820">
        <v>1</v>
      </c>
      <c r="AS6820">
        <v>1</v>
      </c>
      <c r="AT6820">
        <v>0</v>
      </c>
      <c r="AV6820">
        <v>1</v>
      </c>
      <c r="AW6820">
        <v>1</v>
      </c>
    </row>
    <row r="6821" spans="1:49" x14ac:dyDescent="0.25">
      <c r="A6821" t="str">
        <f>"6817"</f>
        <v>6817</v>
      </c>
      <c r="B6821" t="str">
        <f t="shared" si="396"/>
        <v>1</v>
      </c>
      <c r="C6821" t="str">
        <f t="shared" si="395"/>
        <v>298</v>
      </c>
      <c r="D6821" t="str">
        <f>"22"</f>
        <v>22</v>
      </c>
      <c r="E6821" t="str">
        <f>"1-298-22"</f>
        <v>1-298-22</v>
      </c>
      <c r="F6821" t="s">
        <v>83</v>
      </c>
      <c r="G6821" t="s">
        <v>84</v>
      </c>
      <c r="H6821" t="s">
        <v>85</v>
      </c>
      <c r="AC6821">
        <v>1</v>
      </c>
      <c r="AD6821">
        <v>0</v>
      </c>
      <c r="AE6821">
        <v>0</v>
      </c>
      <c r="AF6821">
        <v>0</v>
      </c>
      <c r="AG6821">
        <v>0</v>
      </c>
      <c r="AJ6821">
        <v>1</v>
      </c>
      <c r="AK6821">
        <v>0</v>
      </c>
      <c r="AL6821">
        <v>0</v>
      </c>
      <c r="AM6821">
        <v>1</v>
      </c>
      <c r="AN6821">
        <v>0</v>
      </c>
      <c r="AO6821">
        <v>0</v>
      </c>
      <c r="AP6821">
        <v>0</v>
      </c>
      <c r="AQ6821">
        <v>0</v>
      </c>
      <c r="AR6821">
        <v>0</v>
      </c>
      <c r="AS6821">
        <v>1</v>
      </c>
      <c r="AT6821">
        <v>0</v>
      </c>
      <c r="AV6821">
        <v>0</v>
      </c>
      <c r="AW6821">
        <v>1</v>
      </c>
    </row>
    <row r="6822" spans="1:49" x14ac:dyDescent="0.25">
      <c r="A6822" t="str">
        <f>"6818"</f>
        <v>6818</v>
      </c>
      <c r="B6822" t="str">
        <f t="shared" si="396"/>
        <v>1</v>
      </c>
      <c r="C6822" t="str">
        <f t="shared" si="395"/>
        <v>298</v>
      </c>
      <c r="D6822" t="str">
        <f>"17"</f>
        <v>17</v>
      </c>
      <c r="E6822" t="str">
        <f>"1-298-17"</f>
        <v>1-298-17</v>
      </c>
      <c r="F6822" t="s">
        <v>83</v>
      </c>
      <c r="G6822" t="s">
        <v>84</v>
      </c>
      <c r="H6822" t="s">
        <v>85</v>
      </c>
      <c r="AC6822">
        <v>1</v>
      </c>
      <c r="AD6822">
        <v>0</v>
      </c>
      <c r="AE6822">
        <v>0</v>
      </c>
      <c r="AF6822">
        <v>0</v>
      </c>
      <c r="AG6822">
        <v>1</v>
      </c>
      <c r="AJ6822">
        <v>1</v>
      </c>
      <c r="AK6822">
        <v>0</v>
      </c>
      <c r="AL6822">
        <v>1</v>
      </c>
      <c r="AM6822">
        <v>0</v>
      </c>
      <c r="AN6822">
        <v>0</v>
      </c>
      <c r="AO6822">
        <v>1</v>
      </c>
      <c r="AP6822">
        <v>1</v>
      </c>
      <c r="AQ6822">
        <v>1</v>
      </c>
      <c r="AR6822">
        <v>1</v>
      </c>
      <c r="AS6822">
        <v>0</v>
      </c>
      <c r="AT6822">
        <v>1</v>
      </c>
      <c r="AV6822">
        <v>1</v>
      </c>
      <c r="AW6822">
        <v>1</v>
      </c>
    </row>
    <row r="6823" spans="1:49" x14ac:dyDescent="0.25">
      <c r="A6823" t="str">
        <f>"6819"</f>
        <v>6819</v>
      </c>
      <c r="B6823" t="str">
        <f t="shared" si="396"/>
        <v>1</v>
      </c>
      <c r="C6823" t="str">
        <f t="shared" si="395"/>
        <v>298</v>
      </c>
      <c r="D6823" t="str">
        <f>"11"</f>
        <v>11</v>
      </c>
      <c r="E6823" t="str">
        <f>"1-298-11"</f>
        <v>1-298-11</v>
      </c>
      <c r="F6823" t="s">
        <v>83</v>
      </c>
      <c r="G6823" t="s">
        <v>84</v>
      </c>
      <c r="H6823" t="s">
        <v>85</v>
      </c>
      <c r="AC6823">
        <v>1</v>
      </c>
      <c r="AD6823">
        <v>0</v>
      </c>
      <c r="AE6823">
        <v>0</v>
      </c>
      <c r="AF6823">
        <v>0</v>
      </c>
      <c r="AG6823">
        <v>1</v>
      </c>
      <c r="AJ6823">
        <v>1</v>
      </c>
      <c r="AK6823">
        <v>0</v>
      </c>
      <c r="AL6823">
        <v>1</v>
      </c>
      <c r="AM6823">
        <v>0</v>
      </c>
      <c r="AN6823">
        <v>0</v>
      </c>
      <c r="AO6823">
        <v>1</v>
      </c>
      <c r="AP6823">
        <v>1</v>
      </c>
      <c r="AQ6823">
        <v>1</v>
      </c>
      <c r="AR6823">
        <v>1</v>
      </c>
      <c r="AS6823">
        <v>0</v>
      </c>
      <c r="AT6823">
        <v>1</v>
      </c>
      <c r="AV6823">
        <v>1</v>
      </c>
      <c r="AW6823">
        <v>1</v>
      </c>
    </row>
    <row r="6824" spans="1:49" x14ac:dyDescent="0.25">
      <c r="A6824" t="str">
        <f>"6820"</f>
        <v>6820</v>
      </c>
      <c r="B6824" t="str">
        <f t="shared" si="396"/>
        <v>1</v>
      </c>
      <c r="C6824" t="str">
        <f t="shared" si="395"/>
        <v>298</v>
      </c>
      <c r="D6824" t="str">
        <f>"19"</f>
        <v>19</v>
      </c>
      <c r="E6824" t="str">
        <f>"1-298-19"</f>
        <v>1-298-19</v>
      </c>
      <c r="F6824" t="s">
        <v>83</v>
      </c>
      <c r="G6824" t="s">
        <v>84</v>
      </c>
      <c r="H6824" t="s">
        <v>85</v>
      </c>
      <c r="AC6824">
        <v>0</v>
      </c>
      <c r="AD6824">
        <v>1</v>
      </c>
      <c r="AE6824">
        <v>0</v>
      </c>
      <c r="AF6824">
        <v>0</v>
      </c>
      <c r="AG6824">
        <v>0</v>
      </c>
      <c r="AJ6824">
        <v>1</v>
      </c>
      <c r="AK6824">
        <v>0</v>
      </c>
      <c r="AL6824">
        <v>0</v>
      </c>
      <c r="AM6824">
        <v>0</v>
      </c>
      <c r="AN6824">
        <v>1</v>
      </c>
      <c r="AO6824">
        <v>0</v>
      </c>
      <c r="AP6824">
        <v>0</v>
      </c>
      <c r="AQ6824">
        <v>0</v>
      </c>
      <c r="AR6824">
        <v>1</v>
      </c>
      <c r="AS6824">
        <v>0</v>
      </c>
      <c r="AT6824">
        <v>1</v>
      </c>
      <c r="AV6824">
        <v>0</v>
      </c>
      <c r="AW6824">
        <v>1</v>
      </c>
    </row>
    <row r="6825" spans="1:49" x14ac:dyDescent="0.25">
      <c r="A6825" t="str">
        <f>"6821"</f>
        <v>6821</v>
      </c>
      <c r="B6825" t="str">
        <f t="shared" si="396"/>
        <v>1</v>
      </c>
      <c r="C6825" t="str">
        <f t="shared" si="395"/>
        <v>298</v>
      </c>
      <c r="D6825" t="str">
        <f>"12"</f>
        <v>12</v>
      </c>
      <c r="E6825" t="str">
        <f>"1-298-12"</f>
        <v>1-298-12</v>
      </c>
      <c r="F6825" t="s">
        <v>83</v>
      </c>
      <c r="G6825" t="s">
        <v>84</v>
      </c>
      <c r="H6825" t="s">
        <v>85</v>
      </c>
      <c r="AC6825">
        <v>1</v>
      </c>
      <c r="AD6825">
        <v>0</v>
      </c>
      <c r="AE6825">
        <v>0</v>
      </c>
      <c r="AF6825">
        <v>0</v>
      </c>
      <c r="AG6825">
        <v>1</v>
      </c>
      <c r="AJ6825">
        <v>1</v>
      </c>
      <c r="AK6825">
        <v>0</v>
      </c>
      <c r="AL6825">
        <v>1</v>
      </c>
      <c r="AM6825">
        <v>0</v>
      </c>
      <c r="AN6825">
        <v>0</v>
      </c>
      <c r="AO6825">
        <v>1</v>
      </c>
      <c r="AP6825">
        <v>1</v>
      </c>
      <c r="AQ6825">
        <v>1</v>
      </c>
      <c r="AR6825">
        <v>1</v>
      </c>
      <c r="AS6825">
        <v>0</v>
      </c>
      <c r="AT6825">
        <v>1</v>
      </c>
      <c r="AV6825">
        <v>1</v>
      </c>
      <c r="AW6825">
        <v>1</v>
      </c>
    </row>
    <row r="6826" spans="1:49" x14ac:dyDescent="0.25">
      <c r="A6826" t="str">
        <f>"6822"</f>
        <v>6822</v>
      </c>
      <c r="B6826" t="str">
        <f t="shared" si="396"/>
        <v>1</v>
      </c>
      <c r="C6826" t="str">
        <f t="shared" si="395"/>
        <v>298</v>
      </c>
      <c r="D6826" t="str">
        <f>"3"</f>
        <v>3</v>
      </c>
      <c r="E6826" t="str">
        <f>"1-298-3"</f>
        <v>1-298-3</v>
      </c>
      <c r="F6826" t="s">
        <v>83</v>
      </c>
      <c r="G6826" t="s">
        <v>84</v>
      </c>
      <c r="H6826" t="s">
        <v>85</v>
      </c>
      <c r="AC6826">
        <v>1</v>
      </c>
      <c r="AD6826">
        <v>0</v>
      </c>
      <c r="AE6826">
        <v>0</v>
      </c>
      <c r="AF6826">
        <v>0</v>
      </c>
      <c r="AG6826">
        <v>1</v>
      </c>
      <c r="AJ6826">
        <v>1</v>
      </c>
      <c r="AK6826">
        <v>0</v>
      </c>
      <c r="AL6826">
        <v>1</v>
      </c>
      <c r="AM6826">
        <v>0</v>
      </c>
      <c r="AN6826">
        <v>0</v>
      </c>
      <c r="AO6826">
        <v>1</v>
      </c>
      <c r="AP6826">
        <v>1</v>
      </c>
      <c r="AQ6826">
        <v>1</v>
      </c>
      <c r="AR6826">
        <v>1</v>
      </c>
      <c r="AS6826">
        <v>0</v>
      </c>
      <c r="AT6826">
        <v>1</v>
      </c>
      <c r="AV6826">
        <v>1</v>
      </c>
      <c r="AW6826">
        <v>1</v>
      </c>
    </row>
    <row r="6827" spans="1:49" x14ac:dyDescent="0.25">
      <c r="A6827" t="str">
        <f>"6823"</f>
        <v>6823</v>
      </c>
      <c r="B6827" t="str">
        <f t="shared" si="396"/>
        <v>1</v>
      </c>
      <c r="C6827" t="str">
        <f t="shared" si="395"/>
        <v>298</v>
      </c>
      <c r="D6827" t="str">
        <f>"13"</f>
        <v>13</v>
      </c>
      <c r="E6827" t="str">
        <f>"1-298-13"</f>
        <v>1-298-13</v>
      </c>
      <c r="F6827" t="s">
        <v>83</v>
      </c>
      <c r="G6827" t="s">
        <v>84</v>
      </c>
      <c r="H6827" t="s">
        <v>85</v>
      </c>
      <c r="AC6827">
        <v>0</v>
      </c>
      <c r="AD6827">
        <v>1</v>
      </c>
      <c r="AE6827">
        <v>0</v>
      </c>
      <c r="AF6827">
        <v>0</v>
      </c>
      <c r="AG6827">
        <v>0</v>
      </c>
      <c r="AJ6827">
        <v>0</v>
      </c>
      <c r="AK6827">
        <v>1</v>
      </c>
      <c r="AL6827">
        <v>1</v>
      </c>
      <c r="AM6827">
        <v>0</v>
      </c>
      <c r="AN6827">
        <v>0</v>
      </c>
      <c r="AO6827">
        <v>0</v>
      </c>
      <c r="AP6827">
        <v>0</v>
      </c>
      <c r="AQ6827">
        <v>0</v>
      </c>
      <c r="AR6827">
        <v>0</v>
      </c>
      <c r="AS6827">
        <v>0</v>
      </c>
      <c r="AT6827">
        <v>1</v>
      </c>
      <c r="AV6827">
        <v>0</v>
      </c>
      <c r="AW6827">
        <v>0</v>
      </c>
    </row>
    <row r="6828" spans="1:49" x14ac:dyDescent="0.25">
      <c r="A6828" t="str">
        <f>"6824"</f>
        <v>6824</v>
      </c>
      <c r="B6828" t="str">
        <f t="shared" si="396"/>
        <v>1</v>
      </c>
      <c r="C6828" t="str">
        <f t="shared" si="395"/>
        <v>298</v>
      </c>
      <c r="D6828" t="str">
        <f>"2"</f>
        <v>2</v>
      </c>
      <c r="E6828" t="str">
        <f>"1-298-2"</f>
        <v>1-298-2</v>
      </c>
      <c r="F6828" t="s">
        <v>83</v>
      </c>
      <c r="G6828" t="s">
        <v>84</v>
      </c>
      <c r="H6828" t="s">
        <v>85</v>
      </c>
      <c r="AC6828">
        <v>1</v>
      </c>
      <c r="AD6828">
        <v>0</v>
      </c>
      <c r="AE6828">
        <v>0</v>
      </c>
      <c r="AF6828">
        <v>0</v>
      </c>
      <c r="AG6828">
        <v>1</v>
      </c>
      <c r="AJ6828">
        <v>1</v>
      </c>
      <c r="AK6828">
        <v>0</v>
      </c>
      <c r="AL6828">
        <v>1</v>
      </c>
      <c r="AM6828">
        <v>0</v>
      </c>
      <c r="AN6828">
        <v>0</v>
      </c>
      <c r="AO6828">
        <v>1</v>
      </c>
      <c r="AP6828">
        <v>1</v>
      </c>
      <c r="AQ6828">
        <v>1</v>
      </c>
      <c r="AR6828">
        <v>1</v>
      </c>
      <c r="AS6828">
        <v>0</v>
      </c>
      <c r="AT6828">
        <v>1</v>
      </c>
      <c r="AV6828">
        <v>1</v>
      </c>
      <c r="AW6828">
        <v>1</v>
      </c>
    </row>
    <row r="6829" spans="1:49" x14ac:dyDescent="0.25">
      <c r="A6829" t="str">
        <f>"6825"</f>
        <v>6825</v>
      </c>
      <c r="B6829" t="str">
        <f t="shared" si="396"/>
        <v>1</v>
      </c>
      <c r="C6829" t="str">
        <f t="shared" si="395"/>
        <v>298</v>
      </c>
      <c r="D6829" t="str">
        <f>"14"</f>
        <v>14</v>
      </c>
      <c r="E6829" t="str">
        <f>"1-298-14"</f>
        <v>1-298-14</v>
      </c>
      <c r="F6829" t="s">
        <v>83</v>
      </c>
      <c r="G6829" t="s">
        <v>84</v>
      </c>
      <c r="H6829" t="s">
        <v>85</v>
      </c>
      <c r="AC6829">
        <v>0</v>
      </c>
      <c r="AD6829">
        <v>1</v>
      </c>
      <c r="AE6829">
        <v>0</v>
      </c>
      <c r="AF6829">
        <v>0</v>
      </c>
      <c r="AG6829">
        <v>1</v>
      </c>
      <c r="AJ6829">
        <v>0</v>
      </c>
      <c r="AK6829">
        <v>1</v>
      </c>
      <c r="AL6829">
        <v>1</v>
      </c>
      <c r="AM6829">
        <v>0</v>
      </c>
      <c r="AN6829">
        <v>0</v>
      </c>
      <c r="AO6829">
        <v>1</v>
      </c>
      <c r="AP6829">
        <v>1</v>
      </c>
      <c r="AQ6829">
        <v>1</v>
      </c>
      <c r="AR6829">
        <v>1</v>
      </c>
      <c r="AS6829">
        <v>1</v>
      </c>
      <c r="AT6829">
        <v>0</v>
      </c>
      <c r="AV6829">
        <v>1</v>
      </c>
      <c r="AW6829">
        <v>1</v>
      </c>
    </row>
    <row r="6830" spans="1:49" x14ac:dyDescent="0.25">
      <c r="A6830" t="str">
        <f>"6826"</f>
        <v>6826</v>
      </c>
      <c r="B6830" t="str">
        <f t="shared" si="396"/>
        <v>1</v>
      </c>
      <c r="C6830" t="str">
        <f t="shared" si="395"/>
        <v>298</v>
      </c>
      <c r="D6830" t="str">
        <f>"7"</f>
        <v>7</v>
      </c>
      <c r="E6830" t="str">
        <f>"1-298-7"</f>
        <v>1-298-7</v>
      </c>
      <c r="F6830" t="s">
        <v>83</v>
      </c>
      <c r="G6830" t="s">
        <v>84</v>
      </c>
      <c r="H6830" t="s">
        <v>85</v>
      </c>
      <c r="AC6830">
        <v>1</v>
      </c>
      <c r="AD6830">
        <v>0</v>
      </c>
      <c r="AE6830">
        <v>0</v>
      </c>
      <c r="AF6830">
        <v>0</v>
      </c>
      <c r="AG6830">
        <v>0</v>
      </c>
      <c r="AJ6830">
        <v>1</v>
      </c>
      <c r="AK6830">
        <v>0</v>
      </c>
      <c r="AL6830">
        <v>1</v>
      </c>
      <c r="AM6830">
        <v>0</v>
      </c>
      <c r="AN6830">
        <v>0</v>
      </c>
      <c r="AO6830">
        <v>0</v>
      </c>
      <c r="AP6830">
        <v>0</v>
      </c>
      <c r="AQ6830">
        <v>0</v>
      </c>
      <c r="AR6830">
        <v>0</v>
      </c>
      <c r="AS6830">
        <v>1</v>
      </c>
      <c r="AT6830">
        <v>0</v>
      </c>
      <c r="AV6830">
        <v>0</v>
      </c>
      <c r="AW6830">
        <v>1</v>
      </c>
    </row>
    <row r="6831" spans="1:49" x14ac:dyDescent="0.25">
      <c r="A6831" t="str">
        <f>"6827"</f>
        <v>6827</v>
      </c>
      <c r="B6831" t="str">
        <f t="shared" si="396"/>
        <v>1</v>
      </c>
      <c r="C6831" t="str">
        <f t="shared" si="395"/>
        <v>298</v>
      </c>
      <c r="D6831" t="str">
        <f>"4"</f>
        <v>4</v>
      </c>
      <c r="E6831" t="str">
        <f>"1-298-4"</f>
        <v>1-298-4</v>
      </c>
      <c r="F6831" t="s">
        <v>83</v>
      </c>
      <c r="G6831" t="s">
        <v>84</v>
      </c>
      <c r="H6831" t="s">
        <v>85</v>
      </c>
      <c r="AC6831">
        <v>1</v>
      </c>
      <c r="AD6831">
        <v>0</v>
      </c>
      <c r="AE6831">
        <v>0</v>
      </c>
      <c r="AF6831">
        <v>0</v>
      </c>
      <c r="AG6831">
        <v>1</v>
      </c>
      <c r="AJ6831">
        <v>1</v>
      </c>
      <c r="AK6831">
        <v>0</v>
      </c>
      <c r="AL6831">
        <v>1</v>
      </c>
      <c r="AM6831">
        <v>0</v>
      </c>
      <c r="AN6831">
        <v>0</v>
      </c>
      <c r="AO6831">
        <v>0</v>
      </c>
      <c r="AP6831">
        <v>0</v>
      </c>
      <c r="AQ6831">
        <v>1</v>
      </c>
      <c r="AR6831">
        <v>0</v>
      </c>
      <c r="AS6831">
        <v>1</v>
      </c>
      <c r="AT6831">
        <v>0</v>
      </c>
      <c r="AV6831">
        <v>1</v>
      </c>
      <c r="AW6831">
        <v>0</v>
      </c>
    </row>
    <row r="6832" spans="1:49" x14ac:dyDescent="0.25">
      <c r="A6832" t="str">
        <f>"6828"</f>
        <v>6828</v>
      </c>
      <c r="B6832" t="str">
        <f t="shared" si="396"/>
        <v>1</v>
      </c>
      <c r="C6832" t="str">
        <f t="shared" si="395"/>
        <v>298</v>
      </c>
      <c r="D6832" t="str">
        <f>"23"</f>
        <v>23</v>
      </c>
      <c r="E6832" t="str">
        <f>"1-298-23"</f>
        <v>1-298-23</v>
      </c>
      <c r="F6832" t="s">
        <v>83</v>
      </c>
      <c r="G6832" t="s">
        <v>84</v>
      </c>
      <c r="H6832" t="s">
        <v>85</v>
      </c>
      <c r="AC6832">
        <v>0</v>
      </c>
      <c r="AD6832">
        <v>1</v>
      </c>
      <c r="AE6832">
        <v>0</v>
      </c>
      <c r="AF6832">
        <v>0</v>
      </c>
      <c r="AG6832">
        <v>0</v>
      </c>
      <c r="AJ6832">
        <v>1</v>
      </c>
      <c r="AK6832">
        <v>0</v>
      </c>
      <c r="AL6832">
        <v>0</v>
      </c>
      <c r="AM6832">
        <v>1</v>
      </c>
      <c r="AN6832">
        <v>0</v>
      </c>
      <c r="AO6832">
        <v>0</v>
      </c>
      <c r="AP6832">
        <v>0</v>
      </c>
      <c r="AQ6832">
        <v>0</v>
      </c>
      <c r="AR6832">
        <v>0</v>
      </c>
      <c r="AS6832">
        <v>1</v>
      </c>
      <c r="AT6832">
        <v>0</v>
      </c>
      <c r="AV6832">
        <v>0</v>
      </c>
      <c r="AW6832">
        <v>1</v>
      </c>
    </row>
    <row r="6833" spans="1:49" x14ac:dyDescent="0.25">
      <c r="A6833" t="str">
        <f>"6829"</f>
        <v>6829</v>
      </c>
      <c r="B6833" t="str">
        <f t="shared" si="396"/>
        <v>1</v>
      </c>
      <c r="C6833" t="str">
        <f t="shared" ref="C6833:C6857" si="397">"299"</f>
        <v>299</v>
      </c>
      <c r="D6833" t="str">
        <f>"21"</f>
        <v>21</v>
      </c>
      <c r="E6833" t="str">
        <f>"1-299-21"</f>
        <v>1-299-21</v>
      </c>
      <c r="F6833" t="s">
        <v>83</v>
      </c>
      <c r="G6833" t="s">
        <v>84</v>
      </c>
      <c r="H6833" t="s">
        <v>85</v>
      </c>
      <c r="AC6833">
        <v>0</v>
      </c>
      <c r="AD6833">
        <v>1</v>
      </c>
      <c r="AE6833">
        <v>0</v>
      </c>
      <c r="AF6833">
        <v>0</v>
      </c>
      <c r="AG6833">
        <v>1</v>
      </c>
      <c r="AJ6833">
        <v>1</v>
      </c>
      <c r="AK6833">
        <v>0</v>
      </c>
      <c r="AL6833">
        <v>0</v>
      </c>
      <c r="AM6833">
        <v>1</v>
      </c>
      <c r="AN6833">
        <v>0</v>
      </c>
      <c r="AO6833">
        <v>1</v>
      </c>
      <c r="AP6833">
        <v>1</v>
      </c>
      <c r="AQ6833">
        <v>1</v>
      </c>
      <c r="AR6833">
        <v>1</v>
      </c>
      <c r="AS6833">
        <v>0</v>
      </c>
      <c r="AT6833">
        <v>1</v>
      </c>
      <c r="AV6833">
        <v>1</v>
      </c>
      <c r="AW6833">
        <v>1</v>
      </c>
    </row>
    <row r="6834" spans="1:49" x14ac:dyDescent="0.25">
      <c r="A6834" t="str">
        <f>"6830"</f>
        <v>6830</v>
      </c>
      <c r="B6834" t="str">
        <f t="shared" si="396"/>
        <v>1</v>
      </c>
      <c r="C6834" t="str">
        <f t="shared" si="397"/>
        <v>299</v>
      </c>
      <c r="D6834" t="str">
        <f>"20"</f>
        <v>20</v>
      </c>
      <c r="E6834" t="str">
        <f>"1-299-20"</f>
        <v>1-299-20</v>
      </c>
      <c r="F6834" t="s">
        <v>83</v>
      </c>
      <c r="G6834" t="s">
        <v>84</v>
      </c>
      <c r="H6834" t="s">
        <v>85</v>
      </c>
      <c r="AC6834">
        <v>0</v>
      </c>
      <c r="AD6834">
        <v>1</v>
      </c>
      <c r="AE6834">
        <v>0</v>
      </c>
      <c r="AF6834">
        <v>0</v>
      </c>
      <c r="AG6834">
        <v>1</v>
      </c>
      <c r="AJ6834">
        <v>0</v>
      </c>
      <c r="AK6834">
        <v>1</v>
      </c>
      <c r="AL6834">
        <v>0</v>
      </c>
      <c r="AM6834">
        <v>0</v>
      </c>
      <c r="AN6834">
        <v>1</v>
      </c>
      <c r="AO6834">
        <v>1</v>
      </c>
      <c r="AP6834">
        <v>1</v>
      </c>
      <c r="AQ6834">
        <v>1</v>
      </c>
      <c r="AR6834">
        <v>1</v>
      </c>
      <c r="AS6834">
        <v>0</v>
      </c>
      <c r="AT6834">
        <v>1</v>
      </c>
      <c r="AV6834">
        <v>1</v>
      </c>
      <c r="AW6834">
        <v>1</v>
      </c>
    </row>
    <row r="6835" spans="1:49" x14ac:dyDescent="0.25">
      <c r="A6835" t="str">
        <f>"6831"</f>
        <v>6831</v>
      </c>
      <c r="B6835" t="str">
        <f t="shared" si="396"/>
        <v>1</v>
      </c>
      <c r="C6835" t="str">
        <f t="shared" si="397"/>
        <v>299</v>
      </c>
      <c r="D6835" t="str">
        <f>"15"</f>
        <v>15</v>
      </c>
      <c r="E6835" t="str">
        <f>"1-299-15"</f>
        <v>1-299-15</v>
      </c>
      <c r="F6835" t="s">
        <v>83</v>
      </c>
      <c r="G6835" t="s">
        <v>84</v>
      </c>
      <c r="H6835" t="s">
        <v>85</v>
      </c>
      <c r="AC6835">
        <v>0</v>
      </c>
      <c r="AD6835">
        <v>1</v>
      </c>
      <c r="AE6835">
        <v>0</v>
      </c>
      <c r="AF6835">
        <v>0</v>
      </c>
      <c r="AG6835">
        <v>1</v>
      </c>
      <c r="AJ6835">
        <v>0</v>
      </c>
      <c r="AK6835">
        <v>1</v>
      </c>
      <c r="AL6835">
        <v>0</v>
      </c>
      <c r="AM6835">
        <v>0</v>
      </c>
      <c r="AN6835">
        <v>1</v>
      </c>
      <c r="AO6835">
        <v>1</v>
      </c>
      <c r="AP6835">
        <v>1</v>
      </c>
      <c r="AQ6835">
        <v>1</v>
      </c>
      <c r="AR6835">
        <v>1</v>
      </c>
      <c r="AS6835">
        <v>0</v>
      </c>
      <c r="AT6835">
        <v>1</v>
      </c>
      <c r="AV6835">
        <v>0</v>
      </c>
      <c r="AW6835">
        <v>1</v>
      </c>
    </row>
    <row r="6836" spans="1:49" x14ac:dyDescent="0.25">
      <c r="A6836" t="str">
        <f>"6832"</f>
        <v>6832</v>
      </c>
      <c r="B6836" t="str">
        <f t="shared" si="396"/>
        <v>1</v>
      </c>
      <c r="C6836" t="str">
        <f t="shared" si="397"/>
        <v>299</v>
      </c>
      <c r="D6836" t="str">
        <f>"8"</f>
        <v>8</v>
      </c>
      <c r="E6836" t="str">
        <f>"1-299-8"</f>
        <v>1-299-8</v>
      </c>
      <c r="F6836" t="s">
        <v>83</v>
      </c>
      <c r="G6836" t="s">
        <v>84</v>
      </c>
      <c r="H6836" t="s">
        <v>85</v>
      </c>
      <c r="AC6836">
        <v>1</v>
      </c>
      <c r="AD6836">
        <v>0</v>
      </c>
      <c r="AE6836">
        <v>0</v>
      </c>
      <c r="AF6836">
        <v>0</v>
      </c>
      <c r="AG6836">
        <v>1</v>
      </c>
      <c r="AJ6836">
        <v>1</v>
      </c>
      <c r="AK6836">
        <v>0</v>
      </c>
      <c r="AL6836">
        <v>0</v>
      </c>
      <c r="AM6836">
        <v>1</v>
      </c>
      <c r="AN6836">
        <v>0</v>
      </c>
      <c r="AO6836">
        <v>1</v>
      </c>
      <c r="AP6836">
        <v>1</v>
      </c>
      <c r="AQ6836">
        <v>1</v>
      </c>
      <c r="AR6836">
        <v>1</v>
      </c>
      <c r="AS6836">
        <v>0</v>
      </c>
      <c r="AT6836">
        <v>1</v>
      </c>
      <c r="AV6836">
        <v>1</v>
      </c>
      <c r="AW6836">
        <v>1</v>
      </c>
    </row>
    <row r="6837" spans="1:49" x14ac:dyDescent="0.25">
      <c r="A6837" t="str">
        <f>"6833"</f>
        <v>6833</v>
      </c>
      <c r="B6837" t="str">
        <f t="shared" si="396"/>
        <v>1</v>
      </c>
      <c r="C6837" t="str">
        <f t="shared" si="397"/>
        <v>299</v>
      </c>
      <c r="D6837" t="str">
        <f>"3"</f>
        <v>3</v>
      </c>
      <c r="E6837" t="str">
        <f>"1-299-3"</f>
        <v>1-299-3</v>
      </c>
      <c r="F6837" t="s">
        <v>83</v>
      </c>
      <c r="G6837" t="s">
        <v>84</v>
      </c>
      <c r="H6837" t="s">
        <v>85</v>
      </c>
      <c r="AC6837">
        <v>0</v>
      </c>
      <c r="AD6837">
        <v>1</v>
      </c>
      <c r="AE6837">
        <v>0</v>
      </c>
      <c r="AF6837">
        <v>0</v>
      </c>
      <c r="AG6837">
        <v>0</v>
      </c>
      <c r="AJ6837">
        <v>0</v>
      </c>
      <c r="AK6837">
        <v>1</v>
      </c>
      <c r="AL6837">
        <v>0</v>
      </c>
      <c r="AM6837">
        <v>0</v>
      </c>
      <c r="AN6837">
        <v>0</v>
      </c>
      <c r="AO6837">
        <v>0</v>
      </c>
      <c r="AP6837">
        <v>0</v>
      </c>
      <c r="AQ6837">
        <v>0</v>
      </c>
      <c r="AR6837">
        <v>0</v>
      </c>
      <c r="AS6837">
        <v>0</v>
      </c>
      <c r="AT6837">
        <v>0</v>
      </c>
      <c r="AV6837">
        <v>0</v>
      </c>
      <c r="AW6837">
        <v>0</v>
      </c>
    </row>
    <row r="6838" spans="1:49" x14ac:dyDescent="0.25">
      <c r="A6838" t="str">
        <f>"6834"</f>
        <v>6834</v>
      </c>
      <c r="B6838" t="str">
        <f t="shared" si="396"/>
        <v>1</v>
      </c>
      <c r="C6838" t="str">
        <f t="shared" si="397"/>
        <v>299</v>
      </c>
      <c r="D6838" t="str">
        <f>"25"</f>
        <v>25</v>
      </c>
      <c r="E6838" t="str">
        <f>"1-299-25"</f>
        <v>1-299-25</v>
      </c>
      <c r="F6838" t="s">
        <v>83</v>
      </c>
      <c r="G6838" t="s">
        <v>84</v>
      </c>
      <c r="H6838" t="s">
        <v>85</v>
      </c>
      <c r="AC6838">
        <v>1</v>
      </c>
      <c r="AD6838">
        <v>0</v>
      </c>
      <c r="AE6838">
        <v>0</v>
      </c>
      <c r="AF6838">
        <v>0</v>
      </c>
      <c r="AG6838">
        <v>1</v>
      </c>
      <c r="AJ6838">
        <v>1</v>
      </c>
      <c r="AK6838">
        <v>0</v>
      </c>
      <c r="AL6838">
        <v>0</v>
      </c>
      <c r="AM6838">
        <v>1</v>
      </c>
      <c r="AN6838">
        <v>0</v>
      </c>
      <c r="AO6838">
        <v>1</v>
      </c>
      <c r="AP6838">
        <v>1</v>
      </c>
      <c r="AQ6838">
        <v>1</v>
      </c>
      <c r="AR6838">
        <v>1</v>
      </c>
      <c r="AS6838">
        <v>0</v>
      </c>
      <c r="AT6838">
        <v>1</v>
      </c>
      <c r="AV6838">
        <v>1</v>
      </c>
      <c r="AW6838">
        <v>1</v>
      </c>
    </row>
    <row r="6839" spans="1:49" x14ac:dyDescent="0.25">
      <c r="A6839" t="str">
        <f>"6835"</f>
        <v>6835</v>
      </c>
      <c r="B6839" t="str">
        <f t="shared" si="396"/>
        <v>1</v>
      </c>
      <c r="C6839" t="str">
        <f t="shared" si="397"/>
        <v>299</v>
      </c>
      <c r="D6839" t="str">
        <f>"24"</f>
        <v>24</v>
      </c>
      <c r="E6839" t="str">
        <f>"1-299-24"</f>
        <v>1-299-24</v>
      </c>
      <c r="F6839" t="s">
        <v>83</v>
      </c>
      <c r="G6839" t="s">
        <v>84</v>
      </c>
      <c r="H6839" t="s">
        <v>85</v>
      </c>
      <c r="AC6839">
        <v>0</v>
      </c>
      <c r="AD6839">
        <v>1</v>
      </c>
      <c r="AE6839">
        <v>0</v>
      </c>
      <c r="AF6839">
        <v>0</v>
      </c>
      <c r="AG6839">
        <v>1</v>
      </c>
      <c r="AJ6839">
        <v>1</v>
      </c>
      <c r="AK6839">
        <v>0</v>
      </c>
      <c r="AL6839">
        <v>0</v>
      </c>
      <c r="AM6839">
        <v>1</v>
      </c>
      <c r="AN6839">
        <v>0</v>
      </c>
      <c r="AO6839">
        <v>1</v>
      </c>
      <c r="AP6839">
        <v>1</v>
      </c>
      <c r="AQ6839">
        <v>1</v>
      </c>
      <c r="AR6839">
        <v>1</v>
      </c>
      <c r="AS6839">
        <v>0</v>
      </c>
      <c r="AT6839">
        <v>1</v>
      </c>
      <c r="AV6839">
        <v>1</v>
      </c>
      <c r="AW6839">
        <v>1</v>
      </c>
    </row>
    <row r="6840" spans="1:49" x14ac:dyDescent="0.25">
      <c r="A6840" t="str">
        <f>"6836"</f>
        <v>6836</v>
      </c>
      <c r="B6840" t="str">
        <f t="shared" si="396"/>
        <v>1</v>
      </c>
      <c r="C6840" t="str">
        <f t="shared" si="397"/>
        <v>299</v>
      </c>
      <c r="D6840" t="str">
        <f>"17"</f>
        <v>17</v>
      </c>
      <c r="E6840" t="str">
        <f>"1-299-17"</f>
        <v>1-299-17</v>
      </c>
      <c r="F6840" t="s">
        <v>83</v>
      </c>
      <c r="G6840" t="s">
        <v>88</v>
      </c>
      <c r="H6840" t="s">
        <v>89</v>
      </c>
      <c r="AC6840">
        <v>0</v>
      </c>
      <c r="AD6840">
        <v>0</v>
      </c>
      <c r="AE6840">
        <v>0</v>
      </c>
      <c r="AF6840">
        <v>0</v>
      </c>
      <c r="AH6840">
        <v>1</v>
      </c>
      <c r="AI6840">
        <v>0</v>
      </c>
      <c r="AJ6840">
        <v>0</v>
      </c>
      <c r="AK6840">
        <v>0</v>
      </c>
      <c r="AL6840">
        <v>0</v>
      </c>
      <c r="AM6840">
        <v>0</v>
      </c>
      <c r="AN6840">
        <v>0</v>
      </c>
      <c r="AO6840">
        <v>0</v>
      </c>
      <c r="AP6840">
        <v>0</v>
      </c>
      <c r="AQ6840">
        <v>0</v>
      </c>
      <c r="AR6840">
        <v>1</v>
      </c>
      <c r="AS6840">
        <v>0</v>
      </c>
      <c r="AT6840">
        <v>0</v>
      </c>
      <c r="AV6840">
        <v>1</v>
      </c>
      <c r="AW6840">
        <v>1</v>
      </c>
    </row>
    <row r="6841" spans="1:49" x14ac:dyDescent="0.25">
      <c r="A6841" t="str">
        <f>"6837"</f>
        <v>6837</v>
      </c>
      <c r="B6841" t="str">
        <f t="shared" si="396"/>
        <v>1</v>
      </c>
      <c r="C6841" t="str">
        <f t="shared" si="397"/>
        <v>299</v>
      </c>
      <c r="D6841" t="str">
        <f>"9"</f>
        <v>9</v>
      </c>
      <c r="E6841" t="str">
        <f>"1-299-9"</f>
        <v>1-299-9</v>
      </c>
      <c r="F6841" t="s">
        <v>83</v>
      </c>
      <c r="G6841" t="s">
        <v>84</v>
      </c>
      <c r="H6841" t="s">
        <v>85</v>
      </c>
      <c r="AC6841">
        <v>0</v>
      </c>
      <c r="AD6841">
        <v>1</v>
      </c>
      <c r="AE6841">
        <v>0</v>
      </c>
      <c r="AF6841">
        <v>0</v>
      </c>
      <c r="AG6841">
        <v>0</v>
      </c>
      <c r="AJ6841">
        <v>0</v>
      </c>
      <c r="AK6841">
        <v>1</v>
      </c>
      <c r="AL6841">
        <v>0</v>
      </c>
      <c r="AM6841">
        <v>0</v>
      </c>
      <c r="AN6841">
        <v>0</v>
      </c>
      <c r="AO6841">
        <v>0</v>
      </c>
      <c r="AP6841">
        <v>0</v>
      </c>
      <c r="AQ6841">
        <v>0</v>
      </c>
      <c r="AR6841">
        <v>0</v>
      </c>
      <c r="AS6841">
        <v>0</v>
      </c>
      <c r="AT6841">
        <v>0</v>
      </c>
      <c r="AV6841">
        <v>0</v>
      </c>
      <c r="AW6841">
        <v>0</v>
      </c>
    </row>
    <row r="6842" spans="1:49" x14ac:dyDescent="0.25">
      <c r="A6842" t="str">
        <f>"6838"</f>
        <v>6838</v>
      </c>
      <c r="B6842" t="str">
        <f t="shared" si="396"/>
        <v>1</v>
      </c>
      <c r="C6842" t="str">
        <f t="shared" si="397"/>
        <v>299</v>
      </c>
      <c r="D6842" t="str">
        <f>"1"</f>
        <v>1</v>
      </c>
      <c r="E6842" t="str">
        <f>"1-299-1"</f>
        <v>1-299-1</v>
      </c>
      <c r="F6842" t="s">
        <v>83</v>
      </c>
      <c r="G6842" t="s">
        <v>84</v>
      </c>
      <c r="H6842" t="s">
        <v>85</v>
      </c>
      <c r="AC6842">
        <v>0</v>
      </c>
      <c r="AD6842">
        <v>1</v>
      </c>
      <c r="AE6842">
        <v>0</v>
      </c>
      <c r="AF6842">
        <v>0</v>
      </c>
      <c r="AG6842">
        <v>0</v>
      </c>
      <c r="AJ6842">
        <v>1</v>
      </c>
      <c r="AK6842">
        <v>0</v>
      </c>
      <c r="AL6842">
        <v>1</v>
      </c>
      <c r="AM6842">
        <v>0</v>
      </c>
      <c r="AN6842">
        <v>0</v>
      </c>
      <c r="AO6842">
        <v>0</v>
      </c>
      <c r="AP6842">
        <v>0</v>
      </c>
      <c r="AQ6842">
        <v>0</v>
      </c>
      <c r="AR6842">
        <v>0</v>
      </c>
      <c r="AS6842">
        <v>1</v>
      </c>
      <c r="AT6842">
        <v>0</v>
      </c>
      <c r="AV6842">
        <v>0</v>
      </c>
      <c r="AW6842">
        <v>0</v>
      </c>
    </row>
    <row r="6843" spans="1:49" x14ac:dyDescent="0.25">
      <c r="A6843" t="str">
        <f>"6839"</f>
        <v>6839</v>
      </c>
      <c r="B6843" t="str">
        <f t="shared" si="396"/>
        <v>1</v>
      </c>
      <c r="C6843" t="str">
        <f t="shared" si="397"/>
        <v>299</v>
      </c>
      <c r="D6843" t="str">
        <f>"23"</f>
        <v>23</v>
      </c>
      <c r="E6843" t="str">
        <f>"1-299-23"</f>
        <v>1-299-23</v>
      </c>
      <c r="F6843" t="s">
        <v>83</v>
      </c>
      <c r="G6843" t="s">
        <v>84</v>
      </c>
      <c r="H6843" t="s">
        <v>85</v>
      </c>
      <c r="AC6843">
        <v>0</v>
      </c>
      <c r="AD6843">
        <v>0</v>
      </c>
      <c r="AE6843">
        <v>0</v>
      </c>
      <c r="AF6843">
        <v>0</v>
      </c>
      <c r="AG6843">
        <v>1</v>
      </c>
      <c r="AJ6843">
        <v>0</v>
      </c>
      <c r="AK6843">
        <v>1</v>
      </c>
      <c r="AL6843">
        <v>0</v>
      </c>
      <c r="AM6843">
        <v>1</v>
      </c>
      <c r="AN6843">
        <v>0</v>
      </c>
      <c r="AO6843">
        <v>0</v>
      </c>
      <c r="AP6843">
        <v>0</v>
      </c>
      <c r="AQ6843">
        <v>0</v>
      </c>
      <c r="AR6843">
        <v>0</v>
      </c>
      <c r="AS6843">
        <v>0</v>
      </c>
      <c r="AT6843">
        <v>0</v>
      </c>
      <c r="AV6843">
        <v>0</v>
      </c>
      <c r="AW6843">
        <v>1</v>
      </c>
    </row>
    <row r="6844" spans="1:49" x14ac:dyDescent="0.25">
      <c r="A6844" t="str">
        <f>"6840"</f>
        <v>6840</v>
      </c>
      <c r="B6844" t="str">
        <f t="shared" si="396"/>
        <v>1</v>
      </c>
      <c r="C6844" t="str">
        <f t="shared" si="397"/>
        <v>299</v>
      </c>
      <c r="D6844" t="str">
        <f>"22"</f>
        <v>22</v>
      </c>
      <c r="E6844" t="str">
        <f>"1-299-22"</f>
        <v>1-299-22</v>
      </c>
      <c r="F6844" t="s">
        <v>83</v>
      </c>
      <c r="G6844" t="s">
        <v>84</v>
      </c>
      <c r="H6844" t="s">
        <v>85</v>
      </c>
      <c r="AC6844">
        <v>0</v>
      </c>
      <c r="AD6844">
        <v>1</v>
      </c>
      <c r="AE6844">
        <v>0</v>
      </c>
      <c r="AF6844">
        <v>0</v>
      </c>
      <c r="AG6844">
        <v>1</v>
      </c>
      <c r="AJ6844">
        <v>1</v>
      </c>
      <c r="AK6844">
        <v>0</v>
      </c>
      <c r="AL6844">
        <v>0</v>
      </c>
      <c r="AM6844">
        <v>1</v>
      </c>
      <c r="AN6844">
        <v>0</v>
      </c>
      <c r="AO6844">
        <v>1</v>
      </c>
      <c r="AP6844">
        <v>1</v>
      </c>
      <c r="AQ6844">
        <v>1</v>
      </c>
      <c r="AR6844">
        <v>1</v>
      </c>
      <c r="AS6844">
        <v>0</v>
      </c>
      <c r="AT6844">
        <v>1</v>
      </c>
      <c r="AV6844">
        <v>1</v>
      </c>
      <c r="AW6844">
        <v>1</v>
      </c>
    </row>
    <row r="6845" spans="1:49" x14ac:dyDescent="0.25">
      <c r="A6845" t="str">
        <f>"6841"</f>
        <v>6841</v>
      </c>
      <c r="B6845" t="str">
        <f t="shared" si="396"/>
        <v>1</v>
      </c>
      <c r="C6845" t="str">
        <f t="shared" si="397"/>
        <v>299</v>
      </c>
      <c r="D6845" t="str">
        <f>"10"</f>
        <v>10</v>
      </c>
      <c r="E6845" t="str">
        <f>"1-299-10"</f>
        <v>1-299-10</v>
      </c>
      <c r="F6845" t="s">
        <v>83</v>
      </c>
      <c r="G6845" t="s">
        <v>84</v>
      </c>
      <c r="H6845" t="s">
        <v>85</v>
      </c>
      <c r="AC6845">
        <v>0</v>
      </c>
      <c r="AD6845">
        <v>1</v>
      </c>
      <c r="AE6845">
        <v>0</v>
      </c>
      <c r="AF6845">
        <v>0</v>
      </c>
      <c r="AG6845">
        <v>0</v>
      </c>
      <c r="AJ6845">
        <v>1</v>
      </c>
      <c r="AK6845">
        <v>0</v>
      </c>
      <c r="AL6845">
        <v>0</v>
      </c>
      <c r="AM6845">
        <v>1</v>
      </c>
      <c r="AN6845">
        <v>0</v>
      </c>
      <c r="AO6845">
        <v>1</v>
      </c>
      <c r="AP6845">
        <v>1</v>
      </c>
      <c r="AQ6845">
        <v>1</v>
      </c>
      <c r="AR6845">
        <v>1</v>
      </c>
      <c r="AS6845">
        <v>0</v>
      </c>
      <c r="AT6845">
        <v>1</v>
      </c>
      <c r="AV6845">
        <v>1</v>
      </c>
      <c r="AW6845">
        <v>1</v>
      </c>
    </row>
    <row r="6846" spans="1:49" x14ac:dyDescent="0.25">
      <c r="A6846" t="str">
        <f>"6842"</f>
        <v>6842</v>
      </c>
      <c r="B6846" t="str">
        <f t="shared" si="396"/>
        <v>1</v>
      </c>
      <c r="C6846" t="str">
        <f t="shared" si="397"/>
        <v>299</v>
      </c>
      <c r="D6846" t="str">
        <f>"6"</f>
        <v>6</v>
      </c>
      <c r="E6846" t="str">
        <f>"1-299-6"</f>
        <v>1-299-6</v>
      </c>
      <c r="F6846" t="s">
        <v>83</v>
      </c>
      <c r="G6846" t="s">
        <v>84</v>
      </c>
      <c r="H6846" t="s">
        <v>85</v>
      </c>
      <c r="AC6846">
        <v>0</v>
      </c>
      <c r="AD6846">
        <v>1</v>
      </c>
      <c r="AE6846">
        <v>0</v>
      </c>
      <c r="AF6846">
        <v>0</v>
      </c>
      <c r="AG6846">
        <v>1</v>
      </c>
      <c r="AJ6846">
        <v>0</v>
      </c>
      <c r="AK6846">
        <v>1</v>
      </c>
      <c r="AL6846">
        <v>0</v>
      </c>
      <c r="AM6846">
        <v>1</v>
      </c>
      <c r="AN6846">
        <v>0</v>
      </c>
      <c r="AO6846">
        <v>1</v>
      </c>
      <c r="AP6846">
        <v>1</v>
      </c>
      <c r="AQ6846">
        <v>1</v>
      </c>
      <c r="AR6846">
        <v>1</v>
      </c>
      <c r="AS6846">
        <v>0</v>
      </c>
      <c r="AT6846">
        <v>0</v>
      </c>
      <c r="AV6846">
        <v>1</v>
      </c>
      <c r="AW6846">
        <v>1</v>
      </c>
    </row>
    <row r="6847" spans="1:49" x14ac:dyDescent="0.25">
      <c r="A6847" t="str">
        <f>"6843"</f>
        <v>6843</v>
      </c>
      <c r="B6847" t="str">
        <f t="shared" si="396"/>
        <v>1</v>
      </c>
      <c r="C6847" t="str">
        <f t="shared" si="397"/>
        <v>299</v>
      </c>
      <c r="D6847" t="str">
        <f>"18"</f>
        <v>18</v>
      </c>
      <c r="E6847" t="str">
        <f>"1-299-18"</f>
        <v>1-299-18</v>
      </c>
      <c r="F6847" t="s">
        <v>83</v>
      </c>
      <c r="G6847" t="s">
        <v>84</v>
      </c>
      <c r="H6847" t="s">
        <v>85</v>
      </c>
      <c r="AC6847">
        <v>1</v>
      </c>
      <c r="AD6847">
        <v>0</v>
      </c>
      <c r="AE6847">
        <v>0</v>
      </c>
      <c r="AF6847">
        <v>0</v>
      </c>
      <c r="AG6847">
        <v>1</v>
      </c>
      <c r="AJ6847">
        <v>1</v>
      </c>
      <c r="AK6847">
        <v>0</v>
      </c>
      <c r="AL6847">
        <v>0</v>
      </c>
      <c r="AM6847">
        <v>1</v>
      </c>
      <c r="AN6847">
        <v>0</v>
      </c>
      <c r="AO6847">
        <v>1</v>
      </c>
      <c r="AP6847">
        <v>1</v>
      </c>
      <c r="AQ6847">
        <v>1</v>
      </c>
      <c r="AR6847">
        <v>1</v>
      </c>
      <c r="AS6847">
        <v>0</v>
      </c>
      <c r="AT6847">
        <v>1</v>
      </c>
      <c r="AV6847">
        <v>1</v>
      </c>
      <c r="AW6847">
        <v>1</v>
      </c>
    </row>
    <row r="6848" spans="1:49" x14ac:dyDescent="0.25">
      <c r="A6848" t="str">
        <f>"6844"</f>
        <v>6844</v>
      </c>
      <c r="B6848" t="str">
        <f t="shared" si="396"/>
        <v>1</v>
      </c>
      <c r="C6848" t="str">
        <f t="shared" si="397"/>
        <v>299</v>
      </c>
      <c r="D6848" t="str">
        <f>"11"</f>
        <v>11</v>
      </c>
      <c r="E6848" t="str">
        <f>"1-299-11"</f>
        <v>1-299-11</v>
      </c>
      <c r="F6848" t="s">
        <v>83</v>
      </c>
      <c r="G6848" t="s">
        <v>84</v>
      </c>
      <c r="H6848" t="s">
        <v>85</v>
      </c>
      <c r="AC6848">
        <v>0</v>
      </c>
      <c r="AD6848">
        <v>1</v>
      </c>
      <c r="AE6848">
        <v>0</v>
      </c>
      <c r="AF6848">
        <v>0</v>
      </c>
      <c r="AG6848">
        <v>1</v>
      </c>
      <c r="AJ6848">
        <v>0</v>
      </c>
      <c r="AK6848">
        <v>1</v>
      </c>
      <c r="AL6848">
        <v>0</v>
      </c>
      <c r="AM6848">
        <v>1</v>
      </c>
      <c r="AN6848">
        <v>0</v>
      </c>
      <c r="AO6848">
        <v>1</v>
      </c>
      <c r="AP6848">
        <v>1</v>
      </c>
      <c r="AQ6848">
        <v>1</v>
      </c>
      <c r="AR6848">
        <v>1</v>
      </c>
      <c r="AS6848">
        <v>0</v>
      </c>
      <c r="AT6848">
        <v>1</v>
      </c>
      <c r="AV6848">
        <v>1</v>
      </c>
      <c r="AW6848">
        <v>1</v>
      </c>
    </row>
    <row r="6849" spans="1:49" x14ac:dyDescent="0.25">
      <c r="A6849" t="str">
        <f>"6845"</f>
        <v>6845</v>
      </c>
      <c r="B6849" t="str">
        <f t="shared" si="396"/>
        <v>1</v>
      </c>
      <c r="C6849" t="str">
        <f t="shared" si="397"/>
        <v>299</v>
      </c>
      <c r="D6849" t="str">
        <f>"7"</f>
        <v>7</v>
      </c>
      <c r="E6849" t="str">
        <f>"1-299-7"</f>
        <v>1-299-7</v>
      </c>
      <c r="F6849" t="s">
        <v>83</v>
      </c>
      <c r="G6849" t="s">
        <v>84</v>
      </c>
      <c r="H6849" t="s">
        <v>85</v>
      </c>
      <c r="AC6849">
        <v>0</v>
      </c>
      <c r="AD6849">
        <v>1</v>
      </c>
      <c r="AE6849">
        <v>0</v>
      </c>
      <c r="AF6849">
        <v>0</v>
      </c>
      <c r="AG6849">
        <v>1</v>
      </c>
      <c r="AJ6849">
        <v>0</v>
      </c>
      <c r="AK6849">
        <v>1</v>
      </c>
      <c r="AL6849">
        <v>0</v>
      </c>
      <c r="AM6849">
        <v>1</v>
      </c>
      <c r="AN6849">
        <v>0</v>
      </c>
      <c r="AO6849">
        <v>1</v>
      </c>
      <c r="AP6849">
        <v>1</v>
      </c>
      <c r="AQ6849">
        <v>1</v>
      </c>
      <c r="AR6849">
        <v>1</v>
      </c>
      <c r="AS6849">
        <v>0</v>
      </c>
      <c r="AT6849">
        <v>0</v>
      </c>
      <c r="AV6849">
        <v>1</v>
      </c>
      <c r="AW6849">
        <v>1</v>
      </c>
    </row>
    <row r="6850" spans="1:49" x14ac:dyDescent="0.25">
      <c r="A6850" t="str">
        <f>"6846"</f>
        <v>6846</v>
      </c>
      <c r="B6850" t="str">
        <f t="shared" si="396"/>
        <v>1</v>
      </c>
      <c r="C6850" t="str">
        <f t="shared" si="397"/>
        <v>299</v>
      </c>
      <c r="D6850" t="str">
        <f>"19"</f>
        <v>19</v>
      </c>
      <c r="E6850" t="str">
        <f>"1-299-19"</f>
        <v>1-299-19</v>
      </c>
      <c r="F6850" t="s">
        <v>83</v>
      </c>
      <c r="G6850" t="s">
        <v>84</v>
      </c>
      <c r="H6850" t="s">
        <v>85</v>
      </c>
      <c r="AC6850">
        <v>1</v>
      </c>
      <c r="AD6850">
        <v>0</v>
      </c>
      <c r="AE6850">
        <v>0</v>
      </c>
      <c r="AF6850">
        <v>0</v>
      </c>
      <c r="AG6850">
        <v>1</v>
      </c>
      <c r="AJ6850">
        <v>1</v>
      </c>
      <c r="AK6850">
        <v>0</v>
      </c>
      <c r="AL6850">
        <v>0</v>
      </c>
      <c r="AM6850">
        <v>1</v>
      </c>
      <c r="AN6850">
        <v>0</v>
      </c>
      <c r="AO6850">
        <v>1</v>
      </c>
      <c r="AP6850">
        <v>1</v>
      </c>
      <c r="AQ6850">
        <v>1</v>
      </c>
      <c r="AR6850">
        <v>1</v>
      </c>
      <c r="AS6850">
        <v>0</v>
      </c>
      <c r="AT6850">
        <v>1</v>
      </c>
      <c r="AV6850">
        <v>1</v>
      </c>
      <c r="AW6850">
        <v>1</v>
      </c>
    </row>
    <row r="6851" spans="1:49" x14ac:dyDescent="0.25">
      <c r="A6851" t="str">
        <f>"6847"</f>
        <v>6847</v>
      </c>
      <c r="B6851" t="str">
        <f t="shared" si="396"/>
        <v>1</v>
      </c>
      <c r="C6851" t="str">
        <f t="shared" si="397"/>
        <v>299</v>
      </c>
      <c r="D6851" t="str">
        <f>"12"</f>
        <v>12</v>
      </c>
      <c r="E6851" t="str">
        <f>"1-299-12"</f>
        <v>1-299-12</v>
      </c>
      <c r="F6851" t="s">
        <v>83</v>
      </c>
      <c r="G6851" t="s">
        <v>84</v>
      </c>
      <c r="H6851" t="s">
        <v>85</v>
      </c>
      <c r="AC6851">
        <v>0</v>
      </c>
      <c r="AD6851">
        <v>1</v>
      </c>
      <c r="AE6851">
        <v>0</v>
      </c>
      <c r="AF6851">
        <v>0</v>
      </c>
      <c r="AG6851">
        <v>1</v>
      </c>
      <c r="AJ6851">
        <v>0</v>
      </c>
      <c r="AK6851">
        <v>1</v>
      </c>
      <c r="AL6851">
        <v>0</v>
      </c>
      <c r="AM6851">
        <v>0</v>
      </c>
      <c r="AN6851">
        <v>0</v>
      </c>
      <c r="AO6851">
        <v>1</v>
      </c>
      <c r="AP6851">
        <v>1</v>
      </c>
      <c r="AQ6851">
        <v>1</v>
      </c>
      <c r="AR6851">
        <v>1</v>
      </c>
      <c r="AS6851">
        <v>1</v>
      </c>
      <c r="AT6851">
        <v>0</v>
      </c>
      <c r="AV6851">
        <v>1</v>
      </c>
      <c r="AW6851">
        <v>1</v>
      </c>
    </row>
    <row r="6852" spans="1:49" x14ac:dyDescent="0.25">
      <c r="A6852" t="str">
        <f>"6848"</f>
        <v>6848</v>
      </c>
      <c r="B6852" t="str">
        <f t="shared" si="396"/>
        <v>1</v>
      </c>
      <c r="C6852" t="str">
        <f t="shared" si="397"/>
        <v>299</v>
      </c>
      <c r="D6852" t="str">
        <f>"2"</f>
        <v>2</v>
      </c>
      <c r="E6852" t="str">
        <f>"1-299-2"</f>
        <v>1-299-2</v>
      </c>
      <c r="F6852" t="s">
        <v>83</v>
      </c>
      <c r="G6852" t="s">
        <v>84</v>
      </c>
      <c r="H6852" t="s">
        <v>85</v>
      </c>
      <c r="AC6852">
        <v>1</v>
      </c>
      <c r="AD6852">
        <v>0</v>
      </c>
      <c r="AE6852">
        <v>0</v>
      </c>
      <c r="AF6852">
        <v>0</v>
      </c>
      <c r="AG6852">
        <v>1</v>
      </c>
      <c r="AJ6852">
        <v>1</v>
      </c>
      <c r="AK6852">
        <v>0</v>
      </c>
      <c r="AL6852">
        <v>0</v>
      </c>
      <c r="AM6852">
        <v>0</v>
      </c>
      <c r="AN6852">
        <v>1</v>
      </c>
      <c r="AO6852">
        <v>1</v>
      </c>
      <c r="AP6852">
        <v>1</v>
      </c>
      <c r="AQ6852">
        <v>1</v>
      </c>
      <c r="AR6852">
        <v>1</v>
      </c>
      <c r="AS6852">
        <v>0</v>
      </c>
      <c r="AT6852">
        <v>1</v>
      </c>
      <c r="AV6852">
        <v>1</v>
      </c>
      <c r="AW6852">
        <v>1</v>
      </c>
    </row>
    <row r="6853" spans="1:49" x14ac:dyDescent="0.25">
      <c r="A6853" t="str">
        <f>"6849"</f>
        <v>6849</v>
      </c>
      <c r="B6853" t="str">
        <f t="shared" si="396"/>
        <v>1</v>
      </c>
      <c r="C6853" t="str">
        <f t="shared" si="397"/>
        <v>299</v>
      </c>
      <c r="D6853" t="str">
        <f>"13"</f>
        <v>13</v>
      </c>
      <c r="E6853" t="str">
        <f>"1-299-13"</f>
        <v>1-299-13</v>
      </c>
      <c r="F6853" t="s">
        <v>83</v>
      </c>
      <c r="G6853" t="s">
        <v>84</v>
      </c>
      <c r="H6853" t="s">
        <v>85</v>
      </c>
      <c r="AC6853">
        <v>0</v>
      </c>
      <c r="AD6853">
        <v>1</v>
      </c>
      <c r="AE6853">
        <v>0</v>
      </c>
      <c r="AF6853">
        <v>0</v>
      </c>
      <c r="AG6853">
        <v>1</v>
      </c>
      <c r="AJ6853">
        <v>1</v>
      </c>
      <c r="AK6853">
        <v>0</v>
      </c>
      <c r="AL6853">
        <v>1</v>
      </c>
      <c r="AM6853">
        <v>0</v>
      </c>
      <c r="AN6853">
        <v>0</v>
      </c>
      <c r="AO6853">
        <v>1</v>
      </c>
      <c r="AP6853">
        <v>1</v>
      </c>
      <c r="AQ6853">
        <v>1</v>
      </c>
      <c r="AR6853">
        <v>1</v>
      </c>
      <c r="AS6853">
        <v>1</v>
      </c>
      <c r="AT6853">
        <v>0</v>
      </c>
      <c r="AV6853">
        <v>1</v>
      </c>
      <c r="AW6853">
        <v>1</v>
      </c>
    </row>
    <row r="6854" spans="1:49" x14ac:dyDescent="0.25">
      <c r="A6854" t="str">
        <f>"6850"</f>
        <v>6850</v>
      </c>
      <c r="B6854" t="str">
        <f t="shared" si="396"/>
        <v>1</v>
      </c>
      <c r="C6854" t="str">
        <f t="shared" si="397"/>
        <v>299</v>
      </c>
      <c r="D6854" t="str">
        <f>"4"</f>
        <v>4</v>
      </c>
      <c r="E6854" t="str">
        <f>"1-299-4"</f>
        <v>1-299-4</v>
      </c>
      <c r="F6854" t="s">
        <v>83</v>
      </c>
      <c r="G6854" t="s">
        <v>84</v>
      </c>
      <c r="H6854" t="s">
        <v>85</v>
      </c>
      <c r="AC6854">
        <v>0</v>
      </c>
      <c r="AD6854">
        <v>1</v>
      </c>
      <c r="AE6854">
        <v>0</v>
      </c>
      <c r="AF6854">
        <v>0</v>
      </c>
      <c r="AG6854">
        <v>1</v>
      </c>
      <c r="AJ6854">
        <v>0</v>
      </c>
      <c r="AK6854">
        <v>1</v>
      </c>
      <c r="AL6854">
        <v>0</v>
      </c>
      <c r="AM6854">
        <v>1</v>
      </c>
      <c r="AN6854">
        <v>0</v>
      </c>
      <c r="AO6854">
        <v>1</v>
      </c>
      <c r="AP6854">
        <v>1</v>
      </c>
      <c r="AQ6854">
        <v>1</v>
      </c>
      <c r="AR6854">
        <v>1</v>
      </c>
      <c r="AS6854">
        <v>0</v>
      </c>
      <c r="AT6854">
        <v>1</v>
      </c>
      <c r="AV6854">
        <v>1</v>
      </c>
      <c r="AW6854">
        <v>1</v>
      </c>
    </row>
    <row r="6855" spans="1:49" x14ac:dyDescent="0.25">
      <c r="A6855" t="str">
        <f>"6851"</f>
        <v>6851</v>
      </c>
      <c r="B6855" t="str">
        <f t="shared" si="396"/>
        <v>1</v>
      </c>
      <c r="C6855" t="str">
        <f t="shared" si="397"/>
        <v>299</v>
      </c>
      <c r="D6855" t="str">
        <f>"14"</f>
        <v>14</v>
      </c>
      <c r="E6855" t="str">
        <f>"1-299-14"</f>
        <v>1-299-14</v>
      </c>
      <c r="F6855" t="s">
        <v>83</v>
      </c>
      <c r="G6855" t="s">
        <v>90</v>
      </c>
      <c r="H6855" t="s">
        <v>91</v>
      </c>
      <c r="AC6855">
        <v>1</v>
      </c>
      <c r="AD6855">
        <v>0</v>
      </c>
      <c r="AE6855">
        <v>0</v>
      </c>
      <c r="AF6855">
        <v>0</v>
      </c>
      <c r="AH6855">
        <v>1</v>
      </c>
      <c r="AI6855">
        <v>0</v>
      </c>
      <c r="AJ6855">
        <v>0</v>
      </c>
      <c r="AK6855">
        <v>1</v>
      </c>
      <c r="AL6855">
        <v>1</v>
      </c>
      <c r="AM6855">
        <v>0</v>
      </c>
      <c r="AN6855">
        <v>0</v>
      </c>
      <c r="AO6855">
        <v>1</v>
      </c>
      <c r="AP6855">
        <v>1</v>
      </c>
      <c r="AQ6855">
        <v>1</v>
      </c>
      <c r="AR6855">
        <v>1</v>
      </c>
      <c r="AU6855">
        <v>1</v>
      </c>
      <c r="AV6855">
        <v>1</v>
      </c>
      <c r="AW6855">
        <v>1</v>
      </c>
    </row>
    <row r="6856" spans="1:49" x14ac:dyDescent="0.25">
      <c r="A6856" t="str">
        <f>"6852"</f>
        <v>6852</v>
      </c>
      <c r="B6856" t="str">
        <f t="shared" si="396"/>
        <v>1</v>
      </c>
      <c r="C6856" t="str">
        <f t="shared" si="397"/>
        <v>299</v>
      </c>
      <c r="D6856" t="str">
        <f>"5"</f>
        <v>5</v>
      </c>
      <c r="E6856" t="str">
        <f>"1-299-5"</f>
        <v>1-299-5</v>
      </c>
      <c r="F6856" t="s">
        <v>83</v>
      </c>
      <c r="G6856" t="s">
        <v>84</v>
      </c>
      <c r="H6856" t="s">
        <v>85</v>
      </c>
      <c r="AC6856">
        <v>1</v>
      </c>
      <c r="AD6856">
        <v>0</v>
      </c>
      <c r="AE6856">
        <v>0</v>
      </c>
      <c r="AF6856">
        <v>0</v>
      </c>
      <c r="AG6856">
        <v>1</v>
      </c>
      <c r="AJ6856">
        <v>0</v>
      </c>
      <c r="AK6856">
        <v>1</v>
      </c>
      <c r="AL6856">
        <v>1</v>
      </c>
      <c r="AM6856">
        <v>0</v>
      </c>
      <c r="AN6856">
        <v>0</v>
      </c>
      <c r="AO6856">
        <v>1</v>
      </c>
      <c r="AP6856">
        <v>1</v>
      </c>
      <c r="AQ6856">
        <v>1</v>
      </c>
      <c r="AR6856">
        <v>1</v>
      </c>
      <c r="AS6856">
        <v>0</v>
      </c>
      <c r="AT6856">
        <v>1</v>
      </c>
      <c r="AV6856">
        <v>1</v>
      </c>
      <c r="AW6856">
        <v>1</v>
      </c>
    </row>
    <row r="6857" spans="1:49" x14ac:dyDescent="0.25">
      <c r="A6857" t="str">
        <f>"6853"</f>
        <v>6853</v>
      </c>
      <c r="B6857" t="str">
        <f t="shared" si="396"/>
        <v>1</v>
      </c>
      <c r="C6857" t="str">
        <f t="shared" si="397"/>
        <v>299</v>
      </c>
      <c r="D6857" t="str">
        <f>"16"</f>
        <v>16</v>
      </c>
      <c r="E6857" t="str">
        <f>"1-299-16"</f>
        <v>1-299-16</v>
      </c>
      <c r="F6857" t="s">
        <v>83</v>
      </c>
      <c r="G6857" t="s">
        <v>84</v>
      </c>
      <c r="H6857" t="s">
        <v>85</v>
      </c>
      <c r="AC6857">
        <v>0</v>
      </c>
      <c r="AD6857">
        <v>1</v>
      </c>
      <c r="AE6857">
        <v>0</v>
      </c>
      <c r="AF6857">
        <v>0</v>
      </c>
      <c r="AG6857">
        <v>1</v>
      </c>
      <c r="AJ6857">
        <v>0</v>
      </c>
      <c r="AK6857">
        <v>1</v>
      </c>
      <c r="AL6857">
        <v>0</v>
      </c>
      <c r="AM6857">
        <v>0</v>
      </c>
      <c r="AN6857">
        <v>1</v>
      </c>
      <c r="AO6857">
        <v>1</v>
      </c>
      <c r="AP6857">
        <v>1</v>
      </c>
      <c r="AQ6857">
        <v>1</v>
      </c>
      <c r="AR6857">
        <v>1</v>
      </c>
      <c r="AS6857">
        <v>0</v>
      </c>
      <c r="AT6857">
        <v>1</v>
      </c>
      <c r="AV6857">
        <v>1</v>
      </c>
      <c r="AW6857">
        <v>1</v>
      </c>
    </row>
    <row r="6858" spans="1:49" x14ac:dyDescent="0.25">
      <c r="A6858" t="str">
        <f>"6854"</f>
        <v>6854</v>
      </c>
      <c r="B6858" t="str">
        <f t="shared" si="396"/>
        <v>1</v>
      </c>
      <c r="C6858" t="str">
        <f t="shared" ref="C6858:C6881" si="398">"300"</f>
        <v>300</v>
      </c>
      <c r="D6858" t="str">
        <f>"20"</f>
        <v>20</v>
      </c>
      <c r="E6858" t="str">
        <f>"1-300-20"</f>
        <v>1-300-20</v>
      </c>
      <c r="F6858" t="s">
        <v>83</v>
      </c>
      <c r="G6858" t="s">
        <v>88</v>
      </c>
      <c r="H6858" t="s">
        <v>89</v>
      </c>
      <c r="AC6858">
        <v>1</v>
      </c>
      <c r="AD6858">
        <v>0</v>
      </c>
      <c r="AE6858">
        <v>0</v>
      </c>
      <c r="AF6858">
        <v>0</v>
      </c>
      <c r="AH6858">
        <v>1</v>
      </c>
      <c r="AI6858">
        <v>0</v>
      </c>
      <c r="AJ6858">
        <v>0</v>
      </c>
      <c r="AK6858">
        <v>1</v>
      </c>
      <c r="AL6858">
        <v>1</v>
      </c>
      <c r="AM6858">
        <v>0</v>
      </c>
      <c r="AN6858">
        <v>0</v>
      </c>
      <c r="AO6858">
        <v>1</v>
      </c>
      <c r="AP6858">
        <v>1</v>
      </c>
      <c r="AQ6858">
        <v>1</v>
      </c>
      <c r="AR6858">
        <v>1</v>
      </c>
      <c r="AS6858">
        <v>1</v>
      </c>
      <c r="AT6858">
        <v>0</v>
      </c>
      <c r="AV6858">
        <v>1</v>
      </c>
      <c r="AW6858">
        <v>1</v>
      </c>
    </row>
    <row r="6859" spans="1:49" x14ac:dyDescent="0.25">
      <c r="A6859" t="str">
        <f>"6855"</f>
        <v>6855</v>
      </c>
      <c r="B6859" t="str">
        <f t="shared" si="396"/>
        <v>1</v>
      </c>
      <c r="C6859" t="str">
        <f t="shared" si="398"/>
        <v>300</v>
      </c>
      <c r="D6859" t="str">
        <f>"19"</f>
        <v>19</v>
      </c>
      <c r="E6859" t="str">
        <f>"1-300-19"</f>
        <v>1-300-19</v>
      </c>
      <c r="F6859" t="s">
        <v>83</v>
      </c>
      <c r="G6859" t="s">
        <v>84</v>
      </c>
      <c r="H6859" t="s">
        <v>85</v>
      </c>
      <c r="AC6859">
        <v>1</v>
      </c>
      <c r="AD6859">
        <v>0</v>
      </c>
      <c r="AE6859">
        <v>0</v>
      </c>
      <c r="AF6859">
        <v>0</v>
      </c>
      <c r="AG6859">
        <v>0</v>
      </c>
      <c r="AJ6859">
        <v>0</v>
      </c>
      <c r="AK6859">
        <v>1</v>
      </c>
      <c r="AL6859">
        <v>1</v>
      </c>
      <c r="AM6859">
        <v>0</v>
      </c>
      <c r="AN6859">
        <v>0</v>
      </c>
      <c r="AO6859">
        <v>0</v>
      </c>
      <c r="AP6859">
        <v>0</v>
      </c>
      <c r="AQ6859">
        <v>0</v>
      </c>
      <c r="AR6859">
        <v>0</v>
      </c>
      <c r="AS6859">
        <v>1</v>
      </c>
      <c r="AT6859">
        <v>0</v>
      </c>
      <c r="AV6859">
        <v>0</v>
      </c>
      <c r="AW6859">
        <v>1</v>
      </c>
    </row>
    <row r="6860" spans="1:49" x14ac:dyDescent="0.25">
      <c r="A6860" t="str">
        <f>"6856"</f>
        <v>6856</v>
      </c>
      <c r="B6860" t="str">
        <f t="shared" si="396"/>
        <v>1</v>
      </c>
      <c r="C6860" t="str">
        <f t="shared" si="398"/>
        <v>300</v>
      </c>
      <c r="D6860" t="str">
        <f>"13"</f>
        <v>13</v>
      </c>
      <c r="E6860" t="str">
        <f>"1-300-13"</f>
        <v>1-300-13</v>
      </c>
      <c r="F6860" t="s">
        <v>83</v>
      </c>
      <c r="G6860" t="s">
        <v>84</v>
      </c>
      <c r="H6860" t="s">
        <v>85</v>
      </c>
      <c r="AC6860">
        <v>1</v>
      </c>
      <c r="AD6860">
        <v>0</v>
      </c>
      <c r="AE6860">
        <v>0</v>
      </c>
      <c r="AF6860">
        <v>0</v>
      </c>
      <c r="AG6860">
        <v>0</v>
      </c>
      <c r="AJ6860">
        <v>1</v>
      </c>
      <c r="AK6860">
        <v>0</v>
      </c>
      <c r="AL6860">
        <v>1</v>
      </c>
      <c r="AM6860">
        <v>0</v>
      </c>
      <c r="AN6860">
        <v>0</v>
      </c>
      <c r="AO6860">
        <v>0</v>
      </c>
      <c r="AP6860">
        <v>0</v>
      </c>
      <c r="AQ6860">
        <v>0</v>
      </c>
      <c r="AR6860">
        <v>0</v>
      </c>
      <c r="AS6860">
        <v>1</v>
      </c>
      <c r="AT6860">
        <v>0</v>
      </c>
      <c r="AV6860">
        <v>0</v>
      </c>
      <c r="AW6860">
        <v>1</v>
      </c>
    </row>
    <row r="6861" spans="1:49" x14ac:dyDescent="0.25">
      <c r="A6861" t="str">
        <f>"6857"</f>
        <v>6857</v>
      </c>
      <c r="B6861" t="str">
        <f t="shared" si="396"/>
        <v>1</v>
      </c>
      <c r="C6861" t="str">
        <f t="shared" si="398"/>
        <v>300</v>
      </c>
      <c r="D6861" t="str">
        <f>"8"</f>
        <v>8</v>
      </c>
      <c r="E6861" t="str">
        <f>"1-300-8"</f>
        <v>1-300-8</v>
      </c>
      <c r="F6861" t="s">
        <v>83</v>
      </c>
      <c r="G6861" t="s">
        <v>84</v>
      </c>
      <c r="H6861" t="s">
        <v>85</v>
      </c>
      <c r="AC6861">
        <v>0</v>
      </c>
      <c r="AD6861">
        <v>1</v>
      </c>
      <c r="AE6861">
        <v>0</v>
      </c>
      <c r="AF6861">
        <v>0</v>
      </c>
      <c r="AG6861">
        <v>1</v>
      </c>
      <c r="AJ6861">
        <v>0</v>
      </c>
      <c r="AK6861">
        <v>1</v>
      </c>
      <c r="AL6861">
        <v>1</v>
      </c>
      <c r="AM6861">
        <v>0</v>
      </c>
      <c r="AN6861">
        <v>0</v>
      </c>
      <c r="AO6861">
        <v>1</v>
      </c>
      <c r="AP6861">
        <v>1</v>
      </c>
      <c r="AQ6861">
        <v>1</v>
      </c>
      <c r="AR6861">
        <v>1</v>
      </c>
      <c r="AS6861">
        <v>0</v>
      </c>
      <c r="AT6861">
        <v>1</v>
      </c>
      <c r="AV6861">
        <v>1</v>
      </c>
      <c r="AW6861">
        <v>1</v>
      </c>
    </row>
    <row r="6862" spans="1:49" x14ac:dyDescent="0.25">
      <c r="A6862" t="str">
        <f>"6858"</f>
        <v>6858</v>
      </c>
      <c r="B6862" t="str">
        <f t="shared" si="396"/>
        <v>1</v>
      </c>
      <c r="C6862" t="str">
        <f t="shared" si="398"/>
        <v>300</v>
      </c>
      <c r="D6862" t="str">
        <f>"6"</f>
        <v>6</v>
      </c>
      <c r="E6862" t="str">
        <f>"1-300-6"</f>
        <v>1-300-6</v>
      </c>
      <c r="F6862" t="s">
        <v>83</v>
      </c>
      <c r="G6862" t="s">
        <v>84</v>
      </c>
      <c r="H6862" t="s">
        <v>85</v>
      </c>
      <c r="AC6862">
        <v>0</v>
      </c>
      <c r="AD6862">
        <v>1</v>
      </c>
      <c r="AE6862">
        <v>0</v>
      </c>
      <c r="AF6862">
        <v>0</v>
      </c>
      <c r="AG6862">
        <v>1</v>
      </c>
      <c r="AJ6862">
        <v>1</v>
      </c>
      <c r="AK6862">
        <v>0</v>
      </c>
      <c r="AL6862">
        <v>0</v>
      </c>
      <c r="AM6862">
        <v>0</v>
      </c>
      <c r="AN6862">
        <v>1</v>
      </c>
      <c r="AO6862">
        <v>1</v>
      </c>
      <c r="AP6862">
        <v>1</v>
      </c>
      <c r="AQ6862">
        <v>1</v>
      </c>
      <c r="AR6862">
        <v>1</v>
      </c>
      <c r="AS6862">
        <v>0</v>
      </c>
      <c r="AT6862">
        <v>1</v>
      </c>
      <c r="AV6862">
        <v>1</v>
      </c>
      <c r="AW6862">
        <v>1</v>
      </c>
    </row>
    <row r="6863" spans="1:49" x14ac:dyDescent="0.25">
      <c r="A6863" t="str">
        <f>"6859"</f>
        <v>6859</v>
      </c>
      <c r="B6863" t="str">
        <f t="shared" si="396"/>
        <v>1</v>
      </c>
      <c r="C6863" t="str">
        <f t="shared" si="398"/>
        <v>300</v>
      </c>
      <c r="D6863" t="str">
        <f>"23"</f>
        <v>23</v>
      </c>
      <c r="E6863" t="str">
        <f>"1-300-23"</f>
        <v>1-300-23</v>
      </c>
      <c r="F6863" t="s">
        <v>83</v>
      </c>
      <c r="G6863" t="s">
        <v>84</v>
      </c>
      <c r="H6863" t="s">
        <v>85</v>
      </c>
      <c r="AC6863">
        <v>1</v>
      </c>
      <c r="AD6863">
        <v>0</v>
      </c>
      <c r="AE6863">
        <v>0</v>
      </c>
      <c r="AF6863">
        <v>0</v>
      </c>
      <c r="AG6863">
        <v>1</v>
      </c>
      <c r="AJ6863">
        <v>1</v>
      </c>
      <c r="AK6863">
        <v>0</v>
      </c>
      <c r="AL6863">
        <v>0</v>
      </c>
      <c r="AM6863">
        <v>1</v>
      </c>
      <c r="AN6863">
        <v>0</v>
      </c>
      <c r="AO6863">
        <v>1</v>
      </c>
      <c r="AP6863">
        <v>1</v>
      </c>
      <c r="AQ6863">
        <v>1</v>
      </c>
      <c r="AR6863">
        <v>1</v>
      </c>
      <c r="AS6863">
        <v>1</v>
      </c>
      <c r="AT6863">
        <v>0</v>
      </c>
      <c r="AV6863">
        <v>1</v>
      </c>
      <c r="AW6863">
        <v>1</v>
      </c>
    </row>
    <row r="6864" spans="1:49" x14ac:dyDescent="0.25">
      <c r="A6864" t="str">
        <f>"6860"</f>
        <v>6860</v>
      </c>
      <c r="B6864" t="str">
        <f t="shared" si="396"/>
        <v>1</v>
      </c>
      <c r="C6864" t="str">
        <f t="shared" si="398"/>
        <v>300</v>
      </c>
      <c r="D6864" t="str">
        <f>"22"</f>
        <v>22</v>
      </c>
      <c r="E6864" t="str">
        <f>"1-300-22"</f>
        <v>1-300-22</v>
      </c>
      <c r="F6864" t="s">
        <v>83</v>
      </c>
      <c r="G6864" t="s">
        <v>84</v>
      </c>
      <c r="H6864" t="s">
        <v>85</v>
      </c>
      <c r="AC6864">
        <v>0</v>
      </c>
      <c r="AD6864">
        <v>1</v>
      </c>
      <c r="AE6864">
        <v>0</v>
      </c>
      <c r="AF6864">
        <v>0</v>
      </c>
      <c r="AG6864">
        <v>1</v>
      </c>
      <c r="AJ6864">
        <v>0</v>
      </c>
      <c r="AK6864">
        <v>1</v>
      </c>
      <c r="AL6864">
        <v>0</v>
      </c>
      <c r="AM6864">
        <v>1</v>
      </c>
      <c r="AN6864">
        <v>0</v>
      </c>
      <c r="AO6864">
        <v>1</v>
      </c>
      <c r="AP6864">
        <v>1</v>
      </c>
      <c r="AQ6864">
        <v>1</v>
      </c>
      <c r="AR6864">
        <v>1</v>
      </c>
      <c r="AS6864">
        <v>0</v>
      </c>
      <c r="AT6864">
        <v>1</v>
      </c>
      <c r="AV6864">
        <v>1</v>
      </c>
      <c r="AW6864">
        <v>1</v>
      </c>
    </row>
    <row r="6865" spans="1:49" x14ac:dyDescent="0.25">
      <c r="A6865" t="str">
        <f>"6861"</f>
        <v>6861</v>
      </c>
      <c r="B6865" t="str">
        <f t="shared" si="396"/>
        <v>1</v>
      </c>
      <c r="C6865" t="str">
        <f t="shared" si="398"/>
        <v>300</v>
      </c>
      <c r="D6865" t="str">
        <f>"14"</f>
        <v>14</v>
      </c>
      <c r="E6865" t="str">
        <f>"1-300-14"</f>
        <v>1-300-14</v>
      </c>
      <c r="F6865" t="s">
        <v>83</v>
      </c>
      <c r="G6865" t="s">
        <v>84</v>
      </c>
      <c r="H6865" t="s">
        <v>85</v>
      </c>
      <c r="AC6865">
        <v>0</v>
      </c>
      <c r="AD6865">
        <v>1</v>
      </c>
      <c r="AE6865">
        <v>0</v>
      </c>
      <c r="AF6865">
        <v>0</v>
      </c>
      <c r="AG6865">
        <v>1</v>
      </c>
      <c r="AJ6865">
        <v>0</v>
      </c>
      <c r="AK6865">
        <v>1</v>
      </c>
      <c r="AL6865">
        <v>0</v>
      </c>
      <c r="AM6865">
        <v>1</v>
      </c>
      <c r="AN6865">
        <v>0</v>
      </c>
      <c r="AO6865">
        <v>1</v>
      </c>
      <c r="AP6865">
        <v>1</v>
      </c>
      <c r="AQ6865">
        <v>1</v>
      </c>
      <c r="AR6865">
        <v>1</v>
      </c>
      <c r="AS6865">
        <v>1</v>
      </c>
      <c r="AT6865">
        <v>0</v>
      </c>
      <c r="AV6865">
        <v>1</v>
      </c>
      <c r="AW6865">
        <v>1</v>
      </c>
    </row>
    <row r="6866" spans="1:49" x14ac:dyDescent="0.25">
      <c r="A6866" t="str">
        <f>"6862"</f>
        <v>6862</v>
      </c>
      <c r="B6866" t="str">
        <f t="shared" si="396"/>
        <v>1</v>
      </c>
      <c r="C6866" t="str">
        <f t="shared" si="398"/>
        <v>300</v>
      </c>
      <c r="D6866" t="str">
        <f>"9"</f>
        <v>9</v>
      </c>
      <c r="E6866" t="str">
        <f>"1-300-9"</f>
        <v>1-300-9</v>
      </c>
      <c r="F6866" t="s">
        <v>83</v>
      </c>
      <c r="G6866" t="s">
        <v>84</v>
      </c>
      <c r="H6866" t="s">
        <v>85</v>
      </c>
      <c r="AC6866">
        <v>1</v>
      </c>
      <c r="AD6866">
        <v>0</v>
      </c>
      <c r="AE6866">
        <v>0</v>
      </c>
      <c r="AF6866">
        <v>0</v>
      </c>
      <c r="AG6866">
        <v>1</v>
      </c>
      <c r="AJ6866">
        <v>1</v>
      </c>
      <c r="AK6866">
        <v>0</v>
      </c>
      <c r="AL6866">
        <v>1</v>
      </c>
      <c r="AM6866">
        <v>0</v>
      </c>
      <c r="AN6866">
        <v>0</v>
      </c>
      <c r="AO6866">
        <v>1</v>
      </c>
      <c r="AP6866">
        <v>1</v>
      </c>
      <c r="AQ6866">
        <v>1</v>
      </c>
      <c r="AR6866">
        <v>1</v>
      </c>
      <c r="AS6866">
        <v>0</v>
      </c>
      <c r="AT6866">
        <v>1</v>
      </c>
      <c r="AV6866">
        <v>1</v>
      </c>
      <c r="AW6866">
        <v>1</v>
      </c>
    </row>
    <row r="6867" spans="1:49" x14ac:dyDescent="0.25">
      <c r="A6867" t="str">
        <f>"6863"</f>
        <v>6863</v>
      </c>
      <c r="B6867" t="str">
        <f t="shared" si="396"/>
        <v>1</v>
      </c>
      <c r="C6867" t="str">
        <f t="shared" si="398"/>
        <v>300</v>
      </c>
      <c r="D6867" t="str">
        <f>"3"</f>
        <v>3</v>
      </c>
      <c r="E6867" t="str">
        <f>"1-300-3"</f>
        <v>1-300-3</v>
      </c>
      <c r="F6867" t="s">
        <v>83</v>
      </c>
      <c r="G6867" t="s">
        <v>84</v>
      </c>
      <c r="H6867" t="s">
        <v>85</v>
      </c>
      <c r="AC6867">
        <v>1</v>
      </c>
      <c r="AD6867">
        <v>0</v>
      </c>
      <c r="AE6867">
        <v>0</v>
      </c>
      <c r="AF6867">
        <v>0</v>
      </c>
      <c r="AG6867">
        <v>0</v>
      </c>
      <c r="AJ6867">
        <v>1</v>
      </c>
      <c r="AK6867">
        <v>0</v>
      </c>
      <c r="AL6867">
        <v>0</v>
      </c>
      <c r="AM6867">
        <v>1</v>
      </c>
      <c r="AN6867">
        <v>0</v>
      </c>
      <c r="AO6867">
        <v>0</v>
      </c>
      <c r="AP6867">
        <v>0</v>
      </c>
      <c r="AQ6867">
        <v>0</v>
      </c>
      <c r="AR6867">
        <v>0</v>
      </c>
      <c r="AS6867">
        <v>0</v>
      </c>
      <c r="AT6867">
        <v>1</v>
      </c>
      <c r="AV6867">
        <v>0</v>
      </c>
      <c r="AW6867">
        <v>1</v>
      </c>
    </row>
    <row r="6868" spans="1:49" x14ac:dyDescent="0.25">
      <c r="A6868" t="str">
        <f>"6864"</f>
        <v>6864</v>
      </c>
      <c r="B6868" t="str">
        <f t="shared" si="396"/>
        <v>1</v>
      </c>
      <c r="C6868" t="str">
        <f t="shared" si="398"/>
        <v>300</v>
      </c>
      <c r="D6868" t="str">
        <f>"24"</f>
        <v>24</v>
      </c>
      <c r="E6868" t="str">
        <f>"1-300-24"</f>
        <v>1-300-24</v>
      </c>
      <c r="F6868" t="s">
        <v>83</v>
      </c>
      <c r="G6868" t="s">
        <v>88</v>
      </c>
      <c r="H6868" t="s">
        <v>89</v>
      </c>
      <c r="AC6868">
        <v>0</v>
      </c>
      <c r="AD6868">
        <v>1</v>
      </c>
      <c r="AE6868">
        <v>0</v>
      </c>
      <c r="AF6868">
        <v>0</v>
      </c>
      <c r="AH6868">
        <v>1</v>
      </c>
      <c r="AI6868">
        <v>0</v>
      </c>
      <c r="AJ6868">
        <v>0</v>
      </c>
      <c r="AK6868">
        <v>1</v>
      </c>
      <c r="AL6868">
        <v>0</v>
      </c>
      <c r="AM6868">
        <v>0</v>
      </c>
      <c r="AN6868">
        <v>1</v>
      </c>
      <c r="AO6868">
        <v>1</v>
      </c>
      <c r="AP6868">
        <v>1</v>
      </c>
      <c r="AQ6868">
        <v>1</v>
      </c>
      <c r="AR6868">
        <v>1</v>
      </c>
      <c r="AS6868">
        <v>0</v>
      </c>
      <c r="AT6868">
        <v>1</v>
      </c>
      <c r="AV6868">
        <v>1</v>
      </c>
      <c r="AW6868">
        <v>1</v>
      </c>
    </row>
    <row r="6869" spans="1:49" x14ac:dyDescent="0.25">
      <c r="A6869" t="str">
        <f>"6865"</f>
        <v>6865</v>
      </c>
      <c r="B6869" t="str">
        <f t="shared" si="396"/>
        <v>1</v>
      </c>
      <c r="C6869" t="str">
        <f t="shared" si="398"/>
        <v>300</v>
      </c>
      <c r="D6869" t="str">
        <f>"16"</f>
        <v>16</v>
      </c>
      <c r="E6869" t="str">
        <f>"1-300-16"</f>
        <v>1-300-16</v>
      </c>
      <c r="F6869" t="s">
        <v>83</v>
      </c>
      <c r="G6869" t="s">
        <v>84</v>
      </c>
      <c r="H6869" t="s">
        <v>85</v>
      </c>
      <c r="AC6869">
        <v>1</v>
      </c>
      <c r="AD6869">
        <v>0</v>
      </c>
      <c r="AE6869">
        <v>0</v>
      </c>
      <c r="AF6869">
        <v>0</v>
      </c>
      <c r="AG6869">
        <v>1</v>
      </c>
      <c r="AJ6869">
        <v>0</v>
      </c>
      <c r="AK6869">
        <v>1</v>
      </c>
      <c r="AL6869">
        <v>0</v>
      </c>
      <c r="AM6869">
        <v>0</v>
      </c>
      <c r="AN6869">
        <v>1</v>
      </c>
      <c r="AO6869">
        <v>1</v>
      </c>
      <c r="AP6869">
        <v>1</v>
      </c>
      <c r="AQ6869">
        <v>1</v>
      </c>
      <c r="AR6869">
        <v>1</v>
      </c>
      <c r="AS6869">
        <v>0</v>
      </c>
      <c r="AT6869">
        <v>1</v>
      </c>
      <c r="AV6869">
        <v>1</v>
      </c>
      <c r="AW6869">
        <v>1</v>
      </c>
    </row>
    <row r="6870" spans="1:49" x14ac:dyDescent="0.25">
      <c r="A6870" t="str">
        <f>"6866"</f>
        <v>6866</v>
      </c>
      <c r="B6870" t="str">
        <f t="shared" si="396"/>
        <v>1</v>
      </c>
      <c r="C6870" t="str">
        <f t="shared" si="398"/>
        <v>300</v>
      </c>
      <c r="D6870" t="str">
        <f>"10"</f>
        <v>10</v>
      </c>
      <c r="E6870" t="str">
        <f>"1-300-10"</f>
        <v>1-300-10</v>
      </c>
      <c r="F6870" t="s">
        <v>83</v>
      </c>
      <c r="G6870" t="s">
        <v>84</v>
      </c>
      <c r="H6870" t="s">
        <v>85</v>
      </c>
      <c r="AC6870">
        <v>0</v>
      </c>
      <c r="AD6870">
        <v>1</v>
      </c>
      <c r="AE6870">
        <v>0</v>
      </c>
      <c r="AF6870">
        <v>0</v>
      </c>
      <c r="AG6870">
        <v>1</v>
      </c>
      <c r="AJ6870">
        <v>0</v>
      </c>
      <c r="AK6870">
        <v>1</v>
      </c>
      <c r="AL6870">
        <v>0</v>
      </c>
      <c r="AM6870">
        <v>1</v>
      </c>
      <c r="AN6870">
        <v>0</v>
      </c>
      <c r="AO6870">
        <v>1</v>
      </c>
      <c r="AP6870">
        <v>1</v>
      </c>
      <c r="AQ6870">
        <v>1</v>
      </c>
      <c r="AR6870">
        <v>1</v>
      </c>
      <c r="AS6870">
        <v>0</v>
      </c>
      <c r="AT6870">
        <v>1</v>
      </c>
      <c r="AV6870">
        <v>1</v>
      </c>
      <c r="AW6870">
        <v>1</v>
      </c>
    </row>
    <row r="6871" spans="1:49" x14ac:dyDescent="0.25">
      <c r="A6871" t="str">
        <f>"6867"</f>
        <v>6867</v>
      </c>
      <c r="B6871" t="str">
        <f t="shared" si="396"/>
        <v>1</v>
      </c>
      <c r="C6871" t="str">
        <f t="shared" si="398"/>
        <v>300</v>
      </c>
      <c r="D6871" t="str">
        <f>"1"</f>
        <v>1</v>
      </c>
      <c r="E6871" t="str">
        <f>"1-300-1"</f>
        <v>1-300-1</v>
      </c>
      <c r="F6871" t="s">
        <v>83</v>
      </c>
      <c r="G6871" t="s">
        <v>84</v>
      </c>
      <c r="H6871" t="s">
        <v>85</v>
      </c>
      <c r="AC6871">
        <v>1</v>
      </c>
      <c r="AD6871">
        <v>0</v>
      </c>
      <c r="AE6871">
        <v>0</v>
      </c>
      <c r="AF6871">
        <v>0</v>
      </c>
      <c r="AG6871">
        <v>0</v>
      </c>
      <c r="AJ6871">
        <v>1</v>
      </c>
      <c r="AK6871">
        <v>0</v>
      </c>
      <c r="AL6871">
        <v>1</v>
      </c>
      <c r="AM6871">
        <v>0</v>
      </c>
      <c r="AN6871">
        <v>0</v>
      </c>
      <c r="AO6871">
        <v>0</v>
      </c>
      <c r="AP6871">
        <v>0</v>
      </c>
      <c r="AQ6871">
        <v>0</v>
      </c>
      <c r="AR6871">
        <v>0</v>
      </c>
      <c r="AS6871">
        <v>0</v>
      </c>
      <c r="AT6871">
        <v>1</v>
      </c>
      <c r="AV6871">
        <v>1</v>
      </c>
      <c r="AW6871">
        <v>0</v>
      </c>
    </row>
    <row r="6872" spans="1:49" x14ac:dyDescent="0.25">
      <c r="A6872" t="str">
        <f>"6868"</f>
        <v>6868</v>
      </c>
      <c r="B6872" t="str">
        <f t="shared" si="396"/>
        <v>1</v>
      </c>
      <c r="C6872" t="str">
        <f t="shared" si="398"/>
        <v>300</v>
      </c>
      <c r="D6872" t="str">
        <f>"15"</f>
        <v>15</v>
      </c>
      <c r="E6872" t="str">
        <f>"1-300-15"</f>
        <v>1-300-15</v>
      </c>
      <c r="F6872" t="s">
        <v>83</v>
      </c>
      <c r="G6872" t="s">
        <v>84</v>
      </c>
      <c r="H6872" t="s">
        <v>85</v>
      </c>
      <c r="AC6872">
        <v>0</v>
      </c>
      <c r="AD6872">
        <v>1</v>
      </c>
      <c r="AE6872">
        <v>0</v>
      </c>
      <c r="AF6872">
        <v>0</v>
      </c>
      <c r="AG6872">
        <v>1</v>
      </c>
      <c r="AJ6872">
        <v>0</v>
      </c>
      <c r="AK6872">
        <v>1</v>
      </c>
      <c r="AL6872">
        <v>0</v>
      </c>
      <c r="AM6872">
        <v>1</v>
      </c>
      <c r="AN6872">
        <v>0</v>
      </c>
      <c r="AO6872">
        <v>1</v>
      </c>
      <c r="AP6872">
        <v>1</v>
      </c>
      <c r="AQ6872">
        <v>1</v>
      </c>
      <c r="AR6872">
        <v>1</v>
      </c>
      <c r="AS6872">
        <v>0</v>
      </c>
      <c r="AT6872">
        <v>1</v>
      </c>
      <c r="AV6872">
        <v>1</v>
      </c>
      <c r="AW6872">
        <v>1</v>
      </c>
    </row>
    <row r="6873" spans="1:49" x14ac:dyDescent="0.25">
      <c r="A6873" t="str">
        <f>"6869"</f>
        <v>6869</v>
      </c>
      <c r="B6873" t="str">
        <f t="shared" si="396"/>
        <v>1</v>
      </c>
      <c r="C6873" t="str">
        <f t="shared" si="398"/>
        <v>300</v>
      </c>
      <c r="D6873" t="str">
        <f>"11"</f>
        <v>11</v>
      </c>
      <c r="E6873" t="str">
        <f>"1-300-11"</f>
        <v>1-300-11</v>
      </c>
      <c r="F6873" t="s">
        <v>83</v>
      </c>
      <c r="G6873" t="s">
        <v>86</v>
      </c>
      <c r="H6873" t="s">
        <v>87</v>
      </c>
      <c r="AC6873">
        <v>1</v>
      </c>
      <c r="AD6873">
        <v>0</v>
      </c>
      <c r="AE6873">
        <v>0</v>
      </c>
      <c r="AF6873">
        <v>0</v>
      </c>
      <c r="AH6873">
        <v>1</v>
      </c>
      <c r="AI6873">
        <v>0</v>
      </c>
      <c r="AJ6873">
        <v>1</v>
      </c>
      <c r="AK6873">
        <v>0</v>
      </c>
      <c r="AL6873">
        <v>1</v>
      </c>
      <c r="AM6873">
        <v>0</v>
      </c>
      <c r="AN6873">
        <v>0</v>
      </c>
      <c r="AO6873">
        <v>1</v>
      </c>
      <c r="AP6873">
        <v>1</v>
      </c>
      <c r="AQ6873">
        <v>1</v>
      </c>
      <c r="AU6873">
        <v>1</v>
      </c>
      <c r="AV6873">
        <v>1</v>
      </c>
      <c r="AW6873">
        <v>1</v>
      </c>
    </row>
    <row r="6874" spans="1:49" x14ac:dyDescent="0.25">
      <c r="A6874" t="str">
        <f>"6870"</f>
        <v>6870</v>
      </c>
      <c r="B6874" t="str">
        <f t="shared" si="396"/>
        <v>1</v>
      </c>
      <c r="C6874" t="str">
        <f t="shared" si="398"/>
        <v>300</v>
      </c>
      <c r="D6874" t="str">
        <f>"5"</f>
        <v>5</v>
      </c>
      <c r="E6874" t="str">
        <f>"1-300-5"</f>
        <v>1-300-5</v>
      </c>
      <c r="F6874" t="s">
        <v>83</v>
      </c>
      <c r="G6874" t="s">
        <v>84</v>
      </c>
      <c r="H6874" t="s">
        <v>85</v>
      </c>
      <c r="AC6874">
        <v>0</v>
      </c>
      <c r="AD6874">
        <v>1</v>
      </c>
      <c r="AE6874">
        <v>0</v>
      </c>
      <c r="AF6874">
        <v>0</v>
      </c>
      <c r="AG6874">
        <v>1</v>
      </c>
      <c r="AJ6874">
        <v>0</v>
      </c>
      <c r="AK6874">
        <v>1</v>
      </c>
      <c r="AL6874">
        <v>1</v>
      </c>
      <c r="AM6874">
        <v>0</v>
      </c>
      <c r="AN6874">
        <v>0</v>
      </c>
      <c r="AO6874">
        <v>1</v>
      </c>
      <c r="AP6874">
        <v>1</v>
      </c>
      <c r="AQ6874">
        <v>1</v>
      </c>
      <c r="AR6874">
        <v>1</v>
      </c>
      <c r="AS6874">
        <v>1</v>
      </c>
      <c r="AT6874">
        <v>0</v>
      </c>
      <c r="AV6874">
        <v>1</v>
      </c>
      <c r="AW6874">
        <v>1</v>
      </c>
    </row>
    <row r="6875" spans="1:49" x14ac:dyDescent="0.25">
      <c r="A6875" t="str">
        <f>"6871"</f>
        <v>6871</v>
      </c>
      <c r="B6875" t="str">
        <f t="shared" si="396"/>
        <v>1</v>
      </c>
      <c r="C6875" t="str">
        <f t="shared" si="398"/>
        <v>300</v>
      </c>
      <c r="D6875" t="str">
        <f>"18"</f>
        <v>18</v>
      </c>
      <c r="E6875" t="str">
        <f>"1-300-18"</f>
        <v>1-300-18</v>
      </c>
      <c r="F6875" t="s">
        <v>83</v>
      </c>
      <c r="G6875" t="s">
        <v>84</v>
      </c>
      <c r="H6875" t="s">
        <v>85</v>
      </c>
      <c r="AC6875">
        <v>1</v>
      </c>
      <c r="AD6875">
        <v>0</v>
      </c>
      <c r="AE6875">
        <v>0</v>
      </c>
      <c r="AF6875">
        <v>0</v>
      </c>
      <c r="AG6875">
        <v>1</v>
      </c>
      <c r="AJ6875">
        <v>1</v>
      </c>
      <c r="AK6875">
        <v>0</v>
      </c>
      <c r="AL6875">
        <v>1</v>
      </c>
      <c r="AM6875">
        <v>0</v>
      </c>
      <c r="AN6875">
        <v>0</v>
      </c>
      <c r="AO6875">
        <v>1</v>
      </c>
      <c r="AP6875">
        <v>0</v>
      </c>
      <c r="AQ6875">
        <v>1</v>
      </c>
      <c r="AR6875">
        <v>1</v>
      </c>
      <c r="AS6875">
        <v>1</v>
      </c>
      <c r="AT6875">
        <v>0</v>
      </c>
      <c r="AV6875">
        <v>1</v>
      </c>
      <c r="AW6875">
        <v>1</v>
      </c>
    </row>
    <row r="6876" spans="1:49" x14ac:dyDescent="0.25">
      <c r="A6876" t="str">
        <f>"6872"</f>
        <v>6872</v>
      </c>
      <c r="B6876" t="str">
        <f t="shared" si="396"/>
        <v>1</v>
      </c>
      <c r="C6876" t="str">
        <f t="shared" si="398"/>
        <v>300</v>
      </c>
      <c r="D6876" t="str">
        <f>"12"</f>
        <v>12</v>
      </c>
      <c r="E6876" t="str">
        <f>"1-300-12"</f>
        <v>1-300-12</v>
      </c>
      <c r="F6876" t="s">
        <v>83</v>
      </c>
      <c r="G6876" t="s">
        <v>84</v>
      </c>
      <c r="H6876" t="s">
        <v>85</v>
      </c>
      <c r="AC6876">
        <v>1</v>
      </c>
      <c r="AD6876">
        <v>0</v>
      </c>
      <c r="AE6876">
        <v>0</v>
      </c>
      <c r="AF6876">
        <v>0</v>
      </c>
      <c r="AG6876">
        <v>0</v>
      </c>
      <c r="AJ6876">
        <v>1</v>
      </c>
      <c r="AK6876">
        <v>0</v>
      </c>
      <c r="AL6876">
        <v>1</v>
      </c>
      <c r="AM6876">
        <v>0</v>
      </c>
      <c r="AN6876">
        <v>0</v>
      </c>
      <c r="AO6876">
        <v>0</v>
      </c>
      <c r="AP6876">
        <v>0</v>
      </c>
      <c r="AQ6876">
        <v>0</v>
      </c>
      <c r="AR6876">
        <v>0</v>
      </c>
      <c r="AS6876">
        <v>1</v>
      </c>
      <c r="AT6876">
        <v>0</v>
      </c>
      <c r="AV6876">
        <v>0</v>
      </c>
      <c r="AW6876">
        <v>1</v>
      </c>
    </row>
    <row r="6877" spans="1:49" x14ac:dyDescent="0.25">
      <c r="A6877" t="str">
        <f>"6873"</f>
        <v>6873</v>
      </c>
      <c r="B6877" t="str">
        <f t="shared" si="396"/>
        <v>1</v>
      </c>
      <c r="C6877" t="str">
        <f t="shared" si="398"/>
        <v>300</v>
      </c>
      <c r="D6877" t="str">
        <f>"4"</f>
        <v>4</v>
      </c>
      <c r="E6877" t="str">
        <f>"1-300-4"</f>
        <v>1-300-4</v>
      </c>
      <c r="F6877" t="s">
        <v>83</v>
      </c>
      <c r="G6877" t="s">
        <v>84</v>
      </c>
      <c r="H6877" t="s">
        <v>85</v>
      </c>
      <c r="AC6877">
        <v>0</v>
      </c>
      <c r="AD6877">
        <v>1</v>
      </c>
      <c r="AE6877">
        <v>0</v>
      </c>
      <c r="AF6877">
        <v>0</v>
      </c>
      <c r="AG6877">
        <v>1</v>
      </c>
      <c r="AJ6877">
        <v>0</v>
      </c>
      <c r="AK6877">
        <v>1</v>
      </c>
      <c r="AL6877">
        <v>1</v>
      </c>
      <c r="AM6877">
        <v>0</v>
      </c>
      <c r="AN6877">
        <v>0</v>
      </c>
      <c r="AO6877">
        <v>1</v>
      </c>
      <c r="AP6877">
        <v>1</v>
      </c>
      <c r="AQ6877">
        <v>1</v>
      </c>
      <c r="AR6877">
        <v>1</v>
      </c>
      <c r="AS6877">
        <v>1</v>
      </c>
      <c r="AT6877">
        <v>0</v>
      </c>
      <c r="AV6877">
        <v>0</v>
      </c>
      <c r="AW6877">
        <v>1</v>
      </c>
    </row>
    <row r="6878" spans="1:49" x14ac:dyDescent="0.25">
      <c r="A6878" t="str">
        <f>"6874"</f>
        <v>6874</v>
      </c>
      <c r="B6878" t="str">
        <f t="shared" ref="B6878:B6941" si="399">"1"</f>
        <v>1</v>
      </c>
      <c r="C6878" t="str">
        <f t="shared" si="398"/>
        <v>300</v>
      </c>
      <c r="D6878" t="str">
        <f>"17"</f>
        <v>17</v>
      </c>
      <c r="E6878" t="str">
        <f>"1-300-17"</f>
        <v>1-300-17</v>
      </c>
      <c r="F6878" t="s">
        <v>83</v>
      </c>
      <c r="G6878" t="s">
        <v>88</v>
      </c>
      <c r="H6878" t="s">
        <v>89</v>
      </c>
      <c r="AC6878">
        <v>0</v>
      </c>
      <c r="AD6878">
        <v>1</v>
      </c>
      <c r="AE6878">
        <v>0</v>
      </c>
      <c r="AF6878">
        <v>0</v>
      </c>
      <c r="AH6878">
        <v>1</v>
      </c>
      <c r="AI6878">
        <v>0</v>
      </c>
      <c r="AJ6878">
        <v>0</v>
      </c>
      <c r="AK6878">
        <v>1</v>
      </c>
      <c r="AL6878">
        <v>0</v>
      </c>
      <c r="AM6878">
        <v>0</v>
      </c>
      <c r="AN6878">
        <v>1</v>
      </c>
      <c r="AO6878">
        <v>1</v>
      </c>
      <c r="AP6878">
        <v>1</v>
      </c>
      <c r="AQ6878">
        <v>1</v>
      </c>
      <c r="AR6878">
        <v>1</v>
      </c>
      <c r="AS6878">
        <v>1</v>
      </c>
      <c r="AT6878">
        <v>0</v>
      </c>
      <c r="AV6878">
        <v>1</v>
      </c>
      <c r="AW6878">
        <v>1</v>
      </c>
    </row>
    <row r="6879" spans="1:49" x14ac:dyDescent="0.25">
      <c r="A6879" t="str">
        <f>"6875"</f>
        <v>6875</v>
      </c>
      <c r="B6879" t="str">
        <f t="shared" si="399"/>
        <v>1</v>
      </c>
      <c r="C6879" t="str">
        <f t="shared" si="398"/>
        <v>300</v>
      </c>
      <c r="D6879" t="str">
        <f>"2"</f>
        <v>2</v>
      </c>
      <c r="E6879" t="str">
        <f>"1-300-2"</f>
        <v>1-300-2</v>
      </c>
      <c r="F6879" t="s">
        <v>83</v>
      </c>
      <c r="G6879" t="s">
        <v>84</v>
      </c>
      <c r="H6879" t="s">
        <v>85</v>
      </c>
      <c r="AC6879">
        <v>1</v>
      </c>
      <c r="AD6879">
        <v>0</v>
      </c>
      <c r="AE6879">
        <v>0</v>
      </c>
      <c r="AF6879">
        <v>0</v>
      </c>
      <c r="AG6879">
        <v>1</v>
      </c>
      <c r="AJ6879">
        <v>1</v>
      </c>
      <c r="AK6879">
        <v>0</v>
      </c>
      <c r="AL6879">
        <v>1</v>
      </c>
      <c r="AM6879">
        <v>0</v>
      </c>
      <c r="AN6879">
        <v>0</v>
      </c>
      <c r="AO6879">
        <v>0</v>
      </c>
      <c r="AP6879">
        <v>1</v>
      </c>
      <c r="AQ6879">
        <v>0</v>
      </c>
      <c r="AR6879">
        <v>0</v>
      </c>
      <c r="AS6879">
        <v>1</v>
      </c>
      <c r="AT6879">
        <v>0</v>
      </c>
      <c r="AV6879">
        <v>1</v>
      </c>
      <c r="AW6879">
        <v>0</v>
      </c>
    </row>
    <row r="6880" spans="1:49" x14ac:dyDescent="0.25">
      <c r="A6880" t="str">
        <f>"6876"</f>
        <v>6876</v>
      </c>
      <c r="B6880" t="str">
        <f t="shared" si="399"/>
        <v>1</v>
      </c>
      <c r="C6880" t="str">
        <f t="shared" si="398"/>
        <v>300</v>
      </c>
      <c r="D6880" t="str">
        <f>"21"</f>
        <v>21</v>
      </c>
      <c r="E6880" t="str">
        <f>"1-300-21"</f>
        <v>1-300-21</v>
      </c>
      <c r="F6880" t="s">
        <v>83</v>
      </c>
      <c r="G6880" t="s">
        <v>84</v>
      </c>
      <c r="H6880" t="s">
        <v>85</v>
      </c>
      <c r="AC6880">
        <v>1</v>
      </c>
      <c r="AD6880">
        <v>0</v>
      </c>
      <c r="AE6880">
        <v>0</v>
      </c>
      <c r="AF6880">
        <v>0</v>
      </c>
      <c r="AG6880">
        <v>1</v>
      </c>
      <c r="AJ6880">
        <v>0</v>
      </c>
      <c r="AK6880">
        <v>1</v>
      </c>
      <c r="AL6880">
        <v>0</v>
      </c>
      <c r="AM6880">
        <v>1</v>
      </c>
      <c r="AN6880">
        <v>0</v>
      </c>
      <c r="AO6880">
        <v>1</v>
      </c>
      <c r="AP6880">
        <v>1</v>
      </c>
      <c r="AQ6880">
        <v>1</v>
      </c>
      <c r="AR6880">
        <v>1</v>
      </c>
      <c r="AS6880">
        <v>0</v>
      </c>
      <c r="AT6880">
        <v>1</v>
      </c>
      <c r="AV6880">
        <v>1</v>
      </c>
      <c r="AW6880">
        <v>1</v>
      </c>
    </row>
    <row r="6881" spans="1:49" x14ac:dyDescent="0.25">
      <c r="A6881" t="str">
        <f>"6877"</f>
        <v>6877</v>
      </c>
      <c r="B6881" t="str">
        <f t="shared" si="399"/>
        <v>1</v>
      </c>
      <c r="C6881" t="str">
        <f t="shared" si="398"/>
        <v>300</v>
      </c>
      <c r="D6881" t="str">
        <f>"7"</f>
        <v>7</v>
      </c>
      <c r="E6881" t="str">
        <f>"1-300-7"</f>
        <v>1-300-7</v>
      </c>
      <c r="F6881" t="s">
        <v>83</v>
      </c>
      <c r="G6881" t="s">
        <v>84</v>
      </c>
      <c r="H6881" t="s">
        <v>85</v>
      </c>
      <c r="AC6881">
        <v>0</v>
      </c>
      <c r="AD6881">
        <v>0</v>
      </c>
      <c r="AE6881">
        <v>0</v>
      </c>
      <c r="AF6881">
        <v>0</v>
      </c>
      <c r="AG6881">
        <v>0</v>
      </c>
      <c r="AJ6881">
        <v>0</v>
      </c>
      <c r="AK6881">
        <v>0</v>
      </c>
      <c r="AL6881">
        <v>0</v>
      </c>
      <c r="AM6881">
        <v>0</v>
      </c>
      <c r="AN6881">
        <v>0</v>
      </c>
      <c r="AO6881">
        <v>0</v>
      </c>
      <c r="AP6881">
        <v>0</v>
      </c>
      <c r="AQ6881">
        <v>0</v>
      </c>
      <c r="AR6881">
        <v>0</v>
      </c>
      <c r="AS6881">
        <v>0</v>
      </c>
      <c r="AT6881">
        <v>1</v>
      </c>
      <c r="AV6881">
        <v>1</v>
      </c>
      <c r="AW6881">
        <v>0</v>
      </c>
    </row>
    <row r="6882" spans="1:49" x14ac:dyDescent="0.25">
      <c r="A6882" t="str">
        <f>"6878"</f>
        <v>6878</v>
      </c>
      <c r="B6882" t="str">
        <f t="shared" si="399"/>
        <v>1</v>
      </c>
      <c r="C6882" t="str">
        <f t="shared" ref="C6882:C6895" si="400">"301"</f>
        <v>301</v>
      </c>
      <c r="D6882" t="str">
        <f>"8"</f>
        <v>8</v>
      </c>
      <c r="E6882" t="str">
        <f>"1-301-8"</f>
        <v>1-301-8</v>
      </c>
      <c r="F6882" t="s">
        <v>83</v>
      </c>
      <c r="G6882" t="s">
        <v>84</v>
      </c>
      <c r="H6882" t="s">
        <v>85</v>
      </c>
      <c r="AC6882">
        <v>0</v>
      </c>
      <c r="AD6882">
        <v>1</v>
      </c>
      <c r="AE6882">
        <v>0</v>
      </c>
      <c r="AF6882">
        <v>0</v>
      </c>
      <c r="AG6882">
        <v>0</v>
      </c>
      <c r="AJ6882">
        <v>0</v>
      </c>
      <c r="AK6882">
        <v>1</v>
      </c>
      <c r="AL6882">
        <v>0</v>
      </c>
      <c r="AM6882">
        <v>0</v>
      </c>
      <c r="AN6882">
        <v>1</v>
      </c>
      <c r="AO6882">
        <v>1</v>
      </c>
      <c r="AP6882">
        <v>1</v>
      </c>
      <c r="AQ6882">
        <v>1</v>
      </c>
      <c r="AR6882">
        <v>1</v>
      </c>
      <c r="AS6882">
        <v>0</v>
      </c>
      <c r="AT6882">
        <v>1</v>
      </c>
      <c r="AV6882">
        <v>1</v>
      </c>
      <c r="AW6882">
        <v>1</v>
      </c>
    </row>
    <row r="6883" spans="1:49" x14ac:dyDescent="0.25">
      <c r="A6883" t="str">
        <f>"6879"</f>
        <v>6879</v>
      </c>
      <c r="B6883" t="str">
        <f t="shared" si="399"/>
        <v>1</v>
      </c>
      <c r="C6883" t="str">
        <f t="shared" si="400"/>
        <v>301</v>
      </c>
      <c r="D6883" t="str">
        <f>"3"</f>
        <v>3</v>
      </c>
      <c r="E6883" t="str">
        <f>"1-301-3"</f>
        <v>1-301-3</v>
      </c>
      <c r="F6883" t="s">
        <v>83</v>
      </c>
      <c r="G6883" t="s">
        <v>84</v>
      </c>
      <c r="H6883" t="s">
        <v>85</v>
      </c>
      <c r="AC6883">
        <v>0</v>
      </c>
      <c r="AD6883">
        <v>1</v>
      </c>
      <c r="AE6883">
        <v>0</v>
      </c>
      <c r="AF6883">
        <v>0</v>
      </c>
      <c r="AG6883">
        <v>0</v>
      </c>
      <c r="AJ6883">
        <v>0</v>
      </c>
      <c r="AK6883">
        <v>1</v>
      </c>
      <c r="AL6883">
        <v>0</v>
      </c>
      <c r="AM6883">
        <v>0</v>
      </c>
      <c r="AN6883">
        <v>1</v>
      </c>
      <c r="AO6883">
        <v>0</v>
      </c>
      <c r="AP6883">
        <v>0</v>
      </c>
      <c r="AQ6883">
        <v>0</v>
      </c>
      <c r="AR6883">
        <v>0</v>
      </c>
      <c r="AS6883">
        <v>0</v>
      </c>
      <c r="AT6883">
        <v>1</v>
      </c>
      <c r="AV6883">
        <v>0</v>
      </c>
      <c r="AW6883">
        <v>0</v>
      </c>
    </row>
    <row r="6884" spans="1:49" x14ac:dyDescent="0.25">
      <c r="A6884" t="str">
        <f>"6880"</f>
        <v>6880</v>
      </c>
      <c r="B6884" t="str">
        <f t="shared" si="399"/>
        <v>1</v>
      </c>
      <c r="C6884" t="str">
        <f t="shared" si="400"/>
        <v>301</v>
      </c>
      <c r="D6884" t="str">
        <f>"9"</f>
        <v>9</v>
      </c>
      <c r="E6884" t="str">
        <f>"1-301-9"</f>
        <v>1-301-9</v>
      </c>
      <c r="F6884" t="s">
        <v>83</v>
      </c>
      <c r="G6884" t="s">
        <v>84</v>
      </c>
      <c r="H6884" t="s">
        <v>85</v>
      </c>
      <c r="AC6884">
        <v>0</v>
      </c>
      <c r="AD6884">
        <v>1</v>
      </c>
      <c r="AE6884">
        <v>0</v>
      </c>
      <c r="AF6884">
        <v>0</v>
      </c>
      <c r="AG6884">
        <v>0</v>
      </c>
      <c r="AJ6884">
        <v>0</v>
      </c>
      <c r="AK6884">
        <v>1</v>
      </c>
      <c r="AL6884">
        <v>0</v>
      </c>
      <c r="AM6884">
        <v>0</v>
      </c>
      <c r="AN6884">
        <v>1</v>
      </c>
      <c r="AO6884">
        <v>0</v>
      </c>
      <c r="AP6884">
        <v>0</v>
      </c>
      <c r="AQ6884">
        <v>0</v>
      </c>
      <c r="AR6884">
        <v>0</v>
      </c>
      <c r="AS6884">
        <v>0</v>
      </c>
      <c r="AT6884">
        <v>1</v>
      </c>
      <c r="AV6884">
        <v>0</v>
      </c>
      <c r="AW6884">
        <v>0</v>
      </c>
    </row>
    <row r="6885" spans="1:49" x14ac:dyDescent="0.25">
      <c r="A6885" t="str">
        <f>"6881"</f>
        <v>6881</v>
      </c>
      <c r="B6885" t="str">
        <f t="shared" si="399"/>
        <v>1</v>
      </c>
      <c r="C6885" t="str">
        <f t="shared" si="400"/>
        <v>301</v>
      </c>
      <c r="D6885" t="str">
        <f>"1"</f>
        <v>1</v>
      </c>
      <c r="E6885" t="str">
        <f>"1-301-1"</f>
        <v>1-301-1</v>
      </c>
      <c r="F6885" t="s">
        <v>83</v>
      </c>
      <c r="G6885" t="s">
        <v>84</v>
      </c>
      <c r="H6885" t="s">
        <v>85</v>
      </c>
      <c r="AC6885">
        <v>1</v>
      </c>
      <c r="AD6885">
        <v>0</v>
      </c>
      <c r="AE6885">
        <v>0</v>
      </c>
      <c r="AF6885">
        <v>0</v>
      </c>
      <c r="AG6885">
        <v>1</v>
      </c>
      <c r="AJ6885">
        <v>1</v>
      </c>
      <c r="AK6885">
        <v>0</v>
      </c>
      <c r="AL6885">
        <v>0</v>
      </c>
      <c r="AM6885">
        <v>1</v>
      </c>
      <c r="AN6885">
        <v>0</v>
      </c>
      <c r="AO6885">
        <v>1</v>
      </c>
      <c r="AP6885">
        <v>1</v>
      </c>
      <c r="AQ6885">
        <v>1</v>
      </c>
      <c r="AR6885">
        <v>1</v>
      </c>
      <c r="AS6885">
        <v>0</v>
      </c>
      <c r="AT6885">
        <v>1</v>
      </c>
      <c r="AV6885">
        <v>1</v>
      </c>
      <c r="AW6885">
        <v>1</v>
      </c>
    </row>
    <row r="6886" spans="1:49" x14ac:dyDescent="0.25">
      <c r="A6886" t="str">
        <f>"6882"</f>
        <v>6882</v>
      </c>
      <c r="B6886" t="str">
        <f t="shared" si="399"/>
        <v>1</v>
      </c>
      <c r="C6886" t="str">
        <f t="shared" si="400"/>
        <v>301</v>
      </c>
      <c r="D6886" t="str">
        <f>"10"</f>
        <v>10</v>
      </c>
      <c r="E6886" t="str">
        <f>"1-301-10"</f>
        <v>1-301-10</v>
      </c>
      <c r="F6886" t="s">
        <v>83</v>
      </c>
      <c r="G6886" t="s">
        <v>84</v>
      </c>
      <c r="H6886" t="s">
        <v>85</v>
      </c>
      <c r="AC6886">
        <v>1</v>
      </c>
      <c r="AD6886">
        <v>0</v>
      </c>
      <c r="AE6886">
        <v>0</v>
      </c>
      <c r="AF6886">
        <v>0</v>
      </c>
      <c r="AG6886">
        <v>0</v>
      </c>
      <c r="AJ6886">
        <v>1</v>
      </c>
      <c r="AK6886">
        <v>0</v>
      </c>
      <c r="AL6886">
        <v>1</v>
      </c>
      <c r="AM6886">
        <v>0</v>
      </c>
      <c r="AN6886">
        <v>0</v>
      </c>
      <c r="AO6886">
        <v>1</v>
      </c>
      <c r="AP6886">
        <v>1</v>
      </c>
      <c r="AQ6886">
        <v>1</v>
      </c>
      <c r="AR6886">
        <v>1</v>
      </c>
      <c r="AS6886">
        <v>1</v>
      </c>
      <c r="AT6886">
        <v>0</v>
      </c>
      <c r="AV6886">
        <v>0</v>
      </c>
      <c r="AW6886">
        <v>0</v>
      </c>
    </row>
    <row r="6887" spans="1:49" x14ac:dyDescent="0.25">
      <c r="A6887" t="str">
        <f>"6883"</f>
        <v>6883</v>
      </c>
      <c r="B6887" t="str">
        <f t="shared" si="399"/>
        <v>1</v>
      </c>
      <c r="C6887" t="str">
        <f t="shared" si="400"/>
        <v>301</v>
      </c>
      <c r="D6887" t="str">
        <f>"7"</f>
        <v>7</v>
      </c>
      <c r="E6887" t="str">
        <f>"1-301-7"</f>
        <v>1-301-7</v>
      </c>
      <c r="F6887" t="s">
        <v>83</v>
      </c>
      <c r="G6887" t="s">
        <v>84</v>
      </c>
      <c r="H6887" t="s">
        <v>85</v>
      </c>
      <c r="AC6887">
        <v>1</v>
      </c>
      <c r="AD6887">
        <v>0</v>
      </c>
      <c r="AE6887">
        <v>0</v>
      </c>
      <c r="AF6887">
        <v>0</v>
      </c>
      <c r="AG6887">
        <v>1</v>
      </c>
      <c r="AJ6887">
        <v>1</v>
      </c>
      <c r="AK6887">
        <v>0</v>
      </c>
      <c r="AL6887">
        <v>1</v>
      </c>
      <c r="AM6887">
        <v>0</v>
      </c>
      <c r="AN6887">
        <v>0</v>
      </c>
      <c r="AO6887">
        <v>1</v>
      </c>
      <c r="AP6887">
        <v>1</v>
      </c>
      <c r="AQ6887">
        <v>1</v>
      </c>
      <c r="AR6887">
        <v>1</v>
      </c>
      <c r="AS6887">
        <v>1</v>
      </c>
      <c r="AT6887">
        <v>0</v>
      </c>
      <c r="AV6887">
        <v>1</v>
      </c>
      <c r="AW6887">
        <v>1</v>
      </c>
    </row>
    <row r="6888" spans="1:49" x14ac:dyDescent="0.25">
      <c r="A6888" t="str">
        <f>"6884"</f>
        <v>6884</v>
      </c>
      <c r="B6888" t="str">
        <f t="shared" si="399"/>
        <v>1</v>
      </c>
      <c r="C6888" t="str">
        <f t="shared" si="400"/>
        <v>301</v>
      </c>
      <c r="D6888" t="str">
        <f>"11"</f>
        <v>11</v>
      </c>
      <c r="E6888" t="str">
        <f>"1-301-11"</f>
        <v>1-301-11</v>
      </c>
      <c r="F6888" t="s">
        <v>83</v>
      </c>
      <c r="G6888" t="s">
        <v>84</v>
      </c>
      <c r="H6888" t="s">
        <v>85</v>
      </c>
      <c r="AC6888">
        <v>0</v>
      </c>
      <c r="AD6888">
        <v>1</v>
      </c>
      <c r="AE6888">
        <v>0</v>
      </c>
      <c r="AF6888">
        <v>0</v>
      </c>
      <c r="AG6888">
        <v>1</v>
      </c>
      <c r="AJ6888">
        <v>0</v>
      </c>
      <c r="AK6888">
        <v>1</v>
      </c>
      <c r="AL6888">
        <v>0</v>
      </c>
      <c r="AM6888">
        <v>0</v>
      </c>
      <c r="AN6888">
        <v>1</v>
      </c>
      <c r="AO6888">
        <v>1</v>
      </c>
      <c r="AP6888">
        <v>1</v>
      </c>
      <c r="AQ6888">
        <v>1</v>
      </c>
      <c r="AR6888">
        <v>1</v>
      </c>
      <c r="AS6888">
        <v>0</v>
      </c>
      <c r="AT6888">
        <v>1</v>
      </c>
      <c r="AV6888">
        <v>1</v>
      </c>
      <c r="AW6888">
        <v>1</v>
      </c>
    </row>
    <row r="6889" spans="1:49" x14ac:dyDescent="0.25">
      <c r="A6889" t="str">
        <f>"6885"</f>
        <v>6885</v>
      </c>
      <c r="B6889" t="str">
        <f t="shared" si="399"/>
        <v>1</v>
      </c>
      <c r="C6889" t="str">
        <f t="shared" si="400"/>
        <v>301</v>
      </c>
      <c r="D6889" t="str">
        <f>"4"</f>
        <v>4</v>
      </c>
      <c r="E6889" t="str">
        <f>"1-301-4"</f>
        <v>1-301-4</v>
      </c>
      <c r="F6889" t="s">
        <v>83</v>
      </c>
      <c r="G6889" t="s">
        <v>84</v>
      </c>
      <c r="H6889" t="s">
        <v>85</v>
      </c>
      <c r="AC6889">
        <v>0</v>
      </c>
      <c r="AD6889">
        <v>1</v>
      </c>
      <c r="AE6889">
        <v>0</v>
      </c>
      <c r="AF6889">
        <v>0</v>
      </c>
      <c r="AG6889">
        <v>0</v>
      </c>
      <c r="AJ6889">
        <v>0</v>
      </c>
      <c r="AK6889">
        <v>1</v>
      </c>
      <c r="AL6889">
        <v>0</v>
      </c>
      <c r="AM6889">
        <v>1</v>
      </c>
      <c r="AN6889">
        <v>0</v>
      </c>
      <c r="AO6889">
        <v>1</v>
      </c>
      <c r="AP6889">
        <v>0</v>
      </c>
      <c r="AQ6889">
        <v>1</v>
      </c>
      <c r="AR6889">
        <v>0</v>
      </c>
      <c r="AS6889">
        <v>0</v>
      </c>
      <c r="AT6889">
        <v>1</v>
      </c>
      <c r="AV6889">
        <v>1</v>
      </c>
      <c r="AW6889">
        <v>1</v>
      </c>
    </row>
    <row r="6890" spans="1:49" x14ac:dyDescent="0.25">
      <c r="A6890" t="str">
        <f>"6886"</f>
        <v>6886</v>
      </c>
      <c r="B6890" t="str">
        <f t="shared" si="399"/>
        <v>1</v>
      </c>
      <c r="C6890" t="str">
        <f t="shared" si="400"/>
        <v>301</v>
      </c>
      <c r="D6890" t="str">
        <f>"12"</f>
        <v>12</v>
      </c>
      <c r="E6890" t="str">
        <f>"1-301-12"</f>
        <v>1-301-12</v>
      </c>
      <c r="F6890" t="s">
        <v>83</v>
      </c>
      <c r="G6890" t="s">
        <v>84</v>
      </c>
      <c r="H6890" t="s">
        <v>85</v>
      </c>
      <c r="AC6890">
        <v>0</v>
      </c>
      <c r="AD6890">
        <v>1</v>
      </c>
      <c r="AE6890">
        <v>0</v>
      </c>
      <c r="AF6890">
        <v>0</v>
      </c>
      <c r="AG6890">
        <v>1</v>
      </c>
      <c r="AJ6890">
        <v>0</v>
      </c>
      <c r="AK6890">
        <v>1</v>
      </c>
      <c r="AL6890">
        <v>1</v>
      </c>
      <c r="AM6890">
        <v>0</v>
      </c>
      <c r="AN6890">
        <v>0</v>
      </c>
      <c r="AO6890">
        <v>1</v>
      </c>
      <c r="AP6890">
        <v>1</v>
      </c>
      <c r="AQ6890">
        <v>1</v>
      </c>
      <c r="AR6890">
        <v>1</v>
      </c>
      <c r="AS6890">
        <v>0</v>
      </c>
      <c r="AT6890">
        <v>1</v>
      </c>
      <c r="AV6890">
        <v>1</v>
      </c>
      <c r="AW6890">
        <v>1</v>
      </c>
    </row>
    <row r="6891" spans="1:49" x14ac:dyDescent="0.25">
      <c r="A6891" t="str">
        <f>"6887"</f>
        <v>6887</v>
      </c>
      <c r="B6891" t="str">
        <f t="shared" si="399"/>
        <v>1</v>
      </c>
      <c r="C6891" t="str">
        <f t="shared" si="400"/>
        <v>301</v>
      </c>
      <c r="D6891" t="str">
        <f>"5"</f>
        <v>5</v>
      </c>
      <c r="E6891" t="str">
        <f>"1-301-5"</f>
        <v>1-301-5</v>
      </c>
      <c r="F6891" t="s">
        <v>83</v>
      </c>
      <c r="G6891" t="s">
        <v>84</v>
      </c>
      <c r="H6891" t="s">
        <v>85</v>
      </c>
      <c r="AC6891">
        <v>1</v>
      </c>
      <c r="AD6891">
        <v>0</v>
      </c>
      <c r="AE6891">
        <v>0</v>
      </c>
      <c r="AF6891">
        <v>0</v>
      </c>
      <c r="AG6891">
        <v>1</v>
      </c>
      <c r="AJ6891">
        <v>1</v>
      </c>
      <c r="AK6891">
        <v>0</v>
      </c>
      <c r="AL6891">
        <v>1</v>
      </c>
      <c r="AM6891">
        <v>0</v>
      </c>
      <c r="AN6891">
        <v>0</v>
      </c>
      <c r="AO6891">
        <v>1</v>
      </c>
      <c r="AP6891">
        <v>1</v>
      </c>
      <c r="AQ6891">
        <v>1</v>
      </c>
      <c r="AR6891">
        <v>1</v>
      </c>
      <c r="AS6891">
        <v>0</v>
      </c>
      <c r="AT6891">
        <v>1</v>
      </c>
      <c r="AV6891">
        <v>0</v>
      </c>
      <c r="AW6891">
        <v>0</v>
      </c>
    </row>
    <row r="6892" spans="1:49" x14ac:dyDescent="0.25">
      <c r="A6892" t="str">
        <f>"6888"</f>
        <v>6888</v>
      </c>
      <c r="B6892" t="str">
        <f t="shared" si="399"/>
        <v>1</v>
      </c>
      <c r="C6892" t="str">
        <f t="shared" si="400"/>
        <v>301</v>
      </c>
      <c r="D6892" t="str">
        <f>"13"</f>
        <v>13</v>
      </c>
      <c r="E6892" t="str">
        <f>"1-301-13"</f>
        <v>1-301-13</v>
      </c>
      <c r="F6892" t="s">
        <v>83</v>
      </c>
      <c r="G6892" t="s">
        <v>84</v>
      </c>
      <c r="H6892" t="s">
        <v>85</v>
      </c>
      <c r="AC6892">
        <v>1</v>
      </c>
      <c r="AD6892">
        <v>0</v>
      </c>
      <c r="AE6892">
        <v>0</v>
      </c>
      <c r="AF6892">
        <v>0</v>
      </c>
      <c r="AG6892">
        <v>1</v>
      </c>
      <c r="AJ6892">
        <v>1</v>
      </c>
      <c r="AK6892">
        <v>0</v>
      </c>
      <c r="AL6892">
        <v>1</v>
      </c>
      <c r="AM6892">
        <v>0</v>
      </c>
      <c r="AN6892">
        <v>0</v>
      </c>
      <c r="AO6892">
        <v>1</v>
      </c>
      <c r="AP6892">
        <v>1</v>
      </c>
      <c r="AQ6892">
        <v>1</v>
      </c>
      <c r="AR6892">
        <v>1</v>
      </c>
      <c r="AS6892">
        <v>0</v>
      </c>
      <c r="AT6892">
        <v>1</v>
      </c>
      <c r="AV6892">
        <v>1</v>
      </c>
      <c r="AW6892">
        <v>1</v>
      </c>
    </row>
    <row r="6893" spans="1:49" x14ac:dyDescent="0.25">
      <c r="A6893" t="str">
        <f>"6889"</f>
        <v>6889</v>
      </c>
      <c r="B6893" t="str">
        <f t="shared" si="399"/>
        <v>1</v>
      </c>
      <c r="C6893" t="str">
        <f t="shared" si="400"/>
        <v>301</v>
      </c>
      <c r="D6893" t="str">
        <f>"2"</f>
        <v>2</v>
      </c>
      <c r="E6893" t="str">
        <f>"1-301-2"</f>
        <v>1-301-2</v>
      </c>
      <c r="F6893" t="s">
        <v>83</v>
      </c>
      <c r="G6893" t="s">
        <v>84</v>
      </c>
      <c r="H6893" t="s">
        <v>85</v>
      </c>
      <c r="AC6893">
        <v>1</v>
      </c>
      <c r="AD6893">
        <v>0</v>
      </c>
      <c r="AE6893">
        <v>0</v>
      </c>
      <c r="AF6893">
        <v>0</v>
      </c>
      <c r="AG6893">
        <v>1</v>
      </c>
      <c r="AJ6893">
        <v>1</v>
      </c>
      <c r="AK6893">
        <v>0</v>
      </c>
      <c r="AL6893">
        <v>1</v>
      </c>
      <c r="AM6893">
        <v>0</v>
      </c>
      <c r="AN6893">
        <v>0</v>
      </c>
      <c r="AO6893">
        <v>1</v>
      </c>
      <c r="AP6893">
        <v>1</v>
      </c>
      <c r="AQ6893">
        <v>1</v>
      </c>
      <c r="AR6893">
        <v>1</v>
      </c>
      <c r="AS6893">
        <v>0</v>
      </c>
      <c r="AT6893">
        <v>1</v>
      </c>
      <c r="AV6893">
        <v>1</v>
      </c>
      <c r="AW6893">
        <v>1</v>
      </c>
    </row>
    <row r="6894" spans="1:49" x14ac:dyDescent="0.25">
      <c r="A6894" t="str">
        <f>"6890"</f>
        <v>6890</v>
      </c>
      <c r="B6894" t="str">
        <f t="shared" si="399"/>
        <v>1</v>
      </c>
      <c r="C6894" t="str">
        <f t="shared" si="400"/>
        <v>301</v>
      </c>
      <c r="D6894" t="str">
        <f>"14"</f>
        <v>14</v>
      </c>
      <c r="E6894" t="str">
        <f>"1-301-14"</f>
        <v>1-301-14</v>
      </c>
      <c r="F6894" t="s">
        <v>83</v>
      </c>
      <c r="G6894" t="s">
        <v>84</v>
      </c>
      <c r="H6894" t="s">
        <v>85</v>
      </c>
      <c r="AC6894">
        <v>0</v>
      </c>
      <c r="AD6894">
        <v>1</v>
      </c>
      <c r="AE6894">
        <v>0</v>
      </c>
      <c r="AF6894">
        <v>0</v>
      </c>
      <c r="AG6894">
        <v>1</v>
      </c>
      <c r="AJ6894">
        <v>0</v>
      </c>
      <c r="AK6894">
        <v>1</v>
      </c>
      <c r="AL6894">
        <v>0</v>
      </c>
      <c r="AM6894">
        <v>0</v>
      </c>
      <c r="AN6894">
        <v>1</v>
      </c>
      <c r="AO6894">
        <v>1</v>
      </c>
      <c r="AP6894">
        <v>1</v>
      </c>
      <c r="AQ6894">
        <v>1</v>
      </c>
      <c r="AR6894">
        <v>1</v>
      </c>
      <c r="AS6894">
        <v>0</v>
      </c>
      <c r="AT6894">
        <v>1</v>
      </c>
      <c r="AV6894">
        <v>1</v>
      </c>
      <c r="AW6894">
        <v>1</v>
      </c>
    </row>
    <row r="6895" spans="1:49" x14ac:dyDescent="0.25">
      <c r="A6895" t="str">
        <f>"6891"</f>
        <v>6891</v>
      </c>
      <c r="B6895" t="str">
        <f t="shared" si="399"/>
        <v>1</v>
      </c>
      <c r="C6895" t="str">
        <f t="shared" si="400"/>
        <v>301</v>
      </c>
      <c r="D6895" t="str">
        <f>"6"</f>
        <v>6</v>
      </c>
      <c r="E6895" t="str">
        <f>"1-301-6"</f>
        <v>1-301-6</v>
      </c>
      <c r="F6895" t="s">
        <v>83</v>
      </c>
      <c r="G6895" t="s">
        <v>84</v>
      </c>
      <c r="H6895" t="s">
        <v>85</v>
      </c>
      <c r="AC6895">
        <v>1</v>
      </c>
      <c r="AD6895">
        <v>0</v>
      </c>
      <c r="AE6895">
        <v>0</v>
      </c>
      <c r="AF6895">
        <v>0</v>
      </c>
      <c r="AG6895">
        <v>0</v>
      </c>
      <c r="AJ6895">
        <v>1</v>
      </c>
      <c r="AK6895">
        <v>0</v>
      </c>
      <c r="AL6895">
        <v>0</v>
      </c>
      <c r="AM6895">
        <v>0</v>
      </c>
      <c r="AN6895">
        <v>1</v>
      </c>
      <c r="AO6895">
        <v>1</v>
      </c>
      <c r="AP6895">
        <v>1</v>
      </c>
      <c r="AQ6895">
        <v>1</v>
      </c>
      <c r="AR6895">
        <v>1</v>
      </c>
      <c r="AS6895">
        <v>0</v>
      </c>
      <c r="AT6895">
        <v>1</v>
      </c>
      <c r="AV6895">
        <v>1</v>
      </c>
      <c r="AW6895">
        <v>1</v>
      </c>
    </row>
    <row r="6896" spans="1:49" x14ac:dyDescent="0.25">
      <c r="A6896" t="str">
        <f>"6892"</f>
        <v>6892</v>
      </c>
      <c r="B6896" t="str">
        <f t="shared" si="399"/>
        <v>1</v>
      </c>
      <c r="C6896" t="str">
        <f t="shared" ref="C6896:C6920" si="401">"302"</f>
        <v>302</v>
      </c>
      <c r="D6896" t="str">
        <f>"20"</f>
        <v>20</v>
      </c>
      <c r="E6896" t="str">
        <f>"1-302-20"</f>
        <v>1-302-20</v>
      </c>
      <c r="F6896" t="s">
        <v>83</v>
      </c>
      <c r="G6896" t="s">
        <v>84</v>
      </c>
      <c r="H6896" t="s">
        <v>85</v>
      </c>
      <c r="AC6896">
        <v>0</v>
      </c>
      <c r="AD6896">
        <v>1</v>
      </c>
      <c r="AE6896">
        <v>0</v>
      </c>
      <c r="AF6896">
        <v>0</v>
      </c>
      <c r="AG6896">
        <v>0</v>
      </c>
      <c r="AJ6896">
        <v>0</v>
      </c>
      <c r="AK6896">
        <v>1</v>
      </c>
      <c r="AL6896">
        <v>0</v>
      </c>
      <c r="AM6896">
        <v>1</v>
      </c>
      <c r="AN6896">
        <v>0</v>
      </c>
      <c r="AO6896">
        <v>0</v>
      </c>
      <c r="AP6896">
        <v>0</v>
      </c>
      <c r="AQ6896">
        <v>0</v>
      </c>
      <c r="AR6896">
        <v>1</v>
      </c>
      <c r="AS6896">
        <v>0</v>
      </c>
      <c r="AT6896">
        <v>0</v>
      </c>
      <c r="AV6896">
        <v>0</v>
      </c>
      <c r="AW6896">
        <v>1</v>
      </c>
    </row>
    <row r="6897" spans="1:49" x14ac:dyDescent="0.25">
      <c r="A6897" t="str">
        <f>"6893"</f>
        <v>6893</v>
      </c>
      <c r="B6897" t="str">
        <f t="shared" si="399"/>
        <v>1</v>
      </c>
      <c r="C6897" t="str">
        <f t="shared" si="401"/>
        <v>302</v>
      </c>
      <c r="D6897" t="str">
        <f>"19"</f>
        <v>19</v>
      </c>
      <c r="E6897" t="str">
        <f>"1-302-19"</f>
        <v>1-302-19</v>
      </c>
      <c r="F6897" t="s">
        <v>83</v>
      </c>
      <c r="G6897" t="s">
        <v>84</v>
      </c>
      <c r="H6897" t="s">
        <v>85</v>
      </c>
      <c r="AC6897">
        <v>1</v>
      </c>
      <c r="AD6897">
        <v>0</v>
      </c>
      <c r="AE6897">
        <v>0</v>
      </c>
      <c r="AF6897">
        <v>0</v>
      </c>
      <c r="AG6897">
        <v>1</v>
      </c>
      <c r="AJ6897">
        <v>1</v>
      </c>
      <c r="AK6897">
        <v>0</v>
      </c>
      <c r="AL6897">
        <v>1</v>
      </c>
      <c r="AM6897">
        <v>0</v>
      </c>
      <c r="AN6897">
        <v>0</v>
      </c>
      <c r="AO6897">
        <v>1</v>
      </c>
      <c r="AP6897">
        <v>1</v>
      </c>
      <c r="AQ6897">
        <v>1</v>
      </c>
      <c r="AR6897">
        <v>1</v>
      </c>
      <c r="AS6897">
        <v>1</v>
      </c>
      <c r="AT6897">
        <v>0</v>
      </c>
      <c r="AV6897">
        <v>1</v>
      </c>
      <c r="AW6897">
        <v>1</v>
      </c>
    </row>
    <row r="6898" spans="1:49" x14ac:dyDescent="0.25">
      <c r="A6898" t="str">
        <f>"6894"</f>
        <v>6894</v>
      </c>
      <c r="B6898" t="str">
        <f t="shared" si="399"/>
        <v>1</v>
      </c>
      <c r="C6898" t="str">
        <f t="shared" si="401"/>
        <v>302</v>
      </c>
      <c r="D6898" t="str">
        <f>"13"</f>
        <v>13</v>
      </c>
      <c r="E6898" t="str">
        <f>"1-302-13"</f>
        <v>1-302-13</v>
      </c>
      <c r="F6898" t="s">
        <v>83</v>
      </c>
      <c r="G6898" t="s">
        <v>84</v>
      </c>
      <c r="H6898" t="s">
        <v>85</v>
      </c>
      <c r="AC6898">
        <v>1</v>
      </c>
      <c r="AD6898">
        <v>0</v>
      </c>
      <c r="AE6898">
        <v>0</v>
      </c>
      <c r="AF6898">
        <v>0</v>
      </c>
      <c r="AG6898">
        <v>1</v>
      </c>
      <c r="AJ6898">
        <v>0</v>
      </c>
      <c r="AK6898">
        <v>1</v>
      </c>
      <c r="AL6898">
        <v>1</v>
      </c>
      <c r="AM6898">
        <v>0</v>
      </c>
      <c r="AN6898">
        <v>0</v>
      </c>
      <c r="AO6898">
        <v>1</v>
      </c>
      <c r="AP6898">
        <v>1</v>
      </c>
      <c r="AQ6898">
        <v>1</v>
      </c>
      <c r="AR6898">
        <v>1</v>
      </c>
      <c r="AS6898">
        <v>0</v>
      </c>
      <c r="AT6898">
        <v>1</v>
      </c>
      <c r="AV6898">
        <v>1</v>
      </c>
      <c r="AW6898">
        <v>1</v>
      </c>
    </row>
    <row r="6899" spans="1:49" x14ac:dyDescent="0.25">
      <c r="A6899" t="str">
        <f>"6895"</f>
        <v>6895</v>
      </c>
      <c r="B6899" t="str">
        <f t="shared" si="399"/>
        <v>1</v>
      </c>
      <c r="C6899" t="str">
        <f t="shared" si="401"/>
        <v>302</v>
      </c>
      <c r="D6899" t="str">
        <f>"8"</f>
        <v>8</v>
      </c>
      <c r="E6899" t="str">
        <f>"1-302-8"</f>
        <v>1-302-8</v>
      </c>
      <c r="F6899" t="s">
        <v>83</v>
      </c>
      <c r="G6899" t="s">
        <v>84</v>
      </c>
      <c r="H6899" t="s">
        <v>85</v>
      </c>
      <c r="AC6899">
        <v>1</v>
      </c>
      <c r="AD6899">
        <v>0</v>
      </c>
      <c r="AE6899">
        <v>0</v>
      </c>
      <c r="AF6899">
        <v>0</v>
      </c>
      <c r="AG6899">
        <v>1</v>
      </c>
      <c r="AJ6899">
        <v>1</v>
      </c>
      <c r="AK6899">
        <v>0</v>
      </c>
      <c r="AL6899">
        <v>1</v>
      </c>
      <c r="AM6899">
        <v>0</v>
      </c>
      <c r="AN6899">
        <v>0</v>
      </c>
      <c r="AO6899">
        <v>1</v>
      </c>
      <c r="AP6899">
        <v>1</v>
      </c>
      <c r="AQ6899">
        <v>1</v>
      </c>
      <c r="AR6899">
        <v>1</v>
      </c>
      <c r="AS6899">
        <v>0</v>
      </c>
      <c r="AT6899">
        <v>1</v>
      </c>
      <c r="AV6899">
        <v>1</v>
      </c>
      <c r="AW6899">
        <v>1</v>
      </c>
    </row>
    <row r="6900" spans="1:49" x14ac:dyDescent="0.25">
      <c r="A6900" t="str">
        <f>"6896"</f>
        <v>6896</v>
      </c>
      <c r="B6900" t="str">
        <f t="shared" si="399"/>
        <v>1</v>
      </c>
      <c r="C6900" t="str">
        <f t="shared" si="401"/>
        <v>302</v>
      </c>
      <c r="D6900" t="str">
        <f>"5"</f>
        <v>5</v>
      </c>
      <c r="E6900" t="str">
        <f>"1-302-5"</f>
        <v>1-302-5</v>
      </c>
      <c r="F6900" t="s">
        <v>83</v>
      </c>
      <c r="G6900" t="s">
        <v>84</v>
      </c>
      <c r="H6900" t="s">
        <v>85</v>
      </c>
      <c r="AC6900">
        <v>0</v>
      </c>
      <c r="AD6900">
        <v>1</v>
      </c>
      <c r="AE6900">
        <v>0</v>
      </c>
      <c r="AF6900">
        <v>0</v>
      </c>
      <c r="AG6900">
        <v>1</v>
      </c>
      <c r="AJ6900">
        <v>0</v>
      </c>
      <c r="AK6900">
        <v>1</v>
      </c>
      <c r="AL6900">
        <v>0</v>
      </c>
      <c r="AM6900">
        <v>0</v>
      </c>
      <c r="AN6900">
        <v>1</v>
      </c>
      <c r="AO6900">
        <v>1</v>
      </c>
      <c r="AP6900">
        <v>1</v>
      </c>
      <c r="AQ6900">
        <v>1</v>
      </c>
      <c r="AR6900">
        <v>1</v>
      </c>
      <c r="AS6900">
        <v>0</v>
      </c>
      <c r="AT6900">
        <v>1</v>
      </c>
      <c r="AV6900">
        <v>1</v>
      </c>
      <c r="AW6900">
        <v>1</v>
      </c>
    </row>
    <row r="6901" spans="1:49" x14ac:dyDescent="0.25">
      <c r="A6901" t="str">
        <f>"6897"</f>
        <v>6897</v>
      </c>
      <c r="B6901" t="str">
        <f t="shared" si="399"/>
        <v>1</v>
      </c>
      <c r="C6901" t="str">
        <f t="shared" si="401"/>
        <v>302</v>
      </c>
      <c r="D6901" t="str">
        <f>"25"</f>
        <v>25</v>
      </c>
      <c r="E6901" t="str">
        <f>"1-302-25"</f>
        <v>1-302-25</v>
      </c>
      <c r="F6901" t="s">
        <v>83</v>
      </c>
      <c r="G6901" t="s">
        <v>84</v>
      </c>
      <c r="H6901" t="s">
        <v>85</v>
      </c>
      <c r="AC6901">
        <v>1</v>
      </c>
      <c r="AD6901">
        <v>0</v>
      </c>
      <c r="AE6901">
        <v>0</v>
      </c>
      <c r="AF6901">
        <v>0</v>
      </c>
      <c r="AG6901">
        <v>1</v>
      </c>
      <c r="AJ6901">
        <v>1</v>
      </c>
      <c r="AK6901">
        <v>0</v>
      </c>
      <c r="AL6901">
        <v>0</v>
      </c>
      <c r="AM6901">
        <v>1</v>
      </c>
      <c r="AN6901">
        <v>0</v>
      </c>
      <c r="AO6901">
        <v>1</v>
      </c>
      <c r="AP6901">
        <v>1</v>
      </c>
      <c r="AQ6901">
        <v>1</v>
      </c>
      <c r="AR6901">
        <v>1</v>
      </c>
      <c r="AS6901">
        <v>1</v>
      </c>
      <c r="AT6901">
        <v>0</v>
      </c>
      <c r="AV6901">
        <v>1</v>
      </c>
      <c r="AW6901">
        <v>1</v>
      </c>
    </row>
    <row r="6902" spans="1:49" x14ac:dyDescent="0.25">
      <c r="A6902" t="str">
        <f>"6898"</f>
        <v>6898</v>
      </c>
      <c r="B6902" t="str">
        <f t="shared" si="399"/>
        <v>1</v>
      </c>
      <c r="C6902" t="str">
        <f t="shared" si="401"/>
        <v>302</v>
      </c>
      <c r="D6902" t="str">
        <f>"24"</f>
        <v>24</v>
      </c>
      <c r="E6902" t="str">
        <f>"1-302-24"</f>
        <v>1-302-24</v>
      </c>
      <c r="F6902" t="s">
        <v>83</v>
      </c>
      <c r="G6902" t="s">
        <v>84</v>
      </c>
      <c r="H6902" t="s">
        <v>85</v>
      </c>
      <c r="AC6902">
        <v>1</v>
      </c>
      <c r="AD6902">
        <v>0</v>
      </c>
      <c r="AE6902">
        <v>0</v>
      </c>
      <c r="AF6902">
        <v>0</v>
      </c>
      <c r="AG6902">
        <v>0</v>
      </c>
      <c r="AJ6902">
        <v>0</v>
      </c>
      <c r="AK6902">
        <v>1</v>
      </c>
      <c r="AL6902">
        <v>0</v>
      </c>
      <c r="AM6902">
        <v>0</v>
      </c>
      <c r="AN6902">
        <v>1</v>
      </c>
      <c r="AO6902">
        <v>0</v>
      </c>
      <c r="AP6902">
        <v>0</v>
      </c>
      <c r="AQ6902">
        <v>0</v>
      </c>
      <c r="AR6902">
        <v>0</v>
      </c>
      <c r="AS6902">
        <v>0</v>
      </c>
      <c r="AT6902">
        <v>1</v>
      </c>
      <c r="AV6902">
        <v>0</v>
      </c>
      <c r="AW6902">
        <v>0</v>
      </c>
    </row>
    <row r="6903" spans="1:49" x14ac:dyDescent="0.25">
      <c r="A6903" t="str">
        <f>"6899"</f>
        <v>6899</v>
      </c>
      <c r="B6903" t="str">
        <f t="shared" si="399"/>
        <v>1</v>
      </c>
      <c r="C6903" t="str">
        <f t="shared" si="401"/>
        <v>302</v>
      </c>
      <c r="D6903" t="str">
        <f>"15"</f>
        <v>15</v>
      </c>
      <c r="E6903" t="str">
        <f>"1-302-15"</f>
        <v>1-302-15</v>
      </c>
      <c r="F6903" t="s">
        <v>83</v>
      </c>
      <c r="G6903" t="s">
        <v>88</v>
      </c>
      <c r="H6903" t="s">
        <v>89</v>
      </c>
      <c r="AC6903">
        <v>0</v>
      </c>
      <c r="AD6903">
        <v>1</v>
      </c>
      <c r="AE6903">
        <v>0</v>
      </c>
      <c r="AF6903">
        <v>0</v>
      </c>
      <c r="AH6903">
        <v>1</v>
      </c>
      <c r="AI6903">
        <v>0</v>
      </c>
      <c r="AJ6903">
        <v>0</v>
      </c>
      <c r="AK6903">
        <v>1</v>
      </c>
      <c r="AL6903">
        <v>0</v>
      </c>
      <c r="AM6903">
        <v>0</v>
      </c>
      <c r="AN6903">
        <v>1</v>
      </c>
      <c r="AO6903">
        <v>0</v>
      </c>
      <c r="AP6903">
        <v>0</v>
      </c>
      <c r="AQ6903">
        <v>0</v>
      </c>
      <c r="AR6903">
        <v>0</v>
      </c>
      <c r="AS6903">
        <v>0</v>
      </c>
      <c r="AT6903">
        <v>1</v>
      </c>
      <c r="AV6903">
        <v>0</v>
      </c>
      <c r="AW6903">
        <v>1</v>
      </c>
    </row>
    <row r="6904" spans="1:49" x14ac:dyDescent="0.25">
      <c r="A6904" t="str">
        <f>"6900"</f>
        <v>6900</v>
      </c>
      <c r="B6904" t="str">
        <f t="shared" si="399"/>
        <v>1</v>
      </c>
      <c r="C6904" t="str">
        <f t="shared" si="401"/>
        <v>302</v>
      </c>
      <c r="D6904" t="str">
        <f>"9"</f>
        <v>9</v>
      </c>
      <c r="E6904" t="str">
        <f>"1-302-9"</f>
        <v>1-302-9</v>
      </c>
      <c r="F6904" t="s">
        <v>83</v>
      </c>
      <c r="G6904" t="s">
        <v>84</v>
      </c>
      <c r="H6904" t="s">
        <v>85</v>
      </c>
      <c r="AC6904">
        <v>1</v>
      </c>
      <c r="AD6904">
        <v>0</v>
      </c>
      <c r="AE6904">
        <v>0</v>
      </c>
      <c r="AF6904">
        <v>0</v>
      </c>
      <c r="AG6904">
        <v>1</v>
      </c>
      <c r="AJ6904">
        <v>1</v>
      </c>
      <c r="AK6904">
        <v>0</v>
      </c>
      <c r="AL6904">
        <v>0</v>
      </c>
      <c r="AM6904">
        <v>0</v>
      </c>
      <c r="AN6904">
        <v>1</v>
      </c>
      <c r="AO6904">
        <v>1</v>
      </c>
      <c r="AP6904">
        <v>1</v>
      </c>
      <c r="AQ6904">
        <v>1</v>
      </c>
      <c r="AR6904">
        <v>1</v>
      </c>
      <c r="AS6904">
        <v>1</v>
      </c>
      <c r="AT6904">
        <v>0</v>
      </c>
      <c r="AV6904">
        <v>1</v>
      </c>
      <c r="AW6904">
        <v>0</v>
      </c>
    </row>
    <row r="6905" spans="1:49" x14ac:dyDescent="0.25">
      <c r="A6905" t="str">
        <f>"6901"</f>
        <v>6901</v>
      </c>
      <c r="B6905" t="str">
        <f t="shared" si="399"/>
        <v>1</v>
      </c>
      <c r="C6905" t="str">
        <f t="shared" si="401"/>
        <v>302</v>
      </c>
      <c r="D6905" t="str">
        <f>"2"</f>
        <v>2</v>
      </c>
      <c r="E6905" t="str">
        <f>"1-302-2"</f>
        <v>1-302-2</v>
      </c>
      <c r="F6905" t="s">
        <v>83</v>
      </c>
      <c r="G6905" t="s">
        <v>84</v>
      </c>
      <c r="H6905" t="s">
        <v>85</v>
      </c>
      <c r="AC6905">
        <v>1</v>
      </c>
      <c r="AD6905">
        <v>0</v>
      </c>
      <c r="AE6905">
        <v>0</v>
      </c>
      <c r="AF6905">
        <v>0</v>
      </c>
      <c r="AG6905">
        <v>0</v>
      </c>
      <c r="AJ6905">
        <v>0</v>
      </c>
      <c r="AK6905">
        <v>0</v>
      </c>
      <c r="AL6905">
        <v>1</v>
      </c>
      <c r="AM6905">
        <v>0</v>
      </c>
      <c r="AN6905">
        <v>0</v>
      </c>
      <c r="AO6905">
        <v>0</v>
      </c>
      <c r="AP6905">
        <v>0</v>
      </c>
      <c r="AQ6905">
        <v>0</v>
      </c>
      <c r="AR6905">
        <v>0</v>
      </c>
      <c r="AS6905">
        <v>1</v>
      </c>
      <c r="AT6905">
        <v>0</v>
      </c>
      <c r="AV6905">
        <v>0</v>
      </c>
      <c r="AW6905">
        <v>1</v>
      </c>
    </row>
    <row r="6906" spans="1:49" x14ac:dyDescent="0.25">
      <c r="A6906" t="str">
        <f>"6902"</f>
        <v>6902</v>
      </c>
      <c r="B6906" t="str">
        <f t="shared" si="399"/>
        <v>1</v>
      </c>
      <c r="C6906" t="str">
        <f t="shared" si="401"/>
        <v>302</v>
      </c>
      <c r="D6906" t="str">
        <f>"16"</f>
        <v>16</v>
      </c>
      <c r="E6906" t="str">
        <f>"1-302-16"</f>
        <v>1-302-16</v>
      </c>
      <c r="F6906" t="s">
        <v>83</v>
      </c>
      <c r="G6906" t="s">
        <v>88</v>
      </c>
      <c r="H6906" t="s">
        <v>89</v>
      </c>
      <c r="AC6906">
        <v>0</v>
      </c>
      <c r="AD6906">
        <v>1</v>
      </c>
      <c r="AE6906">
        <v>0</v>
      </c>
      <c r="AF6906">
        <v>0</v>
      </c>
      <c r="AH6906">
        <v>1</v>
      </c>
      <c r="AI6906">
        <v>0</v>
      </c>
      <c r="AJ6906">
        <v>0</v>
      </c>
      <c r="AK6906">
        <v>1</v>
      </c>
      <c r="AL6906">
        <v>0</v>
      </c>
      <c r="AM6906">
        <v>0</v>
      </c>
      <c r="AN6906">
        <v>1</v>
      </c>
      <c r="AO6906">
        <v>1</v>
      </c>
      <c r="AP6906">
        <v>1</v>
      </c>
      <c r="AQ6906">
        <v>1</v>
      </c>
      <c r="AR6906">
        <v>1</v>
      </c>
      <c r="AS6906">
        <v>0</v>
      </c>
      <c r="AT6906">
        <v>1</v>
      </c>
      <c r="AV6906">
        <v>0</v>
      </c>
      <c r="AW6906">
        <v>1</v>
      </c>
    </row>
    <row r="6907" spans="1:49" x14ac:dyDescent="0.25">
      <c r="A6907" t="str">
        <f>"6903"</f>
        <v>6903</v>
      </c>
      <c r="B6907" t="str">
        <f t="shared" si="399"/>
        <v>1</v>
      </c>
      <c r="C6907" t="str">
        <f t="shared" si="401"/>
        <v>302</v>
      </c>
      <c r="D6907" t="str">
        <f>"10"</f>
        <v>10</v>
      </c>
      <c r="E6907" t="str">
        <f>"1-302-10"</f>
        <v>1-302-10</v>
      </c>
      <c r="F6907" t="s">
        <v>83</v>
      </c>
      <c r="G6907" t="s">
        <v>84</v>
      </c>
      <c r="H6907" t="s">
        <v>85</v>
      </c>
      <c r="AC6907">
        <v>0</v>
      </c>
      <c r="AD6907">
        <v>1</v>
      </c>
      <c r="AE6907">
        <v>0</v>
      </c>
      <c r="AF6907">
        <v>0</v>
      </c>
      <c r="AG6907">
        <v>1</v>
      </c>
      <c r="AJ6907">
        <v>1</v>
      </c>
      <c r="AK6907">
        <v>0</v>
      </c>
      <c r="AL6907">
        <v>0</v>
      </c>
      <c r="AM6907">
        <v>0</v>
      </c>
      <c r="AN6907">
        <v>1</v>
      </c>
      <c r="AO6907">
        <v>1</v>
      </c>
      <c r="AP6907">
        <v>1</v>
      </c>
      <c r="AQ6907">
        <v>1</v>
      </c>
      <c r="AR6907">
        <v>1</v>
      </c>
      <c r="AS6907">
        <v>0</v>
      </c>
      <c r="AT6907">
        <v>1</v>
      </c>
      <c r="AV6907">
        <v>1</v>
      </c>
      <c r="AW6907">
        <v>1</v>
      </c>
    </row>
    <row r="6908" spans="1:49" x14ac:dyDescent="0.25">
      <c r="A6908" t="str">
        <f>"6904"</f>
        <v>6904</v>
      </c>
      <c r="B6908" t="str">
        <f t="shared" si="399"/>
        <v>1</v>
      </c>
      <c r="C6908" t="str">
        <f t="shared" si="401"/>
        <v>302</v>
      </c>
      <c r="D6908" t="str">
        <f>"4"</f>
        <v>4</v>
      </c>
      <c r="E6908" t="str">
        <f>"1-302-4"</f>
        <v>1-302-4</v>
      </c>
      <c r="F6908" t="s">
        <v>83</v>
      </c>
      <c r="G6908" t="s">
        <v>84</v>
      </c>
      <c r="H6908" t="s">
        <v>85</v>
      </c>
      <c r="AC6908">
        <v>1</v>
      </c>
      <c r="AD6908">
        <v>0</v>
      </c>
      <c r="AE6908">
        <v>0</v>
      </c>
      <c r="AF6908">
        <v>0</v>
      </c>
      <c r="AG6908">
        <v>1</v>
      </c>
      <c r="AJ6908">
        <v>1</v>
      </c>
      <c r="AK6908">
        <v>0</v>
      </c>
      <c r="AL6908">
        <v>0</v>
      </c>
      <c r="AM6908">
        <v>0</v>
      </c>
      <c r="AN6908">
        <v>1</v>
      </c>
      <c r="AO6908">
        <v>1</v>
      </c>
      <c r="AP6908">
        <v>1</v>
      </c>
      <c r="AQ6908">
        <v>1</v>
      </c>
      <c r="AR6908">
        <v>1</v>
      </c>
      <c r="AS6908">
        <v>1</v>
      </c>
      <c r="AT6908">
        <v>0</v>
      </c>
      <c r="AV6908">
        <v>1</v>
      </c>
      <c r="AW6908">
        <v>0</v>
      </c>
    </row>
    <row r="6909" spans="1:49" x14ac:dyDescent="0.25">
      <c r="A6909" t="str">
        <f>"6905"</f>
        <v>6905</v>
      </c>
      <c r="B6909" t="str">
        <f t="shared" si="399"/>
        <v>1</v>
      </c>
      <c r="C6909" t="str">
        <f t="shared" si="401"/>
        <v>302</v>
      </c>
      <c r="D6909" t="str">
        <f>"23"</f>
        <v>23</v>
      </c>
      <c r="E6909" t="str">
        <f>"1-302-23"</f>
        <v>1-302-23</v>
      </c>
      <c r="F6909" t="s">
        <v>83</v>
      </c>
      <c r="G6909" t="s">
        <v>84</v>
      </c>
      <c r="H6909" t="s">
        <v>85</v>
      </c>
      <c r="AC6909">
        <v>1</v>
      </c>
      <c r="AD6909">
        <v>0</v>
      </c>
      <c r="AE6909">
        <v>0</v>
      </c>
      <c r="AF6909">
        <v>0</v>
      </c>
      <c r="AG6909">
        <v>1</v>
      </c>
      <c r="AJ6909">
        <v>1</v>
      </c>
      <c r="AK6909">
        <v>0</v>
      </c>
      <c r="AL6909">
        <v>0</v>
      </c>
      <c r="AM6909">
        <v>0</v>
      </c>
      <c r="AN6909">
        <v>1</v>
      </c>
      <c r="AO6909">
        <v>1</v>
      </c>
      <c r="AP6909">
        <v>1</v>
      </c>
      <c r="AQ6909">
        <v>1</v>
      </c>
      <c r="AR6909">
        <v>1</v>
      </c>
      <c r="AS6909">
        <v>0</v>
      </c>
      <c r="AT6909">
        <v>1</v>
      </c>
      <c r="AV6909">
        <v>1</v>
      </c>
      <c r="AW6909">
        <v>1</v>
      </c>
    </row>
    <row r="6910" spans="1:49" x14ac:dyDescent="0.25">
      <c r="A6910" t="str">
        <f>"6906"</f>
        <v>6906</v>
      </c>
      <c r="B6910" t="str">
        <f t="shared" si="399"/>
        <v>1</v>
      </c>
      <c r="C6910" t="str">
        <f t="shared" si="401"/>
        <v>302</v>
      </c>
      <c r="D6910" t="str">
        <f>"22"</f>
        <v>22</v>
      </c>
      <c r="E6910" t="str">
        <f>"1-302-22"</f>
        <v>1-302-22</v>
      </c>
      <c r="F6910" t="s">
        <v>83</v>
      </c>
      <c r="G6910" t="s">
        <v>84</v>
      </c>
      <c r="H6910" t="s">
        <v>85</v>
      </c>
      <c r="AC6910">
        <v>1</v>
      </c>
      <c r="AD6910">
        <v>0</v>
      </c>
      <c r="AE6910">
        <v>0</v>
      </c>
      <c r="AF6910">
        <v>0</v>
      </c>
      <c r="AG6910">
        <v>1</v>
      </c>
      <c r="AJ6910">
        <v>0</v>
      </c>
      <c r="AK6910">
        <v>1</v>
      </c>
      <c r="AL6910">
        <v>1</v>
      </c>
      <c r="AM6910">
        <v>0</v>
      </c>
      <c r="AN6910">
        <v>0</v>
      </c>
      <c r="AO6910">
        <v>1</v>
      </c>
      <c r="AP6910">
        <v>1</v>
      </c>
      <c r="AQ6910">
        <v>1</v>
      </c>
      <c r="AR6910">
        <v>1</v>
      </c>
      <c r="AS6910">
        <v>1</v>
      </c>
      <c r="AT6910">
        <v>0</v>
      </c>
      <c r="AV6910">
        <v>1</v>
      </c>
      <c r="AW6910">
        <v>1</v>
      </c>
    </row>
    <row r="6911" spans="1:49" x14ac:dyDescent="0.25">
      <c r="A6911" t="str">
        <f>"6907"</f>
        <v>6907</v>
      </c>
      <c r="B6911" t="str">
        <f t="shared" si="399"/>
        <v>1</v>
      </c>
      <c r="C6911" t="str">
        <f t="shared" si="401"/>
        <v>302</v>
      </c>
      <c r="D6911" t="str">
        <f>"14"</f>
        <v>14</v>
      </c>
      <c r="E6911" t="str">
        <f>"1-302-14"</f>
        <v>1-302-14</v>
      </c>
      <c r="F6911" t="s">
        <v>83</v>
      </c>
      <c r="G6911" t="s">
        <v>84</v>
      </c>
      <c r="H6911" t="s">
        <v>85</v>
      </c>
      <c r="AC6911">
        <v>1</v>
      </c>
      <c r="AD6911">
        <v>0</v>
      </c>
      <c r="AE6911">
        <v>0</v>
      </c>
      <c r="AF6911">
        <v>0</v>
      </c>
      <c r="AG6911">
        <v>0</v>
      </c>
      <c r="AJ6911">
        <v>0</v>
      </c>
      <c r="AK6911">
        <v>0</v>
      </c>
      <c r="AL6911">
        <v>1</v>
      </c>
      <c r="AM6911">
        <v>0</v>
      </c>
      <c r="AN6911">
        <v>0</v>
      </c>
      <c r="AO6911">
        <v>0</v>
      </c>
      <c r="AP6911">
        <v>0</v>
      </c>
      <c r="AQ6911">
        <v>0</v>
      </c>
      <c r="AR6911">
        <v>0</v>
      </c>
      <c r="AS6911">
        <v>1</v>
      </c>
      <c r="AT6911">
        <v>0</v>
      </c>
      <c r="AV6911">
        <v>0</v>
      </c>
      <c r="AW6911">
        <v>1</v>
      </c>
    </row>
    <row r="6912" spans="1:49" x14ac:dyDescent="0.25">
      <c r="A6912" t="str">
        <f>"6908"</f>
        <v>6908</v>
      </c>
      <c r="B6912" t="str">
        <f t="shared" si="399"/>
        <v>1</v>
      </c>
      <c r="C6912" t="str">
        <f t="shared" si="401"/>
        <v>302</v>
      </c>
      <c r="D6912" t="str">
        <f>"11"</f>
        <v>11</v>
      </c>
      <c r="E6912" t="str">
        <f>"1-302-11"</f>
        <v>1-302-11</v>
      </c>
      <c r="F6912" t="s">
        <v>83</v>
      </c>
      <c r="G6912" t="s">
        <v>84</v>
      </c>
      <c r="H6912" t="s">
        <v>85</v>
      </c>
      <c r="AC6912">
        <v>0</v>
      </c>
      <c r="AD6912">
        <v>1</v>
      </c>
      <c r="AE6912">
        <v>0</v>
      </c>
      <c r="AF6912">
        <v>0</v>
      </c>
      <c r="AG6912">
        <v>1</v>
      </c>
      <c r="AJ6912">
        <v>0</v>
      </c>
      <c r="AK6912">
        <v>1</v>
      </c>
      <c r="AL6912">
        <v>0</v>
      </c>
      <c r="AM6912">
        <v>0</v>
      </c>
      <c r="AN6912">
        <v>1</v>
      </c>
      <c r="AO6912">
        <v>1</v>
      </c>
      <c r="AP6912">
        <v>1</v>
      </c>
      <c r="AQ6912">
        <v>1</v>
      </c>
      <c r="AR6912">
        <v>1</v>
      </c>
      <c r="AS6912">
        <v>0</v>
      </c>
      <c r="AT6912">
        <v>1</v>
      </c>
      <c r="AV6912">
        <v>1</v>
      </c>
      <c r="AW6912">
        <v>1</v>
      </c>
    </row>
    <row r="6913" spans="1:49" x14ac:dyDescent="0.25">
      <c r="A6913" t="str">
        <f>"6909"</f>
        <v>6909</v>
      </c>
      <c r="B6913" t="str">
        <f t="shared" si="399"/>
        <v>1</v>
      </c>
      <c r="C6913" t="str">
        <f t="shared" si="401"/>
        <v>302</v>
      </c>
      <c r="D6913" t="str">
        <f>"6"</f>
        <v>6</v>
      </c>
      <c r="E6913" t="str">
        <f>"1-302-6"</f>
        <v>1-302-6</v>
      </c>
      <c r="F6913" t="s">
        <v>83</v>
      </c>
      <c r="G6913" t="s">
        <v>84</v>
      </c>
      <c r="H6913" t="s">
        <v>85</v>
      </c>
      <c r="AC6913">
        <v>0</v>
      </c>
      <c r="AD6913">
        <v>1</v>
      </c>
      <c r="AE6913">
        <v>0</v>
      </c>
      <c r="AF6913">
        <v>0</v>
      </c>
      <c r="AG6913">
        <v>1</v>
      </c>
      <c r="AJ6913">
        <v>1</v>
      </c>
      <c r="AK6913">
        <v>0</v>
      </c>
      <c r="AL6913">
        <v>0</v>
      </c>
      <c r="AM6913">
        <v>0</v>
      </c>
      <c r="AN6913">
        <v>0</v>
      </c>
      <c r="AO6913">
        <v>1</v>
      </c>
      <c r="AP6913">
        <v>1</v>
      </c>
      <c r="AQ6913">
        <v>1</v>
      </c>
      <c r="AR6913">
        <v>1</v>
      </c>
      <c r="AS6913">
        <v>0</v>
      </c>
      <c r="AT6913">
        <v>1</v>
      </c>
      <c r="AV6913">
        <v>1</v>
      </c>
      <c r="AW6913">
        <v>1</v>
      </c>
    </row>
    <row r="6914" spans="1:49" x14ac:dyDescent="0.25">
      <c r="A6914" t="str">
        <f>"6910"</f>
        <v>6910</v>
      </c>
      <c r="B6914" t="str">
        <f t="shared" si="399"/>
        <v>1</v>
      </c>
      <c r="C6914" t="str">
        <f t="shared" si="401"/>
        <v>302</v>
      </c>
      <c r="D6914" t="str">
        <f>"17"</f>
        <v>17</v>
      </c>
      <c r="E6914" t="str">
        <f>"1-302-17"</f>
        <v>1-302-17</v>
      </c>
      <c r="F6914" t="s">
        <v>83</v>
      </c>
      <c r="G6914" t="s">
        <v>90</v>
      </c>
      <c r="H6914" t="s">
        <v>91</v>
      </c>
      <c r="AC6914">
        <v>1</v>
      </c>
      <c r="AD6914">
        <v>0</v>
      </c>
      <c r="AE6914">
        <v>0</v>
      </c>
      <c r="AF6914">
        <v>0</v>
      </c>
      <c r="AH6914">
        <v>1</v>
      </c>
      <c r="AI6914">
        <v>0</v>
      </c>
      <c r="AJ6914">
        <v>0</v>
      </c>
      <c r="AK6914">
        <v>1</v>
      </c>
      <c r="AL6914">
        <v>0</v>
      </c>
      <c r="AM6914">
        <v>1</v>
      </c>
      <c r="AN6914">
        <v>0</v>
      </c>
      <c r="AO6914">
        <v>1</v>
      </c>
      <c r="AP6914">
        <v>1</v>
      </c>
      <c r="AQ6914">
        <v>1</v>
      </c>
      <c r="AR6914">
        <v>1</v>
      </c>
      <c r="AU6914">
        <v>1</v>
      </c>
      <c r="AV6914">
        <v>1</v>
      </c>
      <c r="AW6914">
        <v>1</v>
      </c>
    </row>
    <row r="6915" spans="1:49" x14ac:dyDescent="0.25">
      <c r="A6915" t="str">
        <f>"6911"</f>
        <v>6911</v>
      </c>
      <c r="B6915" t="str">
        <f t="shared" si="399"/>
        <v>1</v>
      </c>
      <c r="C6915" t="str">
        <f t="shared" si="401"/>
        <v>302</v>
      </c>
      <c r="D6915" t="str">
        <f>"12"</f>
        <v>12</v>
      </c>
      <c r="E6915" t="str">
        <f>"1-302-12"</f>
        <v>1-302-12</v>
      </c>
      <c r="F6915" t="s">
        <v>83</v>
      </c>
      <c r="G6915" t="s">
        <v>84</v>
      </c>
      <c r="H6915" t="s">
        <v>85</v>
      </c>
      <c r="AC6915">
        <v>0</v>
      </c>
      <c r="AD6915">
        <v>1</v>
      </c>
      <c r="AE6915">
        <v>0</v>
      </c>
      <c r="AF6915">
        <v>0</v>
      </c>
      <c r="AG6915">
        <v>1</v>
      </c>
      <c r="AJ6915">
        <v>0</v>
      </c>
      <c r="AK6915">
        <v>1</v>
      </c>
      <c r="AL6915">
        <v>0</v>
      </c>
      <c r="AM6915">
        <v>0</v>
      </c>
      <c r="AN6915">
        <v>1</v>
      </c>
      <c r="AO6915">
        <v>1</v>
      </c>
      <c r="AP6915">
        <v>1</v>
      </c>
      <c r="AQ6915">
        <v>1</v>
      </c>
      <c r="AR6915">
        <v>1</v>
      </c>
      <c r="AS6915">
        <v>0</v>
      </c>
      <c r="AT6915">
        <v>1</v>
      </c>
      <c r="AV6915">
        <v>1</v>
      </c>
      <c r="AW6915">
        <v>1</v>
      </c>
    </row>
    <row r="6916" spans="1:49" x14ac:dyDescent="0.25">
      <c r="A6916" t="str">
        <f>"6912"</f>
        <v>6912</v>
      </c>
      <c r="B6916" t="str">
        <f t="shared" si="399"/>
        <v>1</v>
      </c>
      <c r="C6916" t="str">
        <f t="shared" si="401"/>
        <v>302</v>
      </c>
      <c r="D6916" t="str">
        <f>"18"</f>
        <v>18</v>
      </c>
      <c r="E6916" t="str">
        <f>"1-302-18"</f>
        <v>1-302-18</v>
      </c>
      <c r="F6916" t="s">
        <v>83</v>
      </c>
      <c r="G6916" t="s">
        <v>84</v>
      </c>
      <c r="H6916" t="s">
        <v>85</v>
      </c>
      <c r="AC6916">
        <v>1</v>
      </c>
      <c r="AD6916">
        <v>0</v>
      </c>
      <c r="AE6916">
        <v>0</v>
      </c>
      <c r="AF6916">
        <v>0</v>
      </c>
      <c r="AG6916">
        <v>0</v>
      </c>
      <c r="AJ6916">
        <v>0</v>
      </c>
      <c r="AK6916">
        <v>1</v>
      </c>
      <c r="AL6916">
        <v>1</v>
      </c>
      <c r="AM6916">
        <v>0</v>
      </c>
      <c r="AN6916">
        <v>0</v>
      </c>
      <c r="AO6916">
        <v>0</v>
      </c>
      <c r="AP6916">
        <v>0</v>
      </c>
      <c r="AQ6916">
        <v>0</v>
      </c>
      <c r="AR6916">
        <v>1</v>
      </c>
      <c r="AS6916">
        <v>0</v>
      </c>
      <c r="AT6916">
        <v>0</v>
      </c>
      <c r="AV6916">
        <v>0</v>
      </c>
      <c r="AW6916">
        <v>1</v>
      </c>
    </row>
    <row r="6917" spans="1:49" x14ac:dyDescent="0.25">
      <c r="A6917" t="str">
        <f>"6913"</f>
        <v>6913</v>
      </c>
      <c r="B6917" t="str">
        <f t="shared" si="399"/>
        <v>1</v>
      </c>
      <c r="C6917" t="str">
        <f t="shared" si="401"/>
        <v>302</v>
      </c>
      <c r="D6917" t="str">
        <f>"3"</f>
        <v>3</v>
      </c>
      <c r="E6917" t="str">
        <f>"1-302-3"</f>
        <v>1-302-3</v>
      </c>
      <c r="F6917" t="s">
        <v>83</v>
      </c>
      <c r="G6917" t="s">
        <v>84</v>
      </c>
      <c r="H6917" t="s">
        <v>85</v>
      </c>
      <c r="AC6917">
        <v>1</v>
      </c>
      <c r="AD6917">
        <v>0</v>
      </c>
      <c r="AE6917">
        <v>0</v>
      </c>
      <c r="AF6917">
        <v>0</v>
      </c>
      <c r="AG6917">
        <v>1</v>
      </c>
      <c r="AJ6917">
        <v>1</v>
      </c>
      <c r="AK6917">
        <v>0</v>
      </c>
      <c r="AL6917">
        <v>1</v>
      </c>
      <c r="AM6917">
        <v>0</v>
      </c>
      <c r="AN6917">
        <v>0</v>
      </c>
      <c r="AO6917">
        <v>1</v>
      </c>
      <c r="AP6917">
        <v>1</v>
      </c>
      <c r="AQ6917">
        <v>1</v>
      </c>
      <c r="AR6917">
        <v>1</v>
      </c>
      <c r="AS6917">
        <v>1</v>
      </c>
      <c r="AT6917">
        <v>0</v>
      </c>
      <c r="AV6917">
        <v>1</v>
      </c>
      <c r="AW6917">
        <v>1</v>
      </c>
    </row>
    <row r="6918" spans="1:49" x14ac:dyDescent="0.25">
      <c r="A6918" t="str">
        <f>"6914"</f>
        <v>6914</v>
      </c>
      <c r="B6918" t="str">
        <f t="shared" si="399"/>
        <v>1</v>
      </c>
      <c r="C6918" t="str">
        <f t="shared" si="401"/>
        <v>302</v>
      </c>
      <c r="D6918" t="str">
        <f>"21"</f>
        <v>21</v>
      </c>
      <c r="E6918" t="str">
        <f>"1-302-21"</f>
        <v>1-302-21</v>
      </c>
      <c r="F6918" t="s">
        <v>83</v>
      </c>
      <c r="G6918" t="s">
        <v>84</v>
      </c>
      <c r="H6918" t="s">
        <v>85</v>
      </c>
      <c r="AC6918">
        <v>0</v>
      </c>
      <c r="AD6918">
        <v>1</v>
      </c>
      <c r="AE6918">
        <v>0</v>
      </c>
      <c r="AF6918">
        <v>0</v>
      </c>
      <c r="AG6918">
        <v>1</v>
      </c>
      <c r="AJ6918">
        <v>0</v>
      </c>
      <c r="AK6918">
        <v>1</v>
      </c>
      <c r="AL6918">
        <v>0</v>
      </c>
      <c r="AM6918">
        <v>0</v>
      </c>
      <c r="AN6918">
        <v>1</v>
      </c>
      <c r="AO6918">
        <v>1</v>
      </c>
      <c r="AP6918">
        <v>1</v>
      </c>
      <c r="AQ6918">
        <v>1</v>
      </c>
      <c r="AR6918">
        <v>1</v>
      </c>
      <c r="AS6918">
        <v>0</v>
      </c>
      <c r="AT6918">
        <v>1</v>
      </c>
      <c r="AV6918">
        <v>1</v>
      </c>
      <c r="AW6918">
        <v>1</v>
      </c>
    </row>
    <row r="6919" spans="1:49" x14ac:dyDescent="0.25">
      <c r="A6919" t="str">
        <f>"6915"</f>
        <v>6915</v>
      </c>
      <c r="B6919" t="str">
        <f t="shared" si="399"/>
        <v>1</v>
      </c>
      <c r="C6919" t="str">
        <f t="shared" si="401"/>
        <v>302</v>
      </c>
      <c r="D6919" t="str">
        <f>"7"</f>
        <v>7</v>
      </c>
      <c r="E6919" t="str">
        <f>"1-302-7"</f>
        <v>1-302-7</v>
      </c>
      <c r="F6919" t="s">
        <v>83</v>
      </c>
      <c r="G6919" t="s">
        <v>84</v>
      </c>
      <c r="H6919" t="s">
        <v>85</v>
      </c>
      <c r="AC6919">
        <v>0</v>
      </c>
      <c r="AD6919">
        <v>1</v>
      </c>
      <c r="AE6919">
        <v>0</v>
      </c>
      <c r="AF6919">
        <v>0</v>
      </c>
      <c r="AG6919">
        <v>1</v>
      </c>
      <c r="AJ6919">
        <v>1</v>
      </c>
      <c r="AK6919">
        <v>0</v>
      </c>
      <c r="AL6919">
        <v>0</v>
      </c>
      <c r="AM6919">
        <v>0</v>
      </c>
      <c r="AN6919">
        <v>1</v>
      </c>
      <c r="AO6919">
        <v>1</v>
      </c>
      <c r="AP6919">
        <v>1</v>
      </c>
      <c r="AQ6919">
        <v>1</v>
      </c>
      <c r="AR6919">
        <v>1</v>
      </c>
      <c r="AS6919">
        <v>0</v>
      </c>
      <c r="AT6919">
        <v>1</v>
      </c>
      <c r="AV6919">
        <v>1</v>
      </c>
      <c r="AW6919">
        <v>1</v>
      </c>
    </row>
    <row r="6920" spans="1:49" x14ac:dyDescent="0.25">
      <c r="A6920" t="str">
        <f>"6916"</f>
        <v>6916</v>
      </c>
      <c r="B6920" t="str">
        <f t="shared" si="399"/>
        <v>1</v>
      </c>
      <c r="C6920" t="str">
        <f t="shared" si="401"/>
        <v>302</v>
      </c>
      <c r="D6920" t="str">
        <f>"1"</f>
        <v>1</v>
      </c>
      <c r="E6920" t="str">
        <f>"1-302-1"</f>
        <v>1-302-1</v>
      </c>
      <c r="F6920" t="s">
        <v>83</v>
      </c>
      <c r="G6920" t="s">
        <v>84</v>
      </c>
      <c r="H6920" t="s">
        <v>85</v>
      </c>
      <c r="AC6920">
        <v>0</v>
      </c>
      <c r="AD6920">
        <v>0</v>
      </c>
      <c r="AE6920">
        <v>0</v>
      </c>
      <c r="AF6920">
        <v>0</v>
      </c>
      <c r="AG6920">
        <v>0</v>
      </c>
      <c r="AJ6920">
        <v>0</v>
      </c>
      <c r="AK6920">
        <v>0</v>
      </c>
      <c r="AL6920">
        <v>0</v>
      </c>
      <c r="AM6920">
        <v>0</v>
      </c>
      <c r="AN6920">
        <v>1</v>
      </c>
      <c r="AO6920">
        <v>0</v>
      </c>
      <c r="AP6920">
        <v>1</v>
      </c>
      <c r="AQ6920">
        <v>1</v>
      </c>
      <c r="AR6920">
        <v>0</v>
      </c>
      <c r="AS6920">
        <v>1</v>
      </c>
      <c r="AT6920">
        <v>0</v>
      </c>
      <c r="AV6920">
        <v>1</v>
      </c>
      <c r="AW6920">
        <v>1</v>
      </c>
    </row>
    <row r="6921" spans="1:49" x14ac:dyDescent="0.25">
      <c r="A6921" t="str">
        <f>"6917"</f>
        <v>6917</v>
      </c>
      <c r="B6921" t="str">
        <f t="shared" si="399"/>
        <v>1</v>
      </c>
      <c r="C6921" t="str">
        <f t="shared" ref="C6921:C6937" si="402">"303"</f>
        <v>303</v>
      </c>
      <c r="D6921" t="str">
        <f>"13"</f>
        <v>13</v>
      </c>
      <c r="E6921" t="str">
        <f>"1-303-13"</f>
        <v>1-303-13</v>
      </c>
      <c r="F6921" t="s">
        <v>83</v>
      </c>
      <c r="G6921" t="s">
        <v>84</v>
      </c>
      <c r="H6921" t="s">
        <v>85</v>
      </c>
      <c r="AC6921">
        <v>0</v>
      </c>
      <c r="AD6921">
        <v>1</v>
      </c>
      <c r="AE6921">
        <v>0</v>
      </c>
      <c r="AF6921">
        <v>0</v>
      </c>
      <c r="AG6921">
        <v>1</v>
      </c>
      <c r="AJ6921">
        <v>1</v>
      </c>
      <c r="AK6921">
        <v>0</v>
      </c>
      <c r="AL6921">
        <v>0</v>
      </c>
      <c r="AM6921">
        <v>0</v>
      </c>
      <c r="AN6921">
        <v>1</v>
      </c>
      <c r="AO6921">
        <v>1</v>
      </c>
      <c r="AP6921">
        <v>1</v>
      </c>
      <c r="AQ6921">
        <v>1</v>
      </c>
      <c r="AR6921">
        <v>1</v>
      </c>
      <c r="AS6921">
        <v>0</v>
      </c>
      <c r="AT6921">
        <v>0</v>
      </c>
      <c r="AV6921">
        <v>1</v>
      </c>
      <c r="AW6921">
        <v>1</v>
      </c>
    </row>
    <row r="6922" spans="1:49" x14ac:dyDescent="0.25">
      <c r="A6922" t="str">
        <f>"6918"</f>
        <v>6918</v>
      </c>
      <c r="B6922" t="str">
        <f t="shared" si="399"/>
        <v>1</v>
      </c>
      <c r="C6922" t="str">
        <f t="shared" si="402"/>
        <v>303</v>
      </c>
      <c r="D6922" t="str">
        <f>"12"</f>
        <v>12</v>
      </c>
      <c r="E6922" t="str">
        <f>"1-303-12"</f>
        <v>1-303-12</v>
      </c>
      <c r="F6922" t="s">
        <v>83</v>
      </c>
      <c r="G6922" t="s">
        <v>84</v>
      </c>
      <c r="H6922" t="s">
        <v>85</v>
      </c>
      <c r="AC6922">
        <v>0</v>
      </c>
      <c r="AD6922">
        <v>1</v>
      </c>
      <c r="AE6922">
        <v>0</v>
      </c>
      <c r="AF6922">
        <v>0</v>
      </c>
      <c r="AG6922">
        <v>1</v>
      </c>
      <c r="AJ6922">
        <v>0</v>
      </c>
      <c r="AK6922">
        <v>1</v>
      </c>
      <c r="AL6922">
        <v>0</v>
      </c>
      <c r="AM6922">
        <v>0</v>
      </c>
      <c r="AN6922">
        <v>1</v>
      </c>
      <c r="AO6922">
        <v>1</v>
      </c>
      <c r="AP6922">
        <v>1</v>
      </c>
      <c r="AQ6922">
        <v>1</v>
      </c>
      <c r="AR6922">
        <v>1</v>
      </c>
      <c r="AS6922">
        <v>0</v>
      </c>
      <c r="AT6922">
        <v>1</v>
      </c>
      <c r="AV6922">
        <v>1</v>
      </c>
      <c r="AW6922">
        <v>1</v>
      </c>
    </row>
    <row r="6923" spans="1:49" x14ac:dyDescent="0.25">
      <c r="A6923" t="str">
        <f>"6919"</f>
        <v>6919</v>
      </c>
      <c r="B6923" t="str">
        <f t="shared" si="399"/>
        <v>1</v>
      </c>
      <c r="C6923" t="str">
        <f t="shared" si="402"/>
        <v>303</v>
      </c>
      <c r="D6923" t="str">
        <f>"9"</f>
        <v>9</v>
      </c>
      <c r="E6923" t="str">
        <f>"1-303-9"</f>
        <v>1-303-9</v>
      </c>
      <c r="F6923" t="s">
        <v>83</v>
      </c>
      <c r="G6923" t="s">
        <v>84</v>
      </c>
      <c r="H6923" t="s">
        <v>85</v>
      </c>
      <c r="AC6923">
        <v>0</v>
      </c>
      <c r="AD6923">
        <v>1</v>
      </c>
      <c r="AE6923">
        <v>0</v>
      </c>
      <c r="AF6923">
        <v>0</v>
      </c>
      <c r="AG6923">
        <v>1</v>
      </c>
      <c r="AJ6923">
        <v>1</v>
      </c>
      <c r="AK6923">
        <v>0</v>
      </c>
      <c r="AL6923">
        <v>0</v>
      </c>
      <c r="AM6923">
        <v>1</v>
      </c>
      <c r="AN6923">
        <v>0</v>
      </c>
      <c r="AO6923">
        <v>1</v>
      </c>
      <c r="AP6923">
        <v>1</v>
      </c>
      <c r="AQ6923">
        <v>1</v>
      </c>
      <c r="AR6923">
        <v>1</v>
      </c>
      <c r="AS6923">
        <v>1</v>
      </c>
      <c r="AT6923">
        <v>0</v>
      </c>
      <c r="AV6923">
        <v>1</v>
      </c>
      <c r="AW6923">
        <v>1</v>
      </c>
    </row>
    <row r="6924" spans="1:49" x14ac:dyDescent="0.25">
      <c r="A6924" t="str">
        <f>"6920"</f>
        <v>6920</v>
      </c>
      <c r="B6924" t="str">
        <f t="shared" si="399"/>
        <v>1</v>
      </c>
      <c r="C6924" t="str">
        <f t="shared" si="402"/>
        <v>303</v>
      </c>
      <c r="D6924" t="str">
        <f>"8"</f>
        <v>8</v>
      </c>
      <c r="E6924" t="str">
        <f>"1-303-8"</f>
        <v>1-303-8</v>
      </c>
      <c r="F6924" t="s">
        <v>83</v>
      </c>
      <c r="G6924" t="s">
        <v>84</v>
      </c>
      <c r="H6924" t="s">
        <v>85</v>
      </c>
      <c r="AC6924">
        <v>0</v>
      </c>
      <c r="AD6924">
        <v>1</v>
      </c>
      <c r="AE6924">
        <v>0</v>
      </c>
      <c r="AF6924">
        <v>0</v>
      </c>
      <c r="AG6924">
        <v>0</v>
      </c>
      <c r="AJ6924">
        <v>0</v>
      </c>
      <c r="AK6924">
        <v>0</v>
      </c>
      <c r="AL6924">
        <v>0</v>
      </c>
      <c r="AM6924">
        <v>0</v>
      </c>
      <c r="AN6924">
        <v>1</v>
      </c>
      <c r="AO6924">
        <v>0</v>
      </c>
      <c r="AP6924">
        <v>0</v>
      </c>
      <c r="AQ6924">
        <v>0</v>
      </c>
      <c r="AR6924">
        <v>0</v>
      </c>
      <c r="AS6924">
        <v>0</v>
      </c>
      <c r="AT6924">
        <v>1</v>
      </c>
      <c r="AV6924">
        <v>0</v>
      </c>
      <c r="AW6924">
        <v>0</v>
      </c>
    </row>
    <row r="6925" spans="1:49" x14ac:dyDescent="0.25">
      <c r="A6925" t="str">
        <f>"6921"</f>
        <v>6921</v>
      </c>
      <c r="B6925" t="str">
        <f t="shared" si="399"/>
        <v>1</v>
      </c>
      <c r="C6925" t="str">
        <f t="shared" si="402"/>
        <v>303</v>
      </c>
      <c r="D6925" t="str">
        <f>"2"</f>
        <v>2</v>
      </c>
      <c r="E6925" t="str">
        <f>"1-303-2"</f>
        <v>1-303-2</v>
      </c>
      <c r="F6925" t="s">
        <v>83</v>
      </c>
      <c r="G6925" t="s">
        <v>84</v>
      </c>
      <c r="H6925" t="s">
        <v>85</v>
      </c>
      <c r="AC6925">
        <v>0</v>
      </c>
      <c r="AD6925">
        <v>1</v>
      </c>
      <c r="AE6925">
        <v>0</v>
      </c>
      <c r="AF6925">
        <v>0</v>
      </c>
      <c r="AG6925">
        <v>0</v>
      </c>
      <c r="AJ6925">
        <v>0</v>
      </c>
      <c r="AK6925">
        <v>1</v>
      </c>
      <c r="AL6925">
        <v>0</v>
      </c>
      <c r="AM6925">
        <v>1</v>
      </c>
      <c r="AN6925">
        <v>0</v>
      </c>
      <c r="AO6925">
        <v>1</v>
      </c>
      <c r="AP6925">
        <v>1</v>
      </c>
      <c r="AQ6925">
        <v>1</v>
      </c>
      <c r="AR6925">
        <v>1</v>
      </c>
      <c r="AS6925">
        <v>0</v>
      </c>
      <c r="AT6925">
        <v>1</v>
      </c>
      <c r="AV6925">
        <v>1</v>
      </c>
      <c r="AW6925">
        <v>0</v>
      </c>
    </row>
    <row r="6926" spans="1:49" x14ac:dyDescent="0.25">
      <c r="A6926" t="str">
        <f>"6922"</f>
        <v>6922</v>
      </c>
      <c r="B6926" t="str">
        <f t="shared" si="399"/>
        <v>1</v>
      </c>
      <c r="C6926" t="str">
        <f t="shared" si="402"/>
        <v>303</v>
      </c>
      <c r="D6926" t="str">
        <f>"17"</f>
        <v>17</v>
      </c>
      <c r="E6926" t="str">
        <f>"1-303-17"</f>
        <v>1-303-17</v>
      </c>
      <c r="F6926" t="s">
        <v>83</v>
      </c>
      <c r="G6926" t="s">
        <v>84</v>
      </c>
      <c r="H6926" t="s">
        <v>85</v>
      </c>
      <c r="AC6926">
        <v>1</v>
      </c>
      <c r="AD6926">
        <v>0</v>
      </c>
      <c r="AE6926">
        <v>0</v>
      </c>
      <c r="AF6926">
        <v>0</v>
      </c>
      <c r="AG6926">
        <v>0</v>
      </c>
      <c r="AJ6926">
        <v>0</v>
      </c>
      <c r="AK6926">
        <v>1</v>
      </c>
      <c r="AL6926">
        <v>1</v>
      </c>
      <c r="AM6926">
        <v>0</v>
      </c>
      <c r="AN6926">
        <v>0</v>
      </c>
      <c r="AO6926">
        <v>0</v>
      </c>
      <c r="AP6926">
        <v>0</v>
      </c>
      <c r="AQ6926">
        <v>0</v>
      </c>
      <c r="AR6926">
        <v>0</v>
      </c>
      <c r="AS6926">
        <v>1</v>
      </c>
      <c r="AT6926">
        <v>0</v>
      </c>
      <c r="AV6926">
        <v>0</v>
      </c>
      <c r="AW6926">
        <v>0</v>
      </c>
    </row>
    <row r="6927" spans="1:49" x14ac:dyDescent="0.25">
      <c r="A6927" t="str">
        <f>"6923"</f>
        <v>6923</v>
      </c>
      <c r="B6927" t="str">
        <f t="shared" si="399"/>
        <v>1</v>
      </c>
      <c r="C6927" t="str">
        <f t="shared" si="402"/>
        <v>303</v>
      </c>
      <c r="D6927" t="str">
        <f>"10"</f>
        <v>10</v>
      </c>
      <c r="E6927" t="str">
        <f>"1-303-10"</f>
        <v>1-303-10</v>
      </c>
      <c r="F6927" t="s">
        <v>83</v>
      </c>
      <c r="G6927" t="s">
        <v>84</v>
      </c>
      <c r="H6927" t="s">
        <v>92</v>
      </c>
      <c r="I6927">
        <v>1</v>
      </c>
      <c r="J6927">
        <v>1</v>
      </c>
      <c r="N6927">
        <v>1</v>
      </c>
      <c r="O6927">
        <v>1</v>
      </c>
      <c r="P6927">
        <v>1</v>
      </c>
      <c r="Q6927">
        <v>1</v>
      </c>
      <c r="R6927">
        <v>1</v>
      </c>
      <c r="S6927">
        <v>1</v>
      </c>
      <c r="T6927">
        <v>1</v>
      </c>
      <c r="W6927">
        <v>1</v>
      </c>
      <c r="X6927">
        <v>1</v>
      </c>
      <c r="Y6927">
        <v>1</v>
      </c>
      <c r="Z6927">
        <v>1</v>
      </c>
      <c r="AA6927">
        <v>1</v>
      </c>
      <c r="AB6927">
        <v>1</v>
      </c>
    </row>
    <row r="6928" spans="1:49" x14ac:dyDescent="0.25">
      <c r="A6928" t="str">
        <f>"6924"</f>
        <v>6924</v>
      </c>
      <c r="B6928" t="str">
        <f t="shared" si="399"/>
        <v>1</v>
      </c>
      <c r="C6928" t="str">
        <f t="shared" si="402"/>
        <v>303</v>
      </c>
      <c r="D6928" t="str">
        <f>"1"</f>
        <v>1</v>
      </c>
      <c r="E6928" t="str">
        <f>"1-303-1"</f>
        <v>1-303-1</v>
      </c>
      <c r="F6928" t="s">
        <v>83</v>
      </c>
      <c r="G6928" t="s">
        <v>84</v>
      </c>
      <c r="H6928" t="s">
        <v>92</v>
      </c>
      <c r="I6928">
        <v>1</v>
      </c>
      <c r="J6928">
        <v>1</v>
      </c>
      <c r="N6928">
        <v>1</v>
      </c>
      <c r="O6928">
        <v>1</v>
      </c>
      <c r="P6928">
        <v>1</v>
      </c>
      <c r="Q6928">
        <v>1</v>
      </c>
      <c r="R6928">
        <v>1</v>
      </c>
      <c r="S6928">
        <v>1</v>
      </c>
      <c r="T6928">
        <v>1</v>
      </c>
      <c r="W6928">
        <v>1</v>
      </c>
      <c r="X6928">
        <v>1</v>
      </c>
      <c r="Y6928">
        <v>1</v>
      </c>
      <c r="Z6928">
        <v>1</v>
      </c>
      <c r="AA6928">
        <v>1</v>
      </c>
      <c r="AB6928">
        <v>0</v>
      </c>
    </row>
    <row r="6929" spans="1:49" x14ac:dyDescent="0.25">
      <c r="A6929" t="str">
        <f>"6925"</f>
        <v>6925</v>
      </c>
      <c r="B6929" t="str">
        <f t="shared" si="399"/>
        <v>1</v>
      </c>
      <c r="C6929" t="str">
        <f t="shared" si="402"/>
        <v>303</v>
      </c>
      <c r="D6929" t="str">
        <f>"11"</f>
        <v>11</v>
      </c>
      <c r="E6929" t="str">
        <f>"1-303-11"</f>
        <v>1-303-11</v>
      </c>
      <c r="F6929" t="s">
        <v>83</v>
      </c>
      <c r="G6929" t="s">
        <v>84</v>
      </c>
      <c r="H6929" t="s">
        <v>92</v>
      </c>
      <c r="I6929">
        <v>1</v>
      </c>
      <c r="J6929">
        <v>1</v>
      </c>
      <c r="N6929">
        <v>1</v>
      </c>
      <c r="O6929">
        <v>1</v>
      </c>
      <c r="P6929">
        <v>1</v>
      </c>
      <c r="Q6929">
        <v>1</v>
      </c>
      <c r="R6929">
        <v>1</v>
      </c>
      <c r="S6929">
        <v>1</v>
      </c>
      <c r="T6929">
        <v>1</v>
      </c>
      <c r="W6929">
        <v>1</v>
      </c>
      <c r="X6929">
        <v>1</v>
      </c>
      <c r="Y6929">
        <v>1</v>
      </c>
      <c r="Z6929">
        <v>1</v>
      </c>
      <c r="AA6929">
        <v>1</v>
      </c>
      <c r="AB6929">
        <v>1</v>
      </c>
    </row>
    <row r="6930" spans="1:49" x14ac:dyDescent="0.25">
      <c r="A6930" t="str">
        <f>"6926"</f>
        <v>6926</v>
      </c>
      <c r="B6930" t="str">
        <f t="shared" si="399"/>
        <v>1</v>
      </c>
      <c r="C6930" t="str">
        <f t="shared" si="402"/>
        <v>303</v>
      </c>
      <c r="D6930" t="str">
        <f>"6"</f>
        <v>6</v>
      </c>
      <c r="E6930" t="str">
        <f>"1-303-6"</f>
        <v>1-303-6</v>
      </c>
      <c r="F6930" t="s">
        <v>83</v>
      </c>
      <c r="G6930" t="s">
        <v>84</v>
      </c>
      <c r="H6930" t="s">
        <v>85</v>
      </c>
      <c r="AC6930">
        <v>1</v>
      </c>
      <c r="AD6930">
        <v>0</v>
      </c>
      <c r="AE6930">
        <v>0</v>
      </c>
      <c r="AF6930">
        <v>0</v>
      </c>
      <c r="AG6930">
        <v>1</v>
      </c>
      <c r="AJ6930">
        <v>0</v>
      </c>
      <c r="AK6930">
        <v>1</v>
      </c>
      <c r="AL6930">
        <v>0</v>
      </c>
      <c r="AM6930">
        <v>0</v>
      </c>
      <c r="AN6930">
        <v>1</v>
      </c>
      <c r="AO6930">
        <v>1</v>
      </c>
      <c r="AP6930">
        <v>1</v>
      </c>
      <c r="AQ6930">
        <v>1</v>
      </c>
      <c r="AR6930">
        <v>1</v>
      </c>
      <c r="AS6930">
        <v>1</v>
      </c>
      <c r="AT6930">
        <v>0</v>
      </c>
      <c r="AV6930">
        <v>1</v>
      </c>
      <c r="AW6930">
        <v>0</v>
      </c>
    </row>
    <row r="6931" spans="1:49" x14ac:dyDescent="0.25">
      <c r="A6931" t="str">
        <f>"6927"</f>
        <v>6927</v>
      </c>
      <c r="B6931" t="str">
        <f t="shared" si="399"/>
        <v>1</v>
      </c>
      <c r="C6931" t="str">
        <f t="shared" si="402"/>
        <v>303</v>
      </c>
      <c r="D6931" t="str">
        <f>"14"</f>
        <v>14</v>
      </c>
      <c r="E6931" t="str">
        <f>"1-303-14"</f>
        <v>1-303-14</v>
      </c>
      <c r="F6931" t="s">
        <v>83</v>
      </c>
      <c r="G6931" t="s">
        <v>84</v>
      </c>
      <c r="H6931" t="s">
        <v>92</v>
      </c>
      <c r="I6931">
        <v>1</v>
      </c>
      <c r="J6931">
        <v>1</v>
      </c>
      <c r="N6931">
        <v>1</v>
      </c>
      <c r="O6931">
        <v>1</v>
      </c>
      <c r="P6931">
        <v>1</v>
      </c>
      <c r="Q6931">
        <v>1</v>
      </c>
      <c r="R6931">
        <v>1</v>
      </c>
      <c r="S6931">
        <v>1</v>
      </c>
      <c r="T6931">
        <v>1</v>
      </c>
      <c r="W6931">
        <v>1</v>
      </c>
      <c r="X6931">
        <v>1</v>
      </c>
      <c r="Y6931">
        <v>1</v>
      </c>
      <c r="Z6931">
        <v>1</v>
      </c>
      <c r="AA6931">
        <v>1</v>
      </c>
      <c r="AB6931">
        <v>1</v>
      </c>
    </row>
    <row r="6932" spans="1:49" x14ac:dyDescent="0.25">
      <c r="A6932" t="str">
        <f>"6928"</f>
        <v>6928</v>
      </c>
      <c r="B6932" t="str">
        <f t="shared" si="399"/>
        <v>1</v>
      </c>
      <c r="C6932" t="str">
        <f t="shared" si="402"/>
        <v>303</v>
      </c>
      <c r="D6932" t="str">
        <f>"3"</f>
        <v>3</v>
      </c>
      <c r="E6932" t="str">
        <f>"1-303-3"</f>
        <v>1-303-3</v>
      </c>
      <c r="F6932" t="s">
        <v>83</v>
      </c>
      <c r="G6932" t="s">
        <v>84</v>
      </c>
      <c r="H6932" t="s">
        <v>92</v>
      </c>
      <c r="I6932">
        <v>1</v>
      </c>
      <c r="J6932">
        <v>1</v>
      </c>
      <c r="N6932">
        <v>1</v>
      </c>
      <c r="O6932">
        <v>1</v>
      </c>
      <c r="P6932">
        <v>1</v>
      </c>
      <c r="Q6932">
        <v>1</v>
      </c>
      <c r="R6932">
        <v>1</v>
      </c>
      <c r="S6932">
        <v>1</v>
      </c>
      <c r="T6932">
        <v>1</v>
      </c>
      <c r="W6932">
        <v>1</v>
      </c>
      <c r="X6932">
        <v>1</v>
      </c>
      <c r="Y6932">
        <v>1</v>
      </c>
      <c r="Z6932">
        <v>1</v>
      </c>
      <c r="AA6932">
        <v>1</v>
      </c>
      <c r="AB6932">
        <v>1</v>
      </c>
    </row>
    <row r="6933" spans="1:49" x14ac:dyDescent="0.25">
      <c r="A6933" t="str">
        <f>"6929"</f>
        <v>6929</v>
      </c>
      <c r="B6933" t="str">
        <f t="shared" si="399"/>
        <v>1</v>
      </c>
      <c r="C6933" t="str">
        <f t="shared" si="402"/>
        <v>303</v>
      </c>
      <c r="D6933" t="str">
        <f>"15"</f>
        <v>15</v>
      </c>
      <c r="E6933" t="str">
        <f>"1-303-15"</f>
        <v>1-303-15</v>
      </c>
      <c r="F6933" t="s">
        <v>83</v>
      </c>
      <c r="G6933" t="s">
        <v>84</v>
      </c>
      <c r="H6933" t="s">
        <v>92</v>
      </c>
      <c r="I6933">
        <v>1</v>
      </c>
      <c r="J6933">
        <v>1</v>
      </c>
      <c r="N6933">
        <v>1</v>
      </c>
      <c r="O6933">
        <v>1</v>
      </c>
      <c r="P6933">
        <v>1</v>
      </c>
      <c r="Q6933">
        <v>1</v>
      </c>
      <c r="R6933">
        <v>1</v>
      </c>
      <c r="S6933">
        <v>1</v>
      </c>
      <c r="T6933">
        <v>1</v>
      </c>
      <c r="W6933">
        <v>1</v>
      </c>
      <c r="X6933">
        <v>1</v>
      </c>
      <c r="Y6933">
        <v>1</v>
      </c>
      <c r="Z6933">
        <v>1</v>
      </c>
      <c r="AA6933">
        <v>1</v>
      </c>
      <c r="AB6933">
        <v>1</v>
      </c>
    </row>
    <row r="6934" spans="1:49" x14ac:dyDescent="0.25">
      <c r="A6934" t="str">
        <f>"6930"</f>
        <v>6930</v>
      </c>
      <c r="B6934" t="str">
        <f t="shared" si="399"/>
        <v>1</v>
      </c>
      <c r="C6934" t="str">
        <f t="shared" si="402"/>
        <v>303</v>
      </c>
      <c r="D6934" t="str">
        <f>"7"</f>
        <v>7</v>
      </c>
      <c r="E6934" t="str">
        <f>"1-303-7"</f>
        <v>1-303-7</v>
      </c>
      <c r="F6934" t="s">
        <v>83</v>
      </c>
      <c r="G6934" t="s">
        <v>84</v>
      </c>
      <c r="H6934" t="s">
        <v>85</v>
      </c>
      <c r="AC6934">
        <v>0</v>
      </c>
      <c r="AD6934">
        <v>1</v>
      </c>
      <c r="AE6934">
        <v>0</v>
      </c>
      <c r="AF6934">
        <v>0</v>
      </c>
      <c r="AG6934">
        <v>0</v>
      </c>
      <c r="AJ6934">
        <v>0</v>
      </c>
      <c r="AK6934">
        <v>0</v>
      </c>
      <c r="AL6934">
        <v>0</v>
      </c>
      <c r="AM6934">
        <v>0</v>
      </c>
      <c r="AN6934">
        <v>1</v>
      </c>
      <c r="AO6934">
        <v>0</v>
      </c>
      <c r="AP6934">
        <v>0</v>
      </c>
      <c r="AQ6934">
        <v>0</v>
      </c>
      <c r="AR6934">
        <v>0</v>
      </c>
      <c r="AS6934">
        <v>0</v>
      </c>
      <c r="AT6934">
        <v>1</v>
      </c>
      <c r="AV6934">
        <v>0</v>
      </c>
      <c r="AW6934">
        <v>0</v>
      </c>
    </row>
    <row r="6935" spans="1:49" x14ac:dyDescent="0.25">
      <c r="A6935" t="str">
        <f>"6931"</f>
        <v>6931</v>
      </c>
      <c r="B6935" t="str">
        <f t="shared" si="399"/>
        <v>1</v>
      </c>
      <c r="C6935" t="str">
        <f t="shared" si="402"/>
        <v>303</v>
      </c>
      <c r="D6935" t="str">
        <f>"16"</f>
        <v>16</v>
      </c>
      <c r="E6935" t="str">
        <f>"1-303-16"</f>
        <v>1-303-16</v>
      </c>
      <c r="F6935" t="s">
        <v>83</v>
      </c>
      <c r="G6935" t="s">
        <v>84</v>
      </c>
      <c r="H6935" t="s">
        <v>92</v>
      </c>
      <c r="I6935">
        <v>1</v>
      </c>
      <c r="J6935">
        <v>1</v>
      </c>
      <c r="N6935">
        <v>1</v>
      </c>
      <c r="O6935">
        <v>1</v>
      </c>
      <c r="P6935">
        <v>1</v>
      </c>
      <c r="Q6935">
        <v>1</v>
      </c>
      <c r="R6935">
        <v>1</v>
      </c>
      <c r="S6935">
        <v>1</v>
      </c>
      <c r="T6935">
        <v>1</v>
      </c>
      <c r="W6935">
        <v>1</v>
      </c>
      <c r="X6935">
        <v>1</v>
      </c>
      <c r="Y6935">
        <v>1</v>
      </c>
      <c r="Z6935">
        <v>1</v>
      </c>
      <c r="AA6935">
        <v>1</v>
      </c>
      <c r="AB6935">
        <v>1</v>
      </c>
    </row>
    <row r="6936" spans="1:49" x14ac:dyDescent="0.25">
      <c r="A6936" t="str">
        <f>"6932"</f>
        <v>6932</v>
      </c>
      <c r="B6936" t="str">
        <f t="shared" si="399"/>
        <v>1</v>
      </c>
      <c r="C6936" t="str">
        <f t="shared" si="402"/>
        <v>303</v>
      </c>
      <c r="D6936" t="str">
        <f>"5"</f>
        <v>5</v>
      </c>
      <c r="E6936" t="str">
        <f>"1-303-5"</f>
        <v>1-303-5</v>
      </c>
      <c r="F6936" t="s">
        <v>83</v>
      </c>
      <c r="G6936" t="s">
        <v>84</v>
      </c>
      <c r="H6936" t="s">
        <v>85</v>
      </c>
      <c r="AC6936">
        <v>1</v>
      </c>
      <c r="AD6936">
        <v>0</v>
      </c>
      <c r="AE6936">
        <v>0</v>
      </c>
      <c r="AF6936">
        <v>0</v>
      </c>
      <c r="AG6936">
        <v>1</v>
      </c>
      <c r="AJ6936">
        <v>0</v>
      </c>
      <c r="AK6936">
        <v>1</v>
      </c>
      <c r="AL6936">
        <v>0</v>
      </c>
      <c r="AM6936">
        <v>0</v>
      </c>
      <c r="AN6936">
        <v>1</v>
      </c>
      <c r="AO6936">
        <v>1</v>
      </c>
      <c r="AP6936">
        <v>1</v>
      </c>
      <c r="AQ6936">
        <v>1</v>
      </c>
      <c r="AR6936">
        <v>1</v>
      </c>
      <c r="AS6936">
        <v>1</v>
      </c>
      <c r="AT6936">
        <v>0</v>
      </c>
      <c r="AV6936">
        <v>1</v>
      </c>
      <c r="AW6936">
        <v>1</v>
      </c>
    </row>
    <row r="6937" spans="1:49" x14ac:dyDescent="0.25">
      <c r="A6937" t="str">
        <f>"6933"</f>
        <v>6933</v>
      </c>
      <c r="B6937" t="str">
        <f t="shared" si="399"/>
        <v>1</v>
      </c>
      <c r="C6937" t="str">
        <f t="shared" si="402"/>
        <v>303</v>
      </c>
      <c r="D6937" t="str">
        <f>"4"</f>
        <v>4</v>
      </c>
      <c r="E6937" t="str">
        <f>"1-303-4"</f>
        <v>1-303-4</v>
      </c>
      <c r="F6937" t="s">
        <v>83</v>
      </c>
      <c r="G6937" t="s">
        <v>84</v>
      </c>
      <c r="H6937" t="s">
        <v>92</v>
      </c>
      <c r="I6937">
        <v>1</v>
      </c>
      <c r="J6937">
        <v>1</v>
      </c>
      <c r="N6937">
        <v>1</v>
      </c>
      <c r="O6937">
        <v>1</v>
      </c>
      <c r="P6937">
        <v>1</v>
      </c>
      <c r="Q6937">
        <v>1</v>
      </c>
      <c r="R6937">
        <v>1</v>
      </c>
      <c r="S6937">
        <v>1</v>
      </c>
      <c r="T6937">
        <v>1</v>
      </c>
      <c r="W6937">
        <v>1</v>
      </c>
      <c r="X6937">
        <v>1</v>
      </c>
      <c r="Y6937">
        <v>1</v>
      </c>
      <c r="Z6937">
        <v>1</v>
      </c>
      <c r="AA6937">
        <v>1</v>
      </c>
      <c r="AB6937">
        <v>1</v>
      </c>
    </row>
    <row r="6938" spans="1:49" x14ac:dyDescent="0.25">
      <c r="A6938" t="str">
        <f>"6934"</f>
        <v>6934</v>
      </c>
      <c r="B6938" t="str">
        <f t="shared" si="399"/>
        <v>1</v>
      </c>
      <c r="C6938" t="str">
        <f t="shared" ref="C6938:C6962" si="403">"304"</f>
        <v>304</v>
      </c>
      <c r="D6938" t="str">
        <f>"20"</f>
        <v>20</v>
      </c>
      <c r="E6938" t="str">
        <f>"1-304-20"</f>
        <v>1-304-20</v>
      </c>
      <c r="F6938" t="s">
        <v>83</v>
      </c>
      <c r="G6938" t="s">
        <v>84</v>
      </c>
      <c r="H6938" t="s">
        <v>92</v>
      </c>
      <c r="I6938">
        <v>1</v>
      </c>
      <c r="J6938">
        <v>1</v>
      </c>
      <c r="N6938">
        <v>1</v>
      </c>
      <c r="O6938">
        <v>1</v>
      </c>
      <c r="P6938">
        <v>1</v>
      </c>
      <c r="Q6938">
        <v>1</v>
      </c>
      <c r="R6938">
        <v>1</v>
      </c>
      <c r="S6938">
        <v>1</v>
      </c>
      <c r="T6938">
        <v>1</v>
      </c>
      <c r="W6938">
        <v>1</v>
      </c>
      <c r="X6938">
        <v>1</v>
      </c>
      <c r="Y6938">
        <v>1</v>
      </c>
      <c r="Z6938">
        <v>1</v>
      </c>
      <c r="AA6938">
        <v>1</v>
      </c>
      <c r="AB6938">
        <v>1</v>
      </c>
    </row>
    <row r="6939" spans="1:49" x14ac:dyDescent="0.25">
      <c r="A6939" t="str">
        <f>"6935"</f>
        <v>6935</v>
      </c>
      <c r="B6939" t="str">
        <f t="shared" si="399"/>
        <v>1</v>
      </c>
      <c r="C6939" t="str">
        <f t="shared" si="403"/>
        <v>304</v>
      </c>
      <c r="D6939" t="str">
        <f>"19"</f>
        <v>19</v>
      </c>
      <c r="E6939" t="str">
        <f>"1-304-19"</f>
        <v>1-304-19</v>
      </c>
      <c r="F6939" t="s">
        <v>83</v>
      </c>
      <c r="G6939" t="s">
        <v>84</v>
      </c>
      <c r="H6939" t="s">
        <v>85</v>
      </c>
      <c r="AC6939">
        <v>1</v>
      </c>
      <c r="AD6939">
        <v>0</v>
      </c>
      <c r="AE6939">
        <v>0</v>
      </c>
      <c r="AF6939">
        <v>0</v>
      </c>
      <c r="AG6939">
        <v>1</v>
      </c>
      <c r="AJ6939">
        <v>1</v>
      </c>
      <c r="AK6939">
        <v>0</v>
      </c>
      <c r="AL6939">
        <v>0</v>
      </c>
      <c r="AM6939">
        <v>0</v>
      </c>
      <c r="AN6939">
        <v>1</v>
      </c>
      <c r="AO6939">
        <v>1</v>
      </c>
      <c r="AP6939">
        <v>1</v>
      </c>
      <c r="AQ6939">
        <v>1</v>
      </c>
      <c r="AR6939">
        <v>1</v>
      </c>
      <c r="AS6939">
        <v>1</v>
      </c>
      <c r="AT6939">
        <v>0</v>
      </c>
      <c r="AV6939">
        <v>1</v>
      </c>
      <c r="AW6939">
        <v>1</v>
      </c>
    </row>
    <row r="6940" spans="1:49" x14ac:dyDescent="0.25">
      <c r="A6940" t="str">
        <f>"6936"</f>
        <v>6936</v>
      </c>
      <c r="B6940" t="str">
        <f t="shared" si="399"/>
        <v>1</v>
      </c>
      <c r="C6940" t="str">
        <f t="shared" si="403"/>
        <v>304</v>
      </c>
      <c r="D6940" t="str">
        <f>"14"</f>
        <v>14</v>
      </c>
      <c r="E6940" t="str">
        <f>"1-304-14"</f>
        <v>1-304-14</v>
      </c>
      <c r="F6940" t="s">
        <v>83</v>
      </c>
      <c r="G6940" t="s">
        <v>84</v>
      </c>
      <c r="H6940" t="s">
        <v>85</v>
      </c>
      <c r="AC6940">
        <v>1</v>
      </c>
      <c r="AD6940">
        <v>0</v>
      </c>
      <c r="AE6940">
        <v>0</v>
      </c>
      <c r="AF6940">
        <v>0</v>
      </c>
      <c r="AG6940">
        <v>0</v>
      </c>
      <c r="AJ6940">
        <v>1</v>
      </c>
      <c r="AK6940">
        <v>0</v>
      </c>
      <c r="AL6940">
        <v>0</v>
      </c>
      <c r="AM6940">
        <v>0</v>
      </c>
      <c r="AN6940">
        <v>1</v>
      </c>
      <c r="AO6940">
        <v>0</v>
      </c>
      <c r="AP6940">
        <v>0</v>
      </c>
      <c r="AQ6940">
        <v>0</v>
      </c>
      <c r="AR6940">
        <v>0</v>
      </c>
      <c r="AS6940">
        <v>0</v>
      </c>
      <c r="AT6940">
        <v>1</v>
      </c>
      <c r="AV6940">
        <v>0</v>
      </c>
      <c r="AW6940">
        <v>0</v>
      </c>
    </row>
    <row r="6941" spans="1:49" x14ac:dyDescent="0.25">
      <c r="A6941" t="str">
        <f>"6937"</f>
        <v>6937</v>
      </c>
      <c r="B6941" t="str">
        <f t="shared" si="399"/>
        <v>1</v>
      </c>
      <c r="C6941" t="str">
        <f t="shared" si="403"/>
        <v>304</v>
      </c>
      <c r="D6941" t="str">
        <f>"8"</f>
        <v>8</v>
      </c>
      <c r="E6941" t="str">
        <f>"1-304-8"</f>
        <v>1-304-8</v>
      </c>
      <c r="F6941" t="s">
        <v>83</v>
      </c>
      <c r="G6941" t="s">
        <v>84</v>
      </c>
      <c r="H6941" t="s">
        <v>92</v>
      </c>
      <c r="I6941">
        <v>1</v>
      </c>
      <c r="J6941">
        <v>1</v>
      </c>
      <c r="N6941">
        <v>1</v>
      </c>
      <c r="O6941">
        <v>1</v>
      </c>
      <c r="P6941">
        <v>1</v>
      </c>
      <c r="Q6941">
        <v>1</v>
      </c>
      <c r="R6941">
        <v>1</v>
      </c>
      <c r="S6941">
        <v>1</v>
      </c>
      <c r="T6941">
        <v>1</v>
      </c>
      <c r="W6941">
        <v>1</v>
      </c>
      <c r="X6941">
        <v>1</v>
      </c>
      <c r="Y6941">
        <v>1</v>
      </c>
      <c r="Z6941">
        <v>1</v>
      </c>
      <c r="AA6941">
        <v>1</v>
      </c>
      <c r="AB6941">
        <v>1</v>
      </c>
    </row>
    <row r="6942" spans="1:49" x14ac:dyDescent="0.25">
      <c r="A6942" t="str">
        <f>"6938"</f>
        <v>6938</v>
      </c>
      <c r="B6942" t="str">
        <f t="shared" ref="B6942:B7005" si="404">"1"</f>
        <v>1</v>
      </c>
      <c r="C6942" t="str">
        <f t="shared" si="403"/>
        <v>304</v>
      </c>
      <c r="D6942" t="str">
        <f>"3"</f>
        <v>3</v>
      </c>
      <c r="E6942" t="str">
        <f>"1-304-3"</f>
        <v>1-304-3</v>
      </c>
      <c r="F6942" t="s">
        <v>83</v>
      </c>
      <c r="G6942" t="s">
        <v>84</v>
      </c>
      <c r="H6942" t="s">
        <v>92</v>
      </c>
      <c r="I6942">
        <v>1</v>
      </c>
      <c r="J6942">
        <v>1</v>
      </c>
      <c r="N6942">
        <v>1</v>
      </c>
      <c r="O6942">
        <v>1</v>
      </c>
      <c r="P6942">
        <v>1</v>
      </c>
      <c r="Q6942">
        <v>1</v>
      </c>
      <c r="R6942">
        <v>1</v>
      </c>
      <c r="S6942">
        <v>1</v>
      </c>
      <c r="T6942">
        <v>1</v>
      </c>
      <c r="W6942">
        <v>1</v>
      </c>
      <c r="X6942">
        <v>1</v>
      </c>
      <c r="Y6942">
        <v>1</v>
      </c>
      <c r="Z6942">
        <v>1</v>
      </c>
      <c r="AA6942">
        <v>1</v>
      </c>
      <c r="AB6942">
        <v>1</v>
      </c>
    </row>
    <row r="6943" spans="1:49" x14ac:dyDescent="0.25">
      <c r="A6943" t="str">
        <f>"6939"</f>
        <v>6939</v>
      </c>
      <c r="B6943" t="str">
        <f t="shared" si="404"/>
        <v>1</v>
      </c>
      <c r="C6943" t="str">
        <f t="shared" si="403"/>
        <v>304</v>
      </c>
      <c r="D6943" t="str">
        <f>"22"</f>
        <v>22</v>
      </c>
      <c r="E6943" t="str">
        <f>"1-304-22"</f>
        <v>1-304-22</v>
      </c>
      <c r="F6943" t="s">
        <v>83</v>
      </c>
      <c r="G6943" t="s">
        <v>84</v>
      </c>
      <c r="H6943" t="s">
        <v>85</v>
      </c>
      <c r="AC6943">
        <v>0</v>
      </c>
      <c r="AD6943">
        <v>1</v>
      </c>
      <c r="AE6943">
        <v>0</v>
      </c>
      <c r="AF6943">
        <v>0</v>
      </c>
      <c r="AG6943">
        <v>0</v>
      </c>
      <c r="AJ6943">
        <v>0</v>
      </c>
      <c r="AK6943">
        <v>1</v>
      </c>
      <c r="AL6943">
        <v>0</v>
      </c>
      <c r="AM6943">
        <v>0</v>
      </c>
      <c r="AN6943">
        <v>1</v>
      </c>
      <c r="AO6943">
        <v>0</v>
      </c>
      <c r="AP6943">
        <v>0</v>
      </c>
      <c r="AQ6943">
        <v>0</v>
      </c>
      <c r="AR6943">
        <v>0</v>
      </c>
      <c r="AS6943">
        <v>0</v>
      </c>
      <c r="AT6943">
        <v>1</v>
      </c>
      <c r="AV6943">
        <v>0</v>
      </c>
      <c r="AW6943">
        <v>0</v>
      </c>
    </row>
    <row r="6944" spans="1:49" x14ac:dyDescent="0.25">
      <c r="A6944" t="str">
        <f>"6940"</f>
        <v>6940</v>
      </c>
      <c r="B6944" t="str">
        <f t="shared" si="404"/>
        <v>1</v>
      </c>
      <c r="C6944" t="str">
        <f t="shared" si="403"/>
        <v>304</v>
      </c>
      <c r="D6944" t="str">
        <f>"21"</f>
        <v>21</v>
      </c>
      <c r="E6944" t="str">
        <f>"1-304-21"</f>
        <v>1-304-21</v>
      </c>
      <c r="F6944" t="s">
        <v>83</v>
      </c>
      <c r="G6944" t="s">
        <v>84</v>
      </c>
      <c r="H6944" t="s">
        <v>92</v>
      </c>
      <c r="I6944">
        <v>1</v>
      </c>
      <c r="J6944">
        <v>1</v>
      </c>
      <c r="N6944">
        <v>1</v>
      </c>
      <c r="O6944">
        <v>1</v>
      </c>
      <c r="P6944">
        <v>1</v>
      </c>
      <c r="Q6944">
        <v>1</v>
      </c>
      <c r="R6944">
        <v>1</v>
      </c>
      <c r="S6944">
        <v>1</v>
      </c>
      <c r="T6944">
        <v>1</v>
      </c>
      <c r="W6944">
        <v>1</v>
      </c>
      <c r="X6944">
        <v>1</v>
      </c>
      <c r="Y6944">
        <v>1</v>
      </c>
      <c r="Z6944">
        <v>1</v>
      </c>
      <c r="AA6944">
        <v>1</v>
      </c>
      <c r="AB6944">
        <v>1</v>
      </c>
    </row>
    <row r="6945" spans="1:49" x14ac:dyDescent="0.25">
      <c r="A6945" t="str">
        <f>"6941"</f>
        <v>6941</v>
      </c>
      <c r="B6945" t="str">
        <f t="shared" si="404"/>
        <v>1</v>
      </c>
      <c r="C6945" t="str">
        <f t="shared" si="403"/>
        <v>304</v>
      </c>
      <c r="D6945" t="str">
        <f>"16"</f>
        <v>16</v>
      </c>
      <c r="E6945" t="str">
        <f>"1-304-16"</f>
        <v>1-304-16</v>
      </c>
      <c r="F6945" t="s">
        <v>83</v>
      </c>
      <c r="G6945" t="s">
        <v>84</v>
      </c>
      <c r="H6945" t="s">
        <v>92</v>
      </c>
      <c r="I6945">
        <v>1</v>
      </c>
      <c r="J6945">
        <v>1</v>
      </c>
      <c r="N6945">
        <v>1</v>
      </c>
      <c r="O6945">
        <v>1</v>
      </c>
      <c r="P6945">
        <v>1</v>
      </c>
      <c r="Q6945">
        <v>1</v>
      </c>
      <c r="R6945">
        <v>1</v>
      </c>
      <c r="S6945">
        <v>1</v>
      </c>
      <c r="T6945">
        <v>1</v>
      </c>
      <c r="W6945">
        <v>1</v>
      </c>
      <c r="X6945">
        <v>1</v>
      </c>
      <c r="Y6945">
        <v>1</v>
      </c>
      <c r="Z6945">
        <v>1</v>
      </c>
      <c r="AA6945">
        <v>1</v>
      </c>
      <c r="AB6945">
        <v>1</v>
      </c>
    </row>
    <row r="6946" spans="1:49" x14ac:dyDescent="0.25">
      <c r="A6946" t="str">
        <f>"6942"</f>
        <v>6942</v>
      </c>
      <c r="B6946" t="str">
        <f t="shared" si="404"/>
        <v>1</v>
      </c>
      <c r="C6946" t="str">
        <f t="shared" si="403"/>
        <v>304</v>
      </c>
      <c r="D6946" t="str">
        <f>"9"</f>
        <v>9</v>
      </c>
      <c r="E6946" t="str">
        <f>"1-304-9"</f>
        <v>1-304-9</v>
      </c>
      <c r="F6946" t="s">
        <v>83</v>
      </c>
      <c r="G6946" t="s">
        <v>84</v>
      </c>
      <c r="H6946" t="s">
        <v>85</v>
      </c>
      <c r="AC6946">
        <v>1</v>
      </c>
      <c r="AD6946">
        <v>0</v>
      </c>
      <c r="AE6946">
        <v>0</v>
      </c>
      <c r="AF6946">
        <v>0</v>
      </c>
      <c r="AG6946">
        <v>0</v>
      </c>
      <c r="AJ6946">
        <v>1</v>
      </c>
      <c r="AK6946">
        <v>0</v>
      </c>
      <c r="AL6946">
        <v>1</v>
      </c>
      <c r="AM6946">
        <v>0</v>
      </c>
      <c r="AN6946">
        <v>0</v>
      </c>
      <c r="AO6946">
        <v>0</v>
      </c>
      <c r="AP6946">
        <v>0</v>
      </c>
      <c r="AQ6946">
        <v>0</v>
      </c>
      <c r="AR6946">
        <v>0</v>
      </c>
      <c r="AS6946">
        <v>0</v>
      </c>
      <c r="AT6946">
        <v>1</v>
      </c>
      <c r="AV6946">
        <v>0</v>
      </c>
      <c r="AW6946">
        <v>0</v>
      </c>
    </row>
    <row r="6947" spans="1:49" x14ac:dyDescent="0.25">
      <c r="A6947" t="str">
        <f>"6943"</f>
        <v>6943</v>
      </c>
      <c r="B6947" t="str">
        <f t="shared" si="404"/>
        <v>1</v>
      </c>
      <c r="C6947" t="str">
        <f t="shared" si="403"/>
        <v>304</v>
      </c>
      <c r="D6947" t="str">
        <f>"6"</f>
        <v>6</v>
      </c>
      <c r="E6947" t="str">
        <f>"1-304-6"</f>
        <v>1-304-6</v>
      </c>
      <c r="F6947" t="s">
        <v>83</v>
      </c>
      <c r="G6947" t="s">
        <v>84</v>
      </c>
      <c r="H6947" t="s">
        <v>92</v>
      </c>
      <c r="I6947">
        <v>1</v>
      </c>
      <c r="J6947">
        <v>1</v>
      </c>
      <c r="N6947">
        <v>1</v>
      </c>
      <c r="O6947">
        <v>1</v>
      </c>
      <c r="P6947">
        <v>1</v>
      </c>
      <c r="Q6947">
        <v>1</v>
      </c>
      <c r="R6947">
        <v>1</v>
      </c>
      <c r="S6947">
        <v>1</v>
      </c>
      <c r="T6947">
        <v>1</v>
      </c>
      <c r="W6947">
        <v>1</v>
      </c>
      <c r="X6947">
        <v>1</v>
      </c>
      <c r="Y6947">
        <v>1</v>
      </c>
      <c r="Z6947">
        <v>1</v>
      </c>
      <c r="AA6947">
        <v>1</v>
      </c>
      <c r="AB6947">
        <v>1</v>
      </c>
    </row>
    <row r="6948" spans="1:49" x14ac:dyDescent="0.25">
      <c r="A6948" t="str">
        <f>"6944"</f>
        <v>6944</v>
      </c>
      <c r="B6948" t="str">
        <f t="shared" si="404"/>
        <v>1</v>
      </c>
      <c r="C6948" t="str">
        <f t="shared" si="403"/>
        <v>304</v>
      </c>
      <c r="D6948" t="str">
        <f>"18"</f>
        <v>18</v>
      </c>
      <c r="E6948" t="str">
        <f>"1-304-18"</f>
        <v>1-304-18</v>
      </c>
      <c r="F6948" t="s">
        <v>83</v>
      </c>
      <c r="G6948" t="s">
        <v>84</v>
      </c>
      <c r="H6948" t="s">
        <v>85</v>
      </c>
      <c r="AC6948">
        <v>0</v>
      </c>
      <c r="AD6948">
        <v>1</v>
      </c>
      <c r="AE6948">
        <v>0</v>
      </c>
      <c r="AF6948">
        <v>0</v>
      </c>
      <c r="AG6948">
        <v>0</v>
      </c>
      <c r="AJ6948">
        <v>0</v>
      </c>
      <c r="AK6948">
        <v>1</v>
      </c>
      <c r="AL6948">
        <v>0</v>
      </c>
      <c r="AM6948">
        <v>1</v>
      </c>
      <c r="AN6948">
        <v>0</v>
      </c>
      <c r="AO6948">
        <v>0</v>
      </c>
      <c r="AP6948">
        <v>0</v>
      </c>
      <c r="AQ6948">
        <v>0</v>
      </c>
      <c r="AR6948">
        <v>0</v>
      </c>
      <c r="AS6948">
        <v>0</v>
      </c>
      <c r="AT6948">
        <v>0</v>
      </c>
      <c r="AV6948">
        <v>0</v>
      </c>
      <c r="AW6948">
        <v>0</v>
      </c>
    </row>
    <row r="6949" spans="1:49" x14ac:dyDescent="0.25">
      <c r="A6949" t="str">
        <f>"6945"</f>
        <v>6945</v>
      </c>
      <c r="B6949" t="str">
        <f t="shared" si="404"/>
        <v>1</v>
      </c>
      <c r="C6949" t="str">
        <f t="shared" si="403"/>
        <v>304</v>
      </c>
      <c r="D6949" t="str">
        <f>"10"</f>
        <v>10</v>
      </c>
      <c r="E6949" t="str">
        <f>"1-304-10"</f>
        <v>1-304-10</v>
      </c>
      <c r="F6949" t="s">
        <v>83</v>
      </c>
      <c r="G6949" t="s">
        <v>84</v>
      </c>
      <c r="H6949" t="s">
        <v>85</v>
      </c>
      <c r="AC6949">
        <v>0</v>
      </c>
      <c r="AD6949">
        <v>1</v>
      </c>
      <c r="AE6949">
        <v>0</v>
      </c>
      <c r="AF6949">
        <v>0</v>
      </c>
      <c r="AG6949">
        <v>0</v>
      </c>
      <c r="AJ6949">
        <v>0</v>
      </c>
      <c r="AK6949">
        <v>1</v>
      </c>
      <c r="AL6949">
        <v>0</v>
      </c>
      <c r="AM6949">
        <v>1</v>
      </c>
      <c r="AN6949">
        <v>0</v>
      </c>
      <c r="AO6949">
        <v>0</v>
      </c>
      <c r="AP6949">
        <v>0</v>
      </c>
      <c r="AQ6949">
        <v>0</v>
      </c>
      <c r="AR6949">
        <v>0</v>
      </c>
      <c r="AS6949">
        <v>0</v>
      </c>
      <c r="AT6949">
        <v>1</v>
      </c>
      <c r="AV6949">
        <v>0</v>
      </c>
      <c r="AW6949">
        <v>0</v>
      </c>
    </row>
    <row r="6950" spans="1:49" x14ac:dyDescent="0.25">
      <c r="A6950" t="str">
        <f>"6946"</f>
        <v>6946</v>
      </c>
      <c r="B6950" t="str">
        <f t="shared" si="404"/>
        <v>1</v>
      </c>
      <c r="C6950" t="str">
        <f t="shared" si="403"/>
        <v>304</v>
      </c>
      <c r="D6950" t="str">
        <f>"1"</f>
        <v>1</v>
      </c>
      <c r="E6950" t="str">
        <f>"1-304-1"</f>
        <v>1-304-1</v>
      </c>
      <c r="F6950" t="s">
        <v>83</v>
      </c>
      <c r="G6950" t="s">
        <v>84</v>
      </c>
      <c r="H6950" t="s">
        <v>85</v>
      </c>
      <c r="AC6950">
        <v>0</v>
      </c>
      <c r="AD6950">
        <v>0</v>
      </c>
      <c r="AE6950">
        <v>0</v>
      </c>
      <c r="AF6950">
        <v>0</v>
      </c>
      <c r="AG6950">
        <v>0</v>
      </c>
      <c r="AJ6950">
        <v>0</v>
      </c>
      <c r="AK6950">
        <v>0</v>
      </c>
      <c r="AL6950">
        <v>0</v>
      </c>
      <c r="AM6950">
        <v>0</v>
      </c>
      <c r="AN6950">
        <v>1</v>
      </c>
      <c r="AO6950">
        <v>0</v>
      </c>
      <c r="AP6950">
        <v>0</v>
      </c>
      <c r="AQ6950">
        <v>0</v>
      </c>
      <c r="AR6950">
        <v>0</v>
      </c>
      <c r="AS6950">
        <v>1</v>
      </c>
      <c r="AT6950">
        <v>0</v>
      </c>
      <c r="AV6950">
        <v>0</v>
      </c>
      <c r="AW6950">
        <v>0</v>
      </c>
    </row>
    <row r="6951" spans="1:49" x14ac:dyDescent="0.25">
      <c r="A6951" t="str">
        <f>"6947"</f>
        <v>6947</v>
      </c>
      <c r="B6951" t="str">
        <f t="shared" si="404"/>
        <v>1</v>
      </c>
      <c r="C6951" t="str">
        <f t="shared" si="403"/>
        <v>304</v>
      </c>
      <c r="D6951" t="str">
        <f>"25"</f>
        <v>25</v>
      </c>
      <c r="E6951" t="str">
        <f>"1-304-25"</f>
        <v>1-304-25</v>
      </c>
      <c r="F6951" t="s">
        <v>83</v>
      </c>
      <c r="G6951" t="s">
        <v>84</v>
      </c>
      <c r="H6951" t="s">
        <v>92</v>
      </c>
      <c r="I6951">
        <v>1</v>
      </c>
      <c r="J6951">
        <v>1</v>
      </c>
      <c r="N6951">
        <v>1</v>
      </c>
      <c r="O6951">
        <v>1</v>
      </c>
      <c r="P6951">
        <v>1</v>
      </c>
      <c r="Q6951">
        <v>1</v>
      </c>
      <c r="R6951">
        <v>1</v>
      </c>
      <c r="S6951">
        <v>1</v>
      </c>
      <c r="T6951">
        <v>1</v>
      </c>
      <c r="W6951">
        <v>1</v>
      </c>
      <c r="X6951">
        <v>1</v>
      </c>
      <c r="Y6951">
        <v>1</v>
      </c>
      <c r="Z6951">
        <v>1</v>
      </c>
      <c r="AA6951">
        <v>1</v>
      </c>
      <c r="AB6951">
        <v>1</v>
      </c>
    </row>
    <row r="6952" spans="1:49" x14ac:dyDescent="0.25">
      <c r="A6952" t="str">
        <f>"6948"</f>
        <v>6948</v>
      </c>
      <c r="B6952" t="str">
        <f t="shared" si="404"/>
        <v>1</v>
      </c>
      <c r="C6952" t="str">
        <f t="shared" si="403"/>
        <v>304</v>
      </c>
      <c r="D6952" t="str">
        <f>"17"</f>
        <v>17</v>
      </c>
      <c r="E6952" t="str">
        <f>"1-304-17"</f>
        <v>1-304-17</v>
      </c>
      <c r="F6952" t="s">
        <v>83</v>
      </c>
      <c r="G6952" t="s">
        <v>84</v>
      </c>
      <c r="H6952" t="s">
        <v>92</v>
      </c>
      <c r="I6952">
        <v>1</v>
      </c>
      <c r="J6952">
        <v>1</v>
      </c>
      <c r="N6952">
        <v>1</v>
      </c>
      <c r="O6952">
        <v>1</v>
      </c>
      <c r="P6952">
        <v>1</v>
      </c>
      <c r="Q6952">
        <v>1</v>
      </c>
      <c r="R6952">
        <v>1</v>
      </c>
      <c r="S6952">
        <v>1</v>
      </c>
      <c r="T6952">
        <v>1</v>
      </c>
      <c r="W6952">
        <v>1</v>
      </c>
      <c r="X6952">
        <v>1</v>
      </c>
      <c r="Y6952">
        <v>1</v>
      </c>
      <c r="Z6952">
        <v>1</v>
      </c>
      <c r="AA6952">
        <v>1</v>
      </c>
      <c r="AB6952">
        <v>1</v>
      </c>
    </row>
    <row r="6953" spans="1:49" x14ac:dyDescent="0.25">
      <c r="A6953" t="str">
        <f>"6949"</f>
        <v>6949</v>
      </c>
      <c r="B6953" t="str">
        <f t="shared" si="404"/>
        <v>1</v>
      </c>
      <c r="C6953" t="str">
        <f t="shared" si="403"/>
        <v>304</v>
      </c>
      <c r="D6953" t="str">
        <f>"11"</f>
        <v>11</v>
      </c>
      <c r="E6953" t="str">
        <f>"1-304-11"</f>
        <v>1-304-11</v>
      </c>
      <c r="F6953" t="s">
        <v>83</v>
      </c>
      <c r="G6953" t="s">
        <v>84</v>
      </c>
      <c r="H6953" t="s">
        <v>92</v>
      </c>
      <c r="I6953">
        <v>1</v>
      </c>
      <c r="J6953">
        <v>1</v>
      </c>
      <c r="N6953">
        <v>1</v>
      </c>
      <c r="O6953">
        <v>1</v>
      </c>
      <c r="P6953">
        <v>1</v>
      </c>
      <c r="Q6953">
        <v>1</v>
      </c>
      <c r="R6953">
        <v>0</v>
      </c>
      <c r="S6953">
        <v>1</v>
      </c>
      <c r="T6953">
        <v>1</v>
      </c>
      <c r="W6953">
        <v>1</v>
      </c>
      <c r="X6953">
        <v>1</v>
      </c>
      <c r="Y6953">
        <v>1</v>
      </c>
      <c r="Z6953">
        <v>1</v>
      </c>
      <c r="AA6953">
        <v>1</v>
      </c>
      <c r="AB6953">
        <v>1</v>
      </c>
    </row>
    <row r="6954" spans="1:49" x14ac:dyDescent="0.25">
      <c r="A6954" t="str">
        <f>"6950"</f>
        <v>6950</v>
      </c>
      <c r="B6954" t="str">
        <f t="shared" si="404"/>
        <v>1</v>
      </c>
      <c r="C6954" t="str">
        <f t="shared" si="403"/>
        <v>304</v>
      </c>
      <c r="D6954" t="str">
        <f>"7"</f>
        <v>7</v>
      </c>
      <c r="E6954" t="str">
        <f>"1-304-7"</f>
        <v>1-304-7</v>
      </c>
      <c r="F6954" t="s">
        <v>83</v>
      </c>
      <c r="G6954" t="s">
        <v>84</v>
      </c>
      <c r="H6954" t="s">
        <v>92</v>
      </c>
      <c r="I6954">
        <v>1</v>
      </c>
      <c r="J6954">
        <v>0</v>
      </c>
      <c r="N6954">
        <v>1</v>
      </c>
      <c r="O6954">
        <v>1</v>
      </c>
      <c r="P6954">
        <v>1</v>
      </c>
      <c r="Q6954">
        <v>1</v>
      </c>
      <c r="R6954">
        <v>1</v>
      </c>
      <c r="S6954">
        <v>1</v>
      </c>
      <c r="T6954">
        <v>1</v>
      </c>
      <c r="W6954">
        <v>1</v>
      </c>
      <c r="X6954">
        <v>1</v>
      </c>
      <c r="Y6954">
        <v>1</v>
      </c>
      <c r="Z6954">
        <v>1</v>
      </c>
      <c r="AA6954">
        <v>1</v>
      </c>
      <c r="AB6954">
        <v>1</v>
      </c>
    </row>
    <row r="6955" spans="1:49" x14ac:dyDescent="0.25">
      <c r="A6955" t="str">
        <f>"6951"</f>
        <v>6951</v>
      </c>
      <c r="B6955" t="str">
        <f t="shared" si="404"/>
        <v>1</v>
      </c>
      <c r="C6955" t="str">
        <f t="shared" si="403"/>
        <v>304</v>
      </c>
      <c r="D6955" t="str">
        <f>"23"</f>
        <v>23</v>
      </c>
      <c r="E6955" t="str">
        <f>"1-304-23"</f>
        <v>1-304-23</v>
      </c>
      <c r="F6955" t="s">
        <v>83</v>
      </c>
      <c r="G6955" t="s">
        <v>84</v>
      </c>
      <c r="H6955" t="s">
        <v>92</v>
      </c>
      <c r="I6955">
        <v>1</v>
      </c>
      <c r="J6955">
        <v>1</v>
      </c>
      <c r="N6955">
        <v>1</v>
      </c>
      <c r="O6955">
        <v>0</v>
      </c>
      <c r="P6955">
        <v>0</v>
      </c>
      <c r="Q6955">
        <v>0</v>
      </c>
      <c r="R6955">
        <v>0</v>
      </c>
      <c r="S6955">
        <v>1</v>
      </c>
      <c r="T6955">
        <v>0</v>
      </c>
      <c r="W6955">
        <v>0</v>
      </c>
      <c r="X6955">
        <v>1</v>
      </c>
      <c r="Y6955">
        <v>1</v>
      </c>
      <c r="Z6955">
        <v>1</v>
      </c>
      <c r="AA6955">
        <v>0</v>
      </c>
      <c r="AB6955">
        <v>1</v>
      </c>
    </row>
    <row r="6956" spans="1:49" x14ac:dyDescent="0.25">
      <c r="A6956" t="str">
        <f>"6952"</f>
        <v>6952</v>
      </c>
      <c r="B6956" t="str">
        <f t="shared" si="404"/>
        <v>1</v>
      </c>
      <c r="C6956" t="str">
        <f t="shared" si="403"/>
        <v>304</v>
      </c>
      <c r="D6956" t="str">
        <f>"12"</f>
        <v>12</v>
      </c>
      <c r="E6956" t="str">
        <f>"1-304-12"</f>
        <v>1-304-12</v>
      </c>
      <c r="F6956" t="s">
        <v>83</v>
      </c>
      <c r="G6956" t="s">
        <v>84</v>
      </c>
      <c r="H6956" t="s">
        <v>92</v>
      </c>
      <c r="I6956">
        <v>1</v>
      </c>
      <c r="J6956">
        <v>1</v>
      </c>
      <c r="N6956">
        <v>1</v>
      </c>
      <c r="O6956">
        <v>1</v>
      </c>
      <c r="P6956">
        <v>1</v>
      </c>
      <c r="Q6956">
        <v>1</v>
      </c>
      <c r="R6956">
        <v>1</v>
      </c>
      <c r="S6956">
        <v>1</v>
      </c>
      <c r="T6956">
        <v>1</v>
      </c>
      <c r="W6956">
        <v>1</v>
      </c>
      <c r="X6956">
        <v>1</v>
      </c>
      <c r="Y6956">
        <v>1</v>
      </c>
      <c r="Z6956">
        <v>1</v>
      </c>
      <c r="AA6956">
        <v>1</v>
      </c>
      <c r="AB6956">
        <v>1</v>
      </c>
    </row>
    <row r="6957" spans="1:49" x14ac:dyDescent="0.25">
      <c r="A6957" t="str">
        <f>"6953"</f>
        <v>6953</v>
      </c>
      <c r="B6957" t="str">
        <f t="shared" si="404"/>
        <v>1</v>
      </c>
      <c r="C6957" t="str">
        <f t="shared" si="403"/>
        <v>304</v>
      </c>
      <c r="D6957" t="str">
        <f>"2"</f>
        <v>2</v>
      </c>
      <c r="E6957" t="str">
        <f>"1-304-2"</f>
        <v>1-304-2</v>
      </c>
      <c r="F6957" t="s">
        <v>83</v>
      </c>
      <c r="G6957" t="s">
        <v>84</v>
      </c>
      <c r="H6957" t="s">
        <v>85</v>
      </c>
      <c r="AC6957">
        <v>0</v>
      </c>
      <c r="AD6957">
        <v>1</v>
      </c>
      <c r="AE6957">
        <v>0</v>
      </c>
      <c r="AF6957">
        <v>0</v>
      </c>
      <c r="AG6957">
        <v>0</v>
      </c>
      <c r="AJ6957">
        <v>0</v>
      </c>
      <c r="AK6957">
        <v>1</v>
      </c>
      <c r="AL6957">
        <v>0</v>
      </c>
      <c r="AM6957">
        <v>1</v>
      </c>
      <c r="AN6957">
        <v>0</v>
      </c>
      <c r="AO6957">
        <v>0</v>
      </c>
      <c r="AP6957">
        <v>0</v>
      </c>
      <c r="AQ6957">
        <v>0</v>
      </c>
      <c r="AR6957">
        <v>0</v>
      </c>
      <c r="AS6957">
        <v>0</v>
      </c>
      <c r="AT6957">
        <v>1</v>
      </c>
      <c r="AV6957">
        <v>0</v>
      </c>
      <c r="AW6957">
        <v>0</v>
      </c>
    </row>
    <row r="6958" spans="1:49" x14ac:dyDescent="0.25">
      <c r="A6958" t="str">
        <f>"6954"</f>
        <v>6954</v>
      </c>
      <c r="B6958" t="str">
        <f t="shared" si="404"/>
        <v>1</v>
      </c>
      <c r="C6958" t="str">
        <f t="shared" si="403"/>
        <v>304</v>
      </c>
      <c r="D6958" t="str">
        <f>"24"</f>
        <v>24</v>
      </c>
      <c r="E6958" t="str">
        <f>"1-304-24"</f>
        <v>1-304-24</v>
      </c>
      <c r="F6958" t="s">
        <v>83</v>
      </c>
      <c r="G6958" t="s">
        <v>84</v>
      </c>
      <c r="H6958" t="s">
        <v>92</v>
      </c>
      <c r="I6958">
        <v>1</v>
      </c>
      <c r="J6958">
        <v>1</v>
      </c>
      <c r="N6958">
        <v>1</v>
      </c>
      <c r="O6958">
        <v>1</v>
      </c>
      <c r="P6958">
        <v>1</v>
      </c>
      <c r="Q6958">
        <v>1</v>
      </c>
      <c r="R6958">
        <v>0</v>
      </c>
      <c r="S6958">
        <v>1</v>
      </c>
      <c r="T6958">
        <v>0</v>
      </c>
      <c r="W6958">
        <v>1</v>
      </c>
      <c r="X6958">
        <v>1</v>
      </c>
      <c r="Y6958">
        <v>1</v>
      </c>
      <c r="Z6958">
        <v>0</v>
      </c>
      <c r="AA6958">
        <v>0</v>
      </c>
      <c r="AB6958">
        <v>0</v>
      </c>
    </row>
    <row r="6959" spans="1:49" x14ac:dyDescent="0.25">
      <c r="A6959" t="str">
        <f>"6955"</f>
        <v>6955</v>
      </c>
      <c r="B6959" t="str">
        <f t="shared" si="404"/>
        <v>1</v>
      </c>
      <c r="C6959" t="str">
        <f t="shared" si="403"/>
        <v>304</v>
      </c>
      <c r="D6959" t="str">
        <f>"13"</f>
        <v>13</v>
      </c>
      <c r="E6959" t="str">
        <f>"1-304-13"</f>
        <v>1-304-13</v>
      </c>
      <c r="F6959" t="s">
        <v>83</v>
      </c>
      <c r="G6959" t="s">
        <v>84</v>
      </c>
      <c r="H6959" t="s">
        <v>92</v>
      </c>
      <c r="I6959">
        <v>1</v>
      </c>
      <c r="J6959">
        <v>1</v>
      </c>
      <c r="N6959">
        <v>1</v>
      </c>
      <c r="O6959">
        <v>1</v>
      </c>
      <c r="P6959">
        <v>1</v>
      </c>
      <c r="Q6959">
        <v>1</v>
      </c>
      <c r="R6959">
        <v>1</v>
      </c>
      <c r="S6959">
        <v>1</v>
      </c>
      <c r="T6959">
        <v>1</v>
      </c>
      <c r="W6959">
        <v>1</v>
      </c>
      <c r="X6959">
        <v>1</v>
      </c>
      <c r="Y6959">
        <v>1</v>
      </c>
      <c r="Z6959">
        <v>1</v>
      </c>
      <c r="AA6959">
        <v>1</v>
      </c>
      <c r="AB6959">
        <v>1</v>
      </c>
    </row>
    <row r="6960" spans="1:49" x14ac:dyDescent="0.25">
      <c r="A6960" t="str">
        <f>"6956"</f>
        <v>6956</v>
      </c>
      <c r="B6960" t="str">
        <f t="shared" si="404"/>
        <v>1</v>
      </c>
      <c r="C6960" t="str">
        <f t="shared" si="403"/>
        <v>304</v>
      </c>
      <c r="D6960" t="str">
        <f>"5"</f>
        <v>5</v>
      </c>
      <c r="E6960" t="str">
        <f>"1-304-5"</f>
        <v>1-304-5</v>
      </c>
      <c r="F6960" t="s">
        <v>83</v>
      </c>
      <c r="G6960" t="s">
        <v>84</v>
      </c>
      <c r="H6960" t="s">
        <v>85</v>
      </c>
      <c r="AC6960">
        <v>0</v>
      </c>
      <c r="AD6960">
        <v>1</v>
      </c>
      <c r="AE6960">
        <v>0</v>
      </c>
      <c r="AF6960">
        <v>0</v>
      </c>
      <c r="AG6960">
        <v>0</v>
      </c>
      <c r="AJ6960">
        <v>1</v>
      </c>
      <c r="AK6960">
        <v>0</v>
      </c>
      <c r="AL6960">
        <v>0</v>
      </c>
      <c r="AM6960">
        <v>1</v>
      </c>
      <c r="AN6960">
        <v>0</v>
      </c>
      <c r="AO6960">
        <v>1</v>
      </c>
      <c r="AP6960">
        <v>1</v>
      </c>
      <c r="AQ6960">
        <v>1</v>
      </c>
      <c r="AR6960">
        <v>1</v>
      </c>
      <c r="AS6960">
        <v>1</v>
      </c>
      <c r="AT6960">
        <v>0</v>
      </c>
      <c r="AV6960">
        <v>1</v>
      </c>
      <c r="AW6960">
        <v>1</v>
      </c>
    </row>
    <row r="6961" spans="1:49" x14ac:dyDescent="0.25">
      <c r="A6961" t="str">
        <f>"6957"</f>
        <v>6957</v>
      </c>
      <c r="B6961" t="str">
        <f t="shared" si="404"/>
        <v>1</v>
      </c>
      <c r="C6961" t="str">
        <f t="shared" si="403"/>
        <v>304</v>
      </c>
      <c r="D6961" t="str">
        <f>"15"</f>
        <v>15</v>
      </c>
      <c r="E6961" t="str">
        <f>"1-304-15"</f>
        <v>1-304-15</v>
      </c>
      <c r="F6961" t="s">
        <v>83</v>
      </c>
      <c r="G6961" t="s">
        <v>84</v>
      </c>
      <c r="H6961" t="s">
        <v>85</v>
      </c>
      <c r="AC6961">
        <v>1</v>
      </c>
      <c r="AD6961">
        <v>0</v>
      </c>
      <c r="AE6961">
        <v>0</v>
      </c>
      <c r="AF6961">
        <v>0</v>
      </c>
      <c r="AG6961">
        <v>0</v>
      </c>
      <c r="AJ6961">
        <v>1</v>
      </c>
      <c r="AK6961">
        <v>0</v>
      </c>
      <c r="AL6961">
        <v>0</v>
      </c>
      <c r="AM6961">
        <v>0</v>
      </c>
      <c r="AN6961">
        <v>1</v>
      </c>
      <c r="AO6961">
        <v>0</v>
      </c>
      <c r="AP6961">
        <v>0</v>
      </c>
      <c r="AQ6961">
        <v>0</v>
      </c>
      <c r="AR6961">
        <v>0</v>
      </c>
      <c r="AS6961">
        <v>0</v>
      </c>
      <c r="AT6961">
        <v>1</v>
      </c>
      <c r="AV6961">
        <v>0</v>
      </c>
      <c r="AW6961">
        <v>0</v>
      </c>
    </row>
    <row r="6962" spans="1:49" x14ac:dyDescent="0.25">
      <c r="A6962" t="str">
        <f>"6958"</f>
        <v>6958</v>
      </c>
      <c r="B6962" t="str">
        <f t="shared" si="404"/>
        <v>1</v>
      </c>
      <c r="C6962" t="str">
        <f t="shared" si="403"/>
        <v>304</v>
      </c>
      <c r="D6962" t="str">
        <f>"4"</f>
        <v>4</v>
      </c>
      <c r="E6962" t="str">
        <f>"1-304-4"</f>
        <v>1-304-4</v>
      </c>
      <c r="F6962" t="s">
        <v>83</v>
      </c>
      <c r="G6962" t="s">
        <v>84</v>
      </c>
      <c r="H6962" t="s">
        <v>92</v>
      </c>
      <c r="I6962">
        <v>1</v>
      </c>
      <c r="J6962">
        <v>1</v>
      </c>
      <c r="N6962">
        <v>1</v>
      </c>
      <c r="O6962">
        <v>1</v>
      </c>
      <c r="P6962">
        <v>1</v>
      </c>
      <c r="Q6962">
        <v>1</v>
      </c>
      <c r="R6962">
        <v>1</v>
      </c>
      <c r="S6962">
        <v>1</v>
      </c>
      <c r="T6962">
        <v>1</v>
      </c>
      <c r="W6962">
        <v>1</v>
      </c>
      <c r="X6962">
        <v>1</v>
      </c>
      <c r="Y6962">
        <v>1</v>
      </c>
      <c r="Z6962">
        <v>1</v>
      </c>
      <c r="AA6962">
        <v>1</v>
      </c>
      <c r="AB6962">
        <v>1</v>
      </c>
    </row>
    <row r="6963" spans="1:49" x14ac:dyDescent="0.25">
      <c r="A6963" t="str">
        <f>"6959"</f>
        <v>6959</v>
      </c>
      <c r="B6963" t="str">
        <f t="shared" si="404"/>
        <v>1</v>
      </c>
      <c r="C6963" t="str">
        <f t="shared" ref="C6963:C6980" si="405">"305"</f>
        <v>305</v>
      </c>
      <c r="D6963" t="str">
        <f>"13"</f>
        <v>13</v>
      </c>
      <c r="E6963" t="str">
        <f>"1-305-13"</f>
        <v>1-305-13</v>
      </c>
      <c r="F6963" t="s">
        <v>83</v>
      </c>
      <c r="G6963" t="s">
        <v>84</v>
      </c>
      <c r="H6963" t="s">
        <v>92</v>
      </c>
      <c r="I6963">
        <v>1</v>
      </c>
      <c r="J6963">
        <v>1</v>
      </c>
      <c r="N6963">
        <v>1</v>
      </c>
      <c r="O6963">
        <v>1</v>
      </c>
      <c r="P6963">
        <v>1</v>
      </c>
      <c r="Q6963">
        <v>1</v>
      </c>
      <c r="R6963">
        <v>1</v>
      </c>
      <c r="S6963">
        <v>1</v>
      </c>
      <c r="T6963">
        <v>1</v>
      </c>
      <c r="W6963">
        <v>1</v>
      </c>
      <c r="X6963">
        <v>1</v>
      </c>
      <c r="Y6963">
        <v>1</v>
      </c>
      <c r="Z6963">
        <v>1</v>
      </c>
      <c r="AA6963">
        <v>1</v>
      </c>
      <c r="AB6963">
        <v>1</v>
      </c>
    </row>
    <row r="6964" spans="1:49" x14ac:dyDescent="0.25">
      <c r="A6964" t="str">
        <f>"6960"</f>
        <v>6960</v>
      </c>
      <c r="B6964" t="str">
        <f t="shared" si="404"/>
        <v>1</v>
      </c>
      <c r="C6964" t="str">
        <f t="shared" si="405"/>
        <v>305</v>
      </c>
      <c r="D6964" t="str">
        <f>"8"</f>
        <v>8</v>
      </c>
      <c r="E6964" t="str">
        <f>"1-305-8"</f>
        <v>1-305-8</v>
      </c>
      <c r="F6964" t="s">
        <v>83</v>
      </c>
      <c r="G6964" t="s">
        <v>84</v>
      </c>
      <c r="H6964" t="s">
        <v>92</v>
      </c>
      <c r="I6964">
        <v>1</v>
      </c>
      <c r="J6964">
        <v>1</v>
      </c>
      <c r="N6964">
        <v>1</v>
      </c>
      <c r="O6964">
        <v>1</v>
      </c>
      <c r="P6964">
        <v>1</v>
      </c>
      <c r="Q6964">
        <v>1</v>
      </c>
      <c r="R6964">
        <v>1</v>
      </c>
      <c r="S6964">
        <v>1</v>
      </c>
      <c r="T6964">
        <v>1</v>
      </c>
      <c r="W6964">
        <v>1</v>
      </c>
      <c r="X6964">
        <v>1</v>
      </c>
      <c r="Y6964">
        <v>1</v>
      </c>
      <c r="Z6964">
        <v>1</v>
      </c>
      <c r="AA6964">
        <v>1</v>
      </c>
      <c r="AB6964">
        <v>1</v>
      </c>
    </row>
    <row r="6965" spans="1:49" x14ac:dyDescent="0.25">
      <c r="A6965" t="str">
        <f>"6961"</f>
        <v>6961</v>
      </c>
      <c r="B6965" t="str">
        <f t="shared" si="404"/>
        <v>1</v>
      </c>
      <c r="C6965" t="str">
        <f t="shared" si="405"/>
        <v>305</v>
      </c>
      <c r="D6965" t="str">
        <f>"5"</f>
        <v>5</v>
      </c>
      <c r="E6965" t="str">
        <f>"1-305-5"</f>
        <v>1-305-5</v>
      </c>
      <c r="F6965" t="s">
        <v>83</v>
      </c>
      <c r="G6965" t="s">
        <v>84</v>
      </c>
      <c r="H6965" t="s">
        <v>92</v>
      </c>
      <c r="I6965">
        <v>1</v>
      </c>
      <c r="J6965">
        <v>1</v>
      </c>
      <c r="N6965">
        <v>1</v>
      </c>
      <c r="O6965">
        <v>1</v>
      </c>
      <c r="P6965">
        <v>1</v>
      </c>
      <c r="Q6965">
        <v>1</v>
      </c>
      <c r="R6965">
        <v>1</v>
      </c>
      <c r="S6965">
        <v>1</v>
      </c>
      <c r="T6965">
        <v>1</v>
      </c>
      <c r="W6965">
        <v>1</v>
      </c>
      <c r="X6965">
        <v>1</v>
      </c>
      <c r="Y6965">
        <v>1</v>
      </c>
      <c r="Z6965">
        <v>1</v>
      </c>
      <c r="AA6965">
        <v>1</v>
      </c>
      <c r="AB6965">
        <v>1</v>
      </c>
    </row>
    <row r="6966" spans="1:49" x14ac:dyDescent="0.25">
      <c r="A6966" t="str">
        <f>"6962"</f>
        <v>6962</v>
      </c>
      <c r="B6966" t="str">
        <f t="shared" si="404"/>
        <v>1</v>
      </c>
      <c r="C6966" t="str">
        <f t="shared" si="405"/>
        <v>305</v>
      </c>
      <c r="D6966" t="str">
        <f>"16"</f>
        <v>16</v>
      </c>
      <c r="E6966" t="str">
        <f>"1-305-16"</f>
        <v>1-305-16</v>
      </c>
      <c r="F6966" t="s">
        <v>83</v>
      </c>
      <c r="G6966" t="s">
        <v>84</v>
      </c>
      <c r="H6966" t="s">
        <v>92</v>
      </c>
      <c r="I6966">
        <v>1</v>
      </c>
      <c r="J6966">
        <v>1</v>
      </c>
      <c r="N6966">
        <v>1</v>
      </c>
      <c r="O6966">
        <v>1</v>
      </c>
      <c r="P6966">
        <v>1</v>
      </c>
      <c r="Q6966">
        <v>1</v>
      </c>
      <c r="R6966">
        <v>1</v>
      </c>
      <c r="S6966">
        <v>1</v>
      </c>
      <c r="T6966">
        <v>1</v>
      </c>
      <c r="W6966">
        <v>1</v>
      </c>
      <c r="X6966">
        <v>1</v>
      </c>
      <c r="Y6966">
        <v>1</v>
      </c>
      <c r="Z6966">
        <v>1</v>
      </c>
      <c r="AA6966">
        <v>1</v>
      </c>
      <c r="AB6966">
        <v>1</v>
      </c>
    </row>
    <row r="6967" spans="1:49" x14ac:dyDescent="0.25">
      <c r="A6967" t="str">
        <f>"6963"</f>
        <v>6963</v>
      </c>
      <c r="B6967" t="str">
        <f t="shared" si="404"/>
        <v>1</v>
      </c>
      <c r="C6967" t="str">
        <f t="shared" si="405"/>
        <v>305</v>
      </c>
      <c r="D6967" t="str">
        <f>"9"</f>
        <v>9</v>
      </c>
      <c r="E6967" t="str">
        <f>"1-305-9"</f>
        <v>1-305-9</v>
      </c>
      <c r="F6967" t="s">
        <v>83</v>
      </c>
      <c r="G6967" t="s">
        <v>84</v>
      </c>
      <c r="H6967" t="s">
        <v>92</v>
      </c>
      <c r="I6967">
        <v>1</v>
      </c>
      <c r="J6967">
        <v>1</v>
      </c>
      <c r="N6967">
        <v>1</v>
      </c>
      <c r="O6967">
        <v>1</v>
      </c>
      <c r="P6967">
        <v>1</v>
      </c>
      <c r="Q6967">
        <v>1</v>
      </c>
      <c r="R6967">
        <v>1</v>
      </c>
      <c r="S6967">
        <v>1</v>
      </c>
      <c r="T6967">
        <v>1</v>
      </c>
      <c r="W6967">
        <v>1</v>
      </c>
      <c r="X6967">
        <v>1</v>
      </c>
      <c r="Y6967">
        <v>1</v>
      </c>
      <c r="Z6967">
        <v>1</v>
      </c>
      <c r="AA6967">
        <v>1</v>
      </c>
      <c r="AB6967">
        <v>1</v>
      </c>
    </row>
    <row r="6968" spans="1:49" x14ac:dyDescent="0.25">
      <c r="A6968" t="str">
        <f>"6964"</f>
        <v>6964</v>
      </c>
      <c r="B6968" t="str">
        <f t="shared" si="404"/>
        <v>1</v>
      </c>
      <c r="C6968" t="str">
        <f t="shared" si="405"/>
        <v>305</v>
      </c>
      <c r="D6968" t="str">
        <f>"1"</f>
        <v>1</v>
      </c>
      <c r="E6968" t="str">
        <f>"1-305-1"</f>
        <v>1-305-1</v>
      </c>
      <c r="F6968" t="s">
        <v>83</v>
      </c>
      <c r="G6968" t="s">
        <v>84</v>
      </c>
      <c r="H6968" t="s">
        <v>92</v>
      </c>
      <c r="I6968">
        <v>1</v>
      </c>
      <c r="J6968">
        <v>0</v>
      </c>
      <c r="N6968">
        <v>1</v>
      </c>
      <c r="O6968">
        <v>1</v>
      </c>
      <c r="P6968">
        <v>1</v>
      </c>
      <c r="Q6968">
        <v>1</v>
      </c>
      <c r="R6968">
        <v>1</v>
      </c>
      <c r="S6968">
        <v>0</v>
      </c>
      <c r="T6968">
        <v>0</v>
      </c>
      <c r="W6968">
        <v>1</v>
      </c>
      <c r="X6968">
        <v>1</v>
      </c>
      <c r="Y6968">
        <v>1</v>
      </c>
      <c r="Z6968">
        <v>1</v>
      </c>
      <c r="AA6968">
        <v>1</v>
      </c>
      <c r="AB6968">
        <v>1</v>
      </c>
    </row>
    <row r="6969" spans="1:49" x14ac:dyDescent="0.25">
      <c r="A6969" t="str">
        <f>"6965"</f>
        <v>6965</v>
      </c>
      <c r="B6969" t="str">
        <f t="shared" si="404"/>
        <v>1</v>
      </c>
      <c r="C6969" t="str">
        <f t="shared" si="405"/>
        <v>305</v>
      </c>
      <c r="D6969" t="str">
        <f>"17"</f>
        <v>17</v>
      </c>
      <c r="E6969" t="str">
        <f>"1-305-17"</f>
        <v>1-305-17</v>
      </c>
      <c r="F6969" t="s">
        <v>83</v>
      </c>
      <c r="G6969" t="s">
        <v>84</v>
      </c>
      <c r="H6969" t="s">
        <v>92</v>
      </c>
      <c r="I6969">
        <v>1</v>
      </c>
      <c r="J6969">
        <v>1</v>
      </c>
      <c r="N6969">
        <v>1</v>
      </c>
      <c r="O6969">
        <v>1</v>
      </c>
      <c r="P6969">
        <v>1</v>
      </c>
      <c r="Q6969">
        <v>1</v>
      </c>
      <c r="R6969">
        <v>1</v>
      </c>
      <c r="S6969">
        <v>1</v>
      </c>
      <c r="T6969">
        <v>1</v>
      </c>
      <c r="W6969">
        <v>1</v>
      </c>
      <c r="X6969">
        <v>1</v>
      </c>
      <c r="Y6969">
        <v>1</v>
      </c>
      <c r="Z6969">
        <v>1</v>
      </c>
      <c r="AA6969">
        <v>1</v>
      </c>
      <c r="AB6969">
        <v>1</v>
      </c>
    </row>
    <row r="6970" spans="1:49" x14ac:dyDescent="0.25">
      <c r="A6970" t="str">
        <f>"6966"</f>
        <v>6966</v>
      </c>
      <c r="B6970" t="str">
        <f t="shared" si="404"/>
        <v>1</v>
      </c>
      <c r="C6970" t="str">
        <f t="shared" si="405"/>
        <v>305</v>
      </c>
      <c r="D6970" t="str">
        <f>"10"</f>
        <v>10</v>
      </c>
      <c r="E6970" t="str">
        <f>"1-305-10"</f>
        <v>1-305-10</v>
      </c>
      <c r="F6970" t="s">
        <v>83</v>
      </c>
      <c r="G6970" t="s">
        <v>84</v>
      </c>
      <c r="H6970" t="s">
        <v>92</v>
      </c>
      <c r="I6970">
        <v>1</v>
      </c>
      <c r="J6970">
        <v>1</v>
      </c>
      <c r="N6970">
        <v>1</v>
      </c>
      <c r="O6970">
        <v>1</v>
      </c>
      <c r="P6970">
        <v>1</v>
      </c>
      <c r="Q6970">
        <v>1</v>
      </c>
      <c r="R6970">
        <v>1</v>
      </c>
      <c r="S6970">
        <v>1</v>
      </c>
      <c r="T6970">
        <v>1</v>
      </c>
      <c r="W6970">
        <v>1</v>
      </c>
      <c r="X6970">
        <v>1</v>
      </c>
      <c r="Y6970">
        <v>1</v>
      </c>
      <c r="Z6970">
        <v>1</v>
      </c>
      <c r="AA6970">
        <v>1</v>
      </c>
      <c r="AB6970">
        <v>1</v>
      </c>
    </row>
    <row r="6971" spans="1:49" x14ac:dyDescent="0.25">
      <c r="A6971" t="str">
        <f>"6967"</f>
        <v>6967</v>
      </c>
      <c r="B6971" t="str">
        <f t="shared" si="404"/>
        <v>1</v>
      </c>
      <c r="C6971" t="str">
        <f t="shared" si="405"/>
        <v>305</v>
      </c>
      <c r="D6971" t="str">
        <f>"4"</f>
        <v>4</v>
      </c>
      <c r="E6971" t="str">
        <f>"1-305-4"</f>
        <v>1-305-4</v>
      </c>
      <c r="F6971" t="s">
        <v>83</v>
      </c>
      <c r="G6971" t="s">
        <v>84</v>
      </c>
      <c r="H6971" t="s">
        <v>92</v>
      </c>
      <c r="I6971">
        <v>1</v>
      </c>
      <c r="J6971">
        <v>1</v>
      </c>
      <c r="N6971">
        <v>1</v>
      </c>
      <c r="O6971">
        <v>1</v>
      </c>
      <c r="P6971">
        <v>1</v>
      </c>
      <c r="Q6971">
        <v>1</v>
      </c>
      <c r="R6971">
        <v>1</v>
      </c>
      <c r="S6971">
        <v>1</v>
      </c>
      <c r="T6971">
        <v>1</v>
      </c>
      <c r="W6971">
        <v>1</v>
      </c>
      <c r="X6971">
        <v>1</v>
      </c>
      <c r="Y6971">
        <v>1</v>
      </c>
      <c r="Z6971">
        <v>1</v>
      </c>
      <c r="AA6971">
        <v>1</v>
      </c>
      <c r="AB6971">
        <v>1</v>
      </c>
    </row>
    <row r="6972" spans="1:49" x14ac:dyDescent="0.25">
      <c r="A6972" t="str">
        <f>"6968"</f>
        <v>6968</v>
      </c>
      <c r="B6972" t="str">
        <f t="shared" si="404"/>
        <v>1</v>
      </c>
      <c r="C6972" t="str">
        <f t="shared" si="405"/>
        <v>305</v>
      </c>
      <c r="D6972" t="str">
        <f>"18"</f>
        <v>18</v>
      </c>
      <c r="E6972" t="str">
        <f>"1-305-18"</f>
        <v>1-305-18</v>
      </c>
      <c r="F6972" t="s">
        <v>83</v>
      </c>
      <c r="G6972" t="s">
        <v>84</v>
      </c>
      <c r="H6972" t="s">
        <v>92</v>
      </c>
      <c r="I6972">
        <v>1</v>
      </c>
      <c r="J6972">
        <v>1</v>
      </c>
      <c r="N6972">
        <v>1</v>
      </c>
      <c r="O6972">
        <v>1</v>
      </c>
      <c r="P6972">
        <v>1</v>
      </c>
      <c r="Q6972">
        <v>1</v>
      </c>
      <c r="R6972">
        <v>1</v>
      </c>
      <c r="S6972">
        <v>1</v>
      </c>
      <c r="T6972">
        <v>1</v>
      </c>
      <c r="W6972">
        <v>1</v>
      </c>
      <c r="X6972">
        <v>1</v>
      </c>
      <c r="Y6972">
        <v>1</v>
      </c>
      <c r="Z6972">
        <v>1</v>
      </c>
      <c r="AA6972">
        <v>1</v>
      </c>
      <c r="AB6972">
        <v>1</v>
      </c>
    </row>
    <row r="6973" spans="1:49" x14ac:dyDescent="0.25">
      <c r="A6973" t="str">
        <f>"6969"</f>
        <v>6969</v>
      </c>
      <c r="B6973" t="str">
        <f t="shared" si="404"/>
        <v>1</v>
      </c>
      <c r="C6973" t="str">
        <f t="shared" si="405"/>
        <v>305</v>
      </c>
      <c r="D6973" t="str">
        <f>"11"</f>
        <v>11</v>
      </c>
      <c r="E6973" t="str">
        <f>"1-305-11"</f>
        <v>1-305-11</v>
      </c>
      <c r="F6973" t="s">
        <v>83</v>
      </c>
      <c r="G6973" t="s">
        <v>84</v>
      </c>
      <c r="H6973" t="s">
        <v>92</v>
      </c>
      <c r="I6973">
        <v>1</v>
      </c>
      <c r="J6973">
        <v>1</v>
      </c>
      <c r="N6973">
        <v>1</v>
      </c>
      <c r="O6973">
        <v>1</v>
      </c>
      <c r="P6973">
        <v>1</v>
      </c>
      <c r="Q6973">
        <v>1</v>
      </c>
      <c r="R6973">
        <v>1</v>
      </c>
      <c r="S6973">
        <v>1</v>
      </c>
      <c r="T6973">
        <v>1</v>
      </c>
      <c r="W6973">
        <v>1</v>
      </c>
      <c r="X6973">
        <v>1</v>
      </c>
      <c r="Y6973">
        <v>1</v>
      </c>
      <c r="Z6973">
        <v>1</v>
      </c>
      <c r="AA6973">
        <v>1</v>
      </c>
      <c r="AB6973">
        <v>1</v>
      </c>
    </row>
    <row r="6974" spans="1:49" x14ac:dyDescent="0.25">
      <c r="A6974" t="str">
        <f>"6970"</f>
        <v>6970</v>
      </c>
      <c r="B6974" t="str">
        <f t="shared" si="404"/>
        <v>1</v>
      </c>
      <c r="C6974" t="str">
        <f t="shared" si="405"/>
        <v>305</v>
      </c>
      <c r="D6974" t="str">
        <f>"3"</f>
        <v>3</v>
      </c>
      <c r="E6974" t="str">
        <f>"1-305-3"</f>
        <v>1-305-3</v>
      </c>
      <c r="F6974" t="s">
        <v>83</v>
      </c>
      <c r="G6974" t="s">
        <v>84</v>
      </c>
      <c r="H6974" t="s">
        <v>92</v>
      </c>
      <c r="I6974">
        <v>1</v>
      </c>
      <c r="J6974">
        <v>1</v>
      </c>
      <c r="N6974">
        <v>1</v>
      </c>
      <c r="O6974">
        <v>1</v>
      </c>
      <c r="P6974">
        <v>1</v>
      </c>
      <c r="Q6974">
        <v>1</v>
      </c>
      <c r="R6974">
        <v>1</v>
      </c>
      <c r="S6974">
        <v>1</v>
      </c>
      <c r="T6974">
        <v>1</v>
      </c>
      <c r="W6974">
        <v>1</v>
      </c>
      <c r="X6974">
        <v>1</v>
      </c>
      <c r="Y6974">
        <v>1</v>
      </c>
      <c r="Z6974">
        <v>1</v>
      </c>
      <c r="AA6974">
        <v>1</v>
      </c>
      <c r="AB6974">
        <v>1</v>
      </c>
    </row>
    <row r="6975" spans="1:49" x14ac:dyDescent="0.25">
      <c r="A6975" t="str">
        <f>"6971"</f>
        <v>6971</v>
      </c>
      <c r="B6975" t="str">
        <f t="shared" si="404"/>
        <v>1</v>
      </c>
      <c r="C6975" t="str">
        <f t="shared" si="405"/>
        <v>305</v>
      </c>
      <c r="D6975" t="str">
        <f>"12"</f>
        <v>12</v>
      </c>
      <c r="E6975" t="str">
        <f>"1-305-12"</f>
        <v>1-305-12</v>
      </c>
      <c r="F6975" t="s">
        <v>83</v>
      </c>
      <c r="G6975" t="s">
        <v>84</v>
      </c>
      <c r="H6975" t="s">
        <v>92</v>
      </c>
      <c r="I6975">
        <v>1</v>
      </c>
      <c r="J6975">
        <v>1</v>
      </c>
      <c r="N6975">
        <v>1</v>
      </c>
      <c r="O6975">
        <v>1</v>
      </c>
      <c r="P6975">
        <v>1</v>
      </c>
      <c r="Q6975">
        <v>1</v>
      </c>
      <c r="R6975">
        <v>1</v>
      </c>
      <c r="S6975">
        <v>1</v>
      </c>
      <c r="T6975">
        <v>1</v>
      </c>
      <c r="W6975">
        <v>1</v>
      </c>
      <c r="X6975">
        <v>1</v>
      </c>
      <c r="Y6975">
        <v>1</v>
      </c>
      <c r="Z6975">
        <v>1</v>
      </c>
      <c r="AA6975">
        <v>1</v>
      </c>
      <c r="AB6975">
        <v>1</v>
      </c>
    </row>
    <row r="6976" spans="1:49" x14ac:dyDescent="0.25">
      <c r="A6976" t="str">
        <f>"6972"</f>
        <v>6972</v>
      </c>
      <c r="B6976" t="str">
        <f t="shared" si="404"/>
        <v>1</v>
      </c>
      <c r="C6976" t="str">
        <f t="shared" si="405"/>
        <v>305</v>
      </c>
      <c r="D6976" t="str">
        <f>"2"</f>
        <v>2</v>
      </c>
      <c r="E6976" t="str">
        <f>"1-305-2"</f>
        <v>1-305-2</v>
      </c>
      <c r="F6976" t="s">
        <v>83</v>
      </c>
      <c r="G6976" t="s">
        <v>84</v>
      </c>
      <c r="H6976" t="s">
        <v>92</v>
      </c>
      <c r="I6976">
        <v>1</v>
      </c>
      <c r="J6976">
        <v>1</v>
      </c>
      <c r="N6976">
        <v>1</v>
      </c>
      <c r="O6976">
        <v>1</v>
      </c>
      <c r="P6976">
        <v>1</v>
      </c>
      <c r="Q6976">
        <v>1</v>
      </c>
      <c r="R6976">
        <v>1</v>
      </c>
      <c r="S6976">
        <v>1</v>
      </c>
      <c r="T6976">
        <v>1</v>
      </c>
      <c r="W6976">
        <v>1</v>
      </c>
      <c r="X6976">
        <v>1</v>
      </c>
      <c r="Y6976">
        <v>1</v>
      </c>
      <c r="Z6976">
        <v>1</v>
      </c>
      <c r="AA6976">
        <v>1</v>
      </c>
      <c r="AB6976">
        <v>1</v>
      </c>
    </row>
    <row r="6977" spans="1:28" x14ac:dyDescent="0.25">
      <c r="A6977" t="str">
        <f>"6973"</f>
        <v>6973</v>
      </c>
      <c r="B6977" t="str">
        <f t="shared" si="404"/>
        <v>1</v>
      </c>
      <c r="C6977" t="str">
        <f t="shared" si="405"/>
        <v>305</v>
      </c>
      <c r="D6977" t="str">
        <f>"14"</f>
        <v>14</v>
      </c>
      <c r="E6977" t="str">
        <f>"1-305-14"</f>
        <v>1-305-14</v>
      </c>
      <c r="F6977" t="s">
        <v>83</v>
      </c>
      <c r="G6977" t="s">
        <v>84</v>
      </c>
      <c r="H6977" t="s">
        <v>92</v>
      </c>
      <c r="I6977">
        <v>1</v>
      </c>
      <c r="J6977">
        <v>1</v>
      </c>
      <c r="N6977">
        <v>1</v>
      </c>
      <c r="O6977">
        <v>1</v>
      </c>
      <c r="P6977">
        <v>1</v>
      </c>
      <c r="Q6977">
        <v>1</v>
      </c>
      <c r="R6977">
        <v>1</v>
      </c>
      <c r="S6977">
        <v>1</v>
      </c>
      <c r="T6977">
        <v>1</v>
      </c>
      <c r="W6977">
        <v>1</v>
      </c>
      <c r="X6977">
        <v>1</v>
      </c>
      <c r="Y6977">
        <v>1</v>
      </c>
      <c r="Z6977">
        <v>1</v>
      </c>
      <c r="AA6977">
        <v>1</v>
      </c>
      <c r="AB6977">
        <v>1</v>
      </c>
    </row>
    <row r="6978" spans="1:28" x14ac:dyDescent="0.25">
      <c r="A6978" t="str">
        <f>"6974"</f>
        <v>6974</v>
      </c>
      <c r="B6978" t="str">
        <f t="shared" si="404"/>
        <v>1</v>
      </c>
      <c r="C6978" t="str">
        <f t="shared" si="405"/>
        <v>305</v>
      </c>
      <c r="D6978" t="str">
        <f>"7"</f>
        <v>7</v>
      </c>
      <c r="E6978" t="str">
        <f>"1-305-7"</f>
        <v>1-305-7</v>
      </c>
      <c r="F6978" t="s">
        <v>83</v>
      </c>
      <c r="G6978" t="s">
        <v>84</v>
      </c>
      <c r="H6978" t="s">
        <v>92</v>
      </c>
      <c r="I6978">
        <v>1</v>
      </c>
      <c r="J6978">
        <v>1</v>
      </c>
      <c r="N6978">
        <v>1</v>
      </c>
      <c r="O6978">
        <v>1</v>
      </c>
      <c r="P6978">
        <v>1</v>
      </c>
      <c r="Q6978">
        <v>1</v>
      </c>
      <c r="R6978">
        <v>1</v>
      </c>
      <c r="S6978">
        <v>1</v>
      </c>
      <c r="T6978">
        <v>1</v>
      </c>
      <c r="W6978">
        <v>1</v>
      </c>
      <c r="X6978">
        <v>1</v>
      </c>
      <c r="Y6978">
        <v>1</v>
      </c>
      <c r="Z6978">
        <v>1</v>
      </c>
      <c r="AA6978">
        <v>1</v>
      </c>
      <c r="AB6978">
        <v>1</v>
      </c>
    </row>
    <row r="6979" spans="1:28" x14ac:dyDescent="0.25">
      <c r="A6979" t="str">
        <f>"6975"</f>
        <v>6975</v>
      </c>
      <c r="B6979" t="str">
        <f t="shared" si="404"/>
        <v>1</v>
      </c>
      <c r="C6979" t="str">
        <f t="shared" si="405"/>
        <v>305</v>
      </c>
      <c r="D6979" t="str">
        <f>"15"</f>
        <v>15</v>
      </c>
      <c r="E6979" t="str">
        <f>"1-305-15"</f>
        <v>1-305-15</v>
      </c>
      <c r="F6979" t="s">
        <v>83</v>
      </c>
      <c r="G6979" t="s">
        <v>84</v>
      </c>
      <c r="H6979" t="s">
        <v>92</v>
      </c>
      <c r="I6979">
        <v>1</v>
      </c>
      <c r="J6979">
        <v>1</v>
      </c>
      <c r="N6979">
        <v>1</v>
      </c>
      <c r="O6979">
        <v>1</v>
      </c>
      <c r="P6979">
        <v>1</v>
      </c>
      <c r="Q6979">
        <v>1</v>
      </c>
      <c r="R6979">
        <v>1</v>
      </c>
      <c r="S6979">
        <v>1</v>
      </c>
      <c r="T6979">
        <v>1</v>
      </c>
      <c r="W6979">
        <v>1</v>
      </c>
      <c r="X6979">
        <v>1</v>
      </c>
      <c r="Y6979">
        <v>1</v>
      </c>
      <c r="Z6979">
        <v>1</v>
      </c>
      <c r="AA6979">
        <v>1</v>
      </c>
      <c r="AB6979">
        <v>1</v>
      </c>
    </row>
    <row r="6980" spans="1:28" x14ac:dyDescent="0.25">
      <c r="A6980" t="str">
        <f>"6976"</f>
        <v>6976</v>
      </c>
      <c r="B6980" t="str">
        <f t="shared" si="404"/>
        <v>1</v>
      </c>
      <c r="C6980" t="str">
        <f t="shared" si="405"/>
        <v>305</v>
      </c>
      <c r="D6980" t="str">
        <f>"6"</f>
        <v>6</v>
      </c>
      <c r="E6980" t="str">
        <f>"1-305-6"</f>
        <v>1-305-6</v>
      </c>
      <c r="F6980" t="s">
        <v>83</v>
      </c>
      <c r="G6980" t="s">
        <v>84</v>
      </c>
      <c r="H6980" t="s">
        <v>92</v>
      </c>
      <c r="I6980">
        <v>0</v>
      </c>
      <c r="J6980">
        <v>1</v>
      </c>
      <c r="N6980">
        <v>1</v>
      </c>
      <c r="O6980">
        <v>1</v>
      </c>
      <c r="P6980">
        <v>1</v>
      </c>
      <c r="Q6980">
        <v>1</v>
      </c>
      <c r="R6980">
        <v>1</v>
      </c>
      <c r="S6980">
        <v>1</v>
      </c>
      <c r="T6980">
        <v>1</v>
      </c>
      <c r="W6980">
        <v>1</v>
      </c>
      <c r="X6980">
        <v>1</v>
      </c>
      <c r="Y6980">
        <v>1</v>
      </c>
      <c r="Z6980">
        <v>1</v>
      </c>
      <c r="AA6980">
        <v>1</v>
      </c>
      <c r="AB6980">
        <v>1</v>
      </c>
    </row>
    <row r="6981" spans="1:28" x14ac:dyDescent="0.25">
      <c r="A6981" t="str">
        <f>"6977"</f>
        <v>6977</v>
      </c>
      <c r="B6981" t="str">
        <f t="shared" si="404"/>
        <v>1</v>
      </c>
      <c r="C6981" t="str">
        <f t="shared" ref="C6981:C7005" si="406">"306"</f>
        <v>306</v>
      </c>
      <c r="D6981" t="str">
        <f>"21"</f>
        <v>21</v>
      </c>
      <c r="E6981" t="str">
        <f>"1-306-21"</f>
        <v>1-306-21</v>
      </c>
      <c r="F6981" t="s">
        <v>83</v>
      </c>
      <c r="G6981" t="s">
        <v>84</v>
      </c>
      <c r="H6981" t="s">
        <v>92</v>
      </c>
      <c r="I6981">
        <v>1</v>
      </c>
      <c r="J6981">
        <v>1</v>
      </c>
      <c r="N6981">
        <v>1</v>
      </c>
      <c r="O6981">
        <v>1</v>
      </c>
      <c r="P6981">
        <v>1</v>
      </c>
      <c r="Q6981">
        <v>1</v>
      </c>
      <c r="R6981">
        <v>1</v>
      </c>
      <c r="S6981">
        <v>1</v>
      </c>
      <c r="T6981">
        <v>1</v>
      </c>
      <c r="W6981">
        <v>1</v>
      </c>
      <c r="X6981">
        <v>1</v>
      </c>
      <c r="Y6981">
        <v>1</v>
      </c>
      <c r="Z6981">
        <v>1</v>
      </c>
      <c r="AA6981">
        <v>1</v>
      </c>
      <c r="AB6981">
        <v>1</v>
      </c>
    </row>
    <row r="6982" spans="1:28" x14ac:dyDescent="0.25">
      <c r="A6982" t="str">
        <f>"6978"</f>
        <v>6978</v>
      </c>
      <c r="B6982" t="str">
        <f t="shared" si="404"/>
        <v>1</v>
      </c>
      <c r="C6982" t="str">
        <f t="shared" si="406"/>
        <v>306</v>
      </c>
      <c r="D6982" t="str">
        <f>"20"</f>
        <v>20</v>
      </c>
      <c r="E6982" t="str">
        <f>"1-306-20"</f>
        <v>1-306-20</v>
      </c>
      <c r="F6982" t="s">
        <v>83</v>
      </c>
      <c r="G6982" t="s">
        <v>88</v>
      </c>
      <c r="H6982" t="s">
        <v>95</v>
      </c>
      <c r="I6982">
        <v>1</v>
      </c>
      <c r="K6982">
        <v>0</v>
      </c>
      <c r="L6982">
        <v>0</v>
      </c>
      <c r="M6982">
        <v>1</v>
      </c>
      <c r="N6982">
        <v>1</v>
      </c>
      <c r="O6982">
        <v>1</v>
      </c>
      <c r="P6982">
        <v>1</v>
      </c>
      <c r="Q6982">
        <v>1</v>
      </c>
      <c r="R6982">
        <v>1</v>
      </c>
      <c r="S6982">
        <v>1</v>
      </c>
      <c r="T6982">
        <v>1</v>
      </c>
      <c r="W6982">
        <v>1</v>
      </c>
      <c r="X6982">
        <v>1</v>
      </c>
      <c r="Y6982">
        <v>1</v>
      </c>
      <c r="Z6982">
        <v>1</v>
      </c>
      <c r="AA6982">
        <v>1</v>
      </c>
      <c r="AB6982">
        <v>0</v>
      </c>
    </row>
    <row r="6983" spans="1:28" x14ac:dyDescent="0.25">
      <c r="A6983" t="str">
        <f>"6979"</f>
        <v>6979</v>
      </c>
      <c r="B6983" t="str">
        <f t="shared" si="404"/>
        <v>1</v>
      </c>
      <c r="C6983" t="str">
        <f t="shared" si="406"/>
        <v>306</v>
      </c>
      <c r="D6983" t="str">
        <f>"13"</f>
        <v>13</v>
      </c>
      <c r="E6983" t="str">
        <f>"1-306-13"</f>
        <v>1-306-13</v>
      </c>
      <c r="F6983" t="s">
        <v>83</v>
      </c>
      <c r="G6983" t="s">
        <v>84</v>
      </c>
      <c r="H6983" t="s">
        <v>92</v>
      </c>
      <c r="I6983">
        <v>1</v>
      </c>
      <c r="J6983">
        <v>1</v>
      </c>
      <c r="N6983">
        <v>1</v>
      </c>
      <c r="O6983">
        <v>1</v>
      </c>
      <c r="P6983">
        <v>1</v>
      </c>
      <c r="Q6983">
        <v>1</v>
      </c>
      <c r="R6983">
        <v>1</v>
      </c>
      <c r="S6983">
        <v>1</v>
      </c>
      <c r="T6983">
        <v>1</v>
      </c>
      <c r="W6983">
        <v>1</v>
      </c>
      <c r="X6983">
        <v>1</v>
      </c>
      <c r="Y6983">
        <v>1</v>
      </c>
      <c r="Z6983">
        <v>1</v>
      </c>
      <c r="AA6983">
        <v>1</v>
      </c>
      <c r="AB6983">
        <v>1</v>
      </c>
    </row>
    <row r="6984" spans="1:28" x14ac:dyDescent="0.25">
      <c r="A6984" t="str">
        <f>"6980"</f>
        <v>6980</v>
      </c>
      <c r="B6984" t="str">
        <f t="shared" si="404"/>
        <v>1</v>
      </c>
      <c r="C6984" t="str">
        <f t="shared" si="406"/>
        <v>306</v>
      </c>
      <c r="D6984" t="str">
        <f>"8"</f>
        <v>8</v>
      </c>
      <c r="E6984" t="str">
        <f>"1-306-8"</f>
        <v>1-306-8</v>
      </c>
      <c r="F6984" t="s">
        <v>83</v>
      </c>
      <c r="G6984" t="s">
        <v>84</v>
      </c>
      <c r="H6984" t="s">
        <v>92</v>
      </c>
      <c r="I6984">
        <v>1</v>
      </c>
      <c r="J6984">
        <v>1</v>
      </c>
      <c r="N6984">
        <v>1</v>
      </c>
      <c r="O6984">
        <v>1</v>
      </c>
      <c r="P6984">
        <v>1</v>
      </c>
      <c r="Q6984">
        <v>1</v>
      </c>
      <c r="R6984">
        <v>1</v>
      </c>
      <c r="S6984">
        <v>1</v>
      </c>
      <c r="T6984">
        <v>1</v>
      </c>
      <c r="W6984">
        <v>1</v>
      </c>
      <c r="X6984">
        <v>1</v>
      </c>
      <c r="Y6984">
        <v>1</v>
      </c>
      <c r="Z6984">
        <v>1</v>
      </c>
      <c r="AA6984">
        <v>1</v>
      </c>
      <c r="AB6984">
        <v>1</v>
      </c>
    </row>
    <row r="6985" spans="1:28" x14ac:dyDescent="0.25">
      <c r="A6985" t="str">
        <f>"6981"</f>
        <v>6981</v>
      </c>
      <c r="B6985" t="str">
        <f t="shared" si="404"/>
        <v>1</v>
      </c>
      <c r="C6985" t="str">
        <f t="shared" si="406"/>
        <v>306</v>
      </c>
      <c r="D6985" t="str">
        <f>"2"</f>
        <v>2</v>
      </c>
      <c r="E6985" t="str">
        <f>"1-306-2"</f>
        <v>1-306-2</v>
      </c>
      <c r="F6985" t="s">
        <v>83</v>
      </c>
      <c r="G6985" t="s">
        <v>84</v>
      </c>
      <c r="H6985" t="s">
        <v>92</v>
      </c>
      <c r="I6985">
        <v>1</v>
      </c>
      <c r="J6985">
        <v>1</v>
      </c>
      <c r="N6985">
        <v>1</v>
      </c>
      <c r="O6985">
        <v>1</v>
      </c>
      <c r="P6985">
        <v>1</v>
      </c>
      <c r="Q6985">
        <v>1</v>
      </c>
      <c r="R6985">
        <v>1</v>
      </c>
      <c r="S6985">
        <v>1</v>
      </c>
      <c r="T6985">
        <v>1</v>
      </c>
      <c r="W6985">
        <v>1</v>
      </c>
      <c r="X6985">
        <v>1</v>
      </c>
      <c r="Y6985">
        <v>1</v>
      </c>
      <c r="Z6985">
        <v>1</v>
      </c>
      <c r="AA6985">
        <v>1</v>
      </c>
      <c r="AB6985">
        <v>1</v>
      </c>
    </row>
    <row r="6986" spans="1:28" x14ac:dyDescent="0.25">
      <c r="A6986" t="str">
        <f>"6982"</f>
        <v>6982</v>
      </c>
      <c r="B6986" t="str">
        <f t="shared" si="404"/>
        <v>1</v>
      </c>
      <c r="C6986" t="str">
        <f t="shared" si="406"/>
        <v>306</v>
      </c>
      <c r="D6986" t="str">
        <f>"23"</f>
        <v>23</v>
      </c>
      <c r="E6986" t="str">
        <f>"1-306-23"</f>
        <v>1-306-23</v>
      </c>
      <c r="F6986" t="s">
        <v>83</v>
      </c>
      <c r="G6986" t="s">
        <v>88</v>
      </c>
      <c r="H6986" t="s">
        <v>95</v>
      </c>
      <c r="I6986">
        <v>1</v>
      </c>
      <c r="K6986">
        <v>1</v>
      </c>
      <c r="L6986">
        <v>0</v>
      </c>
      <c r="M6986">
        <v>0</v>
      </c>
      <c r="N6986">
        <v>1</v>
      </c>
      <c r="O6986">
        <v>1</v>
      </c>
      <c r="P6986">
        <v>1</v>
      </c>
      <c r="Q6986">
        <v>1</v>
      </c>
      <c r="R6986">
        <v>1</v>
      </c>
      <c r="S6986">
        <v>1</v>
      </c>
      <c r="T6986">
        <v>1</v>
      </c>
      <c r="W6986">
        <v>1</v>
      </c>
      <c r="X6986">
        <v>1</v>
      </c>
      <c r="Y6986">
        <v>1</v>
      </c>
      <c r="Z6986">
        <v>1</v>
      </c>
      <c r="AA6986">
        <v>1</v>
      </c>
      <c r="AB6986">
        <v>1</v>
      </c>
    </row>
    <row r="6987" spans="1:28" x14ac:dyDescent="0.25">
      <c r="A6987" t="str">
        <f>"6983"</f>
        <v>6983</v>
      </c>
      <c r="B6987" t="str">
        <f t="shared" si="404"/>
        <v>1</v>
      </c>
      <c r="C6987" t="str">
        <f t="shared" si="406"/>
        <v>306</v>
      </c>
      <c r="D6987" t="str">
        <f>"22"</f>
        <v>22</v>
      </c>
      <c r="E6987" t="str">
        <f>"1-306-22"</f>
        <v>1-306-22</v>
      </c>
      <c r="F6987" t="s">
        <v>83</v>
      </c>
      <c r="G6987" t="s">
        <v>88</v>
      </c>
      <c r="H6987" t="s">
        <v>95</v>
      </c>
      <c r="I6987">
        <v>1</v>
      </c>
      <c r="K6987">
        <v>1</v>
      </c>
      <c r="L6987">
        <v>0</v>
      </c>
      <c r="M6987">
        <v>0</v>
      </c>
      <c r="N6987">
        <v>1</v>
      </c>
      <c r="O6987">
        <v>1</v>
      </c>
      <c r="P6987">
        <v>1</v>
      </c>
      <c r="Q6987">
        <v>1</v>
      </c>
      <c r="R6987">
        <v>1</v>
      </c>
      <c r="S6987">
        <v>1</v>
      </c>
      <c r="T6987">
        <v>1</v>
      </c>
      <c r="W6987">
        <v>1</v>
      </c>
      <c r="X6987">
        <v>1</v>
      </c>
      <c r="Y6987">
        <v>1</v>
      </c>
      <c r="Z6987">
        <v>1</v>
      </c>
      <c r="AA6987">
        <v>1</v>
      </c>
      <c r="AB6987">
        <v>1</v>
      </c>
    </row>
    <row r="6988" spans="1:28" x14ac:dyDescent="0.25">
      <c r="A6988" t="str">
        <f>"6984"</f>
        <v>6984</v>
      </c>
      <c r="B6988" t="str">
        <f t="shared" si="404"/>
        <v>1</v>
      </c>
      <c r="C6988" t="str">
        <f t="shared" si="406"/>
        <v>306</v>
      </c>
      <c r="D6988" t="str">
        <f>"14"</f>
        <v>14</v>
      </c>
      <c r="E6988" t="str">
        <f>"1-306-14"</f>
        <v>1-306-14</v>
      </c>
      <c r="F6988" t="s">
        <v>83</v>
      </c>
      <c r="G6988" t="s">
        <v>84</v>
      </c>
      <c r="H6988" t="s">
        <v>92</v>
      </c>
      <c r="I6988">
        <v>1</v>
      </c>
      <c r="J6988">
        <v>1</v>
      </c>
      <c r="N6988">
        <v>1</v>
      </c>
      <c r="O6988">
        <v>1</v>
      </c>
      <c r="P6988">
        <v>1</v>
      </c>
      <c r="Q6988">
        <v>1</v>
      </c>
      <c r="R6988">
        <v>1</v>
      </c>
      <c r="S6988">
        <v>1</v>
      </c>
      <c r="T6988">
        <v>1</v>
      </c>
      <c r="W6988">
        <v>1</v>
      </c>
      <c r="X6988">
        <v>1</v>
      </c>
      <c r="Y6988">
        <v>1</v>
      </c>
      <c r="Z6988">
        <v>1</v>
      </c>
      <c r="AA6988">
        <v>1</v>
      </c>
      <c r="AB6988">
        <v>1</v>
      </c>
    </row>
    <row r="6989" spans="1:28" x14ac:dyDescent="0.25">
      <c r="A6989" t="str">
        <f>"6985"</f>
        <v>6985</v>
      </c>
      <c r="B6989" t="str">
        <f t="shared" si="404"/>
        <v>1</v>
      </c>
      <c r="C6989" t="str">
        <f t="shared" si="406"/>
        <v>306</v>
      </c>
      <c r="D6989" t="str">
        <f>"9"</f>
        <v>9</v>
      </c>
      <c r="E6989" t="str">
        <f>"1-306-9"</f>
        <v>1-306-9</v>
      </c>
      <c r="F6989" t="s">
        <v>83</v>
      </c>
      <c r="G6989" t="s">
        <v>84</v>
      </c>
      <c r="H6989" t="s">
        <v>92</v>
      </c>
      <c r="I6989">
        <v>1</v>
      </c>
      <c r="J6989">
        <v>1</v>
      </c>
      <c r="N6989">
        <v>1</v>
      </c>
      <c r="O6989">
        <v>1</v>
      </c>
      <c r="P6989">
        <v>1</v>
      </c>
      <c r="Q6989">
        <v>1</v>
      </c>
      <c r="R6989">
        <v>1</v>
      </c>
      <c r="S6989">
        <v>1</v>
      </c>
      <c r="T6989">
        <v>1</v>
      </c>
      <c r="W6989">
        <v>1</v>
      </c>
      <c r="X6989">
        <v>1</v>
      </c>
      <c r="Y6989">
        <v>1</v>
      </c>
      <c r="Z6989">
        <v>1</v>
      </c>
      <c r="AA6989">
        <v>1</v>
      </c>
      <c r="AB6989">
        <v>1</v>
      </c>
    </row>
    <row r="6990" spans="1:28" x14ac:dyDescent="0.25">
      <c r="A6990" t="str">
        <f>"6986"</f>
        <v>6986</v>
      </c>
      <c r="B6990" t="str">
        <f t="shared" si="404"/>
        <v>1</v>
      </c>
      <c r="C6990" t="str">
        <f t="shared" si="406"/>
        <v>306</v>
      </c>
      <c r="D6990" t="str">
        <f>"5"</f>
        <v>5</v>
      </c>
      <c r="E6990" t="str">
        <f>"1-306-5"</f>
        <v>1-306-5</v>
      </c>
      <c r="F6990" t="s">
        <v>83</v>
      </c>
      <c r="G6990" t="s">
        <v>84</v>
      </c>
      <c r="H6990" t="s">
        <v>92</v>
      </c>
      <c r="I6990">
        <v>1</v>
      </c>
      <c r="J6990">
        <v>1</v>
      </c>
      <c r="N6990">
        <v>1</v>
      </c>
      <c r="O6990">
        <v>1</v>
      </c>
      <c r="P6990">
        <v>1</v>
      </c>
      <c r="Q6990">
        <v>1</v>
      </c>
      <c r="R6990">
        <v>1</v>
      </c>
      <c r="S6990">
        <v>1</v>
      </c>
      <c r="T6990">
        <v>1</v>
      </c>
      <c r="W6990">
        <v>1</v>
      </c>
      <c r="X6990">
        <v>1</v>
      </c>
      <c r="Y6990">
        <v>1</v>
      </c>
      <c r="Z6990">
        <v>1</v>
      </c>
      <c r="AA6990">
        <v>1</v>
      </c>
      <c r="AB6990">
        <v>1</v>
      </c>
    </row>
    <row r="6991" spans="1:28" x14ac:dyDescent="0.25">
      <c r="A6991" t="str">
        <f>"6987"</f>
        <v>6987</v>
      </c>
      <c r="B6991" t="str">
        <f t="shared" si="404"/>
        <v>1</v>
      </c>
      <c r="C6991" t="str">
        <f t="shared" si="406"/>
        <v>306</v>
      </c>
      <c r="D6991" t="str">
        <f>"25"</f>
        <v>25</v>
      </c>
      <c r="E6991" t="str">
        <f>"1-306-25"</f>
        <v>1-306-25</v>
      </c>
      <c r="F6991" t="s">
        <v>83</v>
      </c>
      <c r="G6991" t="s">
        <v>84</v>
      </c>
      <c r="H6991" t="s">
        <v>92</v>
      </c>
      <c r="I6991">
        <v>1</v>
      </c>
      <c r="J6991">
        <v>1</v>
      </c>
      <c r="N6991">
        <v>1</v>
      </c>
      <c r="O6991">
        <v>1</v>
      </c>
      <c r="P6991">
        <v>1</v>
      </c>
      <c r="Q6991">
        <v>1</v>
      </c>
      <c r="R6991">
        <v>1</v>
      </c>
      <c r="S6991">
        <v>1</v>
      </c>
      <c r="T6991">
        <v>1</v>
      </c>
      <c r="W6991">
        <v>1</v>
      </c>
      <c r="X6991">
        <v>1</v>
      </c>
      <c r="Y6991">
        <v>1</v>
      </c>
      <c r="Z6991">
        <v>1</v>
      </c>
      <c r="AA6991">
        <v>1</v>
      </c>
      <c r="AB6991">
        <v>1</v>
      </c>
    </row>
    <row r="6992" spans="1:28" x14ac:dyDescent="0.25">
      <c r="A6992" t="str">
        <f>"6988"</f>
        <v>6988</v>
      </c>
      <c r="B6992" t="str">
        <f t="shared" si="404"/>
        <v>1</v>
      </c>
      <c r="C6992" t="str">
        <f t="shared" si="406"/>
        <v>306</v>
      </c>
      <c r="D6992" t="str">
        <f>"24"</f>
        <v>24</v>
      </c>
      <c r="E6992" t="str">
        <f>"1-306-24"</f>
        <v>1-306-24</v>
      </c>
      <c r="F6992" t="s">
        <v>83</v>
      </c>
      <c r="G6992" t="s">
        <v>84</v>
      </c>
      <c r="H6992" t="s">
        <v>92</v>
      </c>
      <c r="I6992">
        <v>1</v>
      </c>
      <c r="J6992">
        <v>1</v>
      </c>
      <c r="N6992">
        <v>1</v>
      </c>
      <c r="O6992">
        <v>1</v>
      </c>
      <c r="P6992">
        <v>1</v>
      </c>
      <c r="Q6992">
        <v>1</v>
      </c>
      <c r="R6992">
        <v>1</v>
      </c>
      <c r="S6992">
        <v>1</v>
      </c>
      <c r="T6992">
        <v>1</v>
      </c>
      <c r="W6992">
        <v>1</v>
      </c>
      <c r="X6992">
        <v>1</v>
      </c>
      <c r="Y6992">
        <v>1</v>
      </c>
      <c r="Z6992">
        <v>1</v>
      </c>
      <c r="AA6992">
        <v>1</v>
      </c>
      <c r="AB6992">
        <v>1</v>
      </c>
    </row>
    <row r="6993" spans="1:49" x14ac:dyDescent="0.25">
      <c r="A6993" t="str">
        <f>"6989"</f>
        <v>6989</v>
      </c>
      <c r="B6993" t="str">
        <f t="shared" si="404"/>
        <v>1</v>
      </c>
      <c r="C6993" t="str">
        <f t="shared" si="406"/>
        <v>306</v>
      </c>
      <c r="D6993" t="str">
        <f>"15"</f>
        <v>15</v>
      </c>
      <c r="E6993" t="str">
        <f>"1-306-15"</f>
        <v>1-306-15</v>
      </c>
      <c r="F6993" t="s">
        <v>83</v>
      </c>
      <c r="G6993" t="s">
        <v>84</v>
      </c>
      <c r="H6993" t="s">
        <v>92</v>
      </c>
      <c r="I6993">
        <v>1</v>
      </c>
      <c r="J6993">
        <v>1</v>
      </c>
      <c r="N6993">
        <v>1</v>
      </c>
      <c r="O6993">
        <v>1</v>
      </c>
      <c r="P6993">
        <v>1</v>
      </c>
      <c r="Q6993">
        <v>1</v>
      </c>
      <c r="R6993">
        <v>1</v>
      </c>
      <c r="S6993">
        <v>1</v>
      </c>
      <c r="T6993">
        <v>1</v>
      </c>
      <c r="W6993">
        <v>1</v>
      </c>
      <c r="X6993">
        <v>1</v>
      </c>
      <c r="Y6993">
        <v>1</v>
      </c>
      <c r="Z6993">
        <v>1</v>
      </c>
      <c r="AA6993">
        <v>1</v>
      </c>
      <c r="AB6993">
        <v>1</v>
      </c>
    </row>
    <row r="6994" spans="1:49" x14ac:dyDescent="0.25">
      <c r="A6994" t="str">
        <f>"6990"</f>
        <v>6990</v>
      </c>
      <c r="B6994" t="str">
        <f t="shared" si="404"/>
        <v>1</v>
      </c>
      <c r="C6994" t="str">
        <f t="shared" si="406"/>
        <v>306</v>
      </c>
      <c r="D6994" t="str">
        <f>"10"</f>
        <v>10</v>
      </c>
      <c r="E6994" t="str">
        <f>"1-306-10"</f>
        <v>1-306-10</v>
      </c>
      <c r="F6994" t="s">
        <v>83</v>
      </c>
      <c r="G6994" t="s">
        <v>84</v>
      </c>
      <c r="H6994" t="s">
        <v>92</v>
      </c>
      <c r="I6994">
        <v>1</v>
      </c>
      <c r="J6994">
        <v>1</v>
      </c>
      <c r="N6994">
        <v>1</v>
      </c>
      <c r="O6994">
        <v>1</v>
      </c>
      <c r="P6994">
        <v>1</v>
      </c>
      <c r="Q6994">
        <v>1</v>
      </c>
      <c r="R6994">
        <v>1</v>
      </c>
      <c r="S6994">
        <v>1</v>
      </c>
      <c r="T6994">
        <v>1</v>
      </c>
      <c r="W6994">
        <v>1</v>
      </c>
      <c r="X6994">
        <v>1</v>
      </c>
      <c r="Y6994">
        <v>1</v>
      </c>
      <c r="Z6994">
        <v>1</v>
      </c>
      <c r="AA6994">
        <v>1</v>
      </c>
      <c r="AB6994">
        <v>1</v>
      </c>
    </row>
    <row r="6995" spans="1:49" x14ac:dyDescent="0.25">
      <c r="A6995" t="str">
        <f>"6991"</f>
        <v>6991</v>
      </c>
      <c r="B6995" t="str">
        <f t="shared" si="404"/>
        <v>1</v>
      </c>
      <c r="C6995" t="str">
        <f t="shared" si="406"/>
        <v>306</v>
      </c>
      <c r="D6995" t="str">
        <f>"4"</f>
        <v>4</v>
      </c>
      <c r="E6995" t="str">
        <f>"1-306-4"</f>
        <v>1-306-4</v>
      </c>
      <c r="F6995" t="s">
        <v>83</v>
      </c>
      <c r="G6995" t="s">
        <v>84</v>
      </c>
      <c r="H6995" t="s">
        <v>92</v>
      </c>
      <c r="I6995">
        <v>0</v>
      </c>
      <c r="J6995">
        <v>0</v>
      </c>
      <c r="N6995">
        <v>1</v>
      </c>
      <c r="O6995">
        <v>0</v>
      </c>
      <c r="P6995">
        <v>0</v>
      </c>
      <c r="Q6995">
        <v>0</v>
      </c>
      <c r="R6995">
        <v>0</v>
      </c>
      <c r="S6995">
        <v>1</v>
      </c>
      <c r="T6995">
        <v>0</v>
      </c>
      <c r="W6995">
        <v>0</v>
      </c>
      <c r="X6995">
        <v>0</v>
      </c>
      <c r="Y6995">
        <v>1</v>
      </c>
      <c r="Z6995">
        <v>0</v>
      </c>
      <c r="AA6995">
        <v>0</v>
      </c>
      <c r="AB6995">
        <v>0</v>
      </c>
    </row>
    <row r="6996" spans="1:49" x14ac:dyDescent="0.25">
      <c r="A6996" t="str">
        <f>"6992"</f>
        <v>6992</v>
      </c>
      <c r="B6996" t="str">
        <f t="shared" si="404"/>
        <v>1</v>
      </c>
      <c r="C6996" t="str">
        <f t="shared" si="406"/>
        <v>306</v>
      </c>
      <c r="D6996" t="str">
        <f>"17"</f>
        <v>17</v>
      </c>
      <c r="E6996" t="str">
        <f>"1-306-17"</f>
        <v>1-306-17</v>
      </c>
      <c r="F6996" t="s">
        <v>83</v>
      </c>
      <c r="G6996" t="s">
        <v>84</v>
      </c>
      <c r="H6996" t="s">
        <v>92</v>
      </c>
      <c r="I6996">
        <v>1</v>
      </c>
      <c r="J6996">
        <v>1</v>
      </c>
      <c r="N6996">
        <v>1</v>
      </c>
      <c r="O6996">
        <v>1</v>
      </c>
      <c r="P6996">
        <v>1</v>
      </c>
      <c r="Q6996">
        <v>1</v>
      </c>
      <c r="R6996">
        <v>1</v>
      </c>
      <c r="S6996">
        <v>1</v>
      </c>
      <c r="T6996">
        <v>1</v>
      </c>
      <c r="W6996">
        <v>1</v>
      </c>
      <c r="X6996">
        <v>1</v>
      </c>
      <c r="Y6996">
        <v>1</v>
      </c>
      <c r="Z6996">
        <v>1</v>
      </c>
      <c r="AA6996">
        <v>1</v>
      </c>
      <c r="AB6996">
        <v>1</v>
      </c>
    </row>
    <row r="6997" spans="1:49" x14ac:dyDescent="0.25">
      <c r="A6997" t="str">
        <f>"6993"</f>
        <v>6993</v>
      </c>
      <c r="B6997" t="str">
        <f t="shared" si="404"/>
        <v>1</v>
      </c>
      <c r="C6997" t="str">
        <f t="shared" si="406"/>
        <v>306</v>
      </c>
      <c r="D6997" t="str">
        <f>"11"</f>
        <v>11</v>
      </c>
      <c r="E6997" t="str">
        <f>"1-306-11"</f>
        <v>1-306-11</v>
      </c>
      <c r="F6997" t="s">
        <v>83</v>
      </c>
      <c r="G6997" t="s">
        <v>84</v>
      </c>
      <c r="H6997" t="s">
        <v>92</v>
      </c>
      <c r="I6997">
        <v>1</v>
      </c>
      <c r="J6997">
        <v>1</v>
      </c>
      <c r="N6997">
        <v>1</v>
      </c>
      <c r="O6997">
        <v>1</v>
      </c>
      <c r="P6997">
        <v>1</v>
      </c>
      <c r="Q6997">
        <v>1</v>
      </c>
      <c r="R6997">
        <v>1</v>
      </c>
      <c r="S6997">
        <v>1</v>
      </c>
      <c r="T6997">
        <v>1</v>
      </c>
      <c r="W6997">
        <v>1</v>
      </c>
      <c r="X6997">
        <v>1</v>
      </c>
      <c r="Y6997">
        <v>1</v>
      </c>
      <c r="Z6997">
        <v>1</v>
      </c>
      <c r="AA6997">
        <v>1</v>
      </c>
      <c r="AB6997">
        <v>1</v>
      </c>
    </row>
    <row r="6998" spans="1:49" x14ac:dyDescent="0.25">
      <c r="A6998" t="str">
        <f>"6994"</f>
        <v>6994</v>
      </c>
      <c r="B6998" t="str">
        <f t="shared" si="404"/>
        <v>1</v>
      </c>
      <c r="C6998" t="str">
        <f t="shared" si="406"/>
        <v>306</v>
      </c>
      <c r="D6998" t="str">
        <f>"1"</f>
        <v>1</v>
      </c>
      <c r="E6998" t="str">
        <f>"1-306-1"</f>
        <v>1-306-1</v>
      </c>
      <c r="F6998" t="s">
        <v>83</v>
      </c>
      <c r="G6998" t="s">
        <v>84</v>
      </c>
      <c r="H6998" t="s">
        <v>92</v>
      </c>
      <c r="I6998">
        <v>1</v>
      </c>
      <c r="J6998">
        <v>1</v>
      </c>
      <c r="N6998">
        <v>1</v>
      </c>
      <c r="O6998">
        <v>1</v>
      </c>
      <c r="P6998">
        <v>1</v>
      </c>
      <c r="Q6998">
        <v>1</v>
      </c>
      <c r="R6998">
        <v>1</v>
      </c>
      <c r="S6998">
        <v>1</v>
      </c>
      <c r="T6998">
        <v>1</v>
      </c>
      <c r="W6998">
        <v>1</v>
      </c>
      <c r="X6998">
        <v>1</v>
      </c>
      <c r="Y6998">
        <v>1</v>
      </c>
      <c r="Z6998">
        <v>1</v>
      </c>
      <c r="AA6998">
        <v>1</v>
      </c>
      <c r="AB6998">
        <v>1</v>
      </c>
    </row>
    <row r="6999" spans="1:49" x14ac:dyDescent="0.25">
      <c r="A6999" t="str">
        <f>"6995"</f>
        <v>6995</v>
      </c>
      <c r="B6999" t="str">
        <f t="shared" si="404"/>
        <v>1</v>
      </c>
      <c r="C6999" t="str">
        <f t="shared" si="406"/>
        <v>306</v>
      </c>
      <c r="D6999" t="str">
        <f>"18"</f>
        <v>18</v>
      </c>
      <c r="E6999" t="str">
        <f>"1-306-18"</f>
        <v>1-306-18</v>
      </c>
      <c r="F6999" t="s">
        <v>83</v>
      </c>
      <c r="G6999" t="s">
        <v>84</v>
      </c>
      <c r="H6999" t="s">
        <v>92</v>
      </c>
      <c r="I6999">
        <v>1</v>
      </c>
      <c r="J6999">
        <v>1</v>
      </c>
      <c r="N6999">
        <v>1</v>
      </c>
      <c r="O6999">
        <v>1</v>
      </c>
      <c r="P6999">
        <v>1</v>
      </c>
      <c r="Q6999">
        <v>1</v>
      </c>
      <c r="R6999">
        <v>1</v>
      </c>
      <c r="S6999">
        <v>1</v>
      </c>
      <c r="T6999">
        <v>1</v>
      </c>
      <c r="W6999">
        <v>1</v>
      </c>
      <c r="X6999">
        <v>1</v>
      </c>
      <c r="Y6999">
        <v>1</v>
      </c>
      <c r="Z6999">
        <v>1</v>
      </c>
      <c r="AA6999">
        <v>1</v>
      </c>
      <c r="AB6999">
        <v>1</v>
      </c>
    </row>
    <row r="7000" spans="1:49" x14ac:dyDescent="0.25">
      <c r="A7000" t="str">
        <f>"6996"</f>
        <v>6996</v>
      </c>
      <c r="B7000" t="str">
        <f t="shared" si="404"/>
        <v>1</v>
      </c>
      <c r="C7000" t="str">
        <f t="shared" si="406"/>
        <v>306</v>
      </c>
      <c r="D7000" t="str">
        <f>"12"</f>
        <v>12</v>
      </c>
      <c r="E7000" t="str">
        <f>"1-306-12"</f>
        <v>1-306-12</v>
      </c>
      <c r="F7000" t="s">
        <v>83</v>
      </c>
      <c r="G7000" t="s">
        <v>84</v>
      </c>
      <c r="H7000" t="s">
        <v>92</v>
      </c>
      <c r="I7000">
        <v>1</v>
      </c>
      <c r="J7000">
        <v>1</v>
      </c>
      <c r="N7000">
        <v>1</v>
      </c>
      <c r="O7000">
        <v>1</v>
      </c>
      <c r="P7000">
        <v>1</v>
      </c>
      <c r="Q7000">
        <v>1</v>
      </c>
      <c r="R7000">
        <v>1</v>
      </c>
      <c r="S7000">
        <v>1</v>
      </c>
      <c r="T7000">
        <v>1</v>
      </c>
      <c r="W7000">
        <v>1</v>
      </c>
      <c r="X7000">
        <v>1</v>
      </c>
      <c r="Y7000">
        <v>1</v>
      </c>
      <c r="Z7000">
        <v>1</v>
      </c>
      <c r="AA7000">
        <v>1</v>
      </c>
      <c r="AB7000">
        <v>1</v>
      </c>
    </row>
    <row r="7001" spans="1:49" x14ac:dyDescent="0.25">
      <c r="A7001" t="str">
        <f>"6997"</f>
        <v>6997</v>
      </c>
      <c r="B7001" t="str">
        <f t="shared" si="404"/>
        <v>1</v>
      </c>
      <c r="C7001" t="str">
        <f t="shared" si="406"/>
        <v>306</v>
      </c>
      <c r="D7001" t="str">
        <f>"7"</f>
        <v>7</v>
      </c>
      <c r="E7001" t="str">
        <f>"1-306-7"</f>
        <v>1-306-7</v>
      </c>
      <c r="F7001" t="s">
        <v>83</v>
      </c>
      <c r="G7001" t="s">
        <v>84</v>
      </c>
      <c r="H7001" t="s">
        <v>92</v>
      </c>
      <c r="I7001">
        <v>1</v>
      </c>
      <c r="J7001">
        <v>1</v>
      </c>
      <c r="N7001">
        <v>1</v>
      </c>
      <c r="O7001">
        <v>1</v>
      </c>
      <c r="P7001">
        <v>1</v>
      </c>
      <c r="Q7001">
        <v>1</v>
      </c>
      <c r="R7001">
        <v>1</v>
      </c>
      <c r="S7001">
        <v>1</v>
      </c>
      <c r="T7001">
        <v>1</v>
      </c>
      <c r="W7001">
        <v>1</v>
      </c>
      <c r="X7001">
        <v>1</v>
      </c>
      <c r="Y7001">
        <v>1</v>
      </c>
      <c r="Z7001">
        <v>1</v>
      </c>
      <c r="AA7001">
        <v>1</v>
      </c>
      <c r="AB7001">
        <v>1</v>
      </c>
    </row>
    <row r="7002" spans="1:49" x14ac:dyDescent="0.25">
      <c r="A7002" t="str">
        <f>"6998"</f>
        <v>6998</v>
      </c>
      <c r="B7002" t="str">
        <f t="shared" si="404"/>
        <v>1</v>
      </c>
      <c r="C7002" t="str">
        <f t="shared" si="406"/>
        <v>306</v>
      </c>
      <c r="D7002" t="str">
        <f>"16"</f>
        <v>16</v>
      </c>
      <c r="E7002" t="str">
        <f>"1-306-16"</f>
        <v>1-306-16</v>
      </c>
      <c r="F7002" t="s">
        <v>83</v>
      </c>
      <c r="G7002" t="s">
        <v>84</v>
      </c>
      <c r="H7002" t="s">
        <v>92</v>
      </c>
      <c r="I7002">
        <v>1</v>
      </c>
      <c r="J7002">
        <v>1</v>
      </c>
      <c r="N7002">
        <v>1</v>
      </c>
      <c r="O7002">
        <v>1</v>
      </c>
      <c r="P7002">
        <v>1</v>
      </c>
      <c r="Q7002">
        <v>1</v>
      </c>
      <c r="R7002">
        <v>1</v>
      </c>
      <c r="S7002">
        <v>1</v>
      </c>
      <c r="T7002">
        <v>1</v>
      </c>
      <c r="W7002">
        <v>1</v>
      </c>
      <c r="X7002">
        <v>1</v>
      </c>
      <c r="Y7002">
        <v>1</v>
      </c>
      <c r="Z7002">
        <v>1</v>
      </c>
      <c r="AA7002">
        <v>1</v>
      </c>
      <c r="AB7002">
        <v>1</v>
      </c>
    </row>
    <row r="7003" spans="1:49" x14ac:dyDescent="0.25">
      <c r="A7003" t="str">
        <f>"6999"</f>
        <v>6999</v>
      </c>
      <c r="B7003" t="str">
        <f t="shared" si="404"/>
        <v>1</v>
      </c>
      <c r="C7003" t="str">
        <f t="shared" si="406"/>
        <v>306</v>
      </c>
      <c r="D7003" t="str">
        <f>"6"</f>
        <v>6</v>
      </c>
      <c r="E7003" t="str">
        <f>"1-306-6"</f>
        <v>1-306-6</v>
      </c>
      <c r="F7003" t="s">
        <v>83</v>
      </c>
      <c r="G7003" t="s">
        <v>84</v>
      </c>
      <c r="H7003" t="s">
        <v>92</v>
      </c>
      <c r="I7003">
        <v>1</v>
      </c>
      <c r="J7003">
        <v>1</v>
      </c>
      <c r="N7003">
        <v>1</v>
      </c>
      <c r="O7003">
        <v>1</v>
      </c>
      <c r="P7003">
        <v>1</v>
      </c>
      <c r="Q7003">
        <v>1</v>
      </c>
      <c r="R7003">
        <v>1</v>
      </c>
      <c r="S7003">
        <v>1</v>
      </c>
      <c r="T7003">
        <v>1</v>
      </c>
      <c r="W7003">
        <v>1</v>
      </c>
      <c r="X7003">
        <v>1</v>
      </c>
      <c r="Y7003">
        <v>1</v>
      </c>
      <c r="Z7003">
        <v>1</v>
      </c>
      <c r="AA7003">
        <v>1</v>
      </c>
      <c r="AB7003">
        <v>1</v>
      </c>
    </row>
    <row r="7004" spans="1:49" x14ac:dyDescent="0.25">
      <c r="A7004" t="str">
        <f>"7000"</f>
        <v>7000</v>
      </c>
      <c r="B7004" t="str">
        <f t="shared" si="404"/>
        <v>1</v>
      </c>
      <c r="C7004" t="str">
        <f t="shared" si="406"/>
        <v>306</v>
      </c>
      <c r="D7004" t="str">
        <f>"19"</f>
        <v>19</v>
      </c>
      <c r="E7004" t="str">
        <f>"1-306-19"</f>
        <v>1-306-19</v>
      </c>
      <c r="F7004" t="s">
        <v>83</v>
      </c>
      <c r="G7004" t="s">
        <v>84</v>
      </c>
      <c r="H7004" t="s">
        <v>92</v>
      </c>
      <c r="I7004">
        <v>1</v>
      </c>
      <c r="J7004">
        <v>1</v>
      </c>
      <c r="N7004">
        <v>1</v>
      </c>
      <c r="O7004">
        <v>1</v>
      </c>
      <c r="P7004">
        <v>1</v>
      </c>
      <c r="Q7004">
        <v>1</v>
      </c>
      <c r="R7004">
        <v>1</v>
      </c>
      <c r="S7004">
        <v>1</v>
      </c>
      <c r="T7004">
        <v>1</v>
      </c>
      <c r="W7004">
        <v>1</v>
      </c>
      <c r="X7004">
        <v>1</v>
      </c>
      <c r="Y7004">
        <v>1</v>
      </c>
      <c r="Z7004">
        <v>1</v>
      </c>
      <c r="AA7004">
        <v>1</v>
      </c>
      <c r="AB7004">
        <v>1</v>
      </c>
    </row>
    <row r="7005" spans="1:49" x14ac:dyDescent="0.25">
      <c r="A7005" t="str">
        <f>"7001"</f>
        <v>7001</v>
      </c>
      <c r="B7005" t="str">
        <f t="shared" si="404"/>
        <v>1</v>
      </c>
      <c r="C7005" t="str">
        <f t="shared" si="406"/>
        <v>306</v>
      </c>
      <c r="D7005" t="str">
        <f>"3"</f>
        <v>3</v>
      </c>
      <c r="E7005" t="str">
        <f>"1-306-3"</f>
        <v>1-306-3</v>
      </c>
      <c r="F7005" t="s">
        <v>83</v>
      </c>
      <c r="G7005" t="s">
        <v>84</v>
      </c>
      <c r="H7005" t="s">
        <v>92</v>
      </c>
      <c r="I7005">
        <v>1</v>
      </c>
      <c r="J7005">
        <v>1</v>
      </c>
      <c r="N7005">
        <v>1</v>
      </c>
      <c r="O7005">
        <v>1</v>
      </c>
      <c r="P7005">
        <v>1</v>
      </c>
      <c r="Q7005">
        <v>1</v>
      </c>
      <c r="R7005">
        <v>1</v>
      </c>
      <c r="S7005">
        <v>1</v>
      </c>
      <c r="T7005">
        <v>1</v>
      </c>
      <c r="W7005">
        <v>1</v>
      </c>
      <c r="X7005">
        <v>1</v>
      </c>
      <c r="Y7005">
        <v>1</v>
      </c>
      <c r="Z7005">
        <v>1</v>
      </c>
      <c r="AA7005">
        <v>1</v>
      </c>
      <c r="AB7005">
        <v>1</v>
      </c>
    </row>
    <row r="7006" spans="1:49" x14ac:dyDescent="0.25">
      <c r="A7006" t="str">
        <f>"7002"</f>
        <v>7002</v>
      </c>
      <c r="B7006" t="str">
        <f t="shared" ref="B7006:B7069" si="407">"1"</f>
        <v>1</v>
      </c>
      <c r="C7006" t="str">
        <f t="shared" ref="C7006:C7027" si="408">"307"</f>
        <v>307</v>
      </c>
      <c r="D7006" t="str">
        <f>"21"</f>
        <v>21</v>
      </c>
      <c r="E7006" t="str">
        <f>"1-307-21"</f>
        <v>1-307-21</v>
      </c>
      <c r="F7006" t="s">
        <v>83</v>
      </c>
      <c r="G7006" t="s">
        <v>86</v>
      </c>
      <c r="H7006" t="s">
        <v>87</v>
      </c>
      <c r="AC7006">
        <v>0</v>
      </c>
      <c r="AD7006">
        <v>1</v>
      </c>
      <c r="AE7006">
        <v>0</v>
      </c>
      <c r="AF7006">
        <v>0</v>
      </c>
      <c r="AH7006">
        <v>1</v>
      </c>
      <c r="AI7006">
        <v>0</v>
      </c>
      <c r="AJ7006">
        <v>0</v>
      </c>
      <c r="AK7006">
        <v>1</v>
      </c>
      <c r="AL7006">
        <v>1</v>
      </c>
      <c r="AM7006">
        <v>0</v>
      </c>
      <c r="AN7006">
        <v>0</v>
      </c>
      <c r="AO7006">
        <v>1</v>
      </c>
      <c r="AP7006">
        <v>1</v>
      </c>
      <c r="AQ7006">
        <v>1</v>
      </c>
      <c r="AU7006">
        <v>1</v>
      </c>
      <c r="AV7006">
        <v>1</v>
      </c>
      <c r="AW7006">
        <v>1</v>
      </c>
    </row>
    <row r="7007" spans="1:49" x14ac:dyDescent="0.25">
      <c r="A7007" t="str">
        <f>"7003"</f>
        <v>7003</v>
      </c>
      <c r="B7007" t="str">
        <f t="shared" si="407"/>
        <v>1</v>
      </c>
      <c r="C7007" t="str">
        <f t="shared" si="408"/>
        <v>307</v>
      </c>
      <c r="D7007" t="str">
        <f>"15"</f>
        <v>15</v>
      </c>
      <c r="E7007" t="str">
        <f>"1-307-15"</f>
        <v>1-307-15</v>
      </c>
      <c r="F7007" t="s">
        <v>83</v>
      </c>
      <c r="G7007" t="s">
        <v>86</v>
      </c>
      <c r="H7007" t="s">
        <v>87</v>
      </c>
      <c r="AC7007">
        <v>0</v>
      </c>
      <c r="AD7007">
        <v>0</v>
      </c>
      <c r="AE7007">
        <v>0</v>
      </c>
      <c r="AF7007">
        <v>0</v>
      </c>
      <c r="AH7007">
        <v>0</v>
      </c>
      <c r="AI7007">
        <v>1</v>
      </c>
      <c r="AJ7007">
        <v>0</v>
      </c>
      <c r="AK7007">
        <v>0</v>
      </c>
      <c r="AL7007">
        <v>0</v>
      </c>
      <c r="AM7007">
        <v>0</v>
      </c>
      <c r="AN7007">
        <v>0</v>
      </c>
      <c r="AO7007">
        <v>0</v>
      </c>
      <c r="AP7007">
        <v>0</v>
      </c>
      <c r="AQ7007">
        <v>0</v>
      </c>
      <c r="AU7007">
        <v>0</v>
      </c>
      <c r="AV7007">
        <v>0</v>
      </c>
      <c r="AW7007">
        <v>0</v>
      </c>
    </row>
    <row r="7008" spans="1:49" x14ac:dyDescent="0.25">
      <c r="A7008" t="str">
        <f>"7004"</f>
        <v>7004</v>
      </c>
      <c r="B7008" t="str">
        <f t="shared" si="407"/>
        <v>1</v>
      </c>
      <c r="C7008" t="str">
        <f t="shared" si="408"/>
        <v>307</v>
      </c>
      <c r="D7008" t="str">
        <f>"8"</f>
        <v>8</v>
      </c>
      <c r="E7008" t="str">
        <f>"1-307-8"</f>
        <v>1-307-8</v>
      </c>
      <c r="F7008" t="s">
        <v>83</v>
      </c>
      <c r="G7008" t="s">
        <v>86</v>
      </c>
      <c r="H7008" t="s">
        <v>93</v>
      </c>
      <c r="I7008">
        <v>1</v>
      </c>
      <c r="K7008">
        <v>0</v>
      </c>
      <c r="L7008">
        <v>0</v>
      </c>
      <c r="M7008">
        <v>1</v>
      </c>
      <c r="N7008">
        <v>1</v>
      </c>
      <c r="O7008">
        <v>1</v>
      </c>
      <c r="P7008">
        <v>0</v>
      </c>
      <c r="Q7008">
        <v>1</v>
      </c>
      <c r="R7008">
        <v>1</v>
      </c>
      <c r="U7008">
        <v>0</v>
      </c>
      <c r="V7008">
        <v>1</v>
      </c>
      <c r="W7008">
        <v>1</v>
      </c>
      <c r="X7008">
        <v>1</v>
      </c>
      <c r="Y7008">
        <v>1</v>
      </c>
      <c r="Z7008">
        <v>1</v>
      </c>
      <c r="AA7008">
        <v>1</v>
      </c>
      <c r="AB7008">
        <v>1</v>
      </c>
    </row>
    <row r="7009" spans="1:49" x14ac:dyDescent="0.25">
      <c r="A7009" t="str">
        <f>"7005"</f>
        <v>7005</v>
      </c>
      <c r="B7009" t="str">
        <f t="shared" si="407"/>
        <v>1</v>
      </c>
      <c r="C7009" t="str">
        <f t="shared" si="408"/>
        <v>307</v>
      </c>
      <c r="D7009" t="str">
        <f>"7"</f>
        <v>7</v>
      </c>
      <c r="E7009" t="str">
        <f>"1-307-7"</f>
        <v>1-307-7</v>
      </c>
      <c r="F7009" t="s">
        <v>83</v>
      </c>
      <c r="G7009" t="s">
        <v>86</v>
      </c>
      <c r="H7009" t="s">
        <v>93</v>
      </c>
      <c r="I7009">
        <v>1</v>
      </c>
      <c r="K7009">
        <v>1</v>
      </c>
      <c r="L7009">
        <v>0</v>
      </c>
      <c r="M7009">
        <v>0</v>
      </c>
      <c r="N7009">
        <v>1</v>
      </c>
      <c r="O7009">
        <v>1</v>
      </c>
      <c r="P7009">
        <v>1</v>
      </c>
      <c r="Q7009">
        <v>1</v>
      </c>
      <c r="R7009">
        <v>1</v>
      </c>
      <c r="U7009">
        <v>0</v>
      </c>
      <c r="V7009">
        <v>1</v>
      </c>
      <c r="W7009">
        <v>1</v>
      </c>
      <c r="X7009">
        <v>1</v>
      </c>
      <c r="Y7009">
        <v>1</v>
      </c>
      <c r="Z7009">
        <v>1</v>
      </c>
      <c r="AA7009">
        <v>1</v>
      </c>
      <c r="AB7009">
        <v>1</v>
      </c>
    </row>
    <row r="7010" spans="1:49" x14ac:dyDescent="0.25">
      <c r="A7010" t="str">
        <f>"7006"</f>
        <v>7006</v>
      </c>
      <c r="B7010" t="str">
        <f t="shared" si="407"/>
        <v>1</v>
      </c>
      <c r="C7010" t="str">
        <f t="shared" si="408"/>
        <v>307</v>
      </c>
      <c r="D7010" t="str">
        <f>"19"</f>
        <v>19</v>
      </c>
      <c r="E7010" t="str">
        <f>"1-307-19"</f>
        <v>1-307-19</v>
      </c>
      <c r="F7010" t="s">
        <v>83</v>
      </c>
      <c r="G7010" t="s">
        <v>86</v>
      </c>
      <c r="H7010" t="s">
        <v>87</v>
      </c>
      <c r="AC7010">
        <v>0</v>
      </c>
      <c r="AD7010">
        <v>1</v>
      </c>
      <c r="AE7010">
        <v>0</v>
      </c>
      <c r="AF7010">
        <v>0</v>
      </c>
      <c r="AH7010">
        <v>0</v>
      </c>
      <c r="AI7010">
        <v>1</v>
      </c>
      <c r="AJ7010">
        <v>0</v>
      </c>
      <c r="AK7010">
        <v>0</v>
      </c>
      <c r="AL7010">
        <v>0</v>
      </c>
      <c r="AM7010">
        <v>0</v>
      </c>
      <c r="AN7010">
        <v>1</v>
      </c>
      <c r="AO7010">
        <v>0</v>
      </c>
      <c r="AP7010">
        <v>0</v>
      </c>
      <c r="AQ7010">
        <v>0</v>
      </c>
      <c r="AU7010">
        <v>0</v>
      </c>
      <c r="AV7010">
        <v>0</v>
      </c>
      <c r="AW7010">
        <v>0</v>
      </c>
    </row>
    <row r="7011" spans="1:49" x14ac:dyDescent="0.25">
      <c r="A7011" t="str">
        <f>"7007"</f>
        <v>7007</v>
      </c>
      <c r="B7011" t="str">
        <f t="shared" si="407"/>
        <v>1</v>
      </c>
      <c r="C7011" t="str">
        <f t="shared" si="408"/>
        <v>307</v>
      </c>
      <c r="D7011" t="str">
        <f>"9"</f>
        <v>9</v>
      </c>
      <c r="E7011" t="str">
        <f>"1-307-9"</f>
        <v>1-307-9</v>
      </c>
      <c r="F7011" t="s">
        <v>83</v>
      </c>
      <c r="G7011" t="s">
        <v>86</v>
      </c>
      <c r="H7011" t="s">
        <v>93</v>
      </c>
      <c r="I7011">
        <v>1</v>
      </c>
      <c r="K7011">
        <v>0</v>
      </c>
      <c r="L7011">
        <v>0</v>
      </c>
      <c r="M7011">
        <v>1</v>
      </c>
      <c r="N7011">
        <v>1</v>
      </c>
      <c r="O7011">
        <v>1</v>
      </c>
      <c r="P7011">
        <v>1</v>
      </c>
      <c r="Q7011">
        <v>1</v>
      </c>
      <c r="R7011">
        <v>1</v>
      </c>
      <c r="U7011">
        <v>1</v>
      </c>
      <c r="V7011">
        <v>0</v>
      </c>
      <c r="W7011">
        <v>1</v>
      </c>
      <c r="X7011">
        <v>1</v>
      </c>
      <c r="Y7011">
        <v>1</v>
      </c>
      <c r="Z7011">
        <v>1</v>
      </c>
      <c r="AA7011">
        <v>1</v>
      </c>
      <c r="AB7011">
        <v>1</v>
      </c>
    </row>
    <row r="7012" spans="1:49" x14ac:dyDescent="0.25">
      <c r="A7012" t="str">
        <f>"7008"</f>
        <v>7008</v>
      </c>
      <c r="B7012" t="str">
        <f t="shared" si="407"/>
        <v>1</v>
      </c>
      <c r="C7012" t="str">
        <f t="shared" si="408"/>
        <v>307</v>
      </c>
      <c r="D7012" t="str">
        <f>"3"</f>
        <v>3</v>
      </c>
      <c r="E7012" t="str">
        <f>"1-307-3"</f>
        <v>1-307-3</v>
      </c>
      <c r="F7012" t="s">
        <v>83</v>
      </c>
      <c r="G7012" t="s">
        <v>86</v>
      </c>
      <c r="H7012" t="s">
        <v>87</v>
      </c>
      <c r="AC7012">
        <v>0</v>
      </c>
      <c r="AD7012">
        <v>0</v>
      </c>
      <c r="AE7012">
        <v>0</v>
      </c>
      <c r="AF7012">
        <v>0</v>
      </c>
      <c r="AH7012">
        <v>0</v>
      </c>
      <c r="AI7012">
        <v>1</v>
      </c>
      <c r="AJ7012">
        <v>0</v>
      </c>
      <c r="AK7012">
        <v>0</v>
      </c>
      <c r="AL7012">
        <v>0</v>
      </c>
      <c r="AM7012">
        <v>0</v>
      </c>
      <c r="AN7012">
        <v>0</v>
      </c>
      <c r="AO7012">
        <v>0</v>
      </c>
      <c r="AP7012">
        <v>0</v>
      </c>
      <c r="AQ7012">
        <v>0</v>
      </c>
      <c r="AU7012">
        <v>0</v>
      </c>
      <c r="AV7012">
        <v>0</v>
      </c>
      <c r="AW7012">
        <v>0</v>
      </c>
    </row>
    <row r="7013" spans="1:49" x14ac:dyDescent="0.25">
      <c r="A7013" t="str">
        <f>"7009"</f>
        <v>7009</v>
      </c>
      <c r="B7013" t="str">
        <f t="shared" si="407"/>
        <v>1</v>
      </c>
      <c r="C7013" t="str">
        <f t="shared" si="408"/>
        <v>307</v>
      </c>
      <c r="D7013" t="str">
        <f>"22"</f>
        <v>22</v>
      </c>
      <c r="E7013" t="str">
        <f>"1-307-22"</f>
        <v>1-307-22</v>
      </c>
      <c r="F7013" t="s">
        <v>83</v>
      </c>
      <c r="G7013" t="s">
        <v>86</v>
      </c>
      <c r="H7013" t="s">
        <v>87</v>
      </c>
      <c r="AC7013">
        <v>1</v>
      </c>
      <c r="AD7013">
        <v>0</v>
      </c>
      <c r="AE7013">
        <v>0</v>
      </c>
      <c r="AF7013">
        <v>0</v>
      </c>
      <c r="AH7013">
        <v>1</v>
      </c>
      <c r="AI7013">
        <v>0</v>
      </c>
      <c r="AJ7013">
        <v>0</v>
      </c>
      <c r="AK7013">
        <v>1</v>
      </c>
      <c r="AL7013">
        <v>0</v>
      </c>
      <c r="AM7013">
        <v>0</v>
      </c>
      <c r="AN7013">
        <v>0</v>
      </c>
      <c r="AO7013">
        <v>1</v>
      </c>
      <c r="AP7013">
        <v>1</v>
      </c>
      <c r="AQ7013">
        <v>1</v>
      </c>
      <c r="AU7013">
        <v>1</v>
      </c>
      <c r="AV7013">
        <v>1</v>
      </c>
      <c r="AW7013">
        <v>1</v>
      </c>
    </row>
    <row r="7014" spans="1:49" x14ac:dyDescent="0.25">
      <c r="A7014" t="str">
        <f>"7010"</f>
        <v>7010</v>
      </c>
      <c r="B7014" t="str">
        <f t="shared" si="407"/>
        <v>1</v>
      </c>
      <c r="C7014" t="str">
        <f t="shared" si="408"/>
        <v>307</v>
      </c>
      <c r="D7014" t="str">
        <f>"14"</f>
        <v>14</v>
      </c>
      <c r="E7014" t="str">
        <f>"1-307-14"</f>
        <v>1-307-14</v>
      </c>
      <c r="F7014" t="s">
        <v>83</v>
      </c>
      <c r="G7014" t="s">
        <v>86</v>
      </c>
      <c r="H7014" t="s">
        <v>87</v>
      </c>
      <c r="AC7014">
        <v>0</v>
      </c>
      <c r="AD7014">
        <v>0</v>
      </c>
      <c r="AE7014">
        <v>0</v>
      </c>
      <c r="AF7014">
        <v>0</v>
      </c>
      <c r="AH7014">
        <v>0</v>
      </c>
      <c r="AI7014">
        <v>1</v>
      </c>
      <c r="AJ7014">
        <v>0</v>
      </c>
      <c r="AK7014">
        <v>0</v>
      </c>
      <c r="AL7014">
        <v>0</v>
      </c>
      <c r="AM7014">
        <v>0</v>
      </c>
      <c r="AN7014">
        <v>0</v>
      </c>
      <c r="AO7014">
        <v>0</v>
      </c>
      <c r="AP7014">
        <v>0</v>
      </c>
      <c r="AQ7014">
        <v>0</v>
      </c>
      <c r="AU7014">
        <v>0</v>
      </c>
      <c r="AV7014">
        <v>0</v>
      </c>
      <c r="AW7014">
        <v>0</v>
      </c>
    </row>
    <row r="7015" spans="1:49" x14ac:dyDescent="0.25">
      <c r="A7015" t="str">
        <f>"7011"</f>
        <v>7011</v>
      </c>
      <c r="B7015" t="str">
        <f t="shared" si="407"/>
        <v>1</v>
      </c>
      <c r="C7015" t="str">
        <f t="shared" si="408"/>
        <v>307</v>
      </c>
      <c r="D7015" t="str">
        <f>"10"</f>
        <v>10</v>
      </c>
      <c r="E7015" t="str">
        <f>"1-307-10"</f>
        <v>1-307-10</v>
      </c>
      <c r="F7015" t="s">
        <v>83</v>
      </c>
      <c r="G7015" t="s">
        <v>86</v>
      </c>
      <c r="H7015" t="s">
        <v>87</v>
      </c>
      <c r="AC7015">
        <v>0</v>
      </c>
      <c r="AD7015">
        <v>1</v>
      </c>
      <c r="AE7015">
        <v>0</v>
      </c>
      <c r="AF7015">
        <v>0</v>
      </c>
      <c r="AH7015">
        <v>0</v>
      </c>
      <c r="AI7015">
        <v>1</v>
      </c>
      <c r="AJ7015">
        <v>0</v>
      </c>
      <c r="AK7015">
        <v>1</v>
      </c>
      <c r="AL7015">
        <v>0</v>
      </c>
      <c r="AM7015">
        <v>0</v>
      </c>
      <c r="AN7015">
        <v>1</v>
      </c>
      <c r="AO7015">
        <v>1</v>
      </c>
      <c r="AP7015">
        <v>1</v>
      </c>
      <c r="AQ7015">
        <v>1</v>
      </c>
      <c r="AU7015">
        <v>0</v>
      </c>
      <c r="AV7015">
        <v>0</v>
      </c>
      <c r="AW7015">
        <v>0</v>
      </c>
    </row>
    <row r="7016" spans="1:49" x14ac:dyDescent="0.25">
      <c r="A7016" t="str">
        <f>"7012"</f>
        <v>7012</v>
      </c>
      <c r="B7016" t="str">
        <f t="shared" si="407"/>
        <v>1</v>
      </c>
      <c r="C7016" t="str">
        <f t="shared" si="408"/>
        <v>307</v>
      </c>
      <c r="D7016" t="str">
        <f>"4"</f>
        <v>4</v>
      </c>
      <c r="E7016" t="str">
        <f>"1-307-4"</f>
        <v>1-307-4</v>
      </c>
      <c r="F7016" t="s">
        <v>83</v>
      </c>
      <c r="G7016" t="s">
        <v>86</v>
      </c>
      <c r="H7016" t="s">
        <v>87</v>
      </c>
      <c r="AC7016">
        <v>0</v>
      </c>
      <c r="AD7016">
        <v>0</v>
      </c>
      <c r="AE7016">
        <v>0</v>
      </c>
      <c r="AF7016">
        <v>0</v>
      </c>
      <c r="AH7016">
        <v>0</v>
      </c>
      <c r="AI7016">
        <v>1</v>
      </c>
      <c r="AJ7016">
        <v>0</v>
      </c>
      <c r="AK7016">
        <v>0</v>
      </c>
      <c r="AL7016">
        <v>0</v>
      </c>
      <c r="AM7016">
        <v>0</v>
      </c>
      <c r="AN7016">
        <v>0</v>
      </c>
      <c r="AO7016">
        <v>0</v>
      </c>
      <c r="AP7016">
        <v>0</v>
      </c>
      <c r="AQ7016">
        <v>0</v>
      </c>
      <c r="AU7016">
        <v>0</v>
      </c>
      <c r="AV7016">
        <v>1</v>
      </c>
      <c r="AW7016">
        <v>1</v>
      </c>
    </row>
    <row r="7017" spans="1:49" x14ac:dyDescent="0.25">
      <c r="A7017" t="str">
        <f>"7013"</f>
        <v>7013</v>
      </c>
      <c r="B7017" t="str">
        <f t="shared" si="407"/>
        <v>1</v>
      </c>
      <c r="C7017" t="str">
        <f t="shared" si="408"/>
        <v>307</v>
      </c>
      <c r="D7017" t="str">
        <f>"16"</f>
        <v>16</v>
      </c>
      <c r="E7017" t="str">
        <f>"1-307-16"</f>
        <v>1-307-16</v>
      </c>
      <c r="F7017" t="s">
        <v>83</v>
      </c>
      <c r="G7017" t="s">
        <v>86</v>
      </c>
      <c r="H7017" t="s">
        <v>93</v>
      </c>
      <c r="I7017">
        <v>1</v>
      </c>
      <c r="K7017">
        <v>0</v>
      </c>
      <c r="L7017">
        <v>0</v>
      </c>
      <c r="M7017">
        <v>1</v>
      </c>
      <c r="N7017">
        <v>1</v>
      </c>
      <c r="O7017">
        <v>1</v>
      </c>
      <c r="P7017">
        <v>1</v>
      </c>
      <c r="Q7017">
        <v>1</v>
      </c>
      <c r="R7017">
        <v>1</v>
      </c>
      <c r="U7017">
        <v>1</v>
      </c>
      <c r="V7017">
        <v>0</v>
      </c>
      <c r="W7017">
        <v>1</v>
      </c>
      <c r="X7017">
        <v>1</v>
      </c>
      <c r="Y7017">
        <v>1</v>
      </c>
      <c r="Z7017">
        <v>1</v>
      </c>
      <c r="AA7017">
        <v>1</v>
      </c>
      <c r="AB7017">
        <v>1</v>
      </c>
    </row>
    <row r="7018" spans="1:49" x14ac:dyDescent="0.25">
      <c r="A7018" t="str">
        <f>"7014"</f>
        <v>7014</v>
      </c>
      <c r="B7018" t="str">
        <f t="shared" si="407"/>
        <v>1</v>
      </c>
      <c r="C7018" t="str">
        <f t="shared" si="408"/>
        <v>307</v>
      </c>
      <c r="D7018" t="str">
        <f>"11"</f>
        <v>11</v>
      </c>
      <c r="E7018" t="str">
        <f>"1-307-11"</f>
        <v>1-307-11</v>
      </c>
      <c r="F7018" t="s">
        <v>83</v>
      </c>
      <c r="G7018" t="s">
        <v>86</v>
      </c>
      <c r="H7018" t="s">
        <v>87</v>
      </c>
      <c r="AC7018">
        <v>0</v>
      </c>
      <c r="AD7018">
        <v>0</v>
      </c>
      <c r="AE7018">
        <v>0</v>
      </c>
      <c r="AF7018">
        <v>0</v>
      </c>
      <c r="AH7018">
        <v>0</v>
      </c>
      <c r="AI7018">
        <v>1</v>
      </c>
      <c r="AJ7018">
        <v>0</v>
      </c>
      <c r="AK7018">
        <v>0</v>
      </c>
      <c r="AL7018">
        <v>0</v>
      </c>
      <c r="AM7018">
        <v>0</v>
      </c>
      <c r="AN7018">
        <v>0</v>
      </c>
      <c r="AO7018">
        <v>0</v>
      </c>
      <c r="AP7018">
        <v>0</v>
      </c>
      <c r="AQ7018">
        <v>0</v>
      </c>
      <c r="AU7018">
        <v>0</v>
      </c>
      <c r="AV7018">
        <v>0</v>
      </c>
      <c r="AW7018">
        <v>0</v>
      </c>
    </row>
    <row r="7019" spans="1:49" x14ac:dyDescent="0.25">
      <c r="A7019" t="str">
        <f>"7015"</f>
        <v>7015</v>
      </c>
      <c r="B7019" t="str">
        <f t="shared" si="407"/>
        <v>1</v>
      </c>
      <c r="C7019" t="str">
        <f t="shared" si="408"/>
        <v>307</v>
      </c>
      <c r="D7019" t="str">
        <f>"5"</f>
        <v>5</v>
      </c>
      <c r="E7019" t="str">
        <f>"1-307-5"</f>
        <v>1-307-5</v>
      </c>
      <c r="F7019" t="s">
        <v>83</v>
      </c>
      <c r="G7019" t="s">
        <v>86</v>
      </c>
      <c r="H7019" t="s">
        <v>87</v>
      </c>
      <c r="AC7019">
        <v>0</v>
      </c>
      <c r="AD7019">
        <v>1</v>
      </c>
      <c r="AE7019">
        <v>0</v>
      </c>
      <c r="AF7019">
        <v>0</v>
      </c>
      <c r="AH7019">
        <v>0</v>
      </c>
      <c r="AI7019">
        <v>1</v>
      </c>
      <c r="AJ7019">
        <v>0</v>
      </c>
      <c r="AK7019">
        <v>1</v>
      </c>
      <c r="AL7019">
        <v>0</v>
      </c>
      <c r="AM7019">
        <v>0</v>
      </c>
      <c r="AN7019">
        <v>1</v>
      </c>
      <c r="AO7019">
        <v>0</v>
      </c>
      <c r="AP7019">
        <v>0</v>
      </c>
      <c r="AQ7019">
        <v>0</v>
      </c>
      <c r="AU7019">
        <v>0</v>
      </c>
      <c r="AV7019">
        <v>0</v>
      </c>
      <c r="AW7019">
        <v>0</v>
      </c>
    </row>
    <row r="7020" spans="1:49" x14ac:dyDescent="0.25">
      <c r="A7020" t="str">
        <f>"7016"</f>
        <v>7016</v>
      </c>
      <c r="B7020" t="str">
        <f t="shared" si="407"/>
        <v>1</v>
      </c>
      <c r="C7020" t="str">
        <f t="shared" si="408"/>
        <v>307</v>
      </c>
      <c r="D7020" t="str">
        <f>"17"</f>
        <v>17</v>
      </c>
      <c r="E7020" t="str">
        <f>"1-307-17"</f>
        <v>1-307-17</v>
      </c>
      <c r="F7020" t="s">
        <v>83</v>
      </c>
      <c r="G7020" t="s">
        <v>86</v>
      </c>
      <c r="H7020" t="s">
        <v>87</v>
      </c>
      <c r="AC7020">
        <v>0</v>
      </c>
      <c r="AD7020">
        <v>1</v>
      </c>
      <c r="AE7020">
        <v>0</v>
      </c>
      <c r="AF7020">
        <v>0</v>
      </c>
      <c r="AH7020">
        <v>0</v>
      </c>
      <c r="AI7020">
        <v>1</v>
      </c>
      <c r="AJ7020">
        <v>0</v>
      </c>
      <c r="AK7020">
        <v>0</v>
      </c>
      <c r="AL7020">
        <v>0</v>
      </c>
      <c r="AM7020">
        <v>0</v>
      </c>
      <c r="AN7020">
        <v>1</v>
      </c>
      <c r="AO7020">
        <v>0</v>
      </c>
      <c r="AP7020">
        <v>0</v>
      </c>
      <c r="AQ7020">
        <v>0</v>
      </c>
      <c r="AU7020">
        <v>0</v>
      </c>
      <c r="AV7020">
        <v>0</v>
      </c>
      <c r="AW7020">
        <v>0</v>
      </c>
    </row>
    <row r="7021" spans="1:49" x14ac:dyDescent="0.25">
      <c r="A7021" t="str">
        <f>"7017"</f>
        <v>7017</v>
      </c>
      <c r="B7021" t="str">
        <f t="shared" si="407"/>
        <v>1</v>
      </c>
      <c r="C7021" t="str">
        <f t="shared" si="408"/>
        <v>307</v>
      </c>
      <c r="D7021" t="str">
        <f>"12"</f>
        <v>12</v>
      </c>
      <c r="E7021" t="str">
        <f>"1-307-12"</f>
        <v>1-307-12</v>
      </c>
      <c r="F7021" t="s">
        <v>83</v>
      </c>
      <c r="G7021" t="s">
        <v>86</v>
      </c>
      <c r="H7021" t="s">
        <v>93</v>
      </c>
      <c r="I7021">
        <v>0</v>
      </c>
      <c r="K7021">
        <v>0</v>
      </c>
      <c r="L7021">
        <v>0</v>
      </c>
      <c r="M7021">
        <v>0</v>
      </c>
      <c r="N7021">
        <v>1</v>
      </c>
      <c r="O7021">
        <v>1</v>
      </c>
      <c r="P7021">
        <v>1</v>
      </c>
      <c r="Q7021">
        <v>1</v>
      </c>
      <c r="R7021">
        <v>1</v>
      </c>
      <c r="U7021">
        <v>1</v>
      </c>
      <c r="V7021">
        <v>0</v>
      </c>
      <c r="W7021">
        <v>1</v>
      </c>
      <c r="X7021">
        <v>1</v>
      </c>
      <c r="Y7021">
        <v>1</v>
      </c>
      <c r="Z7021">
        <v>1</v>
      </c>
      <c r="AA7021">
        <v>1</v>
      </c>
      <c r="AB7021">
        <v>1</v>
      </c>
    </row>
    <row r="7022" spans="1:49" x14ac:dyDescent="0.25">
      <c r="A7022" t="str">
        <f>"7018"</f>
        <v>7018</v>
      </c>
      <c r="B7022" t="str">
        <f t="shared" si="407"/>
        <v>1</v>
      </c>
      <c r="C7022" t="str">
        <f t="shared" si="408"/>
        <v>307</v>
      </c>
      <c r="D7022" t="str">
        <f>"13"</f>
        <v>13</v>
      </c>
      <c r="E7022" t="str">
        <f>"1-307-13"</f>
        <v>1-307-13</v>
      </c>
      <c r="F7022" t="s">
        <v>83</v>
      </c>
      <c r="G7022" t="s">
        <v>86</v>
      </c>
      <c r="H7022" t="s">
        <v>87</v>
      </c>
      <c r="AC7022">
        <v>0</v>
      </c>
      <c r="AD7022">
        <v>0</v>
      </c>
      <c r="AE7022">
        <v>0</v>
      </c>
      <c r="AF7022">
        <v>0</v>
      </c>
      <c r="AH7022">
        <v>0</v>
      </c>
      <c r="AI7022">
        <v>1</v>
      </c>
      <c r="AJ7022">
        <v>0</v>
      </c>
      <c r="AK7022">
        <v>0</v>
      </c>
      <c r="AL7022">
        <v>0</v>
      </c>
      <c r="AM7022">
        <v>0</v>
      </c>
      <c r="AN7022">
        <v>0</v>
      </c>
      <c r="AO7022">
        <v>0</v>
      </c>
      <c r="AP7022">
        <v>0</v>
      </c>
      <c r="AQ7022">
        <v>0</v>
      </c>
      <c r="AU7022">
        <v>0</v>
      </c>
      <c r="AV7022">
        <v>0</v>
      </c>
      <c r="AW7022">
        <v>0</v>
      </c>
    </row>
    <row r="7023" spans="1:49" x14ac:dyDescent="0.25">
      <c r="A7023" t="str">
        <f>"7019"</f>
        <v>7019</v>
      </c>
      <c r="B7023" t="str">
        <f t="shared" si="407"/>
        <v>1</v>
      </c>
      <c r="C7023" t="str">
        <f t="shared" si="408"/>
        <v>307</v>
      </c>
      <c r="D7023" t="str">
        <f>"2"</f>
        <v>2</v>
      </c>
      <c r="E7023" t="str">
        <f>"1-307-2"</f>
        <v>1-307-2</v>
      </c>
      <c r="F7023" t="s">
        <v>83</v>
      </c>
      <c r="G7023" t="s">
        <v>86</v>
      </c>
      <c r="H7023" t="s">
        <v>87</v>
      </c>
      <c r="AC7023">
        <v>1</v>
      </c>
      <c r="AD7023">
        <v>0</v>
      </c>
      <c r="AE7023">
        <v>0</v>
      </c>
      <c r="AF7023">
        <v>0</v>
      </c>
      <c r="AH7023">
        <v>1</v>
      </c>
      <c r="AI7023">
        <v>0</v>
      </c>
      <c r="AJ7023">
        <v>0</v>
      </c>
      <c r="AK7023">
        <v>1</v>
      </c>
      <c r="AL7023">
        <v>0</v>
      </c>
      <c r="AM7023">
        <v>0</v>
      </c>
      <c r="AN7023">
        <v>1</v>
      </c>
      <c r="AO7023">
        <v>1</v>
      </c>
      <c r="AP7023">
        <v>1</v>
      </c>
      <c r="AQ7023">
        <v>1</v>
      </c>
      <c r="AU7023">
        <v>1</v>
      </c>
      <c r="AV7023">
        <v>1</v>
      </c>
      <c r="AW7023">
        <v>1</v>
      </c>
    </row>
    <row r="7024" spans="1:49" x14ac:dyDescent="0.25">
      <c r="A7024" t="str">
        <f>"7020"</f>
        <v>7020</v>
      </c>
      <c r="B7024" t="str">
        <f t="shared" si="407"/>
        <v>1</v>
      </c>
      <c r="C7024" t="str">
        <f t="shared" si="408"/>
        <v>307</v>
      </c>
      <c r="D7024" t="str">
        <f>"18"</f>
        <v>18</v>
      </c>
      <c r="E7024" t="str">
        <f>"1-307-18"</f>
        <v>1-307-18</v>
      </c>
      <c r="F7024" t="s">
        <v>83</v>
      </c>
      <c r="G7024" t="s">
        <v>86</v>
      </c>
      <c r="H7024" t="s">
        <v>87</v>
      </c>
      <c r="AC7024">
        <v>0</v>
      </c>
      <c r="AD7024">
        <v>1</v>
      </c>
      <c r="AE7024">
        <v>0</v>
      </c>
      <c r="AF7024">
        <v>0</v>
      </c>
      <c r="AH7024">
        <v>0</v>
      </c>
      <c r="AI7024">
        <v>1</v>
      </c>
      <c r="AJ7024">
        <v>0</v>
      </c>
      <c r="AK7024">
        <v>0</v>
      </c>
      <c r="AL7024">
        <v>0</v>
      </c>
      <c r="AM7024">
        <v>0</v>
      </c>
      <c r="AN7024">
        <v>1</v>
      </c>
      <c r="AO7024">
        <v>0</v>
      </c>
      <c r="AP7024">
        <v>0</v>
      </c>
      <c r="AQ7024">
        <v>0</v>
      </c>
      <c r="AU7024">
        <v>0</v>
      </c>
      <c r="AV7024">
        <v>0</v>
      </c>
      <c r="AW7024">
        <v>0</v>
      </c>
    </row>
    <row r="7025" spans="1:49" x14ac:dyDescent="0.25">
      <c r="A7025" t="str">
        <f>"7021"</f>
        <v>7021</v>
      </c>
      <c r="B7025" t="str">
        <f t="shared" si="407"/>
        <v>1</v>
      </c>
      <c r="C7025" t="str">
        <f t="shared" si="408"/>
        <v>307</v>
      </c>
      <c r="D7025" t="str">
        <f>"6"</f>
        <v>6</v>
      </c>
      <c r="E7025" t="str">
        <f>"1-307-6"</f>
        <v>1-307-6</v>
      </c>
      <c r="F7025" t="s">
        <v>83</v>
      </c>
      <c r="G7025" t="s">
        <v>86</v>
      </c>
      <c r="H7025" t="s">
        <v>87</v>
      </c>
      <c r="AC7025">
        <v>0</v>
      </c>
      <c r="AD7025">
        <v>1</v>
      </c>
      <c r="AE7025">
        <v>0</v>
      </c>
      <c r="AF7025">
        <v>0</v>
      </c>
      <c r="AH7025">
        <v>0</v>
      </c>
      <c r="AI7025">
        <v>1</v>
      </c>
      <c r="AJ7025">
        <v>0</v>
      </c>
      <c r="AK7025">
        <v>1</v>
      </c>
      <c r="AL7025">
        <v>0</v>
      </c>
      <c r="AM7025">
        <v>1</v>
      </c>
      <c r="AN7025">
        <v>0</v>
      </c>
      <c r="AO7025">
        <v>1</v>
      </c>
      <c r="AP7025">
        <v>1</v>
      </c>
      <c r="AQ7025">
        <v>1</v>
      </c>
      <c r="AU7025">
        <v>1</v>
      </c>
      <c r="AV7025">
        <v>1</v>
      </c>
      <c r="AW7025">
        <v>1</v>
      </c>
    </row>
    <row r="7026" spans="1:49" x14ac:dyDescent="0.25">
      <c r="A7026" t="str">
        <f>"7022"</f>
        <v>7022</v>
      </c>
      <c r="B7026" t="str">
        <f t="shared" si="407"/>
        <v>1</v>
      </c>
      <c r="C7026" t="str">
        <f t="shared" si="408"/>
        <v>307</v>
      </c>
      <c r="D7026" t="str">
        <f>"1"</f>
        <v>1</v>
      </c>
      <c r="E7026" t="str">
        <f>"1-307-1"</f>
        <v>1-307-1</v>
      </c>
      <c r="F7026" t="s">
        <v>83</v>
      </c>
      <c r="G7026" t="s">
        <v>86</v>
      </c>
      <c r="H7026" t="s">
        <v>87</v>
      </c>
      <c r="AC7026">
        <v>0</v>
      </c>
      <c r="AD7026">
        <v>0</v>
      </c>
      <c r="AE7026">
        <v>0</v>
      </c>
      <c r="AF7026">
        <v>0</v>
      </c>
      <c r="AH7026">
        <v>0</v>
      </c>
      <c r="AI7026">
        <v>1</v>
      </c>
      <c r="AJ7026">
        <v>0</v>
      </c>
      <c r="AK7026">
        <v>1</v>
      </c>
      <c r="AL7026">
        <v>0</v>
      </c>
      <c r="AM7026">
        <v>0</v>
      </c>
      <c r="AN7026">
        <v>1</v>
      </c>
      <c r="AO7026">
        <v>0</v>
      </c>
      <c r="AP7026">
        <v>0</v>
      </c>
      <c r="AQ7026">
        <v>0</v>
      </c>
      <c r="AU7026">
        <v>0</v>
      </c>
      <c r="AV7026">
        <v>0</v>
      </c>
      <c r="AW7026">
        <v>0</v>
      </c>
    </row>
    <row r="7027" spans="1:49" x14ac:dyDescent="0.25">
      <c r="A7027" t="str">
        <f>"7023"</f>
        <v>7023</v>
      </c>
      <c r="B7027" t="str">
        <f t="shared" si="407"/>
        <v>1</v>
      </c>
      <c r="C7027" t="str">
        <f t="shared" si="408"/>
        <v>307</v>
      </c>
      <c r="D7027" t="str">
        <f>"20"</f>
        <v>20</v>
      </c>
      <c r="E7027" t="str">
        <f>"1-307-20"</f>
        <v>1-307-20</v>
      </c>
      <c r="F7027" t="s">
        <v>83</v>
      </c>
      <c r="G7027" t="s">
        <v>86</v>
      </c>
      <c r="H7027" t="s">
        <v>87</v>
      </c>
      <c r="AC7027">
        <v>0</v>
      </c>
      <c r="AD7027">
        <v>1</v>
      </c>
      <c r="AE7027">
        <v>0</v>
      </c>
      <c r="AF7027">
        <v>0</v>
      </c>
      <c r="AH7027">
        <v>0</v>
      </c>
      <c r="AI7027">
        <v>1</v>
      </c>
      <c r="AJ7027">
        <v>1</v>
      </c>
      <c r="AK7027">
        <v>0</v>
      </c>
      <c r="AL7027">
        <v>0</v>
      </c>
      <c r="AM7027">
        <v>1</v>
      </c>
      <c r="AN7027">
        <v>0</v>
      </c>
      <c r="AO7027">
        <v>1</v>
      </c>
      <c r="AP7027">
        <v>1</v>
      </c>
      <c r="AQ7027">
        <v>1</v>
      </c>
      <c r="AU7027">
        <v>1</v>
      </c>
      <c r="AV7027">
        <v>1</v>
      </c>
      <c r="AW7027">
        <v>1</v>
      </c>
    </row>
    <row r="7028" spans="1:49" x14ac:dyDescent="0.25">
      <c r="A7028" t="str">
        <f>"7024"</f>
        <v>7024</v>
      </c>
      <c r="B7028" t="str">
        <f t="shared" si="407"/>
        <v>1</v>
      </c>
      <c r="C7028" t="str">
        <f t="shared" ref="C7028:C7052" si="409">"308"</f>
        <v>308</v>
      </c>
      <c r="D7028" t="str">
        <f>"21"</f>
        <v>21</v>
      </c>
      <c r="E7028" t="str">
        <f>"1-308-21"</f>
        <v>1-308-21</v>
      </c>
      <c r="F7028" t="s">
        <v>83</v>
      </c>
      <c r="G7028" t="s">
        <v>86</v>
      </c>
      <c r="H7028" t="s">
        <v>93</v>
      </c>
      <c r="I7028">
        <v>1</v>
      </c>
      <c r="K7028">
        <v>0</v>
      </c>
      <c r="L7028">
        <v>0</v>
      </c>
      <c r="M7028">
        <v>1</v>
      </c>
      <c r="N7028">
        <v>1</v>
      </c>
      <c r="O7028">
        <v>1</v>
      </c>
      <c r="P7028">
        <v>1</v>
      </c>
      <c r="Q7028">
        <v>1</v>
      </c>
      <c r="R7028">
        <v>1</v>
      </c>
      <c r="U7028">
        <v>1</v>
      </c>
      <c r="V7028">
        <v>0</v>
      </c>
      <c r="W7028">
        <v>1</v>
      </c>
      <c r="X7028">
        <v>1</v>
      </c>
      <c r="Y7028">
        <v>1</v>
      </c>
      <c r="Z7028">
        <v>1</v>
      </c>
      <c r="AA7028">
        <v>1</v>
      </c>
      <c r="AB7028">
        <v>1</v>
      </c>
    </row>
    <row r="7029" spans="1:49" x14ac:dyDescent="0.25">
      <c r="A7029" t="str">
        <f>"7025"</f>
        <v>7025</v>
      </c>
      <c r="B7029" t="str">
        <f t="shared" si="407"/>
        <v>1</v>
      </c>
      <c r="C7029" t="str">
        <f t="shared" si="409"/>
        <v>308</v>
      </c>
      <c r="D7029" t="str">
        <f>"20"</f>
        <v>20</v>
      </c>
      <c r="E7029" t="str">
        <f>"1-308-20"</f>
        <v>1-308-20</v>
      </c>
      <c r="F7029" t="s">
        <v>83</v>
      </c>
      <c r="G7029" t="s">
        <v>86</v>
      </c>
      <c r="H7029" t="s">
        <v>87</v>
      </c>
      <c r="AC7029">
        <v>0</v>
      </c>
      <c r="AD7029">
        <v>0</v>
      </c>
      <c r="AE7029">
        <v>0</v>
      </c>
      <c r="AF7029">
        <v>0</v>
      </c>
      <c r="AH7029">
        <v>0</v>
      </c>
      <c r="AI7029">
        <v>1</v>
      </c>
      <c r="AJ7029">
        <v>0</v>
      </c>
      <c r="AK7029">
        <v>0</v>
      </c>
      <c r="AL7029">
        <v>0</v>
      </c>
      <c r="AM7029">
        <v>0</v>
      </c>
      <c r="AN7029">
        <v>0</v>
      </c>
      <c r="AO7029">
        <v>0</v>
      </c>
      <c r="AP7029">
        <v>0</v>
      </c>
      <c r="AQ7029">
        <v>0</v>
      </c>
      <c r="AU7029">
        <v>0</v>
      </c>
      <c r="AV7029">
        <v>0</v>
      </c>
      <c r="AW7029">
        <v>0</v>
      </c>
    </row>
    <row r="7030" spans="1:49" x14ac:dyDescent="0.25">
      <c r="A7030" t="str">
        <f>"7026"</f>
        <v>7026</v>
      </c>
      <c r="B7030" t="str">
        <f t="shared" si="407"/>
        <v>1</v>
      </c>
      <c r="C7030" t="str">
        <f t="shared" si="409"/>
        <v>308</v>
      </c>
      <c r="D7030" t="str">
        <f>"8"</f>
        <v>8</v>
      </c>
      <c r="E7030" t="str">
        <f>"1-308-8"</f>
        <v>1-308-8</v>
      </c>
      <c r="F7030" t="s">
        <v>83</v>
      </c>
      <c r="G7030" t="s">
        <v>86</v>
      </c>
      <c r="H7030" t="s">
        <v>93</v>
      </c>
      <c r="I7030">
        <v>1</v>
      </c>
      <c r="K7030">
        <v>0</v>
      </c>
      <c r="L7030">
        <v>0</v>
      </c>
      <c r="M7030">
        <v>1</v>
      </c>
      <c r="N7030">
        <v>1</v>
      </c>
      <c r="O7030">
        <v>1</v>
      </c>
      <c r="P7030">
        <v>0</v>
      </c>
      <c r="Q7030">
        <v>0</v>
      </c>
      <c r="R7030">
        <v>0</v>
      </c>
      <c r="U7030">
        <v>0</v>
      </c>
      <c r="V7030">
        <v>1</v>
      </c>
      <c r="W7030">
        <v>0</v>
      </c>
      <c r="X7030">
        <v>0</v>
      </c>
      <c r="Y7030">
        <v>0</v>
      </c>
      <c r="Z7030">
        <v>0</v>
      </c>
      <c r="AA7030">
        <v>0</v>
      </c>
      <c r="AB7030">
        <v>0</v>
      </c>
    </row>
    <row r="7031" spans="1:49" x14ac:dyDescent="0.25">
      <c r="A7031" t="str">
        <f>"7027"</f>
        <v>7027</v>
      </c>
      <c r="B7031" t="str">
        <f t="shared" si="407"/>
        <v>1</v>
      </c>
      <c r="C7031" t="str">
        <f t="shared" si="409"/>
        <v>308</v>
      </c>
      <c r="D7031" t="str">
        <f>"23"</f>
        <v>23</v>
      </c>
      <c r="E7031" t="str">
        <f>"1-308-23"</f>
        <v>1-308-23</v>
      </c>
      <c r="F7031" t="s">
        <v>83</v>
      </c>
      <c r="G7031" t="s">
        <v>86</v>
      </c>
      <c r="H7031" t="s">
        <v>93</v>
      </c>
      <c r="I7031">
        <v>1</v>
      </c>
      <c r="K7031">
        <v>0</v>
      </c>
      <c r="L7031">
        <v>0</v>
      </c>
      <c r="M7031">
        <v>1</v>
      </c>
      <c r="N7031">
        <v>1</v>
      </c>
      <c r="O7031">
        <v>1</v>
      </c>
      <c r="P7031">
        <v>1</v>
      </c>
      <c r="Q7031">
        <v>1</v>
      </c>
      <c r="R7031">
        <v>1</v>
      </c>
      <c r="U7031">
        <v>0</v>
      </c>
      <c r="V7031">
        <v>1</v>
      </c>
      <c r="W7031">
        <v>1</v>
      </c>
      <c r="X7031">
        <v>1</v>
      </c>
      <c r="Y7031">
        <v>1</v>
      </c>
      <c r="Z7031">
        <v>1</v>
      </c>
      <c r="AA7031">
        <v>1</v>
      </c>
      <c r="AB7031">
        <v>1</v>
      </c>
    </row>
    <row r="7032" spans="1:49" x14ac:dyDescent="0.25">
      <c r="A7032" t="str">
        <f>"7028"</f>
        <v>7028</v>
      </c>
      <c r="B7032" t="str">
        <f t="shared" si="407"/>
        <v>1</v>
      </c>
      <c r="C7032" t="str">
        <f t="shared" si="409"/>
        <v>308</v>
      </c>
      <c r="D7032" t="str">
        <f>"22"</f>
        <v>22</v>
      </c>
      <c r="E7032" t="str">
        <f>"1-308-22"</f>
        <v>1-308-22</v>
      </c>
      <c r="F7032" t="s">
        <v>83</v>
      </c>
      <c r="G7032" t="s">
        <v>86</v>
      </c>
      <c r="H7032" t="s">
        <v>93</v>
      </c>
      <c r="I7032">
        <v>1</v>
      </c>
      <c r="K7032">
        <v>0</v>
      </c>
      <c r="L7032">
        <v>0</v>
      </c>
      <c r="M7032">
        <v>1</v>
      </c>
      <c r="N7032">
        <v>1</v>
      </c>
      <c r="O7032">
        <v>1</v>
      </c>
      <c r="P7032">
        <v>1</v>
      </c>
      <c r="Q7032">
        <v>1</v>
      </c>
      <c r="R7032">
        <v>1</v>
      </c>
      <c r="U7032">
        <v>1</v>
      </c>
      <c r="V7032">
        <v>0</v>
      </c>
      <c r="W7032">
        <v>1</v>
      </c>
      <c r="X7032">
        <v>1</v>
      </c>
      <c r="Y7032">
        <v>1</v>
      </c>
      <c r="Z7032">
        <v>1</v>
      </c>
      <c r="AA7032">
        <v>1</v>
      </c>
      <c r="AB7032">
        <v>1</v>
      </c>
    </row>
    <row r="7033" spans="1:49" x14ac:dyDescent="0.25">
      <c r="A7033" t="str">
        <f>"7029"</f>
        <v>7029</v>
      </c>
      <c r="B7033" t="str">
        <f t="shared" si="407"/>
        <v>1</v>
      </c>
      <c r="C7033" t="str">
        <f t="shared" si="409"/>
        <v>308</v>
      </c>
      <c r="D7033" t="str">
        <f>"13"</f>
        <v>13</v>
      </c>
      <c r="E7033" t="str">
        <f>"1-308-13"</f>
        <v>1-308-13</v>
      </c>
      <c r="F7033" t="s">
        <v>83</v>
      </c>
      <c r="G7033" t="s">
        <v>86</v>
      </c>
      <c r="H7033" t="s">
        <v>87</v>
      </c>
      <c r="AC7033">
        <v>1</v>
      </c>
      <c r="AD7033">
        <v>0</v>
      </c>
      <c r="AE7033">
        <v>0</v>
      </c>
      <c r="AF7033">
        <v>0</v>
      </c>
      <c r="AH7033">
        <v>1</v>
      </c>
      <c r="AI7033">
        <v>0</v>
      </c>
      <c r="AJ7033">
        <v>1</v>
      </c>
      <c r="AK7033">
        <v>0</v>
      </c>
      <c r="AL7033">
        <v>1</v>
      </c>
      <c r="AM7033">
        <v>0</v>
      </c>
      <c r="AN7033">
        <v>0</v>
      </c>
      <c r="AO7033">
        <v>1</v>
      </c>
      <c r="AP7033">
        <v>1</v>
      </c>
      <c r="AQ7033">
        <v>1</v>
      </c>
      <c r="AU7033">
        <v>1</v>
      </c>
      <c r="AV7033">
        <v>1</v>
      </c>
      <c r="AW7033">
        <v>1</v>
      </c>
    </row>
    <row r="7034" spans="1:49" x14ac:dyDescent="0.25">
      <c r="A7034" t="str">
        <f>"7030"</f>
        <v>7030</v>
      </c>
      <c r="B7034" t="str">
        <f t="shared" si="407"/>
        <v>1</v>
      </c>
      <c r="C7034" t="str">
        <f t="shared" si="409"/>
        <v>308</v>
      </c>
      <c r="D7034" t="str">
        <f>"9"</f>
        <v>9</v>
      </c>
      <c r="E7034" t="str">
        <f>"1-308-9"</f>
        <v>1-308-9</v>
      </c>
      <c r="F7034" t="s">
        <v>83</v>
      </c>
      <c r="G7034" t="s">
        <v>86</v>
      </c>
      <c r="H7034" t="s">
        <v>87</v>
      </c>
      <c r="AC7034">
        <v>1</v>
      </c>
      <c r="AD7034">
        <v>0</v>
      </c>
      <c r="AE7034">
        <v>0</v>
      </c>
      <c r="AF7034">
        <v>0</v>
      </c>
      <c r="AH7034">
        <v>1</v>
      </c>
      <c r="AI7034">
        <v>0</v>
      </c>
      <c r="AJ7034">
        <v>1</v>
      </c>
      <c r="AK7034">
        <v>0</v>
      </c>
      <c r="AL7034">
        <v>1</v>
      </c>
      <c r="AM7034">
        <v>0</v>
      </c>
      <c r="AN7034">
        <v>0</v>
      </c>
      <c r="AO7034">
        <v>1</v>
      </c>
      <c r="AP7034">
        <v>1</v>
      </c>
      <c r="AQ7034">
        <v>1</v>
      </c>
      <c r="AU7034">
        <v>1</v>
      </c>
      <c r="AV7034">
        <v>1</v>
      </c>
      <c r="AW7034">
        <v>1</v>
      </c>
    </row>
    <row r="7035" spans="1:49" x14ac:dyDescent="0.25">
      <c r="A7035" t="str">
        <f>"7031"</f>
        <v>7031</v>
      </c>
      <c r="B7035" t="str">
        <f t="shared" si="407"/>
        <v>1</v>
      </c>
      <c r="C7035" t="str">
        <f t="shared" si="409"/>
        <v>308</v>
      </c>
      <c r="D7035" t="str">
        <f>"5"</f>
        <v>5</v>
      </c>
      <c r="E7035" t="str">
        <f>"1-308-5"</f>
        <v>1-308-5</v>
      </c>
      <c r="F7035" t="s">
        <v>83</v>
      </c>
      <c r="G7035" t="s">
        <v>86</v>
      </c>
      <c r="H7035" t="s">
        <v>93</v>
      </c>
      <c r="I7035">
        <v>1</v>
      </c>
      <c r="K7035">
        <v>0</v>
      </c>
      <c r="L7035">
        <v>0</v>
      </c>
      <c r="M7035">
        <v>1</v>
      </c>
      <c r="N7035">
        <v>1</v>
      </c>
      <c r="O7035">
        <v>1</v>
      </c>
      <c r="P7035">
        <v>1</v>
      </c>
      <c r="Q7035">
        <v>1</v>
      </c>
      <c r="R7035">
        <v>1</v>
      </c>
      <c r="U7035">
        <v>0</v>
      </c>
      <c r="V7035">
        <v>1</v>
      </c>
      <c r="W7035">
        <v>1</v>
      </c>
      <c r="X7035">
        <v>1</v>
      </c>
      <c r="Y7035">
        <v>1</v>
      </c>
      <c r="Z7035">
        <v>1</v>
      </c>
      <c r="AA7035">
        <v>1</v>
      </c>
      <c r="AB7035">
        <v>1</v>
      </c>
    </row>
    <row r="7036" spans="1:49" x14ac:dyDescent="0.25">
      <c r="A7036" t="str">
        <f>"7032"</f>
        <v>7032</v>
      </c>
      <c r="B7036" t="str">
        <f t="shared" si="407"/>
        <v>1</v>
      </c>
      <c r="C7036" t="str">
        <f t="shared" si="409"/>
        <v>308</v>
      </c>
      <c r="D7036" t="str">
        <f>"25"</f>
        <v>25</v>
      </c>
      <c r="E7036" t="str">
        <f>"1-308-25"</f>
        <v>1-308-25</v>
      </c>
      <c r="F7036" t="s">
        <v>83</v>
      </c>
      <c r="G7036" t="s">
        <v>86</v>
      </c>
      <c r="H7036" t="s">
        <v>87</v>
      </c>
      <c r="AC7036">
        <v>0</v>
      </c>
      <c r="AD7036">
        <v>0</v>
      </c>
      <c r="AE7036">
        <v>0</v>
      </c>
      <c r="AF7036">
        <v>0</v>
      </c>
      <c r="AH7036">
        <v>0</v>
      </c>
      <c r="AI7036">
        <v>1</v>
      </c>
      <c r="AJ7036">
        <v>0</v>
      </c>
      <c r="AK7036">
        <v>0</v>
      </c>
      <c r="AL7036">
        <v>1</v>
      </c>
      <c r="AM7036">
        <v>0</v>
      </c>
      <c r="AN7036">
        <v>0</v>
      </c>
      <c r="AO7036">
        <v>0</v>
      </c>
      <c r="AP7036">
        <v>0</v>
      </c>
      <c r="AQ7036">
        <v>0</v>
      </c>
      <c r="AU7036">
        <v>0</v>
      </c>
      <c r="AV7036">
        <v>0</v>
      </c>
      <c r="AW7036">
        <v>0</v>
      </c>
    </row>
    <row r="7037" spans="1:49" x14ac:dyDescent="0.25">
      <c r="A7037" t="str">
        <f>"7033"</f>
        <v>7033</v>
      </c>
      <c r="B7037" t="str">
        <f t="shared" si="407"/>
        <v>1</v>
      </c>
      <c r="C7037" t="str">
        <f t="shared" si="409"/>
        <v>308</v>
      </c>
      <c r="D7037" t="str">
        <f>"24"</f>
        <v>24</v>
      </c>
      <c r="E7037" t="str">
        <f>"1-308-24"</f>
        <v>1-308-24</v>
      </c>
      <c r="F7037" t="s">
        <v>83</v>
      </c>
      <c r="G7037" t="s">
        <v>86</v>
      </c>
      <c r="H7037" t="s">
        <v>93</v>
      </c>
      <c r="I7037">
        <v>1</v>
      </c>
      <c r="K7037">
        <v>0</v>
      </c>
      <c r="L7037">
        <v>0</v>
      </c>
      <c r="M7037">
        <v>1</v>
      </c>
      <c r="N7037">
        <v>1</v>
      </c>
      <c r="O7037">
        <v>1</v>
      </c>
      <c r="P7037">
        <v>1</v>
      </c>
      <c r="Q7037">
        <v>1</v>
      </c>
      <c r="R7037">
        <v>1</v>
      </c>
      <c r="U7037">
        <v>1</v>
      </c>
      <c r="V7037">
        <v>0</v>
      </c>
      <c r="W7037">
        <v>1</v>
      </c>
      <c r="X7037">
        <v>1</v>
      </c>
      <c r="Y7037">
        <v>1</v>
      </c>
      <c r="Z7037">
        <v>1</v>
      </c>
      <c r="AA7037">
        <v>1</v>
      </c>
      <c r="AB7037">
        <v>1</v>
      </c>
    </row>
    <row r="7038" spans="1:49" x14ac:dyDescent="0.25">
      <c r="A7038" t="str">
        <f>"7034"</f>
        <v>7034</v>
      </c>
      <c r="B7038" t="str">
        <f t="shared" si="407"/>
        <v>1</v>
      </c>
      <c r="C7038" t="str">
        <f t="shared" si="409"/>
        <v>308</v>
      </c>
      <c r="D7038" t="str">
        <f>"15"</f>
        <v>15</v>
      </c>
      <c r="E7038" t="str">
        <f>"1-308-15"</f>
        <v>1-308-15</v>
      </c>
      <c r="F7038" t="s">
        <v>83</v>
      </c>
      <c r="G7038" t="s">
        <v>86</v>
      </c>
      <c r="H7038" t="s">
        <v>87</v>
      </c>
      <c r="AC7038">
        <v>1</v>
      </c>
      <c r="AD7038">
        <v>0</v>
      </c>
      <c r="AE7038">
        <v>0</v>
      </c>
      <c r="AF7038">
        <v>0</v>
      </c>
      <c r="AH7038">
        <v>0</v>
      </c>
      <c r="AI7038">
        <v>1</v>
      </c>
      <c r="AJ7038">
        <v>1</v>
      </c>
      <c r="AK7038">
        <v>0</v>
      </c>
      <c r="AL7038">
        <v>1</v>
      </c>
      <c r="AM7038">
        <v>0</v>
      </c>
      <c r="AN7038">
        <v>0</v>
      </c>
      <c r="AO7038">
        <v>0</v>
      </c>
      <c r="AP7038">
        <v>0</v>
      </c>
      <c r="AQ7038">
        <v>0</v>
      </c>
      <c r="AU7038">
        <v>0</v>
      </c>
      <c r="AV7038">
        <v>0</v>
      </c>
      <c r="AW7038">
        <v>0</v>
      </c>
    </row>
    <row r="7039" spans="1:49" x14ac:dyDescent="0.25">
      <c r="A7039" t="str">
        <f>"7035"</f>
        <v>7035</v>
      </c>
      <c r="B7039" t="str">
        <f t="shared" si="407"/>
        <v>1</v>
      </c>
      <c r="C7039" t="str">
        <f t="shared" si="409"/>
        <v>308</v>
      </c>
      <c r="D7039" t="str">
        <f>"10"</f>
        <v>10</v>
      </c>
      <c r="E7039" t="str">
        <f>"1-308-10"</f>
        <v>1-308-10</v>
      </c>
      <c r="F7039" t="s">
        <v>83</v>
      </c>
      <c r="G7039" t="s">
        <v>86</v>
      </c>
      <c r="H7039" t="s">
        <v>87</v>
      </c>
      <c r="AC7039">
        <v>0</v>
      </c>
      <c r="AD7039">
        <v>0</v>
      </c>
      <c r="AE7039">
        <v>0</v>
      </c>
      <c r="AF7039">
        <v>0</v>
      </c>
      <c r="AH7039">
        <v>0</v>
      </c>
      <c r="AI7039">
        <v>1</v>
      </c>
      <c r="AJ7039">
        <v>0</v>
      </c>
      <c r="AK7039">
        <v>0</v>
      </c>
      <c r="AL7039">
        <v>0</v>
      </c>
      <c r="AM7039">
        <v>0</v>
      </c>
      <c r="AN7039">
        <v>0</v>
      </c>
      <c r="AO7039">
        <v>0</v>
      </c>
      <c r="AP7039">
        <v>0</v>
      </c>
      <c r="AQ7039">
        <v>0</v>
      </c>
      <c r="AU7039">
        <v>0</v>
      </c>
      <c r="AV7039">
        <v>0</v>
      </c>
      <c r="AW7039">
        <v>0</v>
      </c>
    </row>
    <row r="7040" spans="1:49" x14ac:dyDescent="0.25">
      <c r="A7040" t="str">
        <f>"7036"</f>
        <v>7036</v>
      </c>
      <c r="B7040" t="str">
        <f t="shared" si="407"/>
        <v>1</v>
      </c>
      <c r="C7040" t="str">
        <f t="shared" si="409"/>
        <v>308</v>
      </c>
      <c r="D7040" t="str">
        <f>"3"</f>
        <v>3</v>
      </c>
      <c r="E7040" t="str">
        <f>"1-308-3"</f>
        <v>1-308-3</v>
      </c>
      <c r="F7040" t="s">
        <v>83</v>
      </c>
      <c r="G7040" t="s">
        <v>86</v>
      </c>
      <c r="H7040" t="s">
        <v>87</v>
      </c>
      <c r="AC7040">
        <v>1</v>
      </c>
      <c r="AD7040">
        <v>0</v>
      </c>
      <c r="AE7040">
        <v>0</v>
      </c>
      <c r="AF7040">
        <v>0</v>
      </c>
      <c r="AH7040">
        <v>0</v>
      </c>
      <c r="AI7040">
        <v>1</v>
      </c>
      <c r="AJ7040">
        <v>1</v>
      </c>
      <c r="AK7040">
        <v>0</v>
      </c>
      <c r="AL7040">
        <v>1</v>
      </c>
      <c r="AM7040">
        <v>0</v>
      </c>
      <c r="AN7040">
        <v>0</v>
      </c>
      <c r="AO7040">
        <v>0</v>
      </c>
      <c r="AP7040">
        <v>0</v>
      </c>
      <c r="AQ7040">
        <v>0</v>
      </c>
      <c r="AU7040">
        <v>0</v>
      </c>
      <c r="AV7040">
        <v>0</v>
      </c>
      <c r="AW7040">
        <v>0</v>
      </c>
    </row>
    <row r="7041" spans="1:49" x14ac:dyDescent="0.25">
      <c r="A7041" t="str">
        <f>"7037"</f>
        <v>7037</v>
      </c>
      <c r="B7041" t="str">
        <f t="shared" si="407"/>
        <v>1</v>
      </c>
      <c r="C7041" t="str">
        <f t="shared" si="409"/>
        <v>308</v>
      </c>
      <c r="D7041" t="str">
        <f>"17"</f>
        <v>17</v>
      </c>
      <c r="E7041" t="str">
        <f>"1-308-17"</f>
        <v>1-308-17</v>
      </c>
      <c r="F7041" t="s">
        <v>83</v>
      </c>
      <c r="G7041" t="s">
        <v>86</v>
      </c>
      <c r="H7041" t="s">
        <v>87</v>
      </c>
      <c r="AC7041">
        <v>0</v>
      </c>
      <c r="AD7041">
        <v>0</v>
      </c>
      <c r="AE7041">
        <v>0</v>
      </c>
      <c r="AF7041">
        <v>0</v>
      </c>
      <c r="AH7041">
        <v>0</v>
      </c>
      <c r="AI7041">
        <v>1</v>
      </c>
      <c r="AJ7041">
        <v>0</v>
      </c>
      <c r="AK7041">
        <v>0</v>
      </c>
      <c r="AL7041">
        <v>0</v>
      </c>
      <c r="AM7041">
        <v>0</v>
      </c>
      <c r="AN7041">
        <v>0</v>
      </c>
      <c r="AO7041">
        <v>0</v>
      </c>
      <c r="AP7041">
        <v>0</v>
      </c>
      <c r="AQ7041">
        <v>0</v>
      </c>
      <c r="AU7041">
        <v>0</v>
      </c>
      <c r="AV7041">
        <v>0</v>
      </c>
      <c r="AW7041">
        <v>0</v>
      </c>
    </row>
    <row r="7042" spans="1:49" x14ac:dyDescent="0.25">
      <c r="A7042" t="str">
        <f>"7038"</f>
        <v>7038</v>
      </c>
      <c r="B7042" t="str">
        <f t="shared" si="407"/>
        <v>1</v>
      </c>
      <c r="C7042" t="str">
        <f t="shared" si="409"/>
        <v>308</v>
      </c>
      <c r="D7042" t="str">
        <f>"11"</f>
        <v>11</v>
      </c>
      <c r="E7042" t="str">
        <f>"1-308-11"</f>
        <v>1-308-11</v>
      </c>
      <c r="F7042" t="s">
        <v>83</v>
      </c>
      <c r="G7042" t="s">
        <v>86</v>
      </c>
      <c r="H7042" t="s">
        <v>93</v>
      </c>
      <c r="I7042">
        <v>1</v>
      </c>
      <c r="K7042">
        <v>0</v>
      </c>
      <c r="L7042">
        <v>0</v>
      </c>
      <c r="M7042">
        <v>1</v>
      </c>
      <c r="N7042">
        <v>1</v>
      </c>
      <c r="O7042">
        <v>1</v>
      </c>
      <c r="P7042">
        <v>1</v>
      </c>
      <c r="Q7042">
        <v>1</v>
      </c>
      <c r="R7042">
        <v>1</v>
      </c>
      <c r="U7042">
        <v>1</v>
      </c>
      <c r="V7042">
        <v>0</v>
      </c>
      <c r="W7042">
        <v>1</v>
      </c>
      <c r="X7042">
        <v>1</v>
      </c>
      <c r="Y7042">
        <v>1</v>
      </c>
      <c r="Z7042">
        <v>1</v>
      </c>
      <c r="AA7042">
        <v>1</v>
      </c>
      <c r="AB7042">
        <v>1</v>
      </c>
    </row>
    <row r="7043" spans="1:49" x14ac:dyDescent="0.25">
      <c r="A7043" t="str">
        <f>"7039"</f>
        <v>7039</v>
      </c>
      <c r="B7043" t="str">
        <f t="shared" si="407"/>
        <v>1</v>
      </c>
      <c r="C7043" t="str">
        <f t="shared" si="409"/>
        <v>308</v>
      </c>
      <c r="D7043" t="str">
        <f>"6"</f>
        <v>6</v>
      </c>
      <c r="E7043" t="str">
        <f>"1-308-6"</f>
        <v>1-308-6</v>
      </c>
      <c r="F7043" t="s">
        <v>83</v>
      </c>
      <c r="G7043" t="s">
        <v>86</v>
      </c>
      <c r="H7043" t="s">
        <v>87</v>
      </c>
      <c r="AC7043">
        <v>0</v>
      </c>
      <c r="AD7043">
        <v>0</v>
      </c>
      <c r="AE7043">
        <v>0</v>
      </c>
      <c r="AF7043">
        <v>0</v>
      </c>
      <c r="AH7043">
        <v>0</v>
      </c>
      <c r="AI7043">
        <v>1</v>
      </c>
      <c r="AJ7043">
        <v>1</v>
      </c>
      <c r="AK7043">
        <v>0</v>
      </c>
      <c r="AL7043">
        <v>0</v>
      </c>
      <c r="AM7043">
        <v>0</v>
      </c>
      <c r="AN7043">
        <v>1</v>
      </c>
      <c r="AO7043">
        <v>0</v>
      </c>
      <c r="AP7043">
        <v>0</v>
      </c>
      <c r="AQ7043">
        <v>0</v>
      </c>
      <c r="AU7043">
        <v>1</v>
      </c>
      <c r="AV7043">
        <v>0</v>
      </c>
      <c r="AW7043">
        <v>0</v>
      </c>
    </row>
    <row r="7044" spans="1:49" x14ac:dyDescent="0.25">
      <c r="A7044" t="str">
        <f>"7040"</f>
        <v>7040</v>
      </c>
      <c r="B7044" t="str">
        <f t="shared" si="407"/>
        <v>1</v>
      </c>
      <c r="C7044" t="str">
        <f t="shared" si="409"/>
        <v>308</v>
      </c>
      <c r="D7044" t="str">
        <f>"16"</f>
        <v>16</v>
      </c>
      <c r="E7044" t="str">
        <f>"1-308-16"</f>
        <v>1-308-16</v>
      </c>
      <c r="F7044" t="s">
        <v>83</v>
      </c>
      <c r="G7044" t="s">
        <v>86</v>
      </c>
      <c r="H7044" t="s">
        <v>87</v>
      </c>
      <c r="AC7044">
        <v>0</v>
      </c>
      <c r="AD7044">
        <v>0</v>
      </c>
      <c r="AE7044">
        <v>0</v>
      </c>
      <c r="AF7044">
        <v>0</v>
      </c>
      <c r="AH7044">
        <v>0</v>
      </c>
      <c r="AI7044">
        <v>1</v>
      </c>
      <c r="AJ7044">
        <v>0</v>
      </c>
      <c r="AK7044">
        <v>0</v>
      </c>
      <c r="AL7044">
        <v>0</v>
      </c>
      <c r="AM7044">
        <v>0</v>
      </c>
      <c r="AN7044">
        <v>0</v>
      </c>
      <c r="AO7044">
        <v>0</v>
      </c>
      <c r="AP7044">
        <v>0</v>
      </c>
      <c r="AQ7044">
        <v>0</v>
      </c>
      <c r="AU7044">
        <v>0</v>
      </c>
      <c r="AV7044">
        <v>0</v>
      </c>
      <c r="AW7044">
        <v>0</v>
      </c>
    </row>
    <row r="7045" spans="1:49" x14ac:dyDescent="0.25">
      <c r="A7045" t="str">
        <f>"7041"</f>
        <v>7041</v>
      </c>
      <c r="B7045" t="str">
        <f t="shared" si="407"/>
        <v>1</v>
      </c>
      <c r="C7045" t="str">
        <f t="shared" si="409"/>
        <v>308</v>
      </c>
      <c r="D7045" t="str">
        <f>"12"</f>
        <v>12</v>
      </c>
      <c r="E7045" t="str">
        <f>"1-308-12"</f>
        <v>1-308-12</v>
      </c>
      <c r="F7045" t="s">
        <v>83</v>
      </c>
      <c r="G7045" t="s">
        <v>86</v>
      </c>
      <c r="H7045" t="s">
        <v>87</v>
      </c>
      <c r="AC7045">
        <v>1</v>
      </c>
      <c r="AD7045">
        <v>0</v>
      </c>
      <c r="AE7045">
        <v>0</v>
      </c>
      <c r="AF7045">
        <v>0</v>
      </c>
      <c r="AH7045">
        <v>1</v>
      </c>
      <c r="AI7045">
        <v>0</v>
      </c>
      <c r="AJ7045">
        <v>1</v>
      </c>
      <c r="AK7045">
        <v>0</v>
      </c>
      <c r="AL7045">
        <v>1</v>
      </c>
      <c r="AM7045">
        <v>0</v>
      </c>
      <c r="AN7045">
        <v>0</v>
      </c>
      <c r="AO7045">
        <v>1</v>
      </c>
      <c r="AP7045">
        <v>1</v>
      </c>
      <c r="AQ7045">
        <v>1</v>
      </c>
      <c r="AU7045">
        <v>1</v>
      </c>
      <c r="AV7045">
        <v>1</v>
      </c>
      <c r="AW7045">
        <v>1</v>
      </c>
    </row>
    <row r="7046" spans="1:49" x14ac:dyDescent="0.25">
      <c r="A7046" t="str">
        <f>"7042"</f>
        <v>7042</v>
      </c>
      <c r="B7046" t="str">
        <f t="shared" si="407"/>
        <v>1</v>
      </c>
      <c r="C7046" t="str">
        <f t="shared" si="409"/>
        <v>308</v>
      </c>
      <c r="D7046" t="str">
        <f>"1"</f>
        <v>1</v>
      </c>
      <c r="E7046" t="str">
        <f>"1-308-1"</f>
        <v>1-308-1</v>
      </c>
      <c r="F7046" t="s">
        <v>83</v>
      </c>
      <c r="G7046" t="s">
        <v>86</v>
      </c>
      <c r="H7046" t="s">
        <v>93</v>
      </c>
      <c r="I7046">
        <v>1</v>
      </c>
      <c r="K7046">
        <v>1</v>
      </c>
      <c r="L7046">
        <v>0</v>
      </c>
      <c r="M7046">
        <v>0</v>
      </c>
      <c r="N7046">
        <v>1</v>
      </c>
      <c r="O7046">
        <v>0</v>
      </c>
      <c r="P7046">
        <v>0</v>
      </c>
      <c r="Q7046">
        <v>0</v>
      </c>
      <c r="R7046">
        <v>0</v>
      </c>
      <c r="U7046">
        <v>0</v>
      </c>
      <c r="V7046">
        <v>1</v>
      </c>
      <c r="W7046">
        <v>0</v>
      </c>
      <c r="X7046">
        <v>0</v>
      </c>
      <c r="Y7046">
        <v>0</v>
      </c>
      <c r="Z7046">
        <v>0</v>
      </c>
      <c r="AA7046">
        <v>0</v>
      </c>
      <c r="AB7046">
        <v>0</v>
      </c>
    </row>
    <row r="7047" spans="1:49" x14ac:dyDescent="0.25">
      <c r="A7047" t="str">
        <f>"7043"</f>
        <v>7043</v>
      </c>
      <c r="B7047" t="str">
        <f t="shared" si="407"/>
        <v>1</v>
      </c>
      <c r="C7047" t="str">
        <f t="shared" si="409"/>
        <v>308</v>
      </c>
      <c r="D7047" t="str">
        <f>"18"</f>
        <v>18</v>
      </c>
      <c r="E7047" t="str">
        <f>"1-308-18"</f>
        <v>1-308-18</v>
      </c>
      <c r="F7047" t="s">
        <v>83</v>
      </c>
      <c r="G7047" t="s">
        <v>86</v>
      </c>
      <c r="H7047" t="s">
        <v>87</v>
      </c>
      <c r="AC7047">
        <v>1</v>
      </c>
      <c r="AD7047">
        <v>0</v>
      </c>
      <c r="AE7047">
        <v>0</v>
      </c>
      <c r="AF7047">
        <v>0</v>
      </c>
      <c r="AH7047">
        <v>1</v>
      </c>
      <c r="AI7047">
        <v>0</v>
      </c>
      <c r="AJ7047">
        <v>1</v>
      </c>
      <c r="AK7047">
        <v>0</v>
      </c>
      <c r="AL7047">
        <v>1</v>
      </c>
      <c r="AM7047">
        <v>0</v>
      </c>
      <c r="AN7047">
        <v>0</v>
      </c>
      <c r="AO7047">
        <v>1</v>
      </c>
      <c r="AP7047">
        <v>1</v>
      </c>
      <c r="AQ7047">
        <v>1</v>
      </c>
      <c r="AU7047">
        <v>1</v>
      </c>
      <c r="AV7047">
        <v>1</v>
      </c>
      <c r="AW7047">
        <v>1</v>
      </c>
    </row>
    <row r="7048" spans="1:49" x14ac:dyDescent="0.25">
      <c r="A7048" t="str">
        <f>"7044"</f>
        <v>7044</v>
      </c>
      <c r="B7048" t="str">
        <f t="shared" si="407"/>
        <v>1</v>
      </c>
      <c r="C7048" t="str">
        <f t="shared" si="409"/>
        <v>308</v>
      </c>
      <c r="D7048" t="str">
        <f>"2"</f>
        <v>2</v>
      </c>
      <c r="E7048" t="str">
        <f>"1-308-2"</f>
        <v>1-308-2</v>
      </c>
      <c r="F7048" t="s">
        <v>83</v>
      </c>
      <c r="G7048" t="s">
        <v>86</v>
      </c>
      <c r="H7048" t="s">
        <v>87</v>
      </c>
      <c r="AC7048">
        <v>0</v>
      </c>
      <c r="AD7048">
        <v>1</v>
      </c>
      <c r="AE7048">
        <v>0</v>
      </c>
      <c r="AF7048">
        <v>0</v>
      </c>
      <c r="AH7048">
        <v>0</v>
      </c>
      <c r="AI7048">
        <v>1</v>
      </c>
      <c r="AJ7048">
        <v>0</v>
      </c>
      <c r="AK7048">
        <v>0</v>
      </c>
      <c r="AL7048">
        <v>0</v>
      </c>
      <c r="AM7048">
        <v>1</v>
      </c>
      <c r="AN7048">
        <v>0</v>
      </c>
      <c r="AO7048">
        <v>1</v>
      </c>
      <c r="AP7048">
        <v>1</v>
      </c>
      <c r="AQ7048">
        <v>1</v>
      </c>
      <c r="AU7048">
        <v>1</v>
      </c>
      <c r="AV7048">
        <v>1</v>
      </c>
      <c r="AW7048">
        <v>0</v>
      </c>
    </row>
    <row r="7049" spans="1:49" x14ac:dyDescent="0.25">
      <c r="A7049" t="str">
        <f>"7045"</f>
        <v>7045</v>
      </c>
      <c r="B7049" t="str">
        <f t="shared" si="407"/>
        <v>1</v>
      </c>
      <c r="C7049" t="str">
        <f t="shared" si="409"/>
        <v>308</v>
      </c>
      <c r="D7049" t="str">
        <f>"7"</f>
        <v>7</v>
      </c>
      <c r="E7049" t="str">
        <f>"1-308-7"</f>
        <v>1-308-7</v>
      </c>
      <c r="F7049" t="s">
        <v>83</v>
      </c>
      <c r="G7049" t="s">
        <v>86</v>
      </c>
      <c r="H7049" t="s">
        <v>93</v>
      </c>
      <c r="I7049">
        <v>1</v>
      </c>
      <c r="K7049">
        <v>1</v>
      </c>
      <c r="L7049">
        <v>0</v>
      </c>
      <c r="M7049">
        <v>0</v>
      </c>
      <c r="N7049">
        <v>1</v>
      </c>
      <c r="O7049">
        <v>1</v>
      </c>
      <c r="P7049">
        <v>1</v>
      </c>
      <c r="Q7049">
        <v>1</v>
      </c>
      <c r="R7049">
        <v>1</v>
      </c>
      <c r="U7049">
        <v>1</v>
      </c>
      <c r="V7049">
        <v>0</v>
      </c>
      <c r="W7049">
        <v>1</v>
      </c>
      <c r="X7049">
        <v>1</v>
      </c>
      <c r="Y7049">
        <v>1</v>
      </c>
      <c r="Z7049">
        <v>1</v>
      </c>
      <c r="AA7049">
        <v>1</v>
      </c>
      <c r="AB7049">
        <v>1</v>
      </c>
    </row>
    <row r="7050" spans="1:49" x14ac:dyDescent="0.25">
      <c r="A7050" t="str">
        <f>"7046"</f>
        <v>7046</v>
      </c>
      <c r="B7050" t="str">
        <f t="shared" si="407"/>
        <v>1</v>
      </c>
      <c r="C7050" t="str">
        <f t="shared" si="409"/>
        <v>308</v>
      </c>
      <c r="D7050" t="str">
        <f>"4"</f>
        <v>4</v>
      </c>
      <c r="E7050" t="str">
        <f>"1-308-4"</f>
        <v>1-308-4</v>
      </c>
      <c r="F7050" t="s">
        <v>83</v>
      </c>
      <c r="G7050" t="s">
        <v>86</v>
      </c>
      <c r="H7050" t="s">
        <v>87</v>
      </c>
      <c r="AC7050">
        <v>0</v>
      </c>
      <c r="AD7050">
        <v>0</v>
      </c>
      <c r="AE7050">
        <v>0</v>
      </c>
      <c r="AF7050">
        <v>0</v>
      </c>
      <c r="AH7050">
        <v>0</v>
      </c>
      <c r="AI7050">
        <v>1</v>
      </c>
      <c r="AJ7050">
        <v>0</v>
      </c>
      <c r="AK7050">
        <v>0</v>
      </c>
      <c r="AL7050">
        <v>0</v>
      </c>
      <c r="AM7050">
        <v>0</v>
      </c>
      <c r="AN7050">
        <v>1</v>
      </c>
      <c r="AO7050">
        <v>0</v>
      </c>
      <c r="AP7050">
        <v>0</v>
      </c>
      <c r="AQ7050">
        <v>0</v>
      </c>
      <c r="AU7050">
        <v>0</v>
      </c>
      <c r="AV7050">
        <v>0</v>
      </c>
      <c r="AW7050">
        <v>1</v>
      </c>
    </row>
    <row r="7051" spans="1:49" x14ac:dyDescent="0.25">
      <c r="A7051" t="str">
        <f>"7047"</f>
        <v>7047</v>
      </c>
      <c r="B7051" t="str">
        <f t="shared" si="407"/>
        <v>1</v>
      </c>
      <c r="C7051" t="str">
        <f t="shared" si="409"/>
        <v>308</v>
      </c>
      <c r="D7051" t="str">
        <f>"14"</f>
        <v>14</v>
      </c>
      <c r="E7051" t="str">
        <f>"1-308-14"</f>
        <v>1-308-14</v>
      </c>
      <c r="F7051" t="s">
        <v>83</v>
      </c>
      <c r="G7051" t="s">
        <v>86</v>
      </c>
      <c r="H7051" t="s">
        <v>87</v>
      </c>
      <c r="AC7051">
        <v>0</v>
      </c>
      <c r="AD7051">
        <v>0</v>
      </c>
      <c r="AE7051">
        <v>0</v>
      </c>
      <c r="AF7051">
        <v>0</v>
      </c>
      <c r="AH7051">
        <v>0</v>
      </c>
      <c r="AI7051">
        <v>1</v>
      </c>
      <c r="AJ7051">
        <v>0</v>
      </c>
      <c r="AK7051">
        <v>0</v>
      </c>
      <c r="AL7051">
        <v>0</v>
      </c>
      <c r="AM7051">
        <v>0</v>
      </c>
      <c r="AN7051">
        <v>0</v>
      </c>
      <c r="AO7051">
        <v>0</v>
      </c>
      <c r="AP7051">
        <v>0</v>
      </c>
      <c r="AQ7051">
        <v>0</v>
      </c>
      <c r="AU7051">
        <v>0</v>
      </c>
      <c r="AV7051">
        <v>0</v>
      </c>
      <c r="AW7051">
        <v>0</v>
      </c>
    </row>
    <row r="7052" spans="1:49" x14ac:dyDescent="0.25">
      <c r="A7052" t="str">
        <f>"7048"</f>
        <v>7048</v>
      </c>
      <c r="B7052" t="str">
        <f t="shared" si="407"/>
        <v>1</v>
      </c>
      <c r="C7052" t="str">
        <f t="shared" si="409"/>
        <v>308</v>
      </c>
      <c r="D7052" t="str">
        <f>"19"</f>
        <v>19</v>
      </c>
      <c r="E7052" t="str">
        <f>"1-308-19"</f>
        <v>1-308-19</v>
      </c>
      <c r="F7052" t="s">
        <v>83</v>
      </c>
      <c r="G7052" t="s">
        <v>86</v>
      </c>
      <c r="H7052" t="s">
        <v>87</v>
      </c>
      <c r="AC7052">
        <v>0</v>
      </c>
      <c r="AD7052">
        <v>0</v>
      </c>
      <c r="AE7052">
        <v>0</v>
      </c>
      <c r="AF7052">
        <v>1</v>
      </c>
      <c r="AH7052">
        <v>0</v>
      </c>
      <c r="AI7052">
        <v>1</v>
      </c>
      <c r="AJ7052">
        <v>0</v>
      </c>
      <c r="AK7052">
        <v>1</v>
      </c>
      <c r="AL7052">
        <v>0</v>
      </c>
      <c r="AM7052">
        <v>0</v>
      </c>
      <c r="AN7052">
        <v>1</v>
      </c>
      <c r="AO7052">
        <v>1</v>
      </c>
      <c r="AP7052">
        <v>1</v>
      </c>
      <c r="AQ7052">
        <v>1</v>
      </c>
      <c r="AU7052">
        <v>1</v>
      </c>
      <c r="AV7052">
        <v>1</v>
      </c>
      <c r="AW7052">
        <v>1</v>
      </c>
    </row>
    <row r="7053" spans="1:49" x14ac:dyDescent="0.25">
      <c r="A7053" t="str">
        <f>"7049"</f>
        <v>7049</v>
      </c>
      <c r="B7053" t="str">
        <f t="shared" si="407"/>
        <v>1</v>
      </c>
      <c r="C7053" t="str">
        <f t="shared" ref="C7053:C7058" si="410">"309"</f>
        <v>309</v>
      </c>
      <c r="D7053" t="str">
        <f>"1"</f>
        <v>1</v>
      </c>
      <c r="E7053" t="str">
        <f>"1-309-1"</f>
        <v>1-309-1</v>
      </c>
      <c r="F7053" t="s">
        <v>83</v>
      </c>
      <c r="G7053" t="s">
        <v>84</v>
      </c>
      <c r="H7053" t="s">
        <v>85</v>
      </c>
      <c r="AC7053">
        <v>0</v>
      </c>
      <c r="AD7053">
        <v>1</v>
      </c>
      <c r="AE7053">
        <v>0</v>
      </c>
      <c r="AF7053">
        <v>0</v>
      </c>
      <c r="AG7053">
        <v>0</v>
      </c>
      <c r="AJ7053">
        <v>0</v>
      </c>
      <c r="AK7053">
        <v>1</v>
      </c>
      <c r="AL7053">
        <v>0</v>
      </c>
      <c r="AM7053">
        <v>0</v>
      </c>
      <c r="AN7053">
        <v>1</v>
      </c>
      <c r="AO7053">
        <v>0</v>
      </c>
      <c r="AP7053">
        <v>0</v>
      </c>
      <c r="AQ7053">
        <v>0</v>
      </c>
      <c r="AR7053">
        <v>0</v>
      </c>
      <c r="AS7053">
        <v>0</v>
      </c>
      <c r="AT7053">
        <v>1</v>
      </c>
      <c r="AV7053">
        <v>0</v>
      </c>
      <c r="AW7053">
        <v>0</v>
      </c>
    </row>
    <row r="7054" spans="1:49" x14ac:dyDescent="0.25">
      <c r="A7054" t="str">
        <f>"7050"</f>
        <v>7050</v>
      </c>
      <c r="B7054" t="str">
        <f t="shared" si="407"/>
        <v>1</v>
      </c>
      <c r="C7054" t="str">
        <f t="shared" si="410"/>
        <v>309</v>
      </c>
      <c r="D7054" t="str">
        <f>"4"</f>
        <v>4</v>
      </c>
      <c r="E7054" t="str">
        <f>"1-309-4"</f>
        <v>1-309-4</v>
      </c>
      <c r="F7054" t="s">
        <v>83</v>
      </c>
      <c r="G7054" t="s">
        <v>84</v>
      </c>
      <c r="H7054" t="s">
        <v>85</v>
      </c>
      <c r="AC7054">
        <v>0</v>
      </c>
      <c r="AD7054">
        <v>1</v>
      </c>
      <c r="AE7054">
        <v>0</v>
      </c>
      <c r="AF7054">
        <v>0</v>
      </c>
      <c r="AG7054">
        <v>0</v>
      </c>
      <c r="AJ7054">
        <v>0</v>
      </c>
      <c r="AK7054">
        <v>1</v>
      </c>
      <c r="AL7054">
        <v>0</v>
      </c>
      <c r="AM7054">
        <v>0</v>
      </c>
      <c r="AN7054">
        <v>0</v>
      </c>
      <c r="AO7054">
        <v>0</v>
      </c>
      <c r="AP7054">
        <v>0</v>
      </c>
      <c r="AQ7054">
        <v>0</v>
      </c>
      <c r="AR7054">
        <v>0</v>
      </c>
      <c r="AS7054">
        <v>0</v>
      </c>
      <c r="AT7054">
        <v>1</v>
      </c>
      <c r="AV7054">
        <v>1</v>
      </c>
      <c r="AW7054">
        <v>1</v>
      </c>
    </row>
    <row r="7055" spans="1:49" x14ac:dyDescent="0.25">
      <c r="A7055" t="str">
        <f>"7051"</f>
        <v>7051</v>
      </c>
      <c r="B7055" t="str">
        <f t="shared" si="407"/>
        <v>1</v>
      </c>
      <c r="C7055" t="str">
        <f t="shared" si="410"/>
        <v>309</v>
      </c>
      <c r="D7055" t="str">
        <f>"2"</f>
        <v>2</v>
      </c>
      <c r="E7055" t="str">
        <f>"1-309-2"</f>
        <v>1-309-2</v>
      </c>
      <c r="F7055" t="s">
        <v>83</v>
      </c>
      <c r="G7055" t="s">
        <v>84</v>
      </c>
      <c r="H7055" t="s">
        <v>85</v>
      </c>
      <c r="AC7055">
        <v>0</v>
      </c>
      <c r="AD7055">
        <v>1</v>
      </c>
      <c r="AE7055">
        <v>0</v>
      </c>
      <c r="AF7055">
        <v>0</v>
      </c>
      <c r="AG7055">
        <v>1</v>
      </c>
      <c r="AJ7055">
        <v>0</v>
      </c>
      <c r="AK7055">
        <v>1</v>
      </c>
      <c r="AL7055">
        <v>0</v>
      </c>
      <c r="AM7055">
        <v>1</v>
      </c>
      <c r="AN7055">
        <v>0</v>
      </c>
      <c r="AO7055">
        <v>1</v>
      </c>
      <c r="AP7055">
        <v>1</v>
      </c>
      <c r="AQ7055">
        <v>1</v>
      </c>
      <c r="AR7055">
        <v>1</v>
      </c>
      <c r="AS7055">
        <v>0</v>
      </c>
      <c r="AT7055">
        <v>1</v>
      </c>
      <c r="AV7055">
        <v>1</v>
      </c>
      <c r="AW7055">
        <v>1</v>
      </c>
    </row>
    <row r="7056" spans="1:49" x14ac:dyDescent="0.25">
      <c r="A7056" t="str">
        <f>"7052"</f>
        <v>7052</v>
      </c>
      <c r="B7056" t="str">
        <f t="shared" si="407"/>
        <v>1</v>
      </c>
      <c r="C7056" t="str">
        <f t="shared" si="410"/>
        <v>309</v>
      </c>
      <c r="D7056" t="str">
        <f>"5"</f>
        <v>5</v>
      </c>
      <c r="E7056" t="str">
        <f>"1-309-5"</f>
        <v>1-309-5</v>
      </c>
      <c r="F7056" t="s">
        <v>83</v>
      </c>
      <c r="G7056" t="s">
        <v>84</v>
      </c>
      <c r="H7056" t="s">
        <v>85</v>
      </c>
      <c r="AC7056">
        <v>1</v>
      </c>
      <c r="AD7056">
        <v>0</v>
      </c>
      <c r="AE7056">
        <v>0</v>
      </c>
      <c r="AF7056">
        <v>0</v>
      </c>
      <c r="AG7056">
        <v>1</v>
      </c>
      <c r="AJ7056">
        <v>0</v>
      </c>
      <c r="AK7056">
        <v>1</v>
      </c>
      <c r="AL7056">
        <v>0</v>
      </c>
      <c r="AM7056">
        <v>1</v>
      </c>
      <c r="AN7056">
        <v>0</v>
      </c>
      <c r="AO7056">
        <v>1</v>
      </c>
      <c r="AP7056">
        <v>1</v>
      </c>
      <c r="AQ7056">
        <v>1</v>
      </c>
      <c r="AR7056">
        <v>1</v>
      </c>
      <c r="AS7056">
        <v>0</v>
      </c>
      <c r="AT7056">
        <v>1</v>
      </c>
      <c r="AV7056">
        <v>1</v>
      </c>
      <c r="AW7056">
        <v>1</v>
      </c>
    </row>
    <row r="7057" spans="1:49" x14ac:dyDescent="0.25">
      <c r="A7057" t="str">
        <f>"7053"</f>
        <v>7053</v>
      </c>
      <c r="B7057" t="str">
        <f t="shared" si="407"/>
        <v>1</v>
      </c>
      <c r="C7057" t="str">
        <f t="shared" si="410"/>
        <v>309</v>
      </c>
      <c r="D7057" t="str">
        <f>"6"</f>
        <v>6</v>
      </c>
      <c r="E7057" t="str">
        <f>"1-309-6"</f>
        <v>1-309-6</v>
      </c>
      <c r="F7057" t="s">
        <v>83</v>
      </c>
      <c r="G7057" t="s">
        <v>84</v>
      </c>
      <c r="H7057" t="s">
        <v>85</v>
      </c>
      <c r="AC7057">
        <v>0</v>
      </c>
      <c r="AD7057">
        <v>1</v>
      </c>
      <c r="AE7057">
        <v>0</v>
      </c>
      <c r="AF7057">
        <v>0</v>
      </c>
      <c r="AG7057">
        <v>1</v>
      </c>
      <c r="AJ7057">
        <v>0</v>
      </c>
      <c r="AK7057">
        <v>1</v>
      </c>
      <c r="AL7057">
        <v>0</v>
      </c>
      <c r="AM7057">
        <v>0</v>
      </c>
      <c r="AN7057">
        <v>1</v>
      </c>
      <c r="AO7057">
        <v>1</v>
      </c>
      <c r="AP7057">
        <v>1</v>
      </c>
      <c r="AQ7057">
        <v>1</v>
      </c>
      <c r="AR7057">
        <v>1</v>
      </c>
      <c r="AS7057">
        <v>1</v>
      </c>
      <c r="AT7057">
        <v>0</v>
      </c>
      <c r="AV7057">
        <v>1</v>
      </c>
      <c r="AW7057">
        <v>0</v>
      </c>
    </row>
    <row r="7058" spans="1:49" x14ac:dyDescent="0.25">
      <c r="A7058" t="str">
        <f>"7054"</f>
        <v>7054</v>
      </c>
      <c r="B7058" t="str">
        <f t="shared" si="407"/>
        <v>1</v>
      </c>
      <c r="C7058" t="str">
        <f t="shared" si="410"/>
        <v>309</v>
      </c>
      <c r="D7058" t="str">
        <f>"3"</f>
        <v>3</v>
      </c>
      <c r="E7058" t="str">
        <f>"1-309-3"</f>
        <v>1-309-3</v>
      </c>
      <c r="F7058" t="s">
        <v>83</v>
      </c>
      <c r="G7058" t="s">
        <v>84</v>
      </c>
      <c r="H7058" t="s">
        <v>85</v>
      </c>
      <c r="AC7058">
        <v>0</v>
      </c>
      <c r="AD7058">
        <v>1</v>
      </c>
      <c r="AE7058">
        <v>0</v>
      </c>
      <c r="AF7058">
        <v>0</v>
      </c>
      <c r="AG7058">
        <v>1</v>
      </c>
      <c r="AJ7058">
        <v>1</v>
      </c>
      <c r="AK7058">
        <v>0</v>
      </c>
      <c r="AL7058">
        <v>0</v>
      </c>
      <c r="AM7058">
        <v>1</v>
      </c>
      <c r="AN7058">
        <v>0</v>
      </c>
      <c r="AO7058">
        <v>1</v>
      </c>
      <c r="AP7058">
        <v>1</v>
      </c>
      <c r="AQ7058">
        <v>1</v>
      </c>
      <c r="AR7058">
        <v>1</v>
      </c>
      <c r="AS7058">
        <v>0</v>
      </c>
      <c r="AT7058">
        <v>1</v>
      </c>
      <c r="AV7058">
        <v>1</v>
      </c>
      <c r="AW7058">
        <v>1</v>
      </c>
    </row>
    <row r="7059" spans="1:49" x14ac:dyDescent="0.25">
      <c r="A7059" t="str">
        <f>"7055"</f>
        <v>7055</v>
      </c>
      <c r="B7059" t="str">
        <f t="shared" si="407"/>
        <v>1</v>
      </c>
      <c r="C7059" t="str">
        <f t="shared" ref="C7059:C7083" si="411">"310"</f>
        <v>310</v>
      </c>
      <c r="D7059" t="str">
        <f>"23"</f>
        <v>23</v>
      </c>
      <c r="E7059" t="str">
        <f>"1-310-23"</f>
        <v>1-310-23</v>
      </c>
      <c r="F7059" t="s">
        <v>83</v>
      </c>
      <c r="G7059" t="s">
        <v>84</v>
      </c>
      <c r="H7059" t="s">
        <v>85</v>
      </c>
      <c r="AC7059">
        <v>0</v>
      </c>
      <c r="AD7059">
        <v>1</v>
      </c>
      <c r="AE7059">
        <v>0</v>
      </c>
      <c r="AF7059">
        <v>0</v>
      </c>
      <c r="AG7059">
        <v>0</v>
      </c>
      <c r="AJ7059">
        <v>0</v>
      </c>
      <c r="AK7059">
        <v>1</v>
      </c>
      <c r="AL7059">
        <v>0</v>
      </c>
      <c r="AM7059">
        <v>0</v>
      </c>
      <c r="AN7059">
        <v>0</v>
      </c>
      <c r="AO7059">
        <v>0</v>
      </c>
      <c r="AP7059">
        <v>0</v>
      </c>
      <c r="AQ7059">
        <v>0</v>
      </c>
      <c r="AR7059">
        <v>0</v>
      </c>
      <c r="AS7059">
        <v>0</v>
      </c>
      <c r="AT7059">
        <v>0</v>
      </c>
      <c r="AV7059">
        <v>0</v>
      </c>
      <c r="AW7059">
        <v>0</v>
      </c>
    </row>
    <row r="7060" spans="1:49" x14ac:dyDescent="0.25">
      <c r="A7060" t="str">
        <f>"7056"</f>
        <v>7056</v>
      </c>
      <c r="B7060" t="str">
        <f t="shared" si="407"/>
        <v>1</v>
      </c>
      <c r="C7060" t="str">
        <f t="shared" si="411"/>
        <v>310</v>
      </c>
      <c r="D7060" t="str">
        <f>"22"</f>
        <v>22</v>
      </c>
      <c r="E7060" t="str">
        <f>"1-310-22"</f>
        <v>1-310-22</v>
      </c>
      <c r="F7060" t="s">
        <v>83</v>
      </c>
      <c r="G7060" t="s">
        <v>84</v>
      </c>
      <c r="H7060" t="s">
        <v>85</v>
      </c>
      <c r="AC7060">
        <v>0</v>
      </c>
      <c r="AD7060">
        <v>1</v>
      </c>
      <c r="AE7060">
        <v>0</v>
      </c>
      <c r="AF7060">
        <v>0</v>
      </c>
      <c r="AG7060">
        <v>0</v>
      </c>
      <c r="AJ7060">
        <v>1</v>
      </c>
      <c r="AK7060">
        <v>0</v>
      </c>
      <c r="AL7060">
        <v>0</v>
      </c>
      <c r="AM7060">
        <v>1</v>
      </c>
      <c r="AN7060">
        <v>0</v>
      </c>
      <c r="AO7060">
        <v>0</v>
      </c>
      <c r="AP7060">
        <v>0</v>
      </c>
      <c r="AQ7060">
        <v>0</v>
      </c>
      <c r="AR7060">
        <v>0</v>
      </c>
      <c r="AS7060">
        <v>0</v>
      </c>
      <c r="AT7060">
        <v>1</v>
      </c>
      <c r="AV7060">
        <v>0</v>
      </c>
      <c r="AW7060">
        <v>0</v>
      </c>
    </row>
    <row r="7061" spans="1:49" x14ac:dyDescent="0.25">
      <c r="A7061" t="str">
        <f>"7057"</f>
        <v>7057</v>
      </c>
      <c r="B7061" t="str">
        <f t="shared" si="407"/>
        <v>1</v>
      </c>
      <c r="C7061" t="str">
        <f t="shared" si="411"/>
        <v>310</v>
      </c>
      <c r="D7061" t="str">
        <f>"13"</f>
        <v>13</v>
      </c>
      <c r="E7061" t="str">
        <f>"1-310-13"</f>
        <v>1-310-13</v>
      </c>
      <c r="F7061" t="s">
        <v>83</v>
      </c>
      <c r="G7061" t="s">
        <v>84</v>
      </c>
      <c r="H7061" t="s">
        <v>85</v>
      </c>
      <c r="AC7061">
        <v>1</v>
      </c>
      <c r="AD7061">
        <v>0</v>
      </c>
      <c r="AE7061">
        <v>0</v>
      </c>
      <c r="AF7061">
        <v>0</v>
      </c>
      <c r="AG7061">
        <v>1</v>
      </c>
      <c r="AJ7061">
        <v>1</v>
      </c>
      <c r="AK7061">
        <v>0</v>
      </c>
      <c r="AL7061">
        <v>1</v>
      </c>
      <c r="AM7061">
        <v>0</v>
      </c>
      <c r="AN7061">
        <v>0</v>
      </c>
      <c r="AO7061">
        <v>1</v>
      </c>
      <c r="AP7061">
        <v>1</v>
      </c>
      <c r="AQ7061">
        <v>1</v>
      </c>
      <c r="AR7061">
        <v>1</v>
      </c>
      <c r="AS7061">
        <v>1</v>
      </c>
      <c r="AT7061">
        <v>0</v>
      </c>
      <c r="AV7061">
        <v>1</v>
      </c>
      <c r="AW7061">
        <v>1</v>
      </c>
    </row>
    <row r="7062" spans="1:49" x14ac:dyDescent="0.25">
      <c r="A7062" t="str">
        <f>"7058"</f>
        <v>7058</v>
      </c>
      <c r="B7062" t="str">
        <f t="shared" si="407"/>
        <v>1</v>
      </c>
      <c r="C7062" t="str">
        <f t="shared" si="411"/>
        <v>310</v>
      </c>
      <c r="D7062" t="str">
        <f>"12"</f>
        <v>12</v>
      </c>
      <c r="E7062" t="str">
        <f>"1-310-12"</f>
        <v>1-310-12</v>
      </c>
      <c r="F7062" t="s">
        <v>83</v>
      </c>
      <c r="G7062" t="s">
        <v>84</v>
      </c>
      <c r="H7062" t="s">
        <v>85</v>
      </c>
      <c r="AC7062">
        <v>1</v>
      </c>
      <c r="AD7062">
        <v>0</v>
      </c>
      <c r="AE7062">
        <v>0</v>
      </c>
      <c r="AF7062">
        <v>0</v>
      </c>
      <c r="AG7062">
        <v>1</v>
      </c>
      <c r="AJ7062">
        <v>1</v>
      </c>
      <c r="AK7062">
        <v>0</v>
      </c>
      <c r="AL7062">
        <v>1</v>
      </c>
      <c r="AM7062">
        <v>0</v>
      </c>
      <c r="AN7062">
        <v>0</v>
      </c>
      <c r="AO7062">
        <v>1</v>
      </c>
      <c r="AP7062">
        <v>1</v>
      </c>
      <c r="AQ7062">
        <v>1</v>
      </c>
      <c r="AR7062">
        <v>1</v>
      </c>
      <c r="AS7062">
        <v>1</v>
      </c>
      <c r="AT7062">
        <v>0</v>
      </c>
      <c r="AV7062">
        <v>1</v>
      </c>
      <c r="AW7062">
        <v>1</v>
      </c>
    </row>
    <row r="7063" spans="1:49" x14ac:dyDescent="0.25">
      <c r="A7063" t="str">
        <f>"7059"</f>
        <v>7059</v>
      </c>
      <c r="B7063" t="str">
        <f t="shared" si="407"/>
        <v>1</v>
      </c>
      <c r="C7063" t="str">
        <f t="shared" si="411"/>
        <v>310</v>
      </c>
      <c r="D7063" t="str">
        <f>"11"</f>
        <v>11</v>
      </c>
      <c r="E7063" t="str">
        <f>"1-310-11"</f>
        <v>1-310-11</v>
      </c>
      <c r="F7063" t="s">
        <v>83</v>
      </c>
      <c r="G7063" t="s">
        <v>88</v>
      </c>
      <c r="H7063" t="s">
        <v>95</v>
      </c>
      <c r="I7063">
        <v>1</v>
      </c>
      <c r="K7063">
        <v>0</v>
      </c>
      <c r="L7063">
        <v>0</v>
      </c>
      <c r="M7063">
        <v>1</v>
      </c>
      <c r="N7063">
        <v>1</v>
      </c>
      <c r="O7063">
        <v>1</v>
      </c>
      <c r="P7063">
        <v>1</v>
      </c>
      <c r="Q7063">
        <v>1</v>
      </c>
      <c r="R7063">
        <v>1</v>
      </c>
      <c r="S7063">
        <v>1</v>
      </c>
      <c r="T7063">
        <v>1</v>
      </c>
      <c r="W7063">
        <v>1</v>
      </c>
      <c r="X7063">
        <v>1</v>
      </c>
      <c r="Y7063">
        <v>1</v>
      </c>
      <c r="Z7063">
        <v>1</v>
      </c>
      <c r="AA7063">
        <v>1</v>
      </c>
      <c r="AB7063">
        <v>1</v>
      </c>
    </row>
    <row r="7064" spans="1:49" x14ac:dyDescent="0.25">
      <c r="A7064" t="str">
        <f>"7060"</f>
        <v>7060</v>
      </c>
      <c r="B7064" t="str">
        <f t="shared" si="407"/>
        <v>1</v>
      </c>
      <c r="C7064" t="str">
        <f t="shared" si="411"/>
        <v>310</v>
      </c>
      <c r="D7064" t="str">
        <f>"8"</f>
        <v>8</v>
      </c>
      <c r="E7064" t="str">
        <f>"1-310-8"</f>
        <v>1-310-8</v>
      </c>
      <c r="F7064" t="s">
        <v>83</v>
      </c>
      <c r="G7064" t="s">
        <v>84</v>
      </c>
      <c r="H7064" t="s">
        <v>85</v>
      </c>
      <c r="AC7064">
        <v>0</v>
      </c>
      <c r="AD7064">
        <v>1</v>
      </c>
      <c r="AE7064">
        <v>0</v>
      </c>
      <c r="AF7064">
        <v>0</v>
      </c>
      <c r="AG7064">
        <v>1</v>
      </c>
      <c r="AJ7064">
        <v>0</v>
      </c>
      <c r="AK7064">
        <v>1</v>
      </c>
      <c r="AL7064">
        <v>0</v>
      </c>
      <c r="AM7064">
        <v>0</v>
      </c>
      <c r="AN7064">
        <v>1</v>
      </c>
      <c r="AO7064">
        <v>1</v>
      </c>
      <c r="AP7064">
        <v>1</v>
      </c>
      <c r="AQ7064">
        <v>1</v>
      </c>
      <c r="AR7064">
        <v>1</v>
      </c>
      <c r="AS7064">
        <v>0</v>
      </c>
      <c r="AT7064">
        <v>1</v>
      </c>
      <c r="AV7064">
        <v>1</v>
      </c>
      <c r="AW7064">
        <v>1</v>
      </c>
    </row>
    <row r="7065" spans="1:49" x14ac:dyDescent="0.25">
      <c r="A7065" t="str">
        <f>"7061"</f>
        <v>7061</v>
      </c>
      <c r="B7065" t="str">
        <f t="shared" si="407"/>
        <v>1</v>
      </c>
      <c r="C7065" t="str">
        <f t="shared" si="411"/>
        <v>310</v>
      </c>
      <c r="D7065" t="str">
        <f>"1"</f>
        <v>1</v>
      </c>
      <c r="E7065" t="str">
        <f>"1-310-1"</f>
        <v>1-310-1</v>
      </c>
      <c r="F7065" t="s">
        <v>83</v>
      </c>
      <c r="G7065" t="s">
        <v>84</v>
      </c>
      <c r="H7065" t="s">
        <v>85</v>
      </c>
      <c r="AC7065">
        <v>0</v>
      </c>
      <c r="AD7065">
        <v>1</v>
      </c>
      <c r="AE7065">
        <v>0</v>
      </c>
      <c r="AF7065">
        <v>0</v>
      </c>
      <c r="AG7065">
        <v>0</v>
      </c>
      <c r="AJ7065">
        <v>1</v>
      </c>
      <c r="AK7065">
        <v>0</v>
      </c>
      <c r="AL7065">
        <v>0</v>
      </c>
      <c r="AM7065">
        <v>1</v>
      </c>
      <c r="AN7065">
        <v>0</v>
      </c>
      <c r="AO7065">
        <v>0</v>
      </c>
      <c r="AP7065">
        <v>0</v>
      </c>
      <c r="AQ7065">
        <v>0</v>
      </c>
      <c r="AR7065">
        <v>0</v>
      </c>
      <c r="AS7065">
        <v>1</v>
      </c>
      <c r="AT7065">
        <v>0</v>
      </c>
      <c r="AV7065">
        <v>0</v>
      </c>
      <c r="AW7065">
        <v>0</v>
      </c>
    </row>
    <row r="7066" spans="1:49" x14ac:dyDescent="0.25">
      <c r="A7066" t="str">
        <f>"7062"</f>
        <v>7062</v>
      </c>
      <c r="B7066" t="str">
        <f t="shared" si="407"/>
        <v>1</v>
      </c>
      <c r="C7066" t="str">
        <f t="shared" si="411"/>
        <v>310</v>
      </c>
      <c r="D7066" t="str">
        <f>"21"</f>
        <v>21</v>
      </c>
      <c r="E7066" t="str">
        <f>"1-310-21"</f>
        <v>1-310-21</v>
      </c>
      <c r="F7066" t="s">
        <v>83</v>
      </c>
      <c r="G7066" t="s">
        <v>84</v>
      </c>
      <c r="H7066" t="s">
        <v>85</v>
      </c>
      <c r="AC7066">
        <v>0</v>
      </c>
      <c r="AD7066">
        <v>1</v>
      </c>
      <c r="AE7066">
        <v>0</v>
      </c>
      <c r="AF7066">
        <v>0</v>
      </c>
      <c r="AG7066">
        <v>0</v>
      </c>
      <c r="AJ7066">
        <v>0</v>
      </c>
      <c r="AK7066">
        <v>1</v>
      </c>
      <c r="AL7066">
        <v>0</v>
      </c>
      <c r="AM7066">
        <v>0</v>
      </c>
      <c r="AN7066">
        <v>1</v>
      </c>
      <c r="AO7066">
        <v>0</v>
      </c>
      <c r="AP7066">
        <v>0</v>
      </c>
      <c r="AQ7066">
        <v>0</v>
      </c>
      <c r="AR7066">
        <v>0</v>
      </c>
      <c r="AS7066">
        <v>0</v>
      </c>
      <c r="AT7066">
        <v>0</v>
      </c>
      <c r="AV7066">
        <v>0</v>
      </c>
      <c r="AW7066">
        <v>0</v>
      </c>
    </row>
    <row r="7067" spans="1:49" x14ac:dyDescent="0.25">
      <c r="A7067" t="str">
        <f>"7063"</f>
        <v>7063</v>
      </c>
      <c r="B7067" t="str">
        <f t="shared" si="407"/>
        <v>1</v>
      </c>
      <c r="C7067" t="str">
        <f t="shared" si="411"/>
        <v>310</v>
      </c>
      <c r="D7067" t="str">
        <f>"20"</f>
        <v>20</v>
      </c>
      <c r="E7067" t="str">
        <f>"1-310-20"</f>
        <v>1-310-20</v>
      </c>
      <c r="F7067" t="s">
        <v>83</v>
      </c>
      <c r="G7067" t="s">
        <v>84</v>
      </c>
      <c r="H7067" t="s">
        <v>85</v>
      </c>
      <c r="AC7067">
        <v>1</v>
      </c>
      <c r="AD7067">
        <v>0</v>
      </c>
      <c r="AE7067">
        <v>0</v>
      </c>
      <c r="AF7067">
        <v>0</v>
      </c>
      <c r="AG7067">
        <v>0</v>
      </c>
      <c r="AJ7067">
        <v>0</v>
      </c>
      <c r="AK7067">
        <v>1</v>
      </c>
      <c r="AL7067">
        <v>0</v>
      </c>
      <c r="AM7067">
        <v>0</v>
      </c>
      <c r="AN7067">
        <v>1</v>
      </c>
      <c r="AO7067">
        <v>1</v>
      </c>
      <c r="AP7067">
        <v>0</v>
      </c>
      <c r="AQ7067">
        <v>0</v>
      </c>
      <c r="AR7067">
        <v>0</v>
      </c>
      <c r="AS7067">
        <v>0</v>
      </c>
      <c r="AT7067">
        <v>1</v>
      </c>
      <c r="AV7067">
        <v>0</v>
      </c>
      <c r="AW7067">
        <v>1</v>
      </c>
    </row>
    <row r="7068" spans="1:49" x14ac:dyDescent="0.25">
      <c r="A7068" t="str">
        <f>"7064"</f>
        <v>7064</v>
      </c>
      <c r="B7068" t="str">
        <f t="shared" si="407"/>
        <v>1</v>
      </c>
      <c r="C7068" t="str">
        <f t="shared" si="411"/>
        <v>310</v>
      </c>
      <c r="D7068" t="str">
        <f>"14"</f>
        <v>14</v>
      </c>
      <c r="E7068" t="str">
        <f>"1-310-14"</f>
        <v>1-310-14</v>
      </c>
      <c r="F7068" t="s">
        <v>83</v>
      </c>
      <c r="G7068" t="s">
        <v>84</v>
      </c>
      <c r="H7068" t="s">
        <v>85</v>
      </c>
      <c r="AC7068">
        <v>1</v>
      </c>
      <c r="AD7068">
        <v>0</v>
      </c>
      <c r="AE7068">
        <v>0</v>
      </c>
      <c r="AF7068">
        <v>0</v>
      </c>
      <c r="AG7068">
        <v>1</v>
      </c>
      <c r="AJ7068">
        <v>1</v>
      </c>
      <c r="AK7068">
        <v>0</v>
      </c>
      <c r="AL7068">
        <v>1</v>
      </c>
      <c r="AM7068">
        <v>0</v>
      </c>
      <c r="AN7068">
        <v>0</v>
      </c>
      <c r="AO7068">
        <v>1</v>
      </c>
      <c r="AP7068">
        <v>1</v>
      </c>
      <c r="AQ7068">
        <v>1</v>
      </c>
      <c r="AR7068">
        <v>1</v>
      </c>
      <c r="AS7068">
        <v>1</v>
      </c>
      <c r="AT7068">
        <v>0</v>
      </c>
      <c r="AV7068">
        <v>1</v>
      </c>
      <c r="AW7068">
        <v>1</v>
      </c>
    </row>
    <row r="7069" spans="1:49" x14ac:dyDescent="0.25">
      <c r="A7069" t="str">
        <f>"7065"</f>
        <v>7065</v>
      </c>
      <c r="B7069" t="str">
        <f t="shared" si="407"/>
        <v>1</v>
      </c>
      <c r="C7069" t="str">
        <f t="shared" si="411"/>
        <v>310</v>
      </c>
      <c r="D7069" t="str">
        <f>"9"</f>
        <v>9</v>
      </c>
      <c r="E7069" t="str">
        <f>"1-310-9"</f>
        <v>1-310-9</v>
      </c>
      <c r="F7069" t="s">
        <v>83</v>
      </c>
      <c r="G7069" t="s">
        <v>84</v>
      </c>
      <c r="H7069" t="s">
        <v>85</v>
      </c>
      <c r="AC7069">
        <v>0</v>
      </c>
      <c r="AD7069">
        <v>0</v>
      </c>
      <c r="AE7069">
        <v>0</v>
      </c>
      <c r="AF7069">
        <v>0</v>
      </c>
      <c r="AG7069">
        <v>0</v>
      </c>
      <c r="AJ7069">
        <v>1</v>
      </c>
      <c r="AK7069">
        <v>0</v>
      </c>
      <c r="AL7069">
        <v>0</v>
      </c>
      <c r="AM7069">
        <v>0</v>
      </c>
      <c r="AN7069">
        <v>0</v>
      </c>
      <c r="AO7069">
        <v>0</v>
      </c>
      <c r="AP7069">
        <v>0</v>
      </c>
      <c r="AQ7069">
        <v>0</v>
      </c>
      <c r="AR7069">
        <v>0</v>
      </c>
      <c r="AS7069">
        <v>0</v>
      </c>
      <c r="AT7069">
        <v>0</v>
      </c>
      <c r="AV7069">
        <v>0</v>
      </c>
      <c r="AW7069">
        <v>1</v>
      </c>
    </row>
    <row r="7070" spans="1:49" x14ac:dyDescent="0.25">
      <c r="A7070" t="str">
        <f>"7066"</f>
        <v>7066</v>
      </c>
      <c r="B7070" t="str">
        <f t="shared" ref="B7070:B7133" si="412">"1"</f>
        <v>1</v>
      </c>
      <c r="C7070" t="str">
        <f t="shared" si="411"/>
        <v>310</v>
      </c>
      <c r="D7070" t="str">
        <f>"5"</f>
        <v>5</v>
      </c>
      <c r="E7070" t="str">
        <f>"1-310-5"</f>
        <v>1-310-5</v>
      </c>
      <c r="F7070" t="s">
        <v>83</v>
      </c>
      <c r="G7070" t="s">
        <v>84</v>
      </c>
      <c r="H7070" t="s">
        <v>92</v>
      </c>
      <c r="I7070">
        <v>1</v>
      </c>
      <c r="J7070">
        <v>1</v>
      </c>
      <c r="N7070">
        <v>1</v>
      </c>
      <c r="O7070">
        <v>1</v>
      </c>
      <c r="P7070">
        <v>1</v>
      </c>
      <c r="Q7070">
        <v>1</v>
      </c>
      <c r="R7070">
        <v>1</v>
      </c>
      <c r="S7070">
        <v>1</v>
      </c>
      <c r="T7070">
        <v>1</v>
      </c>
      <c r="W7070">
        <v>1</v>
      </c>
      <c r="X7070">
        <v>1</v>
      </c>
      <c r="Y7070">
        <v>1</v>
      </c>
      <c r="Z7070">
        <v>1</v>
      </c>
      <c r="AA7070">
        <v>1</v>
      </c>
      <c r="AB7070">
        <v>1</v>
      </c>
    </row>
    <row r="7071" spans="1:49" x14ac:dyDescent="0.25">
      <c r="A7071" t="str">
        <f>"7067"</f>
        <v>7067</v>
      </c>
      <c r="B7071" t="str">
        <f t="shared" si="412"/>
        <v>1</v>
      </c>
      <c r="C7071" t="str">
        <f t="shared" si="411"/>
        <v>310</v>
      </c>
      <c r="D7071" t="str">
        <f>"25"</f>
        <v>25</v>
      </c>
      <c r="E7071" t="str">
        <f>"1-310-25"</f>
        <v>1-310-25</v>
      </c>
      <c r="F7071" t="s">
        <v>83</v>
      </c>
      <c r="G7071" t="s">
        <v>84</v>
      </c>
      <c r="H7071" t="s">
        <v>85</v>
      </c>
      <c r="AC7071">
        <v>0</v>
      </c>
      <c r="AD7071">
        <v>1</v>
      </c>
      <c r="AE7071">
        <v>0</v>
      </c>
      <c r="AF7071">
        <v>0</v>
      </c>
      <c r="AG7071">
        <v>0</v>
      </c>
      <c r="AJ7071">
        <v>0</v>
      </c>
      <c r="AK7071">
        <v>1</v>
      </c>
      <c r="AL7071">
        <v>0</v>
      </c>
      <c r="AM7071">
        <v>0</v>
      </c>
      <c r="AN7071">
        <v>1</v>
      </c>
      <c r="AO7071">
        <v>0</v>
      </c>
      <c r="AP7071">
        <v>0</v>
      </c>
      <c r="AQ7071">
        <v>0</v>
      </c>
      <c r="AR7071">
        <v>0</v>
      </c>
      <c r="AS7071">
        <v>0</v>
      </c>
      <c r="AT7071">
        <v>1</v>
      </c>
      <c r="AV7071">
        <v>0</v>
      </c>
      <c r="AW7071">
        <v>0</v>
      </c>
    </row>
    <row r="7072" spans="1:49" x14ac:dyDescent="0.25">
      <c r="A7072" t="str">
        <f>"7068"</f>
        <v>7068</v>
      </c>
      <c r="B7072" t="str">
        <f t="shared" si="412"/>
        <v>1</v>
      </c>
      <c r="C7072" t="str">
        <f t="shared" si="411"/>
        <v>310</v>
      </c>
      <c r="D7072" t="str">
        <f>"24"</f>
        <v>24</v>
      </c>
      <c r="E7072" t="str">
        <f>"1-310-24"</f>
        <v>1-310-24</v>
      </c>
      <c r="F7072" t="s">
        <v>83</v>
      </c>
      <c r="G7072" t="s">
        <v>84</v>
      </c>
      <c r="H7072" t="s">
        <v>92</v>
      </c>
      <c r="I7072">
        <v>1</v>
      </c>
      <c r="J7072">
        <v>1</v>
      </c>
      <c r="N7072">
        <v>1</v>
      </c>
      <c r="O7072">
        <v>1</v>
      </c>
      <c r="P7072">
        <v>1</v>
      </c>
      <c r="Q7072">
        <v>1</v>
      </c>
      <c r="R7072">
        <v>1</v>
      </c>
      <c r="S7072">
        <v>1</v>
      </c>
      <c r="T7072">
        <v>1</v>
      </c>
      <c r="W7072">
        <v>1</v>
      </c>
      <c r="X7072">
        <v>1</v>
      </c>
      <c r="Y7072">
        <v>1</v>
      </c>
      <c r="Z7072">
        <v>1</v>
      </c>
      <c r="AA7072">
        <v>1</v>
      </c>
      <c r="AB7072">
        <v>1</v>
      </c>
    </row>
    <row r="7073" spans="1:49" x14ac:dyDescent="0.25">
      <c r="A7073" t="str">
        <f>"7069"</f>
        <v>7069</v>
      </c>
      <c r="B7073" t="str">
        <f t="shared" si="412"/>
        <v>1</v>
      </c>
      <c r="C7073" t="str">
        <f t="shared" si="411"/>
        <v>310</v>
      </c>
      <c r="D7073" t="str">
        <f>"15"</f>
        <v>15</v>
      </c>
      <c r="E7073" t="str">
        <f>"1-310-15"</f>
        <v>1-310-15</v>
      </c>
      <c r="F7073" t="s">
        <v>83</v>
      </c>
      <c r="G7073" t="s">
        <v>84</v>
      </c>
      <c r="H7073" t="s">
        <v>85</v>
      </c>
      <c r="AC7073">
        <v>0</v>
      </c>
      <c r="AD7073">
        <v>1</v>
      </c>
      <c r="AE7073">
        <v>0</v>
      </c>
      <c r="AF7073">
        <v>0</v>
      </c>
      <c r="AG7073">
        <v>0</v>
      </c>
      <c r="AJ7073">
        <v>1</v>
      </c>
      <c r="AK7073">
        <v>0</v>
      </c>
      <c r="AL7073">
        <v>0</v>
      </c>
      <c r="AM7073">
        <v>0</v>
      </c>
      <c r="AN7073">
        <v>1</v>
      </c>
      <c r="AO7073">
        <v>0</v>
      </c>
      <c r="AP7073">
        <v>0</v>
      </c>
      <c r="AQ7073">
        <v>0</v>
      </c>
      <c r="AR7073">
        <v>0</v>
      </c>
      <c r="AS7073">
        <v>0</v>
      </c>
      <c r="AT7073">
        <v>1</v>
      </c>
      <c r="AV7073">
        <v>0</v>
      </c>
      <c r="AW7073">
        <v>1</v>
      </c>
    </row>
    <row r="7074" spans="1:49" x14ac:dyDescent="0.25">
      <c r="A7074" t="str">
        <f>"7070"</f>
        <v>7070</v>
      </c>
      <c r="B7074" t="str">
        <f t="shared" si="412"/>
        <v>1</v>
      </c>
      <c r="C7074" t="str">
        <f t="shared" si="411"/>
        <v>310</v>
      </c>
      <c r="D7074" t="str">
        <f>"10"</f>
        <v>10</v>
      </c>
      <c r="E7074" t="str">
        <f>"1-310-10"</f>
        <v>1-310-10</v>
      </c>
      <c r="F7074" t="s">
        <v>83</v>
      </c>
      <c r="G7074" t="s">
        <v>84</v>
      </c>
      <c r="H7074" t="s">
        <v>92</v>
      </c>
      <c r="I7074">
        <v>1</v>
      </c>
      <c r="J7074">
        <v>1</v>
      </c>
      <c r="N7074">
        <v>1</v>
      </c>
      <c r="O7074">
        <v>1</v>
      </c>
      <c r="P7074">
        <v>1</v>
      </c>
      <c r="Q7074">
        <v>1</v>
      </c>
      <c r="R7074">
        <v>1</v>
      </c>
      <c r="S7074">
        <v>1</v>
      </c>
      <c r="T7074">
        <v>1</v>
      </c>
      <c r="W7074">
        <v>1</v>
      </c>
      <c r="X7074">
        <v>1</v>
      </c>
      <c r="Y7074">
        <v>1</v>
      </c>
      <c r="Z7074">
        <v>1</v>
      </c>
      <c r="AA7074">
        <v>1</v>
      </c>
      <c r="AB7074">
        <v>0</v>
      </c>
    </row>
    <row r="7075" spans="1:49" x14ac:dyDescent="0.25">
      <c r="A7075" t="str">
        <f>"7071"</f>
        <v>7071</v>
      </c>
      <c r="B7075" t="str">
        <f t="shared" si="412"/>
        <v>1</v>
      </c>
      <c r="C7075" t="str">
        <f t="shared" si="411"/>
        <v>310</v>
      </c>
      <c r="D7075" t="str">
        <f>"3"</f>
        <v>3</v>
      </c>
      <c r="E7075" t="str">
        <f>"1-310-3"</f>
        <v>1-310-3</v>
      </c>
      <c r="F7075" t="s">
        <v>83</v>
      </c>
      <c r="G7075" t="s">
        <v>84</v>
      </c>
      <c r="H7075" t="s">
        <v>85</v>
      </c>
      <c r="AC7075">
        <v>1</v>
      </c>
      <c r="AD7075">
        <v>0</v>
      </c>
      <c r="AE7075">
        <v>0</v>
      </c>
      <c r="AF7075">
        <v>0</v>
      </c>
      <c r="AG7075">
        <v>0</v>
      </c>
      <c r="AJ7075">
        <v>0</v>
      </c>
      <c r="AK7075">
        <v>0</v>
      </c>
      <c r="AL7075">
        <v>0</v>
      </c>
      <c r="AM7075">
        <v>0</v>
      </c>
      <c r="AN7075">
        <v>1</v>
      </c>
      <c r="AO7075">
        <v>0</v>
      </c>
      <c r="AP7075">
        <v>0</v>
      </c>
      <c r="AQ7075">
        <v>0</v>
      </c>
      <c r="AR7075">
        <v>0</v>
      </c>
      <c r="AS7075">
        <v>0</v>
      </c>
      <c r="AT7075">
        <v>1</v>
      </c>
      <c r="AV7075">
        <v>0</v>
      </c>
      <c r="AW7075">
        <v>0</v>
      </c>
    </row>
    <row r="7076" spans="1:49" x14ac:dyDescent="0.25">
      <c r="A7076" t="str">
        <f>"7072"</f>
        <v>7072</v>
      </c>
      <c r="B7076" t="str">
        <f t="shared" si="412"/>
        <v>1</v>
      </c>
      <c r="C7076" t="str">
        <f t="shared" si="411"/>
        <v>310</v>
      </c>
      <c r="D7076" t="str">
        <f>"16"</f>
        <v>16</v>
      </c>
      <c r="E7076" t="str">
        <f>"1-310-16"</f>
        <v>1-310-16</v>
      </c>
      <c r="F7076" t="s">
        <v>83</v>
      </c>
      <c r="G7076" t="s">
        <v>84</v>
      </c>
      <c r="H7076" t="s">
        <v>85</v>
      </c>
      <c r="AC7076">
        <v>0</v>
      </c>
      <c r="AD7076">
        <v>1</v>
      </c>
      <c r="AE7076">
        <v>0</v>
      </c>
      <c r="AF7076">
        <v>0</v>
      </c>
      <c r="AG7076">
        <v>0</v>
      </c>
      <c r="AJ7076">
        <v>0</v>
      </c>
      <c r="AK7076">
        <v>1</v>
      </c>
      <c r="AL7076">
        <v>0</v>
      </c>
      <c r="AM7076">
        <v>1</v>
      </c>
      <c r="AN7076">
        <v>0</v>
      </c>
      <c r="AO7076">
        <v>0</v>
      </c>
      <c r="AP7076">
        <v>0</v>
      </c>
      <c r="AQ7076">
        <v>0</v>
      </c>
      <c r="AR7076">
        <v>0</v>
      </c>
      <c r="AS7076">
        <v>0</v>
      </c>
      <c r="AT7076">
        <v>1</v>
      </c>
      <c r="AV7076">
        <v>0</v>
      </c>
      <c r="AW7076">
        <v>0</v>
      </c>
    </row>
    <row r="7077" spans="1:49" x14ac:dyDescent="0.25">
      <c r="A7077" t="str">
        <f>"7073"</f>
        <v>7073</v>
      </c>
      <c r="B7077" t="str">
        <f t="shared" si="412"/>
        <v>1</v>
      </c>
      <c r="C7077" t="str">
        <f t="shared" si="411"/>
        <v>310</v>
      </c>
      <c r="D7077" t="str">
        <f>"7"</f>
        <v>7</v>
      </c>
      <c r="E7077" t="str">
        <f>"1-310-7"</f>
        <v>1-310-7</v>
      </c>
      <c r="F7077" t="s">
        <v>83</v>
      </c>
      <c r="G7077" t="s">
        <v>84</v>
      </c>
      <c r="H7077" t="s">
        <v>85</v>
      </c>
      <c r="AC7077">
        <v>0</v>
      </c>
      <c r="AD7077">
        <v>1</v>
      </c>
      <c r="AE7077">
        <v>0</v>
      </c>
      <c r="AF7077">
        <v>0</v>
      </c>
      <c r="AG7077">
        <v>0</v>
      </c>
      <c r="AJ7077">
        <v>0</v>
      </c>
      <c r="AK7077">
        <v>1</v>
      </c>
      <c r="AL7077">
        <v>0</v>
      </c>
      <c r="AM7077">
        <v>0</v>
      </c>
      <c r="AN7077">
        <v>1</v>
      </c>
      <c r="AO7077">
        <v>0</v>
      </c>
      <c r="AP7077">
        <v>0</v>
      </c>
      <c r="AQ7077">
        <v>0</v>
      </c>
      <c r="AR7077">
        <v>0</v>
      </c>
      <c r="AS7077">
        <v>0</v>
      </c>
      <c r="AT7077">
        <v>1</v>
      </c>
      <c r="AV7077">
        <v>0</v>
      </c>
      <c r="AW7077">
        <v>0</v>
      </c>
    </row>
    <row r="7078" spans="1:49" x14ac:dyDescent="0.25">
      <c r="A7078" t="str">
        <f>"7074"</f>
        <v>7074</v>
      </c>
      <c r="B7078" t="str">
        <f t="shared" si="412"/>
        <v>1</v>
      </c>
      <c r="C7078" t="str">
        <f t="shared" si="411"/>
        <v>310</v>
      </c>
      <c r="D7078" t="str">
        <f>"17"</f>
        <v>17</v>
      </c>
      <c r="E7078" t="str">
        <f>"1-310-17"</f>
        <v>1-310-17</v>
      </c>
      <c r="F7078" t="s">
        <v>83</v>
      </c>
      <c r="G7078" t="s">
        <v>84</v>
      </c>
      <c r="H7078" t="s">
        <v>85</v>
      </c>
      <c r="AC7078">
        <v>0</v>
      </c>
      <c r="AD7078">
        <v>1</v>
      </c>
      <c r="AE7078">
        <v>0</v>
      </c>
      <c r="AF7078">
        <v>0</v>
      </c>
      <c r="AG7078">
        <v>0</v>
      </c>
      <c r="AJ7078">
        <v>0</v>
      </c>
      <c r="AK7078">
        <v>1</v>
      </c>
      <c r="AL7078">
        <v>0</v>
      </c>
      <c r="AM7078">
        <v>1</v>
      </c>
      <c r="AN7078">
        <v>0</v>
      </c>
      <c r="AO7078">
        <v>0</v>
      </c>
      <c r="AP7078">
        <v>0</v>
      </c>
      <c r="AQ7078">
        <v>0</v>
      </c>
      <c r="AR7078">
        <v>0</v>
      </c>
      <c r="AS7078">
        <v>0</v>
      </c>
      <c r="AT7078">
        <v>1</v>
      </c>
      <c r="AV7078">
        <v>0</v>
      </c>
      <c r="AW7078">
        <v>1</v>
      </c>
    </row>
    <row r="7079" spans="1:49" x14ac:dyDescent="0.25">
      <c r="A7079" t="str">
        <f>"7075"</f>
        <v>7075</v>
      </c>
      <c r="B7079" t="str">
        <f t="shared" si="412"/>
        <v>1</v>
      </c>
      <c r="C7079" t="str">
        <f t="shared" si="411"/>
        <v>310</v>
      </c>
      <c r="D7079" t="str">
        <f>"4"</f>
        <v>4</v>
      </c>
      <c r="E7079" t="str">
        <f>"1-310-4"</f>
        <v>1-310-4</v>
      </c>
      <c r="F7079" t="s">
        <v>83</v>
      </c>
      <c r="G7079" t="s">
        <v>84</v>
      </c>
      <c r="H7079" t="s">
        <v>92</v>
      </c>
      <c r="I7079">
        <v>1</v>
      </c>
      <c r="J7079">
        <v>1</v>
      </c>
      <c r="N7079">
        <v>1</v>
      </c>
      <c r="O7079">
        <v>1</v>
      </c>
      <c r="P7079">
        <v>1</v>
      </c>
      <c r="Q7079">
        <v>1</v>
      </c>
      <c r="R7079">
        <v>1</v>
      </c>
      <c r="S7079">
        <v>1</v>
      </c>
      <c r="T7079">
        <v>1</v>
      </c>
      <c r="W7079">
        <v>1</v>
      </c>
      <c r="X7079">
        <v>1</v>
      </c>
      <c r="Y7079">
        <v>1</v>
      </c>
      <c r="Z7079">
        <v>1</v>
      </c>
      <c r="AA7079">
        <v>1</v>
      </c>
      <c r="AB7079">
        <v>1</v>
      </c>
    </row>
    <row r="7080" spans="1:49" x14ac:dyDescent="0.25">
      <c r="A7080" t="str">
        <f>"7076"</f>
        <v>7076</v>
      </c>
      <c r="B7080" t="str">
        <f t="shared" si="412"/>
        <v>1</v>
      </c>
      <c r="C7080" t="str">
        <f t="shared" si="411"/>
        <v>310</v>
      </c>
      <c r="D7080" t="str">
        <f>"18"</f>
        <v>18</v>
      </c>
      <c r="E7080" t="str">
        <f>"1-310-18"</f>
        <v>1-310-18</v>
      </c>
      <c r="F7080" t="s">
        <v>83</v>
      </c>
      <c r="G7080" t="s">
        <v>84</v>
      </c>
      <c r="H7080" t="s">
        <v>85</v>
      </c>
      <c r="AC7080">
        <v>0</v>
      </c>
      <c r="AD7080">
        <v>1</v>
      </c>
      <c r="AE7080">
        <v>0</v>
      </c>
      <c r="AF7080">
        <v>0</v>
      </c>
      <c r="AG7080">
        <v>1</v>
      </c>
      <c r="AJ7080">
        <v>0</v>
      </c>
      <c r="AK7080">
        <v>1</v>
      </c>
      <c r="AL7080">
        <v>0</v>
      </c>
      <c r="AM7080">
        <v>0</v>
      </c>
      <c r="AN7080">
        <v>1</v>
      </c>
      <c r="AO7080">
        <v>1</v>
      </c>
      <c r="AP7080">
        <v>1</v>
      </c>
      <c r="AQ7080">
        <v>1</v>
      </c>
      <c r="AR7080">
        <v>1</v>
      </c>
      <c r="AS7080">
        <v>1</v>
      </c>
      <c r="AT7080">
        <v>0</v>
      </c>
      <c r="AV7080">
        <v>1</v>
      </c>
      <c r="AW7080">
        <v>1</v>
      </c>
    </row>
    <row r="7081" spans="1:49" x14ac:dyDescent="0.25">
      <c r="A7081" t="str">
        <f>"7077"</f>
        <v>7077</v>
      </c>
      <c r="B7081" t="str">
        <f t="shared" si="412"/>
        <v>1</v>
      </c>
      <c r="C7081" t="str">
        <f t="shared" si="411"/>
        <v>310</v>
      </c>
      <c r="D7081" t="str">
        <f>"2"</f>
        <v>2</v>
      </c>
      <c r="E7081" t="str">
        <f>"1-310-2"</f>
        <v>1-310-2</v>
      </c>
      <c r="F7081" t="s">
        <v>83</v>
      </c>
      <c r="G7081" t="s">
        <v>84</v>
      </c>
      <c r="H7081" t="s">
        <v>85</v>
      </c>
      <c r="AC7081">
        <v>0</v>
      </c>
      <c r="AD7081">
        <v>1</v>
      </c>
      <c r="AE7081">
        <v>0</v>
      </c>
      <c r="AF7081">
        <v>0</v>
      </c>
      <c r="AG7081">
        <v>0</v>
      </c>
      <c r="AJ7081">
        <v>0</v>
      </c>
      <c r="AK7081">
        <v>1</v>
      </c>
      <c r="AL7081">
        <v>0</v>
      </c>
      <c r="AM7081">
        <v>0</v>
      </c>
      <c r="AN7081">
        <v>1</v>
      </c>
      <c r="AO7081">
        <v>0</v>
      </c>
      <c r="AP7081">
        <v>0</v>
      </c>
      <c r="AQ7081">
        <v>0</v>
      </c>
      <c r="AR7081">
        <v>1</v>
      </c>
      <c r="AS7081">
        <v>0</v>
      </c>
      <c r="AT7081">
        <v>1</v>
      </c>
      <c r="AV7081">
        <v>0</v>
      </c>
      <c r="AW7081">
        <v>1</v>
      </c>
    </row>
    <row r="7082" spans="1:49" x14ac:dyDescent="0.25">
      <c r="A7082" t="str">
        <f>"7078"</f>
        <v>7078</v>
      </c>
      <c r="B7082" t="str">
        <f t="shared" si="412"/>
        <v>1</v>
      </c>
      <c r="C7082" t="str">
        <f t="shared" si="411"/>
        <v>310</v>
      </c>
      <c r="D7082" t="str">
        <f>"19"</f>
        <v>19</v>
      </c>
      <c r="E7082" t="str">
        <f>"1-310-19"</f>
        <v>1-310-19</v>
      </c>
      <c r="F7082" t="s">
        <v>83</v>
      </c>
      <c r="G7082" t="s">
        <v>84</v>
      </c>
      <c r="H7082" t="s">
        <v>85</v>
      </c>
      <c r="AC7082">
        <v>0</v>
      </c>
      <c r="AD7082">
        <v>1</v>
      </c>
      <c r="AE7082">
        <v>0</v>
      </c>
      <c r="AF7082">
        <v>0</v>
      </c>
      <c r="AG7082">
        <v>1</v>
      </c>
      <c r="AJ7082">
        <v>0</v>
      </c>
      <c r="AK7082">
        <v>1</v>
      </c>
      <c r="AL7082">
        <v>0</v>
      </c>
      <c r="AM7082">
        <v>0</v>
      </c>
      <c r="AN7082">
        <v>1</v>
      </c>
      <c r="AO7082">
        <v>1</v>
      </c>
      <c r="AP7082">
        <v>1</v>
      </c>
      <c r="AQ7082">
        <v>1</v>
      </c>
      <c r="AR7082">
        <v>1</v>
      </c>
      <c r="AS7082">
        <v>1</v>
      </c>
      <c r="AT7082">
        <v>0</v>
      </c>
      <c r="AV7082">
        <v>1</v>
      </c>
      <c r="AW7082">
        <v>1</v>
      </c>
    </row>
    <row r="7083" spans="1:49" x14ac:dyDescent="0.25">
      <c r="A7083" t="str">
        <f>"7079"</f>
        <v>7079</v>
      </c>
      <c r="B7083" t="str">
        <f t="shared" si="412"/>
        <v>1</v>
      </c>
      <c r="C7083" t="str">
        <f t="shared" si="411"/>
        <v>310</v>
      </c>
      <c r="D7083" t="str">
        <f>"6"</f>
        <v>6</v>
      </c>
      <c r="E7083" t="str">
        <f>"1-310-6"</f>
        <v>1-310-6</v>
      </c>
      <c r="F7083" t="s">
        <v>83</v>
      </c>
      <c r="G7083" t="s">
        <v>84</v>
      </c>
      <c r="H7083" t="s">
        <v>85</v>
      </c>
      <c r="AC7083">
        <v>0</v>
      </c>
      <c r="AD7083">
        <v>1</v>
      </c>
      <c r="AE7083">
        <v>0</v>
      </c>
      <c r="AF7083">
        <v>0</v>
      </c>
      <c r="AG7083">
        <v>0</v>
      </c>
      <c r="AJ7083">
        <v>0</v>
      </c>
      <c r="AK7083">
        <v>1</v>
      </c>
      <c r="AL7083">
        <v>0</v>
      </c>
      <c r="AM7083">
        <v>0</v>
      </c>
      <c r="AN7083">
        <v>1</v>
      </c>
      <c r="AO7083">
        <v>0</v>
      </c>
      <c r="AP7083">
        <v>0</v>
      </c>
      <c r="AQ7083">
        <v>0</v>
      </c>
      <c r="AR7083">
        <v>0</v>
      </c>
      <c r="AS7083">
        <v>0</v>
      </c>
      <c r="AT7083">
        <v>0</v>
      </c>
      <c r="AV7083">
        <v>0</v>
      </c>
      <c r="AW7083">
        <v>0</v>
      </c>
    </row>
    <row r="7084" spans="1:49" x14ac:dyDescent="0.25">
      <c r="A7084" t="str">
        <f>"7080"</f>
        <v>7080</v>
      </c>
      <c r="B7084" t="str">
        <f t="shared" si="412"/>
        <v>1</v>
      </c>
      <c r="C7084" t="str">
        <f t="shared" ref="C7084:C7106" si="413">"311"</f>
        <v>311</v>
      </c>
      <c r="D7084" t="str">
        <f>"21"</f>
        <v>21</v>
      </c>
      <c r="E7084" t="str">
        <f>"1-311-21"</f>
        <v>1-311-21</v>
      </c>
      <c r="F7084" t="s">
        <v>83</v>
      </c>
      <c r="G7084" t="s">
        <v>84</v>
      </c>
      <c r="H7084" t="s">
        <v>85</v>
      </c>
      <c r="AC7084">
        <v>0</v>
      </c>
      <c r="AD7084">
        <v>1</v>
      </c>
      <c r="AE7084">
        <v>0</v>
      </c>
      <c r="AF7084">
        <v>0</v>
      </c>
      <c r="AG7084">
        <v>1</v>
      </c>
      <c r="AJ7084">
        <v>1</v>
      </c>
      <c r="AK7084">
        <v>0</v>
      </c>
      <c r="AL7084">
        <v>0</v>
      </c>
      <c r="AM7084">
        <v>0</v>
      </c>
      <c r="AN7084">
        <v>1</v>
      </c>
      <c r="AO7084">
        <v>1</v>
      </c>
      <c r="AP7084">
        <v>1</v>
      </c>
      <c r="AQ7084">
        <v>1</v>
      </c>
      <c r="AR7084">
        <v>1</v>
      </c>
      <c r="AS7084">
        <v>0</v>
      </c>
      <c r="AT7084">
        <v>1</v>
      </c>
      <c r="AV7084">
        <v>1</v>
      </c>
      <c r="AW7084">
        <v>1</v>
      </c>
    </row>
    <row r="7085" spans="1:49" x14ac:dyDescent="0.25">
      <c r="A7085" t="str">
        <f>"7081"</f>
        <v>7081</v>
      </c>
      <c r="B7085" t="str">
        <f t="shared" si="412"/>
        <v>1</v>
      </c>
      <c r="C7085" t="str">
        <f t="shared" si="413"/>
        <v>311</v>
      </c>
      <c r="D7085" t="str">
        <f>"20"</f>
        <v>20</v>
      </c>
      <c r="E7085" t="str">
        <f>"1-311-20"</f>
        <v>1-311-20</v>
      </c>
      <c r="F7085" t="s">
        <v>83</v>
      </c>
      <c r="G7085" t="s">
        <v>84</v>
      </c>
      <c r="H7085" t="s">
        <v>85</v>
      </c>
      <c r="AC7085">
        <v>0</v>
      </c>
      <c r="AD7085">
        <v>1</v>
      </c>
      <c r="AE7085">
        <v>0</v>
      </c>
      <c r="AF7085">
        <v>0</v>
      </c>
      <c r="AG7085">
        <v>0</v>
      </c>
      <c r="AJ7085">
        <v>0</v>
      </c>
      <c r="AK7085">
        <v>1</v>
      </c>
      <c r="AL7085">
        <v>0</v>
      </c>
      <c r="AM7085">
        <v>1</v>
      </c>
      <c r="AN7085">
        <v>0</v>
      </c>
      <c r="AO7085">
        <v>1</v>
      </c>
      <c r="AP7085">
        <v>1</v>
      </c>
      <c r="AQ7085">
        <v>1</v>
      </c>
      <c r="AR7085">
        <v>1</v>
      </c>
      <c r="AS7085">
        <v>0</v>
      </c>
      <c r="AT7085">
        <v>1</v>
      </c>
      <c r="AV7085">
        <v>0</v>
      </c>
      <c r="AW7085">
        <v>1</v>
      </c>
    </row>
    <row r="7086" spans="1:49" x14ac:dyDescent="0.25">
      <c r="A7086" t="str">
        <f>"7082"</f>
        <v>7082</v>
      </c>
      <c r="B7086" t="str">
        <f t="shared" si="412"/>
        <v>1</v>
      </c>
      <c r="C7086" t="str">
        <f t="shared" si="413"/>
        <v>311</v>
      </c>
      <c r="D7086" t="str">
        <f>"13"</f>
        <v>13</v>
      </c>
      <c r="E7086" t="str">
        <f>"1-311-13"</f>
        <v>1-311-13</v>
      </c>
      <c r="F7086" t="s">
        <v>83</v>
      </c>
      <c r="G7086" t="s">
        <v>90</v>
      </c>
      <c r="H7086" t="s">
        <v>91</v>
      </c>
      <c r="AC7086">
        <v>0</v>
      </c>
      <c r="AD7086">
        <v>1</v>
      </c>
      <c r="AE7086">
        <v>0</v>
      </c>
      <c r="AF7086">
        <v>0</v>
      </c>
      <c r="AH7086">
        <v>1</v>
      </c>
      <c r="AI7086">
        <v>0</v>
      </c>
      <c r="AJ7086">
        <v>1</v>
      </c>
      <c r="AK7086">
        <v>0</v>
      </c>
      <c r="AL7086">
        <v>1</v>
      </c>
      <c r="AM7086">
        <v>0</v>
      </c>
      <c r="AN7086">
        <v>0</v>
      </c>
      <c r="AO7086">
        <v>1</v>
      </c>
      <c r="AP7086">
        <v>1</v>
      </c>
      <c r="AQ7086">
        <v>1</v>
      </c>
      <c r="AR7086">
        <v>1</v>
      </c>
      <c r="AU7086">
        <v>1</v>
      </c>
      <c r="AV7086">
        <v>1</v>
      </c>
      <c r="AW7086">
        <v>1</v>
      </c>
    </row>
    <row r="7087" spans="1:49" x14ac:dyDescent="0.25">
      <c r="A7087" t="str">
        <f>"7083"</f>
        <v>7083</v>
      </c>
      <c r="B7087" t="str">
        <f t="shared" si="412"/>
        <v>1</v>
      </c>
      <c r="C7087" t="str">
        <f t="shared" si="413"/>
        <v>311</v>
      </c>
      <c r="D7087" t="str">
        <f>"12"</f>
        <v>12</v>
      </c>
      <c r="E7087" t="str">
        <f>"1-311-12"</f>
        <v>1-311-12</v>
      </c>
      <c r="F7087" t="s">
        <v>83</v>
      </c>
      <c r="G7087" t="s">
        <v>84</v>
      </c>
      <c r="H7087" t="s">
        <v>85</v>
      </c>
      <c r="AC7087">
        <v>0</v>
      </c>
      <c r="AD7087">
        <v>1</v>
      </c>
      <c r="AE7087">
        <v>0</v>
      </c>
      <c r="AF7087">
        <v>0</v>
      </c>
      <c r="AG7087">
        <v>1</v>
      </c>
      <c r="AJ7087">
        <v>1</v>
      </c>
      <c r="AK7087">
        <v>0</v>
      </c>
      <c r="AL7087">
        <v>1</v>
      </c>
      <c r="AM7087">
        <v>0</v>
      </c>
      <c r="AN7087">
        <v>0</v>
      </c>
      <c r="AO7087">
        <v>1</v>
      </c>
      <c r="AP7087">
        <v>1</v>
      </c>
      <c r="AQ7087">
        <v>1</v>
      </c>
      <c r="AR7087">
        <v>1</v>
      </c>
      <c r="AS7087">
        <v>0</v>
      </c>
      <c r="AT7087">
        <v>0</v>
      </c>
      <c r="AV7087">
        <v>1</v>
      </c>
      <c r="AW7087">
        <v>1</v>
      </c>
    </row>
    <row r="7088" spans="1:49" x14ac:dyDescent="0.25">
      <c r="A7088" t="str">
        <f>"7084"</f>
        <v>7084</v>
      </c>
      <c r="B7088" t="str">
        <f t="shared" si="412"/>
        <v>1</v>
      </c>
      <c r="C7088" t="str">
        <f t="shared" si="413"/>
        <v>311</v>
      </c>
      <c r="D7088" t="str">
        <f>"11"</f>
        <v>11</v>
      </c>
      <c r="E7088" t="str">
        <f>"1-311-11"</f>
        <v>1-311-11</v>
      </c>
      <c r="F7088" t="s">
        <v>83</v>
      </c>
      <c r="G7088" t="s">
        <v>84</v>
      </c>
      <c r="H7088" t="s">
        <v>85</v>
      </c>
      <c r="AC7088">
        <v>1</v>
      </c>
      <c r="AD7088">
        <v>0</v>
      </c>
      <c r="AE7088">
        <v>0</v>
      </c>
      <c r="AF7088">
        <v>0</v>
      </c>
      <c r="AG7088">
        <v>0</v>
      </c>
      <c r="AJ7088">
        <v>1</v>
      </c>
      <c r="AK7088">
        <v>0</v>
      </c>
      <c r="AL7088">
        <v>1</v>
      </c>
      <c r="AM7088">
        <v>0</v>
      </c>
      <c r="AN7088">
        <v>0</v>
      </c>
      <c r="AO7088">
        <v>0</v>
      </c>
      <c r="AP7088">
        <v>0</v>
      </c>
      <c r="AQ7088">
        <v>0</v>
      </c>
      <c r="AR7088">
        <v>0</v>
      </c>
      <c r="AS7088">
        <v>1</v>
      </c>
      <c r="AT7088">
        <v>0</v>
      </c>
      <c r="AV7088">
        <v>0</v>
      </c>
      <c r="AW7088">
        <v>1</v>
      </c>
    </row>
    <row r="7089" spans="1:49" x14ac:dyDescent="0.25">
      <c r="A7089" t="str">
        <f>"7085"</f>
        <v>7085</v>
      </c>
      <c r="B7089" t="str">
        <f t="shared" si="412"/>
        <v>1</v>
      </c>
      <c r="C7089" t="str">
        <f t="shared" si="413"/>
        <v>311</v>
      </c>
      <c r="D7089" t="str">
        <f>"8"</f>
        <v>8</v>
      </c>
      <c r="E7089" t="str">
        <f>"1-311-8"</f>
        <v>1-311-8</v>
      </c>
      <c r="F7089" t="s">
        <v>83</v>
      </c>
      <c r="G7089" t="s">
        <v>84</v>
      </c>
      <c r="H7089" t="s">
        <v>85</v>
      </c>
      <c r="AC7089">
        <v>1</v>
      </c>
      <c r="AD7089">
        <v>0</v>
      </c>
      <c r="AE7089">
        <v>0</v>
      </c>
      <c r="AF7089">
        <v>0</v>
      </c>
      <c r="AG7089">
        <v>1</v>
      </c>
      <c r="AJ7089">
        <v>0</v>
      </c>
      <c r="AK7089">
        <v>1</v>
      </c>
      <c r="AL7089">
        <v>1</v>
      </c>
      <c r="AM7089">
        <v>0</v>
      </c>
      <c r="AN7089">
        <v>0</v>
      </c>
      <c r="AO7089">
        <v>1</v>
      </c>
      <c r="AP7089">
        <v>1</v>
      </c>
      <c r="AQ7089">
        <v>1</v>
      </c>
      <c r="AR7089">
        <v>1</v>
      </c>
      <c r="AS7089">
        <v>1</v>
      </c>
      <c r="AT7089">
        <v>0</v>
      </c>
      <c r="AV7089">
        <v>1</v>
      </c>
      <c r="AW7089">
        <v>1</v>
      </c>
    </row>
    <row r="7090" spans="1:49" x14ac:dyDescent="0.25">
      <c r="A7090" t="str">
        <f>"7086"</f>
        <v>7086</v>
      </c>
      <c r="B7090" t="str">
        <f t="shared" si="412"/>
        <v>1</v>
      </c>
      <c r="C7090" t="str">
        <f t="shared" si="413"/>
        <v>311</v>
      </c>
      <c r="D7090" t="str">
        <f>"1"</f>
        <v>1</v>
      </c>
      <c r="E7090" t="str">
        <f>"1-311-1"</f>
        <v>1-311-1</v>
      </c>
      <c r="F7090" t="s">
        <v>83</v>
      </c>
      <c r="G7090" t="s">
        <v>84</v>
      </c>
      <c r="H7090" t="s">
        <v>85</v>
      </c>
      <c r="AC7090">
        <v>1</v>
      </c>
      <c r="AD7090">
        <v>0</v>
      </c>
      <c r="AE7090">
        <v>0</v>
      </c>
      <c r="AF7090">
        <v>0</v>
      </c>
      <c r="AG7090">
        <v>1</v>
      </c>
      <c r="AJ7090">
        <v>1</v>
      </c>
      <c r="AK7090">
        <v>0</v>
      </c>
      <c r="AL7090">
        <v>0</v>
      </c>
      <c r="AM7090">
        <v>0</v>
      </c>
      <c r="AN7090">
        <v>1</v>
      </c>
      <c r="AO7090">
        <v>1</v>
      </c>
      <c r="AP7090">
        <v>1</v>
      </c>
      <c r="AQ7090">
        <v>1</v>
      </c>
      <c r="AR7090">
        <v>1</v>
      </c>
      <c r="AS7090">
        <v>0</v>
      </c>
      <c r="AT7090">
        <v>1</v>
      </c>
      <c r="AV7090">
        <v>1</v>
      </c>
      <c r="AW7090">
        <v>1</v>
      </c>
    </row>
    <row r="7091" spans="1:49" x14ac:dyDescent="0.25">
      <c r="A7091" t="str">
        <f>"7087"</f>
        <v>7087</v>
      </c>
      <c r="B7091" t="str">
        <f t="shared" si="412"/>
        <v>1</v>
      </c>
      <c r="C7091" t="str">
        <f t="shared" si="413"/>
        <v>311</v>
      </c>
      <c r="D7091" t="str">
        <f>"15"</f>
        <v>15</v>
      </c>
      <c r="E7091" t="str">
        <f>"1-311-15"</f>
        <v>1-311-15</v>
      </c>
      <c r="F7091" t="s">
        <v>83</v>
      </c>
      <c r="G7091" t="s">
        <v>84</v>
      </c>
      <c r="H7091" t="s">
        <v>85</v>
      </c>
      <c r="AC7091">
        <v>0</v>
      </c>
      <c r="AD7091">
        <v>1</v>
      </c>
      <c r="AE7091">
        <v>0</v>
      </c>
      <c r="AF7091">
        <v>0</v>
      </c>
      <c r="AG7091">
        <v>0</v>
      </c>
      <c r="AJ7091">
        <v>0</v>
      </c>
      <c r="AK7091">
        <v>1</v>
      </c>
      <c r="AL7091">
        <v>0</v>
      </c>
      <c r="AM7091">
        <v>0</v>
      </c>
      <c r="AN7091">
        <v>1</v>
      </c>
      <c r="AO7091">
        <v>0</v>
      </c>
      <c r="AP7091">
        <v>0</v>
      </c>
      <c r="AQ7091">
        <v>0</v>
      </c>
      <c r="AR7091">
        <v>0</v>
      </c>
      <c r="AS7091">
        <v>0</v>
      </c>
      <c r="AT7091">
        <v>1</v>
      </c>
      <c r="AV7091">
        <v>0</v>
      </c>
      <c r="AW7091">
        <v>0</v>
      </c>
    </row>
    <row r="7092" spans="1:49" x14ac:dyDescent="0.25">
      <c r="A7092" t="str">
        <f>"7088"</f>
        <v>7088</v>
      </c>
      <c r="B7092" t="str">
        <f t="shared" si="412"/>
        <v>1</v>
      </c>
      <c r="C7092" t="str">
        <f t="shared" si="413"/>
        <v>311</v>
      </c>
      <c r="D7092" t="str">
        <f>"9"</f>
        <v>9</v>
      </c>
      <c r="E7092" t="str">
        <f>"1-311-9"</f>
        <v>1-311-9</v>
      </c>
      <c r="F7092" t="s">
        <v>83</v>
      </c>
      <c r="G7092" t="s">
        <v>84</v>
      </c>
      <c r="H7092" t="s">
        <v>85</v>
      </c>
      <c r="AC7092">
        <v>0</v>
      </c>
      <c r="AD7092">
        <v>1</v>
      </c>
      <c r="AE7092">
        <v>0</v>
      </c>
      <c r="AF7092">
        <v>0</v>
      </c>
      <c r="AG7092">
        <v>1</v>
      </c>
      <c r="AJ7092">
        <v>0</v>
      </c>
      <c r="AK7092">
        <v>1</v>
      </c>
      <c r="AL7092">
        <v>0</v>
      </c>
      <c r="AM7092">
        <v>0</v>
      </c>
      <c r="AN7092">
        <v>1</v>
      </c>
      <c r="AO7092">
        <v>1</v>
      </c>
      <c r="AP7092">
        <v>1</v>
      </c>
      <c r="AQ7092">
        <v>1</v>
      </c>
      <c r="AR7092">
        <v>1</v>
      </c>
      <c r="AS7092">
        <v>0</v>
      </c>
      <c r="AT7092">
        <v>1</v>
      </c>
      <c r="AV7092">
        <v>1</v>
      </c>
      <c r="AW7092">
        <v>1</v>
      </c>
    </row>
    <row r="7093" spans="1:49" x14ac:dyDescent="0.25">
      <c r="A7093" t="str">
        <f>"7089"</f>
        <v>7089</v>
      </c>
      <c r="B7093" t="str">
        <f t="shared" si="412"/>
        <v>1</v>
      </c>
      <c r="C7093" t="str">
        <f t="shared" si="413"/>
        <v>311</v>
      </c>
      <c r="D7093" t="str">
        <f>"23"</f>
        <v>23</v>
      </c>
      <c r="E7093" t="str">
        <f>"1-311-23"</f>
        <v>1-311-23</v>
      </c>
      <c r="F7093" t="s">
        <v>83</v>
      </c>
      <c r="G7093" t="s">
        <v>84</v>
      </c>
      <c r="H7093" t="s">
        <v>85</v>
      </c>
      <c r="AC7093">
        <v>0</v>
      </c>
      <c r="AD7093">
        <v>1</v>
      </c>
      <c r="AE7093">
        <v>0</v>
      </c>
      <c r="AF7093">
        <v>0</v>
      </c>
      <c r="AG7093">
        <v>1</v>
      </c>
      <c r="AJ7093">
        <v>0</v>
      </c>
      <c r="AK7093">
        <v>1</v>
      </c>
      <c r="AL7093">
        <v>0</v>
      </c>
      <c r="AM7093">
        <v>1</v>
      </c>
      <c r="AN7093">
        <v>0</v>
      </c>
      <c r="AO7093">
        <v>1</v>
      </c>
      <c r="AP7093">
        <v>1</v>
      </c>
      <c r="AQ7093">
        <v>1</v>
      </c>
      <c r="AR7093">
        <v>1</v>
      </c>
      <c r="AS7093">
        <v>0</v>
      </c>
      <c r="AT7093">
        <v>1</v>
      </c>
      <c r="AV7093">
        <v>0</v>
      </c>
      <c r="AW7093">
        <v>1</v>
      </c>
    </row>
    <row r="7094" spans="1:49" x14ac:dyDescent="0.25">
      <c r="A7094" t="str">
        <f>"7090"</f>
        <v>7090</v>
      </c>
      <c r="B7094" t="str">
        <f t="shared" si="412"/>
        <v>1</v>
      </c>
      <c r="C7094" t="str">
        <f t="shared" si="413"/>
        <v>311</v>
      </c>
      <c r="D7094" t="str">
        <f>"22"</f>
        <v>22</v>
      </c>
      <c r="E7094" t="str">
        <f>"1-311-22"</f>
        <v>1-311-22</v>
      </c>
      <c r="F7094" t="s">
        <v>83</v>
      </c>
      <c r="G7094" t="s">
        <v>84</v>
      </c>
      <c r="H7094" t="s">
        <v>85</v>
      </c>
      <c r="AC7094">
        <v>0</v>
      </c>
      <c r="AD7094">
        <v>1</v>
      </c>
      <c r="AE7094">
        <v>0</v>
      </c>
      <c r="AF7094">
        <v>0</v>
      </c>
      <c r="AG7094">
        <v>1</v>
      </c>
      <c r="AJ7094">
        <v>0</v>
      </c>
      <c r="AK7094">
        <v>1</v>
      </c>
      <c r="AL7094">
        <v>0</v>
      </c>
      <c r="AM7094">
        <v>0</v>
      </c>
      <c r="AN7094">
        <v>1</v>
      </c>
      <c r="AO7094">
        <v>1</v>
      </c>
      <c r="AP7094">
        <v>1</v>
      </c>
      <c r="AQ7094">
        <v>1</v>
      </c>
      <c r="AR7094">
        <v>1</v>
      </c>
      <c r="AS7094">
        <v>0</v>
      </c>
      <c r="AT7094">
        <v>1</v>
      </c>
      <c r="AV7094">
        <v>1</v>
      </c>
      <c r="AW7094">
        <v>1</v>
      </c>
    </row>
    <row r="7095" spans="1:49" x14ac:dyDescent="0.25">
      <c r="A7095" t="str">
        <f>"7091"</f>
        <v>7091</v>
      </c>
      <c r="B7095" t="str">
        <f t="shared" si="412"/>
        <v>1</v>
      </c>
      <c r="C7095" t="str">
        <f t="shared" si="413"/>
        <v>311</v>
      </c>
      <c r="D7095" t="str">
        <f>"14"</f>
        <v>14</v>
      </c>
      <c r="E7095" t="str">
        <f>"1-311-14"</f>
        <v>1-311-14</v>
      </c>
      <c r="F7095" t="s">
        <v>83</v>
      </c>
      <c r="G7095" t="s">
        <v>84</v>
      </c>
      <c r="H7095" t="s">
        <v>85</v>
      </c>
      <c r="AC7095">
        <v>1</v>
      </c>
      <c r="AD7095">
        <v>0</v>
      </c>
      <c r="AE7095">
        <v>0</v>
      </c>
      <c r="AF7095">
        <v>0</v>
      </c>
      <c r="AG7095">
        <v>0</v>
      </c>
      <c r="AJ7095">
        <v>1</v>
      </c>
      <c r="AK7095">
        <v>0</v>
      </c>
      <c r="AL7095">
        <v>1</v>
      </c>
      <c r="AM7095">
        <v>0</v>
      </c>
      <c r="AN7095">
        <v>0</v>
      </c>
      <c r="AO7095">
        <v>0</v>
      </c>
      <c r="AP7095">
        <v>0</v>
      </c>
      <c r="AQ7095">
        <v>0</v>
      </c>
      <c r="AR7095">
        <v>0</v>
      </c>
      <c r="AS7095">
        <v>1</v>
      </c>
      <c r="AT7095">
        <v>0</v>
      </c>
      <c r="AV7095">
        <v>0</v>
      </c>
      <c r="AW7095">
        <v>1</v>
      </c>
    </row>
    <row r="7096" spans="1:49" x14ac:dyDescent="0.25">
      <c r="A7096" t="str">
        <f>"7092"</f>
        <v>7092</v>
      </c>
      <c r="B7096" t="str">
        <f t="shared" si="412"/>
        <v>1</v>
      </c>
      <c r="C7096" t="str">
        <f t="shared" si="413"/>
        <v>311</v>
      </c>
      <c r="D7096" t="str">
        <f>"10"</f>
        <v>10</v>
      </c>
      <c r="E7096" t="str">
        <f>"1-311-10"</f>
        <v>1-311-10</v>
      </c>
      <c r="F7096" t="s">
        <v>83</v>
      </c>
      <c r="G7096" t="s">
        <v>84</v>
      </c>
      <c r="H7096" t="s">
        <v>85</v>
      </c>
      <c r="AC7096">
        <v>1</v>
      </c>
      <c r="AD7096">
        <v>0</v>
      </c>
      <c r="AE7096">
        <v>0</v>
      </c>
      <c r="AF7096">
        <v>0</v>
      </c>
      <c r="AG7096">
        <v>1</v>
      </c>
      <c r="AJ7096">
        <v>0</v>
      </c>
      <c r="AK7096">
        <v>1</v>
      </c>
      <c r="AL7096">
        <v>1</v>
      </c>
      <c r="AM7096">
        <v>0</v>
      </c>
      <c r="AN7096">
        <v>0</v>
      </c>
      <c r="AO7096">
        <v>1</v>
      </c>
      <c r="AP7096">
        <v>1</v>
      </c>
      <c r="AQ7096">
        <v>1</v>
      </c>
      <c r="AR7096">
        <v>1</v>
      </c>
      <c r="AS7096">
        <v>1</v>
      </c>
      <c r="AT7096">
        <v>0</v>
      </c>
      <c r="AV7096">
        <v>1</v>
      </c>
      <c r="AW7096">
        <v>1</v>
      </c>
    </row>
    <row r="7097" spans="1:49" x14ac:dyDescent="0.25">
      <c r="A7097" t="str">
        <f>"7093"</f>
        <v>7093</v>
      </c>
      <c r="B7097" t="str">
        <f t="shared" si="412"/>
        <v>1</v>
      </c>
      <c r="C7097" t="str">
        <f t="shared" si="413"/>
        <v>311</v>
      </c>
      <c r="D7097" t="str">
        <f>"6"</f>
        <v>6</v>
      </c>
      <c r="E7097" t="str">
        <f>"1-311-6"</f>
        <v>1-311-6</v>
      </c>
      <c r="F7097" t="s">
        <v>83</v>
      </c>
      <c r="G7097" t="s">
        <v>88</v>
      </c>
      <c r="H7097" t="s">
        <v>89</v>
      </c>
      <c r="AC7097">
        <v>0</v>
      </c>
      <c r="AD7097">
        <v>1</v>
      </c>
      <c r="AE7097">
        <v>0</v>
      </c>
      <c r="AF7097">
        <v>0</v>
      </c>
      <c r="AH7097">
        <v>1</v>
      </c>
      <c r="AI7097">
        <v>0</v>
      </c>
      <c r="AJ7097">
        <v>0</v>
      </c>
      <c r="AK7097">
        <v>1</v>
      </c>
      <c r="AL7097">
        <v>0</v>
      </c>
      <c r="AM7097">
        <v>0</v>
      </c>
      <c r="AN7097">
        <v>1</v>
      </c>
      <c r="AO7097">
        <v>1</v>
      </c>
      <c r="AP7097">
        <v>1</v>
      </c>
      <c r="AQ7097">
        <v>0</v>
      </c>
      <c r="AR7097">
        <v>1</v>
      </c>
      <c r="AS7097">
        <v>0</v>
      </c>
      <c r="AT7097">
        <v>1</v>
      </c>
      <c r="AV7097">
        <v>1</v>
      </c>
      <c r="AW7097">
        <v>1</v>
      </c>
    </row>
    <row r="7098" spans="1:49" x14ac:dyDescent="0.25">
      <c r="A7098" t="str">
        <f>"7094"</f>
        <v>7094</v>
      </c>
      <c r="B7098" t="str">
        <f t="shared" si="412"/>
        <v>1</v>
      </c>
      <c r="C7098" t="str">
        <f t="shared" si="413"/>
        <v>311</v>
      </c>
      <c r="D7098" t="str">
        <f>"16"</f>
        <v>16</v>
      </c>
      <c r="E7098" t="str">
        <f>"1-311-16"</f>
        <v>1-311-16</v>
      </c>
      <c r="F7098" t="s">
        <v>83</v>
      </c>
      <c r="G7098" t="s">
        <v>84</v>
      </c>
      <c r="H7098" t="s">
        <v>85</v>
      </c>
      <c r="AC7098">
        <v>0</v>
      </c>
      <c r="AD7098">
        <v>1</v>
      </c>
      <c r="AE7098">
        <v>0</v>
      </c>
      <c r="AF7098">
        <v>0</v>
      </c>
      <c r="AG7098">
        <v>0</v>
      </c>
      <c r="AJ7098">
        <v>0</v>
      </c>
      <c r="AK7098">
        <v>1</v>
      </c>
      <c r="AL7098">
        <v>1</v>
      </c>
      <c r="AM7098">
        <v>0</v>
      </c>
      <c r="AN7098">
        <v>0</v>
      </c>
      <c r="AO7098">
        <v>0</v>
      </c>
      <c r="AP7098">
        <v>0</v>
      </c>
      <c r="AQ7098">
        <v>0</v>
      </c>
      <c r="AR7098">
        <v>0</v>
      </c>
      <c r="AS7098">
        <v>1</v>
      </c>
      <c r="AT7098">
        <v>0</v>
      </c>
      <c r="AV7098">
        <v>0</v>
      </c>
      <c r="AW7098">
        <v>0</v>
      </c>
    </row>
    <row r="7099" spans="1:49" x14ac:dyDescent="0.25">
      <c r="A7099" t="str">
        <f>"7095"</f>
        <v>7095</v>
      </c>
      <c r="B7099" t="str">
        <f t="shared" si="412"/>
        <v>1</v>
      </c>
      <c r="C7099" t="str">
        <f t="shared" si="413"/>
        <v>311</v>
      </c>
      <c r="D7099" t="str">
        <f>"3"</f>
        <v>3</v>
      </c>
      <c r="E7099" t="str">
        <f>"1-311-3"</f>
        <v>1-311-3</v>
      </c>
      <c r="F7099" t="s">
        <v>83</v>
      </c>
      <c r="G7099" t="s">
        <v>84</v>
      </c>
      <c r="H7099" t="s">
        <v>85</v>
      </c>
      <c r="AC7099">
        <v>0</v>
      </c>
      <c r="AD7099">
        <v>1</v>
      </c>
      <c r="AE7099">
        <v>0</v>
      </c>
      <c r="AF7099">
        <v>0</v>
      </c>
      <c r="AG7099">
        <v>1</v>
      </c>
      <c r="AJ7099">
        <v>1</v>
      </c>
      <c r="AK7099">
        <v>0</v>
      </c>
      <c r="AL7099">
        <v>0</v>
      </c>
      <c r="AM7099">
        <v>0</v>
      </c>
      <c r="AN7099">
        <v>1</v>
      </c>
      <c r="AO7099">
        <v>1</v>
      </c>
      <c r="AP7099">
        <v>1</v>
      </c>
      <c r="AQ7099">
        <v>1</v>
      </c>
      <c r="AR7099">
        <v>1</v>
      </c>
      <c r="AS7099">
        <v>1</v>
      </c>
      <c r="AT7099">
        <v>0</v>
      </c>
      <c r="AV7099">
        <v>1</v>
      </c>
      <c r="AW7099">
        <v>1</v>
      </c>
    </row>
    <row r="7100" spans="1:49" x14ac:dyDescent="0.25">
      <c r="A7100" t="str">
        <f>"7096"</f>
        <v>7096</v>
      </c>
      <c r="B7100" t="str">
        <f t="shared" si="412"/>
        <v>1</v>
      </c>
      <c r="C7100" t="str">
        <f t="shared" si="413"/>
        <v>311</v>
      </c>
      <c r="D7100" t="str">
        <f>"17"</f>
        <v>17</v>
      </c>
      <c r="E7100" t="str">
        <f>"1-311-17"</f>
        <v>1-311-17</v>
      </c>
      <c r="F7100" t="s">
        <v>83</v>
      </c>
      <c r="G7100" t="s">
        <v>84</v>
      </c>
      <c r="H7100" t="s">
        <v>85</v>
      </c>
      <c r="AC7100">
        <v>0</v>
      </c>
      <c r="AD7100">
        <v>1</v>
      </c>
      <c r="AE7100">
        <v>0</v>
      </c>
      <c r="AF7100">
        <v>0</v>
      </c>
      <c r="AG7100">
        <v>1</v>
      </c>
      <c r="AJ7100">
        <v>0</v>
      </c>
      <c r="AK7100">
        <v>1</v>
      </c>
      <c r="AL7100">
        <v>0</v>
      </c>
      <c r="AM7100">
        <v>0</v>
      </c>
      <c r="AN7100">
        <v>1</v>
      </c>
      <c r="AO7100">
        <v>1</v>
      </c>
      <c r="AP7100">
        <v>1</v>
      </c>
      <c r="AQ7100">
        <v>1</v>
      </c>
      <c r="AR7100">
        <v>1</v>
      </c>
      <c r="AS7100">
        <v>0</v>
      </c>
      <c r="AT7100">
        <v>1</v>
      </c>
      <c r="AV7100">
        <v>1</v>
      </c>
      <c r="AW7100">
        <v>1</v>
      </c>
    </row>
    <row r="7101" spans="1:49" x14ac:dyDescent="0.25">
      <c r="A7101" t="str">
        <f>"7097"</f>
        <v>7097</v>
      </c>
      <c r="B7101" t="str">
        <f t="shared" si="412"/>
        <v>1</v>
      </c>
      <c r="C7101" t="str">
        <f t="shared" si="413"/>
        <v>311</v>
      </c>
      <c r="D7101" t="str">
        <f>"7"</f>
        <v>7</v>
      </c>
      <c r="E7101" t="str">
        <f>"1-311-7"</f>
        <v>1-311-7</v>
      </c>
      <c r="F7101" t="s">
        <v>83</v>
      </c>
      <c r="G7101" t="s">
        <v>88</v>
      </c>
      <c r="H7101" t="s">
        <v>89</v>
      </c>
      <c r="AC7101">
        <v>0</v>
      </c>
      <c r="AD7101">
        <v>1</v>
      </c>
      <c r="AE7101">
        <v>0</v>
      </c>
      <c r="AF7101">
        <v>0</v>
      </c>
      <c r="AH7101">
        <v>1</v>
      </c>
      <c r="AI7101">
        <v>0</v>
      </c>
      <c r="AJ7101">
        <v>0</v>
      </c>
      <c r="AK7101">
        <v>1</v>
      </c>
      <c r="AL7101">
        <v>0</v>
      </c>
      <c r="AM7101">
        <v>0</v>
      </c>
      <c r="AN7101">
        <v>1</v>
      </c>
      <c r="AO7101">
        <v>0</v>
      </c>
      <c r="AP7101">
        <v>1</v>
      </c>
      <c r="AQ7101">
        <v>1</v>
      </c>
      <c r="AR7101">
        <v>1</v>
      </c>
      <c r="AS7101">
        <v>0</v>
      </c>
      <c r="AT7101">
        <v>1</v>
      </c>
      <c r="AV7101">
        <v>0</v>
      </c>
      <c r="AW7101">
        <v>1</v>
      </c>
    </row>
    <row r="7102" spans="1:49" x14ac:dyDescent="0.25">
      <c r="A7102" t="str">
        <f>"7098"</f>
        <v>7098</v>
      </c>
      <c r="B7102" t="str">
        <f t="shared" si="412"/>
        <v>1</v>
      </c>
      <c r="C7102" t="str">
        <f t="shared" si="413"/>
        <v>311</v>
      </c>
      <c r="D7102" t="str">
        <f>"18"</f>
        <v>18</v>
      </c>
      <c r="E7102" t="str">
        <f>"1-311-18"</f>
        <v>1-311-18</v>
      </c>
      <c r="F7102" t="s">
        <v>83</v>
      </c>
      <c r="G7102" t="s">
        <v>84</v>
      </c>
      <c r="H7102" t="s">
        <v>85</v>
      </c>
      <c r="AC7102">
        <v>0</v>
      </c>
      <c r="AD7102">
        <v>1</v>
      </c>
      <c r="AE7102">
        <v>0</v>
      </c>
      <c r="AF7102">
        <v>0</v>
      </c>
      <c r="AG7102">
        <v>1</v>
      </c>
      <c r="AJ7102">
        <v>0</v>
      </c>
      <c r="AK7102">
        <v>1</v>
      </c>
      <c r="AL7102">
        <v>0</v>
      </c>
      <c r="AM7102">
        <v>0</v>
      </c>
      <c r="AN7102">
        <v>1</v>
      </c>
      <c r="AO7102">
        <v>1</v>
      </c>
      <c r="AP7102">
        <v>1</v>
      </c>
      <c r="AQ7102">
        <v>1</v>
      </c>
      <c r="AR7102">
        <v>1</v>
      </c>
      <c r="AS7102">
        <v>0</v>
      </c>
      <c r="AT7102">
        <v>1</v>
      </c>
      <c r="AV7102">
        <v>1</v>
      </c>
      <c r="AW7102">
        <v>1</v>
      </c>
    </row>
    <row r="7103" spans="1:49" x14ac:dyDescent="0.25">
      <c r="A7103" t="str">
        <f>"7099"</f>
        <v>7099</v>
      </c>
      <c r="B7103" t="str">
        <f t="shared" si="412"/>
        <v>1</v>
      </c>
      <c r="C7103" t="str">
        <f t="shared" si="413"/>
        <v>311</v>
      </c>
      <c r="D7103" t="str">
        <f>"2"</f>
        <v>2</v>
      </c>
      <c r="E7103" t="str">
        <f>"1-311-2"</f>
        <v>1-311-2</v>
      </c>
      <c r="F7103" t="s">
        <v>83</v>
      </c>
      <c r="G7103" t="s">
        <v>84</v>
      </c>
      <c r="H7103" t="s">
        <v>85</v>
      </c>
      <c r="AC7103">
        <v>1</v>
      </c>
      <c r="AD7103">
        <v>0</v>
      </c>
      <c r="AE7103">
        <v>0</v>
      </c>
      <c r="AF7103">
        <v>0</v>
      </c>
      <c r="AG7103">
        <v>0</v>
      </c>
      <c r="AJ7103">
        <v>1</v>
      </c>
      <c r="AK7103">
        <v>0</v>
      </c>
      <c r="AL7103">
        <v>1</v>
      </c>
      <c r="AM7103">
        <v>0</v>
      </c>
      <c r="AN7103">
        <v>0</v>
      </c>
      <c r="AO7103">
        <v>1</v>
      </c>
      <c r="AP7103">
        <v>1</v>
      </c>
      <c r="AQ7103">
        <v>1</v>
      </c>
      <c r="AR7103">
        <v>1</v>
      </c>
      <c r="AS7103">
        <v>1</v>
      </c>
      <c r="AT7103">
        <v>0</v>
      </c>
      <c r="AV7103">
        <v>1</v>
      </c>
      <c r="AW7103">
        <v>1</v>
      </c>
    </row>
    <row r="7104" spans="1:49" x14ac:dyDescent="0.25">
      <c r="A7104" t="str">
        <f>"7100"</f>
        <v>7100</v>
      </c>
      <c r="B7104" t="str">
        <f t="shared" si="412"/>
        <v>1</v>
      </c>
      <c r="C7104" t="str">
        <f t="shared" si="413"/>
        <v>311</v>
      </c>
      <c r="D7104" t="str">
        <f>"19"</f>
        <v>19</v>
      </c>
      <c r="E7104" t="str">
        <f>"1-311-19"</f>
        <v>1-311-19</v>
      </c>
      <c r="F7104" t="s">
        <v>83</v>
      </c>
      <c r="G7104" t="s">
        <v>84</v>
      </c>
      <c r="H7104" t="s">
        <v>85</v>
      </c>
      <c r="AC7104">
        <v>1</v>
      </c>
      <c r="AD7104">
        <v>0</v>
      </c>
      <c r="AE7104">
        <v>0</v>
      </c>
      <c r="AF7104">
        <v>0</v>
      </c>
      <c r="AG7104">
        <v>1</v>
      </c>
      <c r="AJ7104">
        <v>1</v>
      </c>
      <c r="AK7104">
        <v>0</v>
      </c>
      <c r="AL7104">
        <v>0</v>
      </c>
      <c r="AM7104">
        <v>0</v>
      </c>
      <c r="AN7104">
        <v>1</v>
      </c>
      <c r="AO7104">
        <v>1</v>
      </c>
      <c r="AP7104">
        <v>1</v>
      </c>
      <c r="AQ7104">
        <v>1</v>
      </c>
      <c r="AR7104">
        <v>1</v>
      </c>
      <c r="AS7104">
        <v>0</v>
      </c>
      <c r="AT7104">
        <v>1</v>
      </c>
      <c r="AV7104">
        <v>1</v>
      </c>
      <c r="AW7104">
        <v>1</v>
      </c>
    </row>
    <row r="7105" spans="1:49" x14ac:dyDescent="0.25">
      <c r="A7105" t="str">
        <f>"7101"</f>
        <v>7101</v>
      </c>
      <c r="B7105" t="str">
        <f t="shared" si="412"/>
        <v>1</v>
      </c>
      <c r="C7105" t="str">
        <f t="shared" si="413"/>
        <v>311</v>
      </c>
      <c r="D7105" t="str">
        <f>"5"</f>
        <v>5</v>
      </c>
      <c r="E7105" t="str">
        <f>"1-311-5"</f>
        <v>1-311-5</v>
      </c>
      <c r="F7105" t="s">
        <v>83</v>
      </c>
      <c r="G7105" t="s">
        <v>84</v>
      </c>
      <c r="H7105" t="s">
        <v>85</v>
      </c>
      <c r="AC7105">
        <v>0</v>
      </c>
      <c r="AD7105">
        <v>1</v>
      </c>
      <c r="AE7105">
        <v>0</v>
      </c>
      <c r="AF7105">
        <v>0</v>
      </c>
      <c r="AG7105">
        <v>0</v>
      </c>
      <c r="AJ7105">
        <v>0</v>
      </c>
      <c r="AK7105">
        <v>1</v>
      </c>
      <c r="AL7105">
        <v>0</v>
      </c>
      <c r="AM7105">
        <v>0</v>
      </c>
      <c r="AN7105">
        <v>0</v>
      </c>
      <c r="AO7105">
        <v>0</v>
      </c>
      <c r="AP7105">
        <v>0</v>
      </c>
      <c r="AQ7105">
        <v>0</v>
      </c>
      <c r="AR7105">
        <v>0</v>
      </c>
      <c r="AS7105">
        <v>1</v>
      </c>
      <c r="AT7105">
        <v>0</v>
      </c>
      <c r="AV7105">
        <v>0</v>
      </c>
      <c r="AW7105">
        <v>0</v>
      </c>
    </row>
    <row r="7106" spans="1:49" x14ac:dyDescent="0.25">
      <c r="A7106" t="str">
        <f>"7102"</f>
        <v>7102</v>
      </c>
      <c r="B7106" t="str">
        <f t="shared" si="412"/>
        <v>1</v>
      </c>
      <c r="C7106" t="str">
        <f t="shared" si="413"/>
        <v>311</v>
      </c>
      <c r="D7106" t="str">
        <f>"4"</f>
        <v>4</v>
      </c>
      <c r="E7106" t="str">
        <f>"1-311-4"</f>
        <v>1-311-4</v>
      </c>
      <c r="F7106" t="s">
        <v>83</v>
      </c>
      <c r="G7106" t="s">
        <v>84</v>
      </c>
      <c r="H7106" t="s">
        <v>85</v>
      </c>
      <c r="AC7106">
        <v>0</v>
      </c>
      <c r="AD7106">
        <v>0</v>
      </c>
      <c r="AE7106">
        <v>0</v>
      </c>
      <c r="AF7106">
        <v>0</v>
      </c>
      <c r="AG7106">
        <v>0</v>
      </c>
      <c r="AJ7106">
        <v>0</v>
      </c>
      <c r="AK7106">
        <v>0</v>
      </c>
      <c r="AL7106">
        <v>0</v>
      </c>
      <c r="AM7106">
        <v>0</v>
      </c>
      <c r="AN7106">
        <v>0</v>
      </c>
      <c r="AO7106">
        <v>0</v>
      </c>
      <c r="AP7106">
        <v>0</v>
      </c>
      <c r="AQ7106">
        <v>0</v>
      </c>
      <c r="AR7106">
        <v>0</v>
      </c>
      <c r="AS7106">
        <v>0</v>
      </c>
      <c r="AT7106">
        <v>1</v>
      </c>
      <c r="AV7106">
        <v>0</v>
      </c>
      <c r="AW7106">
        <v>1</v>
      </c>
    </row>
    <row r="7107" spans="1:49" x14ac:dyDescent="0.25">
      <c r="A7107" t="str">
        <f>"7103"</f>
        <v>7103</v>
      </c>
      <c r="B7107" t="str">
        <f t="shared" si="412"/>
        <v>1</v>
      </c>
      <c r="C7107" t="str">
        <f t="shared" ref="C7107:C7131" si="414">"312"</f>
        <v>312</v>
      </c>
      <c r="D7107" t="str">
        <f>"23"</f>
        <v>23</v>
      </c>
      <c r="E7107" t="str">
        <f>"1-312-23"</f>
        <v>1-312-23</v>
      </c>
      <c r="F7107" t="s">
        <v>83</v>
      </c>
      <c r="G7107" t="s">
        <v>84</v>
      </c>
      <c r="H7107" t="s">
        <v>85</v>
      </c>
      <c r="AC7107">
        <v>1</v>
      </c>
      <c r="AD7107">
        <v>0</v>
      </c>
      <c r="AE7107">
        <v>0</v>
      </c>
      <c r="AF7107">
        <v>0</v>
      </c>
      <c r="AG7107">
        <v>1</v>
      </c>
      <c r="AJ7107">
        <v>1</v>
      </c>
      <c r="AK7107">
        <v>0</v>
      </c>
      <c r="AL7107">
        <v>0</v>
      </c>
      <c r="AM7107">
        <v>0</v>
      </c>
      <c r="AN7107">
        <v>1</v>
      </c>
      <c r="AO7107">
        <v>1</v>
      </c>
      <c r="AP7107">
        <v>1</v>
      </c>
      <c r="AQ7107">
        <v>1</v>
      </c>
      <c r="AR7107">
        <v>1</v>
      </c>
      <c r="AS7107">
        <v>0</v>
      </c>
      <c r="AT7107">
        <v>1</v>
      </c>
      <c r="AV7107">
        <v>1</v>
      </c>
      <c r="AW7107">
        <v>1</v>
      </c>
    </row>
    <row r="7108" spans="1:49" x14ac:dyDescent="0.25">
      <c r="A7108" t="str">
        <f>"7104"</f>
        <v>7104</v>
      </c>
      <c r="B7108" t="str">
        <f t="shared" si="412"/>
        <v>1</v>
      </c>
      <c r="C7108" t="str">
        <f t="shared" si="414"/>
        <v>312</v>
      </c>
      <c r="D7108" t="str">
        <f>"22"</f>
        <v>22</v>
      </c>
      <c r="E7108" t="str">
        <f>"1-312-22"</f>
        <v>1-312-22</v>
      </c>
      <c r="F7108" t="s">
        <v>83</v>
      </c>
      <c r="G7108" t="s">
        <v>84</v>
      </c>
      <c r="H7108" t="s">
        <v>85</v>
      </c>
      <c r="AC7108">
        <v>1</v>
      </c>
      <c r="AD7108">
        <v>0</v>
      </c>
      <c r="AE7108">
        <v>0</v>
      </c>
      <c r="AF7108">
        <v>0</v>
      </c>
      <c r="AG7108">
        <v>1</v>
      </c>
      <c r="AJ7108">
        <v>1</v>
      </c>
      <c r="AK7108">
        <v>0</v>
      </c>
      <c r="AL7108">
        <v>0</v>
      </c>
      <c r="AM7108">
        <v>0</v>
      </c>
      <c r="AN7108">
        <v>1</v>
      </c>
      <c r="AO7108">
        <v>1</v>
      </c>
      <c r="AP7108">
        <v>1</v>
      </c>
      <c r="AQ7108">
        <v>1</v>
      </c>
      <c r="AR7108">
        <v>1</v>
      </c>
      <c r="AS7108">
        <v>0</v>
      </c>
      <c r="AT7108">
        <v>1</v>
      </c>
      <c r="AV7108">
        <v>1</v>
      </c>
      <c r="AW7108">
        <v>1</v>
      </c>
    </row>
    <row r="7109" spans="1:49" x14ac:dyDescent="0.25">
      <c r="A7109" t="str">
        <f>"7105"</f>
        <v>7105</v>
      </c>
      <c r="B7109" t="str">
        <f t="shared" si="412"/>
        <v>1</v>
      </c>
      <c r="C7109" t="str">
        <f t="shared" si="414"/>
        <v>312</v>
      </c>
      <c r="D7109" t="str">
        <f>"13"</f>
        <v>13</v>
      </c>
      <c r="E7109" t="str">
        <f>"1-312-13"</f>
        <v>1-312-13</v>
      </c>
      <c r="F7109" t="s">
        <v>83</v>
      </c>
      <c r="G7109" t="s">
        <v>86</v>
      </c>
      <c r="H7109" t="s">
        <v>87</v>
      </c>
      <c r="AC7109">
        <v>1</v>
      </c>
      <c r="AD7109">
        <v>0</v>
      </c>
      <c r="AE7109">
        <v>0</v>
      </c>
      <c r="AF7109">
        <v>0</v>
      </c>
      <c r="AH7109">
        <v>1</v>
      </c>
      <c r="AI7109">
        <v>0</v>
      </c>
      <c r="AJ7109">
        <v>1</v>
      </c>
      <c r="AK7109">
        <v>0</v>
      </c>
      <c r="AL7109">
        <v>1</v>
      </c>
      <c r="AM7109">
        <v>0</v>
      </c>
      <c r="AN7109">
        <v>0</v>
      </c>
      <c r="AO7109">
        <v>1</v>
      </c>
      <c r="AP7109">
        <v>1</v>
      </c>
      <c r="AQ7109">
        <v>1</v>
      </c>
      <c r="AU7109">
        <v>1</v>
      </c>
      <c r="AV7109">
        <v>1</v>
      </c>
      <c r="AW7109">
        <v>1</v>
      </c>
    </row>
    <row r="7110" spans="1:49" x14ac:dyDescent="0.25">
      <c r="A7110" t="str">
        <f>"7106"</f>
        <v>7106</v>
      </c>
      <c r="B7110" t="str">
        <f t="shared" si="412"/>
        <v>1</v>
      </c>
      <c r="C7110" t="str">
        <f t="shared" si="414"/>
        <v>312</v>
      </c>
      <c r="D7110" t="str">
        <f>"8"</f>
        <v>8</v>
      </c>
      <c r="E7110" t="str">
        <f>"1-312-8"</f>
        <v>1-312-8</v>
      </c>
      <c r="F7110" t="s">
        <v>83</v>
      </c>
      <c r="G7110" t="s">
        <v>86</v>
      </c>
      <c r="H7110" t="s">
        <v>87</v>
      </c>
      <c r="AC7110">
        <v>1</v>
      </c>
      <c r="AD7110">
        <v>0</v>
      </c>
      <c r="AE7110">
        <v>0</v>
      </c>
      <c r="AF7110">
        <v>0</v>
      </c>
      <c r="AH7110">
        <v>0</v>
      </c>
      <c r="AI7110">
        <v>1</v>
      </c>
      <c r="AJ7110">
        <v>1</v>
      </c>
      <c r="AK7110">
        <v>0</v>
      </c>
      <c r="AL7110">
        <v>0</v>
      </c>
      <c r="AM7110">
        <v>0</v>
      </c>
      <c r="AN7110">
        <v>1</v>
      </c>
      <c r="AO7110">
        <v>1</v>
      </c>
      <c r="AP7110">
        <v>1</v>
      </c>
      <c r="AQ7110">
        <v>1</v>
      </c>
      <c r="AU7110">
        <v>1</v>
      </c>
      <c r="AV7110">
        <v>1</v>
      </c>
      <c r="AW7110">
        <v>1</v>
      </c>
    </row>
    <row r="7111" spans="1:49" x14ac:dyDescent="0.25">
      <c r="A7111" t="str">
        <f>"7107"</f>
        <v>7107</v>
      </c>
      <c r="B7111" t="str">
        <f t="shared" si="412"/>
        <v>1</v>
      </c>
      <c r="C7111" t="str">
        <f t="shared" si="414"/>
        <v>312</v>
      </c>
      <c r="D7111" t="str">
        <f>"3"</f>
        <v>3</v>
      </c>
      <c r="E7111" t="str">
        <f>"1-312-3"</f>
        <v>1-312-3</v>
      </c>
      <c r="F7111" t="s">
        <v>83</v>
      </c>
      <c r="G7111" t="s">
        <v>86</v>
      </c>
      <c r="H7111" t="s">
        <v>87</v>
      </c>
      <c r="AC7111">
        <v>0</v>
      </c>
      <c r="AD7111">
        <v>1</v>
      </c>
      <c r="AE7111">
        <v>0</v>
      </c>
      <c r="AF7111">
        <v>0</v>
      </c>
      <c r="AH7111">
        <v>1</v>
      </c>
      <c r="AI7111">
        <v>0</v>
      </c>
      <c r="AJ7111">
        <v>0</v>
      </c>
      <c r="AK7111">
        <v>1</v>
      </c>
      <c r="AL7111">
        <v>0</v>
      </c>
      <c r="AM7111">
        <v>0</v>
      </c>
      <c r="AN7111">
        <v>1</v>
      </c>
      <c r="AO7111">
        <v>1</v>
      </c>
      <c r="AP7111">
        <v>1</v>
      </c>
      <c r="AQ7111">
        <v>1</v>
      </c>
      <c r="AU7111">
        <v>1</v>
      </c>
      <c r="AV7111">
        <v>1</v>
      </c>
      <c r="AW7111">
        <v>1</v>
      </c>
    </row>
    <row r="7112" spans="1:49" x14ac:dyDescent="0.25">
      <c r="A7112" t="str">
        <f>"7108"</f>
        <v>7108</v>
      </c>
      <c r="B7112" t="str">
        <f t="shared" si="412"/>
        <v>1</v>
      </c>
      <c r="C7112" t="str">
        <f t="shared" si="414"/>
        <v>312</v>
      </c>
      <c r="D7112" t="str">
        <f>"21"</f>
        <v>21</v>
      </c>
      <c r="E7112" t="str">
        <f>"1-312-21"</f>
        <v>1-312-21</v>
      </c>
      <c r="F7112" t="s">
        <v>83</v>
      </c>
      <c r="G7112" t="s">
        <v>84</v>
      </c>
      <c r="H7112" t="s">
        <v>85</v>
      </c>
      <c r="AC7112">
        <v>1</v>
      </c>
      <c r="AD7112">
        <v>0</v>
      </c>
      <c r="AE7112">
        <v>0</v>
      </c>
      <c r="AF7112">
        <v>0</v>
      </c>
      <c r="AG7112">
        <v>1</v>
      </c>
      <c r="AJ7112">
        <v>1</v>
      </c>
      <c r="AK7112">
        <v>0</v>
      </c>
      <c r="AL7112">
        <v>0</v>
      </c>
      <c r="AM7112">
        <v>0</v>
      </c>
      <c r="AN7112">
        <v>1</v>
      </c>
      <c r="AO7112">
        <v>1</v>
      </c>
      <c r="AP7112">
        <v>1</v>
      </c>
      <c r="AQ7112">
        <v>1</v>
      </c>
      <c r="AR7112">
        <v>1</v>
      </c>
      <c r="AS7112">
        <v>0</v>
      </c>
      <c r="AT7112">
        <v>1</v>
      </c>
      <c r="AV7112">
        <v>1</v>
      </c>
      <c r="AW7112">
        <v>1</v>
      </c>
    </row>
    <row r="7113" spans="1:49" x14ac:dyDescent="0.25">
      <c r="A7113" t="str">
        <f>"7109"</f>
        <v>7109</v>
      </c>
      <c r="B7113" t="str">
        <f t="shared" si="412"/>
        <v>1</v>
      </c>
      <c r="C7113" t="str">
        <f t="shared" si="414"/>
        <v>312</v>
      </c>
      <c r="D7113" t="str">
        <f>"20"</f>
        <v>20</v>
      </c>
      <c r="E7113" t="str">
        <f>"1-312-20"</f>
        <v>1-312-20</v>
      </c>
      <c r="F7113" t="s">
        <v>83</v>
      </c>
      <c r="G7113" t="s">
        <v>86</v>
      </c>
      <c r="H7113" t="s">
        <v>87</v>
      </c>
      <c r="AC7113">
        <v>0</v>
      </c>
      <c r="AD7113">
        <v>1</v>
      </c>
      <c r="AE7113">
        <v>0</v>
      </c>
      <c r="AF7113">
        <v>0</v>
      </c>
      <c r="AH7113">
        <v>0</v>
      </c>
      <c r="AI7113">
        <v>1</v>
      </c>
      <c r="AJ7113">
        <v>0</v>
      </c>
      <c r="AK7113">
        <v>0</v>
      </c>
      <c r="AL7113">
        <v>0</v>
      </c>
      <c r="AM7113">
        <v>0</v>
      </c>
      <c r="AN7113">
        <v>1</v>
      </c>
      <c r="AO7113">
        <v>1</v>
      </c>
      <c r="AP7113">
        <v>1</v>
      </c>
      <c r="AQ7113">
        <v>1</v>
      </c>
      <c r="AU7113">
        <v>1</v>
      </c>
      <c r="AV7113">
        <v>1</v>
      </c>
      <c r="AW7113">
        <v>1</v>
      </c>
    </row>
    <row r="7114" spans="1:49" x14ac:dyDescent="0.25">
      <c r="A7114" t="str">
        <f>"7110"</f>
        <v>7110</v>
      </c>
      <c r="B7114" t="str">
        <f t="shared" si="412"/>
        <v>1</v>
      </c>
      <c r="C7114" t="str">
        <f t="shared" si="414"/>
        <v>312</v>
      </c>
      <c r="D7114" t="str">
        <f>"14"</f>
        <v>14</v>
      </c>
      <c r="E7114" t="str">
        <f>"1-312-14"</f>
        <v>1-312-14</v>
      </c>
      <c r="F7114" t="s">
        <v>83</v>
      </c>
      <c r="G7114" t="s">
        <v>86</v>
      </c>
      <c r="H7114" t="s">
        <v>87</v>
      </c>
      <c r="AC7114">
        <v>1</v>
      </c>
      <c r="AD7114">
        <v>0</v>
      </c>
      <c r="AE7114">
        <v>0</v>
      </c>
      <c r="AF7114">
        <v>0</v>
      </c>
      <c r="AH7114">
        <v>1</v>
      </c>
      <c r="AI7114">
        <v>0</v>
      </c>
      <c r="AJ7114">
        <v>1</v>
      </c>
      <c r="AK7114">
        <v>0</v>
      </c>
      <c r="AL7114">
        <v>1</v>
      </c>
      <c r="AM7114">
        <v>0</v>
      </c>
      <c r="AN7114">
        <v>0</v>
      </c>
      <c r="AO7114">
        <v>1</v>
      </c>
      <c r="AP7114">
        <v>1</v>
      </c>
      <c r="AQ7114">
        <v>1</v>
      </c>
      <c r="AU7114">
        <v>1</v>
      </c>
      <c r="AV7114">
        <v>1</v>
      </c>
      <c r="AW7114">
        <v>1</v>
      </c>
    </row>
    <row r="7115" spans="1:49" x14ac:dyDescent="0.25">
      <c r="A7115" t="str">
        <f>"7111"</f>
        <v>7111</v>
      </c>
      <c r="B7115" t="str">
        <f t="shared" si="412"/>
        <v>1</v>
      </c>
      <c r="C7115" t="str">
        <f t="shared" si="414"/>
        <v>312</v>
      </c>
      <c r="D7115" t="str">
        <f>"9"</f>
        <v>9</v>
      </c>
      <c r="E7115" t="str">
        <f>"1-312-9"</f>
        <v>1-312-9</v>
      </c>
      <c r="F7115" t="s">
        <v>83</v>
      </c>
      <c r="G7115" t="s">
        <v>86</v>
      </c>
      <c r="H7115" t="s">
        <v>87</v>
      </c>
      <c r="AC7115">
        <v>1</v>
      </c>
      <c r="AD7115">
        <v>0</v>
      </c>
      <c r="AE7115">
        <v>0</v>
      </c>
      <c r="AF7115">
        <v>0</v>
      </c>
      <c r="AH7115">
        <v>1</v>
      </c>
      <c r="AI7115">
        <v>0</v>
      </c>
      <c r="AJ7115">
        <v>0</v>
      </c>
      <c r="AK7115">
        <v>1</v>
      </c>
      <c r="AL7115">
        <v>1</v>
      </c>
      <c r="AM7115">
        <v>0</v>
      </c>
      <c r="AN7115">
        <v>0</v>
      </c>
      <c r="AO7115">
        <v>1</v>
      </c>
      <c r="AP7115">
        <v>1</v>
      </c>
      <c r="AQ7115">
        <v>1</v>
      </c>
      <c r="AU7115">
        <v>1</v>
      </c>
      <c r="AV7115">
        <v>1</v>
      </c>
      <c r="AW7115">
        <v>1</v>
      </c>
    </row>
    <row r="7116" spans="1:49" x14ac:dyDescent="0.25">
      <c r="A7116" t="str">
        <f>"7112"</f>
        <v>7112</v>
      </c>
      <c r="B7116" t="str">
        <f t="shared" si="412"/>
        <v>1</v>
      </c>
      <c r="C7116" t="str">
        <f t="shared" si="414"/>
        <v>312</v>
      </c>
      <c r="D7116" t="str">
        <f>"4"</f>
        <v>4</v>
      </c>
      <c r="E7116" t="str">
        <f>"1-312-4"</f>
        <v>1-312-4</v>
      </c>
      <c r="F7116" t="s">
        <v>83</v>
      </c>
      <c r="G7116" t="s">
        <v>86</v>
      </c>
      <c r="H7116" t="s">
        <v>87</v>
      </c>
      <c r="AC7116">
        <v>1</v>
      </c>
      <c r="AD7116">
        <v>0</v>
      </c>
      <c r="AE7116">
        <v>0</v>
      </c>
      <c r="AF7116">
        <v>0</v>
      </c>
      <c r="AH7116">
        <v>0</v>
      </c>
      <c r="AI7116">
        <v>1</v>
      </c>
      <c r="AJ7116">
        <v>0</v>
      </c>
      <c r="AK7116">
        <v>1</v>
      </c>
      <c r="AL7116">
        <v>0</v>
      </c>
      <c r="AM7116">
        <v>1</v>
      </c>
      <c r="AN7116">
        <v>0</v>
      </c>
      <c r="AO7116">
        <v>1</v>
      </c>
      <c r="AP7116">
        <v>1</v>
      </c>
      <c r="AQ7116">
        <v>1</v>
      </c>
      <c r="AU7116">
        <v>1</v>
      </c>
      <c r="AV7116">
        <v>1</v>
      </c>
      <c r="AW7116">
        <v>1</v>
      </c>
    </row>
    <row r="7117" spans="1:49" x14ac:dyDescent="0.25">
      <c r="A7117" t="str">
        <f>"7113"</f>
        <v>7113</v>
      </c>
      <c r="B7117" t="str">
        <f t="shared" si="412"/>
        <v>1</v>
      </c>
      <c r="C7117" t="str">
        <f t="shared" si="414"/>
        <v>312</v>
      </c>
      <c r="D7117" t="str">
        <f>"17"</f>
        <v>17</v>
      </c>
      <c r="E7117" t="str">
        <f>"1-312-17"</f>
        <v>1-312-17</v>
      </c>
      <c r="F7117" t="s">
        <v>83</v>
      </c>
      <c r="G7117" t="s">
        <v>86</v>
      </c>
      <c r="H7117" t="s">
        <v>87</v>
      </c>
      <c r="AC7117">
        <v>0</v>
      </c>
      <c r="AD7117">
        <v>1</v>
      </c>
      <c r="AE7117">
        <v>0</v>
      </c>
      <c r="AF7117">
        <v>0</v>
      </c>
      <c r="AH7117">
        <v>0</v>
      </c>
      <c r="AI7117">
        <v>1</v>
      </c>
      <c r="AJ7117">
        <v>1</v>
      </c>
      <c r="AK7117">
        <v>0</v>
      </c>
      <c r="AL7117">
        <v>0</v>
      </c>
      <c r="AM7117">
        <v>1</v>
      </c>
      <c r="AN7117">
        <v>0</v>
      </c>
      <c r="AO7117">
        <v>1</v>
      </c>
      <c r="AP7117">
        <v>1</v>
      </c>
      <c r="AQ7117">
        <v>1</v>
      </c>
      <c r="AU7117">
        <v>1</v>
      </c>
      <c r="AV7117">
        <v>1</v>
      </c>
      <c r="AW7117">
        <v>1</v>
      </c>
    </row>
    <row r="7118" spans="1:49" x14ac:dyDescent="0.25">
      <c r="A7118" t="str">
        <f>"7114"</f>
        <v>7114</v>
      </c>
      <c r="B7118" t="str">
        <f t="shared" si="412"/>
        <v>1</v>
      </c>
      <c r="C7118" t="str">
        <f t="shared" si="414"/>
        <v>312</v>
      </c>
      <c r="D7118" t="str">
        <f>"10"</f>
        <v>10</v>
      </c>
      <c r="E7118" t="str">
        <f>"1-312-10"</f>
        <v>1-312-10</v>
      </c>
      <c r="F7118" t="s">
        <v>83</v>
      </c>
      <c r="G7118" t="s">
        <v>86</v>
      </c>
      <c r="H7118" t="s">
        <v>87</v>
      </c>
      <c r="AC7118">
        <v>1</v>
      </c>
      <c r="AD7118">
        <v>0</v>
      </c>
      <c r="AE7118">
        <v>0</v>
      </c>
      <c r="AF7118">
        <v>0</v>
      </c>
      <c r="AH7118">
        <v>0</v>
      </c>
      <c r="AI7118">
        <v>1</v>
      </c>
      <c r="AJ7118">
        <v>0</v>
      </c>
      <c r="AK7118">
        <v>1</v>
      </c>
      <c r="AL7118">
        <v>0</v>
      </c>
      <c r="AM7118">
        <v>0</v>
      </c>
      <c r="AN7118">
        <v>1</v>
      </c>
      <c r="AO7118">
        <v>1</v>
      </c>
      <c r="AP7118">
        <v>1</v>
      </c>
      <c r="AQ7118">
        <v>1</v>
      </c>
      <c r="AU7118">
        <v>1</v>
      </c>
      <c r="AV7118">
        <v>1</v>
      </c>
      <c r="AW7118">
        <v>1</v>
      </c>
    </row>
    <row r="7119" spans="1:49" x14ac:dyDescent="0.25">
      <c r="A7119" t="str">
        <f>"7115"</f>
        <v>7115</v>
      </c>
      <c r="B7119" t="str">
        <f t="shared" si="412"/>
        <v>1</v>
      </c>
      <c r="C7119" t="str">
        <f t="shared" si="414"/>
        <v>312</v>
      </c>
      <c r="D7119" t="str">
        <f>"6"</f>
        <v>6</v>
      </c>
      <c r="E7119" t="str">
        <f>"1-312-6"</f>
        <v>1-312-6</v>
      </c>
      <c r="F7119" t="s">
        <v>83</v>
      </c>
      <c r="G7119" t="s">
        <v>86</v>
      </c>
      <c r="H7119" t="s">
        <v>87</v>
      </c>
      <c r="AC7119">
        <v>1</v>
      </c>
      <c r="AD7119">
        <v>0</v>
      </c>
      <c r="AE7119">
        <v>0</v>
      </c>
      <c r="AF7119">
        <v>0</v>
      </c>
      <c r="AH7119">
        <v>0</v>
      </c>
      <c r="AI7119">
        <v>1</v>
      </c>
      <c r="AJ7119">
        <v>1</v>
      </c>
      <c r="AK7119">
        <v>0</v>
      </c>
      <c r="AL7119">
        <v>0</v>
      </c>
      <c r="AM7119">
        <v>0</v>
      </c>
      <c r="AN7119">
        <v>1</v>
      </c>
      <c r="AO7119">
        <v>1</v>
      </c>
      <c r="AP7119">
        <v>1</v>
      </c>
      <c r="AQ7119">
        <v>1</v>
      </c>
      <c r="AU7119">
        <v>1</v>
      </c>
      <c r="AV7119">
        <v>1</v>
      </c>
      <c r="AW7119">
        <v>1</v>
      </c>
    </row>
    <row r="7120" spans="1:49" x14ac:dyDescent="0.25">
      <c r="A7120" t="str">
        <f>"7116"</f>
        <v>7116</v>
      </c>
      <c r="B7120" t="str">
        <f t="shared" si="412"/>
        <v>1</v>
      </c>
      <c r="C7120" t="str">
        <f t="shared" si="414"/>
        <v>312</v>
      </c>
      <c r="D7120" t="str">
        <f>"25"</f>
        <v>25</v>
      </c>
      <c r="E7120" t="str">
        <f>"1-312-25"</f>
        <v>1-312-25</v>
      </c>
      <c r="F7120" t="s">
        <v>83</v>
      </c>
      <c r="G7120" t="s">
        <v>84</v>
      </c>
      <c r="H7120" t="s">
        <v>85</v>
      </c>
      <c r="AC7120">
        <v>0</v>
      </c>
      <c r="AD7120">
        <v>0</v>
      </c>
      <c r="AE7120">
        <v>0</v>
      </c>
      <c r="AF7120">
        <v>0</v>
      </c>
      <c r="AG7120">
        <v>1</v>
      </c>
      <c r="AJ7120">
        <v>0</v>
      </c>
      <c r="AK7120">
        <v>1</v>
      </c>
      <c r="AL7120">
        <v>1</v>
      </c>
      <c r="AM7120">
        <v>0</v>
      </c>
      <c r="AN7120">
        <v>0</v>
      </c>
      <c r="AO7120">
        <v>1</v>
      </c>
      <c r="AP7120">
        <v>1</v>
      </c>
      <c r="AQ7120">
        <v>1</v>
      </c>
      <c r="AR7120">
        <v>1</v>
      </c>
      <c r="AS7120">
        <v>0</v>
      </c>
      <c r="AT7120">
        <v>1</v>
      </c>
      <c r="AV7120">
        <v>1</v>
      </c>
      <c r="AW7120">
        <v>1</v>
      </c>
    </row>
    <row r="7121" spans="1:49" x14ac:dyDescent="0.25">
      <c r="A7121" t="str">
        <f>"7117"</f>
        <v>7117</v>
      </c>
      <c r="B7121" t="str">
        <f t="shared" si="412"/>
        <v>1</v>
      </c>
      <c r="C7121" t="str">
        <f t="shared" si="414"/>
        <v>312</v>
      </c>
      <c r="D7121" t="str">
        <f>"24"</f>
        <v>24</v>
      </c>
      <c r="E7121" t="str">
        <f>"1-312-24"</f>
        <v>1-312-24</v>
      </c>
      <c r="F7121" t="s">
        <v>83</v>
      </c>
      <c r="G7121" t="s">
        <v>84</v>
      </c>
      <c r="H7121" t="s">
        <v>85</v>
      </c>
      <c r="AC7121">
        <v>0</v>
      </c>
      <c r="AD7121">
        <v>1</v>
      </c>
      <c r="AE7121">
        <v>0</v>
      </c>
      <c r="AF7121">
        <v>0</v>
      </c>
      <c r="AG7121">
        <v>1</v>
      </c>
      <c r="AJ7121">
        <v>0</v>
      </c>
      <c r="AK7121">
        <v>1</v>
      </c>
      <c r="AL7121">
        <v>1</v>
      </c>
      <c r="AM7121">
        <v>0</v>
      </c>
      <c r="AN7121">
        <v>0</v>
      </c>
      <c r="AO7121">
        <v>1</v>
      </c>
      <c r="AP7121">
        <v>1</v>
      </c>
      <c r="AQ7121">
        <v>1</v>
      </c>
      <c r="AR7121">
        <v>1</v>
      </c>
      <c r="AS7121">
        <v>0</v>
      </c>
      <c r="AT7121">
        <v>1</v>
      </c>
      <c r="AV7121">
        <v>1</v>
      </c>
      <c r="AW7121">
        <v>1</v>
      </c>
    </row>
    <row r="7122" spans="1:49" x14ac:dyDescent="0.25">
      <c r="A7122" t="str">
        <f>"7118"</f>
        <v>7118</v>
      </c>
      <c r="B7122" t="str">
        <f t="shared" si="412"/>
        <v>1</v>
      </c>
      <c r="C7122" t="str">
        <f t="shared" si="414"/>
        <v>312</v>
      </c>
      <c r="D7122" t="str">
        <f>"15"</f>
        <v>15</v>
      </c>
      <c r="E7122" t="str">
        <f>"1-312-15"</f>
        <v>1-312-15</v>
      </c>
      <c r="F7122" t="s">
        <v>83</v>
      </c>
      <c r="G7122" t="s">
        <v>86</v>
      </c>
      <c r="H7122" t="s">
        <v>87</v>
      </c>
      <c r="AC7122">
        <v>0</v>
      </c>
      <c r="AD7122">
        <v>1</v>
      </c>
      <c r="AE7122">
        <v>0</v>
      </c>
      <c r="AF7122">
        <v>0</v>
      </c>
      <c r="AH7122">
        <v>1</v>
      </c>
      <c r="AI7122">
        <v>0</v>
      </c>
      <c r="AJ7122">
        <v>0</v>
      </c>
      <c r="AK7122">
        <v>1</v>
      </c>
      <c r="AL7122">
        <v>0</v>
      </c>
      <c r="AM7122">
        <v>1</v>
      </c>
      <c r="AN7122">
        <v>0</v>
      </c>
      <c r="AO7122">
        <v>1</v>
      </c>
      <c r="AP7122">
        <v>1</v>
      </c>
      <c r="AQ7122">
        <v>1</v>
      </c>
      <c r="AU7122">
        <v>1</v>
      </c>
      <c r="AV7122">
        <v>1</v>
      </c>
      <c r="AW7122">
        <v>1</v>
      </c>
    </row>
    <row r="7123" spans="1:49" x14ac:dyDescent="0.25">
      <c r="A7123" t="str">
        <f>"7119"</f>
        <v>7119</v>
      </c>
      <c r="B7123" t="str">
        <f t="shared" si="412"/>
        <v>1</v>
      </c>
      <c r="C7123" t="str">
        <f t="shared" si="414"/>
        <v>312</v>
      </c>
      <c r="D7123" t="str">
        <f>"11"</f>
        <v>11</v>
      </c>
      <c r="E7123" t="str">
        <f>"1-312-11"</f>
        <v>1-312-11</v>
      </c>
      <c r="F7123" t="s">
        <v>83</v>
      </c>
      <c r="G7123" t="s">
        <v>86</v>
      </c>
      <c r="H7123" t="s">
        <v>87</v>
      </c>
      <c r="AC7123">
        <v>0</v>
      </c>
      <c r="AD7123">
        <v>1</v>
      </c>
      <c r="AE7123">
        <v>0</v>
      </c>
      <c r="AF7123">
        <v>0</v>
      </c>
      <c r="AH7123">
        <v>1</v>
      </c>
      <c r="AI7123">
        <v>0</v>
      </c>
      <c r="AJ7123">
        <v>0</v>
      </c>
      <c r="AK7123">
        <v>1</v>
      </c>
      <c r="AL7123">
        <v>0</v>
      </c>
      <c r="AM7123">
        <v>1</v>
      </c>
      <c r="AN7123">
        <v>0</v>
      </c>
      <c r="AO7123">
        <v>1</v>
      </c>
      <c r="AP7123">
        <v>0</v>
      </c>
      <c r="AQ7123">
        <v>1</v>
      </c>
      <c r="AU7123">
        <v>1</v>
      </c>
      <c r="AV7123">
        <v>1</v>
      </c>
      <c r="AW7123">
        <v>1</v>
      </c>
    </row>
    <row r="7124" spans="1:49" x14ac:dyDescent="0.25">
      <c r="A7124" t="str">
        <f>"7120"</f>
        <v>7120</v>
      </c>
      <c r="B7124" t="str">
        <f t="shared" si="412"/>
        <v>1</v>
      </c>
      <c r="C7124" t="str">
        <f t="shared" si="414"/>
        <v>312</v>
      </c>
      <c r="D7124" t="str">
        <f>"16"</f>
        <v>16</v>
      </c>
      <c r="E7124" t="str">
        <f>"1-312-16"</f>
        <v>1-312-16</v>
      </c>
      <c r="F7124" t="s">
        <v>83</v>
      </c>
      <c r="G7124" t="s">
        <v>86</v>
      </c>
      <c r="H7124" t="s">
        <v>87</v>
      </c>
      <c r="AC7124">
        <v>0</v>
      </c>
      <c r="AD7124">
        <v>1</v>
      </c>
      <c r="AE7124">
        <v>0</v>
      </c>
      <c r="AF7124">
        <v>0</v>
      </c>
      <c r="AH7124">
        <v>1</v>
      </c>
      <c r="AI7124">
        <v>0</v>
      </c>
      <c r="AJ7124">
        <v>0</v>
      </c>
      <c r="AK7124">
        <v>1</v>
      </c>
      <c r="AL7124">
        <v>0</v>
      </c>
      <c r="AM7124">
        <v>1</v>
      </c>
      <c r="AN7124">
        <v>0</v>
      </c>
      <c r="AO7124">
        <v>1</v>
      </c>
      <c r="AP7124">
        <v>1</v>
      </c>
      <c r="AQ7124">
        <v>1</v>
      </c>
      <c r="AU7124">
        <v>1</v>
      </c>
      <c r="AV7124">
        <v>1</v>
      </c>
      <c r="AW7124">
        <v>1</v>
      </c>
    </row>
    <row r="7125" spans="1:49" x14ac:dyDescent="0.25">
      <c r="A7125" t="str">
        <f>"7121"</f>
        <v>7121</v>
      </c>
      <c r="B7125" t="str">
        <f t="shared" si="412"/>
        <v>1</v>
      </c>
      <c r="C7125" t="str">
        <f t="shared" si="414"/>
        <v>312</v>
      </c>
      <c r="D7125" t="str">
        <f>"12"</f>
        <v>12</v>
      </c>
      <c r="E7125" t="str">
        <f>"1-312-12"</f>
        <v>1-312-12</v>
      </c>
      <c r="F7125" t="s">
        <v>83</v>
      </c>
      <c r="G7125" t="s">
        <v>86</v>
      </c>
      <c r="H7125" t="s">
        <v>87</v>
      </c>
      <c r="AC7125">
        <v>1</v>
      </c>
      <c r="AD7125">
        <v>0</v>
      </c>
      <c r="AE7125">
        <v>0</v>
      </c>
      <c r="AF7125">
        <v>0</v>
      </c>
      <c r="AH7125">
        <v>1</v>
      </c>
      <c r="AI7125">
        <v>0</v>
      </c>
      <c r="AJ7125">
        <v>1</v>
      </c>
      <c r="AK7125">
        <v>0</v>
      </c>
      <c r="AL7125">
        <v>1</v>
      </c>
      <c r="AM7125">
        <v>0</v>
      </c>
      <c r="AN7125">
        <v>0</v>
      </c>
      <c r="AO7125">
        <v>1</v>
      </c>
      <c r="AP7125">
        <v>1</v>
      </c>
      <c r="AQ7125">
        <v>1</v>
      </c>
      <c r="AU7125">
        <v>1</v>
      </c>
      <c r="AV7125">
        <v>1</v>
      </c>
      <c r="AW7125">
        <v>1</v>
      </c>
    </row>
    <row r="7126" spans="1:49" x14ac:dyDescent="0.25">
      <c r="A7126" t="str">
        <f>"7122"</f>
        <v>7122</v>
      </c>
      <c r="B7126" t="str">
        <f t="shared" si="412"/>
        <v>1</v>
      </c>
      <c r="C7126" t="str">
        <f t="shared" si="414"/>
        <v>312</v>
      </c>
      <c r="D7126" t="str">
        <f>"1"</f>
        <v>1</v>
      </c>
      <c r="E7126" t="str">
        <f>"1-312-1"</f>
        <v>1-312-1</v>
      </c>
      <c r="F7126" t="s">
        <v>83</v>
      </c>
      <c r="G7126" t="s">
        <v>84</v>
      </c>
      <c r="H7126" t="s">
        <v>85</v>
      </c>
      <c r="AC7126">
        <v>1</v>
      </c>
      <c r="AD7126">
        <v>0</v>
      </c>
      <c r="AE7126">
        <v>0</v>
      </c>
      <c r="AF7126">
        <v>0</v>
      </c>
      <c r="AG7126">
        <v>1</v>
      </c>
      <c r="AJ7126">
        <v>1</v>
      </c>
      <c r="AK7126">
        <v>0</v>
      </c>
      <c r="AL7126">
        <v>1</v>
      </c>
      <c r="AM7126">
        <v>0</v>
      </c>
      <c r="AN7126">
        <v>0</v>
      </c>
      <c r="AO7126">
        <v>1</v>
      </c>
      <c r="AP7126">
        <v>1</v>
      </c>
      <c r="AQ7126">
        <v>1</v>
      </c>
      <c r="AR7126">
        <v>1</v>
      </c>
      <c r="AS7126">
        <v>1</v>
      </c>
      <c r="AT7126">
        <v>0</v>
      </c>
      <c r="AV7126">
        <v>1</v>
      </c>
      <c r="AW7126">
        <v>1</v>
      </c>
    </row>
    <row r="7127" spans="1:49" x14ac:dyDescent="0.25">
      <c r="A7127" t="str">
        <f>"7123"</f>
        <v>7123</v>
      </c>
      <c r="B7127" t="str">
        <f t="shared" si="412"/>
        <v>1</v>
      </c>
      <c r="C7127" t="str">
        <f t="shared" si="414"/>
        <v>312</v>
      </c>
      <c r="D7127" t="str">
        <f>"18"</f>
        <v>18</v>
      </c>
      <c r="E7127" t="str">
        <f>"1-312-18"</f>
        <v>1-312-18</v>
      </c>
      <c r="F7127" t="s">
        <v>83</v>
      </c>
      <c r="G7127" t="s">
        <v>86</v>
      </c>
      <c r="H7127" t="s">
        <v>87</v>
      </c>
      <c r="AC7127">
        <v>0</v>
      </c>
      <c r="AD7127">
        <v>1</v>
      </c>
      <c r="AE7127">
        <v>0</v>
      </c>
      <c r="AF7127">
        <v>0</v>
      </c>
      <c r="AH7127">
        <v>1</v>
      </c>
      <c r="AI7127">
        <v>0</v>
      </c>
      <c r="AJ7127">
        <v>0</v>
      </c>
      <c r="AK7127">
        <v>1</v>
      </c>
      <c r="AL7127">
        <v>0</v>
      </c>
      <c r="AM7127">
        <v>0</v>
      </c>
      <c r="AN7127">
        <v>0</v>
      </c>
      <c r="AO7127">
        <v>0</v>
      </c>
      <c r="AP7127">
        <v>0</v>
      </c>
      <c r="AQ7127">
        <v>0</v>
      </c>
      <c r="AU7127">
        <v>0</v>
      </c>
      <c r="AV7127">
        <v>0</v>
      </c>
      <c r="AW7127">
        <v>0</v>
      </c>
    </row>
    <row r="7128" spans="1:49" x14ac:dyDescent="0.25">
      <c r="A7128" t="str">
        <f>"7124"</f>
        <v>7124</v>
      </c>
      <c r="B7128" t="str">
        <f t="shared" si="412"/>
        <v>1</v>
      </c>
      <c r="C7128" t="str">
        <f t="shared" si="414"/>
        <v>312</v>
      </c>
      <c r="D7128" t="str">
        <f>"19"</f>
        <v>19</v>
      </c>
      <c r="E7128" t="str">
        <f>"1-312-19"</f>
        <v>1-312-19</v>
      </c>
      <c r="F7128" t="s">
        <v>83</v>
      </c>
      <c r="G7128" t="s">
        <v>86</v>
      </c>
      <c r="H7128" t="s">
        <v>87</v>
      </c>
      <c r="AC7128">
        <v>0</v>
      </c>
      <c r="AD7128">
        <v>1</v>
      </c>
      <c r="AE7128">
        <v>0</v>
      </c>
      <c r="AF7128">
        <v>0</v>
      </c>
      <c r="AH7128">
        <v>1</v>
      </c>
      <c r="AI7128">
        <v>0</v>
      </c>
      <c r="AJ7128">
        <v>0</v>
      </c>
      <c r="AK7128">
        <v>1</v>
      </c>
      <c r="AL7128">
        <v>0</v>
      </c>
      <c r="AM7128">
        <v>0</v>
      </c>
      <c r="AN7128">
        <v>1</v>
      </c>
      <c r="AO7128">
        <v>1</v>
      </c>
      <c r="AP7128">
        <v>1</v>
      </c>
      <c r="AQ7128">
        <v>1</v>
      </c>
      <c r="AU7128">
        <v>1</v>
      </c>
      <c r="AV7128">
        <v>1</v>
      </c>
      <c r="AW7128">
        <v>1</v>
      </c>
    </row>
    <row r="7129" spans="1:49" x14ac:dyDescent="0.25">
      <c r="A7129" t="str">
        <f>"7125"</f>
        <v>7125</v>
      </c>
      <c r="B7129" t="str">
        <f t="shared" si="412"/>
        <v>1</v>
      </c>
      <c r="C7129" t="str">
        <f t="shared" si="414"/>
        <v>312</v>
      </c>
      <c r="D7129" t="str">
        <f>"7"</f>
        <v>7</v>
      </c>
      <c r="E7129" t="str">
        <f>"1-312-7"</f>
        <v>1-312-7</v>
      </c>
      <c r="F7129" t="s">
        <v>83</v>
      </c>
      <c r="G7129" t="s">
        <v>86</v>
      </c>
      <c r="H7129" t="s">
        <v>87</v>
      </c>
      <c r="AC7129">
        <v>1</v>
      </c>
      <c r="AD7129">
        <v>0</v>
      </c>
      <c r="AE7129">
        <v>0</v>
      </c>
      <c r="AF7129">
        <v>0</v>
      </c>
      <c r="AH7129">
        <v>1</v>
      </c>
      <c r="AI7129">
        <v>0</v>
      </c>
      <c r="AJ7129">
        <v>1</v>
      </c>
      <c r="AK7129">
        <v>0</v>
      </c>
      <c r="AL7129">
        <v>1</v>
      </c>
      <c r="AM7129">
        <v>0</v>
      </c>
      <c r="AN7129">
        <v>0</v>
      </c>
      <c r="AO7129">
        <v>1</v>
      </c>
      <c r="AP7129">
        <v>1</v>
      </c>
      <c r="AQ7129">
        <v>1</v>
      </c>
      <c r="AU7129">
        <v>1</v>
      </c>
      <c r="AV7129">
        <v>1</v>
      </c>
      <c r="AW7129">
        <v>1</v>
      </c>
    </row>
    <row r="7130" spans="1:49" x14ac:dyDescent="0.25">
      <c r="A7130" t="str">
        <f>"7126"</f>
        <v>7126</v>
      </c>
      <c r="B7130" t="str">
        <f t="shared" si="412"/>
        <v>1</v>
      </c>
      <c r="C7130" t="str">
        <f t="shared" si="414"/>
        <v>312</v>
      </c>
      <c r="D7130" t="str">
        <f>"5"</f>
        <v>5</v>
      </c>
      <c r="E7130" t="str">
        <f>"1-312-5"</f>
        <v>1-312-5</v>
      </c>
      <c r="F7130" t="s">
        <v>83</v>
      </c>
      <c r="G7130" t="s">
        <v>86</v>
      </c>
      <c r="H7130" t="s">
        <v>87</v>
      </c>
      <c r="AC7130">
        <v>0</v>
      </c>
      <c r="AD7130">
        <v>1</v>
      </c>
      <c r="AE7130">
        <v>0</v>
      </c>
      <c r="AF7130">
        <v>0</v>
      </c>
      <c r="AH7130">
        <v>0</v>
      </c>
      <c r="AI7130">
        <v>1</v>
      </c>
      <c r="AJ7130">
        <v>0</v>
      </c>
      <c r="AK7130">
        <v>1</v>
      </c>
      <c r="AL7130">
        <v>0</v>
      </c>
      <c r="AM7130">
        <v>0</v>
      </c>
      <c r="AN7130">
        <v>0</v>
      </c>
      <c r="AO7130">
        <v>1</v>
      </c>
      <c r="AP7130">
        <v>1</v>
      </c>
      <c r="AQ7130">
        <v>1</v>
      </c>
      <c r="AU7130">
        <v>1</v>
      </c>
      <c r="AV7130">
        <v>1</v>
      </c>
      <c r="AW7130">
        <v>1</v>
      </c>
    </row>
    <row r="7131" spans="1:49" x14ac:dyDescent="0.25">
      <c r="A7131" t="str">
        <f>"7127"</f>
        <v>7127</v>
      </c>
      <c r="B7131" t="str">
        <f t="shared" si="412"/>
        <v>1</v>
      </c>
      <c r="C7131" t="str">
        <f t="shared" si="414"/>
        <v>312</v>
      </c>
      <c r="D7131" t="str">
        <f>"2"</f>
        <v>2</v>
      </c>
      <c r="E7131" t="str">
        <f>"1-312-2"</f>
        <v>1-312-2</v>
      </c>
      <c r="F7131" t="s">
        <v>83</v>
      </c>
      <c r="G7131" t="s">
        <v>86</v>
      </c>
      <c r="H7131" t="s">
        <v>87</v>
      </c>
      <c r="AC7131">
        <v>0</v>
      </c>
      <c r="AD7131">
        <v>1</v>
      </c>
      <c r="AE7131">
        <v>0</v>
      </c>
      <c r="AF7131">
        <v>0</v>
      </c>
      <c r="AH7131">
        <v>0</v>
      </c>
      <c r="AI7131">
        <v>1</v>
      </c>
      <c r="AJ7131">
        <v>0</v>
      </c>
      <c r="AK7131">
        <v>1</v>
      </c>
      <c r="AL7131">
        <v>0</v>
      </c>
      <c r="AM7131">
        <v>0</v>
      </c>
      <c r="AN7131">
        <v>0</v>
      </c>
      <c r="AO7131">
        <v>1</v>
      </c>
      <c r="AP7131">
        <v>1</v>
      </c>
      <c r="AQ7131">
        <v>1</v>
      </c>
      <c r="AU7131">
        <v>1</v>
      </c>
      <c r="AV7131">
        <v>1</v>
      </c>
      <c r="AW7131">
        <v>1</v>
      </c>
    </row>
    <row r="7132" spans="1:49" x14ac:dyDescent="0.25">
      <c r="A7132" t="str">
        <f>"7128"</f>
        <v>7128</v>
      </c>
      <c r="B7132" t="str">
        <f t="shared" si="412"/>
        <v>1</v>
      </c>
      <c r="C7132" t="str">
        <f t="shared" ref="C7132:C7153" si="415">"313"</f>
        <v>313</v>
      </c>
      <c r="D7132" t="str">
        <f>"22"</f>
        <v>22</v>
      </c>
      <c r="E7132" t="str">
        <f>"1-313-22"</f>
        <v>1-313-22</v>
      </c>
      <c r="F7132" t="s">
        <v>83</v>
      </c>
      <c r="G7132" t="s">
        <v>86</v>
      </c>
      <c r="H7132" t="s">
        <v>87</v>
      </c>
      <c r="AC7132">
        <v>0</v>
      </c>
      <c r="AD7132">
        <v>0</v>
      </c>
      <c r="AE7132">
        <v>0</v>
      </c>
      <c r="AF7132">
        <v>0</v>
      </c>
      <c r="AH7132">
        <v>0</v>
      </c>
      <c r="AI7132">
        <v>1</v>
      </c>
      <c r="AJ7132">
        <v>0</v>
      </c>
      <c r="AK7132">
        <v>0</v>
      </c>
      <c r="AL7132">
        <v>0</v>
      </c>
      <c r="AM7132">
        <v>0</v>
      </c>
      <c r="AN7132">
        <v>0</v>
      </c>
      <c r="AO7132">
        <v>0</v>
      </c>
      <c r="AP7132">
        <v>0</v>
      </c>
      <c r="AQ7132">
        <v>0</v>
      </c>
      <c r="AU7132">
        <v>0</v>
      </c>
      <c r="AV7132">
        <v>0</v>
      </c>
      <c r="AW7132">
        <v>0</v>
      </c>
    </row>
    <row r="7133" spans="1:49" x14ac:dyDescent="0.25">
      <c r="A7133" t="str">
        <f>"7129"</f>
        <v>7129</v>
      </c>
      <c r="B7133" t="str">
        <f t="shared" si="412"/>
        <v>1</v>
      </c>
      <c r="C7133" t="str">
        <f t="shared" si="415"/>
        <v>313</v>
      </c>
      <c r="D7133" t="str">
        <f>"15"</f>
        <v>15</v>
      </c>
      <c r="E7133" t="str">
        <f>"1-313-15"</f>
        <v>1-313-15</v>
      </c>
      <c r="F7133" t="s">
        <v>83</v>
      </c>
      <c r="G7133" t="s">
        <v>84</v>
      </c>
      <c r="H7133" t="s">
        <v>85</v>
      </c>
      <c r="AC7133">
        <v>1</v>
      </c>
      <c r="AD7133">
        <v>0</v>
      </c>
      <c r="AE7133">
        <v>0</v>
      </c>
      <c r="AF7133">
        <v>0</v>
      </c>
      <c r="AG7133">
        <v>0</v>
      </c>
      <c r="AJ7133">
        <v>1</v>
      </c>
      <c r="AK7133">
        <v>0</v>
      </c>
      <c r="AL7133">
        <v>1</v>
      </c>
      <c r="AM7133">
        <v>0</v>
      </c>
      <c r="AN7133">
        <v>0</v>
      </c>
      <c r="AO7133">
        <v>0</v>
      </c>
      <c r="AP7133">
        <v>0</v>
      </c>
      <c r="AQ7133">
        <v>0</v>
      </c>
      <c r="AR7133">
        <v>0</v>
      </c>
      <c r="AS7133">
        <v>1</v>
      </c>
      <c r="AT7133">
        <v>0</v>
      </c>
      <c r="AV7133">
        <v>0</v>
      </c>
      <c r="AW7133">
        <v>0</v>
      </c>
    </row>
    <row r="7134" spans="1:49" x14ac:dyDescent="0.25">
      <c r="A7134" t="str">
        <f>"7130"</f>
        <v>7130</v>
      </c>
      <c r="B7134" t="str">
        <f t="shared" ref="B7134:B7197" si="416">"1"</f>
        <v>1</v>
      </c>
      <c r="C7134" t="str">
        <f t="shared" si="415"/>
        <v>313</v>
      </c>
      <c r="D7134" t="str">
        <f>"8"</f>
        <v>8</v>
      </c>
      <c r="E7134" t="str">
        <f>"1-313-8"</f>
        <v>1-313-8</v>
      </c>
      <c r="F7134" t="s">
        <v>83</v>
      </c>
      <c r="G7134" t="s">
        <v>84</v>
      </c>
      <c r="H7134" t="s">
        <v>85</v>
      </c>
      <c r="AC7134">
        <v>0</v>
      </c>
      <c r="AD7134">
        <v>1</v>
      </c>
      <c r="AE7134">
        <v>0</v>
      </c>
      <c r="AF7134">
        <v>0</v>
      </c>
      <c r="AG7134">
        <v>0</v>
      </c>
      <c r="AJ7134">
        <v>0</v>
      </c>
      <c r="AK7134">
        <v>1</v>
      </c>
      <c r="AL7134">
        <v>0</v>
      </c>
      <c r="AM7134">
        <v>0</v>
      </c>
      <c r="AN7134">
        <v>1</v>
      </c>
      <c r="AO7134">
        <v>0</v>
      </c>
      <c r="AP7134">
        <v>0</v>
      </c>
      <c r="AQ7134">
        <v>0</v>
      </c>
      <c r="AR7134">
        <v>0</v>
      </c>
      <c r="AS7134">
        <v>1</v>
      </c>
      <c r="AT7134">
        <v>0</v>
      </c>
      <c r="AV7134">
        <v>0</v>
      </c>
      <c r="AW7134">
        <v>0</v>
      </c>
    </row>
    <row r="7135" spans="1:49" x14ac:dyDescent="0.25">
      <c r="A7135" t="str">
        <f>"7131"</f>
        <v>7131</v>
      </c>
      <c r="B7135" t="str">
        <f t="shared" si="416"/>
        <v>1</v>
      </c>
      <c r="C7135" t="str">
        <f t="shared" si="415"/>
        <v>313</v>
      </c>
      <c r="D7135" t="str">
        <f>"4"</f>
        <v>4</v>
      </c>
      <c r="E7135" t="str">
        <f>"1-313-4"</f>
        <v>1-313-4</v>
      </c>
      <c r="F7135" t="s">
        <v>83</v>
      </c>
      <c r="G7135" t="s">
        <v>84</v>
      </c>
      <c r="H7135" t="s">
        <v>85</v>
      </c>
      <c r="AC7135">
        <v>0</v>
      </c>
      <c r="AD7135">
        <v>1</v>
      </c>
      <c r="AE7135">
        <v>0</v>
      </c>
      <c r="AF7135">
        <v>0</v>
      </c>
      <c r="AG7135">
        <v>1</v>
      </c>
      <c r="AJ7135">
        <v>0</v>
      </c>
      <c r="AK7135">
        <v>1</v>
      </c>
      <c r="AL7135">
        <v>0</v>
      </c>
      <c r="AM7135">
        <v>0</v>
      </c>
      <c r="AN7135">
        <v>1</v>
      </c>
      <c r="AO7135">
        <v>1</v>
      </c>
      <c r="AP7135">
        <v>1</v>
      </c>
      <c r="AQ7135">
        <v>1</v>
      </c>
      <c r="AR7135">
        <v>1</v>
      </c>
      <c r="AS7135">
        <v>0</v>
      </c>
      <c r="AT7135">
        <v>1</v>
      </c>
      <c r="AV7135">
        <v>1</v>
      </c>
      <c r="AW7135">
        <v>1</v>
      </c>
    </row>
    <row r="7136" spans="1:49" x14ac:dyDescent="0.25">
      <c r="A7136" t="str">
        <f>"7132"</f>
        <v>7132</v>
      </c>
      <c r="B7136" t="str">
        <f t="shared" si="416"/>
        <v>1</v>
      </c>
      <c r="C7136" t="str">
        <f t="shared" si="415"/>
        <v>313</v>
      </c>
      <c r="D7136" t="str">
        <f>"21"</f>
        <v>21</v>
      </c>
      <c r="E7136" t="str">
        <f>"1-313-21"</f>
        <v>1-313-21</v>
      </c>
      <c r="F7136" t="s">
        <v>83</v>
      </c>
      <c r="G7136" t="s">
        <v>86</v>
      </c>
      <c r="H7136" t="s">
        <v>87</v>
      </c>
      <c r="AC7136">
        <v>1</v>
      </c>
      <c r="AD7136">
        <v>0</v>
      </c>
      <c r="AE7136">
        <v>0</v>
      </c>
      <c r="AF7136">
        <v>0</v>
      </c>
      <c r="AH7136">
        <v>1</v>
      </c>
      <c r="AI7136">
        <v>0</v>
      </c>
      <c r="AJ7136">
        <v>0</v>
      </c>
      <c r="AK7136">
        <v>1</v>
      </c>
      <c r="AL7136">
        <v>0</v>
      </c>
      <c r="AM7136">
        <v>0</v>
      </c>
      <c r="AN7136">
        <v>1</v>
      </c>
      <c r="AO7136">
        <v>1</v>
      </c>
      <c r="AP7136">
        <v>1</v>
      </c>
      <c r="AQ7136">
        <v>1</v>
      </c>
      <c r="AU7136">
        <v>1</v>
      </c>
      <c r="AV7136">
        <v>1</v>
      </c>
      <c r="AW7136">
        <v>1</v>
      </c>
    </row>
    <row r="7137" spans="1:49" x14ac:dyDescent="0.25">
      <c r="A7137" t="str">
        <f>"7133"</f>
        <v>7133</v>
      </c>
      <c r="B7137" t="str">
        <f t="shared" si="416"/>
        <v>1</v>
      </c>
      <c r="C7137" t="str">
        <f t="shared" si="415"/>
        <v>313</v>
      </c>
      <c r="D7137" t="str">
        <f>"20"</f>
        <v>20</v>
      </c>
      <c r="E7137" t="str">
        <f>"1-313-20"</f>
        <v>1-313-20</v>
      </c>
      <c r="F7137" t="s">
        <v>83</v>
      </c>
      <c r="G7137" t="s">
        <v>86</v>
      </c>
      <c r="H7137" t="s">
        <v>93</v>
      </c>
      <c r="I7137">
        <v>1</v>
      </c>
      <c r="K7137">
        <v>0</v>
      </c>
      <c r="L7137">
        <v>1</v>
      </c>
      <c r="M7137">
        <v>0</v>
      </c>
      <c r="N7137">
        <v>1</v>
      </c>
      <c r="O7137">
        <v>1</v>
      </c>
      <c r="P7137">
        <v>1</v>
      </c>
      <c r="Q7137">
        <v>1</v>
      </c>
      <c r="R7137">
        <v>1</v>
      </c>
      <c r="U7137">
        <v>0</v>
      </c>
      <c r="V7137">
        <v>1</v>
      </c>
      <c r="W7137">
        <v>1</v>
      </c>
      <c r="X7137">
        <v>1</v>
      </c>
      <c r="Y7137">
        <v>1</v>
      </c>
      <c r="Z7137">
        <v>1</v>
      </c>
      <c r="AA7137">
        <v>1</v>
      </c>
      <c r="AB7137">
        <v>1</v>
      </c>
    </row>
    <row r="7138" spans="1:49" x14ac:dyDescent="0.25">
      <c r="A7138" t="str">
        <f>"7134"</f>
        <v>7134</v>
      </c>
      <c r="B7138" t="str">
        <f t="shared" si="416"/>
        <v>1</v>
      </c>
      <c r="C7138" t="str">
        <f t="shared" si="415"/>
        <v>313</v>
      </c>
      <c r="D7138" t="str">
        <f>"14"</f>
        <v>14</v>
      </c>
      <c r="E7138" t="str">
        <f>"1-313-14"</f>
        <v>1-313-14</v>
      </c>
      <c r="F7138" t="s">
        <v>83</v>
      </c>
      <c r="G7138" t="s">
        <v>84</v>
      </c>
      <c r="H7138" t="s">
        <v>85</v>
      </c>
      <c r="AC7138">
        <v>0</v>
      </c>
      <c r="AD7138">
        <v>1</v>
      </c>
      <c r="AE7138">
        <v>0</v>
      </c>
      <c r="AF7138">
        <v>0</v>
      </c>
      <c r="AG7138">
        <v>0</v>
      </c>
      <c r="AJ7138">
        <v>0</v>
      </c>
      <c r="AK7138">
        <v>0</v>
      </c>
      <c r="AL7138">
        <v>0</v>
      </c>
      <c r="AM7138">
        <v>0</v>
      </c>
      <c r="AN7138">
        <v>1</v>
      </c>
      <c r="AO7138">
        <v>0</v>
      </c>
      <c r="AP7138">
        <v>0</v>
      </c>
      <c r="AQ7138">
        <v>0</v>
      </c>
      <c r="AR7138">
        <v>0</v>
      </c>
      <c r="AS7138">
        <v>0</v>
      </c>
      <c r="AT7138">
        <v>1</v>
      </c>
      <c r="AV7138">
        <v>0</v>
      </c>
      <c r="AW7138">
        <v>1</v>
      </c>
    </row>
    <row r="7139" spans="1:49" x14ac:dyDescent="0.25">
      <c r="A7139" t="str">
        <f>"7135"</f>
        <v>7135</v>
      </c>
      <c r="B7139" t="str">
        <f t="shared" si="416"/>
        <v>1</v>
      </c>
      <c r="C7139" t="str">
        <f t="shared" si="415"/>
        <v>313</v>
      </c>
      <c r="D7139" t="str">
        <f>"9"</f>
        <v>9</v>
      </c>
      <c r="E7139" t="str">
        <f>"1-313-9"</f>
        <v>1-313-9</v>
      </c>
      <c r="F7139" t="s">
        <v>83</v>
      </c>
      <c r="G7139" t="s">
        <v>84</v>
      </c>
      <c r="H7139" t="s">
        <v>85</v>
      </c>
      <c r="AC7139">
        <v>0</v>
      </c>
      <c r="AD7139">
        <v>1</v>
      </c>
      <c r="AE7139">
        <v>0</v>
      </c>
      <c r="AF7139">
        <v>0</v>
      </c>
      <c r="AG7139">
        <v>0</v>
      </c>
      <c r="AJ7139">
        <v>1</v>
      </c>
      <c r="AK7139">
        <v>0</v>
      </c>
      <c r="AL7139">
        <v>1</v>
      </c>
      <c r="AM7139">
        <v>0</v>
      </c>
      <c r="AN7139">
        <v>0</v>
      </c>
      <c r="AO7139">
        <v>0</v>
      </c>
      <c r="AP7139">
        <v>0</v>
      </c>
      <c r="AQ7139">
        <v>0</v>
      </c>
      <c r="AR7139">
        <v>0</v>
      </c>
      <c r="AS7139">
        <v>1</v>
      </c>
      <c r="AT7139">
        <v>0</v>
      </c>
      <c r="AV7139">
        <v>0</v>
      </c>
      <c r="AW7139">
        <v>0</v>
      </c>
    </row>
    <row r="7140" spans="1:49" x14ac:dyDescent="0.25">
      <c r="A7140" t="str">
        <f>"7136"</f>
        <v>7136</v>
      </c>
      <c r="B7140" t="str">
        <f t="shared" si="416"/>
        <v>1</v>
      </c>
      <c r="C7140" t="str">
        <f t="shared" si="415"/>
        <v>313</v>
      </c>
      <c r="D7140" t="str">
        <f>"3"</f>
        <v>3</v>
      </c>
      <c r="E7140" t="str">
        <f>"1-313-3"</f>
        <v>1-313-3</v>
      </c>
      <c r="F7140" t="s">
        <v>83</v>
      </c>
      <c r="G7140" t="s">
        <v>84</v>
      </c>
      <c r="H7140" t="s">
        <v>85</v>
      </c>
      <c r="AC7140">
        <v>0</v>
      </c>
      <c r="AD7140">
        <v>0</v>
      </c>
      <c r="AE7140">
        <v>0</v>
      </c>
      <c r="AF7140">
        <v>0</v>
      </c>
      <c r="AG7140">
        <v>0</v>
      </c>
      <c r="AJ7140">
        <v>0</v>
      </c>
      <c r="AK7140">
        <v>0</v>
      </c>
      <c r="AL7140">
        <v>0</v>
      </c>
      <c r="AM7140">
        <v>0</v>
      </c>
      <c r="AN7140">
        <v>0</v>
      </c>
      <c r="AO7140">
        <v>0</v>
      </c>
      <c r="AP7140">
        <v>0</v>
      </c>
      <c r="AQ7140">
        <v>0</v>
      </c>
      <c r="AR7140">
        <v>0</v>
      </c>
      <c r="AS7140">
        <v>0</v>
      </c>
      <c r="AT7140">
        <v>1</v>
      </c>
      <c r="AV7140">
        <v>0</v>
      </c>
      <c r="AW7140">
        <v>1</v>
      </c>
    </row>
    <row r="7141" spans="1:49" x14ac:dyDescent="0.25">
      <c r="A7141" t="str">
        <f>"7137"</f>
        <v>7137</v>
      </c>
      <c r="B7141" t="str">
        <f t="shared" si="416"/>
        <v>1</v>
      </c>
      <c r="C7141" t="str">
        <f t="shared" si="415"/>
        <v>313</v>
      </c>
      <c r="D7141" t="str">
        <f>"17"</f>
        <v>17</v>
      </c>
      <c r="E7141" t="str">
        <f>"1-313-17"</f>
        <v>1-313-17</v>
      </c>
      <c r="F7141" t="s">
        <v>83</v>
      </c>
      <c r="G7141" t="s">
        <v>84</v>
      </c>
      <c r="H7141" t="s">
        <v>92</v>
      </c>
      <c r="I7141">
        <v>1</v>
      </c>
      <c r="J7141">
        <v>1</v>
      </c>
      <c r="N7141">
        <v>1</v>
      </c>
      <c r="O7141">
        <v>1</v>
      </c>
      <c r="P7141">
        <v>1</v>
      </c>
      <c r="Q7141">
        <v>1</v>
      </c>
      <c r="R7141">
        <v>1</v>
      </c>
      <c r="S7141">
        <v>1</v>
      </c>
      <c r="T7141">
        <v>1</v>
      </c>
      <c r="W7141">
        <v>1</v>
      </c>
      <c r="X7141">
        <v>1</v>
      </c>
      <c r="Y7141">
        <v>1</v>
      </c>
      <c r="Z7141">
        <v>1</v>
      </c>
      <c r="AA7141">
        <v>1</v>
      </c>
      <c r="AB7141">
        <v>1</v>
      </c>
    </row>
    <row r="7142" spans="1:49" x14ac:dyDescent="0.25">
      <c r="A7142" t="str">
        <f>"7138"</f>
        <v>7138</v>
      </c>
      <c r="B7142" t="str">
        <f t="shared" si="416"/>
        <v>1</v>
      </c>
      <c r="C7142" t="str">
        <f t="shared" si="415"/>
        <v>313</v>
      </c>
      <c r="D7142" t="str">
        <f>"10"</f>
        <v>10</v>
      </c>
      <c r="E7142" t="str">
        <f>"1-313-10"</f>
        <v>1-313-10</v>
      </c>
      <c r="F7142" t="s">
        <v>83</v>
      </c>
      <c r="G7142" t="s">
        <v>84</v>
      </c>
      <c r="H7142" t="s">
        <v>92</v>
      </c>
      <c r="I7142">
        <v>1</v>
      </c>
      <c r="J7142">
        <v>1</v>
      </c>
      <c r="N7142">
        <v>1</v>
      </c>
      <c r="O7142">
        <v>1</v>
      </c>
      <c r="P7142">
        <v>1</v>
      </c>
      <c r="Q7142">
        <v>1</v>
      </c>
      <c r="R7142">
        <v>1</v>
      </c>
      <c r="S7142">
        <v>1</v>
      </c>
      <c r="T7142">
        <v>1</v>
      </c>
      <c r="W7142">
        <v>1</v>
      </c>
      <c r="X7142">
        <v>1</v>
      </c>
      <c r="Y7142">
        <v>1</v>
      </c>
      <c r="Z7142">
        <v>1</v>
      </c>
      <c r="AA7142">
        <v>1</v>
      </c>
      <c r="AB7142">
        <v>1</v>
      </c>
    </row>
    <row r="7143" spans="1:49" x14ac:dyDescent="0.25">
      <c r="A7143" t="str">
        <f>"7139"</f>
        <v>7139</v>
      </c>
      <c r="B7143" t="str">
        <f t="shared" si="416"/>
        <v>1</v>
      </c>
      <c r="C7143" t="str">
        <f t="shared" si="415"/>
        <v>313</v>
      </c>
      <c r="D7143" t="str">
        <f>"1"</f>
        <v>1</v>
      </c>
      <c r="E7143" t="str">
        <f>"1-313-1"</f>
        <v>1-313-1</v>
      </c>
      <c r="F7143" t="s">
        <v>83</v>
      </c>
      <c r="G7143" t="s">
        <v>84</v>
      </c>
      <c r="H7143" t="s">
        <v>85</v>
      </c>
      <c r="AC7143">
        <v>0</v>
      </c>
      <c r="AD7143">
        <v>1</v>
      </c>
      <c r="AE7143">
        <v>0</v>
      </c>
      <c r="AF7143">
        <v>0</v>
      </c>
      <c r="AG7143">
        <v>0</v>
      </c>
      <c r="AJ7143">
        <v>0</v>
      </c>
      <c r="AK7143">
        <v>1</v>
      </c>
      <c r="AL7143">
        <v>0</v>
      </c>
      <c r="AM7143">
        <v>0</v>
      </c>
      <c r="AN7143">
        <v>1</v>
      </c>
      <c r="AO7143">
        <v>0</v>
      </c>
      <c r="AP7143">
        <v>0</v>
      </c>
      <c r="AQ7143">
        <v>0</v>
      </c>
      <c r="AR7143">
        <v>0</v>
      </c>
      <c r="AS7143">
        <v>0</v>
      </c>
      <c r="AT7143">
        <v>0</v>
      </c>
      <c r="AV7143">
        <v>0</v>
      </c>
      <c r="AW7143">
        <v>0</v>
      </c>
    </row>
    <row r="7144" spans="1:49" x14ac:dyDescent="0.25">
      <c r="A7144" t="str">
        <f>"7140"</f>
        <v>7140</v>
      </c>
      <c r="B7144" t="str">
        <f t="shared" si="416"/>
        <v>1</v>
      </c>
      <c r="C7144" t="str">
        <f t="shared" si="415"/>
        <v>313</v>
      </c>
      <c r="D7144" t="str">
        <f>"18"</f>
        <v>18</v>
      </c>
      <c r="E7144" t="str">
        <f>"1-313-18"</f>
        <v>1-313-18</v>
      </c>
      <c r="F7144" t="s">
        <v>83</v>
      </c>
      <c r="G7144" t="s">
        <v>86</v>
      </c>
      <c r="H7144" t="s">
        <v>87</v>
      </c>
      <c r="AC7144">
        <v>0</v>
      </c>
      <c r="AD7144">
        <v>1</v>
      </c>
      <c r="AE7144">
        <v>0</v>
      </c>
      <c r="AF7144">
        <v>0</v>
      </c>
      <c r="AH7144">
        <v>1</v>
      </c>
      <c r="AI7144">
        <v>0</v>
      </c>
      <c r="AJ7144">
        <v>0</v>
      </c>
      <c r="AK7144">
        <v>0</v>
      </c>
      <c r="AL7144">
        <v>0</v>
      </c>
      <c r="AM7144">
        <v>0</v>
      </c>
      <c r="AN7144">
        <v>0</v>
      </c>
      <c r="AO7144">
        <v>1</v>
      </c>
      <c r="AP7144">
        <v>1</v>
      </c>
      <c r="AQ7144">
        <v>1</v>
      </c>
      <c r="AU7144">
        <v>1</v>
      </c>
      <c r="AV7144">
        <v>1</v>
      </c>
      <c r="AW7144">
        <v>0</v>
      </c>
    </row>
    <row r="7145" spans="1:49" x14ac:dyDescent="0.25">
      <c r="A7145" t="str">
        <f>"7141"</f>
        <v>7141</v>
      </c>
      <c r="B7145" t="str">
        <f t="shared" si="416"/>
        <v>1</v>
      </c>
      <c r="C7145" t="str">
        <f t="shared" si="415"/>
        <v>313</v>
      </c>
      <c r="D7145" t="str">
        <f>"11"</f>
        <v>11</v>
      </c>
      <c r="E7145" t="str">
        <f>"1-313-11"</f>
        <v>1-313-11</v>
      </c>
      <c r="F7145" t="s">
        <v>83</v>
      </c>
      <c r="G7145" t="s">
        <v>84</v>
      </c>
      <c r="H7145" t="s">
        <v>92</v>
      </c>
      <c r="I7145">
        <v>1</v>
      </c>
      <c r="J7145">
        <v>1</v>
      </c>
      <c r="N7145">
        <v>1</v>
      </c>
      <c r="O7145">
        <v>1</v>
      </c>
      <c r="P7145">
        <v>1</v>
      </c>
      <c r="Q7145">
        <v>1</v>
      </c>
      <c r="R7145">
        <v>1</v>
      </c>
      <c r="S7145">
        <v>1</v>
      </c>
      <c r="T7145">
        <v>1</v>
      </c>
      <c r="W7145">
        <v>1</v>
      </c>
      <c r="X7145">
        <v>1</v>
      </c>
      <c r="Y7145">
        <v>1</v>
      </c>
      <c r="Z7145">
        <v>1</v>
      </c>
      <c r="AA7145">
        <v>1</v>
      </c>
      <c r="AB7145">
        <v>1</v>
      </c>
    </row>
    <row r="7146" spans="1:49" x14ac:dyDescent="0.25">
      <c r="A7146" t="str">
        <f>"7142"</f>
        <v>7142</v>
      </c>
      <c r="B7146" t="str">
        <f t="shared" si="416"/>
        <v>1</v>
      </c>
      <c r="C7146" t="str">
        <f t="shared" si="415"/>
        <v>313</v>
      </c>
      <c r="D7146" t="str">
        <f>"6"</f>
        <v>6</v>
      </c>
      <c r="E7146" t="str">
        <f>"1-313-6"</f>
        <v>1-313-6</v>
      </c>
      <c r="F7146" t="s">
        <v>83</v>
      </c>
      <c r="G7146" t="s">
        <v>86</v>
      </c>
      <c r="H7146" t="s">
        <v>93</v>
      </c>
      <c r="I7146">
        <v>1</v>
      </c>
      <c r="K7146">
        <v>0</v>
      </c>
      <c r="L7146">
        <v>0</v>
      </c>
      <c r="M7146">
        <v>1</v>
      </c>
      <c r="N7146">
        <v>1</v>
      </c>
      <c r="O7146">
        <v>0</v>
      </c>
      <c r="P7146">
        <v>1</v>
      </c>
      <c r="Q7146">
        <v>1</v>
      </c>
      <c r="R7146">
        <v>0</v>
      </c>
      <c r="U7146">
        <v>0</v>
      </c>
      <c r="V7146">
        <v>1</v>
      </c>
      <c r="W7146">
        <v>0</v>
      </c>
      <c r="X7146">
        <v>0</v>
      </c>
      <c r="Y7146">
        <v>0</v>
      </c>
      <c r="Z7146">
        <v>0</v>
      </c>
      <c r="AA7146">
        <v>0</v>
      </c>
      <c r="AB7146">
        <v>0</v>
      </c>
    </row>
    <row r="7147" spans="1:49" x14ac:dyDescent="0.25">
      <c r="A7147" t="str">
        <f>"7143"</f>
        <v>7143</v>
      </c>
      <c r="B7147" t="str">
        <f t="shared" si="416"/>
        <v>1</v>
      </c>
      <c r="C7147" t="str">
        <f t="shared" si="415"/>
        <v>313</v>
      </c>
      <c r="D7147" t="str">
        <f>"19"</f>
        <v>19</v>
      </c>
      <c r="E7147" t="str">
        <f>"1-313-19"</f>
        <v>1-313-19</v>
      </c>
      <c r="F7147" t="s">
        <v>83</v>
      </c>
      <c r="G7147" t="s">
        <v>86</v>
      </c>
      <c r="H7147" t="s">
        <v>93</v>
      </c>
      <c r="I7147">
        <v>1</v>
      </c>
      <c r="K7147">
        <v>0</v>
      </c>
      <c r="L7147">
        <v>0</v>
      </c>
      <c r="M7147">
        <v>1</v>
      </c>
      <c r="N7147">
        <v>1</v>
      </c>
      <c r="O7147">
        <v>1</v>
      </c>
      <c r="P7147">
        <v>0</v>
      </c>
      <c r="Q7147">
        <v>0</v>
      </c>
      <c r="R7147">
        <v>0</v>
      </c>
      <c r="U7147">
        <v>0</v>
      </c>
      <c r="V7147">
        <v>1</v>
      </c>
      <c r="W7147">
        <v>0</v>
      </c>
      <c r="X7147">
        <v>0</v>
      </c>
      <c r="Y7147">
        <v>0</v>
      </c>
      <c r="Z7147">
        <v>0</v>
      </c>
      <c r="AA7147">
        <v>0</v>
      </c>
      <c r="AB7147">
        <v>0</v>
      </c>
    </row>
    <row r="7148" spans="1:49" x14ac:dyDescent="0.25">
      <c r="A7148" t="str">
        <f>"7144"</f>
        <v>7144</v>
      </c>
      <c r="B7148" t="str">
        <f t="shared" si="416"/>
        <v>1</v>
      </c>
      <c r="C7148" t="str">
        <f t="shared" si="415"/>
        <v>313</v>
      </c>
      <c r="D7148" t="str">
        <f>"12"</f>
        <v>12</v>
      </c>
      <c r="E7148" t="str">
        <f>"1-313-12"</f>
        <v>1-313-12</v>
      </c>
      <c r="F7148" t="s">
        <v>83</v>
      </c>
      <c r="G7148" t="s">
        <v>84</v>
      </c>
      <c r="H7148" t="s">
        <v>85</v>
      </c>
      <c r="AC7148">
        <v>1</v>
      </c>
      <c r="AD7148">
        <v>0</v>
      </c>
      <c r="AE7148">
        <v>0</v>
      </c>
      <c r="AF7148">
        <v>0</v>
      </c>
      <c r="AG7148">
        <v>1</v>
      </c>
      <c r="AJ7148">
        <v>0</v>
      </c>
      <c r="AK7148">
        <v>1</v>
      </c>
      <c r="AL7148">
        <v>1</v>
      </c>
      <c r="AM7148">
        <v>0</v>
      </c>
      <c r="AN7148">
        <v>0</v>
      </c>
      <c r="AO7148">
        <v>1</v>
      </c>
      <c r="AP7148">
        <v>1</v>
      </c>
      <c r="AQ7148">
        <v>1</v>
      </c>
      <c r="AR7148">
        <v>1</v>
      </c>
      <c r="AS7148">
        <v>1</v>
      </c>
      <c r="AT7148">
        <v>0</v>
      </c>
      <c r="AV7148">
        <v>1</v>
      </c>
      <c r="AW7148">
        <v>1</v>
      </c>
    </row>
    <row r="7149" spans="1:49" x14ac:dyDescent="0.25">
      <c r="A7149" t="str">
        <f>"7145"</f>
        <v>7145</v>
      </c>
      <c r="B7149" t="str">
        <f t="shared" si="416"/>
        <v>1</v>
      </c>
      <c r="C7149" t="str">
        <f t="shared" si="415"/>
        <v>313</v>
      </c>
      <c r="D7149" t="str">
        <f>"2"</f>
        <v>2</v>
      </c>
      <c r="E7149" t="str">
        <f>"1-313-2"</f>
        <v>1-313-2</v>
      </c>
      <c r="F7149" t="s">
        <v>83</v>
      </c>
      <c r="G7149" t="s">
        <v>84</v>
      </c>
      <c r="H7149" t="s">
        <v>85</v>
      </c>
      <c r="AC7149">
        <v>0</v>
      </c>
      <c r="AD7149">
        <v>1</v>
      </c>
      <c r="AE7149">
        <v>0</v>
      </c>
      <c r="AF7149">
        <v>0</v>
      </c>
      <c r="AG7149">
        <v>1</v>
      </c>
      <c r="AJ7149">
        <v>1</v>
      </c>
      <c r="AK7149">
        <v>0</v>
      </c>
      <c r="AL7149">
        <v>0</v>
      </c>
      <c r="AM7149">
        <v>0</v>
      </c>
      <c r="AN7149">
        <v>1</v>
      </c>
      <c r="AO7149">
        <v>1</v>
      </c>
      <c r="AP7149">
        <v>1</v>
      </c>
      <c r="AQ7149">
        <v>1</v>
      </c>
      <c r="AR7149">
        <v>1</v>
      </c>
      <c r="AS7149">
        <v>1</v>
      </c>
      <c r="AT7149">
        <v>0</v>
      </c>
      <c r="AV7149">
        <v>1</v>
      </c>
      <c r="AW7149">
        <v>1</v>
      </c>
    </row>
    <row r="7150" spans="1:49" x14ac:dyDescent="0.25">
      <c r="A7150" t="str">
        <f>"7146"</f>
        <v>7146</v>
      </c>
      <c r="B7150" t="str">
        <f t="shared" si="416"/>
        <v>1</v>
      </c>
      <c r="C7150" t="str">
        <f t="shared" si="415"/>
        <v>313</v>
      </c>
      <c r="D7150" t="str">
        <f>"13"</f>
        <v>13</v>
      </c>
      <c r="E7150" t="str">
        <f>"1-313-13"</f>
        <v>1-313-13</v>
      </c>
      <c r="F7150" t="s">
        <v>83</v>
      </c>
      <c r="G7150" t="s">
        <v>84</v>
      </c>
      <c r="H7150" t="s">
        <v>92</v>
      </c>
      <c r="I7150">
        <v>1</v>
      </c>
      <c r="J7150">
        <v>1</v>
      </c>
      <c r="N7150">
        <v>1</v>
      </c>
      <c r="O7150">
        <v>1</v>
      </c>
      <c r="P7150">
        <v>1</v>
      </c>
      <c r="Q7150">
        <v>1</v>
      </c>
      <c r="R7150">
        <v>1</v>
      </c>
      <c r="S7150">
        <v>1</v>
      </c>
      <c r="T7150">
        <v>1</v>
      </c>
      <c r="W7150">
        <v>1</v>
      </c>
      <c r="X7150">
        <v>1</v>
      </c>
      <c r="Y7150">
        <v>1</v>
      </c>
      <c r="Z7150">
        <v>1</v>
      </c>
      <c r="AA7150">
        <v>1</v>
      </c>
      <c r="AB7150">
        <v>1</v>
      </c>
    </row>
    <row r="7151" spans="1:49" x14ac:dyDescent="0.25">
      <c r="A7151" t="str">
        <f>"7147"</f>
        <v>7147</v>
      </c>
      <c r="B7151" t="str">
        <f t="shared" si="416"/>
        <v>1</v>
      </c>
      <c r="C7151" t="str">
        <f t="shared" si="415"/>
        <v>313</v>
      </c>
      <c r="D7151" t="str">
        <f>"5"</f>
        <v>5</v>
      </c>
      <c r="E7151" t="str">
        <f>"1-313-5"</f>
        <v>1-313-5</v>
      </c>
      <c r="F7151" t="s">
        <v>83</v>
      </c>
      <c r="G7151" t="s">
        <v>84</v>
      </c>
      <c r="H7151" t="s">
        <v>92</v>
      </c>
      <c r="I7151">
        <v>0</v>
      </c>
      <c r="J7151">
        <v>0</v>
      </c>
      <c r="N7151">
        <v>1</v>
      </c>
      <c r="O7151">
        <v>0</v>
      </c>
      <c r="P7151">
        <v>1</v>
      </c>
      <c r="Q7151">
        <v>1</v>
      </c>
      <c r="R7151">
        <v>1</v>
      </c>
      <c r="S7151">
        <v>1</v>
      </c>
      <c r="T7151">
        <v>1</v>
      </c>
      <c r="W7151">
        <v>1</v>
      </c>
      <c r="X7151">
        <v>1</v>
      </c>
      <c r="Y7151">
        <v>1</v>
      </c>
      <c r="Z7151">
        <v>1</v>
      </c>
      <c r="AA7151">
        <v>1</v>
      </c>
      <c r="AB7151">
        <v>1</v>
      </c>
    </row>
    <row r="7152" spans="1:49" x14ac:dyDescent="0.25">
      <c r="A7152" t="str">
        <f>"7148"</f>
        <v>7148</v>
      </c>
      <c r="B7152" t="str">
        <f t="shared" si="416"/>
        <v>1</v>
      </c>
      <c r="C7152" t="str">
        <f t="shared" si="415"/>
        <v>313</v>
      </c>
      <c r="D7152" t="str">
        <f>"16"</f>
        <v>16</v>
      </c>
      <c r="E7152" t="str">
        <f>"1-313-16"</f>
        <v>1-313-16</v>
      </c>
      <c r="F7152" t="s">
        <v>83</v>
      </c>
      <c r="G7152" t="s">
        <v>84</v>
      </c>
      <c r="H7152" t="s">
        <v>92</v>
      </c>
      <c r="I7152">
        <v>1</v>
      </c>
      <c r="J7152">
        <v>1</v>
      </c>
      <c r="N7152">
        <v>1</v>
      </c>
      <c r="O7152">
        <v>1</v>
      </c>
      <c r="P7152">
        <v>1</v>
      </c>
      <c r="Q7152">
        <v>1</v>
      </c>
      <c r="R7152">
        <v>1</v>
      </c>
      <c r="S7152">
        <v>1</v>
      </c>
      <c r="T7152">
        <v>1</v>
      </c>
      <c r="W7152">
        <v>1</v>
      </c>
      <c r="X7152">
        <v>1</v>
      </c>
      <c r="Y7152">
        <v>1</v>
      </c>
      <c r="Z7152">
        <v>1</v>
      </c>
      <c r="AA7152">
        <v>1</v>
      </c>
      <c r="AB7152">
        <v>1</v>
      </c>
    </row>
    <row r="7153" spans="1:49" x14ac:dyDescent="0.25">
      <c r="A7153" t="str">
        <f>"7149"</f>
        <v>7149</v>
      </c>
      <c r="B7153" t="str">
        <f t="shared" si="416"/>
        <v>1</v>
      </c>
      <c r="C7153" t="str">
        <f t="shared" si="415"/>
        <v>313</v>
      </c>
      <c r="D7153" t="str">
        <f>"7"</f>
        <v>7</v>
      </c>
      <c r="E7153" t="str">
        <f>"1-313-7"</f>
        <v>1-313-7</v>
      </c>
      <c r="F7153" t="s">
        <v>83</v>
      </c>
      <c r="G7153" t="s">
        <v>84</v>
      </c>
      <c r="H7153" t="s">
        <v>92</v>
      </c>
      <c r="I7153">
        <v>1</v>
      </c>
      <c r="J7153">
        <v>1</v>
      </c>
      <c r="N7153">
        <v>1</v>
      </c>
      <c r="O7153">
        <v>1</v>
      </c>
      <c r="P7153">
        <v>1</v>
      </c>
      <c r="Q7153">
        <v>1</v>
      </c>
      <c r="R7153">
        <v>1</v>
      </c>
      <c r="S7153">
        <v>1</v>
      </c>
      <c r="T7153">
        <v>1</v>
      </c>
      <c r="W7153">
        <v>1</v>
      </c>
      <c r="X7153">
        <v>1</v>
      </c>
      <c r="Y7153">
        <v>1</v>
      </c>
      <c r="Z7153">
        <v>1</v>
      </c>
      <c r="AA7153">
        <v>1</v>
      </c>
      <c r="AB7153">
        <v>1</v>
      </c>
    </row>
    <row r="7154" spans="1:49" x14ac:dyDescent="0.25">
      <c r="A7154" t="str">
        <f>"7150"</f>
        <v>7150</v>
      </c>
      <c r="B7154" t="str">
        <f t="shared" si="416"/>
        <v>1</v>
      </c>
      <c r="C7154" t="str">
        <f t="shared" ref="C7154:C7178" si="417">"314"</f>
        <v>314</v>
      </c>
      <c r="D7154" t="str">
        <f>"20"</f>
        <v>20</v>
      </c>
      <c r="E7154" t="str">
        <f>"1-314-20"</f>
        <v>1-314-20</v>
      </c>
      <c r="F7154" t="s">
        <v>83</v>
      </c>
      <c r="G7154" t="s">
        <v>84</v>
      </c>
      <c r="H7154" t="s">
        <v>85</v>
      </c>
      <c r="AC7154">
        <v>0</v>
      </c>
      <c r="AD7154">
        <v>1</v>
      </c>
      <c r="AE7154">
        <v>0</v>
      </c>
      <c r="AF7154">
        <v>0</v>
      </c>
      <c r="AG7154">
        <v>1</v>
      </c>
      <c r="AJ7154">
        <v>0</v>
      </c>
      <c r="AK7154">
        <v>1</v>
      </c>
      <c r="AL7154">
        <v>0</v>
      </c>
      <c r="AM7154">
        <v>0</v>
      </c>
      <c r="AN7154">
        <v>1</v>
      </c>
      <c r="AO7154">
        <v>1</v>
      </c>
      <c r="AP7154">
        <v>1</v>
      </c>
      <c r="AQ7154">
        <v>1</v>
      </c>
      <c r="AR7154">
        <v>1</v>
      </c>
      <c r="AS7154">
        <v>0</v>
      </c>
      <c r="AT7154">
        <v>1</v>
      </c>
      <c r="AV7154">
        <v>1</v>
      </c>
      <c r="AW7154">
        <v>1</v>
      </c>
    </row>
    <row r="7155" spans="1:49" x14ac:dyDescent="0.25">
      <c r="A7155" t="str">
        <f>"7151"</f>
        <v>7151</v>
      </c>
      <c r="B7155" t="str">
        <f t="shared" si="416"/>
        <v>1</v>
      </c>
      <c r="C7155" t="str">
        <f t="shared" si="417"/>
        <v>314</v>
      </c>
      <c r="D7155" t="str">
        <f>"13"</f>
        <v>13</v>
      </c>
      <c r="E7155" t="str">
        <f>"1-314-13"</f>
        <v>1-314-13</v>
      </c>
      <c r="F7155" t="s">
        <v>83</v>
      </c>
      <c r="G7155" t="s">
        <v>86</v>
      </c>
      <c r="H7155" t="s">
        <v>87</v>
      </c>
      <c r="AC7155">
        <v>1</v>
      </c>
      <c r="AD7155">
        <v>0</v>
      </c>
      <c r="AE7155">
        <v>0</v>
      </c>
      <c r="AF7155">
        <v>0</v>
      </c>
      <c r="AH7155">
        <v>0</v>
      </c>
      <c r="AI7155">
        <v>1</v>
      </c>
      <c r="AJ7155">
        <v>0</v>
      </c>
      <c r="AK7155">
        <v>1</v>
      </c>
      <c r="AL7155">
        <v>0</v>
      </c>
      <c r="AM7155">
        <v>1</v>
      </c>
      <c r="AN7155">
        <v>0</v>
      </c>
      <c r="AO7155">
        <v>1</v>
      </c>
      <c r="AP7155">
        <v>1</v>
      </c>
      <c r="AQ7155">
        <v>1</v>
      </c>
      <c r="AU7155">
        <v>1</v>
      </c>
      <c r="AV7155">
        <v>1</v>
      </c>
      <c r="AW7155">
        <v>1</v>
      </c>
    </row>
    <row r="7156" spans="1:49" x14ac:dyDescent="0.25">
      <c r="A7156" t="str">
        <f>"7152"</f>
        <v>7152</v>
      </c>
      <c r="B7156" t="str">
        <f t="shared" si="416"/>
        <v>1</v>
      </c>
      <c r="C7156" t="str">
        <f t="shared" si="417"/>
        <v>314</v>
      </c>
      <c r="D7156" t="str">
        <f>"8"</f>
        <v>8</v>
      </c>
      <c r="E7156" t="str">
        <f>"1-314-8"</f>
        <v>1-314-8</v>
      </c>
      <c r="F7156" t="s">
        <v>83</v>
      </c>
      <c r="G7156" t="s">
        <v>86</v>
      </c>
      <c r="H7156" t="s">
        <v>87</v>
      </c>
      <c r="AC7156">
        <v>0</v>
      </c>
      <c r="AD7156">
        <v>1</v>
      </c>
      <c r="AE7156">
        <v>0</v>
      </c>
      <c r="AF7156">
        <v>0</v>
      </c>
      <c r="AH7156">
        <v>1</v>
      </c>
      <c r="AI7156">
        <v>0</v>
      </c>
      <c r="AJ7156">
        <v>0</v>
      </c>
      <c r="AK7156">
        <v>1</v>
      </c>
      <c r="AL7156">
        <v>1</v>
      </c>
      <c r="AM7156">
        <v>0</v>
      </c>
      <c r="AN7156">
        <v>0</v>
      </c>
      <c r="AO7156">
        <v>1</v>
      </c>
      <c r="AP7156">
        <v>1</v>
      </c>
      <c r="AQ7156">
        <v>1</v>
      </c>
      <c r="AU7156">
        <v>1</v>
      </c>
      <c r="AV7156">
        <v>1</v>
      </c>
      <c r="AW7156">
        <v>1</v>
      </c>
    </row>
    <row r="7157" spans="1:49" x14ac:dyDescent="0.25">
      <c r="A7157" t="str">
        <f>"7153"</f>
        <v>7153</v>
      </c>
      <c r="B7157" t="str">
        <f t="shared" si="416"/>
        <v>1</v>
      </c>
      <c r="C7157" t="str">
        <f t="shared" si="417"/>
        <v>314</v>
      </c>
      <c r="D7157" t="str">
        <f>"5"</f>
        <v>5</v>
      </c>
      <c r="E7157" t="str">
        <f>"1-314-5"</f>
        <v>1-314-5</v>
      </c>
      <c r="F7157" t="s">
        <v>83</v>
      </c>
      <c r="G7157" t="s">
        <v>86</v>
      </c>
      <c r="H7157" t="s">
        <v>87</v>
      </c>
      <c r="AC7157">
        <v>1</v>
      </c>
      <c r="AD7157">
        <v>0</v>
      </c>
      <c r="AE7157">
        <v>0</v>
      </c>
      <c r="AF7157">
        <v>0</v>
      </c>
      <c r="AH7157">
        <v>1</v>
      </c>
      <c r="AI7157">
        <v>0</v>
      </c>
      <c r="AJ7157">
        <v>0</v>
      </c>
      <c r="AK7157">
        <v>0</v>
      </c>
      <c r="AL7157">
        <v>0</v>
      </c>
      <c r="AM7157">
        <v>0</v>
      </c>
      <c r="AN7157">
        <v>0</v>
      </c>
      <c r="AO7157">
        <v>0</v>
      </c>
      <c r="AP7157">
        <v>0</v>
      </c>
      <c r="AQ7157">
        <v>0</v>
      </c>
      <c r="AU7157">
        <v>0</v>
      </c>
      <c r="AV7157">
        <v>0</v>
      </c>
      <c r="AW7157">
        <v>0</v>
      </c>
    </row>
    <row r="7158" spans="1:49" x14ac:dyDescent="0.25">
      <c r="A7158" t="str">
        <f>"7154"</f>
        <v>7154</v>
      </c>
      <c r="B7158" t="str">
        <f t="shared" si="416"/>
        <v>1</v>
      </c>
      <c r="C7158" t="str">
        <f t="shared" si="417"/>
        <v>314</v>
      </c>
      <c r="D7158" t="str">
        <f>"23"</f>
        <v>23</v>
      </c>
      <c r="E7158" t="str">
        <f>"1-314-23"</f>
        <v>1-314-23</v>
      </c>
      <c r="F7158" t="s">
        <v>83</v>
      </c>
      <c r="G7158" t="s">
        <v>84</v>
      </c>
      <c r="H7158" t="s">
        <v>92</v>
      </c>
      <c r="I7158">
        <v>1</v>
      </c>
      <c r="J7158">
        <v>1</v>
      </c>
      <c r="N7158">
        <v>1</v>
      </c>
      <c r="O7158">
        <v>1</v>
      </c>
      <c r="P7158">
        <v>1</v>
      </c>
      <c r="Q7158">
        <v>1</v>
      </c>
      <c r="R7158">
        <v>1</v>
      </c>
      <c r="S7158">
        <v>1</v>
      </c>
      <c r="T7158">
        <v>1</v>
      </c>
      <c r="W7158">
        <v>1</v>
      </c>
      <c r="X7158">
        <v>1</v>
      </c>
      <c r="Y7158">
        <v>1</v>
      </c>
      <c r="Z7158">
        <v>1</v>
      </c>
      <c r="AA7158">
        <v>1</v>
      </c>
      <c r="AB7158">
        <v>1</v>
      </c>
    </row>
    <row r="7159" spans="1:49" x14ac:dyDescent="0.25">
      <c r="A7159" t="str">
        <f>"7155"</f>
        <v>7155</v>
      </c>
      <c r="B7159" t="str">
        <f t="shared" si="416"/>
        <v>1</v>
      </c>
      <c r="C7159" t="str">
        <f t="shared" si="417"/>
        <v>314</v>
      </c>
      <c r="D7159" t="str">
        <f>"22"</f>
        <v>22</v>
      </c>
      <c r="E7159" t="str">
        <f>"1-314-22"</f>
        <v>1-314-22</v>
      </c>
      <c r="F7159" t="s">
        <v>83</v>
      </c>
      <c r="G7159" t="s">
        <v>84</v>
      </c>
      <c r="H7159" t="s">
        <v>85</v>
      </c>
      <c r="AC7159">
        <v>0</v>
      </c>
      <c r="AD7159">
        <v>1</v>
      </c>
      <c r="AE7159">
        <v>0</v>
      </c>
      <c r="AF7159">
        <v>0</v>
      </c>
      <c r="AG7159">
        <v>0</v>
      </c>
      <c r="AJ7159">
        <v>0</v>
      </c>
      <c r="AK7159">
        <v>1</v>
      </c>
      <c r="AL7159">
        <v>0</v>
      </c>
      <c r="AM7159">
        <v>0</v>
      </c>
      <c r="AN7159">
        <v>1</v>
      </c>
      <c r="AO7159">
        <v>0</v>
      </c>
      <c r="AP7159">
        <v>0</v>
      </c>
      <c r="AQ7159">
        <v>0</v>
      </c>
      <c r="AR7159">
        <v>1</v>
      </c>
      <c r="AS7159">
        <v>0</v>
      </c>
      <c r="AT7159">
        <v>1</v>
      </c>
      <c r="AV7159">
        <v>0</v>
      </c>
      <c r="AW7159">
        <v>1</v>
      </c>
    </row>
    <row r="7160" spans="1:49" x14ac:dyDescent="0.25">
      <c r="A7160" t="str">
        <f>"7156"</f>
        <v>7156</v>
      </c>
      <c r="B7160" t="str">
        <f t="shared" si="416"/>
        <v>1</v>
      </c>
      <c r="C7160" t="str">
        <f t="shared" si="417"/>
        <v>314</v>
      </c>
      <c r="D7160" t="str">
        <f>"14"</f>
        <v>14</v>
      </c>
      <c r="E7160" t="str">
        <f>"1-314-14"</f>
        <v>1-314-14</v>
      </c>
      <c r="F7160" t="s">
        <v>83</v>
      </c>
      <c r="G7160" t="s">
        <v>86</v>
      </c>
      <c r="H7160" t="s">
        <v>87</v>
      </c>
      <c r="AC7160">
        <v>0</v>
      </c>
      <c r="AD7160">
        <v>1</v>
      </c>
      <c r="AE7160">
        <v>0</v>
      </c>
      <c r="AF7160">
        <v>0</v>
      </c>
      <c r="AH7160">
        <v>0</v>
      </c>
      <c r="AI7160">
        <v>1</v>
      </c>
      <c r="AJ7160">
        <v>1</v>
      </c>
      <c r="AK7160">
        <v>0</v>
      </c>
      <c r="AL7160">
        <v>0</v>
      </c>
      <c r="AM7160">
        <v>1</v>
      </c>
      <c r="AN7160">
        <v>0</v>
      </c>
      <c r="AO7160">
        <v>1</v>
      </c>
      <c r="AP7160">
        <v>1</v>
      </c>
      <c r="AQ7160">
        <v>1</v>
      </c>
      <c r="AU7160">
        <v>1</v>
      </c>
      <c r="AV7160">
        <v>1</v>
      </c>
      <c r="AW7160">
        <v>1</v>
      </c>
    </row>
    <row r="7161" spans="1:49" x14ac:dyDescent="0.25">
      <c r="A7161" t="str">
        <f>"7157"</f>
        <v>7157</v>
      </c>
      <c r="B7161" t="str">
        <f t="shared" si="416"/>
        <v>1</v>
      </c>
      <c r="C7161" t="str">
        <f t="shared" si="417"/>
        <v>314</v>
      </c>
      <c r="D7161" t="str">
        <f>"9"</f>
        <v>9</v>
      </c>
      <c r="E7161" t="str">
        <f>"1-314-9"</f>
        <v>1-314-9</v>
      </c>
      <c r="F7161" t="s">
        <v>83</v>
      </c>
      <c r="G7161" t="s">
        <v>86</v>
      </c>
      <c r="H7161" t="s">
        <v>87</v>
      </c>
      <c r="AC7161">
        <v>0</v>
      </c>
      <c r="AD7161">
        <v>1</v>
      </c>
      <c r="AE7161">
        <v>0</v>
      </c>
      <c r="AF7161">
        <v>0</v>
      </c>
      <c r="AH7161">
        <v>1</v>
      </c>
      <c r="AI7161">
        <v>0</v>
      </c>
      <c r="AJ7161">
        <v>1</v>
      </c>
      <c r="AK7161">
        <v>0</v>
      </c>
      <c r="AL7161">
        <v>1</v>
      </c>
      <c r="AM7161">
        <v>0</v>
      </c>
      <c r="AN7161">
        <v>0</v>
      </c>
      <c r="AO7161">
        <v>1</v>
      </c>
      <c r="AP7161">
        <v>1</v>
      </c>
      <c r="AQ7161">
        <v>1</v>
      </c>
      <c r="AU7161">
        <v>1</v>
      </c>
      <c r="AV7161">
        <v>1</v>
      </c>
      <c r="AW7161">
        <v>1</v>
      </c>
    </row>
    <row r="7162" spans="1:49" x14ac:dyDescent="0.25">
      <c r="A7162" t="str">
        <f>"7158"</f>
        <v>7158</v>
      </c>
      <c r="B7162" t="str">
        <f t="shared" si="416"/>
        <v>1</v>
      </c>
      <c r="C7162" t="str">
        <f t="shared" si="417"/>
        <v>314</v>
      </c>
      <c r="D7162" t="str">
        <f>"6"</f>
        <v>6</v>
      </c>
      <c r="E7162" t="str">
        <f>"1-314-6"</f>
        <v>1-314-6</v>
      </c>
      <c r="F7162" t="s">
        <v>83</v>
      </c>
      <c r="G7162" t="s">
        <v>86</v>
      </c>
      <c r="H7162" t="s">
        <v>93</v>
      </c>
      <c r="I7162">
        <v>1</v>
      </c>
      <c r="K7162">
        <v>0</v>
      </c>
      <c r="L7162">
        <v>0</v>
      </c>
      <c r="M7162">
        <v>1</v>
      </c>
      <c r="N7162">
        <v>1</v>
      </c>
      <c r="O7162">
        <v>1</v>
      </c>
      <c r="P7162">
        <v>1</v>
      </c>
      <c r="Q7162">
        <v>1</v>
      </c>
      <c r="R7162">
        <v>1</v>
      </c>
      <c r="U7162">
        <v>0</v>
      </c>
      <c r="V7162">
        <v>1</v>
      </c>
      <c r="W7162">
        <v>1</v>
      </c>
      <c r="X7162">
        <v>1</v>
      </c>
      <c r="Y7162">
        <v>1</v>
      </c>
      <c r="Z7162">
        <v>1</v>
      </c>
      <c r="AA7162">
        <v>1</v>
      </c>
      <c r="AB7162">
        <v>1</v>
      </c>
    </row>
    <row r="7163" spans="1:49" x14ac:dyDescent="0.25">
      <c r="A7163" t="str">
        <f>"7159"</f>
        <v>7159</v>
      </c>
      <c r="B7163" t="str">
        <f t="shared" si="416"/>
        <v>1</v>
      </c>
      <c r="C7163" t="str">
        <f t="shared" si="417"/>
        <v>314</v>
      </c>
      <c r="D7163" t="str">
        <f>"25"</f>
        <v>25</v>
      </c>
      <c r="E7163" t="str">
        <f>"1-314-25"</f>
        <v>1-314-25</v>
      </c>
      <c r="F7163" t="s">
        <v>83</v>
      </c>
      <c r="G7163" t="s">
        <v>84</v>
      </c>
      <c r="H7163" t="s">
        <v>92</v>
      </c>
      <c r="I7163">
        <v>1</v>
      </c>
      <c r="J7163">
        <v>1</v>
      </c>
      <c r="N7163">
        <v>1</v>
      </c>
      <c r="O7163">
        <v>1</v>
      </c>
      <c r="P7163">
        <v>1</v>
      </c>
      <c r="Q7163">
        <v>1</v>
      </c>
      <c r="R7163">
        <v>1</v>
      </c>
      <c r="S7163">
        <v>1</v>
      </c>
      <c r="T7163">
        <v>1</v>
      </c>
      <c r="W7163">
        <v>1</v>
      </c>
      <c r="X7163">
        <v>1</v>
      </c>
      <c r="Y7163">
        <v>1</v>
      </c>
      <c r="Z7163">
        <v>1</v>
      </c>
      <c r="AA7163">
        <v>1</v>
      </c>
      <c r="AB7163">
        <v>1</v>
      </c>
    </row>
    <row r="7164" spans="1:49" x14ac:dyDescent="0.25">
      <c r="A7164" t="str">
        <f>"7160"</f>
        <v>7160</v>
      </c>
      <c r="B7164" t="str">
        <f t="shared" si="416"/>
        <v>1</v>
      </c>
      <c r="C7164" t="str">
        <f t="shared" si="417"/>
        <v>314</v>
      </c>
      <c r="D7164" t="str">
        <f>"24"</f>
        <v>24</v>
      </c>
      <c r="E7164" t="str">
        <f>"1-314-24"</f>
        <v>1-314-24</v>
      </c>
      <c r="F7164" t="s">
        <v>83</v>
      </c>
      <c r="G7164" t="s">
        <v>84</v>
      </c>
      <c r="H7164" t="s">
        <v>85</v>
      </c>
      <c r="AC7164">
        <v>0</v>
      </c>
      <c r="AD7164">
        <v>1</v>
      </c>
      <c r="AE7164">
        <v>0</v>
      </c>
      <c r="AF7164">
        <v>0</v>
      </c>
      <c r="AG7164">
        <v>1</v>
      </c>
      <c r="AJ7164">
        <v>0</v>
      </c>
      <c r="AK7164">
        <v>1</v>
      </c>
      <c r="AL7164">
        <v>0</v>
      </c>
      <c r="AM7164">
        <v>0</v>
      </c>
      <c r="AN7164">
        <v>1</v>
      </c>
      <c r="AO7164">
        <v>1</v>
      </c>
      <c r="AP7164">
        <v>1</v>
      </c>
      <c r="AQ7164">
        <v>1</v>
      </c>
      <c r="AR7164">
        <v>1</v>
      </c>
      <c r="AS7164">
        <v>1</v>
      </c>
      <c r="AT7164">
        <v>0</v>
      </c>
      <c r="AV7164">
        <v>1</v>
      </c>
      <c r="AW7164">
        <v>1</v>
      </c>
    </row>
    <row r="7165" spans="1:49" x14ac:dyDescent="0.25">
      <c r="A7165" t="str">
        <f>"7161"</f>
        <v>7161</v>
      </c>
      <c r="B7165" t="str">
        <f t="shared" si="416"/>
        <v>1</v>
      </c>
      <c r="C7165" t="str">
        <f t="shared" si="417"/>
        <v>314</v>
      </c>
      <c r="D7165" t="str">
        <f>"18"</f>
        <v>18</v>
      </c>
      <c r="E7165" t="str">
        <f>"1-314-18"</f>
        <v>1-314-18</v>
      </c>
      <c r="F7165" t="s">
        <v>83</v>
      </c>
      <c r="G7165" t="s">
        <v>84</v>
      </c>
      <c r="H7165" t="s">
        <v>92</v>
      </c>
      <c r="I7165">
        <v>1</v>
      </c>
      <c r="J7165">
        <v>1</v>
      </c>
      <c r="N7165">
        <v>1</v>
      </c>
      <c r="O7165">
        <v>1</v>
      </c>
      <c r="P7165">
        <v>1</v>
      </c>
      <c r="Q7165">
        <v>1</v>
      </c>
      <c r="R7165">
        <v>1</v>
      </c>
      <c r="S7165">
        <v>1</v>
      </c>
      <c r="T7165">
        <v>1</v>
      </c>
      <c r="W7165">
        <v>1</v>
      </c>
      <c r="X7165">
        <v>1</v>
      </c>
      <c r="Y7165">
        <v>1</v>
      </c>
      <c r="Z7165">
        <v>1</v>
      </c>
      <c r="AA7165">
        <v>1</v>
      </c>
      <c r="AB7165">
        <v>1</v>
      </c>
    </row>
    <row r="7166" spans="1:49" x14ac:dyDescent="0.25">
      <c r="A7166" t="str">
        <f>"7162"</f>
        <v>7162</v>
      </c>
      <c r="B7166" t="str">
        <f t="shared" si="416"/>
        <v>1</v>
      </c>
      <c r="C7166" t="str">
        <f t="shared" si="417"/>
        <v>314</v>
      </c>
      <c r="D7166" t="str">
        <f>"10"</f>
        <v>10</v>
      </c>
      <c r="E7166" t="str">
        <f>"1-314-10"</f>
        <v>1-314-10</v>
      </c>
      <c r="F7166" t="s">
        <v>83</v>
      </c>
      <c r="G7166" t="s">
        <v>86</v>
      </c>
      <c r="H7166" t="s">
        <v>93</v>
      </c>
      <c r="I7166">
        <v>1</v>
      </c>
      <c r="K7166">
        <v>0</v>
      </c>
      <c r="L7166">
        <v>0</v>
      </c>
      <c r="M7166">
        <v>1</v>
      </c>
      <c r="N7166">
        <v>1</v>
      </c>
      <c r="O7166">
        <v>1</v>
      </c>
      <c r="P7166">
        <v>1</v>
      </c>
      <c r="Q7166">
        <v>1</v>
      </c>
      <c r="R7166">
        <v>1</v>
      </c>
      <c r="U7166">
        <v>0</v>
      </c>
      <c r="V7166">
        <v>1</v>
      </c>
      <c r="W7166">
        <v>1</v>
      </c>
      <c r="X7166">
        <v>1</v>
      </c>
      <c r="Y7166">
        <v>1</v>
      </c>
      <c r="Z7166">
        <v>1</v>
      </c>
      <c r="AA7166">
        <v>1</v>
      </c>
      <c r="AB7166">
        <v>1</v>
      </c>
    </row>
    <row r="7167" spans="1:49" x14ac:dyDescent="0.25">
      <c r="A7167" t="str">
        <f>"7163"</f>
        <v>7163</v>
      </c>
      <c r="B7167" t="str">
        <f t="shared" si="416"/>
        <v>1</v>
      </c>
      <c r="C7167" t="str">
        <f t="shared" si="417"/>
        <v>314</v>
      </c>
      <c r="D7167" t="str">
        <f>"4"</f>
        <v>4</v>
      </c>
      <c r="E7167" t="str">
        <f>"1-314-4"</f>
        <v>1-314-4</v>
      </c>
      <c r="F7167" t="s">
        <v>83</v>
      </c>
      <c r="G7167" t="s">
        <v>86</v>
      </c>
      <c r="H7167" t="s">
        <v>87</v>
      </c>
      <c r="AC7167">
        <v>0</v>
      </c>
      <c r="AD7167">
        <v>0</v>
      </c>
      <c r="AE7167">
        <v>0</v>
      </c>
      <c r="AF7167">
        <v>0</v>
      </c>
      <c r="AH7167">
        <v>1</v>
      </c>
      <c r="AI7167">
        <v>0</v>
      </c>
      <c r="AJ7167">
        <v>0</v>
      </c>
      <c r="AK7167">
        <v>0</v>
      </c>
      <c r="AL7167">
        <v>1</v>
      </c>
      <c r="AM7167">
        <v>0</v>
      </c>
      <c r="AN7167">
        <v>0</v>
      </c>
      <c r="AO7167">
        <v>1</v>
      </c>
      <c r="AP7167">
        <v>1</v>
      </c>
      <c r="AQ7167">
        <v>1</v>
      </c>
      <c r="AU7167">
        <v>1</v>
      </c>
      <c r="AV7167">
        <v>1</v>
      </c>
      <c r="AW7167">
        <v>1</v>
      </c>
    </row>
    <row r="7168" spans="1:49" x14ac:dyDescent="0.25">
      <c r="A7168" t="str">
        <f>"7164"</f>
        <v>7164</v>
      </c>
      <c r="B7168" t="str">
        <f t="shared" si="416"/>
        <v>1</v>
      </c>
      <c r="C7168" t="str">
        <f t="shared" si="417"/>
        <v>314</v>
      </c>
      <c r="D7168" t="str">
        <f>"17"</f>
        <v>17</v>
      </c>
      <c r="E7168" t="str">
        <f>"1-314-17"</f>
        <v>1-314-17</v>
      </c>
      <c r="F7168" t="s">
        <v>83</v>
      </c>
      <c r="G7168" t="s">
        <v>84</v>
      </c>
      <c r="H7168" t="s">
        <v>85</v>
      </c>
      <c r="AC7168">
        <v>0</v>
      </c>
      <c r="AD7168">
        <v>1</v>
      </c>
      <c r="AE7168">
        <v>0</v>
      </c>
      <c r="AF7168">
        <v>0</v>
      </c>
      <c r="AG7168">
        <v>1</v>
      </c>
      <c r="AJ7168">
        <v>0</v>
      </c>
      <c r="AK7168">
        <v>1</v>
      </c>
      <c r="AL7168">
        <v>0</v>
      </c>
      <c r="AM7168">
        <v>1</v>
      </c>
      <c r="AN7168">
        <v>0</v>
      </c>
      <c r="AO7168">
        <v>1</v>
      </c>
      <c r="AP7168">
        <v>1</v>
      </c>
      <c r="AQ7168">
        <v>1</v>
      </c>
      <c r="AR7168">
        <v>1</v>
      </c>
      <c r="AS7168">
        <v>0</v>
      </c>
      <c r="AT7168">
        <v>1</v>
      </c>
      <c r="AV7168">
        <v>1</v>
      </c>
      <c r="AW7168">
        <v>1</v>
      </c>
    </row>
    <row r="7169" spans="1:49" x14ac:dyDescent="0.25">
      <c r="A7169" t="str">
        <f>"7165"</f>
        <v>7165</v>
      </c>
      <c r="B7169" t="str">
        <f t="shared" si="416"/>
        <v>1</v>
      </c>
      <c r="C7169" t="str">
        <f t="shared" si="417"/>
        <v>314</v>
      </c>
      <c r="D7169" t="str">
        <f>"11"</f>
        <v>11</v>
      </c>
      <c r="E7169" t="str">
        <f>"1-314-11"</f>
        <v>1-314-11</v>
      </c>
      <c r="F7169" t="s">
        <v>83</v>
      </c>
      <c r="G7169" t="s">
        <v>86</v>
      </c>
      <c r="H7169" t="s">
        <v>87</v>
      </c>
      <c r="AC7169">
        <v>0</v>
      </c>
      <c r="AD7169">
        <v>0</v>
      </c>
      <c r="AE7169">
        <v>0</v>
      </c>
      <c r="AF7169">
        <v>0</v>
      </c>
      <c r="AH7169">
        <v>0</v>
      </c>
      <c r="AI7169">
        <v>1</v>
      </c>
      <c r="AJ7169">
        <v>0</v>
      </c>
      <c r="AK7169">
        <v>0</v>
      </c>
      <c r="AL7169">
        <v>0</v>
      </c>
      <c r="AM7169">
        <v>0</v>
      </c>
      <c r="AN7169">
        <v>0</v>
      </c>
      <c r="AO7169">
        <v>0</v>
      </c>
      <c r="AP7169">
        <v>0</v>
      </c>
      <c r="AQ7169">
        <v>0</v>
      </c>
      <c r="AU7169">
        <v>0</v>
      </c>
      <c r="AV7169">
        <v>0</v>
      </c>
      <c r="AW7169">
        <v>0</v>
      </c>
    </row>
    <row r="7170" spans="1:49" x14ac:dyDescent="0.25">
      <c r="A7170" t="str">
        <f>"7166"</f>
        <v>7166</v>
      </c>
      <c r="B7170" t="str">
        <f t="shared" si="416"/>
        <v>1</v>
      </c>
      <c r="C7170" t="str">
        <f t="shared" si="417"/>
        <v>314</v>
      </c>
      <c r="D7170" t="str">
        <f>"1"</f>
        <v>1</v>
      </c>
      <c r="E7170" t="str">
        <f>"1-314-1"</f>
        <v>1-314-1</v>
      </c>
      <c r="F7170" t="s">
        <v>83</v>
      </c>
      <c r="G7170" t="s">
        <v>84</v>
      </c>
      <c r="H7170" t="s">
        <v>85</v>
      </c>
      <c r="AC7170">
        <v>0</v>
      </c>
      <c r="AD7170">
        <v>1</v>
      </c>
      <c r="AE7170">
        <v>0</v>
      </c>
      <c r="AF7170">
        <v>0</v>
      </c>
      <c r="AG7170">
        <v>0</v>
      </c>
      <c r="AJ7170">
        <v>1</v>
      </c>
      <c r="AK7170">
        <v>0</v>
      </c>
      <c r="AL7170">
        <v>0</v>
      </c>
      <c r="AM7170">
        <v>0</v>
      </c>
      <c r="AN7170">
        <v>1</v>
      </c>
      <c r="AO7170">
        <v>0</v>
      </c>
      <c r="AP7170">
        <v>0</v>
      </c>
      <c r="AQ7170">
        <v>0</v>
      </c>
      <c r="AR7170">
        <v>0</v>
      </c>
      <c r="AS7170">
        <v>0</v>
      </c>
      <c r="AT7170">
        <v>1</v>
      </c>
      <c r="AV7170">
        <v>0</v>
      </c>
      <c r="AW7170">
        <v>0</v>
      </c>
    </row>
    <row r="7171" spans="1:49" x14ac:dyDescent="0.25">
      <c r="A7171" t="str">
        <f>"7167"</f>
        <v>7167</v>
      </c>
      <c r="B7171" t="str">
        <f t="shared" si="416"/>
        <v>1</v>
      </c>
      <c r="C7171" t="str">
        <f t="shared" si="417"/>
        <v>314</v>
      </c>
      <c r="D7171" t="str">
        <f>"19"</f>
        <v>19</v>
      </c>
      <c r="E7171" t="str">
        <f>"1-314-19"</f>
        <v>1-314-19</v>
      </c>
      <c r="F7171" t="s">
        <v>83</v>
      </c>
      <c r="G7171" t="s">
        <v>84</v>
      </c>
      <c r="H7171" t="s">
        <v>92</v>
      </c>
      <c r="I7171">
        <v>1</v>
      </c>
      <c r="J7171">
        <v>1</v>
      </c>
      <c r="N7171">
        <v>1</v>
      </c>
      <c r="O7171">
        <v>1</v>
      </c>
      <c r="P7171">
        <v>1</v>
      </c>
      <c r="Q7171">
        <v>1</v>
      </c>
      <c r="R7171">
        <v>1</v>
      </c>
      <c r="S7171">
        <v>1</v>
      </c>
      <c r="T7171">
        <v>1</v>
      </c>
      <c r="W7171">
        <v>1</v>
      </c>
      <c r="X7171">
        <v>1</v>
      </c>
      <c r="Y7171">
        <v>1</v>
      </c>
      <c r="Z7171">
        <v>1</v>
      </c>
      <c r="AA7171">
        <v>1</v>
      </c>
      <c r="AB7171">
        <v>1</v>
      </c>
    </row>
    <row r="7172" spans="1:49" x14ac:dyDescent="0.25">
      <c r="A7172" t="str">
        <f>"7168"</f>
        <v>7168</v>
      </c>
      <c r="B7172" t="str">
        <f t="shared" si="416"/>
        <v>1</v>
      </c>
      <c r="C7172" t="str">
        <f t="shared" si="417"/>
        <v>314</v>
      </c>
      <c r="D7172" t="str">
        <f>"12"</f>
        <v>12</v>
      </c>
      <c r="E7172" t="str">
        <f>"1-314-12"</f>
        <v>1-314-12</v>
      </c>
      <c r="F7172" t="s">
        <v>83</v>
      </c>
      <c r="G7172" t="s">
        <v>86</v>
      </c>
      <c r="H7172" t="s">
        <v>87</v>
      </c>
      <c r="AC7172">
        <v>0</v>
      </c>
      <c r="AD7172">
        <v>0</v>
      </c>
      <c r="AE7172">
        <v>0</v>
      </c>
      <c r="AF7172">
        <v>0</v>
      </c>
      <c r="AH7172">
        <v>0</v>
      </c>
      <c r="AI7172">
        <v>1</v>
      </c>
      <c r="AJ7172">
        <v>0</v>
      </c>
      <c r="AK7172">
        <v>0</v>
      </c>
      <c r="AL7172">
        <v>0</v>
      </c>
      <c r="AM7172">
        <v>0</v>
      </c>
      <c r="AN7172">
        <v>1</v>
      </c>
      <c r="AO7172">
        <v>0</v>
      </c>
      <c r="AP7172">
        <v>0</v>
      </c>
      <c r="AQ7172">
        <v>0</v>
      </c>
      <c r="AU7172">
        <v>0</v>
      </c>
      <c r="AV7172">
        <v>0</v>
      </c>
      <c r="AW7172">
        <v>0</v>
      </c>
    </row>
    <row r="7173" spans="1:49" x14ac:dyDescent="0.25">
      <c r="A7173" t="str">
        <f>"7169"</f>
        <v>7169</v>
      </c>
      <c r="B7173" t="str">
        <f t="shared" si="416"/>
        <v>1</v>
      </c>
      <c r="C7173" t="str">
        <f t="shared" si="417"/>
        <v>314</v>
      </c>
      <c r="D7173" t="str">
        <f>"3"</f>
        <v>3</v>
      </c>
      <c r="E7173" t="str">
        <f>"1-314-3"</f>
        <v>1-314-3</v>
      </c>
      <c r="F7173" t="s">
        <v>83</v>
      </c>
      <c r="G7173" t="s">
        <v>86</v>
      </c>
      <c r="H7173" t="s">
        <v>93</v>
      </c>
      <c r="I7173">
        <v>1</v>
      </c>
      <c r="K7173">
        <v>0</v>
      </c>
      <c r="L7173">
        <v>0</v>
      </c>
      <c r="M7173">
        <v>1</v>
      </c>
      <c r="N7173">
        <v>1</v>
      </c>
      <c r="O7173">
        <v>1</v>
      </c>
      <c r="P7173">
        <v>1</v>
      </c>
      <c r="Q7173">
        <v>1</v>
      </c>
      <c r="R7173">
        <v>1</v>
      </c>
      <c r="U7173">
        <v>0</v>
      </c>
      <c r="V7173">
        <v>1</v>
      </c>
      <c r="W7173">
        <v>1</v>
      </c>
      <c r="X7173">
        <v>1</v>
      </c>
      <c r="Y7173">
        <v>1</v>
      </c>
      <c r="Z7173">
        <v>1</v>
      </c>
      <c r="AA7173">
        <v>1</v>
      </c>
      <c r="AB7173">
        <v>1</v>
      </c>
    </row>
    <row r="7174" spans="1:49" x14ac:dyDescent="0.25">
      <c r="A7174" t="str">
        <f>"7170"</f>
        <v>7170</v>
      </c>
      <c r="B7174" t="str">
        <f t="shared" si="416"/>
        <v>1</v>
      </c>
      <c r="C7174" t="str">
        <f t="shared" si="417"/>
        <v>314</v>
      </c>
      <c r="D7174" t="str">
        <f>"15"</f>
        <v>15</v>
      </c>
      <c r="E7174" t="str">
        <f>"1-314-15"</f>
        <v>1-314-15</v>
      </c>
      <c r="F7174" t="s">
        <v>83</v>
      </c>
      <c r="G7174" t="s">
        <v>86</v>
      </c>
      <c r="H7174" t="s">
        <v>93</v>
      </c>
      <c r="I7174">
        <v>1</v>
      </c>
      <c r="K7174">
        <v>0</v>
      </c>
      <c r="L7174">
        <v>0</v>
      </c>
      <c r="M7174">
        <v>1</v>
      </c>
      <c r="N7174">
        <v>1</v>
      </c>
      <c r="O7174">
        <v>1</v>
      </c>
      <c r="P7174">
        <v>1</v>
      </c>
      <c r="Q7174">
        <v>1</v>
      </c>
      <c r="R7174">
        <v>1</v>
      </c>
      <c r="U7174">
        <v>0</v>
      </c>
      <c r="V7174">
        <v>1</v>
      </c>
      <c r="W7174">
        <v>1</v>
      </c>
      <c r="X7174">
        <v>1</v>
      </c>
      <c r="Y7174">
        <v>1</v>
      </c>
      <c r="Z7174">
        <v>1</v>
      </c>
      <c r="AA7174">
        <v>1</v>
      </c>
      <c r="AB7174">
        <v>1</v>
      </c>
    </row>
    <row r="7175" spans="1:49" x14ac:dyDescent="0.25">
      <c r="A7175" t="str">
        <f>"7171"</f>
        <v>7171</v>
      </c>
      <c r="B7175" t="str">
        <f t="shared" si="416"/>
        <v>1</v>
      </c>
      <c r="C7175" t="str">
        <f t="shared" si="417"/>
        <v>314</v>
      </c>
      <c r="D7175" t="str">
        <f>"7"</f>
        <v>7</v>
      </c>
      <c r="E7175" t="str">
        <f>"1-314-7"</f>
        <v>1-314-7</v>
      </c>
      <c r="F7175" t="s">
        <v>83</v>
      </c>
      <c r="G7175" t="s">
        <v>86</v>
      </c>
      <c r="H7175" t="s">
        <v>87</v>
      </c>
      <c r="AC7175">
        <v>0</v>
      </c>
      <c r="AD7175">
        <v>1</v>
      </c>
      <c r="AE7175">
        <v>0</v>
      </c>
      <c r="AF7175">
        <v>0</v>
      </c>
      <c r="AH7175">
        <v>0</v>
      </c>
      <c r="AI7175">
        <v>1</v>
      </c>
      <c r="AJ7175">
        <v>0</v>
      </c>
      <c r="AK7175">
        <v>1</v>
      </c>
      <c r="AL7175">
        <v>0</v>
      </c>
      <c r="AM7175">
        <v>0</v>
      </c>
      <c r="AN7175">
        <v>0</v>
      </c>
      <c r="AO7175">
        <v>0</v>
      </c>
      <c r="AP7175">
        <v>0</v>
      </c>
      <c r="AQ7175">
        <v>0</v>
      </c>
      <c r="AU7175">
        <v>0</v>
      </c>
      <c r="AV7175">
        <v>0</v>
      </c>
      <c r="AW7175">
        <v>0</v>
      </c>
    </row>
    <row r="7176" spans="1:49" x14ac:dyDescent="0.25">
      <c r="A7176" t="str">
        <f>"7172"</f>
        <v>7172</v>
      </c>
      <c r="B7176" t="str">
        <f t="shared" si="416"/>
        <v>1</v>
      </c>
      <c r="C7176" t="str">
        <f t="shared" si="417"/>
        <v>314</v>
      </c>
      <c r="D7176" t="str">
        <f>"16"</f>
        <v>16</v>
      </c>
      <c r="E7176" t="str">
        <f>"1-314-16"</f>
        <v>1-314-16</v>
      </c>
      <c r="F7176" t="s">
        <v>83</v>
      </c>
      <c r="G7176" t="s">
        <v>84</v>
      </c>
      <c r="H7176" t="s">
        <v>85</v>
      </c>
      <c r="AC7176">
        <v>0</v>
      </c>
      <c r="AD7176">
        <v>1</v>
      </c>
      <c r="AE7176">
        <v>0</v>
      </c>
      <c r="AF7176">
        <v>0</v>
      </c>
      <c r="AG7176">
        <v>1</v>
      </c>
      <c r="AJ7176">
        <v>0</v>
      </c>
      <c r="AK7176">
        <v>1</v>
      </c>
      <c r="AL7176">
        <v>0</v>
      </c>
      <c r="AM7176">
        <v>1</v>
      </c>
      <c r="AN7176">
        <v>0</v>
      </c>
      <c r="AO7176">
        <v>1</v>
      </c>
      <c r="AP7176">
        <v>1</v>
      </c>
      <c r="AQ7176">
        <v>1</v>
      </c>
      <c r="AR7176">
        <v>1</v>
      </c>
      <c r="AS7176">
        <v>0</v>
      </c>
      <c r="AT7176">
        <v>1</v>
      </c>
      <c r="AV7176">
        <v>1</v>
      </c>
      <c r="AW7176">
        <v>1</v>
      </c>
    </row>
    <row r="7177" spans="1:49" x14ac:dyDescent="0.25">
      <c r="A7177" t="str">
        <f>"7173"</f>
        <v>7173</v>
      </c>
      <c r="B7177" t="str">
        <f t="shared" si="416"/>
        <v>1</v>
      </c>
      <c r="C7177" t="str">
        <f t="shared" si="417"/>
        <v>314</v>
      </c>
      <c r="D7177" t="str">
        <f>"2"</f>
        <v>2</v>
      </c>
      <c r="E7177" t="str">
        <f>"1-314-2"</f>
        <v>1-314-2</v>
      </c>
      <c r="F7177" t="s">
        <v>83</v>
      </c>
      <c r="G7177" t="s">
        <v>84</v>
      </c>
      <c r="H7177" t="s">
        <v>85</v>
      </c>
      <c r="AC7177">
        <v>1</v>
      </c>
      <c r="AD7177">
        <v>0</v>
      </c>
      <c r="AE7177">
        <v>0</v>
      </c>
      <c r="AF7177">
        <v>0</v>
      </c>
      <c r="AG7177">
        <v>0</v>
      </c>
      <c r="AJ7177">
        <v>0</v>
      </c>
      <c r="AK7177">
        <v>1</v>
      </c>
      <c r="AL7177">
        <v>1</v>
      </c>
      <c r="AM7177">
        <v>0</v>
      </c>
      <c r="AN7177">
        <v>0</v>
      </c>
      <c r="AO7177">
        <v>0</v>
      </c>
      <c r="AP7177">
        <v>0</v>
      </c>
      <c r="AQ7177">
        <v>0</v>
      </c>
      <c r="AR7177">
        <v>0</v>
      </c>
      <c r="AS7177">
        <v>1</v>
      </c>
      <c r="AT7177">
        <v>0</v>
      </c>
      <c r="AV7177">
        <v>0</v>
      </c>
      <c r="AW7177">
        <v>1</v>
      </c>
    </row>
    <row r="7178" spans="1:49" x14ac:dyDescent="0.25">
      <c r="A7178" t="str">
        <f>"7174"</f>
        <v>7174</v>
      </c>
      <c r="B7178" t="str">
        <f t="shared" si="416"/>
        <v>1</v>
      </c>
      <c r="C7178" t="str">
        <f t="shared" si="417"/>
        <v>314</v>
      </c>
      <c r="D7178" t="str">
        <f>"21"</f>
        <v>21</v>
      </c>
      <c r="E7178" t="str">
        <f>"1-314-21"</f>
        <v>1-314-21</v>
      </c>
      <c r="F7178" t="s">
        <v>83</v>
      </c>
      <c r="G7178" t="s">
        <v>84</v>
      </c>
      <c r="H7178" t="s">
        <v>85</v>
      </c>
      <c r="AC7178">
        <v>0</v>
      </c>
      <c r="AD7178">
        <v>1</v>
      </c>
      <c r="AE7178">
        <v>0</v>
      </c>
      <c r="AF7178">
        <v>0</v>
      </c>
      <c r="AG7178">
        <v>0</v>
      </c>
      <c r="AJ7178">
        <v>0</v>
      </c>
      <c r="AK7178">
        <v>1</v>
      </c>
      <c r="AL7178">
        <v>0</v>
      </c>
      <c r="AM7178">
        <v>1</v>
      </c>
      <c r="AN7178">
        <v>0</v>
      </c>
      <c r="AO7178">
        <v>0</v>
      </c>
      <c r="AP7178">
        <v>0</v>
      </c>
      <c r="AQ7178">
        <v>0</v>
      </c>
      <c r="AR7178">
        <v>0</v>
      </c>
      <c r="AS7178">
        <v>0</v>
      </c>
      <c r="AT7178">
        <v>1</v>
      </c>
      <c r="AV7178">
        <v>0</v>
      </c>
      <c r="AW7178">
        <v>0</v>
      </c>
    </row>
    <row r="7179" spans="1:49" x14ac:dyDescent="0.25">
      <c r="A7179" t="str">
        <f>"7175"</f>
        <v>7175</v>
      </c>
      <c r="B7179" t="str">
        <f t="shared" si="416"/>
        <v>1</v>
      </c>
      <c r="C7179" t="str">
        <f t="shared" ref="C7179:C7202" si="418">"315"</f>
        <v>315</v>
      </c>
      <c r="D7179" t="str">
        <f>"21"</f>
        <v>21</v>
      </c>
      <c r="E7179" t="str">
        <f>"1-315-21"</f>
        <v>1-315-21</v>
      </c>
      <c r="F7179" t="s">
        <v>83</v>
      </c>
      <c r="G7179" t="s">
        <v>86</v>
      </c>
      <c r="H7179" t="s">
        <v>87</v>
      </c>
      <c r="AC7179">
        <v>0</v>
      </c>
      <c r="AD7179">
        <v>1</v>
      </c>
      <c r="AE7179">
        <v>0</v>
      </c>
      <c r="AF7179">
        <v>0</v>
      </c>
      <c r="AH7179">
        <v>0</v>
      </c>
      <c r="AI7179">
        <v>1</v>
      </c>
      <c r="AJ7179">
        <v>0</v>
      </c>
      <c r="AK7179">
        <v>1</v>
      </c>
      <c r="AL7179">
        <v>0</v>
      </c>
      <c r="AM7179">
        <v>0</v>
      </c>
      <c r="AN7179">
        <v>1</v>
      </c>
      <c r="AO7179">
        <v>0</v>
      </c>
      <c r="AP7179">
        <v>0</v>
      </c>
      <c r="AQ7179">
        <v>0</v>
      </c>
      <c r="AU7179">
        <v>0</v>
      </c>
      <c r="AV7179">
        <v>0</v>
      </c>
      <c r="AW7179">
        <v>0</v>
      </c>
    </row>
    <row r="7180" spans="1:49" x14ac:dyDescent="0.25">
      <c r="A7180" t="str">
        <f>"7176"</f>
        <v>7176</v>
      </c>
      <c r="B7180" t="str">
        <f t="shared" si="416"/>
        <v>1</v>
      </c>
      <c r="C7180" t="str">
        <f t="shared" si="418"/>
        <v>315</v>
      </c>
      <c r="D7180" t="str">
        <f>"20"</f>
        <v>20</v>
      </c>
      <c r="E7180" t="str">
        <f>"1-315-20"</f>
        <v>1-315-20</v>
      </c>
      <c r="F7180" t="s">
        <v>83</v>
      </c>
      <c r="G7180" t="s">
        <v>86</v>
      </c>
      <c r="H7180" t="s">
        <v>87</v>
      </c>
      <c r="AC7180">
        <v>0</v>
      </c>
      <c r="AD7180">
        <v>0</v>
      </c>
      <c r="AE7180">
        <v>0</v>
      </c>
      <c r="AF7180">
        <v>0</v>
      </c>
      <c r="AH7180">
        <v>0</v>
      </c>
      <c r="AI7180">
        <v>1</v>
      </c>
      <c r="AJ7180">
        <v>0</v>
      </c>
      <c r="AK7180">
        <v>0</v>
      </c>
      <c r="AL7180">
        <v>0</v>
      </c>
      <c r="AM7180">
        <v>0</v>
      </c>
      <c r="AN7180">
        <v>0</v>
      </c>
      <c r="AO7180">
        <v>0</v>
      </c>
      <c r="AP7180">
        <v>0</v>
      </c>
      <c r="AQ7180">
        <v>0</v>
      </c>
      <c r="AU7180">
        <v>0</v>
      </c>
      <c r="AV7180">
        <v>0</v>
      </c>
      <c r="AW7180">
        <v>0</v>
      </c>
    </row>
    <row r="7181" spans="1:49" x14ac:dyDescent="0.25">
      <c r="A7181" t="str">
        <f>"7177"</f>
        <v>7177</v>
      </c>
      <c r="B7181" t="str">
        <f t="shared" si="416"/>
        <v>1</v>
      </c>
      <c r="C7181" t="str">
        <f t="shared" si="418"/>
        <v>315</v>
      </c>
      <c r="D7181" t="str">
        <f>"13"</f>
        <v>13</v>
      </c>
      <c r="E7181" t="str">
        <f>"1-315-13"</f>
        <v>1-315-13</v>
      </c>
      <c r="F7181" t="s">
        <v>83</v>
      </c>
      <c r="G7181" t="s">
        <v>86</v>
      </c>
      <c r="H7181" t="s">
        <v>87</v>
      </c>
      <c r="AC7181">
        <v>0</v>
      </c>
      <c r="AD7181">
        <v>0</v>
      </c>
      <c r="AE7181">
        <v>0</v>
      </c>
      <c r="AF7181">
        <v>0</v>
      </c>
      <c r="AH7181">
        <v>0</v>
      </c>
      <c r="AI7181">
        <v>1</v>
      </c>
      <c r="AJ7181">
        <v>0</v>
      </c>
      <c r="AK7181">
        <v>0</v>
      </c>
      <c r="AL7181">
        <v>0</v>
      </c>
      <c r="AM7181">
        <v>0</v>
      </c>
      <c r="AN7181">
        <v>0</v>
      </c>
      <c r="AO7181">
        <v>0</v>
      </c>
      <c r="AP7181">
        <v>0</v>
      </c>
      <c r="AQ7181">
        <v>0</v>
      </c>
      <c r="AU7181">
        <v>0</v>
      </c>
      <c r="AV7181">
        <v>0</v>
      </c>
      <c r="AW7181">
        <v>0</v>
      </c>
    </row>
    <row r="7182" spans="1:49" x14ac:dyDescent="0.25">
      <c r="A7182" t="str">
        <f>"7178"</f>
        <v>7178</v>
      </c>
      <c r="B7182" t="str">
        <f t="shared" si="416"/>
        <v>1</v>
      </c>
      <c r="C7182" t="str">
        <f t="shared" si="418"/>
        <v>315</v>
      </c>
      <c r="D7182" t="str">
        <f>"12"</f>
        <v>12</v>
      </c>
      <c r="E7182" t="str">
        <f>"1-315-12"</f>
        <v>1-315-12</v>
      </c>
      <c r="F7182" t="s">
        <v>83</v>
      </c>
      <c r="G7182" t="s">
        <v>86</v>
      </c>
      <c r="H7182" t="s">
        <v>93</v>
      </c>
      <c r="I7182">
        <v>0</v>
      </c>
      <c r="K7182">
        <v>0</v>
      </c>
      <c r="L7182">
        <v>0</v>
      </c>
      <c r="M7182">
        <v>0</v>
      </c>
      <c r="N7182">
        <v>0</v>
      </c>
      <c r="O7182">
        <v>0</v>
      </c>
      <c r="P7182">
        <v>0</v>
      </c>
      <c r="Q7182">
        <v>0</v>
      </c>
      <c r="R7182">
        <v>0</v>
      </c>
      <c r="U7182">
        <v>1</v>
      </c>
      <c r="V7182">
        <v>0</v>
      </c>
      <c r="W7182">
        <v>0</v>
      </c>
      <c r="X7182">
        <v>0</v>
      </c>
      <c r="Y7182">
        <v>0</v>
      </c>
      <c r="Z7182">
        <v>0</v>
      </c>
      <c r="AA7182">
        <v>0</v>
      </c>
      <c r="AB7182">
        <v>0</v>
      </c>
    </row>
    <row r="7183" spans="1:49" x14ac:dyDescent="0.25">
      <c r="A7183" t="str">
        <f>"7179"</f>
        <v>7179</v>
      </c>
      <c r="B7183" t="str">
        <f t="shared" si="416"/>
        <v>1</v>
      </c>
      <c r="C7183" t="str">
        <f t="shared" si="418"/>
        <v>315</v>
      </c>
      <c r="D7183" t="str">
        <f>"11"</f>
        <v>11</v>
      </c>
      <c r="E7183" t="str">
        <f>"1-315-11"</f>
        <v>1-315-11</v>
      </c>
      <c r="F7183" t="s">
        <v>83</v>
      </c>
      <c r="G7183" t="s">
        <v>86</v>
      </c>
      <c r="H7183" t="s">
        <v>93</v>
      </c>
      <c r="I7183">
        <v>1</v>
      </c>
      <c r="K7183">
        <v>0</v>
      </c>
      <c r="L7183">
        <v>0</v>
      </c>
      <c r="M7183">
        <v>1</v>
      </c>
      <c r="N7183">
        <v>1</v>
      </c>
      <c r="O7183">
        <v>1</v>
      </c>
      <c r="P7183">
        <v>1</v>
      </c>
      <c r="Q7183">
        <v>1</v>
      </c>
      <c r="R7183">
        <v>1</v>
      </c>
      <c r="U7183">
        <v>0</v>
      </c>
      <c r="V7183">
        <v>1</v>
      </c>
      <c r="W7183">
        <v>1</v>
      </c>
      <c r="X7183">
        <v>1</v>
      </c>
      <c r="Y7183">
        <v>1</v>
      </c>
      <c r="Z7183">
        <v>1</v>
      </c>
      <c r="AA7183">
        <v>1</v>
      </c>
      <c r="AB7183">
        <v>1</v>
      </c>
    </row>
    <row r="7184" spans="1:49" x14ac:dyDescent="0.25">
      <c r="A7184" t="str">
        <f>"7180"</f>
        <v>7180</v>
      </c>
      <c r="B7184" t="str">
        <f t="shared" si="416"/>
        <v>1</v>
      </c>
      <c r="C7184" t="str">
        <f t="shared" si="418"/>
        <v>315</v>
      </c>
      <c r="D7184" t="str">
        <f>"8"</f>
        <v>8</v>
      </c>
      <c r="E7184" t="str">
        <f>"1-315-8"</f>
        <v>1-315-8</v>
      </c>
      <c r="F7184" t="s">
        <v>83</v>
      </c>
      <c r="G7184" t="s">
        <v>86</v>
      </c>
      <c r="H7184" t="s">
        <v>87</v>
      </c>
      <c r="AC7184">
        <v>0</v>
      </c>
      <c r="AD7184">
        <v>1</v>
      </c>
      <c r="AE7184">
        <v>0</v>
      </c>
      <c r="AF7184">
        <v>0</v>
      </c>
      <c r="AH7184">
        <v>0</v>
      </c>
      <c r="AI7184">
        <v>1</v>
      </c>
      <c r="AJ7184">
        <v>0</v>
      </c>
      <c r="AK7184">
        <v>1</v>
      </c>
      <c r="AL7184">
        <v>0</v>
      </c>
      <c r="AM7184">
        <v>0</v>
      </c>
      <c r="AN7184">
        <v>1</v>
      </c>
      <c r="AO7184">
        <v>1</v>
      </c>
      <c r="AP7184">
        <v>1</v>
      </c>
      <c r="AQ7184">
        <v>1</v>
      </c>
      <c r="AU7184">
        <v>1</v>
      </c>
      <c r="AV7184">
        <v>1</v>
      </c>
      <c r="AW7184">
        <v>1</v>
      </c>
    </row>
    <row r="7185" spans="1:49" x14ac:dyDescent="0.25">
      <c r="A7185" t="str">
        <f>"7181"</f>
        <v>7181</v>
      </c>
      <c r="B7185" t="str">
        <f t="shared" si="416"/>
        <v>1</v>
      </c>
      <c r="C7185" t="str">
        <f t="shared" si="418"/>
        <v>315</v>
      </c>
      <c r="D7185" t="str">
        <f>"1"</f>
        <v>1</v>
      </c>
      <c r="E7185" t="str">
        <f>"1-315-1"</f>
        <v>1-315-1</v>
      </c>
      <c r="F7185" t="s">
        <v>83</v>
      </c>
      <c r="G7185" t="s">
        <v>86</v>
      </c>
      <c r="H7185" t="s">
        <v>93</v>
      </c>
      <c r="I7185">
        <v>1</v>
      </c>
      <c r="K7185">
        <v>1</v>
      </c>
      <c r="L7185">
        <v>0</v>
      </c>
      <c r="M7185">
        <v>0</v>
      </c>
      <c r="N7185">
        <v>1</v>
      </c>
      <c r="O7185">
        <v>1</v>
      </c>
      <c r="P7185">
        <v>1</v>
      </c>
      <c r="Q7185">
        <v>1</v>
      </c>
      <c r="R7185">
        <v>1</v>
      </c>
      <c r="U7185">
        <v>1</v>
      </c>
      <c r="V7185">
        <v>0</v>
      </c>
      <c r="W7185">
        <v>1</v>
      </c>
      <c r="X7185">
        <v>1</v>
      </c>
      <c r="Y7185">
        <v>1</v>
      </c>
      <c r="Z7185">
        <v>1</v>
      </c>
      <c r="AA7185">
        <v>1</v>
      </c>
      <c r="AB7185">
        <v>1</v>
      </c>
    </row>
    <row r="7186" spans="1:49" x14ac:dyDescent="0.25">
      <c r="A7186" t="str">
        <f>"7182"</f>
        <v>7182</v>
      </c>
      <c r="B7186" t="str">
        <f t="shared" si="416"/>
        <v>1</v>
      </c>
      <c r="C7186" t="str">
        <f t="shared" si="418"/>
        <v>315</v>
      </c>
      <c r="D7186" t="str">
        <f>"23"</f>
        <v>23</v>
      </c>
      <c r="E7186" t="str">
        <f>"1-315-23"</f>
        <v>1-315-23</v>
      </c>
      <c r="F7186" t="s">
        <v>83</v>
      </c>
      <c r="G7186" t="s">
        <v>86</v>
      </c>
      <c r="H7186" t="s">
        <v>87</v>
      </c>
      <c r="AC7186">
        <v>0</v>
      </c>
      <c r="AD7186">
        <v>0</v>
      </c>
      <c r="AE7186">
        <v>0</v>
      </c>
      <c r="AF7186">
        <v>0</v>
      </c>
      <c r="AH7186">
        <v>0</v>
      </c>
      <c r="AI7186">
        <v>1</v>
      </c>
      <c r="AJ7186">
        <v>0</v>
      </c>
      <c r="AK7186">
        <v>0</v>
      </c>
      <c r="AL7186">
        <v>0</v>
      </c>
      <c r="AM7186">
        <v>0</v>
      </c>
      <c r="AN7186">
        <v>1</v>
      </c>
      <c r="AO7186">
        <v>0</v>
      </c>
      <c r="AP7186">
        <v>0</v>
      </c>
      <c r="AQ7186">
        <v>0</v>
      </c>
      <c r="AU7186">
        <v>0</v>
      </c>
      <c r="AV7186">
        <v>0</v>
      </c>
      <c r="AW7186">
        <v>0</v>
      </c>
    </row>
    <row r="7187" spans="1:49" x14ac:dyDescent="0.25">
      <c r="A7187" t="str">
        <f>"7183"</f>
        <v>7183</v>
      </c>
      <c r="B7187" t="str">
        <f t="shared" si="416"/>
        <v>1</v>
      </c>
      <c r="C7187" t="str">
        <f t="shared" si="418"/>
        <v>315</v>
      </c>
      <c r="D7187" t="str">
        <f>"15"</f>
        <v>15</v>
      </c>
      <c r="E7187" t="str">
        <f>"1-315-15"</f>
        <v>1-315-15</v>
      </c>
      <c r="F7187" t="s">
        <v>83</v>
      </c>
      <c r="G7187" t="s">
        <v>86</v>
      </c>
      <c r="H7187" t="s">
        <v>87</v>
      </c>
      <c r="AC7187">
        <v>0</v>
      </c>
      <c r="AD7187">
        <v>0</v>
      </c>
      <c r="AE7187">
        <v>0</v>
      </c>
      <c r="AF7187">
        <v>0</v>
      </c>
      <c r="AH7187">
        <v>0</v>
      </c>
      <c r="AI7187">
        <v>1</v>
      </c>
      <c r="AJ7187">
        <v>0</v>
      </c>
      <c r="AK7187">
        <v>0</v>
      </c>
      <c r="AL7187">
        <v>0</v>
      </c>
      <c r="AM7187">
        <v>0</v>
      </c>
      <c r="AN7187">
        <v>0</v>
      </c>
      <c r="AO7187">
        <v>0</v>
      </c>
      <c r="AP7187">
        <v>0</v>
      </c>
      <c r="AQ7187">
        <v>0</v>
      </c>
      <c r="AU7187">
        <v>0</v>
      </c>
      <c r="AV7187">
        <v>0</v>
      </c>
      <c r="AW7187">
        <v>0</v>
      </c>
    </row>
    <row r="7188" spans="1:49" x14ac:dyDescent="0.25">
      <c r="A7188" t="str">
        <f>"7184"</f>
        <v>7184</v>
      </c>
      <c r="B7188" t="str">
        <f t="shared" si="416"/>
        <v>1</v>
      </c>
      <c r="C7188" t="str">
        <f t="shared" si="418"/>
        <v>315</v>
      </c>
      <c r="D7188" t="str">
        <f>"9"</f>
        <v>9</v>
      </c>
      <c r="E7188" t="str">
        <f>"1-315-9"</f>
        <v>1-315-9</v>
      </c>
      <c r="F7188" t="s">
        <v>83</v>
      </c>
      <c r="G7188" t="s">
        <v>86</v>
      </c>
      <c r="H7188" t="s">
        <v>87</v>
      </c>
      <c r="AC7188">
        <v>0</v>
      </c>
      <c r="AD7188">
        <v>0</v>
      </c>
      <c r="AE7188">
        <v>0</v>
      </c>
      <c r="AF7188">
        <v>0</v>
      </c>
      <c r="AH7188">
        <v>0</v>
      </c>
      <c r="AI7188">
        <v>1</v>
      </c>
      <c r="AJ7188">
        <v>0</v>
      </c>
      <c r="AK7188">
        <v>0</v>
      </c>
      <c r="AL7188">
        <v>0</v>
      </c>
      <c r="AM7188">
        <v>0</v>
      </c>
      <c r="AN7188">
        <v>0</v>
      </c>
      <c r="AO7188">
        <v>0</v>
      </c>
      <c r="AP7188">
        <v>0</v>
      </c>
      <c r="AQ7188">
        <v>0</v>
      </c>
      <c r="AU7188">
        <v>0</v>
      </c>
      <c r="AV7188">
        <v>0</v>
      </c>
      <c r="AW7188">
        <v>0</v>
      </c>
    </row>
    <row r="7189" spans="1:49" x14ac:dyDescent="0.25">
      <c r="A7189" t="str">
        <f>"7185"</f>
        <v>7185</v>
      </c>
      <c r="B7189" t="str">
        <f t="shared" si="416"/>
        <v>1</v>
      </c>
      <c r="C7189" t="str">
        <f t="shared" si="418"/>
        <v>315</v>
      </c>
      <c r="D7189" t="str">
        <f>"24"</f>
        <v>24</v>
      </c>
      <c r="E7189" t="str">
        <f>"1-315-24"</f>
        <v>1-315-24</v>
      </c>
      <c r="F7189" t="s">
        <v>83</v>
      </c>
      <c r="G7189" t="s">
        <v>86</v>
      </c>
      <c r="H7189" t="s">
        <v>87</v>
      </c>
      <c r="AC7189">
        <v>0</v>
      </c>
      <c r="AD7189">
        <v>1</v>
      </c>
      <c r="AE7189">
        <v>0</v>
      </c>
      <c r="AF7189">
        <v>0</v>
      </c>
      <c r="AH7189">
        <v>0</v>
      </c>
      <c r="AI7189">
        <v>1</v>
      </c>
      <c r="AJ7189">
        <v>0</v>
      </c>
      <c r="AK7189">
        <v>0</v>
      </c>
      <c r="AL7189">
        <v>0</v>
      </c>
      <c r="AM7189">
        <v>0</v>
      </c>
      <c r="AN7189">
        <v>0</v>
      </c>
      <c r="AO7189">
        <v>0</v>
      </c>
      <c r="AP7189">
        <v>0</v>
      </c>
      <c r="AQ7189">
        <v>0</v>
      </c>
      <c r="AU7189">
        <v>0</v>
      </c>
      <c r="AV7189">
        <v>0</v>
      </c>
      <c r="AW7189">
        <v>0</v>
      </c>
    </row>
    <row r="7190" spans="1:49" x14ac:dyDescent="0.25">
      <c r="A7190" t="str">
        <f>"7186"</f>
        <v>7186</v>
      </c>
      <c r="B7190" t="str">
        <f t="shared" si="416"/>
        <v>1</v>
      </c>
      <c r="C7190" t="str">
        <f t="shared" si="418"/>
        <v>315</v>
      </c>
      <c r="D7190" t="str">
        <f>"14"</f>
        <v>14</v>
      </c>
      <c r="E7190" t="str">
        <f>"1-315-14"</f>
        <v>1-315-14</v>
      </c>
      <c r="F7190" t="s">
        <v>83</v>
      </c>
      <c r="G7190" t="s">
        <v>86</v>
      </c>
      <c r="H7190" t="s">
        <v>87</v>
      </c>
      <c r="AC7190">
        <v>0</v>
      </c>
      <c r="AD7190">
        <v>1</v>
      </c>
      <c r="AE7190">
        <v>0</v>
      </c>
      <c r="AF7190">
        <v>0</v>
      </c>
      <c r="AH7190">
        <v>0</v>
      </c>
      <c r="AI7190">
        <v>1</v>
      </c>
      <c r="AJ7190">
        <v>0</v>
      </c>
      <c r="AK7190">
        <v>1</v>
      </c>
      <c r="AL7190">
        <v>0</v>
      </c>
      <c r="AM7190">
        <v>0</v>
      </c>
      <c r="AN7190">
        <v>1</v>
      </c>
      <c r="AO7190">
        <v>0</v>
      </c>
      <c r="AP7190">
        <v>0</v>
      </c>
      <c r="AQ7190">
        <v>0</v>
      </c>
      <c r="AU7190">
        <v>0</v>
      </c>
      <c r="AV7190">
        <v>0</v>
      </c>
      <c r="AW7190">
        <v>0</v>
      </c>
    </row>
    <row r="7191" spans="1:49" x14ac:dyDescent="0.25">
      <c r="A7191" t="str">
        <f>"7187"</f>
        <v>7187</v>
      </c>
      <c r="B7191" t="str">
        <f t="shared" si="416"/>
        <v>1</v>
      </c>
      <c r="C7191" t="str">
        <f t="shared" si="418"/>
        <v>315</v>
      </c>
      <c r="D7191" t="str">
        <f>"10"</f>
        <v>10</v>
      </c>
      <c r="E7191" t="str">
        <f>"1-315-10"</f>
        <v>1-315-10</v>
      </c>
      <c r="F7191" t="s">
        <v>83</v>
      </c>
      <c r="G7191" t="s">
        <v>86</v>
      </c>
      <c r="H7191" t="s">
        <v>93</v>
      </c>
      <c r="I7191">
        <v>1</v>
      </c>
      <c r="K7191">
        <v>1</v>
      </c>
      <c r="L7191">
        <v>0</v>
      </c>
      <c r="M7191">
        <v>0</v>
      </c>
      <c r="N7191">
        <v>1</v>
      </c>
      <c r="O7191">
        <v>1</v>
      </c>
      <c r="P7191">
        <v>1</v>
      </c>
      <c r="Q7191">
        <v>1</v>
      </c>
      <c r="R7191">
        <v>1</v>
      </c>
      <c r="U7191">
        <v>1</v>
      </c>
      <c r="V7191">
        <v>0</v>
      </c>
      <c r="W7191">
        <v>1</v>
      </c>
      <c r="X7191">
        <v>1</v>
      </c>
      <c r="Y7191">
        <v>1</v>
      </c>
      <c r="Z7191">
        <v>1</v>
      </c>
      <c r="AA7191">
        <v>1</v>
      </c>
      <c r="AB7191">
        <v>1</v>
      </c>
    </row>
    <row r="7192" spans="1:49" x14ac:dyDescent="0.25">
      <c r="A7192" t="str">
        <f>"7188"</f>
        <v>7188</v>
      </c>
      <c r="B7192" t="str">
        <f t="shared" si="416"/>
        <v>1</v>
      </c>
      <c r="C7192" t="str">
        <f t="shared" si="418"/>
        <v>315</v>
      </c>
      <c r="D7192" t="str">
        <f>"4"</f>
        <v>4</v>
      </c>
      <c r="E7192" t="str">
        <f>"1-315-4"</f>
        <v>1-315-4</v>
      </c>
      <c r="F7192" t="s">
        <v>83</v>
      </c>
      <c r="G7192" t="s">
        <v>86</v>
      </c>
      <c r="H7192" t="s">
        <v>87</v>
      </c>
      <c r="AC7192">
        <v>0</v>
      </c>
      <c r="AD7192">
        <v>1</v>
      </c>
      <c r="AE7192">
        <v>0</v>
      </c>
      <c r="AF7192">
        <v>0</v>
      </c>
      <c r="AH7192">
        <v>0</v>
      </c>
      <c r="AI7192">
        <v>1</v>
      </c>
      <c r="AJ7192">
        <v>0</v>
      </c>
      <c r="AK7192">
        <v>0</v>
      </c>
      <c r="AL7192">
        <v>0</v>
      </c>
      <c r="AM7192">
        <v>0</v>
      </c>
      <c r="AN7192">
        <v>1</v>
      </c>
      <c r="AO7192">
        <v>1</v>
      </c>
      <c r="AP7192">
        <v>1</v>
      </c>
      <c r="AQ7192">
        <v>1</v>
      </c>
      <c r="AU7192">
        <v>1</v>
      </c>
      <c r="AV7192">
        <v>1</v>
      </c>
      <c r="AW7192">
        <v>1</v>
      </c>
    </row>
    <row r="7193" spans="1:49" x14ac:dyDescent="0.25">
      <c r="A7193" t="str">
        <f>"7189"</f>
        <v>7189</v>
      </c>
      <c r="B7193" t="str">
        <f t="shared" si="416"/>
        <v>1</v>
      </c>
      <c r="C7193" t="str">
        <f t="shared" si="418"/>
        <v>315</v>
      </c>
      <c r="D7193" t="str">
        <f>"2"</f>
        <v>2</v>
      </c>
      <c r="E7193" t="str">
        <f>"1-315-2"</f>
        <v>1-315-2</v>
      </c>
      <c r="F7193" t="s">
        <v>83</v>
      </c>
      <c r="G7193" t="s">
        <v>86</v>
      </c>
      <c r="H7193" t="s">
        <v>87</v>
      </c>
      <c r="AC7193">
        <v>0</v>
      </c>
      <c r="AD7193">
        <v>0</v>
      </c>
      <c r="AE7193">
        <v>0</v>
      </c>
      <c r="AF7193">
        <v>0</v>
      </c>
      <c r="AH7193">
        <v>0</v>
      </c>
      <c r="AI7193">
        <v>1</v>
      </c>
      <c r="AJ7193">
        <v>1</v>
      </c>
      <c r="AK7193">
        <v>0</v>
      </c>
      <c r="AL7193">
        <v>0</v>
      </c>
      <c r="AM7193">
        <v>0</v>
      </c>
      <c r="AN7193">
        <v>1</v>
      </c>
      <c r="AO7193">
        <v>0</v>
      </c>
      <c r="AP7193">
        <v>0</v>
      </c>
      <c r="AQ7193">
        <v>0</v>
      </c>
      <c r="AU7193">
        <v>0</v>
      </c>
      <c r="AV7193">
        <v>0</v>
      </c>
      <c r="AW7193">
        <v>0</v>
      </c>
    </row>
    <row r="7194" spans="1:49" x14ac:dyDescent="0.25">
      <c r="A7194" t="str">
        <f>"7190"</f>
        <v>7190</v>
      </c>
      <c r="B7194" t="str">
        <f t="shared" si="416"/>
        <v>1</v>
      </c>
      <c r="C7194" t="str">
        <f t="shared" si="418"/>
        <v>315</v>
      </c>
      <c r="D7194" t="str">
        <f>"17"</f>
        <v>17</v>
      </c>
      <c r="E7194" t="str">
        <f>"1-315-17"</f>
        <v>1-315-17</v>
      </c>
      <c r="F7194" t="s">
        <v>83</v>
      </c>
      <c r="G7194" t="s">
        <v>86</v>
      </c>
      <c r="H7194" t="s">
        <v>87</v>
      </c>
      <c r="AC7194">
        <v>0</v>
      </c>
      <c r="AD7194">
        <v>0</v>
      </c>
      <c r="AE7194">
        <v>0</v>
      </c>
      <c r="AF7194">
        <v>0</v>
      </c>
      <c r="AH7194">
        <v>0</v>
      </c>
      <c r="AI7194">
        <v>1</v>
      </c>
      <c r="AJ7194">
        <v>0</v>
      </c>
      <c r="AK7194">
        <v>0</v>
      </c>
      <c r="AL7194">
        <v>0</v>
      </c>
      <c r="AM7194">
        <v>0</v>
      </c>
      <c r="AN7194">
        <v>1</v>
      </c>
      <c r="AO7194">
        <v>0</v>
      </c>
      <c r="AP7194">
        <v>0</v>
      </c>
      <c r="AQ7194">
        <v>0</v>
      </c>
      <c r="AU7194">
        <v>0</v>
      </c>
      <c r="AV7194">
        <v>0</v>
      </c>
      <c r="AW7194">
        <v>0</v>
      </c>
    </row>
    <row r="7195" spans="1:49" x14ac:dyDescent="0.25">
      <c r="A7195" t="str">
        <f>"7191"</f>
        <v>7191</v>
      </c>
      <c r="B7195" t="str">
        <f t="shared" si="416"/>
        <v>1</v>
      </c>
      <c r="C7195" t="str">
        <f t="shared" si="418"/>
        <v>315</v>
      </c>
      <c r="D7195" t="str">
        <f>"6"</f>
        <v>6</v>
      </c>
      <c r="E7195" t="str">
        <f>"1-315-6"</f>
        <v>1-315-6</v>
      </c>
      <c r="F7195" t="s">
        <v>83</v>
      </c>
      <c r="G7195" t="s">
        <v>86</v>
      </c>
      <c r="H7195" t="s">
        <v>87</v>
      </c>
      <c r="AC7195">
        <v>0</v>
      </c>
      <c r="AD7195">
        <v>1</v>
      </c>
      <c r="AE7195">
        <v>0</v>
      </c>
      <c r="AF7195">
        <v>0</v>
      </c>
      <c r="AH7195">
        <v>0</v>
      </c>
      <c r="AI7195">
        <v>1</v>
      </c>
      <c r="AJ7195">
        <v>1</v>
      </c>
      <c r="AK7195">
        <v>0</v>
      </c>
      <c r="AL7195">
        <v>0</v>
      </c>
      <c r="AM7195">
        <v>0</v>
      </c>
      <c r="AN7195">
        <v>1</v>
      </c>
      <c r="AO7195">
        <v>0</v>
      </c>
      <c r="AP7195">
        <v>0</v>
      </c>
      <c r="AQ7195">
        <v>0</v>
      </c>
      <c r="AU7195">
        <v>0</v>
      </c>
      <c r="AV7195">
        <v>0</v>
      </c>
      <c r="AW7195">
        <v>0</v>
      </c>
    </row>
    <row r="7196" spans="1:49" x14ac:dyDescent="0.25">
      <c r="A7196" t="str">
        <f>"7192"</f>
        <v>7192</v>
      </c>
      <c r="B7196" t="str">
        <f t="shared" si="416"/>
        <v>1</v>
      </c>
      <c r="C7196" t="str">
        <f t="shared" si="418"/>
        <v>315</v>
      </c>
      <c r="D7196" t="str">
        <f>"18"</f>
        <v>18</v>
      </c>
      <c r="E7196" t="str">
        <f>"1-315-18"</f>
        <v>1-315-18</v>
      </c>
      <c r="F7196" t="s">
        <v>83</v>
      </c>
      <c r="G7196" t="s">
        <v>86</v>
      </c>
      <c r="H7196" t="s">
        <v>93</v>
      </c>
      <c r="I7196">
        <v>1</v>
      </c>
      <c r="K7196">
        <v>1</v>
      </c>
      <c r="L7196">
        <v>0</v>
      </c>
      <c r="M7196">
        <v>0</v>
      </c>
      <c r="N7196">
        <v>1</v>
      </c>
      <c r="O7196">
        <v>1</v>
      </c>
      <c r="P7196">
        <v>1</v>
      </c>
      <c r="Q7196">
        <v>1</v>
      </c>
      <c r="R7196">
        <v>1</v>
      </c>
      <c r="U7196">
        <v>0</v>
      </c>
      <c r="V7196">
        <v>1</v>
      </c>
      <c r="W7196">
        <v>1</v>
      </c>
      <c r="X7196">
        <v>1</v>
      </c>
      <c r="Y7196">
        <v>1</v>
      </c>
      <c r="Z7196">
        <v>1</v>
      </c>
      <c r="AA7196">
        <v>1</v>
      </c>
      <c r="AB7196">
        <v>1</v>
      </c>
    </row>
    <row r="7197" spans="1:49" x14ac:dyDescent="0.25">
      <c r="A7197" t="str">
        <f>"7193"</f>
        <v>7193</v>
      </c>
      <c r="B7197" t="str">
        <f t="shared" si="416"/>
        <v>1</v>
      </c>
      <c r="C7197" t="str">
        <f t="shared" si="418"/>
        <v>315</v>
      </c>
      <c r="D7197" t="str">
        <f>"7"</f>
        <v>7</v>
      </c>
      <c r="E7197" t="str">
        <f>"1-315-7"</f>
        <v>1-315-7</v>
      </c>
      <c r="F7197" t="s">
        <v>83</v>
      </c>
      <c r="G7197" t="s">
        <v>86</v>
      </c>
      <c r="H7197" t="s">
        <v>87</v>
      </c>
      <c r="AC7197">
        <v>0</v>
      </c>
      <c r="AD7197">
        <v>0</v>
      </c>
      <c r="AE7197">
        <v>0</v>
      </c>
      <c r="AF7197">
        <v>0</v>
      </c>
      <c r="AH7197">
        <v>0</v>
      </c>
      <c r="AI7197">
        <v>1</v>
      </c>
      <c r="AJ7197">
        <v>0</v>
      </c>
      <c r="AK7197">
        <v>0</v>
      </c>
      <c r="AL7197">
        <v>0</v>
      </c>
      <c r="AM7197">
        <v>0</v>
      </c>
      <c r="AN7197">
        <v>1</v>
      </c>
      <c r="AO7197">
        <v>0</v>
      </c>
      <c r="AP7197">
        <v>0</v>
      </c>
      <c r="AQ7197">
        <v>0</v>
      </c>
      <c r="AU7197">
        <v>0</v>
      </c>
      <c r="AV7197">
        <v>0</v>
      </c>
      <c r="AW7197">
        <v>0</v>
      </c>
    </row>
    <row r="7198" spans="1:49" x14ac:dyDescent="0.25">
      <c r="A7198" t="str">
        <f>"7194"</f>
        <v>7194</v>
      </c>
      <c r="B7198" t="str">
        <f t="shared" ref="B7198:B7261" si="419">"1"</f>
        <v>1</v>
      </c>
      <c r="C7198" t="str">
        <f t="shared" si="418"/>
        <v>315</v>
      </c>
      <c r="D7198" t="str">
        <f>"19"</f>
        <v>19</v>
      </c>
      <c r="E7198" t="str">
        <f>"1-315-19"</f>
        <v>1-315-19</v>
      </c>
      <c r="F7198" t="s">
        <v>83</v>
      </c>
      <c r="G7198" t="s">
        <v>86</v>
      </c>
      <c r="H7198" t="s">
        <v>87</v>
      </c>
      <c r="AC7198">
        <v>0</v>
      </c>
      <c r="AD7198">
        <v>1</v>
      </c>
      <c r="AE7198">
        <v>0</v>
      </c>
      <c r="AF7198">
        <v>0</v>
      </c>
      <c r="AH7198">
        <v>0</v>
      </c>
      <c r="AI7198">
        <v>1</v>
      </c>
      <c r="AJ7198">
        <v>0</v>
      </c>
      <c r="AK7198">
        <v>1</v>
      </c>
      <c r="AL7198">
        <v>0</v>
      </c>
      <c r="AM7198">
        <v>0</v>
      </c>
      <c r="AN7198">
        <v>1</v>
      </c>
      <c r="AO7198">
        <v>0</v>
      </c>
      <c r="AP7198">
        <v>0</v>
      </c>
      <c r="AQ7198">
        <v>0</v>
      </c>
      <c r="AU7198">
        <v>0</v>
      </c>
      <c r="AV7198">
        <v>0</v>
      </c>
      <c r="AW7198">
        <v>0</v>
      </c>
    </row>
    <row r="7199" spans="1:49" x14ac:dyDescent="0.25">
      <c r="A7199" t="str">
        <f>"7195"</f>
        <v>7195</v>
      </c>
      <c r="B7199" t="str">
        <f t="shared" si="419"/>
        <v>1</v>
      </c>
      <c r="C7199" t="str">
        <f t="shared" si="418"/>
        <v>315</v>
      </c>
      <c r="D7199" t="str">
        <f>"3"</f>
        <v>3</v>
      </c>
      <c r="E7199" t="str">
        <f>"1-315-3"</f>
        <v>1-315-3</v>
      </c>
      <c r="F7199" t="s">
        <v>83</v>
      </c>
      <c r="G7199" t="s">
        <v>86</v>
      </c>
      <c r="H7199" t="s">
        <v>87</v>
      </c>
      <c r="AC7199">
        <v>0</v>
      </c>
      <c r="AD7199">
        <v>0</v>
      </c>
      <c r="AE7199">
        <v>0</v>
      </c>
      <c r="AF7199">
        <v>0</v>
      </c>
      <c r="AH7199">
        <v>0</v>
      </c>
      <c r="AI7199">
        <v>1</v>
      </c>
      <c r="AJ7199">
        <v>0</v>
      </c>
      <c r="AK7199">
        <v>0</v>
      </c>
      <c r="AL7199">
        <v>0</v>
      </c>
      <c r="AM7199">
        <v>0</v>
      </c>
      <c r="AN7199">
        <v>0</v>
      </c>
      <c r="AO7199">
        <v>0</v>
      </c>
      <c r="AP7199">
        <v>0</v>
      </c>
      <c r="AQ7199">
        <v>0</v>
      </c>
      <c r="AU7199">
        <v>0</v>
      </c>
      <c r="AV7199">
        <v>0</v>
      </c>
      <c r="AW7199">
        <v>0</v>
      </c>
    </row>
    <row r="7200" spans="1:49" x14ac:dyDescent="0.25">
      <c r="A7200" t="str">
        <f>"7196"</f>
        <v>7196</v>
      </c>
      <c r="B7200" t="str">
        <f t="shared" si="419"/>
        <v>1</v>
      </c>
      <c r="C7200" t="str">
        <f t="shared" si="418"/>
        <v>315</v>
      </c>
      <c r="D7200" t="str">
        <f>"16"</f>
        <v>16</v>
      </c>
      <c r="E7200" t="str">
        <f>"1-315-16"</f>
        <v>1-315-16</v>
      </c>
      <c r="F7200" t="s">
        <v>83</v>
      </c>
      <c r="G7200" t="s">
        <v>86</v>
      </c>
      <c r="H7200" t="s">
        <v>87</v>
      </c>
      <c r="AC7200">
        <v>0</v>
      </c>
      <c r="AD7200">
        <v>0</v>
      </c>
      <c r="AE7200">
        <v>0</v>
      </c>
      <c r="AF7200">
        <v>0</v>
      </c>
      <c r="AH7200">
        <v>0</v>
      </c>
      <c r="AI7200">
        <v>1</v>
      </c>
      <c r="AJ7200">
        <v>0</v>
      </c>
      <c r="AK7200">
        <v>1</v>
      </c>
      <c r="AL7200">
        <v>0</v>
      </c>
      <c r="AM7200">
        <v>0</v>
      </c>
      <c r="AN7200">
        <v>1</v>
      </c>
      <c r="AO7200">
        <v>0</v>
      </c>
      <c r="AP7200">
        <v>0</v>
      </c>
      <c r="AQ7200">
        <v>0</v>
      </c>
      <c r="AU7200">
        <v>0</v>
      </c>
      <c r="AV7200">
        <v>0</v>
      </c>
      <c r="AW7200">
        <v>0</v>
      </c>
    </row>
    <row r="7201" spans="1:49" x14ac:dyDescent="0.25">
      <c r="A7201" t="str">
        <f>"7197"</f>
        <v>7197</v>
      </c>
      <c r="B7201" t="str">
        <f t="shared" si="419"/>
        <v>1</v>
      </c>
      <c r="C7201" t="str">
        <f t="shared" si="418"/>
        <v>315</v>
      </c>
      <c r="D7201" t="str">
        <f>"5"</f>
        <v>5</v>
      </c>
      <c r="E7201" t="str">
        <f>"1-315-5"</f>
        <v>1-315-5</v>
      </c>
      <c r="F7201" t="s">
        <v>83</v>
      </c>
      <c r="G7201" t="s">
        <v>86</v>
      </c>
      <c r="H7201" t="s">
        <v>87</v>
      </c>
      <c r="AC7201">
        <v>0</v>
      </c>
      <c r="AD7201">
        <v>0</v>
      </c>
      <c r="AE7201">
        <v>0</v>
      </c>
      <c r="AF7201">
        <v>0</v>
      </c>
      <c r="AH7201">
        <v>0</v>
      </c>
      <c r="AI7201">
        <v>1</v>
      </c>
      <c r="AJ7201">
        <v>1</v>
      </c>
      <c r="AK7201">
        <v>0</v>
      </c>
      <c r="AL7201">
        <v>0</v>
      </c>
      <c r="AM7201">
        <v>0</v>
      </c>
      <c r="AN7201">
        <v>1</v>
      </c>
      <c r="AO7201">
        <v>0</v>
      </c>
      <c r="AP7201">
        <v>0</v>
      </c>
      <c r="AQ7201">
        <v>0</v>
      </c>
      <c r="AU7201">
        <v>1</v>
      </c>
      <c r="AV7201">
        <v>0</v>
      </c>
      <c r="AW7201">
        <v>0</v>
      </c>
    </row>
    <row r="7202" spans="1:49" x14ac:dyDescent="0.25">
      <c r="A7202" t="str">
        <f>"7198"</f>
        <v>7198</v>
      </c>
      <c r="B7202" t="str">
        <f t="shared" si="419"/>
        <v>1</v>
      </c>
      <c r="C7202" t="str">
        <f t="shared" si="418"/>
        <v>315</v>
      </c>
      <c r="D7202" t="str">
        <f>"22"</f>
        <v>22</v>
      </c>
      <c r="E7202" t="str">
        <f>"1-315-22"</f>
        <v>1-315-22</v>
      </c>
      <c r="F7202" t="s">
        <v>83</v>
      </c>
      <c r="G7202" t="s">
        <v>86</v>
      </c>
      <c r="H7202" t="s">
        <v>87</v>
      </c>
      <c r="AC7202">
        <v>1</v>
      </c>
      <c r="AD7202">
        <v>0</v>
      </c>
      <c r="AE7202">
        <v>0</v>
      </c>
      <c r="AF7202">
        <v>0</v>
      </c>
      <c r="AH7202">
        <v>0</v>
      </c>
      <c r="AI7202">
        <v>1</v>
      </c>
      <c r="AJ7202">
        <v>0</v>
      </c>
      <c r="AK7202">
        <v>1</v>
      </c>
      <c r="AL7202">
        <v>0</v>
      </c>
      <c r="AM7202">
        <v>0</v>
      </c>
      <c r="AN7202">
        <v>1</v>
      </c>
      <c r="AO7202">
        <v>1</v>
      </c>
      <c r="AP7202">
        <v>1</v>
      </c>
      <c r="AQ7202">
        <v>1</v>
      </c>
      <c r="AU7202">
        <v>1</v>
      </c>
      <c r="AV7202">
        <v>1</v>
      </c>
      <c r="AW7202">
        <v>1</v>
      </c>
    </row>
    <row r="7203" spans="1:49" x14ac:dyDescent="0.25">
      <c r="A7203" t="str">
        <f>"7199"</f>
        <v>7199</v>
      </c>
      <c r="B7203" t="str">
        <f t="shared" si="419"/>
        <v>1</v>
      </c>
      <c r="C7203" t="str">
        <f t="shared" ref="C7203:C7227" si="420">"316"</f>
        <v>316</v>
      </c>
      <c r="D7203" t="str">
        <f>"21"</f>
        <v>21</v>
      </c>
      <c r="E7203" t="str">
        <f>"1-316-21"</f>
        <v>1-316-21</v>
      </c>
      <c r="F7203" t="s">
        <v>83</v>
      </c>
      <c r="G7203" t="s">
        <v>86</v>
      </c>
      <c r="H7203" t="s">
        <v>87</v>
      </c>
      <c r="AC7203">
        <v>0</v>
      </c>
      <c r="AD7203">
        <v>0</v>
      </c>
      <c r="AE7203">
        <v>0</v>
      </c>
      <c r="AF7203">
        <v>0</v>
      </c>
      <c r="AH7203">
        <v>0</v>
      </c>
      <c r="AI7203">
        <v>1</v>
      </c>
      <c r="AJ7203">
        <v>0</v>
      </c>
      <c r="AK7203">
        <v>0</v>
      </c>
      <c r="AL7203">
        <v>0</v>
      </c>
      <c r="AM7203">
        <v>0</v>
      </c>
      <c r="AN7203">
        <v>0</v>
      </c>
      <c r="AO7203">
        <v>0</v>
      </c>
      <c r="AP7203">
        <v>0</v>
      </c>
      <c r="AQ7203">
        <v>0</v>
      </c>
      <c r="AU7203">
        <v>0</v>
      </c>
      <c r="AV7203">
        <v>0</v>
      </c>
      <c r="AW7203">
        <v>0</v>
      </c>
    </row>
    <row r="7204" spans="1:49" x14ac:dyDescent="0.25">
      <c r="A7204" t="str">
        <f>"7200"</f>
        <v>7200</v>
      </c>
      <c r="B7204" t="str">
        <f t="shared" si="419"/>
        <v>1</v>
      </c>
      <c r="C7204" t="str">
        <f t="shared" si="420"/>
        <v>316</v>
      </c>
      <c r="D7204" t="str">
        <f>"20"</f>
        <v>20</v>
      </c>
      <c r="E7204" t="str">
        <f>"1-316-20"</f>
        <v>1-316-20</v>
      </c>
      <c r="F7204" t="s">
        <v>83</v>
      </c>
      <c r="G7204" t="s">
        <v>86</v>
      </c>
      <c r="H7204" t="s">
        <v>93</v>
      </c>
      <c r="I7204">
        <v>1</v>
      </c>
      <c r="K7204">
        <v>1</v>
      </c>
      <c r="L7204">
        <v>0</v>
      </c>
      <c r="M7204">
        <v>0</v>
      </c>
      <c r="N7204">
        <v>1</v>
      </c>
      <c r="O7204">
        <v>1</v>
      </c>
      <c r="P7204">
        <v>1</v>
      </c>
      <c r="Q7204">
        <v>1</v>
      </c>
      <c r="R7204">
        <v>1</v>
      </c>
      <c r="U7204">
        <v>0</v>
      </c>
      <c r="V7204">
        <v>1</v>
      </c>
      <c r="W7204">
        <v>1</v>
      </c>
      <c r="X7204">
        <v>1</v>
      </c>
      <c r="Y7204">
        <v>1</v>
      </c>
      <c r="Z7204">
        <v>1</v>
      </c>
      <c r="AA7204">
        <v>1</v>
      </c>
      <c r="AB7204">
        <v>1</v>
      </c>
    </row>
    <row r="7205" spans="1:49" x14ac:dyDescent="0.25">
      <c r="A7205" t="str">
        <f>"7201"</f>
        <v>7201</v>
      </c>
      <c r="B7205" t="str">
        <f t="shared" si="419"/>
        <v>1</v>
      </c>
      <c r="C7205" t="str">
        <f t="shared" si="420"/>
        <v>316</v>
      </c>
      <c r="D7205" t="str">
        <f>"13"</f>
        <v>13</v>
      </c>
      <c r="E7205" t="str">
        <f>"1-316-13"</f>
        <v>1-316-13</v>
      </c>
      <c r="F7205" t="s">
        <v>83</v>
      </c>
      <c r="G7205" t="s">
        <v>86</v>
      </c>
      <c r="H7205" t="s">
        <v>87</v>
      </c>
      <c r="AC7205">
        <v>0</v>
      </c>
      <c r="AD7205">
        <v>0</v>
      </c>
      <c r="AE7205">
        <v>0</v>
      </c>
      <c r="AF7205">
        <v>0</v>
      </c>
      <c r="AH7205">
        <v>0</v>
      </c>
      <c r="AI7205">
        <v>1</v>
      </c>
      <c r="AJ7205">
        <v>0</v>
      </c>
      <c r="AK7205">
        <v>0</v>
      </c>
      <c r="AL7205">
        <v>0</v>
      </c>
      <c r="AM7205">
        <v>0</v>
      </c>
      <c r="AN7205">
        <v>0</v>
      </c>
      <c r="AO7205">
        <v>0</v>
      </c>
      <c r="AP7205">
        <v>0</v>
      </c>
      <c r="AQ7205">
        <v>0</v>
      </c>
      <c r="AU7205">
        <v>0</v>
      </c>
      <c r="AV7205">
        <v>0</v>
      </c>
      <c r="AW7205">
        <v>0</v>
      </c>
    </row>
    <row r="7206" spans="1:49" x14ac:dyDescent="0.25">
      <c r="A7206" t="str">
        <f>"7202"</f>
        <v>7202</v>
      </c>
      <c r="B7206" t="str">
        <f t="shared" si="419"/>
        <v>1</v>
      </c>
      <c r="C7206" t="str">
        <f t="shared" si="420"/>
        <v>316</v>
      </c>
      <c r="D7206" t="str">
        <f>"8"</f>
        <v>8</v>
      </c>
      <c r="E7206" t="str">
        <f>"1-316-8"</f>
        <v>1-316-8</v>
      </c>
      <c r="F7206" t="s">
        <v>83</v>
      </c>
      <c r="G7206" t="s">
        <v>86</v>
      </c>
      <c r="H7206" t="s">
        <v>87</v>
      </c>
      <c r="AC7206">
        <v>0</v>
      </c>
      <c r="AD7206">
        <v>1</v>
      </c>
      <c r="AE7206">
        <v>0</v>
      </c>
      <c r="AF7206">
        <v>0</v>
      </c>
      <c r="AH7206">
        <v>0</v>
      </c>
      <c r="AI7206">
        <v>1</v>
      </c>
      <c r="AJ7206">
        <v>0</v>
      </c>
      <c r="AK7206">
        <v>1</v>
      </c>
      <c r="AL7206">
        <v>0</v>
      </c>
      <c r="AM7206">
        <v>0</v>
      </c>
      <c r="AN7206">
        <v>1</v>
      </c>
      <c r="AO7206">
        <v>0</v>
      </c>
      <c r="AP7206">
        <v>0</v>
      </c>
      <c r="AQ7206">
        <v>0</v>
      </c>
      <c r="AU7206">
        <v>0</v>
      </c>
      <c r="AV7206">
        <v>0</v>
      </c>
      <c r="AW7206">
        <v>0</v>
      </c>
    </row>
    <row r="7207" spans="1:49" x14ac:dyDescent="0.25">
      <c r="A7207" t="str">
        <f>"7203"</f>
        <v>7203</v>
      </c>
      <c r="B7207" t="str">
        <f t="shared" si="419"/>
        <v>1</v>
      </c>
      <c r="C7207" t="str">
        <f t="shared" si="420"/>
        <v>316</v>
      </c>
      <c r="D7207" t="str">
        <f>"3"</f>
        <v>3</v>
      </c>
      <c r="E7207" t="str">
        <f>"1-316-3"</f>
        <v>1-316-3</v>
      </c>
      <c r="F7207" t="s">
        <v>83</v>
      </c>
      <c r="G7207" t="s">
        <v>86</v>
      </c>
      <c r="H7207" t="s">
        <v>87</v>
      </c>
      <c r="AC7207">
        <v>0</v>
      </c>
      <c r="AD7207">
        <v>1</v>
      </c>
      <c r="AE7207">
        <v>0</v>
      </c>
      <c r="AF7207">
        <v>0</v>
      </c>
      <c r="AH7207">
        <v>0</v>
      </c>
      <c r="AI7207">
        <v>1</v>
      </c>
      <c r="AJ7207">
        <v>0</v>
      </c>
      <c r="AK7207">
        <v>1</v>
      </c>
      <c r="AL7207">
        <v>0</v>
      </c>
      <c r="AM7207">
        <v>0</v>
      </c>
      <c r="AN7207">
        <v>1</v>
      </c>
      <c r="AO7207">
        <v>1</v>
      </c>
      <c r="AP7207">
        <v>1</v>
      </c>
      <c r="AQ7207">
        <v>1</v>
      </c>
      <c r="AU7207">
        <v>1</v>
      </c>
      <c r="AV7207">
        <v>1</v>
      </c>
      <c r="AW7207">
        <v>1</v>
      </c>
    </row>
    <row r="7208" spans="1:49" x14ac:dyDescent="0.25">
      <c r="A7208" t="str">
        <f>"7204"</f>
        <v>7204</v>
      </c>
      <c r="B7208" t="str">
        <f t="shared" si="419"/>
        <v>1</v>
      </c>
      <c r="C7208" t="str">
        <f t="shared" si="420"/>
        <v>316</v>
      </c>
      <c r="D7208" t="str">
        <f>"23"</f>
        <v>23</v>
      </c>
      <c r="E7208" t="str">
        <f>"1-316-23"</f>
        <v>1-316-23</v>
      </c>
      <c r="F7208" t="s">
        <v>83</v>
      </c>
      <c r="G7208" t="s">
        <v>86</v>
      </c>
      <c r="H7208" t="s">
        <v>87</v>
      </c>
      <c r="AC7208">
        <v>1</v>
      </c>
      <c r="AD7208">
        <v>0</v>
      </c>
      <c r="AE7208">
        <v>0</v>
      </c>
      <c r="AF7208">
        <v>0</v>
      </c>
      <c r="AH7208">
        <v>1</v>
      </c>
      <c r="AI7208">
        <v>0</v>
      </c>
      <c r="AJ7208">
        <v>1</v>
      </c>
      <c r="AK7208">
        <v>0</v>
      </c>
      <c r="AL7208">
        <v>1</v>
      </c>
      <c r="AM7208">
        <v>0</v>
      </c>
      <c r="AN7208">
        <v>0</v>
      </c>
      <c r="AO7208">
        <v>0</v>
      </c>
      <c r="AP7208">
        <v>1</v>
      </c>
      <c r="AQ7208">
        <v>1</v>
      </c>
      <c r="AU7208">
        <v>1</v>
      </c>
      <c r="AV7208">
        <v>0</v>
      </c>
      <c r="AW7208">
        <v>0</v>
      </c>
    </row>
    <row r="7209" spans="1:49" x14ac:dyDescent="0.25">
      <c r="A7209" t="str">
        <f>"7205"</f>
        <v>7205</v>
      </c>
      <c r="B7209" t="str">
        <f t="shared" si="419"/>
        <v>1</v>
      </c>
      <c r="C7209" t="str">
        <f t="shared" si="420"/>
        <v>316</v>
      </c>
      <c r="D7209" t="str">
        <f>"22"</f>
        <v>22</v>
      </c>
      <c r="E7209" t="str">
        <f>"1-316-22"</f>
        <v>1-316-22</v>
      </c>
      <c r="F7209" t="s">
        <v>83</v>
      </c>
      <c r="G7209" t="s">
        <v>86</v>
      </c>
      <c r="H7209" t="s">
        <v>87</v>
      </c>
      <c r="AC7209">
        <v>1</v>
      </c>
      <c r="AD7209">
        <v>0</v>
      </c>
      <c r="AE7209">
        <v>0</v>
      </c>
      <c r="AF7209">
        <v>0</v>
      </c>
      <c r="AH7209">
        <v>0</v>
      </c>
      <c r="AI7209">
        <v>1</v>
      </c>
      <c r="AJ7209">
        <v>1</v>
      </c>
      <c r="AK7209">
        <v>0</v>
      </c>
      <c r="AL7209">
        <v>1</v>
      </c>
      <c r="AM7209">
        <v>0</v>
      </c>
      <c r="AN7209">
        <v>0</v>
      </c>
      <c r="AO7209">
        <v>0</v>
      </c>
      <c r="AP7209">
        <v>0</v>
      </c>
      <c r="AQ7209">
        <v>0</v>
      </c>
      <c r="AU7209">
        <v>0</v>
      </c>
      <c r="AV7209">
        <v>0</v>
      </c>
      <c r="AW7209">
        <v>0</v>
      </c>
    </row>
    <row r="7210" spans="1:49" x14ac:dyDescent="0.25">
      <c r="A7210" t="str">
        <f>"7206"</f>
        <v>7206</v>
      </c>
      <c r="B7210" t="str">
        <f t="shared" si="419"/>
        <v>1</v>
      </c>
      <c r="C7210" t="str">
        <f t="shared" si="420"/>
        <v>316</v>
      </c>
      <c r="D7210" t="str">
        <f>"14"</f>
        <v>14</v>
      </c>
      <c r="E7210" t="str">
        <f>"1-316-14"</f>
        <v>1-316-14</v>
      </c>
      <c r="F7210" t="s">
        <v>83</v>
      </c>
      <c r="G7210" t="s">
        <v>86</v>
      </c>
      <c r="H7210" t="s">
        <v>87</v>
      </c>
      <c r="AC7210">
        <v>1</v>
      </c>
      <c r="AD7210">
        <v>0</v>
      </c>
      <c r="AE7210">
        <v>0</v>
      </c>
      <c r="AF7210">
        <v>0</v>
      </c>
      <c r="AH7210">
        <v>0</v>
      </c>
      <c r="AI7210">
        <v>1</v>
      </c>
      <c r="AJ7210">
        <v>0</v>
      </c>
      <c r="AK7210">
        <v>1</v>
      </c>
      <c r="AL7210">
        <v>0</v>
      </c>
      <c r="AM7210">
        <v>0</v>
      </c>
      <c r="AN7210">
        <v>1</v>
      </c>
      <c r="AO7210">
        <v>0</v>
      </c>
      <c r="AP7210">
        <v>0</v>
      </c>
      <c r="AQ7210">
        <v>0</v>
      </c>
      <c r="AU7210">
        <v>0</v>
      </c>
      <c r="AV7210">
        <v>0</v>
      </c>
      <c r="AW7210">
        <v>0</v>
      </c>
    </row>
    <row r="7211" spans="1:49" x14ac:dyDescent="0.25">
      <c r="A7211" t="str">
        <f>"7207"</f>
        <v>7207</v>
      </c>
      <c r="B7211" t="str">
        <f t="shared" si="419"/>
        <v>1</v>
      </c>
      <c r="C7211" t="str">
        <f t="shared" si="420"/>
        <v>316</v>
      </c>
      <c r="D7211" t="str">
        <f>"6"</f>
        <v>6</v>
      </c>
      <c r="E7211" t="str">
        <f>"1-316-6"</f>
        <v>1-316-6</v>
      </c>
      <c r="F7211" t="s">
        <v>83</v>
      </c>
      <c r="G7211" t="s">
        <v>86</v>
      </c>
      <c r="H7211" t="s">
        <v>87</v>
      </c>
      <c r="AC7211">
        <v>0</v>
      </c>
      <c r="AD7211">
        <v>1</v>
      </c>
      <c r="AE7211">
        <v>0</v>
      </c>
      <c r="AF7211">
        <v>0</v>
      </c>
      <c r="AH7211">
        <v>1</v>
      </c>
      <c r="AI7211">
        <v>0</v>
      </c>
      <c r="AJ7211">
        <v>0</v>
      </c>
      <c r="AK7211">
        <v>1</v>
      </c>
      <c r="AL7211">
        <v>1</v>
      </c>
      <c r="AM7211">
        <v>0</v>
      </c>
      <c r="AN7211">
        <v>0</v>
      </c>
      <c r="AO7211">
        <v>1</v>
      </c>
      <c r="AP7211">
        <v>1</v>
      </c>
      <c r="AQ7211">
        <v>1</v>
      </c>
      <c r="AU7211">
        <v>1</v>
      </c>
      <c r="AV7211">
        <v>1</v>
      </c>
      <c r="AW7211">
        <v>1</v>
      </c>
    </row>
    <row r="7212" spans="1:49" x14ac:dyDescent="0.25">
      <c r="A7212" t="str">
        <f>"7208"</f>
        <v>7208</v>
      </c>
      <c r="B7212" t="str">
        <f t="shared" si="419"/>
        <v>1</v>
      </c>
      <c r="C7212" t="str">
        <f t="shared" si="420"/>
        <v>316</v>
      </c>
      <c r="D7212" t="str">
        <f>"17"</f>
        <v>17</v>
      </c>
      <c r="E7212" t="str">
        <f>"1-316-17"</f>
        <v>1-316-17</v>
      </c>
      <c r="F7212" t="s">
        <v>83</v>
      </c>
      <c r="G7212" t="s">
        <v>86</v>
      </c>
      <c r="H7212" t="s">
        <v>87</v>
      </c>
      <c r="AC7212">
        <v>0</v>
      </c>
      <c r="AD7212">
        <v>0</v>
      </c>
      <c r="AE7212">
        <v>0</v>
      </c>
      <c r="AF7212">
        <v>0</v>
      </c>
      <c r="AH7212">
        <v>0</v>
      </c>
      <c r="AI7212">
        <v>1</v>
      </c>
      <c r="AJ7212">
        <v>0</v>
      </c>
      <c r="AK7212">
        <v>0</v>
      </c>
      <c r="AL7212">
        <v>0</v>
      </c>
      <c r="AM7212">
        <v>0</v>
      </c>
      <c r="AN7212">
        <v>0</v>
      </c>
      <c r="AO7212">
        <v>0</v>
      </c>
      <c r="AP7212">
        <v>0</v>
      </c>
      <c r="AQ7212">
        <v>0</v>
      </c>
      <c r="AU7212">
        <v>0</v>
      </c>
      <c r="AV7212">
        <v>0</v>
      </c>
      <c r="AW7212">
        <v>0</v>
      </c>
    </row>
    <row r="7213" spans="1:49" x14ac:dyDescent="0.25">
      <c r="A7213" t="str">
        <f>"7209"</f>
        <v>7209</v>
      </c>
      <c r="B7213" t="str">
        <f t="shared" si="419"/>
        <v>1</v>
      </c>
      <c r="C7213" t="str">
        <f t="shared" si="420"/>
        <v>316</v>
      </c>
      <c r="D7213" t="str">
        <f>"10"</f>
        <v>10</v>
      </c>
      <c r="E7213" t="str">
        <f>"1-316-10"</f>
        <v>1-316-10</v>
      </c>
      <c r="F7213" t="s">
        <v>83</v>
      </c>
      <c r="G7213" t="s">
        <v>86</v>
      </c>
      <c r="H7213" t="s">
        <v>87</v>
      </c>
      <c r="AC7213">
        <v>0</v>
      </c>
      <c r="AD7213">
        <v>1</v>
      </c>
      <c r="AE7213">
        <v>0</v>
      </c>
      <c r="AF7213">
        <v>0</v>
      </c>
      <c r="AH7213">
        <v>0</v>
      </c>
      <c r="AI7213">
        <v>1</v>
      </c>
      <c r="AJ7213">
        <v>0</v>
      </c>
      <c r="AK7213">
        <v>1</v>
      </c>
      <c r="AL7213">
        <v>0</v>
      </c>
      <c r="AM7213">
        <v>1</v>
      </c>
      <c r="AN7213">
        <v>0</v>
      </c>
      <c r="AO7213">
        <v>0</v>
      </c>
      <c r="AP7213">
        <v>0</v>
      </c>
      <c r="AQ7213">
        <v>0</v>
      </c>
      <c r="AU7213">
        <v>0</v>
      </c>
      <c r="AV7213">
        <v>0</v>
      </c>
      <c r="AW7213">
        <v>0</v>
      </c>
    </row>
    <row r="7214" spans="1:49" x14ac:dyDescent="0.25">
      <c r="A7214" t="str">
        <f>"7210"</f>
        <v>7210</v>
      </c>
      <c r="B7214" t="str">
        <f t="shared" si="419"/>
        <v>1</v>
      </c>
      <c r="C7214" t="str">
        <f t="shared" si="420"/>
        <v>316</v>
      </c>
      <c r="D7214" t="str">
        <f>"1"</f>
        <v>1</v>
      </c>
      <c r="E7214" t="str">
        <f>"1-316-1"</f>
        <v>1-316-1</v>
      </c>
      <c r="F7214" t="s">
        <v>83</v>
      </c>
      <c r="G7214" t="s">
        <v>86</v>
      </c>
      <c r="H7214" t="s">
        <v>87</v>
      </c>
      <c r="AC7214">
        <v>0</v>
      </c>
      <c r="AD7214">
        <v>1</v>
      </c>
      <c r="AE7214">
        <v>0</v>
      </c>
      <c r="AF7214">
        <v>0</v>
      </c>
      <c r="AH7214">
        <v>0</v>
      </c>
      <c r="AI7214">
        <v>1</v>
      </c>
      <c r="AJ7214">
        <v>0</v>
      </c>
      <c r="AK7214">
        <v>0</v>
      </c>
      <c r="AL7214">
        <v>0</v>
      </c>
      <c r="AM7214">
        <v>0</v>
      </c>
      <c r="AN7214">
        <v>0</v>
      </c>
      <c r="AO7214">
        <v>0</v>
      </c>
      <c r="AP7214">
        <v>0</v>
      </c>
      <c r="AQ7214">
        <v>0</v>
      </c>
      <c r="AU7214">
        <v>0</v>
      </c>
      <c r="AV7214">
        <v>0</v>
      </c>
      <c r="AW7214">
        <v>0</v>
      </c>
    </row>
    <row r="7215" spans="1:49" x14ac:dyDescent="0.25">
      <c r="A7215" t="str">
        <f>"7211"</f>
        <v>7211</v>
      </c>
      <c r="B7215" t="str">
        <f t="shared" si="419"/>
        <v>1</v>
      </c>
      <c r="C7215" t="str">
        <f t="shared" si="420"/>
        <v>316</v>
      </c>
      <c r="D7215" t="str">
        <f>"15"</f>
        <v>15</v>
      </c>
      <c r="E7215" t="str">
        <f>"1-316-15"</f>
        <v>1-316-15</v>
      </c>
      <c r="F7215" t="s">
        <v>83</v>
      </c>
      <c r="G7215" t="s">
        <v>86</v>
      </c>
      <c r="H7215" t="s">
        <v>93</v>
      </c>
      <c r="I7215">
        <v>1</v>
      </c>
      <c r="K7215">
        <v>0</v>
      </c>
      <c r="L7215">
        <v>0</v>
      </c>
      <c r="M7215">
        <v>1</v>
      </c>
      <c r="N7215">
        <v>1</v>
      </c>
      <c r="O7215">
        <v>1</v>
      </c>
      <c r="P7215">
        <v>1</v>
      </c>
      <c r="Q7215">
        <v>1</v>
      </c>
      <c r="R7215">
        <v>1</v>
      </c>
      <c r="U7215">
        <v>1</v>
      </c>
      <c r="V7215">
        <v>0</v>
      </c>
      <c r="W7215">
        <v>1</v>
      </c>
      <c r="X7215">
        <v>1</v>
      </c>
      <c r="Y7215">
        <v>1</v>
      </c>
      <c r="Z7215">
        <v>1</v>
      </c>
      <c r="AA7215">
        <v>1</v>
      </c>
      <c r="AB7215">
        <v>1</v>
      </c>
    </row>
    <row r="7216" spans="1:49" x14ac:dyDescent="0.25">
      <c r="A7216" t="str">
        <f>"7212"</f>
        <v>7212</v>
      </c>
      <c r="B7216" t="str">
        <f t="shared" si="419"/>
        <v>1</v>
      </c>
      <c r="C7216" t="str">
        <f t="shared" si="420"/>
        <v>316</v>
      </c>
      <c r="D7216" t="str">
        <f>"11"</f>
        <v>11</v>
      </c>
      <c r="E7216" t="str">
        <f>"1-316-11"</f>
        <v>1-316-11</v>
      </c>
      <c r="F7216" t="s">
        <v>83</v>
      </c>
      <c r="G7216" t="s">
        <v>86</v>
      </c>
      <c r="H7216" t="s">
        <v>87</v>
      </c>
      <c r="AC7216">
        <v>1</v>
      </c>
      <c r="AD7216">
        <v>0</v>
      </c>
      <c r="AE7216">
        <v>0</v>
      </c>
      <c r="AF7216">
        <v>0</v>
      </c>
      <c r="AH7216">
        <v>1</v>
      </c>
      <c r="AI7216">
        <v>0</v>
      </c>
      <c r="AJ7216">
        <v>0</v>
      </c>
      <c r="AK7216">
        <v>1</v>
      </c>
      <c r="AL7216">
        <v>0</v>
      </c>
      <c r="AM7216">
        <v>0</v>
      </c>
      <c r="AN7216">
        <v>1</v>
      </c>
      <c r="AO7216">
        <v>1</v>
      </c>
      <c r="AP7216">
        <v>1</v>
      </c>
      <c r="AQ7216">
        <v>1</v>
      </c>
      <c r="AU7216">
        <v>1</v>
      </c>
      <c r="AV7216">
        <v>1</v>
      </c>
      <c r="AW7216">
        <v>0</v>
      </c>
    </row>
    <row r="7217" spans="1:49" x14ac:dyDescent="0.25">
      <c r="A7217" t="str">
        <f>"7213"</f>
        <v>7213</v>
      </c>
      <c r="B7217" t="str">
        <f t="shared" si="419"/>
        <v>1</v>
      </c>
      <c r="C7217" t="str">
        <f t="shared" si="420"/>
        <v>316</v>
      </c>
      <c r="D7217" t="str">
        <f>"7"</f>
        <v>7</v>
      </c>
      <c r="E7217" t="str">
        <f>"1-316-7"</f>
        <v>1-316-7</v>
      </c>
      <c r="F7217" t="s">
        <v>83</v>
      </c>
      <c r="G7217" t="s">
        <v>86</v>
      </c>
      <c r="H7217" t="s">
        <v>87</v>
      </c>
      <c r="AC7217">
        <v>0</v>
      </c>
      <c r="AD7217">
        <v>1</v>
      </c>
      <c r="AE7217">
        <v>0</v>
      </c>
      <c r="AF7217">
        <v>0</v>
      </c>
      <c r="AH7217">
        <v>0</v>
      </c>
      <c r="AI7217">
        <v>1</v>
      </c>
      <c r="AJ7217">
        <v>0</v>
      </c>
      <c r="AK7217">
        <v>1</v>
      </c>
      <c r="AL7217">
        <v>0</v>
      </c>
      <c r="AM7217">
        <v>0</v>
      </c>
      <c r="AN7217">
        <v>1</v>
      </c>
      <c r="AO7217">
        <v>1</v>
      </c>
      <c r="AP7217">
        <v>1</v>
      </c>
      <c r="AQ7217">
        <v>1</v>
      </c>
      <c r="AU7217">
        <v>1</v>
      </c>
      <c r="AV7217">
        <v>1</v>
      </c>
      <c r="AW7217">
        <v>0</v>
      </c>
    </row>
    <row r="7218" spans="1:49" x14ac:dyDescent="0.25">
      <c r="A7218" t="str">
        <f>"7214"</f>
        <v>7214</v>
      </c>
      <c r="B7218" t="str">
        <f t="shared" si="419"/>
        <v>1</v>
      </c>
      <c r="C7218" t="str">
        <f t="shared" si="420"/>
        <v>316</v>
      </c>
      <c r="D7218" t="str">
        <f>"25"</f>
        <v>25</v>
      </c>
      <c r="E7218" t="str">
        <f>"1-316-25"</f>
        <v>1-316-25</v>
      </c>
      <c r="F7218" t="s">
        <v>83</v>
      </c>
      <c r="G7218" t="s">
        <v>86</v>
      </c>
      <c r="H7218" t="s">
        <v>87</v>
      </c>
      <c r="AC7218">
        <v>1</v>
      </c>
      <c r="AD7218">
        <v>0</v>
      </c>
      <c r="AE7218">
        <v>0</v>
      </c>
      <c r="AF7218">
        <v>0</v>
      </c>
      <c r="AH7218">
        <v>1</v>
      </c>
      <c r="AI7218">
        <v>0</v>
      </c>
      <c r="AJ7218">
        <v>1</v>
      </c>
      <c r="AK7218">
        <v>0</v>
      </c>
      <c r="AL7218">
        <v>1</v>
      </c>
      <c r="AM7218">
        <v>0</v>
      </c>
      <c r="AN7218">
        <v>0</v>
      </c>
      <c r="AO7218">
        <v>0</v>
      </c>
      <c r="AP7218">
        <v>0</v>
      </c>
      <c r="AQ7218">
        <v>0</v>
      </c>
      <c r="AU7218">
        <v>1</v>
      </c>
      <c r="AV7218">
        <v>0</v>
      </c>
      <c r="AW7218">
        <v>0</v>
      </c>
    </row>
    <row r="7219" spans="1:49" x14ac:dyDescent="0.25">
      <c r="A7219" t="str">
        <f>"7215"</f>
        <v>7215</v>
      </c>
      <c r="B7219" t="str">
        <f t="shared" si="419"/>
        <v>1</v>
      </c>
      <c r="C7219" t="str">
        <f t="shared" si="420"/>
        <v>316</v>
      </c>
      <c r="D7219" t="str">
        <f>"24"</f>
        <v>24</v>
      </c>
      <c r="E7219" t="str">
        <f>"1-316-24"</f>
        <v>1-316-24</v>
      </c>
      <c r="F7219" t="s">
        <v>83</v>
      </c>
      <c r="G7219" t="s">
        <v>86</v>
      </c>
      <c r="H7219" t="s">
        <v>87</v>
      </c>
      <c r="AC7219">
        <v>0</v>
      </c>
      <c r="AD7219">
        <v>0</v>
      </c>
      <c r="AE7219">
        <v>0</v>
      </c>
      <c r="AF7219">
        <v>0</v>
      </c>
      <c r="AH7219">
        <v>0</v>
      </c>
      <c r="AI7219">
        <v>1</v>
      </c>
      <c r="AJ7219">
        <v>0</v>
      </c>
      <c r="AK7219">
        <v>0</v>
      </c>
      <c r="AL7219">
        <v>0</v>
      </c>
      <c r="AM7219">
        <v>0</v>
      </c>
      <c r="AN7219">
        <v>0</v>
      </c>
      <c r="AO7219">
        <v>0</v>
      </c>
      <c r="AP7219">
        <v>0</v>
      </c>
      <c r="AQ7219">
        <v>0</v>
      </c>
      <c r="AU7219">
        <v>0</v>
      </c>
      <c r="AV7219">
        <v>0</v>
      </c>
      <c r="AW7219">
        <v>0</v>
      </c>
    </row>
    <row r="7220" spans="1:49" x14ac:dyDescent="0.25">
      <c r="A7220" t="str">
        <f>"7216"</f>
        <v>7216</v>
      </c>
      <c r="B7220" t="str">
        <f t="shared" si="419"/>
        <v>1</v>
      </c>
      <c r="C7220" t="str">
        <f t="shared" si="420"/>
        <v>316</v>
      </c>
      <c r="D7220" t="str">
        <f>"16"</f>
        <v>16</v>
      </c>
      <c r="E7220" t="str">
        <f>"1-316-16"</f>
        <v>1-316-16</v>
      </c>
      <c r="F7220" t="s">
        <v>83</v>
      </c>
      <c r="G7220" t="s">
        <v>86</v>
      </c>
      <c r="H7220" t="s">
        <v>87</v>
      </c>
      <c r="AC7220">
        <v>0</v>
      </c>
      <c r="AD7220">
        <v>1</v>
      </c>
      <c r="AE7220">
        <v>0</v>
      </c>
      <c r="AF7220">
        <v>0</v>
      </c>
      <c r="AH7220">
        <v>0</v>
      </c>
      <c r="AI7220">
        <v>1</v>
      </c>
      <c r="AJ7220">
        <v>0</v>
      </c>
      <c r="AK7220">
        <v>1</v>
      </c>
      <c r="AL7220">
        <v>0</v>
      </c>
      <c r="AM7220">
        <v>0</v>
      </c>
      <c r="AN7220">
        <v>1</v>
      </c>
      <c r="AO7220">
        <v>0</v>
      </c>
      <c r="AP7220">
        <v>0</v>
      </c>
      <c r="AQ7220">
        <v>0</v>
      </c>
      <c r="AU7220">
        <v>0</v>
      </c>
      <c r="AV7220">
        <v>0</v>
      </c>
      <c r="AW7220">
        <v>0</v>
      </c>
    </row>
    <row r="7221" spans="1:49" x14ac:dyDescent="0.25">
      <c r="A7221" t="str">
        <f>"7217"</f>
        <v>7217</v>
      </c>
      <c r="B7221" t="str">
        <f t="shared" si="419"/>
        <v>1</v>
      </c>
      <c r="C7221" t="str">
        <f t="shared" si="420"/>
        <v>316</v>
      </c>
      <c r="D7221" t="str">
        <f>"12"</f>
        <v>12</v>
      </c>
      <c r="E7221" t="str">
        <f>"1-316-12"</f>
        <v>1-316-12</v>
      </c>
      <c r="F7221" t="s">
        <v>83</v>
      </c>
      <c r="G7221" t="s">
        <v>86</v>
      </c>
      <c r="H7221" t="s">
        <v>93</v>
      </c>
      <c r="I7221">
        <v>1</v>
      </c>
      <c r="K7221">
        <v>1</v>
      </c>
      <c r="L7221">
        <v>0</v>
      </c>
      <c r="M7221">
        <v>0</v>
      </c>
      <c r="N7221">
        <v>1</v>
      </c>
      <c r="O7221">
        <v>1</v>
      </c>
      <c r="P7221">
        <v>1</v>
      </c>
      <c r="Q7221">
        <v>1</v>
      </c>
      <c r="R7221">
        <v>1</v>
      </c>
      <c r="U7221">
        <v>0</v>
      </c>
      <c r="V7221">
        <v>1</v>
      </c>
      <c r="W7221">
        <v>1</v>
      </c>
      <c r="X7221">
        <v>1</v>
      </c>
      <c r="Y7221">
        <v>1</v>
      </c>
      <c r="Z7221">
        <v>1</v>
      </c>
      <c r="AA7221">
        <v>1</v>
      </c>
      <c r="AB7221">
        <v>1</v>
      </c>
    </row>
    <row r="7222" spans="1:49" x14ac:dyDescent="0.25">
      <c r="A7222" t="str">
        <f>"7218"</f>
        <v>7218</v>
      </c>
      <c r="B7222" t="str">
        <f t="shared" si="419"/>
        <v>1</v>
      </c>
      <c r="C7222" t="str">
        <f t="shared" si="420"/>
        <v>316</v>
      </c>
      <c r="D7222" t="str">
        <f>"2"</f>
        <v>2</v>
      </c>
      <c r="E7222" t="str">
        <f>"1-316-2"</f>
        <v>1-316-2</v>
      </c>
      <c r="F7222" t="s">
        <v>83</v>
      </c>
      <c r="G7222" t="s">
        <v>86</v>
      </c>
      <c r="H7222" t="s">
        <v>87</v>
      </c>
      <c r="AC7222">
        <v>0</v>
      </c>
      <c r="AD7222">
        <v>1</v>
      </c>
      <c r="AE7222">
        <v>0</v>
      </c>
      <c r="AF7222">
        <v>0</v>
      </c>
      <c r="AH7222">
        <v>0</v>
      </c>
      <c r="AI7222">
        <v>1</v>
      </c>
      <c r="AJ7222">
        <v>0</v>
      </c>
      <c r="AK7222">
        <v>1</v>
      </c>
      <c r="AL7222">
        <v>0</v>
      </c>
      <c r="AM7222">
        <v>0</v>
      </c>
      <c r="AN7222">
        <v>1</v>
      </c>
      <c r="AO7222">
        <v>1</v>
      </c>
      <c r="AP7222">
        <v>1</v>
      </c>
      <c r="AQ7222">
        <v>1</v>
      </c>
      <c r="AU7222">
        <v>1</v>
      </c>
      <c r="AV7222">
        <v>1</v>
      </c>
      <c r="AW7222">
        <v>1</v>
      </c>
    </row>
    <row r="7223" spans="1:49" x14ac:dyDescent="0.25">
      <c r="A7223" t="str">
        <f>"7219"</f>
        <v>7219</v>
      </c>
      <c r="B7223" t="str">
        <f t="shared" si="419"/>
        <v>1</v>
      </c>
      <c r="C7223" t="str">
        <f t="shared" si="420"/>
        <v>316</v>
      </c>
      <c r="D7223" t="str">
        <f>"18"</f>
        <v>18</v>
      </c>
      <c r="E7223" t="str">
        <f>"1-316-18"</f>
        <v>1-316-18</v>
      </c>
      <c r="F7223" t="s">
        <v>83</v>
      </c>
      <c r="G7223" t="s">
        <v>86</v>
      </c>
      <c r="H7223" t="s">
        <v>93</v>
      </c>
      <c r="I7223">
        <v>1</v>
      </c>
      <c r="K7223">
        <v>1</v>
      </c>
      <c r="L7223">
        <v>0</v>
      </c>
      <c r="M7223">
        <v>0</v>
      </c>
      <c r="N7223">
        <v>1</v>
      </c>
      <c r="O7223">
        <v>1</v>
      </c>
      <c r="P7223">
        <v>1</v>
      </c>
      <c r="Q7223">
        <v>1</v>
      </c>
      <c r="R7223">
        <v>1</v>
      </c>
      <c r="U7223">
        <v>0</v>
      </c>
      <c r="V7223">
        <v>1</v>
      </c>
      <c r="W7223">
        <v>1</v>
      </c>
      <c r="X7223">
        <v>1</v>
      </c>
      <c r="Y7223">
        <v>1</v>
      </c>
      <c r="Z7223">
        <v>1</v>
      </c>
      <c r="AA7223">
        <v>1</v>
      </c>
      <c r="AB7223">
        <v>1</v>
      </c>
    </row>
    <row r="7224" spans="1:49" x14ac:dyDescent="0.25">
      <c r="A7224" t="str">
        <f>"7220"</f>
        <v>7220</v>
      </c>
      <c r="B7224" t="str">
        <f t="shared" si="419"/>
        <v>1</v>
      </c>
      <c r="C7224" t="str">
        <f t="shared" si="420"/>
        <v>316</v>
      </c>
      <c r="D7224" t="str">
        <f>"5"</f>
        <v>5</v>
      </c>
      <c r="E7224" t="str">
        <f>"1-316-5"</f>
        <v>1-316-5</v>
      </c>
      <c r="F7224" t="s">
        <v>83</v>
      </c>
      <c r="G7224" t="s">
        <v>86</v>
      </c>
      <c r="H7224" t="s">
        <v>87</v>
      </c>
      <c r="AC7224">
        <v>1</v>
      </c>
      <c r="AD7224">
        <v>0</v>
      </c>
      <c r="AE7224">
        <v>0</v>
      </c>
      <c r="AF7224">
        <v>0</v>
      </c>
      <c r="AH7224">
        <v>1</v>
      </c>
      <c r="AI7224">
        <v>0</v>
      </c>
      <c r="AJ7224">
        <v>0</v>
      </c>
      <c r="AK7224">
        <v>1</v>
      </c>
      <c r="AL7224">
        <v>1</v>
      </c>
      <c r="AM7224">
        <v>0</v>
      </c>
      <c r="AN7224">
        <v>0</v>
      </c>
      <c r="AO7224">
        <v>1</v>
      </c>
      <c r="AP7224">
        <v>1</v>
      </c>
      <c r="AQ7224">
        <v>1</v>
      </c>
      <c r="AU7224">
        <v>1</v>
      </c>
      <c r="AV7224">
        <v>1</v>
      </c>
      <c r="AW7224">
        <v>1</v>
      </c>
    </row>
    <row r="7225" spans="1:49" x14ac:dyDescent="0.25">
      <c r="A7225" t="str">
        <f>"7221"</f>
        <v>7221</v>
      </c>
      <c r="B7225" t="str">
        <f t="shared" si="419"/>
        <v>1</v>
      </c>
      <c r="C7225" t="str">
        <f t="shared" si="420"/>
        <v>316</v>
      </c>
      <c r="D7225" t="str">
        <f>"19"</f>
        <v>19</v>
      </c>
      <c r="E7225" t="str">
        <f>"1-316-19"</f>
        <v>1-316-19</v>
      </c>
      <c r="F7225" t="s">
        <v>83</v>
      </c>
      <c r="G7225" t="s">
        <v>86</v>
      </c>
      <c r="H7225" t="s">
        <v>87</v>
      </c>
      <c r="AC7225">
        <v>1</v>
      </c>
      <c r="AD7225">
        <v>0</v>
      </c>
      <c r="AE7225">
        <v>0</v>
      </c>
      <c r="AF7225">
        <v>0</v>
      </c>
      <c r="AH7225">
        <v>1</v>
      </c>
      <c r="AI7225">
        <v>0</v>
      </c>
      <c r="AJ7225">
        <v>1</v>
      </c>
      <c r="AK7225">
        <v>0</v>
      </c>
      <c r="AL7225">
        <v>1</v>
      </c>
      <c r="AM7225">
        <v>0</v>
      </c>
      <c r="AN7225">
        <v>0</v>
      </c>
      <c r="AO7225">
        <v>0</v>
      </c>
      <c r="AP7225">
        <v>0</v>
      </c>
      <c r="AQ7225">
        <v>0</v>
      </c>
      <c r="AU7225">
        <v>0</v>
      </c>
      <c r="AV7225">
        <v>0</v>
      </c>
      <c r="AW7225">
        <v>0</v>
      </c>
    </row>
    <row r="7226" spans="1:49" x14ac:dyDescent="0.25">
      <c r="A7226" t="str">
        <f>"7222"</f>
        <v>7222</v>
      </c>
      <c r="B7226" t="str">
        <f t="shared" si="419"/>
        <v>1</v>
      </c>
      <c r="C7226" t="str">
        <f t="shared" si="420"/>
        <v>316</v>
      </c>
      <c r="D7226" t="str">
        <f>"4"</f>
        <v>4</v>
      </c>
      <c r="E7226" t="str">
        <f>"1-316-4"</f>
        <v>1-316-4</v>
      </c>
      <c r="F7226" t="s">
        <v>83</v>
      </c>
      <c r="G7226" t="s">
        <v>86</v>
      </c>
      <c r="H7226" t="s">
        <v>93</v>
      </c>
      <c r="I7226">
        <v>1</v>
      </c>
      <c r="K7226">
        <v>0</v>
      </c>
      <c r="L7226">
        <v>0</v>
      </c>
      <c r="M7226">
        <v>1</v>
      </c>
      <c r="N7226">
        <v>1</v>
      </c>
      <c r="O7226">
        <v>1</v>
      </c>
      <c r="P7226">
        <v>1</v>
      </c>
      <c r="Q7226">
        <v>1</v>
      </c>
      <c r="R7226">
        <v>1</v>
      </c>
      <c r="U7226">
        <v>0</v>
      </c>
      <c r="V7226">
        <v>1</v>
      </c>
      <c r="W7226">
        <v>1</v>
      </c>
      <c r="X7226">
        <v>1</v>
      </c>
      <c r="Y7226">
        <v>1</v>
      </c>
      <c r="Z7226">
        <v>1</v>
      </c>
      <c r="AA7226">
        <v>1</v>
      </c>
      <c r="AB7226">
        <v>1</v>
      </c>
    </row>
    <row r="7227" spans="1:49" x14ac:dyDescent="0.25">
      <c r="A7227" t="str">
        <f>"7223"</f>
        <v>7223</v>
      </c>
      <c r="B7227" t="str">
        <f t="shared" si="419"/>
        <v>1</v>
      </c>
      <c r="C7227" t="str">
        <f t="shared" si="420"/>
        <v>316</v>
      </c>
      <c r="D7227" t="str">
        <f>"9"</f>
        <v>9</v>
      </c>
      <c r="E7227" t="str">
        <f>"1-316-9"</f>
        <v>1-316-9</v>
      </c>
      <c r="F7227" t="s">
        <v>83</v>
      </c>
      <c r="G7227" t="s">
        <v>86</v>
      </c>
      <c r="H7227" t="s">
        <v>87</v>
      </c>
      <c r="AC7227">
        <v>0</v>
      </c>
      <c r="AD7227">
        <v>0</v>
      </c>
      <c r="AE7227">
        <v>0</v>
      </c>
      <c r="AF7227">
        <v>0</v>
      </c>
      <c r="AH7227">
        <v>0</v>
      </c>
      <c r="AI7227">
        <v>1</v>
      </c>
      <c r="AJ7227">
        <v>0</v>
      </c>
      <c r="AK7227">
        <v>1</v>
      </c>
      <c r="AL7227">
        <v>0</v>
      </c>
      <c r="AM7227">
        <v>0</v>
      </c>
      <c r="AN7227">
        <v>1</v>
      </c>
      <c r="AO7227">
        <v>1</v>
      </c>
      <c r="AP7227">
        <v>1</v>
      </c>
      <c r="AQ7227">
        <v>1</v>
      </c>
      <c r="AU7227">
        <v>1</v>
      </c>
      <c r="AV7227">
        <v>1</v>
      </c>
      <c r="AW7227">
        <v>1</v>
      </c>
    </row>
    <row r="7228" spans="1:49" x14ac:dyDescent="0.25">
      <c r="A7228" t="str">
        <f>"7224"</f>
        <v>7224</v>
      </c>
      <c r="B7228" t="str">
        <f t="shared" si="419"/>
        <v>1</v>
      </c>
      <c r="C7228" t="str">
        <f t="shared" ref="C7228:C7250" si="421">"317"</f>
        <v>317</v>
      </c>
      <c r="D7228" t="str">
        <f>"21"</f>
        <v>21</v>
      </c>
      <c r="E7228" t="str">
        <f>"1-317-21"</f>
        <v>1-317-21</v>
      </c>
      <c r="F7228" t="s">
        <v>83</v>
      </c>
      <c r="G7228" t="s">
        <v>86</v>
      </c>
      <c r="H7228" t="s">
        <v>87</v>
      </c>
      <c r="AC7228">
        <v>1</v>
      </c>
      <c r="AD7228">
        <v>0</v>
      </c>
      <c r="AE7228">
        <v>0</v>
      </c>
      <c r="AF7228">
        <v>0</v>
      </c>
      <c r="AH7228">
        <v>1</v>
      </c>
      <c r="AI7228">
        <v>0</v>
      </c>
      <c r="AJ7228">
        <v>1</v>
      </c>
      <c r="AK7228">
        <v>0</v>
      </c>
      <c r="AL7228">
        <v>1</v>
      </c>
      <c r="AM7228">
        <v>0</v>
      </c>
      <c r="AN7228">
        <v>0</v>
      </c>
      <c r="AO7228">
        <v>1</v>
      </c>
      <c r="AP7228">
        <v>1</v>
      </c>
      <c r="AQ7228">
        <v>1</v>
      </c>
      <c r="AU7228">
        <v>1</v>
      </c>
      <c r="AV7228">
        <v>1</v>
      </c>
      <c r="AW7228">
        <v>1</v>
      </c>
    </row>
    <row r="7229" spans="1:49" x14ac:dyDescent="0.25">
      <c r="A7229" t="str">
        <f>"7225"</f>
        <v>7225</v>
      </c>
      <c r="B7229" t="str">
        <f t="shared" si="419"/>
        <v>1</v>
      </c>
      <c r="C7229" t="str">
        <f t="shared" si="421"/>
        <v>317</v>
      </c>
      <c r="D7229" t="str">
        <f>"20"</f>
        <v>20</v>
      </c>
      <c r="E7229" t="str">
        <f>"1-317-20"</f>
        <v>1-317-20</v>
      </c>
      <c r="F7229" t="s">
        <v>83</v>
      </c>
      <c r="G7229" t="s">
        <v>86</v>
      </c>
      <c r="H7229" t="s">
        <v>87</v>
      </c>
      <c r="AC7229">
        <v>0</v>
      </c>
      <c r="AD7229">
        <v>0</v>
      </c>
      <c r="AE7229">
        <v>0</v>
      </c>
      <c r="AF7229">
        <v>0</v>
      </c>
      <c r="AH7229">
        <v>1</v>
      </c>
      <c r="AI7229">
        <v>0</v>
      </c>
      <c r="AJ7229">
        <v>0</v>
      </c>
      <c r="AK7229">
        <v>1</v>
      </c>
      <c r="AL7229">
        <v>1</v>
      </c>
      <c r="AM7229">
        <v>0</v>
      </c>
      <c r="AN7229">
        <v>0</v>
      </c>
      <c r="AO7229">
        <v>0</v>
      </c>
      <c r="AP7229">
        <v>0</v>
      </c>
      <c r="AQ7229">
        <v>0</v>
      </c>
      <c r="AU7229">
        <v>0</v>
      </c>
      <c r="AV7229">
        <v>0</v>
      </c>
      <c r="AW7229">
        <v>0</v>
      </c>
    </row>
    <row r="7230" spans="1:49" x14ac:dyDescent="0.25">
      <c r="A7230" t="str">
        <f>"7226"</f>
        <v>7226</v>
      </c>
      <c r="B7230" t="str">
        <f t="shared" si="419"/>
        <v>1</v>
      </c>
      <c r="C7230" t="str">
        <f t="shared" si="421"/>
        <v>317</v>
      </c>
      <c r="D7230" t="str">
        <f>"13"</f>
        <v>13</v>
      </c>
      <c r="E7230" t="str">
        <f>"1-317-13"</f>
        <v>1-317-13</v>
      </c>
      <c r="F7230" t="s">
        <v>83</v>
      </c>
      <c r="G7230" t="s">
        <v>86</v>
      </c>
      <c r="H7230" t="s">
        <v>87</v>
      </c>
      <c r="AC7230">
        <v>0</v>
      </c>
      <c r="AD7230">
        <v>1</v>
      </c>
      <c r="AE7230">
        <v>0</v>
      </c>
      <c r="AF7230">
        <v>0</v>
      </c>
      <c r="AH7230">
        <v>0</v>
      </c>
      <c r="AI7230">
        <v>1</v>
      </c>
      <c r="AJ7230">
        <v>0</v>
      </c>
      <c r="AK7230">
        <v>1</v>
      </c>
      <c r="AL7230">
        <v>0</v>
      </c>
      <c r="AM7230">
        <v>0</v>
      </c>
      <c r="AN7230">
        <v>1</v>
      </c>
      <c r="AO7230">
        <v>1</v>
      </c>
      <c r="AP7230">
        <v>1</v>
      </c>
      <c r="AQ7230">
        <v>1</v>
      </c>
      <c r="AU7230">
        <v>1</v>
      </c>
      <c r="AV7230">
        <v>1</v>
      </c>
      <c r="AW7230">
        <v>1</v>
      </c>
    </row>
    <row r="7231" spans="1:49" x14ac:dyDescent="0.25">
      <c r="A7231" t="str">
        <f>"7227"</f>
        <v>7227</v>
      </c>
      <c r="B7231" t="str">
        <f t="shared" si="419"/>
        <v>1</v>
      </c>
      <c r="C7231" t="str">
        <f t="shared" si="421"/>
        <v>317</v>
      </c>
      <c r="D7231" t="str">
        <f>"12"</f>
        <v>12</v>
      </c>
      <c r="E7231" t="str">
        <f>"1-317-12"</f>
        <v>1-317-12</v>
      </c>
      <c r="F7231" t="s">
        <v>83</v>
      </c>
      <c r="G7231" t="s">
        <v>86</v>
      </c>
      <c r="H7231" t="s">
        <v>87</v>
      </c>
      <c r="AC7231">
        <v>1</v>
      </c>
      <c r="AD7231">
        <v>0</v>
      </c>
      <c r="AE7231">
        <v>0</v>
      </c>
      <c r="AF7231">
        <v>0</v>
      </c>
      <c r="AH7231">
        <v>1</v>
      </c>
      <c r="AI7231">
        <v>0</v>
      </c>
      <c r="AJ7231">
        <v>1</v>
      </c>
      <c r="AK7231">
        <v>0</v>
      </c>
      <c r="AL7231">
        <v>0</v>
      </c>
      <c r="AM7231">
        <v>0</v>
      </c>
      <c r="AN7231">
        <v>1</v>
      </c>
      <c r="AO7231">
        <v>1</v>
      </c>
      <c r="AP7231">
        <v>1</v>
      </c>
      <c r="AQ7231">
        <v>1</v>
      </c>
      <c r="AU7231">
        <v>1</v>
      </c>
      <c r="AV7231">
        <v>1</v>
      </c>
      <c r="AW7231">
        <v>1</v>
      </c>
    </row>
    <row r="7232" spans="1:49" x14ac:dyDescent="0.25">
      <c r="A7232" t="str">
        <f>"7228"</f>
        <v>7228</v>
      </c>
      <c r="B7232" t="str">
        <f t="shared" si="419"/>
        <v>1</v>
      </c>
      <c r="C7232" t="str">
        <f t="shared" si="421"/>
        <v>317</v>
      </c>
      <c r="D7232" t="str">
        <f>"11"</f>
        <v>11</v>
      </c>
      <c r="E7232" t="str">
        <f>"1-317-11"</f>
        <v>1-317-11</v>
      </c>
      <c r="F7232" t="s">
        <v>83</v>
      </c>
      <c r="G7232" t="s">
        <v>86</v>
      </c>
      <c r="H7232" t="s">
        <v>87</v>
      </c>
      <c r="AC7232">
        <v>0</v>
      </c>
      <c r="AD7232">
        <v>1</v>
      </c>
      <c r="AE7232">
        <v>0</v>
      </c>
      <c r="AF7232">
        <v>0</v>
      </c>
      <c r="AH7232">
        <v>1</v>
      </c>
      <c r="AI7232">
        <v>0</v>
      </c>
      <c r="AJ7232">
        <v>0</v>
      </c>
      <c r="AK7232">
        <v>1</v>
      </c>
      <c r="AL7232">
        <v>0</v>
      </c>
      <c r="AM7232">
        <v>0</v>
      </c>
      <c r="AN7232">
        <v>1</v>
      </c>
      <c r="AO7232">
        <v>0</v>
      </c>
      <c r="AP7232">
        <v>0</v>
      </c>
      <c r="AQ7232">
        <v>0</v>
      </c>
      <c r="AU7232">
        <v>1</v>
      </c>
      <c r="AV7232">
        <v>0</v>
      </c>
      <c r="AW7232">
        <v>0</v>
      </c>
    </row>
    <row r="7233" spans="1:49" x14ac:dyDescent="0.25">
      <c r="A7233" t="str">
        <f>"7229"</f>
        <v>7229</v>
      </c>
      <c r="B7233" t="str">
        <f t="shared" si="419"/>
        <v>1</v>
      </c>
      <c r="C7233" t="str">
        <f t="shared" si="421"/>
        <v>317</v>
      </c>
      <c r="D7233" t="str">
        <f>"8"</f>
        <v>8</v>
      </c>
      <c r="E7233" t="str">
        <f>"1-317-8"</f>
        <v>1-317-8</v>
      </c>
      <c r="F7233" t="s">
        <v>83</v>
      </c>
      <c r="G7233" t="s">
        <v>86</v>
      </c>
      <c r="H7233" t="s">
        <v>87</v>
      </c>
      <c r="AC7233">
        <v>0</v>
      </c>
      <c r="AD7233">
        <v>1</v>
      </c>
      <c r="AE7233">
        <v>0</v>
      </c>
      <c r="AF7233">
        <v>0</v>
      </c>
      <c r="AH7233">
        <v>1</v>
      </c>
      <c r="AI7233">
        <v>0</v>
      </c>
      <c r="AJ7233">
        <v>1</v>
      </c>
      <c r="AK7233">
        <v>0</v>
      </c>
      <c r="AL7233">
        <v>1</v>
      </c>
      <c r="AM7233">
        <v>0</v>
      </c>
      <c r="AN7233">
        <v>0</v>
      </c>
      <c r="AO7233">
        <v>1</v>
      </c>
      <c r="AP7233">
        <v>1</v>
      </c>
      <c r="AQ7233">
        <v>1</v>
      </c>
      <c r="AU7233">
        <v>1</v>
      </c>
      <c r="AV7233">
        <v>1</v>
      </c>
      <c r="AW7233">
        <v>1</v>
      </c>
    </row>
    <row r="7234" spans="1:49" x14ac:dyDescent="0.25">
      <c r="A7234" t="str">
        <f>"7230"</f>
        <v>7230</v>
      </c>
      <c r="B7234" t="str">
        <f t="shared" si="419"/>
        <v>1</v>
      </c>
      <c r="C7234" t="str">
        <f t="shared" si="421"/>
        <v>317</v>
      </c>
      <c r="D7234" t="str">
        <f>"17"</f>
        <v>17</v>
      </c>
      <c r="E7234" t="str">
        <f>"1-317-17"</f>
        <v>1-317-17</v>
      </c>
      <c r="F7234" t="s">
        <v>83</v>
      </c>
      <c r="G7234" t="s">
        <v>86</v>
      </c>
      <c r="H7234" t="s">
        <v>87</v>
      </c>
      <c r="AC7234">
        <v>0</v>
      </c>
      <c r="AD7234">
        <v>1</v>
      </c>
      <c r="AE7234">
        <v>0</v>
      </c>
      <c r="AF7234">
        <v>0</v>
      </c>
      <c r="AH7234">
        <v>0</v>
      </c>
      <c r="AI7234">
        <v>1</v>
      </c>
      <c r="AJ7234">
        <v>1</v>
      </c>
      <c r="AK7234">
        <v>0</v>
      </c>
      <c r="AL7234">
        <v>0</v>
      </c>
      <c r="AM7234">
        <v>0</v>
      </c>
      <c r="AN7234">
        <v>1</v>
      </c>
      <c r="AO7234">
        <v>1</v>
      </c>
      <c r="AP7234">
        <v>1</v>
      </c>
      <c r="AQ7234">
        <v>1</v>
      </c>
      <c r="AU7234">
        <v>1</v>
      </c>
      <c r="AV7234">
        <v>1</v>
      </c>
      <c r="AW7234">
        <v>1</v>
      </c>
    </row>
    <row r="7235" spans="1:49" x14ac:dyDescent="0.25">
      <c r="A7235" t="str">
        <f>"7231"</f>
        <v>7231</v>
      </c>
      <c r="B7235" t="str">
        <f t="shared" si="419"/>
        <v>1</v>
      </c>
      <c r="C7235" t="str">
        <f t="shared" si="421"/>
        <v>317</v>
      </c>
      <c r="D7235" t="str">
        <f>"9"</f>
        <v>9</v>
      </c>
      <c r="E7235" t="str">
        <f>"1-317-9"</f>
        <v>1-317-9</v>
      </c>
      <c r="F7235" t="s">
        <v>83</v>
      </c>
      <c r="G7235" t="s">
        <v>86</v>
      </c>
      <c r="H7235" t="s">
        <v>87</v>
      </c>
      <c r="AC7235">
        <v>0</v>
      </c>
      <c r="AD7235">
        <v>1</v>
      </c>
      <c r="AE7235">
        <v>0</v>
      </c>
      <c r="AF7235">
        <v>0</v>
      </c>
      <c r="AH7235">
        <v>1</v>
      </c>
      <c r="AI7235">
        <v>0</v>
      </c>
      <c r="AJ7235">
        <v>1</v>
      </c>
      <c r="AK7235">
        <v>0</v>
      </c>
      <c r="AL7235">
        <v>1</v>
      </c>
      <c r="AM7235">
        <v>0</v>
      </c>
      <c r="AN7235">
        <v>0</v>
      </c>
      <c r="AO7235">
        <v>1</v>
      </c>
      <c r="AP7235">
        <v>1</v>
      </c>
      <c r="AQ7235">
        <v>1</v>
      </c>
      <c r="AU7235">
        <v>1</v>
      </c>
      <c r="AV7235">
        <v>1</v>
      </c>
      <c r="AW7235">
        <v>1</v>
      </c>
    </row>
    <row r="7236" spans="1:49" x14ac:dyDescent="0.25">
      <c r="A7236" t="str">
        <f>"7232"</f>
        <v>7232</v>
      </c>
      <c r="B7236" t="str">
        <f t="shared" si="419"/>
        <v>1</v>
      </c>
      <c r="C7236" t="str">
        <f t="shared" si="421"/>
        <v>317</v>
      </c>
      <c r="D7236" t="str">
        <f>"7"</f>
        <v>7</v>
      </c>
      <c r="E7236" t="str">
        <f>"1-317-7"</f>
        <v>1-317-7</v>
      </c>
      <c r="F7236" t="s">
        <v>83</v>
      </c>
      <c r="G7236" t="s">
        <v>86</v>
      </c>
      <c r="H7236" t="s">
        <v>87</v>
      </c>
      <c r="AC7236">
        <v>1</v>
      </c>
      <c r="AD7236">
        <v>0</v>
      </c>
      <c r="AE7236">
        <v>0</v>
      </c>
      <c r="AF7236">
        <v>0</v>
      </c>
      <c r="AH7236">
        <v>1</v>
      </c>
      <c r="AI7236">
        <v>0</v>
      </c>
      <c r="AJ7236">
        <v>1</v>
      </c>
      <c r="AK7236">
        <v>0</v>
      </c>
      <c r="AL7236">
        <v>1</v>
      </c>
      <c r="AM7236">
        <v>0</v>
      </c>
      <c r="AN7236">
        <v>0</v>
      </c>
      <c r="AO7236">
        <v>1</v>
      </c>
      <c r="AP7236">
        <v>1</v>
      </c>
      <c r="AQ7236">
        <v>1</v>
      </c>
      <c r="AU7236">
        <v>1</v>
      </c>
      <c r="AV7236">
        <v>1</v>
      </c>
      <c r="AW7236">
        <v>1</v>
      </c>
    </row>
    <row r="7237" spans="1:49" x14ac:dyDescent="0.25">
      <c r="A7237" t="str">
        <f>"7233"</f>
        <v>7233</v>
      </c>
      <c r="B7237" t="str">
        <f t="shared" si="419"/>
        <v>1</v>
      </c>
      <c r="C7237" t="str">
        <f t="shared" si="421"/>
        <v>317</v>
      </c>
      <c r="D7237" t="str">
        <f>"23"</f>
        <v>23</v>
      </c>
      <c r="E7237" t="str">
        <f>"1-317-23"</f>
        <v>1-317-23</v>
      </c>
      <c r="F7237" t="s">
        <v>83</v>
      </c>
      <c r="G7237" t="s">
        <v>86</v>
      </c>
      <c r="H7237" t="s">
        <v>87</v>
      </c>
      <c r="AC7237">
        <v>0</v>
      </c>
      <c r="AD7237">
        <v>1</v>
      </c>
      <c r="AE7237">
        <v>0</v>
      </c>
      <c r="AF7237">
        <v>0</v>
      </c>
      <c r="AH7237">
        <v>1</v>
      </c>
      <c r="AI7237">
        <v>0</v>
      </c>
      <c r="AJ7237">
        <v>0</v>
      </c>
      <c r="AK7237">
        <v>1</v>
      </c>
      <c r="AL7237">
        <v>0</v>
      </c>
      <c r="AM7237">
        <v>1</v>
      </c>
      <c r="AN7237">
        <v>0</v>
      </c>
      <c r="AO7237">
        <v>1</v>
      </c>
      <c r="AP7237">
        <v>1</v>
      </c>
      <c r="AQ7237">
        <v>1</v>
      </c>
      <c r="AU7237">
        <v>1</v>
      </c>
      <c r="AV7237">
        <v>1</v>
      </c>
      <c r="AW7237">
        <v>1</v>
      </c>
    </row>
    <row r="7238" spans="1:49" x14ac:dyDescent="0.25">
      <c r="A7238" t="str">
        <f>"7234"</f>
        <v>7234</v>
      </c>
      <c r="B7238" t="str">
        <f t="shared" si="419"/>
        <v>1</v>
      </c>
      <c r="C7238" t="str">
        <f t="shared" si="421"/>
        <v>317</v>
      </c>
      <c r="D7238" t="str">
        <f>"22"</f>
        <v>22</v>
      </c>
      <c r="E7238" t="str">
        <f>"1-317-22"</f>
        <v>1-317-22</v>
      </c>
      <c r="F7238" t="s">
        <v>83</v>
      </c>
      <c r="G7238" t="s">
        <v>86</v>
      </c>
      <c r="H7238" t="s">
        <v>87</v>
      </c>
      <c r="AC7238">
        <v>0</v>
      </c>
      <c r="AD7238">
        <v>1</v>
      </c>
      <c r="AE7238">
        <v>0</v>
      </c>
      <c r="AF7238">
        <v>0</v>
      </c>
      <c r="AH7238">
        <v>0</v>
      </c>
      <c r="AI7238">
        <v>1</v>
      </c>
      <c r="AJ7238">
        <v>0</v>
      </c>
      <c r="AK7238">
        <v>1</v>
      </c>
      <c r="AL7238">
        <v>0</v>
      </c>
      <c r="AM7238">
        <v>0</v>
      </c>
      <c r="AN7238">
        <v>1</v>
      </c>
      <c r="AO7238">
        <v>0</v>
      </c>
      <c r="AP7238">
        <v>0</v>
      </c>
      <c r="AQ7238">
        <v>0</v>
      </c>
      <c r="AU7238">
        <v>0</v>
      </c>
      <c r="AV7238">
        <v>0</v>
      </c>
      <c r="AW7238">
        <v>0</v>
      </c>
    </row>
    <row r="7239" spans="1:49" x14ac:dyDescent="0.25">
      <c r="A7239" t="str">
        <f>"7235"</f>
        <v>7235</v>
      </c>
      <c r="B7239" t="str">
        <f t="shared" si="419"/>
        <v>1</v>
      </c>
      <c r="C7239" t="str">
        <f t="shared" si="421"/>
        <v>317</v>
      </c>
      <c r="D7239" t="str">
        <f>"14"</f>
        <v>14</v>
      </c>
      <c r="E7239" t="str">
        <f>"1-317-14"</f>
        <v>1-317-14</v>
      </c>
      <c r="F7239" t="s">
        <v>83</v>
      </c>
      <c r="G7239" t="s">
        <v>86</v>
      </c>
      <c r="H7239" t="s">
        <v>87</v>
      </c>
      <c r="AC7239">
        <v>1</v>
      </c>
      <c r="AD7239">
        <v>0</v>
      </c>
      <c r="AE7239">
        <v>0</v>
      </c>
      <c r="AF7239">
        <v>0</v>
      </c>
      <c r="AH7239">
        <v>0</v>
      </c>
      <c r="AI7239">
        <v>1</v>
      </c>
      <c r="AJ7239">
        <v>1</v>
      </c>
      <c r="AK7239">
        <v>0</v>
      </c>
      <c r="AL7239">
        <v>0</v>
      </c>
      <c r="AM7239">
        <v>0</v>
      </c>
      <c r="AN7239">
        <v>1</v>
      </c>
      <c r="AO7239">
        <v>1</v>
      </c>
      <c r="AP7239">
        <v>1</v>
      </c>
      <c r="AQ7239">
        <v>1</v>
      </c>
      <c r="AU7239">
        <v>1</v>
      </c>
      <c r="AV7239">
        <v>1</v>
      </c>
      <c r="AW7239">
        <v>1</v>
      </c>
    </row>
    <row r="7240" spans="1:49" x14ac:dyDescent="0.25">
      <c r="A7240" t="str">
        <f>"7236"</f>
        <v>7236</v>
      </c>
      <c r="B7240" t="str">
        <f t="shared" si="419"/>
        <v>1</v>
      </c>
      <c r="C7240" t="str">
        <f t="shared" si="421"/>
        <v>317</v>
      </c>
      <c r="D7240" t="str">
        <f>"10"</f>
        <v>10</v>
      </c>
      <c r="E7240" t="str">
        <f>"1-317-10"</f>
        <v>1-317-10</v>
      </c>
      <c r="F7240" t="s">
        <v>83</v>
      </c>
      <c r="G7240" t="s">
        <v>86</v>
      </c>
      <c r="H7240" t="s">
        <v>87</v>
      </c>
      <c r="AC7240">
        <v>0</v>
      </c>
      <c r="AD7240">
        <v>1</v>
      </c>
      <c r="AE7240">
        <v>0</v>
      </c>
      <c r="AF7240">
        <v>0</v>
      </c>
      <c r="AH7240">
        <v>1</v>
      </c>
      <c r="AI7240">
        <v>0</v>
      </c>
      <c r="AJ7240">
        <v>1</v>
      </c>
      <c r="AK7240">
        <v>0</v>
      </c>
      <c r="AL7240">
        <v>1</v>
      </c>
      <c r="AM7240">
        <v>0</v>
      </c>
      <c r="AN7240">
        <v>0</v>
      </c>
      <c r="AO7240">
        <v>1</v>
      </c>
      <c r="AP7240">
        <v>1</v>
      </c>
      <c r="AQ7240">
        <v>1</v>
      </c>
      <c r="AU7240">
        <v>1</v>
      </c>
      <c r="AV7240">
        <v>1</v>
      </c>
      <c r="AW7240">
        <v>1</v>
      </c>
    </row>
    <row r="7241" spans="1:49" x14ac:dyDescent="0.25">
      <c r="A7241" t="str">
        <f>"7237"</f>
        <v>7237</v>
      </c>
      <c r="B7241" t="str">
        <f t="shared" si="419"/>
        <v>1</v>
      </c>
      <c r="C7241" t="str">
        <f t="shared" si="421"/>
        <v>317</v>
      </c>
      <c r="D7241" t="str">
        <f>"15"</f>
        <v>15</v>
      </c>
      <c r="E7241" t="str">
        <f>"1-317-15"</f>
        <v>1-317-15</v>
      </c>
      <c r="F7241" t="s">
        <v>83</v>
      </c>
      <c r="G7241" t="s">
        <v>86</v>
      </c>
      <c r="H7241" t="s">
        <v>87</v>
      </c>
      <c r="AC7241">
        <v>1</v>
      </c>
      <c r="AD7241">
        <v>0</v>
      </c>
      <c r="AE7241">
        <v>0</v>
      </c>
      <c r="AF7241">
        <v>0</v>
      </c>
      <c r="AH7241">
        <v>1</v>
      </c>
      <c r="AI7241">
        <v>0</v>
      </c>
      <c r="AJ7241">
        <v>1</v>
      </c>
      <c r="AK7241">
        <v>0</v>
      </c>
      <c r="AL7241">
        <v>1</v>
      </c>
      <c r="AM7241">
        <v>0</v>
      </c>
      <c r="AN7241">
        <v>0</v>
      </c>
      <c r="AO7241">
        <v>1</v>
      </c>
      <c r="AP7241">
        <v>1</v>
      </c>
      <c r="AQ7241">
        <v>1</v>
      </c>
      <c r="AU7241">
        <v>1</v>
      </c>
      <c r="AV7241">
        <v>1</v>
      </c>
      <c r="AW7241">
        <v>1</v>
      </c>
    </row>
    <row r="7242" spans="1:49" x14ac:dyDescent="0.25">
      <c r="A7242" t="str">
        <f>"7238"</f>
        <v>7238</v>
      </c>
      <c r="B7242" t="str">
        <f t="shared" si="419"/>
        <v>1</v>
      </c>
      <c r="C7242" t="str">
        <f t="shared" si="421"/>
        <v>317</v>
      </c>
      <c r="D7242" t="str">
        <f>"6"</f>
        <v>6</v>
      </c>
      <c r="E7242" t="str">
        <f>"1-317-6"</f>
        <v>1-317-6</v>
      </c>
      <c r="F7242" t="s">
        <v>83</v>
      </c>
      <c r="G7242" t="s">
        <v>86</v>
      </c>
      <c r="H7242" t="s">
        <v>87</v>
      </c>
      <c r="AC7242">
        <v>1</v>
      </c>
      <c r="AD7242">
        <v>0</v>
      </c>
      <c r="AE7242">
        <v>0</v>
      </c>
      <c r="AF7242">
        <v>0</v>
      </c>
      <c r="AH7242">
        <v>1</v>
      </c>
      <c r="AI7242">
        <v>0</v>
      </c>
      <c r="AJ7242">
        <v>1</v>
      </c>
      <c r="AK7242">
        <v>0</v>
      </c>
      <c r="AL7242">
        <v>0</v>
      </c>
      <c r="AM7242">
        <v>0</v>
      </c>
      <c r="AN7242">
        <v>0</v>
      </c>
      <c r="AO7242">
        <v>1</v>
      </c>
      <c r="AP7242">
        <v>1</v>
      </c>
      <c r="AQ7242">
        <v>1</v>
      </c>
      <c r="AU7242">
        <v>1</v>
      </c>
      <c r="AV7242">
        <v>1</v>
      </c>
      <c r="AW7242">
        <v>1</v>
      </c>
    </row>
    <row r="7243" spans="1:49" x14ac:dyDescent="0.25">
      <c r="A7243" t="str">
        <f>"7239"</f>
        <v>7239</v>
      </c>
      <c r="B7243" t="str">
        <f t="shared" si="419"/>
        <v>1</v>
      </c>
      <c r="C7243" t="str">
        <f t="shared" si="421"/>
        <v>317</v>
      </c>
      <c r="D7243" t="str">
        <f>"16"</f>
        <v>16</v>
      </c>
      <c r="E7243" t="str">
        <f>"1-317-16"</f>
        <v>1-317-16</v>
      </c>
      <c r="F7243" t="s">
        <v>83</v>
      </c>
      <c r="G7243" t="s">
        <v>86</v>
      </c>
      <c r="H7243" t="s">
        <v>87</v>
      </c>
      <c r="AC7243">
        <v>1</v>
      </c>
      <c r="AD7243">
        <v>0</v>
      </c>
      <c r="AE7243">
        <v>0</v>
      </c>
      <c r="AF7243">
        <v>0</v>
      </c>
      <c r="AH7243">
        <v>0</v>
      </c>
      <c r="AI7243">
        <v>1</v>
      </c>
      <c r="AJ7243">
        <v>1</v>
      </c>
      <c r="AK7243">
        <v>0</v>
      </c>
      <c r="AL7243">
        <v>1</v>
      </c>
      <c r="AM7243">
        <v>0</v>
      </c>
      <c r="AN7243">
        <v>0</v>
      </c>
      <c r="AO7243">
        <v>1</v>
      </c>
      <c r="AP7243">
        <v>1</v>
      </c>
      <c r="AQ7243">
        <v>1</v>
      </c>
      <c r="AU7243">
        <v>1</v>
      </c>
      <c r="AV7243">
        <v>1</v>
      </c>
      <c r="AW7243">
        <v>1</v>
      </c>
    </row>
    <row r="7244" spans="1:49" x14ac:dyDescent="0.25">
      <c r="A7244" t="str">
        <f>"7240"</f>
        <v>7240</v>
      </c>
      <c r="B7244" t="str">
        <f t="shared" si="419"/>
        <v>1</v>
      </c>
      <c r="C7244" t="str">
        <f t="shared" si="421"/>
        <v>317</v>
      </c>
      <c r="D7244" t="str">
        <f>"4"</f>
        <v>4</v>
      </c>
      <c r="E7244" t="str">
        <f>"1-317-4"</f>
        <v>1-317-4</v>
      </c>
      <c r="F7244" t="s">
        <v>83</v>
      </c>
      <c r="G7244" t="s">
        <v>86</v>
      </c>
      <c r="H7244" t="s">
        <v>87</v>
      </c>
      <c r="AC7244">
        <v>0</v>
      </c>
      <c r="AD7244">
        <v>1</v>
      </c>
      <c r="AE7244">
        <v>0</v>
      </c>
      <c r="AF7244">
        <v>0</v>
      </c>
      <c r="AH7244">
        <v>1</v>
      </c>
      <c r="AI7244">
        <v>0</v>
      </c>
      <c r="AJ7244">
        <v>0</v>
      </c>
      <c r="AK7244">
        <v>1</v>
      </c>
      <c r="AL7244">
        <v>0</v>
      </c>
      <c r="AM7244">
        <v>0</v>
      </c>
      <c r="AN7244">
        <v>1</v>
      </c>
      <c r="AO7244">
        <v>1</v>
      </c>
      <c r="AP7244">
        <v>1</v>
      </c>
      <c r="AQ7244">
        <v>1</v>
      </c>
      <c r="AU7244">
        <v>1</v>
      </c>
      <c r="AV7244">
        <v>1</v>
      </c>
      <c r="AW7244">
        <v>1</v>
      </c>
    </row>
    <row r="7245" spans="1:49" x14ac:dyDescent="0.25">
      <c r="A7245" t="str">
        <f>"7241"</f>
        <v>7241</v>
      </c>
      <c r="B7245" t="str">
        <f t="shared" si="419"/>
        <v>1</v>
      </c>
      <c r="C7245" t="str">
        <f t="shared" si="421"/>
        <v>317</v>
      </c>
      <c r="D7245" t="str">
        <f>"18"</f>
        <v>18</v>
      </c>
      <c r="E7245" t="str">
        <f>"1-317-18"</f>
        <v>1-317-18</v>
      </c>
      <c r="F7245" t="s">
        <v>83</v>
      </c>
      <c r="G7245" t="s">
        <v>86</v>
      </c>
      <c r="H7245" t="s">
        <v>87</v>
      </c>
      <c r="AC7245">
        <v>1</v>
      </c>
      <c r="AD7245">
        <v>0</v>
      </c>
      <c r="AE7245">
        <v>0</v>
      </c>
      <c r="AF7245">
        <v>0</v>
      </c>
      <c r="AH7245">
        <v>1</v>
      </c>
      <c r="AI7245">
        <v>0</v>
      </c>
      <c r="AJ7245">
        <v>1</v>
      </c>
      <c r="AK7245">
        <v>0</v>
      </c>
      <c r="AL7245">
        <v>1</v>
      </c>
      <c r="AM7245">
        <v>0</v>
      </c>
      <c r="AN7245">
        <v>0</v>
      </c>
      <c r="AO7245">
        <v>1</v>
      </c>
      <c r="AP7245">
        <v>1</v>
      </c>
      <c r="AQ7245">
        <v>1</v>
      </c>
      <c r="AU7245">
        <v>1</v>
      </c>
      <c r="AV7245">
        <v>1</v>
      </c>
      <c r="AW7245">
        <v>1</v>
      </c>
    </row>
    <row r="7246" spans="1:49" x14ac:dyDescent="0.25">
      <c r="A7246" t="str">
        <f>"7242"</f>
        <v>7242</v>
      </c>
      <c r="B7246" t="str">
        <f t="shared" si="419"/>
        <v>1</v>
      </c>
      <c r="C7246" t="str">
        <f t="shared" si="421"/>
        <v>317</v>
      </c>
      <c r="D7246" t="str">
        <f>"3"</f>
        <v>3</v>
      </c>
      <c r="E7246" t="str">
        <f>"1-317-3"</f>
        <v>1-317-3</v>
      </c>
      <c r="F7246" t="s">
        <v>83</v>
      </c>
      <c r="G7246" t="s">
        <v>86</v>
      </c>
      <c r="H7246" t="s">
        <v>87</v>
      </c>
      <c r="AC7246">
        <v>0</v>
      </c>
      <c r="AD7246">
        <v>1</v>
      </c>
      <c r="AE7246">
        <v>0</v>
      </c>
      <c r="AF7246">
        <v>0</v>
      </c>
      <c r="AH7246">
        <v>1</v>
      </c>
      <c r="AI7246">
        <v>0</v>
      </c>
      <c r="AJ7246">
        <v>0</v>
      </c>
      <c r="AK7246">
        <v>0</v>
      </c>
      <c r="AL7246">
        <v>0</v>
      </c>
      <c r="AM7246">
        <v>0</v>
      </c>
      <c r="AN7246">
        <v>0</v>
      </c>
      <c r="AO7246">
        <v>0</v>
      </c>
      <c r="AP7246">
        <v>0</v>
      </c>
      <c r="AQ7246">
        <v>0</v>
      </c>
      <c r="AU7246">
        <v>1</v>
      </c>
      <c r="AV7246">
        <v>0</v>
      </c>
      <c r="AW7246">
        <v>0</v>
      </c>
    </row>
    <row r="7247" spans="1:49" x14ac:dyDescent="0.25">
      <c r="A7247" t="str">
        <f>"7243"</f>
        <v>7243</v>
      </c>
      <c r="B7247" t="str">
        <f t="shared" si="419"/>
        <v>1</v>
      </c>
      <c r="C7247" t="str">
        <f t="shared" si="421"/>
        <v>317</v>
      </c>
      <c r="D7247" t="str">
        <f>"19"</f>
        <v>19</v>
      </c>
      <c r="E7247" t="str">
        <f>"1-317-19"</f>
        <v>1-317-19</v>
      </c>
      <c r="F7247" t="s">
        <v>83</v>
      </c>
      <c r="G7247" t="s">
        <v>86</v>
      </c>
      <c r="H7247" t="s">
        <v>87</v>
      </c>
      <c r="AC7247">
        <v>0</v>
      </c>
      <c r="AD7247">
        <v>1</v>
      </c>
      <c r="AE7247">
        <v>0</v>
      </c>
      <c r="AF7247">
        <v>0</v>
      </c>
      <c r="AH7247">
        <v>0</v>
      </c>
      <c r="AI7247">
        <v>1</v>
      </c>
      <c r="AJ7247">
        <v>0</v>
      </c>
      <c r="AK7247">
        <v>1</v>
      </c>
      <c r="AL7247">
        <v>0</v>
      </c>
      <c r="AM7247">
        <v>0</v>
      </c>
      <c r="AN7247">
        <v>1</v>
      </c>
      <c r="AO7247">
        <v>1</v>
      </c>
      <c r="AP7247">
        <v>1</v>
      </c>
      <c r="AQ7247">
        <v>1</v>
      </c>
      <c r="AU7247">
        <v>1</v>
      </c>
      <c r="AV7247">
        <v>1</v>
      </c>
      <c r="AW7247">
        <v>0</v>
      </c>
    </row>
    <row r="7248" spans="1:49" x14ac:dyDescent="0.25">
      <c r="A7248" t="str">
        <f>"7244"</f>
        <v>7244</v>
      </c>
      <c r="B7248" t="str">
        <f t="shared" si="419"/>
        <v>1</v>
      </c>
      <c r="C7248" t="str">
        <f t="shared" si="421"/>
        <v>317</v>
      </c>
      <c r="D7248" t="str">
        <f>"5"</f>
        <v>5</v>
      </c>
      <c r="E7248" t="str">
        <f>"1-317-5"</f>
        <v>1-317-5</v>
      </c>
      <c r="F7248" t="s">
        <v>83</v>
      </c>
      <c r="G7248" t="s">
        <v>86</v>
      </c>
      <c r="H7248" t="s">
        <v>87</v>
      </c>
      <c r="AC7248">
        <v>0</v>
      </c>
      <c r="AD7248">
        <v>1</v>
      </c>
      <c r="AE7248">
        <v>0</v>
      </c>
      <c r="AF7248">
        <v>0</v>
      </c>
      <c r="AH7248">
        <v>1</v>
      </c>
      <c r="AI7248">
        <v>0</v>
      </c>
      <c r="AJ7248">
        <v>0</v>
      </c>
      <c r="AK7248">
        <v>1</v>
      </c>
      <c r="AL7248">
        <v>0</v>
      </c>
      <c r="AM7248">
        <v>0</v>
      </c>
      <c r="AN7248">
        <v>1</v>
      </c>
      <c r="AO7248">
        <v>0</v>
      </c>
      <c r="AP7248">
        <v>0</v>
      </c>
      <c r="AQ7248">
        <v>0</v>
      </c>
      <c r="AU7248">
        <v>0</v>
      </c>
      <c r="AV7248">
        <v>0</v>
      </c>
      <c r="AW7248">
        <v>1</v>
      </c>
    </row>
    <row r="7249" spans="1:49" x14ac:dyDescent="0.25">
      <c r="A7249" t="str">
        <f>"7245"</f>
        <v>7245</v>
      </c>
      <c r="B7249" t="str">
        <f t="shared" si="419"/>
        <v>1</v>
      </c>
      <c r="C7249" t="str">
        <f t="shared" si="421"/>
        <v>317</v>
      </c>
      <c r="D7249" t="str">
        <f>"1"</f>
        <v>1</v>
      </c>
      <c r="E7249" t="str">
        <f>"1-317-1"</f>
        <v>1-317-1</v>
      </c>
      <c r="F7249" t="s">
        <v>83</v>
      </c>
      <c r="G7249" t="s">
        <v>86</v>
      </c>
      <c r="H7249" t="s">
        <v>87</v>
      </c>
      <c r="AC7249">
        <v>1</v>
      </c>
      <c r="AD7249">
        <v>0</v>
      </c>
      <c r="AE7249">
        <v>0</v>
      </c>
      <c r="AF7249">
        <v>0</v>
      </c>
      <c r="AH7249">
        <v>1</v>
      </c>
      <c r="AI7249">
        <v>0</v>
      </c>
      <c r="AJ7249">
        <v>1</v>
      </c>
      <c r="AK7249">
        <v>0</v>
      </c>
      <c r="AL7249">
        <v>1</v>
      </c>
      <c r="AM7249">
        <v>0</v>
      </c>
      <c r="AN7249">
        <v>0</v>
      </c>
      <c r="AO7249">
        <v>1</v>
      </c>
      <c r="AP7249">
        <v>1</v>
      </c>
      <c r="AQ7249">
        <v>1</v>
      </c>
      <c r="AU7249">
        <v>1</v>
      </c>
      <c r="AV7249">
        <v>1</v>
      </c>
      <c r="AW7249">
        <v>1</v>
      </c>
    </row>
    <row r="7250" spans="1:49" x14ac:dyDescent="0.25">
      <c r="A7250" t="str">
        <f>"7246"</f>
        <v>7246</v>
      </c>
      <c r="B7250" t="str">
        <f t="shared" si="419"/>
        <v>1</v>
      </c>
      <c r="C7250" t="str">
        <f t="shared" si="421"/>
        <v>317</v>
      </c>
      <c r="D7250" t="str">
        <f>"2"</f>
        <v>2</v>
      </c>
      <c r="E7250" t="str">
        <f>"1-317-2"</f>
        <v>1-317-2</v>
      </c>
      <c r="F7250" t="s">
        <v>83</v>
      </c>
      <c r="G7250" t="s">
        <v>86</v>
      </c>
      <c r="H7250" t="s">
        <v>87</v>
      </c>
      <c r="AC7250">
        <v>0</v>
      </c>
      <c r="AD7250">
        <v>1</v>
      </c>
      <c r="AE7250">
        <v>0</v>
      </c>
      <c r="AF7250">
        <v>0</v>
      </c>
      <c r="AH7250">
        <v>1</v>
      </c>
      <c r="AI7250">
        <v>0</v>
      </c>
      <c r="AJ7250">
        <v>0</v>
      </c>
      <c r="AK7250">
        <v>1</v>
      </c>
      <c r="AL7250">
        <v>0</v>
      </c>
      <c r="AM7250">
        <v>0</v>
      </c>
      <c r="AN7250">
        <v>1</v>
      </c>
      <c r="AO7250">
        <v>0</v>
      </c>
      <c r="AP7250">
        <v>0</v>
      </c>
      <c r="AQ7250">
        <v>0</v>
      </c>
      <c r="AU7250">
        <v>1</v>
      </c>
      <c r="AV7250">
        <v>0</v>
      </c>
      <c r="AW7250">
        <v>0</v>
      </c>
    </row>
    <row r="7251" spans="1:49" x14ac:dyDescent="0.25">
      <c r="A7251" t="str">
        <f>"7247"</f>
        <v>7247</v>
      </c>
      <c r="B7251" t="str">
        <f t="shared" si="419"/>
        <v>1</v>
      </c>
      <c r="C7251" t="str">
        <f t="shared" ref="C7251:C7275" si="422">"318"</f>
        <v>318</v>
      </c>
      <c r="D7251" t="str">
        <f>"23"</f>
        <v>23</v>
      </c>
      <c r="E7251" t="str">
        <f>"1-318-23"</f>
        <v>1-318-23</v>
      </c>
      <c r="F7251" t="s">
        <v>83</v>
      </c>
      <c r="G7251" t="s">
        <v>86</v>
      </c>
      <c r="H7251" t="s">
        <v>87</v>
      </c>
      <c r="AC7251">
        <v>1</v>
      </c>
      <c r="AD7251">
        <v>0</v>
      </c>
      <c r="AE7251">
        <v>0</v>
      </c>
      <c r="AF7251">
        <v>0</v>
      </c>
      <c r="AH7251">
        <v>0</v>
      </c>
      <c r="AI7251">
        <v>1</v>
      </c>
      <c r="AJ7251">
        <v>0</v>
      </c>
      <c r="AK7251">
        <v>1</v>
      </c>
      <c r="AL7251">
        <v>0</v>
      </c>
      <c r="AM7251">
        <v>1</v>
      </c>
      <c r="AN7251">
        <v>0</v>
      </c>
      <c r="AO7251">
        <v>1</v>
      </c>
      <c r="AP7251">
        <v>1</v>
      </c>
      <c r="AQ7251">
        <v>1</v>
      </c>
      <c r="AU7251">
        <v>1</v>
      </c>
      <c r="AV7251">
        <v>1</v>
      </c>
      <c r="AW7251">
        <v>0</v>
      </c>
    </row>
    <row r="7252" spans="1:49" x14ac:dyDescent="0.25">
      <c r="A7252" t="str">
        <f>"7248"</f>
        <v>7248</v>
      </c>
      <c r="B7252" t="str">
        <f t="shared" si="419"/>
        <v>1</v>
      </c>
      <c r="C7252" t="str">
        <f t="shared" si="422"/>
        <v>318</v>
      </c>
      <c r="D7252" t="str">
        <f>"22"</f>
        <v>22</v>
      </c>
      <c r="E7252" t="str">
        <f>"1-318-22"</f>
        <v>1-318-22</v>
      </c>
      <c r="F7252" t="s">
        <v>83</v>
      </c>
      <c r="G7252" t="s">
        <v>86</v>
      </c>
      <c r="H7252" t="s">
        <v>87</v>
      </c>
      <c r="AC7252">
        <v>1</v>
      </c>
      <c r="AD7252">
        <v>0</v>
      </c>
      <c r="AE7252">
        <v>0</v>
      </c>
      <c r="AF7252">
        <v>0</v>
      </c>
      <c r="AH7252">
        <v>1</v>
      </c>
      <c r="AI7252">
        <v>0</v>
      </c>
      <c r="AJ7252">
        <v>0</v>
      </c>
      <c r="AK7252">
        <v>1</v>
      </c>
      <c r="AL7252">
        <v>0</v>
      </c>
      <c r="AM7252">
        <v>0</v>
      </c>
      <c r="AN7252">
        <v>1</v>
      </c>
      <c r="AO7252">
        <v>1</v>
      </c>
      <c r="AP7252">
        <v>1</v>
      </c>
      <c r="AQ7252">
        <v>1</v>
      </c>
      <c r="AU7252">
        <v>1</v>
      </c>
      <c r="AV7252">
        <v>1</v>
      </c>
      <c r="AW7252">
        <v>1</v>
      </c>
    </row>
    <row r="7253" spans="1:49" x14ac:dyDescent="0.25">
      <c r="A7253" t="str">
        <f>"7249"</f>
        <v>7249</v>
      </c>
      <c r="B7253" t="str">
        <f t="shared" si="419"/>
        <v>1</v>
      </c>
      <c r="C7253" t="str">
        <f t="shared" si="422"/>
        <v>318</v>
      </c>
      <c r="D7253" t="str">
        <f>"14"</f>
        <v>14</v>
      </c>
      <c r="E7253" t="str">
        <f>"1-318-14"</f>
        <v>1-318-14</v>
      </c>
      <c r="F7253" t="s">
        <v>83</v>
      </c>
      <c r="G7253" t="s">
        <v>86</v>
      </c>
      <c r="H7253" t="s">
        <v>87</v>
      </c>
      <c r="AC7253">
        <v>0</v>
      </c>
      <c r="AD7253">
        <v>1</v>
      </c>
      <c r="AE7253">
        <v>0</v>
      </c>
      <c r="AF7253">
        <v>0</v>
      </c>
      <c r="AH7253">
        <v>1</v>
      </c>
      <c r="AI7253">
        <v>0</v>
      </c>
      <c r="AJ7253">
        <v>0</v>
      </c>
      <c r="AK7253">
        <v>1</v>
      </c>
      <c r="AL7253">
        <v>0</v>
      </c>
      <c r="AM7253">
        <v>1</v>
      </c>
      <c r="AN7253">
        <v>0</v>
      </c>
      <c r="AO7253">
        <v>1</v>
      </c>
      <c r="AP7253">
        <v>1</v>
      </c>
      <c r="AQ7253">
        <v>1</v>
      </c>
      <c r="AU7253">
        <v>1</v>
      </c>
      <c r="AV7253">
        <v>1</v>
      </c>
      <c r="AW7253">
        <v>1</v>
      </c>
    </row>
    <row r="7254" spans="1:49" x14ac:dyDescent="0.25">
      <c r="A7254" t="str">
        <f>"7250"</f>
        <v>7250</v>
      </c>
      <c r="B7254" t="str">
        <f t="shared" si="419"/>
        <v>1</v>
      </c>
      <c r="C7254" t="str">
        <f t="shared" si="422"/>
        <v>318</v>
      </c>
      <c r="D7254" t="str">
        <f>"8"</f>
        <v>8</v>
      </c>
      <c r="E7254" t="str">
        <f>"1-318-8"</f>
        <v>1-318-8</v>
      </c>
      <c r="F7254" t="s">
        <v>83</v>
      </c>
      <c r="G7254" t="s">
        <v>86</v>
      </c>
      <c r="H7254" t="s">
        <v>87</v>
      </c>
      <c r="AC7254">
        <v>1</v>
      </c>
      <c r="AD7254">
        <v>0</v>
      </c>
      <c r="AE7254">
        <v>0</v>
      </c>
      <c r="AF7254">
        <v>0</v>
      </c>
      <c r="AH7254">
        <v>1</v>
      </c>
      <c r="AI7254">
        <v>0</v>
      </c>
      <c r="AJ7254">
        <v>1</v>
      </c>
      <c r="AK7254">
        <v>0</v>
      </c>
      <c r="AL7254">
        <v>1</v>
      </c>
      <c r="AM7254">
        <v>0</v>
      </c>
      <c r="AN7254">
        <v>0</v>
      </c>
      <c r="AO7254">
        <v>0</v>
      </c>
      <c r="AP7254">
        <v>0</v>
      </c>
      <c r="AQ7254">
        <v>0</v>
      </c>
      <c r="AU7254">
        <v>0</v>
      </c>
      <c r="AV7254">
        <v>0</v>
      </c>
      <c r="AW7254">
        <v>0</v>
      </c>
    </row>
    <row r="7255" spans="1:49" x14ac:dyDescent="0.25">
      <c r="A7255" t="str">
        <f>"7251"</f>
        <v>7251</v>
      </c>
      <c r="B7255" t="str">
        <f t="shared" si="419"/>
        <v>1</v>
      </c>
      <c r="C7255" t="str">
        <f t="shared" si="422"/>
        <v>318</v>
      </c>
      <c r="D7255" t="str">
        <f>"5"</f>
        <v>5</v>
      </c>
      <c r="E7255" t="str">
        <f>"1-318-5"</f>
        <v>1-318-5</v>
      </c>
      <c r="F7255" t="s">
        <v>83</v>
      </c>
      <c r="G7255" t="s">
        <v>86</v>
      </c>
      <c r="H7255" t="s">
        <v>87</v>
      </c>
      <c r="AC7255">
        <v>1</v>
      </c>
      <c r="AD7255">
        <v>0</v>
      </c>
      <c r="AE7255">
        <v>0</v>
      </c>
      <c r="AF7255">
        <v>0</v>
      </c>
      <c r="AH7255">
        <v>0</v>
      </c>
      <c r="AI7255">
        <v>1</v>
      </c>
      <c r="AJ7255">
        <v>0</v>
      </c>
      <c r="AK7255">
        <v>1</v>
      </c>
      <c r="AL7255">
        <v>0</v>
      </c>
      <c r="AM7255">
        <v>0</v>
      </c>
      <c r="AN7255">
        <v>0</v>
      </c>
      <c r="AO7255">
        <v>1</v>
      </c>
      <c r="AP7255">
        <v>1</v>
      </c>
      <c r="AQ7255">
        <v>1</v>
      </c>
      <c r="AU7255">
        <v>1</v>
      </c>
      <c r="AV7255">
        <v>1</v>
      </c>
      <c r="AW7255">
        <v>1</v>
      </c>
    </row>
    <row r="7256" spans="1:49" x14ac:dyDescent="0.25">
      <c r="A7256" t="str">
        <f>"7252"</f>
        <v>7252</v>
      </c>
      <c r="B7256" t="str">
        <f t="shared" si="419"/>
        <v>1</v>
      </c>
      <c r="C7256" t="str">
        <f t="shared" si="422"/>
        <v>318</v>
      </c>
      <c r="D7256" t="str">
        <f>"21"</f>
        <v>21</v>
      </c>
      <c r="E7256" t="str">
        <f>"1-318-21"</f>
        <v>1-318-21</v>
      </c>
      <c r="F7256" t="s">
        <v>83</v>
      </c>
      <c r="G7256" t="s">
        <v>86</v>
      </c>
      <c r="H7256" t="s">
        <v>87</v>
      </c>
      <c r="AC7256">
        <v>0</v>
      </c>
      <c r="AD7256">
        <v>1</v>
      </c>
      <c r="AE7256">
        <v>0</v>
      </c>
      <c r="AF7256">
        <v>0</v>
      </c>
      <c r="AH7256">
        <v>0</v>
      </c>
      <c r="AI7256">
        <v>1</v>
      </c>
      <c r="AJ7256">
        <v>0</v>
      </c>
      <c r="AK7256">
        <v>1</v>
      </c>
      <c r="AL7256">
        <v>1</v>
      </c>
      <c r="AM7256">
        <v>0</v>
      </c>
      <c r="AN7256">
        <v>0</v>
      </c>
      <c r="AO7256">
        <v>0</v>
      </c>
      <c r="AP7256">
        <v>0</v>
      </c>
      <c r="AQ7256">
        <v>0</v>
      </c>
      <c r="AU7256">
        <v>0</v>
      </c>
      <c r="AV7256">
        <v>0</v>
      </c>
      <c r="AW7256">
        <v>0</v>
      </c>
    </row>
    <row r="7257" spans="1:49" x14ac:dyDescent="0.25">
      <c r="A7257" t="str">
        <f>"7253"</f>
        <v>7253</v>
      </c>
      <c r="B7257" t="str">
        <f t="shared" si="419"/>
        <v>1</v>
      </c>
      <c r="C7257" t="str">
        <f t="shared" si="422"/>
        <v>318</v>
      </c>
      <c r="D7257" t="str">
        <f>"20"</f>
        <v>20</v>
      </c>
      <c r="E7257" t="str">
        <f>"1-318-20"</f>
        <v>1-318-20</v>
      </c>
      <c r="F7257" t="s">
        <v>83</v>
      </c>
      <c r="G7257" t="s">
        <v>86</v>
      </c>
      <c r="H7257" t="s">
        <v>87</v>
      </c>
      <c r="AC7257">
        <v>1</v>
      </c>
      <c r="AD7257">
        <v>0</v>
      </c>
      <c r="AE7257">
        <v>0</v>
      </c>
      <c r="AF7257">
        <v>0</v>
      </c>
      <c r="AH7257">
        <v>0</v>
      </c>
      <c r="AI7257">
        <v>1</v>
      </c>
      <c r="AJ7257">
        <v>1</v>
      </c>
      <c r="AK7257">
        <v>0</v>
      </c>
      <c r="AL7257">
        <v>1</v>
      </c>
      <c r="AM7257">
        <v>0</v>
      </c>
      <c r="AN7257">
        <v>0</v>
      </c>
      <c r="AO7257">
        <v>1</v>
      </c>
      <c r="AP7257">
        <v>1</v>
      </c>
      <c r="AQ7257">
        <v>1</v>
      </c>
      <c r="AU7257">
        <v>1</v>
      </c>
      <c r="AV7257">
        <v>1</v>
      </c>
      <c r="AW7257">
        <v>1</v>
      </c>
    </row>
    <row r="7258" spans="1:49" x14ac:dyDescent="0.25">
      <c r="A7258" t="str">
        <f>"7254"</f>
        <v>7254</v>
      </c>
      <c r="B7258" t="str">
        <f t="shared" si="419"/>
        <v>1</v>
      </c>
      <c r="C7258" t="str">
        <f t="shared" si="422"/>
        <v>318</v>
      </c>
      <c r="D7258" t="str">
        <f>"13"</f>
        <v>13</v>
      </c>
      <c r="E7258" t="str">
        <f>"1-318-13"</f>
        <v>1-318-13</v>
      </c>
      <c r="F7258" t="s">
        <v>83</v>
      </c>
      <c r="G7258" t="s">
        <v>86</v>
      </c>
      <c r="H7258" t="s">
        <v>87</v>
      </c>
      <c r="AC7258">
        <v>0</v>
      </c>
      <c r="AD7258">
        <v>1</v>
      </c>
      <c r="AE7258">
        <v>0</v>
      </c>
      <c r="AF7258">
        <v>0</v>
      </c>
      <c r="AH7258">
        <v>0</v>
      </c>
      <c r="AI7258">
        <v>1</v>
      </c>
      <c r="AJ7258">
        <v>0</v>
      </c>
      <c r="AK7258">
        <v>1</v>
      </c>
      <c r="AL7258">
        <v>0</v>
      </c>
      <c r="AM7258">
        <v>0</v>
      </c>
      <c r="AN7258">
        <v>1</v>
      </c>
      <c r="AO7258">
        <v>1</v>
      </c>
      <c r="AP7258">
        <v>1</v>
      </c>
      <c r="AQ7258">
        <v>1</v>
      </c>
      <c r="AU7258">
        <v>1</v>
      </c>
      <c r="AV7258">
        <v>1</v>
      </c>
      <c r="AW7258">
        <v>1</v>
      </c>
    </row>
    <row r="7259" spans="1:49" x14ac:dyDescent="0.25">
      <c r="A7259" t="str">
        <f>"7255"</f>
        <v>7255</v>
      </c>
      <c r="B7259" t="str">
        <f t="shared" si="419"/>
        <v>1</v>
      </c>
      <c r="C7259" t="str">
        <f t="shared" si="422"/>
        <v>318</v>
      </c>
      <c r="D7259" t="str">
        <f>"9"</f>
        <v>9</v>
      </c>
      <c r="E7259" t="str">
        <f>"1-318-9"</f>
        <v>1-318-9</v>
      </c>
      <c r="F7259" t="s">
        <v>83</v>
      </c>
      <c r="G7259" t="s">
        <v>86</v>
      </c>
      <c r="H7259" t="s">
        <v>87</v>
      </c>
      <c r="AC7259">
        <v>0</v>
      </c>
      <c r="AD7259">
        <v>1</v>
      </c>
      <c r="AE7259">
        <v>0</v>
      </c>
      <c r="AF7259">
        <v>0</v>
      </c>
      <c r="AH7259">
        <v>0</v>
      </c>
      <c r="AI7259">
        <v>1</v>
      </c>
      <c r="AJ7259">
        <v>0</v>
      </c>
      <c r="AK7259">
        <v>1</v>
      </c>
      <c r="AL7259">
        <v>1</v>
      </c>
      <c r="AM7259">
        <v>0</v>
      </c>
      <c r="AN7259">
        <v>0</v>
      </c>
      <c r="AO7259">
        <v>0</v>
      </c>
      <c r="AP7259">
        <v>0</v>
      </c>
      <c r="AQ7259">
        <v>0</v>
      </c>
      <c r="AU7259">
        <v>0</v>
      </c>
      <c r="AV7259">
        <v>0</v>
      </c>
      <c r="AW7259">
        <v>0</v>
      </c>
    </row>
    <row r="7260" spans="1:49" x14ac:dyDescent="0.25">
      <c r="A7260" t="str">
        <f>"7256"</f>
        <v>7256</v>
      </c>
      <c r="B7260" t="str">
        <f t="shared" si="419"/>
        <v>1</v>
      </c>
      <c r="C7260" t="str">
        <f t="shared" si="422"/>
        <v>318</v>
      </c>
      <c r="D7260" t="str">
        <f>"3"</f>
        <v>3</v>
      </c>
      <c r="E7260" t="str">
        <f>"1-318-3"</f>
        <v>1-318-3</v>
      </c>
      <c r="F7260" t="s">
        <v>83</v>
      </c>
      <c r="G7260" t="s">
        <v>86</v>
      </c>
      <c r="H7260" t="s">
        <v>87</v>
      </c>
      <c r="AC7260">
        <v>0</v>
      </c>
      <c r="AD7260">
        <v>1</v>
      </c>
      <c r="AE7260">
        <v>0</v>
      </c>
      <c r="AF7260">
        <v>0</v>
      </c>
      <c r="AH7260">
        <v>0</v>
      </c>
      <c r="AI7260">
        <v>1</v>
      </c>
      <c r="AJ7260">
        <v>1</v>
      </c>
      <c r="AK7260">
        <v>0</v>
      </c>
      <c r="AL7260">
        <v>0</v>
      </c>
      <c r="AM7260">
        <v>0</v>
      </c>
      <c r="AN7260">
        <v>1</v>
      </c>
      <c r="AO7260">
        <v>1</v>
      </c>
      <c r="AP7260">
        <v>1</v>
      </c>
      <c r="AQ7260">
        <v>1</v>
      </c>
      <c r="AU7260">
        <v>1</v>
      </c>
      <c r="AV7260">
        <v>1</v>
      </c>
      <c r="AW7260">
        <v>1</v>
      </c>
    </row>
    <row r="7261" spans="1:49" x14ac:dyDescent="0.25">
      <c r="A7261" t="str">
        <f>"7257"</f>
        <v>7257</v>
      </c>
      <c r="B7261" t="str">
        <f t="shared" si="419"/>
        <v>1</v>
      </c>
      <c r="C7261" t="str">
        <f t="shared" si="422"/>
        <v>318</v>
      </c>
      <c r="D7261" t="str">
        <f>"25"</f>
        <v>25</v>
      </c>
      <c r="E7261" t="str">
        <f>"1-318-25"</f>
        <v>1-318-25</v>
      </c>
      <c r="F7261" t="s">
        <v>83</v>
      </c>
      <c r="G7261" t="s">
        <v>86</v>
      </c>
      <c r="H7261" t="s">
        <v>87</v>
      </c>
      <c r="AC7261">
        <v>1</v>
      </c>
      <c r="AD7261">
        <v>0</v>
      </c>
      <c r="AE7261">
        <v>0</v>
      </c>
      <c r="AF7261">
        <v>0</v>
      </c>
      <c r="AH7261">
        <v>0</v>
      </c>
      <c r="AI7261">
        <v>1</v>
      </c>
      <c r="AJ7261">
        <v>1</v>
      </c>
      <c r="AK7261">
        <v>0</v>
      </c>
      <c r="AL7261">
        <v>0</v>
      </c>
      <c r="AM7261">
        <v>0</v>
      </c>
      <c r="AN7261">
        <v>1</v>
      </c>
      <c r="AO7261">
        <v>0</v>
      </c>
      <c r="AP7261">
        <v>0</v>
      </c>
      <c r="AQ7261">
        <v>0</v>
      </c>
      <c r="AU7261">
        <v>0</v>
      </c>
      <c r="AV7261">
        <v>0</v>
      </c>
      <c r="AW7261">
        <v>0</v>
      </c>
    </row>
    <row r="7262" spans="1:49" x14ac:dyDescent="0.25">
      <c r="A7262" t="str">
        <f>"7258"</f>
        <v>7258</v>
      </c>
      <c r="B7262" t="str">
        <f t="shared" ref="B7262:B7325" si="423">"1"</f>
        <v>1</v>
      </c>
      <c r="C7262" t="str">
        <f t="shared" si="422"/>
        <v>318</v>
      </c>
      <c r="D7262" t="str">
        <f>"24"</f>
        <v>24</v>
      </c>
      <c r="E7262" t="str">
        <f>"1-318-24"</f>
        <v>1-318-24</v>
      </c>
      <c r="F7262" t="s">
        <v>83</v>
      </c>
      <c r="G7262" t="s">
        <v>86</v>
      </c>
      <c r="H7262" t="s">
        <v>87</v>
      </c>
      <c r="AC7262">
        <v>1</v>
      </c>
      <c r="AD7262">
        <v>0</v>
      </c>
      <c r="AE7262">
        <v>0</v>
      </c>
      <c r="AF7262">
        <v>0</v>
      </c>
      <c r="AH7262">
        <v>1</v>
      </c>
      <c r="AI7262">
        <v>0</v>
      </c>
      <c r="AJ7262">
        <v>0</v>
      </c>
      <c r="AK7262">
        <v>0</v>
      </c>
      <c r="AL7262">
        <v>1</v>
      </c>
      <c r="AM7262">
        <v>0</v>
      </c>
      <c r="AN7262">
        <v>0</v>
      </c>
      <c r="AO7262">
        <v>1</v>
      </c>
      <c r="AP7262">
        <v>1</v>
      </c>
      <c r="AQ7262">
        <v>1</v>
      </c>
      <c r="AU7262">
        <v>1</v>
      </c>
      <c r="AV7262">
        <v>0</v>
      </c>
      <c r="AW7262">
        <v>1</v>
      </c>
    </row>
    <row r="7263" spans="1:49" x14ac:dyDescent="0.25">
      <c r="A7263" t="str">
        <f>"7259"</f>
        <v>7259</v>
      </c>
      <c r="B7263" t="str">
        <f t="shared" si="423"/>
        <v>1</v>
      </c>
      <c r="C7263" t="str">
        <f t="shared" si="422"/>
        <v>318</v>
      </c>
      <c r="D7263" t="str">
        <f>"15"</f>
        <v>15</v>
      </c>
      <c r="E7263" t="str">
        <f>"1-318-15"</f>
        <v>1-318-15</v>
      </c>
      <c r="F7263" t="s">
        <v>83</v>
      </c>
      <c r="G7263" t="s">
        <v>86</v>
      </c>
      <c r="H7263" t="s">
        <v>87</v>
      </c>
      <c r="AC7263">
        <v>0</v>
      </c>
      <c r="AD7263">
        <v>1</v>
      </c>
      <c r="AE7263">
        <v>0</v>
      </c>
      <c r="AF7263">
        <v>0</v>
      </c>
      <c r="AH7263">
        <v>0</v>
      </c>
      <c r="AI7263">
        <v>1</v>
      </c>
      <c r="AJ7263">
        <v>0</v>
      </c>
      <c r="AK7263">
        <v>1</v>
      </c>
      <c r="AL7263">
        <v>0</v>
      </c>
      <c r="AM7263">
        <v>0</v>
      </c>
      <c r="AN7263">
        <v>1</v>
      </c>
      <c r="AO7263">
        <v>0</v>
      </c>
      <c r="AP7263">
        <v>0</v>
      </c>
      <c r="AQ7263">
        <v>0</v>
      </c>
      <c r="AU7263">
        <v>0</v>
      </c>
      <c r="AV7263">
        <v>0</v>
      </c>
      <c r="AW7263">
        <v>0</v>
      </c>
    </row>
    <row r="7264" spans="1:49" x14ac:dyDescent="0.25">
      <c r="A7264" t="str">
        <f>"7260"</f>
        <v>7260</v>
      </c>
      <c r="B7264" t="str">
        <f t="shared" si="423"/>
        <v>1</v>
      </c>
      <c r="C7264" t="str">
        <f t="shared" si="422"/>
        <v>318</v>
      </c>
      <c r="D7264" t="str">
        <f>"10"</f>
        <v>10</v>
      </c>
      <c r="E7264" t="str">
        <f>"1-318-10"</f>
        <v>1-318-10</v>
      </c>
      <c r="F7264" t="s">
        <v>83</v>
      </c>
      <c r="G7264" t="s">
        <v>86</v>
      </c>
      <c r="H7264" t="s">
        <v>87</v>
      </c>
      <c r="AC7264">
        <v>1</v>
      </c>
      <c r="AD7264">
        <v>0</v>
      </c>
      <c r="AE7264">
        <v>0</v>
      </c>
      <c r="AF7264">
        <v>0</v>
      </c>
      <c r="AH7264">
        <v>1</v>
      </c>
      <c r="AI7264">
        <v>0</v>
      </c>
      <c r="AJ7264">
        <v>1</v>
      </c>
      <c r="AK7264">
        <v>0</v>
      </c>
      <c r="AL7264">
        <v>0</v>
      </c>
      <c r="AM7264">
        <v>0</v>
      </c>
      <c r="AN7264">
        <v>0</v>
      </c>
      <c r="AO7264">
        <v>0</v>
      </c>
      <c r="AP7264">
        <v>0</v>
      </c>
      <c r="AQ7264">
        <v>0</v>
      </c>
      <c r="AU7264">
        <v>0</v>
      </c>
      <c r="AV7264">
        <v>0</v>
      </c>
      <c r="AW7264">
        <v>0</v>
      </c>
    </row>
    <row r="7265" spans="1:49" x14ac:dyDescent="0.25">
      <c r="A7265" t="str">
        <f>"7261"</f>
        <v>7261</v>
      </c>
      <c r="B7265" t="str">
        <f t="shared" si="423"/>
        <v>1</v>
      </c>
      <c r="C7265" t="str">
        <f t="shared" si="422"/>
        <v>318</v>
      </c>
      <c r="D7265" t="str">
        <f>"16"</f>
        <v>16</v>
      </c>
      <c r="E7265" t="str">
        <f>"1-318-16"</f>
        <v>1-318-16</v>
      </c>
      <c r="F7265" t="s">
        <v>83</v>
      </c>
      <c r="G7265" t="s">
        <v>86</v>
      </c>
      <c r="H7265" t="s">
        <v>87</v>
      </c>
      <c r="AC7265">
        <v>1</v>
      </c>
      <c r="AD7265">
        <v>0</v>
      </c>
      <c r="AE7265">
        <v>0</v>
      </c>
      <c r="AF7265">
        <v>0</v>
      </c>
      <c r="AH7265">
        <v>0</v>
      </c>
      <c r="AI7265">
        <v>1</v>
      </c>
      <c r="AJ7265">
        <v>0</v>
      </c>
      <c r="AK7265">
        <v>1</v>
      </c>
      <c r="AL7265">
        <v>0</v>
      </c>
      <c r="AM7265">
        <v>1</v>
      </c>
      <c r="AN7265">
        <v>0</v>
      </c>
      <c r="AO7265">
        <v>1</v>
      </c>
      <c r="AP7265">
        <v>0</v>
      </c>
      <c r="AQ7265">
        <v>1</v>
      </c>
      <c r="AU7265">
        <v>1</v>
      </c>
      <c r="AV7265">
        <v>0</v>
      </c>
      <c r="AW7265">
        <v>0</v>
      </c>
    </row>
    <row r="7266" spans="1:49" x14ac:dyDescent="0.25">
      <c r="A7266" t="str">
        <f>"7262"</f>
        <v>7262</v>
      </c>
      <c r="B7266" t="str">
        <f t="shared" si="423"/>
        <v>1</v>
      </c>
      <c r="C7266" t="str">
        <f t="shared" si="422"/>
        <v>318</v>
      </c>
      <c r="D7266" t="str">
        <f>"11"</f>
        <v>11</v>
      </c>
      <c r="E7266" t="str">
        <f>"1-318-11"</f>
        <v>1-318-11</v>
      </c>
      <c r="F7266" t="s">
        <v>83</v>
      </c>
      <c r="G7266" t="s">
        <v>86</v>
      </c>
      <c r="H7266" t="s">
        <v>87</v>
      </c>
      <c r="AC7266">
        <v>0</v>
      </c>
      <c r="AD7266">
        <v>1</v>
      </c>
      <c r="AE7266">
        <v>0</v>
      </c>
      <c r="AF7266">
        <v>0</v>
      </c>
      <c r="AH7266">
        <v>1</v>
      </c>
      <c r="AI7266">
        <v>0</v>
      </c>
      <c r="AJ7266">
        <v>0</v>
      </c>
      <c r="AK7266">
        <v>1</v>
      </c>
      <c r="AL7266">
        <v>0</v>
      </c>
      <c r="AM7266">
        <v>0</v>
      </c>
      <c r="AN7266">
        <v>1</v>
      </c>
      <c r="AO7266">
        <v>1</v>
      </c>
      <c r="AP7266">
        <v>1</v>
      </c>
      <c r="AQ7266">
        <v>1</v>
      </c>
      <c r="AU7266">
        <v>1</v>
      </c>
      <c r="AV7266">
        <v>1</v>
      </c>
      <c r="AW7266">
        <v>1</v>
      </c>
    </row>
    <row r="7267" spans="1:49" x14ac:dyDescent="0.25">
      <c r="A7267" t="str">
        <f>"7263"</f>
        <v>7263</v>
      </c>
      <c r="B7267" t="str">
        <f t="shared" si="423"/>
        <v>1</v>
      </c>
      <c r="C7267" t="str">
        <f t="shared" si="422"/>
        <v>318</v>
      </c>
      <c r="D7267" t="str">
        <f>"1"</f>
        <v>1</v>
      </c>
      <c r="E7267" t="str">
        <f>"1-318-1"</f>
        <v>1-318-1</v>
      </c>
      <c r="F7267" t="s">
        <v>83</v>
      </c>
      <c r="G7267" t="s">
        <v>86</v>
      </c>
      <c r="H7267" t="s">
        <v>87</v>
      </c>
      <c r="AC7267">
        <v>0</v>
      </c>
      <c r="AD7267">
        <v>1</v>
      </c>
      <c r="AE7267">
        <v>0</v>
      </c>
      <c r="AF7267">
        <v>0</v>
      </c>
      <c r="AH7267">
        <v>1</v>
      </c>
      <c r="AI7267">
        <v>0</v>
      </c>
      <c r="AJ7267">
        <v>1</v>
      </c>
      <c r="AK7267">
        <v>0</v>
      </c>
      <c r="AL7267">
        <v>1</v>
      </c>
      <c r="AM7267">
        <v>0</v>
      </c>
      <c r="AN7267">
        <v>0</v>
      </c>
      <c r="AO7267">
        <v>0</v>
      </c>
      <c r="AP7267">
        <v>1</v>
      </c>
      <c r="AQ7267">
        <v>0</v>
      </c>
      <c r="AU7267">
        <v>0</v>
      </c>
      <c r="AV7267">
        <v>0</v>
      </c>
      <c r="AW7267">
        <v>0</v>
      </c>
    </row>
    <row r="7268" spans="1:49" x14ac:dyDescent="0.25">
      <c r="A7268" t="str">
        <f>"7264"</f>
        <v>7264</v>
      </c>
      <c r="B7268" t="str">
        <f t="shared" si="423"/>
        <v>1</v>
      </c>
      <c r="C7268" t="str">
        <f t="shared" si="422"/>
        <v>318</v>
      </c>
      <c r="D7268" t="str">
        <f>"17"</f>
        <v>17</v>
      </c>
      <c r="E7268" t="str">
        <f>"1-318-17"</f>
        <v>1-318-17</v>
      </c>
      <c r="F7268" t="s">
        <v>83</v>
      </c>
      <c r="G7268" t="s">
        <v>86</v>
      </c>
      <c r="H7268" t="s">
        <v>87</v>
      </c>
      <c r="AC7268">
        <v>1</v>
      </c>
      <c r="AD7268">
        <v>0</v>
      </c>
      <c r="AE7268">
        <v>0</v>
      </c>
      <c r="AF7268">
        <v>0</v>
      </c>
      <c r="AH7268">
        <v>1</v>
      </c>
      <c r="AI7268">
        <v>0</v>
      </c>
      <c r="AJ7268">
        <v>1</v>
      </c>
      <c r="AK7268">
        <v>0</v>
      </c>
      <c r="AL7268">
        <v>1</v>
      </c>
      <c r="AM7268">
        <v>0</v>
      </c>
      <c r="AN7268">
        <v>0</v>
      </c>
      <c r="AO7268">
        <v>1</v>
      </c>
      <c r="AP7268">
        <v>1</v>
      </c>
      <c r="AQ7268">
        <v>1</v>
      </c>
      <c r="AU7268">
        <v>1</v>
      </c>
      <c r="AV7268">
        <v>1</v>
      </c>
      <c r="AW7268">
        <v>1</v>
      </c>
    </row>
    <row r="7269" spans="1:49" x14ac:dyDescent="0.25">
      <c r="A7269" t="str">
        <f>"7265"</f>
        <v>7265</v>
      </c>
      <c r="B7269" t="str">
        <f t="shared" si="423"/>
        <v>1</v>
      </c>
      <c r="C7269" t="str">
        <f t="shared" si="422"/>
        <v>318</v>
      </c>
      <c r="D7269" t="str">
        <f>"12"</f>
        <v>12</v>
      </c>
      <c r="E7269" t="str">
        <f>"1-318-12"</f>
        <v>1-318-12</v>
      </c>
      <c r="F7269" t="s">
        <v>83</v>
      </c>
      <c r="G7269" t="s">
        <v>86</v>
      </c>
      <c r="H7269" t="s">
        <v>87</v>
      </c>
      <c r="AC7269">
        <v>1</v>
      </c>
      <c r="AD7269">
        <v>0</v>
      </c>
      <c r="AE7269">
        <v>0</v>
      </c>
      <c r="AF7269">
        <v>0</v>
      </c>
      <c r="AH7269">
        <v>1</v>
      </c>
      <c r="AI7269">
        <v>0</v>
      </c>
      <c r="AJ7269">
        <v>1</v>
      </c>
      <c r="AK7269">
        <v>0</v>
      </c>
      <c r="AL7269">
        <v>1</v>
      </c>
      <c r="AM7269">
        <v>0</v>
      </c>
      <c r="AN7269">
        <v>0</v>
      </c>
      <c r="AO7269">
        <v>1</v>
      </c>
      <c r="AP7269">
        <v>1</v>
      </c>
      <c r="AQ7269">
        <v>1</v>
      </c>
      <c r="AU7269">
        <v>1</v>
      </c>
      <c r="AV7269">
        <v>1</v>
      </c>
      <c r="AW7269">
        <v>1</v>
      </c>
    </row>
    <row r="7270" spans="1:49" x14ac:dyDescent="0.25">
      <c r="A7270" t="str">
        <f>"7266"</f>
        <v>7266</v>
      </c>
      <c r="B7270" t="str">
        <f t="shared" si="423"/>
        <v>1</v>
      </c>
      <c r="C7270" t="str">
        <f t="shared" si="422"/>
        <v>318</v>
      </c>
      <c r="D7270" t="str">
        <f>"7"</f>
        <v>7</v>
      </c>
      <c r="E7270" t="str">
        <f>"1-318-7"</f>
        <v>1-318-7</v>
      </c>
      <c r="F7270" t="s">
        <v>83</v>
      </c>
      <c r="G7270" t="s">
        <v>90</v>
      </c>
      <c r="H7270" t="s">
        <v>91</v>
      </c>
      <c r="AC7270">
        <v>1</v>
      </c>
      <c r="AD7270">
        <v>0</v>
      </c>
      <c r="AE7270">
        <v>0</v>
      </c>
      <c r="AF7270">
        <v>0</v>
      </c>
      <c r="AH7270">
        <v>1</v>
      </c>
      <c r="AI7270">
        <v>0</v>
      </c>
      <c r="AJ7270">
        <v>0</v>
      </c>
      <c r="AK7270">
        <v>1</v>
      </c>
      <c r="AL7270">
        <v>0</v>
      </c>
      <c r="AM7270">
        <v>0</v>
      </c>
      <c r="AN7270">
        <v>1</v>
      </c>
      <c r="AO7270">
        <v>0</v>
      </c>
      <c r="AP7270">
        <v>0</v>
      </c>
      <c r="AQ7270">
        <v>0</v>
      </c>
      <c r="AR7270">
        <v>0</v>
      </c>
      <c r="AU7270">
        <v>1</v>
      </c>
      <c r="AV7270">
        <v>0</v>
      </c>
      <c r="AW7270">
        <v>0</v>
      </c>
    </row>
    <row r="7271" spans="1:49" x14ac:dyDescent="0.25">
      <c r="A7271" t="str">
        <f>"7267"</f>
        <v>7267</v>
      </c>
      <c r="B7271" t="str">
        <f t="shared" si="423"/>
        <v>1</v>
      </c>
      <c r="C7271" t="str">
        <f t="shared" si="422"/>
        <v>318</v>
      </c>
      <c r="D7271" t="str">
        <f>"18"</f>
        <v>18</v>
      </c>
      <c r="E7271" t="str">
        <f>"1-318-18"</f>
        <v>1-318-18</v>
      </c>
      <c r="F7271" t="s">
        <v>83</v>
      </c>
      <c r="G7271" t="s">
        <v>86</v>
      </c>
      <c r="H7271" t="s">
        <v>87</v>
      </c>
      <c r="AC7271">
        <v>0</v>
      </c>
      <c r="AD7271">
        <v>1</v>
      </c>
      <c r="AE7271">
        <v>0</v>
      </c>
      <c r="AF7271">
        <v>0</v>
      </c>
      <c r="AH7271">
        <v>1</v>
      </c>
      <c r="AI7271">
        <v>0</v>
      </c>
      <c r="AJ7271">
        <v>1</v>
      </c>
      <c r="AK7271">
        <v>0</v>
      </c>
      <c r="AL7271">
        <v>0</v>
      </c>
      <c r="AM7271">
        <v>1</v>
      </c>
      <c r="AN7271">
        <v>0</v>
      </c>
      <c r="AO7271">
        <v>1</v>
      </c>
      <c r="AP7271">
        <v>1</v>
      </c>
      <c r="AQ7271">
        <v>1</v>
      </c>
      <c r="AU7271">
        <v>1</v>
      </c>
      <c r="AV7271">
        <v>1</v>
      </c>
      <c r="AW7271">
        <v>1</v>
      </c>
    </row>
    <row r="7272" spans="1:49" x14ac:dyDescent="0.25">
      <c r="A7272" t="str">
        <f>"7268"</f>
        <v>7268</v>
      </c>
      <c r="B7272" t="str">
        <f t="shared" si="423"/>
        <v>1</v>
      </c>
      <c r="C7272" t="str">
        <f t="shared" si="422"/>
        <v>318</v>
      </c>
      <c r="D7272" t="str">
        <f>"4"</f>
        <v>4</v>
      </c>
      <c r="E7272" t="str">
        <f>"1-318-4"</f>
        <v>1-318-4</v>
      </c>
      <c r="F7272" t="s">
        <v>83</v>
      </c>
      <c r="G7272" t="s">
        <v>86</v>
      </c>
      <c r="H7272" t="s">
        <v>87</v>
      </c>
      <c r="AC7272">
        <v>1</v>
      </c>
      <c r="AD7272">
        <v>0</v>
      </c>
      <c r="AE7272">
        <v>0</v>
      </c>
      <c r="AF7272">
        <v>0</v>
      </c>
      <c r="AH7272">
        <v>1</v>
      </c>
      <c r="AI7272">
        <v>0</v>
      </c>
      <c r="AJ7272">
        <v>1</v>
      </c>
      <c r="AK7272">
        <v>0</v>
      </c>
      <c r="AL7272">
        <v>1</v>
      </c>
      <c r="AM7272">
        <v>0</v>
      </c>
      <c r="AN7272">
        <v>0</v>
      </c>
      <c r="AO7272">
        <v>1</v>
      </c>
      <c r="AP7272">
        <v>0</v>
      </c>
      <c r="AQ7272">
        <v>1</v>
      </c>
      <c r="AU7272">
        <v>1</v>
      </c>
      <c r="AV7272">
        <v>1</v>
      </c>
      <c r="AW7272">
        <v>1</v>
      </c>
    </row>
    <row r="7273" spans="1:49" x14ac:dyDescent="0.25">
      <c r="A7273" t="str">
        <f>"7269"</f>
        <v>7269</v>
      </c>
      <c r="B7273" t="str">
        <f t="shared" si="423"/>
        <v>1</v>
      </c>
      <c r="C7273" t="str">
        <f t="shared" si="422"/>
        <v>318</v>
      </c>
      <c r="D7273" t="str">
        <f>"19"</f>
        <v>19</v>
      </c>
      <c r="E7273" t="str">
        <f>"1-318-19"</f>
        <v>1-318-19</v>
      </c>
      <c r="F7273" t="s">
        <v>83</v>
      </c>
      <c r="G7273" t="s">
        <v>86</v>
      </c>
      <c r="H7273" t="s">
        <v>87</v>
      </c>
      <c r="AC7273">
        <v>0</v>
      </c>
      <c r="AD7273">
        <v>0</v>
      </c>
      <c r="AE7273">
        <v>0</v>
      </c>
      <c r="AF7273">
        <v>0</v>
      </c>
      <c r="AH7273">
        <v>0</v>
      </c>
      <c r="AI7273">
        <v>1</v>
      </c>
      <c r="AJ7273">
        <v>0</v>
      </c>
      <c r="AK7273">
        <v>0</v>
      </c>
      <c r="AL7273">
        <v>0</v>
      </c>
      <c r="AM7273">
        <v>0</v>
      </c>
      <c r="AN7273">
        <v>0</v>
      </c>
      <c r="AO7273">
        <v>0</v>
      </c>
      <c r="AP7273">
        <v>0</v>
      </c>
      <c r="AQ7273">
        <v>0</v>
      </c>
      <c r="AU7273">
        <v>0</v>
      </c>
      <c r="AV7273">
        <v>0</v>
      </c>
      <c r="AW7273">
        <v>0</v>
      </c>
    </row>
    <row r="7274" spans="1:49" x14ac:dyDescent="0.25">
      <c r="A7274" t="str">
        <f>"7270"</f>
        <v>7270</v>
      </c>
      <c r="B7274" t="str">
        <f t="shared" si="423"/>
        <v>1</v>
      </c>
      <c r="C7274" t="str">
        <f t="shared" si="422"/>
        <v>318</v>
      </c>
      <c r="D7274" t="str">
        <f>"6"</f>
        <v>6</v>
      </c>
      <c r="E7274" t="str">
        <f>"1-318-6"</f>
        <v>1-318-6</v>
      </c>
      <c r="F7274" t="s">
        <v>83</v>
      </c>
      <c r="G7274" t="s">
        <v>86</v>
      </c>
      <c r="H7274" t="s">
        <v>87</v>
      </c>
      <c r="AC7274">
        <v>0</v>
      </c>
      <c r="AD7274">
        <v>1</v>
      </c>
      <c r="AE7274">
        <v>0</v>
      </c>
      <c r="AF7274">
        <v>0</v>
      </c>
      <c r="AH7274">
        <v>1</v>
      </c>
      <c r="AI7274">
        <v>0</v>
      </c>
      <c r="AJ7274">
        <v>0</v>
      </c>
      <c r="AK7274">
        <v>1</v>
      </c>
      <c r="AL7274">
        <v>0</v>
      </c>
      <c r="AM7274">
        <v>0</v>
      </c>
      <c r="AN7274">
        <v>1</v>
      </c>
      <c r="AO7274">
        <v>1</v>
      </c>
      <c r="AP7274">
        <v>1</v>
      </c>
      <c r="AQ7274">
        <v>1</v>
      </c>
      <c r="AU7274">
        <v>1</v>
      </c>
      <c r="AV7274">
        <v>1</v>
      </c>
      <c r="AW7274">
        <v>1</v>
      </c>
    </row>
    <row r="7275" spans="1:49" x14ac:dyDescent="0.25">
      <c r="A7275" t="str">
        <f>"7271"</f>
        <v>7271</v>
      </c>
      <c r="B7275" t="str">
        <f t="shared" si="423"/>
        <v>1</v>
      </c>
      <c r="C7275" t="str">
        <f t="shared" si="422"/>
        <v>318</v>
      </c>
      <c r="D7275" t="str">
        <f>"2"</f>
        <v>2</v>
      </c>
      <c r="E7275" t="str">
        <f>"1-318-2"</f>
        <v>1-318-2</v>
      </c>
      <c r="F7275" t="s">
        <v>83</v>
      </c>
      <c r="G7275" t="s">
        <v>86</v>
      </c>
      <c r="H7275" t="s">
        <v>87</v>
      </c>
      <c r="AC7275">
        <v>0</v>
      </c>
      <c r="AD7275">
        <v>1</v>
      </c>
      <c r="AE7275">
        <v>0</v>
      </c>
      <c r="AF7275">
        <v>0</v>
      </c>
      <c r="AH7275">
        <v>0</v>
      </c>
      <c r="AI7275">
        <v>1</v>
      </c>
      <c r="AJ7275">
        <v>0</v>
      </c>
      <c r="AK7275">
        <v>1</v>
      </c>
      <c r="AL7275">
        <v>0</v>
      </c>
      <c r="AM7275">
        <v>0</v>
      </c>
      <c r="AN7275">
        <v>1</v>
      </c>
      <c r="AO7275">
        <v>0</v>
      </c>
      <c r="AP7275">
        <v>0</v>
      </c>
      <c r="AQ7275">
        <v>0</v>
      </c>
      <c r="AU7275">
        <v>0</v>
      </c>
      <c r="AV7275">
        <v>0</v>
      </c>
      <c r="AW7275">
        <v>0</v>
      </c>
    </row>
    <row r="7276" spans="1:49" x14ac:dyDescent="0.25">
      <c r="A7276" t="str">
        <f>"7272"</f>
        <v>7272</v>
      </c>
      <c r="B7276" t="str">
        <f t="shared" si="423"/>
        <v>1</v>
      </c>
      <c r="C7276" t="str">
        <f t="shared" ref="C7276:C7299" si="424">"319"</f>
        <v>319</v>
      </c>
      <c r="D7276" t="str">
        <f>"23"</f>
        <v>23</v>
      </c>
      <c r="E7276" t="str">
        <f>"1-319-23"</f>
        <v>1-319-23</v>
      </c>
      <c r="F7276" t="s">
        <v>83</v>
      </c>
      <c r="G7276" t="s">
        <v>86</v>
      </c>
      <c r="H7276" t="s">
        <v>93</v>
      </c>
      <c r="I7276">
        <v>1</v>
      </c>
      <c r="K7276">
        <v>1</v>
      </c>
      <c r="L7276">
        <v>0</v>
      </c>
      <c r="M7276">
        <v>0</v>
      </c>
      <c r="N7276">
        <v>1</v>
      </c>
      <c r="O7276">
        <v>0</v>
      </c>
      <c r="P7276">
        <v>0</v>
      </c>
      <c r="Q7276">
        <v>0</v>
      </c>
      <c r="R7276">
        <v>0</v>
      </c>
      <c r="U7276">
        <v>0</v>
      </c>
      <c r="V7276">
        <v>1</v>
      </c>
      <c r="W7276">
        <v>0</v>
      </c>
      <c r="X7276">
        <v>0</v>
      </c>
      <c r="Y7276">
        <v>0</v>
      </c>
      <c r="Z7276">
        <v>0</v>
      </c>
      <c r="AA7276">
        <v>0</v>
      </c>
      <c r="AB7276">
        <v>0</v>
      </c>
    </row>
    <row r="7277" spans="1:49" x14ac:dyDescent="0.25">
      <c r="A7277" t="str">
        <f>"7273"</f>
        <v>7273</v>
      </c>
      <c r="B7277" t="str">
        <f t="shared" si="423"/>
        <v>1</v>
      </c>
      <c r="C7277" t="str">
        <f t="shared" si="424"/>
        <v>319</v>
      </c>
      <c r="D7277" t="str">
        <f>"22"</f>
        <v>22</v>
      </c>
      <c r="E7277" t="str">
        <f>"1-319-22"</f>
        <v>1-319-22</v>
      </c>
      <c r="F7277" t="s">
        <v>83</v>
      </c>
      <c r="G7277" t="s">
        <v>86</v>
      </c>
      <c r="H7277" t="s">
        <v>93</v>
      </c>
      <c r="I7277">
        <v>1</v>
      </c>
      <c r="K7277">
        <v>0</v>
      </c>
      <c r="L7277">
        <v>0</v>
      </c>
      <c r="M7277">
        <v>1</v>
      </c>
      <c r="N7277">
        <v>1</v>
      </c>
      <c r="O7277">
        <v>1</v>
      </c>
      <c r="P7277">
        <v>1</v>
      </c>
      <c r="Q7277">
        <v>1</v>
      </c>
      <c r="R7277">
        <v>1</v>
      </c>
      <c r="U7277">
        <v>0</v>
      </c>
      <c r="V7277">
        <v>1</v>
      </c>
      <c r="W7277">
        <v>1</v>
      </c>
      <c r="X7277">
        <v>1</v>
      </c>
      <c r="Y7277">
        <v>1</v>
      </c>
      <c r="Z7277">
        <v>1</v>
      </c>
      <c r="AA7277">
        <v>1</v>
      </c>
      <c r="AB7277">
        <v>1</v>
      </c>
    </row>
    <row r="7278" spans="1:49" x14ac:dyDescent="0.25">
      <c r="A7278" t="str">
        <f>"7274"</f>
        <v>7274</v>
      </c>
      <c r="B7278" t="str">
        <f t="shared" si="423"/>
        <v>1</v>
      </c>
      <c r="C7278" t="str">
        <f t="shared" si="424"/>
        <v>319</v>
      </c>
      <c r="D7278" t="str">
        <f>"13"</f>
        <v>13</v>
      </c>
      <c r="E7278" t="str">
        <f>"1-319-13"</f>
        <v>1-319-13</v>
      </c>
      <c r="F7278" t="s">
        <v>83</v>
      </c>
      <c r="G7278" t="s">
        <v>86</v>
      </c>
      <c r="H7278" t="s">
        <v>93</v>
      </c>
      <c r="I7278">
        <v>1</v>
      </c>
      <c r="K7278">
        <v>0</v>
      </c>
      <c r="L7278">
        <v>0</v>
      </c>
      <c r="M7278">
        <v>1</v>
      </c>
      <c r="N7278">
        <v>1</v>
      </c>
      <c r="O7278">
        <v>1</v>
      </c>
      <c r="P7278">
        <v>1</v>
      </c>
      <c r="Q7278">
        <v>1</v>
      </c>
      <c r="R7278">
        <v>1</v>
      </c>
      <c r="U7278">
        <v>1</v>
      </c>
      <c r="V7278">
        <v>0</v>
      </c>
      <c r="W7278">
        <v>1</v>
      </c>
      <c r="X7278">
        <v>1</v>
      </c>
      <c r="Y7278">
        <v>1</v>
      </c>
      <c r="Z7278">
        <v>1</v>
      </c>
      <c r="AA7278">
        <v>1</v>
      </c>
      <c r="AB7278">
        <v>1</v>
      </c>
    </row>
    <row r="7279" spans="1:49" x14ac:dyDescent="0.25">
      <c r="A7279" t="str">
        <f>"7275"</f>
        <v>7275</v>
      </c>
      <c r="B7279" t="str">
        <f t="shared" si="423"/>
        <v>1</v>
      </c>
      <c r="C7279" t="str">
        <f t="shared" si="424"/>
        <v>319</v>
      </c>
      <c r="D7279" t="str">
        <f>"8"</f>
        <v>8</v>
      </c>
      <c r="E7279" t="str">
        <f>"1-319-8"</f>
        <v>1-319-8</v>
      </c>
      <c r="F7279" t="s">
        <v>83</v>
      </c>
      <c r="G7279" t="s">
        <v>86</v>
      </c>
      <c r="H7279" t="s">
        <v>93</v>
      </c>
      <c r="I7279">
        <v>1</v>
      </c>
      <c r="K7279">
        <v>0</v>
      </c>
      <c r="L7279">
        <v>0</v>
      </c>
      <c r="M7279">
        <v>1</v>
      </c>
      <c r="N7279">
        <v>1</v>
      </c>
      <c r="O7279">
        <v>1</v>
      </c>
      <c r="P7279">
        <v>1</v>
      </c>
      <c r="Q7279">
        <v>1</v>
      </c>
      <c r="R7279">
        <v>1</v>
      </c>
      <c r="U7279">
        <v>1</v>
      </c>
      <c r="V7279">
        <v>0</v>
      </c>
      <c r="W7279">
        <v>1</v>
      </c>
      <c r="X7279">
        <v>1</v>
      </c>
      <c r="Y7279">
        <v>1</v>
      </c>
      <c r="Z7279">
        <v>1</v>
      </c>
      <c r="AA7279">
        <v>1</v>
      </c>
      <c r="AB7279">
        <v>1</v>
      </c>
    </row>
    <row r="7280" spans="1:49" x14ac:dyDescent="0.25">
      <c r="A7280" t="str">
        <f>"7276"</f>
        <v>7276</v>
      </c>
      <c r="B7280" t="str">
        <f t="shared" si="423"/>
        <v>1</v>
      </c>
      <c r="C7280" t="str">
        <f t="shared" si="424"/>
        <v>319</v>
      </c>
      <c r="D7280" t="str">
        <f>"6"</f>
        <v>6</v>
      </c>
      <c r="E7280" t="str">
        <f>"1-319-6"</f>
        <v>1-319-6</v>
      </c>
      <c r="F7280" t="s">
        <v>83</v>
      </c>
      <c r="G7280" t="s">
        <v>86</v>
      </c>
      <c r="H7280" t="s">
        <v>93</v>
      </c>
      <c r="I7280">
        <v>1</v>
      </c>
      <c r="K7280">
        <v>1</v>
      </c>
      <c r="L7280">
        <v>0</v>
      </c>
      <c r="M7280">
        <v>0</v>
      </c>
      <c r="N7280">
        <v>1</v>
      </c>
      <c r="O7280">
        <v>1</v>
      </c>
      <c r="P7280">
        <v>1</v>
      </c>
      <c r="Q7280">
        <v>1</v>
      </c>
      <c r="R7280">
        <v>1</v>
      </c>
      <c r="U7280">
        <v>1</v>
      </c>
      <c r="V7280">
        <v>0</v>
      </c>
      <c r="W7280">
        <v>1</v>
      </c>
      <c r="X7280">
        <v>1</v>
      </c>
      <c r="Y7280">
        <v>1</v>
      </c>
      <c r="Z7280">
        <v>1</v>
      </c>
      <c r="AA7280">
        <v>1</v>
      </c>
      <c r="AB7280">
        <v>1</v>
      </c>
    </row>
    <row r="7281" spans="1:28" x14ac:dyDescent="0.25">
      <c r="A7281" t="str">
        <f>"7277"</f>
        <v>7277</v>
      </c>
      <c r="B7281" t="str">
        <f t="shared" si="423"/>
        <v>1</v>
      </c>
      <c r="C7281" t="str">
        <f t="shared" si="424"/>
        <v>319</v>
      </c>
      <c r="D7281" t="str">
        <f>"21"</f>
        <v>21</v>
      </c>
      <c r="E7281" t="str">
        <f>"1-319-21"</f>
        <v>1-319-21</v>
      </c>
      <c r="F7281" t="s">
        <v>83</v>
      </c>
      <c r="G7281" t="s">
        <v>86</v>
      </c>
      <c r="H7281" t="s">
        <v>93</v>
      </c>
      <c r="I7281">
        <v>1</v>
      </c>
      <c r="K7281">
        <v>0</v>
      </c>
      <c r="L7281">
        <v>0</v>
      </c>
      <c r="M7281">
        <v>1</v>
      </c>
      <c r="N7281">
        <v>1</v>
      </c>
      <c r="O7281">
        <v>1</v>
      </c>
      <c r="P7281">
        <v>1</v>
      </c>
      <c r="Q7281">
        <v>0</v>
      </c>
      <c r="R7281">
        <v>0</v>
      </c>
      <c r="U7281">
        <v>1</v>
      </c>
      <c r="V7281">
        <v>0</v>
      </c>
      <c r="W7281">
        <v>0</v>
      </c>
      <c r="X7281">
        <v>1</v>
      </c>
      <c r="Y7281">
        <v>1</v>
      </c>
      <c r="Z7281">
        <v>1</v>
      </c>
      <c r="AA7281">
        <v>1</v>
      </c>
      <c r="AB7281">
        <v>1</v>
      </c>
    </row>
    <row r="7282" spans="1:28" x14ac:dyDescent="0.25">
      <c r="A7282" t="str">
        <f>"7278"</f>
        <v>7278</v>
      </c>
      <c r="B7282" t="str">
        <f t="shared" si="423"/>
        <v>1</v>
      </c>
      <c r="C7282" t="str">
        <f t="shared" si="424"/>
        <v>319</v>
      </c>
      <c r="D7282" t="str">
        <f>"20"</f>
        <v>20</v>
      </c>
      <c r="E7282" t="str">
        <f>"1-319-20"</f>
        <v>1-319-20</v>
      </c>
      <c r="F7282" t="s">
        <v>83</v>
      </c>
      <c r="G7282" t="s">
        <v>90</v>
      </c>
      <c r="H7282" t="s">
        <v>94</v>
      </c>
      <c r="I7282">
        <v>1</v>
      </c>
      <c r="K7282">
        <v>1</v>
      </c>
      <c r="L7282">
        <v>0</v>
      </c>
      <c r="M7282">
        <v>0</v>
      </c>
      <c r="N7282">
        <v>1</v>
      </c>
      <c r="O7282">
        <v>1</v>
      </c>
      <c r="P7282">
        <v>1</v>
      </c>
      <c r="Q7282">
        <v>1</v>
      </c>
      <c r="R7282">
        <v>1</v>
      </c>
      <c r="S7282">
        <v>1</v>
      </c>
      <c r="U7282">
        <v>0</v>
      </c>
      <c r="V7282">
        <v>1</v>
      </c>
      <c r="W7282">
        <v>1</v>
      </c>
      <c r="X7282">
        <v>1</v>
      </c>
      <c r="Y7282">
        <v>1</v>
      </c>
      <c r="Z7282">
        <v>1</v>
      </c>
      <c r="AA7282">
        <v>1</v>
      </c>
      <c r="AB7282">
        <v>1</v>
      </c>
    </row>
    <row r="7283" spans="1:28" x14ac:dyDescent="0.25">
      <c r="A7283" t="str">
        <f>"7279"</f>
        <v>7279</v>
      </c>
      <c r="B7283" t="str">
        <f t="shared" si="423"/>
        <v>1</v>
      </c>
      <c r="C7283" t="str">
        <f t="shared" si="424"/>
        <v>319</v>
      </c>
      <c r="D7283" t="str">
        <f>"14"</f>
        <v>14</v>
      </c>
      <c r="E7283" t="str">
        <f>"1-319-14"</f>
        <v>1-319-14</v>
      </c>
      <c r="F7283" t="s">
        <v>83</v>
      </c>
      <c r="G7283" t="s">
        <v>86</v>
      </c>
      <c r="H7283" t="s">
        <v>93</v>
      </c>
      <c r="I7283">
        <v>1</v>
      </c>
      <c r="K7283">
        <v>1</v>
      </c>
      <c r="L7283">
        <v>0</v>
      </c>
      <c r="M7283">
        <v>0</v>
      </c>
      <c r="N7283">
        <v>1</v>
      </c>
      <c r="O7283">
        <v>1</v>
      </c>
      <c r="P7283">
        <v>1</v>
      </c>
      <c r="Q7283">
        <v>1</v>
      </c>
      <c r="R7283">
        <v>1</v>
      </c>
      <c r="U7283">
        <v>1</v>
      </c>
      <c r="V7283">
        <v>0</v>
      </c>
      <c r="W7283">
        <v>1</v>
      </c>
      <c r="X7283">
        <v>1</v>
      </c>
      <c r="Y7283">
        <v>1</v>
      </c>
      <c r="Z7283">
        <v>1</v>
      </c>
      <c r="AA7283">
        <v>1</v>
      </c>
      <c r="AB7283">
        <v>1</v>
      </c>
    </row>
    <row r="7284" spans="1:28" x14ac:dyDescent="0.25">
      <c r="A7284" t="str">
        <f>"7280"</f>
        <v>7280</v>
      </c>
      <c r="B7284" t="str">
        <f t="shared" si="423"/>
        <v>1</v>
      </c>
      <c r="C7284" t="str">
        <f t="shared" si="424"/>
        <v>319</v>
      </c>
      <c r="D7284" t="str">
        <f>"9"</f>
        <v>9</v>
      </c>
      <c r="E7284" t="str">
        <f>"1-319-9"</f>
        <v>1-319-9</v>
      </c>
      <c r="F7284" t="s">
        <v>83</v>
      </c>
      <c r="G7284" t="s">
        <v>86</v>
      </c>
      <c r="H7284" t="s">
        <v>93</v>
      </c>
      <c r="I7284">
        <v>1</v>
      </c>
      <c r="K7284">
        <v>1</v>
      </c>
      <c r="L7284">
        <v>0</v>
      </c>
      <c r="M7284">
        <v>0</v>
      </c>
      <c r="N7284">
        <v>1</v>
      </c>
      <c r="O7284">
        <v>1</v>
      </c>
      <c r="P7284">
        <v>1</v>
      </c>
      <c r="Q7284">
        <v>1</v>
      </c>
      <c r="R7284">
        <v>1</v>
      </c>
      <c r="U7284">
        <v>0</v>
      </c>
      <c r="V7284">
        <v>1</v>
      </c>
      <c r="W7284">
        <v>1</v>
      </c>
      <c r="X7284">
        <v>1</v>
      </c>
      <c r="Y7284">
        <v>1</v>
      </c>
      <c r="Z7284">
        <v>1</v>
      </c>
      <c r="AA7284">
        <v>1</v>
      </c>
      <c r="AB7284">
        <v>1</v>
      </c>
    </row>
    <row r="7285" spans="1:28" x14ac:dyDescent="0.25">
      <c r="A7285" t="str">
        <f>"7281"</f>
        <v>7281</v>
      </c>
      <c r="B7285" t="str">
        <f t="shared" si="423"/>
        <v>1</v>
      </c>
      <c r="C7285" t="str">
        <f t="shared" si="424"/>
        <v>319</v>
      </c>
      <c r="D7285" t="str">
        <f>"3"</f>
        <v>3</v>
      </c>
      <c r="E7285" t="str">
        <f>"1-319-3"</f>
        <v>1-319-3</v>
      </c>
      <c r="F7285" t="s">
        <v>83</v>
      </c>
      <c r="G7285" t="s">
        <v>86</v>
      </c>
      <c r="H7285" t="s">
        <v>93</v>
      </c>
      <c r="I7285">
        <v>1</v>
      </c>
      <c r="K7285">
        <v>0</v>
      </c>
      <c r="L7285">
        <v>0</v>
      </c>
      <c r="M7285">
        <v>1</v>
      </c>
      <c r="N7285">
        <v>1</v>
      </c>
      <c r="O7285">
        <v>1</v>
      </c>
      <c r="P7285">
        <v>1</v>
      </c>
      <c r="Q7285">
        <v>1</v>
      </c>
      <c r="R7285">
        <v>1</v>
      </c>
      <c r="U7285">
        <v>1</v>
      </c>
      <c r="V7285">
        <v>0</v>
      </c>
      <c r="W7285">
        <v>1</v>
      </c>
      <c r="X7285">
        <v>1</v>
      </c>
      <c r="Y7285">
        <v>1</v>
      </c>
      <c r="Z7285">
        <v>1</v>
      </c>
      <c r="AA7285">
        <v>1</v>
      </c>
      <c r="AB7285">
        <v>1</v>
      </c>
    </row>
    <row r="7286" spans="1:28" s="2" customFormat="1" x14ac:dyDescent="0.25">
      <c r="A7286" s="2" t="str">
        <f>"7282"</f>
        <v>7282</v>
      </c>
      <c r="B7286" s="2" t="str">
        <f t="shared" si="423"/>
        <v>1</v>
      </c>
      <c r="C7286" s="2" t="str">
        <f t="shared" si="424"/>
        <v>319</v>
      </c>
      <c r="D7286" s="2" t="str">
        <f>"18"</f>
        <v>18</v>
      </c>
      <c r="E7286" s="2" t="str">
        <f>"1-319-18"</f>
        <v>1-319-18</v>
      </c>
      <c r="F7286" s="2" t="s">
        <v>83</v>
      </c>
      <c r="G7286" s="2" t="s">
        <v>86</v>
      </c>
      <c r="H7286" s="2" t="s">
        <v>93</v>
      </c>
      <c r="I7286" s="2">
        <v>0</v>
      </c>
      <c r="K7286" s="2">
        <v>0</v>
      </c>
      <c r="L7286" s="2">
        <v>0</v>
      </c>
      <c r="M7286" s="2">
        <v>1</v>
      </c>
      <c r="N7286" s="2">
        <v>0</v>
      </c>
      <c r="O7286" s="2">
        <v>0</v>
      </c>
      <c r="P7286" s="2">
        <v>0</v>
      </c>
      <c r="Q7286" s="2">
        <v>0</v>
      </c>
      <c r="R7286" s="2">
        <v>0</v>
      </c>
      <c r="U7286" s="2">
        <v>0</v>
      </c>
      <c r="V7286" s="2">
        <v>1</v>
      </c>
      <c r="W7286" s="2">
        <v>0</v>
      </c>
      <c r="X7286" s="2">
        <v>0</v>
      </c>
      <c r="Y7286" s="2">
        <v>0</v>
      </c>
      <c r="Z7286" s="2">
        <v>0</v>
      </c>
      <c r="AA7286" s="2">
        <v>0</v>
      </c>
      <c r="AB7286" s="2">
        <v>0</v>
      </c>
    </row>
    <row r="7287" spans="1:28" s="2" customFormat="1" x14ac:dyDescent="0.25">
      <c r="A7287" s="2" t="str">
        <f>"7283"</f>
        <v>7283</v>
      </c>
      <c r="B7287" s="2" t="str">
        <f t="shared" si="423"/>
        <v>1</v>
      </c>
      <c r="C7287" s="2" t="str">
        <f t="shared" si="424"/>
        <v>319</v>
      </c>
      <c r="D7287" s="2" t="str">
        <f>"1"</f>
        <v>1</v>
      </c>
      <c r="E7287" s="2" t="str">
        <f>"1-319-1"</f>
        <v>1-319-1</v>
      </c>
      <c r="F7287" s="2" t="s">
        <v>83</v>
      </c>
      <c r="G7287" s="2" t="s">
        <v>86</v>
      </c>
      <c r="H7287" s="2" t="s">
        <v>93</v>
      </c>
      <c r="I7287" s="2">
        <v>1</v>
      </c>
      <c r="K7287" s="2">
        <v>0</v>
      </c>
      <c r="L7287" s="2">
        <v>0</v>
      </c>
      <c r="M7287" s="2">
        <v>1</v>
      </c>
      <c r="N7287" s="2">
        <v>1</v>
      </c>
      <c r="O7287" s="2">
        <v>1</v>
      </c>
      <c r="P7287" s="2">
        <v>1</v>
      </c>
      <c r="Q7287" s="2">
        <v>1</v>
      </c>
      <c r="R7287" s="2">
        <v>1</v>
      </c>
      <c r="U7287" s="2">
        <v>1</v>
      </c>
      <c r="V7287" s="2">
        <v>0</v>
      </c>
      <c r="W7287" s="2">
        <v>1</v>
      </c>
      <c r="X7287" s="2">
        <v>1</v>
      </c>
      <c r="Y7287" s="2">
        <v>1</v>
      </c>
      <c r="Z7287" s="2">
        <v>1</v>
      </c>
      <c r="AA7287" s="2">
        <v>1</v>
      </c>
      <c r="AB7287" s="2">
        <v>1</v>
      </c>
    </row>
    <row r="7288" spans="1:28" x14ac:dyDescent="0.25">
      <c r="A7288" t="str">
        <f>"7284"</f>
        <v>7284</v>
      </c>
      <c r="B7288" t="str">
        <f t="shared" si="423"/>
        <v>1</v>
      </c>
      <c r="C7288" t="str">
        <f t="shared" si="424"/>
        <v>319</v>
      </c>
      <c r="D7288" t="str">
        <f>"17"</f>
        <v>17</v>
      </c>
      <c r="E7288" t="str">
        <f>"1-319-17"</f>
        <v>1-319-17</v>
      </c>
      <c r="F7288" t="s">
        <v>83</v>
      </c>
      <c r="G7288" t="s">
        <v>86</v>
      </c>
      <c r="H7288" t="s">
        <v>93</v>
      </c>
      <c r="I7288">
        <v>1</v>
      </c>
      <c r="K7288">
        <v>0</v>
      </c>
      <c r="L7288">
        <v>0</v>
      </c>
      <c r="M7288">
        <v>1</v>
      </c>
      <c r="N7288">
        <v>1</v>
      </c>
      <c r="O7288">
        <v>1</v>
      </c>
      <c r="P7288">
        <v>1</v>
      </c>
      <c r="Q7288">
        <v>1</v>
      </c>
      <c r="R7288">
        <v>1</v>
      </c>
      <c r="U7288">
        <v>0</v>
      </c>
      <c r="V7288">
        <v>1</v>
      </c>
      <c r="W7288">
        <v>1</v>
      </c>
      <c r="X7288">
        <v>1</v>
      </c>
      <c r="Y7288">
        <v>1</v>
      </c>
      <c r="Z7288">
        <v>1</v>
      </c>
      <c r="AA7288">
        <v>1</v>
      </c>
      <c r="AB7288">
        <v>1</v>
      </c>
    </row>
    <row r="7289" spans="1:28" x14ac:dyDescent="0.25">
      <c r="A7289" t="str">
        <f>"7285"</f>
        <v>7285</v>
      </c>
      <c r="B7289" t="str">
        <f t="shared" si="423"/>
        <v>1</v>
      </c>
      <c r="C7289" t="str">
        <f t="shared" si="424"/>
        <v>319</v>
      </c>
      <c r="D7289" t="str">
        <f>"11"</f>
        <v>11</v>
      </c>
      <c r="E7289" t="str">
        <f>"1-319-11"</f>
        <v>1-319-11</v>
      </c>
      <c r="F7289" t="s">
        <v>83</v>
      </c>
      <c r="G7289" t="s">
        <v>86</v>
      </c>
      <c r="H7289" t="s">
        <v>93</v>
      </c>
      <c r="I7289">
        <v>1</v>
      </c>
      <c r="K7289">
        <v>0</v>
      </c>
      <c r="L7289">
        <v>0</v>
      </c>
      <c r="M7289">
        <v>1</v>
      </c>
      <c r="N7289">
        <v>1</v>
      </c>
      <c r="O7289">
        <v>1</v>
      </c>
      <c r="P7289">
        <v>1</v>
      </c>
      <c r="Q7289">
        <v>1</v>
      </c>
      <c r="R7289">
        <v>1</v>
      </c>
      <c r="U7289">
        <v>0</v>
      </c>
      <c r="V7289">
        <v>1</v>
      </c>
      <c r="W7289">
        <v>1</v>
      </c>
      <c r="X7289">
        <v>1</v>
      </c>
      <c r="Y7289">
        <v>1</v>
      </c>
      <c r="Z7289">
        <v>1</v>
      </c>
      <c r="AA7289">
        <v>1</v>
      </c>
      <c r="AB7289">
        <v>1</v>
      </c>
    </row>
    <row r="7290" spans="1:28" x14ac:dyDescent="0.25">
      <c r="A7290" t="str">
        <f>"7286"</f>
        <v>7286</v>
      </c>
      <c r="B7290" t="str">
        <f t="shared" si="423"/>
        <v>1</v>
      </c>
      <c r="C7290" t="str">
        <f t="shared" si="424"/>
        <v>319</v>
      </c>
      <c r="D7290" t="str">
        <f>"7"</f>
        <v>7</v>
      </c>
      <c r="E7290" t="str">
        <f>"1-319-7"</f>
        <v>1-319-7</v>
      </c>
      <c r="F7290" t="s">
        <v>83</v>
      </c>
      <c r="G7290" t="s">
        <v>86</v>
      </c>
      <c r="H7290" t="s">
        <v>93</v>
      </c>
      <c r="I7290">
        <v>1</v>
      </c>
      <c r="K7290">
        <v>0</v>
      </c>
      <c r="L7290">
        <v>0</v>
      </c>
      <c r="M7290">
        <v>0</v>
      </c>
      <c r="N7290">
        <v>1</v>
      </c>
      <c r="O7290">
        <v>0</v>
      </c>
      <c r="P7290">
        <v>0</v>
      </c>
      <c r="Q7290">
        <v>1</v>
      </c>
      <c r="R7290">
        <v>1</v>
      </c>
      <c r="U7290">
        <v>0</v>
      </c>
      <c r="V7290">
        <v>1</v>
      </c>
      <c r="W7290">
        <v>1</v>
      </c>
      <c r="X7290">
        <v>1</v>
      </c>
      <c r="Y7290">
        <v>1</v>
      </c>
      <c r="Z7290">
        <v>1</v>
      </c>
      <c r="AA7290">
        <v>1</v>
      </c>
      <c r="AB7290">
        <v>1</v>
      </c>
    </row>
    <row r="7291" spans="1:28" x14ac:dyDescent="0.25">
      <c r="A7291" t="str">
        <f>"7287"</f>
        <v>7287</v>
      </c>
      <c r="B7291" t="str">
        <f t="shared" si="423"/>
        <v>1</v>
      </c>
      <c r="C7291" t="str">
        <f t="shared" si="424"/>
        <v>319</v>
      </c>
      <c r="D7291" t="str">
        <f>"19"</f>
        <v>19</v>
      </c>
      <c r="E7291" t="str">
        <f>"1-319-19"</f>
        <v>1-319-19</v>
      </c>
      <c r="F7291" t="s">
        <v>83</v>
      </c>
      <c r="G7291" t="s">
        <v>86</v>
      </c>
      <c r="H7291" t="s">
        <v>93</v>
      </c>
      <c r="I7291">
        <v>1</v>
      </c>
      <c r="K7291">
        <v>0</v>
      </c>
      <c r="L7291">
        <v>0</v>
      </c>
      <c r="M7291">
        <v>1</v>
      </c>
      <c r="N7291">
        <v>1</v>
      </c>
      <c r="O7291">
        <v>1</v>
      </c>
      <c r="P7291">
        <v>1</v>
      </c>
      <c r="Q7291">
        <v>1</v>
      </c>
      <c r="R7291">
        <v>1</v>
      </c>
      <c r="U7291">
        <v>1</v>
      </c>
      <c r="V7291">
        <v>0</v>
      </c>
      <c r="W7291">
        <v>1</v>
      </c>
      <c r="X7291">
        <v>1</v>
      </c>
      <c r="Y7291">
        <v>1</v>
      </c>
      <c r="Z7291">
        <v>1</v>
      </c>
      <c r="AA7291">
        <v>1</v>
      </c>
      <c r="AB7291">
        <v>1</v>
      </c>
    </row>
    <row r="7292" spans="1:28" x14ac:dyDescent="0.25">
      <c r="A7292" t="str">
        <f>"7288"</f>
        <v>7288</v>
      </c>
      <c r="B7292" t="str">
        <f t="shared" si="423"/>
        <v>1</v>
      </c>
      <c r="C7292" t="str">
        <f t="shared" si="424"/>
        <v>319</v>
      </c>
      <c r="D7292" t="str">
        <f>"12"</f>
        <v>12</v>
      </c>
      <c r="E7292" t="str">
        <f>"1-319-12"</f>
        <v>1-319-12</v>
      </c>
      <c r="F7292" t="s">
        <v>83</v>
      </c>
      <c r="G7292" t="s">
        <v>86</v>
      </c>
      <c r="H7292" t="s">
        <v>93</v>
      </c>
      <c r="I7292">
        <v>1</v>
      </c>
      <c r="K7292">
        <v>0</v>
      </c>
      <c r="L7292">
        <v>0</v>
      </c>
      <c r="M7292">
        <v>1</v>
      </c>
      <c r="N7292">
        <v>1</v>
      </c>
      <c r="O7292">
        <v>1</v>
      </c>
      <c r="P7292">
        <v>1</v>
      </c>
      <c r="Q7292">
        <v>1</v>
      </c>
      <c r="R7292">
        <v>1</v>
      </c>
      <c r="U7292">
        <v>1</v>
      </c>
      <c r="V7292">
        <v>0</v>
      </c>
      <c r="W7292">
        <v>1</v>
      </c>
      <c r="X7292">
        <v>1</v>
      </c>
      <c r="Y7292">
        <v>1</v>
      </c>
      <c r="Z7292">
        <v>1</v>
      </c>
      <c r="AA7292">
        <v>1</v>
      </c>
      <c r="AB7292">
        <v>1</v>
      </c>
    </row>
    <row r="7293" spans="1:28" x14ac:dyDescent="0.25">
      <c r="A7293" t="str">
        <f>"7289"</f>
        <v>7289</v>
      </c>
      <c r="B7293" t="str">
        <f t="shared" si="423"/>
        <v>1</v>
      </c>
      <c r="C7293" t="str">
        <f t="shared" si="424"/>
        <v>319</v>
      </c>
      <c r="D7293" t="str">
        <f>"2"</f>
        <v>2</v>
      </c>
      <c r="E7293" t="str">
        <f>"1-319-2"</f>
        <v>1-319-2</v>
      </c>
      <c r="F7293" t="s">
        <v>83</v>
      </c>
      <c r="G7293" t="s">
        <v>86</v>
      </c>
      <c r="H7293" t="s">
        <v>93</v>
      </c>
      <c r="I7293">
        <v>0</v>
      </c>
      <c r="K7293">
        <v>0</v>
      </c>
      <c r="L7293">
        <v>1</v>
      </c>
      <c r="M7293">
        <v>0</v>
      </c>
      <c r="N7293">
        <v>0</v>
      </c>
      <c r="O7293">
        <v>0</v>
      </c>
      <c r="P7293">
        <v>0</v>
      </c>
      <c r="Q7293">
        <v>0</v>
      </c>
      <c r="R7293">
        <v>0</v>
      </c>
      <c r="U7293">
        <v>0</v>
      </c>
      <c r="V7293">
        <v>1</v>
      </c>
      <c r="W7293">
        <v>0</v>
      </c>
      <c r="X7293">
        <v>0</v>
      </c>
      <c r="Y7293">
        <v>0</v>
      </c>
      <c r="Z7293">
        <v>0</v>
      </c>
      <c r="AA7293">
        <v>0</v>
      </c>
      <c r="AB7293">
        <v>0</v>
      </c>
    </row>
    <row r="7294" spans="1:28" x14ac:dyDescent="0.25">
      <c r="A7294" t="str">
        <f>"7290"</f>
        <v>7290</v>
      </c>
      <c r="B7294" t="str">
        <f t="shared" si="423"/>
        <v>1</v>
      </c>
      <c r="C7294" t="str">
        <f t="shared" si="424"/>
        <v>319</v>
      </c>
      <c r="D7294" t="str">
        <f>"15"</f>
        <v>15</v>
      </c>
      <c r="E7294" t="str">
        <f>"1-319-15"</f>
        <v>1-319-15</v>
      </c>
      <c r="F7294" t="s">
        <v>83</v>
      </c>
      <c r="G7294" t="s">
        <v>86</v>
      </c>
      <c r="H7294" t="s">
        <v>93</v>
      </c>
      <c r="I7294">
        <v>0</v>
      </c>
      <c r="K7294">
        <v>0</v>
      </c>
      <c r="L7294">
        <v>0</v>
      </c>
      <c r="M7294">
        <v>1</v>
      </c>
      <c r="N7294">
        <v>1</v>
      </c>
      <c r="O7294">
        <v>0</v>
      </c>
      <c r="P7294">
        <v>0</v>
      </c>
      <c r="Q7294">
        <v>0</v>
      </c>
      <c r="R7294">
        <v>0</v>
      </c>
      <c r="U7294">
        <v>1</v>
      </c>
      <c r="V7294">
        <v>0</v>
      </c>
      <c r="W7294">
        <v>0</v>
      </c>
      <c r="X7294">
        <v>0</v>
      </c>
      <c r="Y7294">
        <v>0</v>
      </c>
      <c r="Z7294">
        <v>0</v>
      </c>
      <c r="AA7294">
        <v>1</v>
      </c>
      <c r="AB7294">
        <v>0</v>
      </c>
    </row>
    <row r="7295" spans="1:28" x14ac:dyDescent="0.25">
      <c r="A7295" t="str">
        <f>"7291"</f>
        <v>7291</v>
      </c>
      <c r="B7295" t="str">
        <f t="shared" si="423"/>
        <v>1</v>
      </c>
      <c r="C7295" t="str">
        <f t="shared" si="424"/>
        <v>319</v>
      </c>
      <c r="D7295" t="str">
        <f>"5"</f>
        <v>5</v>
      </c>
      <c r="E7295" t="str">
        <f>"1-319-5"</f>
        <v>1-319-5</v>
      </c>
      <c r="F7295" t="s">
        <v>83</v>
      </c>
      <c r="G7295" t="s">
        <v>86</v>
      </c>
      <c r="H7295" t="s">
        <v>93</v>
      </c>
      <c r="I7295">
        <v>1</v>
      </c>
      <c r="K7295">
        <v>0</v>
      </c>
      <c r="L7295">
        <v>0</v>
      </c>
      <c r="M7295">
        <v>1</v>
      </c>
      <c r="N7295">
        <v>1</v>
      </c>
      <c r="O7295">
        <v>1</v>
      </c>
      <c r="P7295">
        <v>1</v>
      </c>
      <c r="Q7295">
        <v>1</v>
      </c>
      <c r="R7295">
        <v>1</v>
      </c>
      <c r="U7295">
        <v>1</v>
      </c>
      <c r="V7295">
        <v>0</v>
      </c>
      <c r="W7295">
        <v>1</v>
      </c>
      <c r="X7295">
        <v>1</v>
      </c>
      <c r="Y7295">
        <v>1</v>
      </c>
      <c r="Z7295">
        <v>1</v>
      </c>
      <c r="AA7295">
        <v>1</v>
      </c>
      <c r="AB7295">
        <v>1</v>
      </c>
    </row>
    <row r="7296" spans="1:28" x14ac:dyDescent="0.25">
      <c r="A7296" t="str">
        <f>"7292"</f>
        <v>7292</v>
      </c>
      <c r="B7296" t="str">
        <f t="shared" si="423"/>
        <v>1</v>
      </c>
      <c r="C7296" t="str">
        <f t="shared" si="424"/>
        <v>319</v>
      </c>
      <c r="D7296" t="str">
        <f>"24"</f>
        <v>24</v>
      </c>
      <c r="E7296" t="str">
        <f>"1-319-24"</f>
        <v>1-319-24</v>
      </c>
      <c r="F7296" t="s">
        <v>83</v>
      </c>
      <c r="G7296" t="s">
        <v>86</v>
      </c>
      <c r="H7296" t="s">
        <v>93</v>
      </c>
      <c r="I7296">
        <v>1</v>
      </c>
      <c r="K7296">
        <v>0</v>
      </c>
      <c r="L7296">
        <v>0</v>
      </c>
      <c r="M7296">
        <v>1</v>
      </c>
      <c r="N7296">
        <v>1</v>
      </c>
      <c r="O7296">
        <v>1</v>
      </c>
      <c r="P7296">
        <v>1</v>
      </c>
      <c r="Q7296">
        <v>1</v>
      </c>
      <c r="R7296">
        <v>1</v>
      </c>
      <c r="U7296">
        <v>1</v>
      </c>
      <c r="V7296">
        <v>0</v>
      </c>
      <c r="W7296">
        <v>1</v>
      </c>
      <c r="X7296">
        <v>1</v>
      </c>
      <c r="Y7296">
        <v>1</v>
      </c>
      <c r="Z7296">
        <v>1</v>
      </c>
      <c r="AA7296">
        <v>1</v>
      </c>
      <c r="AB7296">
        <v>1</v>
      </c>
    </row>
    <row r="7297" spans="1:28" x14ac:dyDescent="0.25">
      <c r="A7297" t="str">
        <f>"7293"</f>
        <v>7293</v>
      </c>
      <c r="B7297" t="str">
        <f t="shared" si="423"/>
        <v>1</v>
      </c>
      <c r="C7297" t="str">
        <f t="shared" si="424"/>
        <v>319</v>
      </c>
      <c r="D7297" t="str">
        <f>"16"</f>
        <v>16</v>
      </c>
      <c r="E7297" t="str">
        <f>"1-319-16"</f>
        <v>1-319-16</v>
      </c>
      <c r="F7297" t="s">
        <v>83</v>
      </c>
      <c r="G7297" t="s">
        <v>86</v>
      </c>
      <c r="H7297" t="s">
        <v>93</v>
      </c>
      <c r="I7297">
        <v>1</v>
      </c>
      <c r="K7297">
        <v>0</v>
      </c>
      <c r="L7297">
        <v>0</v>
      </c>
      <c r="M7297">
        <v>1</v>
      </c>
      <c r="N7297">
        <v>1</v>
      </c>
      <c r="O7297">
        <v>1</v>
      </c>
      <c r="P7297">
        <v>1</v>
      </c>
      <c r="Q7297">
        <v>1</v>
      </c>
      <c r="R7297">
        <v>1</v>
      </c>
      <c r="U7297">
        <v>1</v>
      </c>
      <c r="V7297">
        <v>0</v>
      </c>
      <c r="W7297">
        <v>1</v>
      </c>
      <c r="X7297">
        <v>1</v>
      </c>
      <c r="Y7297">
        <v>1</v>
      </c>
      <c r="Z7297">
        <v>1</v>
      </c>
      <c r="AA7297">
        <v>1</v>
      </c>
      <c r="AB7297">
        <v>1</v>
      </c>
    </row>
    <row r="7298" spans="1:28" x14ac:dyDescent="0.25">
      <c r="A7298" t="str">
        <f>"7294"</f>
        <v>7294</v>
      </c>
      <c r="B7298" t="str">
        <f t="shared" si="423"/>
        <v>1</v>
      </c>
      <c r="C7298" t="str">
        <f t="shared" si="424"/>
        <v>319</v>
      </c>
      <c r="D7298" t="str">
        <f>"4"</f>
        <v>4</v>
      </c>
      <c r="E7298" t="str">
        <f>"1-319-4"</f>
        <v>1-319-4</v>
      </c>
      <c r="F7298" t="s">
        <v>83</v>
      </c>
      <c r="G7298" t="s">
        <v>86</v>
      </c>
      <c r="H7298" t="s">
        <v>93</v>
      </c>
      <c r="I7298">
        <v>1</v>
      </c>
      <c r="K7298">
        <v>1</v>
      </c>
      <c r="L7298">
        <v>0</v>
      </c>
      <c r="M7298">
        <v>0</v>
      </c>
      <c r="N7298">
        <v>1</v>
      </c>
      <c r="O7298">
        <v>1</v>
      </c>
      <c r="P7298">
        <v>1</v>
      </c>
      <c r="Q7298">
        <v>1</v>
      </c>
      <c r="R7298">
        <v>1</v>
      </c>
      <c r="U7298">
        <v>0</v>
      </c>
      <c r="V7298">
        <v>1</v>
      </c>
      <c r="W7298">
        <v>1</v>
      </c>
      <c r="X7298">
        <v>1</v>
      </c>
      <c r="Y7298">
        <v>1</v>
      </c>
      <c r="Z7298">
        <v>1</v>
      </c>
      <c r="AA7298">
        <v>1</v>
      </c>
      <c r="AB7298">
        <v>1</v>
      </c>
    </row>
    <row r="7299" spans="1:28" x14ac:dyDescent="0.25">
      <c r="A7299" t="str">
        <f>"7295"</f>
        <v>7295</v>
      </c>
      <c r="B7299" t="str">
        <f t="shared" si="423"/>
        <v>1</v>
      </c>
      <c r="C7299" t="str">
        <f t="shared" si="424"/>
        <v>319</v>
      </c>
      <c r="D7299" t="str">
        <f>"10"</f>
        <v>10</v>
      </c>
      <c r="E7299" t="str">
        <f>"1-319-10"</f>
        <v>1-319-10</v>
      </c>
      <c r="F7299" t="s">
        <v>83</v>
      </c>
      <c r="G7299" t="s">
        <v>86</v>
      </c>
      <c r="H7299" t="s">
        <v>93</v>
      </c>
      <c r="I7299">
        <v>1</v>
      </c>
      <c r="K7299">
        <v>1</v>
      </c>
      <c r="L7299">
        <v>0</v>
      </c>
      <c r="M7299">
        <v>0</v>
      </c>
      <c r="N7299">
        <v>1</v>
      </c>
      <c r="O7299">
        <v>1</v>
      </c>
      <c r="P7299">
        <v>1</v>
      </c>
      <c r="Q7299">
        <v>1</v>
      </c>
      <c r="R7299">
        <v>1</v>
      </c>
      <c r="U7299">
        <v>0</v>
      </c>
      <c r="V7299">
        <v>1</v>
      </c>
      <c r="W7299">
        <v>1</v>
      </c>
      <c r="X7299">
        <v>1</v>
      </c>
      <c r="Y7299">
        <v>1</v>
      </c>
      <c r="Z7299">
        <v>1</v>
      </c>
      <c r="AA7299">
        <v>1</v>
      </c>
      <c r="AB7299">
        <v>1</v>
      </c>
    </row>
    <row r="7300" spans="1:28" x14ac:dyDescent="0.25">
      <c r="A7300" t="str">
        <f>"7296"</f>
        <v>7296</v>
      </c>
      <c r="B7300" t="str">
        <f t="shared" si="423"/>
        <v>1</v>
      </c>
      <c r="C7300" t="str">
        <f t="shared" ref="C7300:C7324" si="425">"320"</f>
        <v>320</v>
      </c>
      <c r="D7300" t="str">
        <f>"21"</f>
        <v>21</v>
      </c>
      <c r="E7300" t="str">
        <f>"1-320-21"</f>
        <v>1-320-21</v>
      </c>
      <c r="F7300" t="s">
        <v>83</v>
      </c>
      <c r="G7300" t="s">
        <v>86</v>
      </c>
      <c r="H7300" t="s">
        <v>93</v>
      </c>
      <c r="I7300">
        <v>0</v>
      </c>
      <c r="K7300">
        <v>0</v>
      </c>
      <c r="L7300">
        <v>0</v>
      </c>
      <c r="M7300">
        <v>1</v>
      </c>
      <c r="N7300">
        <v>0</v>
      </c>
      <c r="O7300">
        <v>0</v>
      </c>
      <c r="P7300">
        <v>0</v>
      </c>
      <c r="Q7300">
        <v>0</v>
      </c>
      <c r="R7300">
        <v>0</v>
      </c>
      <c r="U7300">
        <v>0</v>
      </c>
      <c r="V7300">
        <v>1</v>
      </c>
      <c r="W7300">
        <v>0</v>
      </c>
      <c r="X7300">
        <v>0</v>
      </c>
      <c r="Y7300">
        <v>0</v>
      </c>
      <c r="Z7300">
        <v>0</v>
      </c>
      <c r="AA7300">
        <v>0</v>
      </c>
      <c r="AB7300">
        <v>0</v>
      </c>
    </row>
    <row r="7301" spans="1:28" x14ac:dyDescent="0.25">
      <c r="A7301" t="str">
        <f>"7297"</f>
        <v>7297</v>
      </c>
      <c r="B7301" t="str">
        <f t="shared" si="423"/>
        <v>1</v>
      </c>
      <c r="C7301" t="str">
        <f t="shared" si="425"/>
        <v>320</v>
      </c>
      <c r="D7301" t="str">
        <f>"20"</f>
        <v>20</v>
      </c>
      <c r="E7301" t="str">
        <f>"1-320-20"</f>
        <v>1-320-20</v>
      </c>
      <c r="F7301" t="s">
        <v>83</v>
      </c>
      <c r="G7301" t="s">
        <v>86</v>
      </c>
      <c r="H7301" t="s">
        <v>93</v>
      </c>
      <c r="I7301">
        <v>0</v>
      </c>
      <c r="K7301">
        <v>0</v>
      </c>
      <c r="L7301">
        <v>0</v>
      </c>
      <c r="M7301">
        <v>1</v>
      </c>
      <c r="N7301">
        <v>1</v>
      </c>
      <c r="O7301">
        <v>1</v>
      </c>
      <c r="P7301">
        <v>1</v>
      </c>
      <c r="Q7301">
        <v>1</v>
      </c>
      <c r="R7301">
        <v>1</v>
      </c>
      <c r="U7301">
        <v>0</v>
      </c>
      <c r="V7301">
        <v>1</v>
      </c>
      <c r="W7301">
        <v>1</v>
      </c>
      <c r="X7301">
        <v>1</v>
      </c>
      <c r="Y7301">
        <v>1</v>
      </c>
      <c r="Z7301">
        <v>1</v>
      </c>
      <c r="AA7301">
        <v>1</v>
      </c>
      <c r="AB7301">
        <v>1</v>
      </c>
    </row>
    <row r="7302" spans="1:28" x14ac:dyDescent="0.25">
      <c r="A7302" t="str">
        <f>"7298"</f>
        <v>7298</v>
      </c>
      <c r="B7302" t="str">
        <f t="shared" si="423"/>
        <v>1</v>
      </c>
      <c r="C7302" t="str">
        <f t="shared" si="425"/>
        <v>320</v>
      </c>
      <c r="D7302" t="str">
        <f>"13"</f>
        <v>13</v>
      </c>
      <c r="E7302" t="str">
        <f>"1-320-13"</f>
        <v>1-320-13</v>
      </c>
      <c r="F7302" t="s">
        <v>83</v>
      </c>
      <c r="G7302" t="s">
        <v>86</v>
      </c>
      <c r="H7302" t="s">
        <v>93</v>
      </c>
      <c r="I7302">
        <v>1</v>
      </c>
      <c r="K7302">
        <v>0</v>
      </c>
      <c r="L7302">
        <v>0</v>
      </c>
      <c r="M7302">
        <v>1</v>
      </c>
      <c r="N7302">
        <v>1</v>
      </c>
      <c r="O7302">
        <v>1</v>
      </c>
      <c r="P7302">
        <v>1</v>
      </c>
      <c r="Q7302">
        <v>1</v>
      </c>
      <c r="R7302">
        <v>1</v>
      </c>
      <c r="U7302">
        <v>0</v>
      </c>
      <c r="V7302">
        <v>1</v>
      </c>
      <c r="W7302">
        <v>1</v>
      </c>
      <c r="X7302">
        <v>1</v>
      </c>
      <c r="Y7302">
        <v>1</v>
      </c>
      <c r="Z7302">
        <v>1</v>
      </c>
      <c r="AA7302">
        <v>1</v>
      </c>
      <c r="AB7302">
        <v>1</v>
      </c>
    </row>
    <row r="7303" spans="1:28" x14ac:dyDescent="0.25">
      <c r="A7303" t="str">
        <f>"7299"</f>
        <v>7299</v>
      </c>
      <c r="B7303" t="str">
        <f t="shared" si="423"/>
        <v>1</v>
      </c>
      <c r="C7303" t="str">
        <f t="shared" si="425"/>
        <v>320</v>
      </c>
      <c r="D7303" t="str">
        <f>"8"</f>
        <v>8</v>
      </c>
      <c r="E7303" t="str">
        <f>"1-320-8"</f>
        <v>1-320-8</v>
      </c>
      <c r="F7303" t="s">
        <v>83</v>
      </c>
      <c r="G7303" t="s">
        <v>86</v>
      </c>
      <c r="H7303" t="s">
        <v>93</v>
      </c>
      <c r="I7303">
        <v>1</v>
      </c>
      <c r="K7303">
        <v>0</v>
      </c>
      <c r="L7303">
        <v>0</v>
      </c>
      <c r="M7303">
        <v>1</v>
      </c>
      <c r="N7303">
        <v>1</v>
      </c>
      <c r="O7303">
        <v>1</v>
      </c>
      <c r="P7303">
        <v>1</v>
      </c>
      <c r="Q7303">
        <v>1</v>
      </c>
      <c r="R7303">
        <v>1</v>
      </c>
      <c r="U7303">
        <v>1</v>
      </c>
      <c r="V7303">
        <v>0</v>
      </c>
      <c r="W7303">
        <v>1</v>
      </c>
      <c r="X7303">
        <v>1</v>
      </c>
      <c r="Y7303">
        <v>1</v>
      </c>
      <c r="Z7303">
        <v>1</v>
      </c>
      <c r="AA7303">
        <v>1</v>
      </c>
      <c r="AB7303">
        <v>1</v>
      </c>
    </row>
    <row r="7304" spans="1:28" x14ac:dyDescent="0.25">
      <c r="A7304" t="str">
        <f>"7300"</f>
        <v>7300</v>
      </c>
      <c r="B7304" t="str">
        <f t="shared" si="423"/>
        <v>1</v>
      </c>
      <c r="C7304" t="str">
        <f t="shared" si="425"/>
        <v>320</v>
      </c>
      <c r="D7304" t="str">
        <f>"4"</f>
        <v>4</v>
      </c>
      <c r="E7304" t="str">
        <f>"1-320-4"</f>
        <v>1-320-4</v>
      </c>
      <c r="F7304" t="s">
        <v>83</v>
      </c>
      <c r="G7304" t="s">
        <v>86</v>
      </c>
      <c r="H7304" t="s">
        <v>93</v>
      </c>
      <c r="I7304">
        <v>1</v>
      </c>
      <c r="K7304">
        <v>1</v>
      </c>
      <c r="L7304">
        <v>0</v>
      </c>
      <c r="M7304">
        <v>0</v>
      </c>
      <c r="N7304">
        <v>1</v>
      </c>
      <c r="O7304">
        <v>1</v>
      </c>
      <c r="P7304">
        <v>1</v>
      </c>
      <c r="Q7304">
        <v>1</v>
      </c>
      <c r="R7304">
        <v>1</v>
      </c>
      <c r="U7304">
        <v>0</v>
      </c>
      <c r="V7304">
        <v>1</v>
      </c>
      <c r="W7304">
        <v>1</v>
      </c>
      <c r="X7304">
        <v>1</v>
      </c>
      <c r="Y7304">
        <v>1</v>
      </c>
      <c r="Z7304">
        <v>1</v>
      </c>
      <c r="AA7304">
        <v>1</v>
      </c>
      <c r="AB7304">
        <v>1</v>
      </c>
    </row>
    <row r="7305" spans="1:28" x14ac:dyDescent="0.25">
      <c r="A7305" t="str">
        <f>"7301"</f>
        <v>7301</v>
      </c>
      <c r="B7305" t="str">
        <f t="shared" si="423"/>
        <v>1</v>
      </c>
      <c r="C7305" t="str">
        <f t="shared" si="425"/>
        <v>320</v>
      </c>
      <c r="D7305" t="str">
        <f>"23"</f>
        <v>23</v>
      </c>
      <c r="E7305" t="str">
        <f>"1-320-23"</f>
        <v>1-320-23</v>
      </c>
      <c r="F7305" t="s">
        <v>83</v>
      </c>
      <c r="G7305" t="s">
        <v>86</v>
      </c>
      <c r="H7305" t="s">
        <v>93</v>
      </c>
      <c r="I7305">
        <v>1</v>
      </c>
      <c r="K7305">
        <v>1</v>
      </c>
      <c r="L7305">
        <v>0</v>
      </c>
      <c r="M7305">
        <v>0</v>
      </c>
      <c r="N7305">
        <v>1</v>
      </c>
      <c r="O7305">
        <v>1</v>
      </c>
      <c r="P7305">
        <v>1</v>
      </c>
      <c r="Q7305">
        <v>1</v>
      </c>
      <c r="R7305">
        <v>1</v>
      </c>
      <c r="U7305">
        <v>0</v>
      </c>
      <c r="V7305">
        <v>1</v>
      </c>
      <c r="W7305">
        <v>1</v>
      </c>
      <c r="X7305">
        <v>1</v>
      </c>
      <c r="Y7305">
        <v>1</v>
      </c>
      <c r="Z7305">
        <v>1</v>
      </c>
      <c r="AA7305">
        <v>1</v>
      </c>
      <c r="AB7305">
        <v>1</v>
      </c>
    </row>
    <row r="7306" spans="1:28" x14ac:dyDescent="0.25">
      <c r="A7306" t="str">
        <f>"7302"</f>
        <v>7302</v>
      </c>
      <c r="B7306" t="str">
        <f t="shared" si="423"/>
        <v>1</v>
      </c>
      <c r="C7306" t="str">
        <f t="shared" si="425"/>
        <v>320</v>
      </c>
      <c r="D7306" t="str">
        <f>"22"</f>
        <v>22</v>
      </c>
      <c r="E7306" t="str">
        <f>"1-320-22"</f>
        <v>1-320-22</v>
      </c>
      <c r="F7306" t="s">
        <v>83</v>
      </c>
      <c r="G7306" t="s">
        <v>86</v>
      </c>
      <c r="H7306" t="s">
        <v>93</v>
      </c>
      <c r="I7306">
        <v>1</v>
      </c>
      <c r="K7306">
        <v>0</v>
      </c>
      <c r="L7306">
        <v>1</v>
      </c>
      <c r="M7306">
        <v>0</v>
      </c>
      <c r="N7306">
        <v>1</v>
      </c>
      <c r="O7306">
        <v>1</v>
      </c>
      <c r="P7306">
        <v>1</v>
      </c>
      <c r="Q7306">
        <v>1</v>
      </c>
      <c r="R7306">
        <v>1</v>
      </c>
      <c r="U7306">
        <v>0</v>
      </c>
      <c r="V7306">
        <v>1</v>
      </c>
      <c r="W7306">
        <v>1</v>
      </c>
      <c r="X7306">
        <v>1</v>
      </c>
      <c r="Y7306">
        <v>1</v>
      </c>
      <c r="Z7306">
        <v>1</v>
      </c>
      <c r="AA7306">
        <v>1</v>
      </c>
      <c r="AB7306">
        <v>1</v>
      </c>
    </row>
    <row r="7307" spans="1:28" x14ac:dyDescent="0.25">
      <c r="A7307" t="str">
        <f>"7303"</f>
        <v>7303</v>
      </c>
      <c r="B7307" t="str">
        <f t="shared" si="423"/>
        <v>1</v>
      </c>
      <c r="C7307" t="str">
        <f t="shared" si="425"/>
        <v>320</v>
      </c>
      <c r="D7307" t="str">
        <f>"14"</f>
        <v>14</v>
      </c>
      <c r="E7307" t="str">
        <f>"1-320-14"</f>
        <v>1-320-14</v>
      </c>
      <c r="F7307" t="s">
        <v>83</v>
      </c>
      <c r="G7307" t="s">
        <v>86</v>
      </c>
      <c r="H7307" t="s">
        <v>93</v>
      </c>
      <c r="I7307">
        <v>1</v>
      </c>
      <c r="K7307">
        <v>0</v>
      </c>
      <c r="L7307">
        <v>0</v>
      </c>
      <c r="M7307">
        <v>1</v>
      </c>
      <c r="N7307">
        <v>1</v>
      </c>
      <c r="O7307">
        <v>1</v>
      </c>
      <c r="P7307">
        <v>1</v>
      </c>
      <c r="Q7307">
        <v>1</v>
      </c>
      <c r="R7307">
        <v>1</v>
      </c>
      <c r="U7307">
        <v>0</v>
      </c>
      <c r="V7307">
        <v>1</v>
      </c>
      <c r="W7307">
        <v>1</v>
      </c>
      <c r="X7307">
        <v>1</v>
      </c>
      <c r="Y7307">
        <v>1</v>
      </c>
      <c r="Z7307">
        <v>1</v>
      </c>
      <c r="AA7307">
        <v>1</v>
      </c>
      <c r="AB7307">
        <v>1</v>
      </c>
    </row>
    <row r="7308" spans="1:28" x14ac:dyDescent="0.25">
      <c r="A7308" t="str">
        <f>"7304"</f>
        <v>7304</v>
      </c>
      <c r="B7308" t="str">
        <f t="shared" si="423"/>
        <v>1</v>
      </c>
      <c r="C7308" t="str">
        <f t="shared" si="425"/>
        <v>320</v>
      </c>
      <c r="D7308" t="str">
        <f>"9"</f>
        <v>9</v>
      </c>
      <c r="E7308" t="str">
        <f>"1-320-9"</f>
        <v>1-320-9</v>
      </c>
      <c r="F7308" t="s">
        <v>83</v>
      </c>
      <c r="G7308" t="s">
        <v>86</v>
      </c>
      <c r="H7308" t="s">
        <v>93</v>
      </c>
      <c r="I7308">
        <v>1</v>
      </c>
      <c r="K7308">
        <v>0</v>
      </c>
      <c r="L7308">
        <v>0</v>
      </c>
      <c r="M7308">
        <v>1</v>
      </c>
      <c r="N7308">
        <v>1</v>
      </c>
      <c r="O7308">
        <v>1</v>
      </c>
      <c r="P7308">
        <v>1</v>
      </c>
      <c r="Q7308">
        <v>1</v>
      </c>
      <c r="R7308">
        <v>0</v>
      </c>
      <c r="U7308">
        <v>0</v>
      </c>
      <c r="V7308">
        <v>1</v>
      </c>
      <c r="W7308">
        <v>0</v>
      </c>
      <c r="X7308">
        <v>0</v>
      </c>
      <c r="Y7308">
        <v>0</v>
      </c>
      <c r="Z7308">
        <v>1</v>
      </c>
      <c r="AA7308">
        <v>0</v>
      </c>
      <c r="AB7308">
        <v>0</v>
      </c>
    </row>
    <row r="7309" spans="1:28" x14ac:dyDescent="0.25">
      <c r="A7309" t="str">
        <f>"7305"</f>
        <v>7305</v>
      </c>
      <c r="B7309" t="str">
        <f t="shared" si="423"/>
        <v>1</v>
      </c>
      <c r="C7309" t="str">
        <f t="shared" si="425"/>
        <v>320</v>
      </c>
      <c r="D7309" t="str">
        <f>"5"</f>
        <v>5</v>
      </c>
      <c r="E7309" t="str">
        <f>"1-320-5"</f>
        <v>1-320-5</v>
      </c>
      <c r="F7309" t="s">
        <v>83</v>
      </c>
      <c r="G7309" t="s">
        <v>86</v>
      </c>
      <c r="H7309" t="s">
        <v>93</v>
      </c>
      <c r="I7309">
        <v>1</v>
      </c>
      <c r="K7309">
        <v>0</v>
      </c>
      <c r="L7309">
        <v>0</v>
      </c>
      <c r="M7309">
        <v>1</v>
      </c>
      <c r="N7309">
        <v>1</v>
      </c>
      <c r="O7309">
        <v>1</v>
      </c>
      <c r="P7309">
        <v>1</v>
      </c>
      <c r="Q7309">
        <v>1</v>
      </c>
      <c r="R7309">
        <v>1</v>
      </c>
      <c r="U7309">
        <v>0</v>
      </c>
      <c r="V7309">
        <v>1</v>
      </c>
      <c r="W7309">
        <v>1</v>
      </c>
      <c r="X7309">
        <v>1</v>
      </c>
      <c r="Y7309">
        <v>1</v>
      </c>
      <c r="Z7309">
        <v>1</v>
      </c>
      <c r="AA7309">
        <v>1</v>
      </c>
      <c r="AB7309">
        <v>1</v>
      </c>
    </row>
    <row r="7310" spans="1:28" x14ac:dyDescent="0.25">
      <c r="A7310" t="str">
        <f>"7306"</f>
        <v>7306</v>
      </c>
      <c r="B7310" t="str">
        <f t="shared" si="423"/>
        <v>1</v>
      </c>
      <c r="C7310" t="str">
        <f t="shared" si="425"/>
        <v>320</v>
      </c>
      <c r="D7310" t="str">
        <f>"25"</f>
        <v>25</v>
      </c>
      <c r="E7310" t="str">
        <f>"1-320-25"</f>
        <v>1-320-25</v>
      </c>
      <c r="F7310" t="s">
        <v>83</v>
      </c>
      <c r="G7310" t="s">
        <v>86</v>
      </c>
      <c r="H7310" t="s">
        <v>93</v>
      </c>
      <c r="I7310">
        <v>1</v>
      </c>
      <c r="K7310">
        <v>0</v>
      </c>
      <c r="L7310">
        <v>0</v>
      </c>
      <c r="M7310">
        <v>1</v>
      </c>
      <c r="N7310">
        <v>1</v>
      </c>
      <c r="O7310">
        <v>1</v>
      </c>
      <c r="P7310">
        <v>1</v>
      </c>
      <c r="Q7310">
        <v>1</v>
      </c>
      <c r="R7310">
        <v>1</v>
      </c>
      <c r="U7310">
        <v>0</v>
      </c>
      <c r="V7310">
        <v>1</v>
      </c>
      <c r="W7310">
        <v>1</v>
      </c>
      <c r="X7310">
        <v>1</v>
      </c>
      <c r="Y7310">
        <v>1</v>
      </c>
      <c r="Z7310">
        <v>1</v>
      </c>
      <c r="AA7310">
        <v>1</v>
      </c>
      <c r="AB7310">
        <v>1</v>
      </c>
    </row>
    <row r="7311" spans="1:28" x14ac:dyDescent="0.25">
      <c r="A7311" t="str">
        <f>"7307"</f>
        <v>7307</v>
      </c>
      <c r="B7311" t="str">
        <f t="shared" si="423"/>
        <v>1</v>
      </c>
      <c r="C7311" t="str">
        <f t="shared" si="425"/>
        <v>320</v>
      </c>
      <c r="D7311" t="str">
        <f>"24"</f>
        <v>24</v>
      </c>
      <c r="E7311" t="str">
        <f>"1-320-24"</f>
        <v>1-320-24</v>
      </c>
      <c r="F7311" t="s">
        <v>83</v>
      </c>
      <c r="G7311" t="s">
        <v>86</v>
      </c>
      <c r="H7311" t="s">
        <v>93</v>
      </c>
      <c r="I7311">
        <v>1</v>
      </c>
      <c r="K7311">
        <v>0</v>
      </c>
      <c r="L7311">
        <v>0</v>
      </c>
      <c r="M7311">
        <v>1</v>
      </c>
      <c r="N7311">
        <v>1</v>
      </c>
      <c r="O7311">
        <v>1</v>
      </c>
      <c r="P7311">
        <v>1</v>
      </c>
      <c r="Q7311">
        <v>1</v>
      </c>
      <c r="R7311">
        <v>1</v>
      </c>
      <c r="U7311">
        <v>0</v>
      </c>
      <c r="V7311">
        <v>1</v>
      </c>
      <c r="W7311">
        <v>1</v>
      </c>
      <c r="X7311">
        <v>1</v>
      </c>
      <c r="Y7311">
        <v>1</v>
      </c>
      <c r="Z7311">
        <v>1</v>
      </c>
      <c r="AA7311">
        <v>1</v>
      </c>
      <c r="AB7311">
        <v>1</v>
      </c>
    </row>
    <row r="7312" spans="1:28" x14ac:dyDescent="0.25">
      <c r="A7312" t="str">
        <f>"7308"</f>
        <v>7308</v>
      </c>
      <c r="B7312" t="str">
        <f t="shared" si="423"/>
        <v>1</v>
      </c>
      <c r="C7312" t="str">
        <f t="shared" si="425"/>
        <v>320</v>
      </c>
      <c r="D7312" t="str">
        <f>"15"</f>
        <v>15</v>
      </c>
      <c r="E7312" t="str">
        <f>"1-320-15"</f>
        <v>1-320-15</v>
      </c>
      <c r="F7312" t="s">
        <v>83</v>
      </c>
      <c r="G7312" t="s">
        <v>86</v>
      </c>
      <c r="H7312" t="s">
        <v>93</v>
      </c>
      <c r="I7312">
        <v>1</v>
      </c>
      <c r="K7312">
        <v>0</v>
      </c>
      <c r="L7312">
        <v>0</v>
      </c>
      <c r="M7312">
        <v>1</v>
      </c>
      <c r="N7312">
        <v>1</v>
      </c>
      <c r="O7312">
        <v>1</v>
      </c>
      <c r="P7312">
        <v>1</v>
      </c>
      <c r="Q7312">
        <v>0</v>
      </c>
      <c r="R7312">
        <v>1</v>
      </c>
      <c r="U7312">
        <v>1</v>
      </c>
      <c r="V7312">
        <v>0</v>
      </c>
      <c r="W7312">
        <v>1</v>
      </c>
      <c r="X7312">
        <v>1</v>
      </c>
      <c r="Y7312">
        <v>1</v>
      </c>
      <c r="Z7312">
        <v>1</v>
      </c>
      <c r="AA7312">
        <v>1</v>
      </c>
      <c r="AB7312">
        <v>1</v>
      </c>
    </row>
    <row r="7313" spans="1:28" x14ac:dyDescent="0.25">
      <c r="A7313" t="str">
        <f>"7309"</f>
        <v>7309</v>
      </c>
      <c r="B7313" t="str">
        <f t="shared" si="423"/>
        <v>1</v>
      </c>
      <c r="C7313" t="str">
        <f t="shared" si="425"/>
        <v>320</v>
      </c>
      <c r="D7313" t="str">
        <f>"10"</f>
        <v>10</v>
      </c>
      <c r="E7313" t="str">
        <f>"1-320-10"</f>
        <v>1-320-10</v>
      </c>
      <c r="F7313" t="s">
        <v>83</v>
      </c>
      <c r="G7313" t="s">
        <v>86</v>
      </c>
      <c r="H7313" t="s">
        <v>93</v>
      </c>
      <c r="I7313">
        <v>1</v>
      </c>
      <c r="K7313">
        <v>0</v>
      </c>
      <c r="L7313">
        <v>0</v>
      </c>
      <c r="M7313">
        <v>1</v>
      </c>
      <c r="N7313">
        <v>1</v>
      </c>
      <c r="O7313">
        <v>1</v>
      </c>
      <c r="P7313">
        <v>1</v>
      </c>
      <c r="Q7313">
        <v>1</v>
      </c>
      <c r="R7313">
        <v>1</v>
      </c>
      <c r="U7313">
        <v>1</v>
      </c>
      <c r="V7313">
        <v>0</v>
      </c>
      <c r="W7313">
        <v>1</v>
      </c>
      <c r="X7313">
        <v>1</v>
      </c>
      <c r="Y7313">
        <v>1</v>
      </c>
      <c r="Z7313">
        <v>1</v>
      </c>
      <c r="AA7313">
        <v>1</v>
      </c>
      <c r="AB7313">
        <v>1</v>
      </c>
    </row>
    <row r="7314" spans="1:28" x14ac:dyDescent="0.25">
      <c r="A7314" t="str">
        <f>"7310"</f>
        <v>7310</v>
      </c>
      <c r="B7314" t="str">
        <f t="shared" si="423"/>
        <v>1</v>
      </c>
      <c r="C7314" t="str">
        <f t="shared" si="425"/>
        <v>320</v>
      </c>
      <c r="D7314" t="str">
        <f>"6"</f>
        <v>6</v>
      </c>
      <c r="E7314" t="str">
        <f>"1-320-6"</f>
        <v>1-320-6</v>
      </c>
      <c r="F7314" t="s">
        <v>83</v>
      </c>
      <c r="G7314" t="s">
        <v>86</v>
      </c>
      <c r="H7314" t="s">
        <v>93</v>
      </c>
      <c r="I7314">
        <v>1</v>
      </c>
      <c r="K7314">
        <v>1</v>
      </c>
      <c r="L7314">
        <v>0</v>
      </c>
      <c r="M7314">
        <v>0</v>
      </c>
      <c r="N7314">
        <v>1</v>
      </c>
      <c r="O7314">
        <v>1</v>
      </c>
      <c r="P7314">
        <v>1</v>
      </c>
      <c r="Q7314">
        <v>1</v>
      </c>
      <c r="R7314">
        <v>1</v>
      </c>
      <c r="U7314">
        <v>0</v>
      </c>
      <c r="V7314">
        <v>1</v>
      </c>
      <c r="W7314">
        <v>1</v>
      </c>
      <c r="X7314">
        <v>1</v>
      </c>
      <c r="Y7314">
        <v>1</v>
      </c>
      <c r="Z7314">
        <v>1</v>
      </c>
      <c r="AA7314">
        <v>1</v>
      </c>
      <c r="AB7314">
        <v>1</v>
      </c>
    </row>
    <row r="7315" spans="1:28" x14ac:dyDescent="0.25">
      <c r="A7315" t="str">
        <f>"7311"</f>
        <v>7311</v>
      </c>
      <c r="B7315" t="str">
        <f t="shared" si="423"/>
        <v>1</v>
      </c>
      <c r="C7315" t="str">
        <f t="shared" si="425"/>
        <v>320</v>
      </c>
      <c r="D7315" t="str">
        <f>"16"</f>
        <v>16</v>
      </c>
      <c r="E7315" t="str">
        <f>"1-320-16"</f>
        <v>1-320-16</v>
      </c>
      <c r="F7315" t="s">
        <v>83</v>
      </c>
      <c r="G7315" t="s">
        <v>86</v>
      </c>
      <c r="H7315" t="s">
        <v>93</v>
      </c>
      <c r="I7315">
        <v>1</v>
      </c>
      <c r="K7315">
        <v>1</v>
      </c>
      <c r="L7315">
        <v>0</v>
      </c>
      <c r="M7315">
        <v>0</v>
      </c>
      <c r="N7315">
        <v>1</v>
      </c>
      <c r="O7315">
        <v>1</v>
      </c>
      <c r="P7315">
        <v>1</v>
      </c>
      <c r="Q7315">
        <v>1</v>
      </c>
      <c r="R7315">
        <v>1</v>
      </c>
      <c r="U7315">
        <v>0</v>
      </c>
      <c r="V7315">
        <v>1</v>
      </c>
      <c r="W7315">
        <v>1</v>
      </c>
      <c r="X7315">
        <v>1</v>
      </c>
      <c r="Y7315">
        <v>1</v>
      </c>
      <c r="Z7315">
        <v>1</v>
      </c>
      <c r="AA7315">
        <v>1</v>
      </c>
      <c r="AB7315">
        <v>1</v>
      </c>
    </row>
    <row r="7316" spans="1:28" x14ac:dyDescent="0.25">
      <c r="A7316" t="str">
        <f>"7312"</f>
        <v>7312</v>
      </c>
      <c r="B7316" t="str">
        <f t="shared" si="423"/>
        <v>1</v>
      </c>
      <c r="C7316" t="str">
        <f t="shared" si="425"/>
        <v>320</v>
      </c>
      <c r="D7316" t="str">
        <f>"11"</f>
        <v>11</v>
      </c>
      <c r="E7316" t="str">
        <f>"1-320-11"</f>
        <v>1-320-11</v>
      </c>
      <c r="F7316" t="s">
        <v>83</v>
      </c>
      <c r="G7316" t="s">
        <v>86</v>
      </c>
      <c r="H7316" t="s">
        <v>93</v>
      </c>
      <c r="I7316">
        <v>1</v>
      </c>
      <c r="K7316">
        <v>0</v>
      </c>
      <c r="L7316">
        <v>0</v>
      </c>
      <c r="M7316">
        <v>1</v>
      </c>
      <c r="N7316">
        <v>1</v>
      </c>
      <c r="O7316">
        <v>1</v>
      </c>
      <c r="P7316">
        <v>1</v>
      </c>
      <c r="Q7316">
        <v>1</v>
      </c>
      <c r="R7316">
        <v>1</v>
      </c>
      <c r="U7316">
        <v>0</v>
      </c>
      <c r="V7316">
        <v>1</v>
      </c>
      <c r="W7316">
        <v>0</v>
      </c>
      <c r="X7316">
        <v>0</v>
      </c>
      <c r="Y7316">
        <v>0</v>
      </c>
      <c r="Z7316">
        <v>1</v>
      </c>
      <c r="AA7316">
        <v>1</v>
      </c>
      <c r="AB7316">
        <v>1</v>
      </c>
    </row>
    <row r="7317" spans="1:28" x14ac:dyDescent="0.25">
      <c r="A7317" t="str">
        <f>"7313"</f>
        <v>7313</v>
      </c>
      <c r="B7317" t="str">
        <f t="shared" si="423"/>
        <v>1</v>
      </c>
      <c r="C7317" t="str">
        <f t="shared" si="425"/>
        <v>320</v>
      </c>
      <c r="D7317" t="str">
        <f>"1"</f>
        <v>1</v>
      </c>
      <c r="E7317" t="str">
        <f>"1-320-1"</f>
        <v>1-320-1</v>
      </c>
      <c r="F7317" t="s">
        <v>83</v>
      </c>
      <c r="G7317" t="s">
        <v>86</v>
      </c>
      <c r="H7317" t="s">
        <v>93</v>
      </c>
      <c r="I7317">
        <v>1</v>
      </c>
      <c r="K7317">
        <v>0</v>
      </c>
      <c r="L7317">
        <v>0</v>
      </c>
      <c r="M7317">
        <v>1</v>
      </c>
      <c r="N7317">
        <v>1</v>
      </c>
      <c r="O7317">
        <v>1</v>
      </c>
      <c r="P7317">
        <v>1</v>
      </c>
      <c r="Q7317">
        <v>1</v>
      </c>
      <c r="R7317">
        <v>1</v>
      </c>
      <c r="U7317">
        <v>0</v>
      </c>
      <c r="V7317">
        <v>1</v>
      </c>
      <c r="W7317">
        <v>1</v>
      </c>
      <c r="X7317">
        <v>1</v>
      </c>
      <c r="Y7317">
        <v>1</v>
      </c>
      <c r="Z7317">
        <v>1</v>
      </c>
      <c r="AA7317">
        <v>1</v>
      </c>
      <c r="AB7317">
        <v>1</v>
      </c>
    </row>
    <row r="7318" spans="1:28" x14ac:dyDescent="0.25">
      <c r="A7318" t="str">
        <f>"7314"</f>
        <v>7314</v>
      </c>
      <c r="B7318" t="str">
        <f t="shared" si="423"/>
        <v>1</v>
      </c>
      <c r="C7318" t="str">
        <f t="shared" si="425"/>
        <v>320</v>
      </c>
      <c r="D7318" t="str">
        <f>"17"</f>
        <v>17</v>
      </c>
      <c r="E7318" t="str">
        <f>"1-320-17"</f>
        <v>1-320-17</v>
      </c>
      <c r="F7318" t="s">
        <v>83</v>
      </c>
      <c r="G7318" t="s">
        <v>86</v>
      </c>
      <c r="H7318" t="s">
        <v>93</v>
      </c>
      <c r="I7318">
        <v>1</v>
      </c>
      <c r="K7318">
        <v>0</v>
      </c>
      <c r="L7318">
        <v>0</v>
      </c>
      <c r="M7318">
        <v>1</v>
      </c>
      <c r="N7318">
        <v>1</v>
      </c>
      <c r="O7318">
        <v>1</v>
      </c>
      <c r="P7318">
        <v>1</v>
      </c>
      <c r="Q7318">
        <v>1</v>
      </c>
      <c r="R7318">
        <v>1</v>
      </c>
      <c r="U7318">
        <v>1</v>
      </c>
      <c r="V7318">
        <v>0</v>
      </c>
      <c r="W7318">
        <v>1</v>
      </c>
      <c r="X7318">
        <v>1</v>
      </c>
      <c r="Y7318">
        <v>1</v>
      </c>
      <c r="Z7318">
        <v>1</v>
      </c>
      <c r="AA7318">
        <v>1</v>
      </c>
      <c r="AB7318">
        <v>1</v>
      </c>
    </row>
    <row r="7319" spans="1:28" x14ac:dyDescent="0.25">
      <c r="A7319" t="str">
        <f>"7315"</f>
        <v>7315</v>
      </c>
      <c r="B7319" t="str">
        <f t="shared" si="423"/>
        <v>1</v>
      </c>
      <c r="C7319" t="str">
        <f t="shared" si="425"/>
        <v>320</v>
      </c>
      <c r="D7319" t="str">
        <f>"12"</f>
        <v>12</v>
      </c>
      <c r="E7319" t="str">
        <f>"1-320-12"</f>
        <v>1-320-12</v>
      </c>
      <c r="F7319" t="s">
        <v>83</v>
      </c>
      <c r="G7319" t="s">
        <v>86</v>
      </c>
      <c r="H7319" t="s">
        <v>93</v>
      </c>
      <c r="I7319">
        <v>1</v>
      </c>
      <c r="K7319">
        <v>0</v>
      </c>
      <c r="L7319">
        <v>0</v>
      </c>
      <c r="M7319">
        <v>1</v>
      </c>
      <c r="N7319">
        <v>1</v>
      </c>
      <c r="O7319">
        <v>1</v>
      </c>
      <c r="P7319">
        <v>1</v>
      </c>
      <c r="Q7319">
        <v>1</v>
      </c>
      <c r="R7319">
        <v>1</v>
      </c>
      <c r="U7319">
        <v>1</v>
      </c>
      <c r="V7319">
        <v>0</v>
      </c>
      <c r="W7319">
        <v>1</v>
      </c>
      <c r="X7319">
        <v>1</v>
      </c>
      <c r="Y7319">
        <v>1</v>
      </c>
      <c r="Z7319">
        <v>1</v>
      </c>
      <c r="AA7319">
        <v>1</v>
      </c>
      <c r="AB7319">
        <v>1</v>
      </c>
    </row>
    <row r="7320" spans="1:28" x14ac:dyDescent="0.25">
      <c r="A7320" t="str">
        <f>"7316"</f>
        <v>7316</v>
      </c>
      <c r="B7320" t="str">
        <f t="shared" si="423"/>
        <v>1</v>
      </c>
      <c r="C7320" t="str">
        <f t="shared" si="425"/>
        <v>320</v>
      </c>
      <c r="D7320" t="str">
        <f>"2"</f>
        <v>2</v>
      </c>
      <c r="E7320" t="str">
        <f>"1-320-2"</f>
        <v>1-320-2</v>
      </c>
      <c r="F7320" t="s">
        <v>83</v>
      </c>
      <c r="G7320" t="s">
        <v>86</v>
      </c>
      <c r="H7320" t="s">
        <v>93</v>
      </c>
      <c r="I7320">
        <v>1</v>
      </c>
      <c r="K7320">
        <v>0</v>
      </c>
      <c r="L7320">
        <v>0</v>
      </c>
      <c r="M7320">
        <v>1</v>
      </c>
      <c r="N7320">
        <v>1</v>
      </c>
      <c r="O7320">
        <v>1</v>
      </c>
      <c r="P7320">
        <v>1</v>
      </c>
      <c r="Q7320">
        <v>1</v>
      </c>
      <c r="R7320">
        <v>1</v>
      </c>
      <c r="U7320">
        <v>0</v>
      </c>
      <c r="V7320">
        <v>1</v>
      </c>
      <c r="W7320">
        <v>1</v>
      </c>
      <c r="X7320">
        <v>1</v>
      </c>
      <c r="Y7320">
        <v>1</v>
      </c>
      <c r="Z7320">
        <v>1</v>
      </c>
      <c r="AA7320">
        <v>1</v>
      </c>
      <c r="AB7320">
        <v>1</v>
      </c>
    </row>
    <row r="7321" spans="1:28" s="2" customFormat="1" x14ac:dyDescent="0.25">
      <c r="A7321" s="1" t="str">
        <f>"7317"</f>
        <v>7317</v>
      </c>
      <c r="B7321" s="1" t="str">
        <f t="shared" si="423"/>
        <v>1</v>
      </c>
      <c r="C7321" s="1" t="str">
        <f t="shared" si="425"/>
        <v>320</v>
      </c>
      <c r="D7321" s="1" t="str">
        <f>"18"</f>
        <v>18</v>
      </c>
      <c r="E7321" s="1" t="str">
        <f>"1-320-18"</f>
        <v>1-320-18</v>
      </c>
      <c r="F7321" s="1" t="s">
        <v>83</v>
      </c>
      <c r="G7321" s="4" t="s">
        <v>96</v>
      </c>
      <c r="I7321" s="4"/>
    </row>
    <row r="7322" spans="1:28" x14ac:dyDescent="0.25">
      <c r="A7322" t="str">
        <f>"7318"</f>
        <v>7318</v>
      </c>
      <c r="B7322" t="str">
        <f t="shared" si="423"/>
        <v>1</v>
      </c>
      <c r="C7322" t="str">
        <f t="shared" si="425"/>
        <v>320</v>
      </c>
      <c r="D7322" t="str">
        <f>"3"</f>
        <v>3</v>
      </c>
      <c r="E7322" t="str">
        <f>"1-320-3"</f>
        <v>1-320-3</v>
      </c>
      <c r="F7322" t="s">
        <v>83</v>
      </c>
      <c r="G7322" t="s">
        <v>86</v>
      </c>
      <c r="H7322" t="s">
        <v>93</v>
      </c>
      <c r="I7322">
        <v>1</v>
      </c>
      <c r="K7322">
        <v>0</v>
      </c>
      <c r="L7322">
        <v>0</v>
      </c>
      <c r="M7322">
        <v>1</v>
      </c>
      <c r="N7322">
        <v>1</v>
      </c>
      <c r="O7322">
        <v>1</v>
      </c>
      <c r="P7322">
        <v>1</v>
      </c>
      <c r="Q7322">
        <v>1</v>
      </c>
      <c r="R7322">
        <v>1</v>
      </c>
      <c r="U7322">
        <v>1</v>
      </c>
      <c r="V7322">
        <v>0</v>
      </c>
      <c r="W7322">
        <v>1</v>
      </c>
      <c r="X7322">
        <v>1</v>
      </c>
      <c r="Y7322">
        <v>1</v>
      </c>
      <c r="Z7322">
        <v>1</v>
      </c>
      <c r="AA7322">
        <v>1</v>
      </c>
      <c r="AB7322">
        <v>1</v>
      </c>
    </row>
    <row r="7323" spans="1:28" x14ac:dyDescent="0.25">
      <c r="A7323" t="str">
        <f>"7319"</f>
        <v>7319</v>
      </c>
      <c r="B7323" t="str">
        <f t="shared" si="423"/>
        <v>1</v>
      </c>
      <c r="C7323" t="str">
        <f t="shared" si="425"/>
        <v>320</v>
      </c>
      <c r="D7323" t="str">
        <f>"19"</f>
        <v>19</v>
      </c>
      <c r="E7323" t="str">
        <f>"1-320-19"</f>
        <v>1-320-19</v>
      </c>
      <c r="F7323" t="s">
        <v>83</v>
      </c>
      <c r="G7323" t="s">
        <v>86</v>
      </c>
      <c r="H7323" t="s">
        <v>93</v>
      </c>
      <c r="I7323">
        <v>1</v>
      </c>
      <c r="K7323">
        <v>0</v>
      </c>
      <c r="L7323">
        <v>0</v>
      </c>
      <c r="M7323">
        <v>1</v>
      </c>
      <c r="N7323">
        <v>1</v>
      </c>
      <c r="O7323">
        <v>1</v>
      </c>
      <c r="P7323">
        <v>1</v>
      </c>
      <c r="Q7323">
        <v>1</v>
      </c>
      <c r="R7323">
        <v>1</v>
      </c>
      <c r="U7323">
        <v>0</v>
      </c>
      <c r="V7323">
        <v>1</v>
      </c>
      <c r="W7323">
        <v>1</v>
      </c>
      <c r="X7323">
        <v>1</v>
      </c>
      <c r="Y7323">
        <v>1</v>
      </c>
      <c r="Z7323">
        <v>1</v>
      </c>
      <c r="AA7323">
        <v>1</v>
      </c>
      <c r="AB7323">
        <v>1</v>
      </c>
    </row>
    <row r="7324" spans="1:28" x14ac:dyDescent="0.25">
      <c r="A7324" t="str">
        <f>"7320"</f>
        <v>7320</v>
      </c>
      <c r="B7324" t="str">
        <f t="shared" si="423"/>
        <v>1</v>
      </c>
      <c r="C7324" t="str">
        <f t="shared" si="425"/>
        <v>320</v>
      </c>
      <c r="D7324" t="str">
        <f>"7"</f>
        <v>7</v>
      </c>
      <c r="E7324" t="str">
        <f>"1-320-7"</f>
        <v>1-320-7</v>
      </c>
      <c r="F7324" t="s">
        <v>83</v>
      </c>
      <c r="G7324" t="s">
        <v>86</v>
      </c>
      <c r="H7324" t="s">
        <v>93</v>
      </c>
      <c r="I7324">
        <v>1</v>
      </c>
      <c r="K7324">
        <v>0</v>
      </c>
      <c r="L7324">
        <v>1</v>
      </c>
      <c r="M7324">
        <v>0</v>
      </c>
      <c r="N7324">
        <v>1</v>
      </c>
      <c r="O7324">
        <v>1</v>
      </c>
      <c r="P7324">
        <v>1</v>
      </c>
      <c r="Q7324">
        <v>1</v>
      </c>
      <c r="R7324">
        <v>1</v>
      </c>
      <c r="U7324">
        <v>0</v>
      </c>
      <c r="V7324">
        <v>1</v>
      </c>
      <c r="W7324">
        <v>1</v>
      </c>
      <c r="X7324">
        <v>1</v>
      </c>
      <c r="Y7324">
        <v>1</v>
      </c>
      <c r="Z7324">
        <v>0</v>
      </c>
      <c r="AA7324">
        <v>0</v>
      </c>
      <c r="AB7324">
        <v>0</v>
      </c>
    </row>
    <row r="7325" spans="1:28" x14ac:dyDescent="0.25">
      <c r="A7325" t="str">
        <f>"7321"</f>
        <v>7321</v>
      </c>
      <c r="B7325" t="str">
        <f t="shared" si="423"/>
        <v>1</v>
      </c>
      <c r="C7325" t="str">
        <f t="shared" ref="C7325:C7347" si="426">"321"</f>
        <v>321</v>
      </c>
      <c r="D7325" t="str">
        <f>"23"</f>
        <v>23</v>
      </c>
      <c r="E7325" t="str">
        <f>"1-321-23"</f>
        <v>1-321-23</v>
      </c>
      <c r="F7325" t="s">
        <v>83</v>
      </c>
      <c r="G7325" t="s">
        <v>86</v>
      </c>
      <c r="H7325" t="s">
        <v>93</v>
      </c>
      <c r="I7325">
        <v>1</v>
      </c>
      <c r="K7325">
        <v>0</v>
      </c>
      <c r="L7325">
        <v>0</v>
      </c>
      <c r="M7325">
        <v>1</v>
      </c>
      <c r="N7325">
        <v>1</v>
      </c>
      <c r="O7325">
        <v>1</v>
      </c>
      <c r="P7325">
        <v>1</v>
      </c>
      <c r="Q7325">
        <v>1</v>
      </c>
      <c r="R7325">
        <v>1</v>
      </c>
      <c r="U7325">
        <v>0</v>
      </c>
      <c r="V7325">
        <v>1</v>
      </c>
      <c r="W7325">
        <v>1</v>
      </c>
      <c r="X7325">
        <v>1</v>
      </c>
      <c r="Y7325">
        <v>1</v>
      </c>
      <c r="Z7325">
        <v>1</v>
      </c>
      <c r="AA7325">
        <v>1</v>
      </c>
      <c r="AB7325">
        <v>1</v>
      </c>
    </row>
    <row r="7326" spans="1:28" x14ac:dyDescent="0.25">
      <c r="A7326" t="str">
        <f>"7322"</f>
        <v>7322</v>
      </c>
      <c r="B7326" t="str">
        <f t="shared" ref="B7326:B7389" si="427">"1"</f>
        <v>1</v>
      </c>
      <c r="C7326" t="str">
        <f t="shared" si="426"/>
        <v>321</v>
      </c>
      <c r="D7326" t="str">
        <f>"22"</f>
        <v>22</v>
      </c>
      <c r="E7326" t="str">
        <f>"1-321-22"</f>
        <v>1-321-22</v>
      </c>
      <c r="F7326" t="s">
        <v>83</v>
      </c>
      <c r="G7326" t="s">
        <v>86</v>
      </c>
      <c r="H7326" t="s">
        <v>93</v>
      </c>
      <c r="I7326">
        <v>0</v>
      </c>
      <c r="K7326">
        <v>0</v>
      </c>
      <c r="L7326">
        <v>0</v>
      </c>
      <c r="M7326">
        <v>1</v>
      </c>
      <c r="N7326">
        <v>0</v>
      </c>
      <c r="O7326">
        <v>0</v>
      </c>
      <c r="P7326">
        <v>0</v>
      </c>
      <c r="Q7326">
        <v>0</v>
      </c>
      <c r="R7326">
        <v>0</v>
      </c>
      <c r="U7326">
        <v>0</v>
      </c>
      <c r="V7326">
        <v>1</v>
      </c>
      <c r="W7326">
        <v>0</v>
      </c>
      <c r="X7326">
        <v>0</v>
      </c>
      <c r="Y7326">
        <v>0</v>
      </c>
      <c r="Z7326">
        <v>0</v>
      </c>
      <c r="AA7326">
        <v>0</v>
      </c>
      <c r="AB7326">
        <v>0</v>
      </c>
    </row>
    <row r="7327" spans="1:28" x14ac:dyDescent="0.25">
      <c r="A7327" t="str">
        <f>"7323"</f>
        <v>7323</v>
      </c>
      <c r="B7327" t="str">
        <f t="shared" si="427"/>
        <v>1</v>
      </c>
      <c r="C7327" t="str">
        <f t="shared" si="426"/>
        <v>321</v>
      </c>
      <c r="D7327" t="str">
        <f>"13"</f>
        <v>13</v>
      </c>
      <c r="E7327" t="str">
        <f>"1-321-13"</f>
        <v>1-321-13</v>
      </c>
      <c r="F7327" t="s">
        <v>83</v>
      </c>
      <c r="G7327" t="s">
        <v>86</v>
      </c>
      <c r="H7327" t="s">
        <v>93</v>
      </c>
      <c r="I7327">
        <v>1</v>
      </c>
      <c r="K7327">
        <v>0</v>
      </c>
      <c r="L7327">
        <v>0</v>
      </c>
      <c r="M7327">
        <v>1</v>
      </c>
      <c r="N7327">
        <v>1</v>
      </c>
      <c r="O7327">
        <v>0</v>
      </c>
      <c r="P7327">
        <v>0</v>
      </c>
      <c r="Q7327">
        <v>1</v>
      </c>
      <c r="R7327">
        <v>0</v>
      </c>
      <c r="U7327">
        <v>0</v>
      </c>
      <c r="V7327">
        <v>0</v>
      </c>
      <c r="W7327">
        <v>0</v>
      </c>
      <c r="X7327">
        <v>0</v>
      </c>
      <c r="Y7327">
        <v>0</v>
      </c>
      <c r="Z7327">
        <v>1</v>
      </c>
      <c r="AA7327">
        <v>0</v>
      </c>
      <c r="AB7327">
        <v>0</v>
      </c>
    </row>
    <row r="7328" spans="1:28" x14ac:dyDescent="0.25">
      <c r="A7328" t="str">
        <f>"7324"</f>
        <v>7324</v>
      </c>
      <c r="B7328" t="str">
        <f t="shared" si="427"/>
        <v>1</v>
      </c>
      <c r="C7328" t="str">
        <f t="shared" si="426"/>
        <v>321</v>
      </c>
      <c r="D7328" t="str">
        <f>"8"</f>
        <v>8</v>
      </c>
      <c r="E7328" t="str">
        <f>"1-321-8"</f>
        <v>1-321-8</v>
      </c>
      <c r="F7328" t="s">
        <v>83</v>
      </c>
      <c r="G7328" t="s">
        <v>86</v>
      </c>
      <c r="H7328" t="s">
        <v>93</v>
      </c>
      <c r="I7328">
        <v>0</v>
      </c>
      <c r="K7328">
        <v>0</v>
      </c>
      <c r="L7328">
        <v>0</v>
      </c>
      <c r="M7328">
        <v>1</v>
      </c>
      <c r="N7328">
        <v>0</v>
      </c>
      <c r="O7328">
        <v>0</v>
      </c>
      <c r="P7328">
        <v>0</v>
      </c>
      <c r="Q7328">
        <v>0</v>
      </c>
      <c r="R7328">
        <v>0</v>
      </c>
      <c r="U7328">
        <v>1</v>
      </c>
      <c r="V7328">
        <v>0</v>
      </c>
      <c r="W7328">
        <v>0</v>
      </c>
      <c r="X7328">
        <v>0</v>
      </c>
      <c r="Y7328">
        <v>0</v>
      </c>
      <c r="Z7328">
        <v>0</v>
      </c>
      <c r="AA7328">
        <v>0</v>
      </c>
      <c r="AB7328">
        <v>0</v>
      </c>
    </row>
    <row r="7329" spans="1:28" x14ac:dyDescent="0.25">
      <c r="A7329" t="str">
        <f>"7325"</f>
        <v>7325</v>
      </c>
      <c r="B7329" t="str">
        <f t="shared" si="427"/>
        <v>1</v>
      </c>
      <c r="C7329" t="str">
        <f t="shared" si="426"/>
        <v>321</v>
      </c>
      <c r="D7329" t="str">
        <f>"5"</f>
        <v>5</v>
      </c>
      <c r="E7329" t="str">
        <f>"1-321-5"</f>
        <v>1-321-5</v>
      </c>
      <c r="F7329" t="s">
        <v>83</v>
      </c>
      <c r="G7329" t="s">
        <v>86</v>
      </c>
      <c r="H7329" t="s">
        <v>93</v>
      </c>
      <c r="I7329">
        <v>1</v>
      </c>
      <c r="K7329">
        <v>1</v>
      </c>
      <c r="L7329">
        <v>0</v>
      </c>
      <c r="M7329">
        <v>0</v>
      </c>
      <c r="N7329">
        <v>1</v>
      </c>
      <c r="O7329">
        <v>1</v>
      </c>
      <c r="P7329">
        <v>1</v>
      </c>
      <c r="Q7329">
        <v>1</v>
      </c>
      <c r="R7329">
        <v>1</v>
      </c>
      <c r="U7329">
        <v>0</v>
      </c>
      <c r="V7329">
        <v>1</v>
      </c>
      <c r="W7329">
        <v>1</v>
      </c>
      <c r="X7329">
        <v>1</v>
      </c>
      <c r="Y7329">
        <v>1</v>
      </c>
      <c r="Z7329">
        <v>1</v>
      </c>
      <c r="AA7329">
        <v>1</v>
      </c>
      <c r="AB7329">
        <v>1</v>
      </c>
    </row>
    <row r="7330" spans="1:28" x14ac:dyDescent="0.25">
      <c r="A7330" t="str">
        <f>"7326"</f>
        <v>7326</v>
      </c>
      <c r="B7330" t="str">
        <f t="shared" si="427"/>
        <v>1</v>
      </c>
      <c r="C7330" t="str">
        <f t="shared" si="426"/>
        <v>321</v>
      </c>
      <c r="D7330" t="str">
        <f>"21"</f>
        <v>21</v>
      </c>
      <c r="E7330" t="str">
        <f>"1-321-21"</f>
        <v>1-321-21</v>
      </c>
      <c r="F7330" t="s">
        <v>83</v>
      </c>
      <c r="G7330" t="s">
        <v>86</v>
      </c>
      <c r="H7330" t="s">
        <v>93</v>
      </c>
      <c r="I7330">
        <v>1</v>
      </c>
      <c r="K7330">
        <v>1</v>
      </c>
      <c r="L7330">
        <v>0</v>
      </c>
      <c r="M7330">
        <v>0</v>
      </c>
      <c r="N7330">
        <v>1</v>
      </c>
      <c r="O7330">
        <v>1</v>
      </c>
      <c r="P7330">
        <v>1</v>
      </c>
      <c r="Q7330">
        <v>1</v>
      </c>
      <c r="R7330">
        <v>1</v>
      </c>
      <c r="U7330">
        <v>0</v>
      </c>
      <c r="V7330">
        <v>1</v>
      </c>
      <c r="W7330">
        <v>1</v>
      </c>
      <c r="X7330">
        <v>1</v>
      </c>
      <c r="Y7330">
        <v>1</v>
      </c>
      <c r="Z7330">
        <v>1</v>
      </c>
      <c r="AA7330">
        <v>1</v>
      </c>
      <c r="AB7330">
        <v>1</v>
      </c>
    </row>
    <row r="7331" spans="1:28" x14ac:dyDescent="0.25">
      <c r="A7331" t="str">
        <f>"7327"</f>
        <v>7327</v>
      </c>
      <c r="B7331" t="str">
        <f t="shared" si="427"/>
        <v>1</v>
      </c>
      <c r="C7331" t="str">
        <f t="shared" si="426"/>
        <v>321</v>
      </c>
      <c r="D7331" t="str">
        <f>"20"</f>
        <v>20</v>
      </c>
      <c r="E7331" t="str">
        <f>"1-321-20"</f>
        <v>1-321-20</v>
      </c>
      <c r="F7331" t="s">
        <v>83</v>
      </c>
      <c r="G7331" t="s">
        <v>86</v>
      </c>
      <c r="H7331" t="s">
        <v>93</v>
      </c>
      <c r="I7331">
        <v>1</v>
      </c>
      <c r="K7331">
        <v>0</v>
      </c>
      <c r="L7331">
        <v>0</v>
      </c>
      <c r="M7331">
        <v>1</v>
      </c>
      <c r="N7331">
        <v>1</v>
      </c>
      <c r="O7331">
        <v>1</v>
      </c>
      <c r="P7331">
        <v>1</v>
      </c>
      <c r="Q7331">
        <v>1</v>
      </c>
      <c r="R7331">
        <v>1</v>
      </c>
      <c r="U7331">
        <v>0</v>
      </c>
      <c r="V7331">
        <v>1</v>
      </c>
      <c r="W7331">
        <v>1</v>
      </c>
      <c r="X7331">
        <v>1</v>
      </c>
      <c r="Y7331">
        <v>1</v>
      </c>
      <c r="Z7331">
        <v>1</v>
      </c>
      <c r="AA7331">
        <v>1</v>
      </c>
      <c r="AB7331">
        <v>1</v>
      </c>
    </row>
    <row r="7332" spans="1:28" x14ac:dyDescent="0.25">
      <c r="A7332" t="str">
        <f>"7328"</f>
        <v>7328</v>
      </c>
      <c r="B7332" t="str">
        <f t="shared" si="427"/>
        <v>1</v>
      </c>
      <c r="C7332" t="str">
        <f t="shared" si="426"/>
        <v>321</v>
      </c>
      <c r="D7332" t="str">
        <f>"14"</f>
        <v>14</v>
      </c>
      <c r="E7332" t="str">
        <f>"1-321-14"</f>
        <v>1-321-14</v>
      </c>
      <c r="F7332" t="s">
        <v>83</v>
      </c>
      <c r="G7332" t="s">
        <v>86</v>
      </c>
      <c r="H7332" t="s">
        <v>93</v>
      </c>
      <c r="I7332">
        <v>1</v>
      </c>
      <c r="K7332">
        <v>0</v>
      </c>
      <c r="L7332">
        <v>0</v>
      </c>
      <c r="M7332">
        <v>1</v>
      </c>
      <c r="N7332">
        <v>1</v>
      </c>
      <c r="O7332">
        <v>0</v>
      </c>
      <c r="P7332">
        <v>0</v>
      </c>
      <c r="Q7332">
        <v>0</v>
      </c>
      <c r="R7332">
        <v>0</v>
      </c>
      <c r="U7332">
        <v>1</v>
      </c>
      <c r="V7332">
        <v>0</v>
      </c>
      <c r="W7332">
        <v>0</v>
      </c>
      <c r="X7332">
        <v>0</v>
      </c>
      <c r="Y7332">
        <v>0</v>
      </c>
      <c r="Z7332">
        <v>0</v>
      </c>
      <c r="AA7332">
        <v>0</v>
      </c>
      <c r="AB7332">
        <v>0</v>
      </c>
    </row>
    <row r="7333" spans="1:28" x14ac:dyDescent="0.25">
      <c r="A7333" t="str">
        <f>"7329"</f>
        <v>7329</v>
      </c>
      <c r="B7333" t="str">
        <f t="shared" si="427"/>
        <v>1</v>
      </c>
      <c r="C7333" t="str">
        <f t="shared" si="426"/>
        <v>321</v>
      </c>
      <c r="D7333" t="str">
        <f>"9"</f>
        <v>9</v>
      </c>
      <c r="E7333" t="str">
        <f>"1-321-9"</f>
        <v>1-321-9</v>
      </c>
      <c r="F7333" t="s">
        <v>83</v>
      </c>
      <c r="G7333" t="s">
        <v>86</v>
      </c>
      <c r="H7333" t="s">
        <v>93</v>
      </c>
      <c r="I7333">
        <v>0</v>
      </c>
      <c r="K7333">
        <v>1</v>
      </c>
      <c r="L7333">
        <v>0</v>
      </c>
      <c r="M7333">
        <v>0</v>
      </c>
      <c r="N7333">
        <v>0</v>
      </c>
      <c r="O7333">
        <v>0</v>
      </c>
      <c r="P7333">
        <v>0</v>
      </c>
      <c r="Q7333">
        <v>0</v>
      </c>
      <c r="R7333">
        <v>0</v>
      </c>
      <c r="U7333">
        <v>1</v>
      </c>
      <c r="V7333">
        <v>0</v>
      </c>
      <c r="W7333">
        <v>0</v>
      </c>
      <c r="X7333">
        <v>0</v>
      </c>
      <c r="Y7333">
        <v>0</v>
      </c>
      <c r="Z7333">
        <v>0</v>
      </c>
      <c r="AA7333">
        <v>0</v>
      </c>
      <c r="AB7333">
        <v>0</v>
      </c>
    </row>
    <row r="7334" spans="1:28" x14ac:dyDescent="0.25">
      <c r="A7334" t="str">
        <f>"7330"</f>
        <v>7330</v>
      </c>
      <c r="B7334" t="str">
        <f t="shared" si="427"/>
        <v>1</v>
      </c>
      <c r="C7334" t="str">
        <f t="shared" si="426"/>
        <v>321</v>
      </c>
      <c r="D7334" t="str">
        <f>"3"</f>
        <v>3</v>
      </c>
      <c r="E7334" t="str">
        <f>"1-321-3"</f>
        <v>1-321-3</v>
      </c>
      <c r="F7334" t="s">
        <v>83</v>
      </c>
      <c r="G7334" t="s">
        <v>86</v>
      </c>
      <c r="H7334" t="s">
        <v>93</v>
      </c>
      <c r="I7334">
        <v>0</v>
      </c>
      <c r="K7334">
        <v>1</v>
      </c>
      <c r="L7334">
        <v>0</v>
      </c>
      <c r="M7334">
        <v>0</v>
      </c>
      <c r="N7334">
        <v>0</v>
      </c>
      <c r="O7334">
        <v>0</v>
      </c>
      <c r="P7334">
        <v>0</v>
      </c>
      <c r="Q7334">
        <v>0</v>
      </c>
      <c r="R7334">
        <v>0</v>
      </c>
      <c r="U7334">
        <v>0</v>
      </c>
      <c r="V7334">
        <v>1</v>
      </c>
      <c r="W7334">
        <v>0</v>
      </c>
      <c r="X7334">
        <v>0</v>
      </c>
      <c r="Y7334">
        <v>0</v>
      </c>
      <c r="Z7334">
        <v>0</v>
      </c>
      <c r="AA7334">
        <v>0</v>
      </c>
      <c r="AB7334">
        <v>0</v>
      </c>
    </row>
    <row r="7335" spans="1:28" x14ac:dyDescent="0.25">
      <c r="A7335" t="str">
        <f>"7331"</f>
        <v>7331</v>
      </c>
      <c r="B7335" t="str">
        <f t="shared" si="427"/>
        <v>1</v>
      </c>
      <c r="C7335" t="str">
        <f t="shared" si="426"/>
        <v>321</v>
      </c>
      <c r="D7335" t="str">
        <f>"15"</f>
        <v>15</v>
      </c>
      <c r="E7335" t="str">
        <f>"1-321-15"</f>
        <v>1-321-15</v>
      </c>
      <c r="F7335" t="s">
        <v>83</v>
      </c>
      <c r="G7335" t="s">
        <v>86</v>
      </c>
      <c r="H7335" t="s">
        <v>93</v>
      </c>
      <c r="I7335">
        <v>0</v>
      </c>
      <c r="K7335">
        <v>0</v>
      </c>
      <c r="L7335">
        <v>0</v>
      </c>
      <c r="M7335">
        <v>1</v>
      </c>
      <c r="N7335">
        <v>0</v>
      </c>
      <c r="O7335">
        <v>0</v>
      </c>
      <c r="P7335">
        <v>0</v>
      </c>
      <c r="Q7335">
        <v>0</v>
      </c>
      <c r="R7335">
        <v>0</v>
      </c>
      <c r="U7335">
        <v>1</v>
      </c>
      <c r="V7335">
        <v>0</v>
      </c>
      <c r="W7335">
        <v>0</v>
      </c>
      <c r="X7335">
        <v>0</v>
      </c>
      <c r="Y7335">
        <v>0</v>
      </c>
      <c r="Z7335">
        <v>0</v>
      </c>
      <c r="AA7335">
        <v>0</v>
      </c>
      <c r="AB7335">
        <v>0</v>
      </c>
    </row>
    <row r="7336" spans="1:28" x14ac:dyDescent="0.25">
      <c r="A7336" t="str">
        <f>"7332"</f>
        <v>7332</v>
      </c>
      <c r="B7336" t="str">
        <f t="shared" si="427"/>
        <v>1</v>
      </c>
      <c r="C7336" t="str">
        <f t="shared" si="426"/>
        <v>321</v>
      </c>
      <c r="D7336" t="str">
        <f>"10"</f>
        <v>10</v>
      </c>
      <c r="E7336" t="str">
        <f>"1-321-10"</f>
        <v>1-321-10</v>
      </c>
      <c r="F7336" t="s">
        <v>83</v>
      </c>
      <c r="G7336" t="s">
        <v>86</v>
      </c>
      <c r="H7336" t="s">
        <v>93</v>
      </c>
      <c r="I7336">
        <v>1</v>
      </c>
      <c r="K7336">
        <v>1</v>
      </c>
      <c r="L7336">
        <v>0</v>
      </c>
      <c r="M7336">
        <v>0</v>
      </c>
      <c r="N7336">
        <v>1</v>
      </c>
      <c r="O7336">
        <v>0</v>
      </c>
      <c r="P7336">
        <v>0</v>
      </c>
      <c r="Q7336">
        <v>0</v>
      </c>
      <c r="R7336">
        <v>0</v>
      </c>
      <c r="U7336">
        <v>0</v>
      </c>
      <c r="V7336">
        <v>1</v>
      </c>
      <c r="W7336">
        <v>0</v>
      </c>
      <c r="X7336">
        <v>0</v>
      </c>
      <c r="Y7336">
        <v>0</v>
      </c>
      <c r="Z7336">
        <v>0</v>
      </c>
      <c r="AA7336">
        <v>0</v>
      </c>
      <c r="AB7336">
        <v>0</v>
      </c>
    </row>
    <row r="7337" spans="1:28" x14ac:dyDescent="0.25">
      <c r="A7337" t="str">
        <f>"7333"</f>
        <v>7333</v>
      </c>
      <c r="B7337" t="str">
        <f t="shared" si="427"/>
        <v>1</v>
      </c>
      <c r="C7337" t="str">
        <f t="shared" si="426"/>
        <v>321</v>
      </c>
      <c r="D7337" t="str">
        <f>"4"</f>
        <v>4</v>
      </c>
      <c r="E7337" t="str">
        <f>"1-321-4"</f>
        <v>1-321-4</v>
      </c>
      <c r="F7337" t="s">
        <v>83</v>
      </c>
      <c r="G7337" t="s">
        <v>86</v>
      </c>
      <c r="H7337" t="s">
        <v>93</v>
      </c>
      <c r="I7337">
        <v>1</v>
      </c>
      <c r="K7337">
        <v>0</v>
      </c>
      <c r="L7337">
        <v>0</v>
      </c>
      <c r="M7337">
        <v>1</v>
      </c>
      <c r="N7337">
        <v>1</v>
      </c>
      <c r="O7337">
        <v>1</v>
      </c>
      <c r="P7337">
        <v>1</v>
      </c>
      <c r="Q7337">
        <v>1</v>
      </c>
      <c r="R7337">
        <v>1</v>
      </c>
      <c r="U7337">
        <v>0</v>
      </c>
      <c r="V7337">
        <v>1</v>
      </c>
      <c r="W7337">
        <v>1</v>
      </c>
      <c r="X7337">
        <v>1</v>
      </c>
      <c r="Y7337">
        <v>1</v>
      </c>
      <c r="Z7337">
        <v>1</v>
      </c>
      <c r="AA7337">
        <v>1</v>
      </c>
      <c r="AB7337">
        <v>1</v>
      </c>
    </row>
    <row r="7338" spans="1:28" x14ac:dyDescent="0.25">
      <c r="A7338" t="str">
        <f>"7334"</f>
        <v>7334</v>
      </c>
      <c r="B7338" t="str">
        <f t="shared" si="427"/>
        <v>1</v>
      </c>
      <c r="C7338" t="str">
        <f t="shared" si="426"/>
        <v>321</v>
      </c>
      <c r="D7338" t="str">
        <f>"16"</f>
        <v>16</v>
      </c>
      <c r="E7338" t="str">
        <f>"1-321-16"</f>
        <v>1-321-16</v>
      </c>
      <c r="F7338" t="s">
        <v>83</v>
      </c>
      <c r="G7338" t="s">
        <v>86</v>
      </c>
      <c r="H7338" t="s">
        <v>93</v>
      </c>
      <c r="I7338">
        <v>0</v>
      </c>
      <c r="K7338">
        <v>0</v>
      </c>
      <c r="L7338">
        <v>0</v>
      </c>
      <c r="M7338">
        <v>1</v>
      </c>
      <c r="N7338">
        <v>0</v>
      </c>
      <c r="O7338">
        <v>0</v>
      </c>
      <c r="P7338">
        <v>0</v>
      </c>
      <c r="Q7338">
        <v>0</v>
      </c>
      <c r="R7338">
        <v>0</v>
      </c>
      <c r="U7338">
        <v>0</v>
      </c>
      <c r="V7338">
        <v>1</v>
      </c>
      <c r="W7338">
        <v>0</v>
      </c>
      <c r="X7338">
        <v>0</v>
      </c>
      <c r="Y7338">
        <v>0</v>
      </c>
      <c r="Z7338">
        <v>0</v>
      </c>
      <c r="AA7338">
        <v>0</v>
      </c>
      <c r="AB7338">
        <v>0</v>
      </c>
    </row>
    <row r="7339" spans="1:28" x14ac:dyDescent="0.25">
      <c r="A7339" t="str">
        <f>"7335"</f>
        <v>7335</v>
      </c>
      <c r="B7339" t="str">
        <f t="shared" si="427"/>
        <v>1</v>
      </c>
      <c r="C7339" t="str">
        <f t="shared" si="426"/>
        <v>321</v>
      </c>
      <c r="D7339" t="str">
        <f>"11"</f>
        <v>11</v>
      </c>
      <c r="E7339" t="str">
        <f>"1-321-11"</f>
        <v>1-321-11</v>
      </c>
      <c r="F7339" t="s">
        <v>83</v>
      </c>
      <c r="G7339" t="s">
        <v>86</v>
      </c>
      <c r="H7339" t="s">
        <v>93</v>
      </c>
      <c r="I7339">
        <v>1</v>
      </c>
      <c r="K7339">
        <v>0</v>
      </c>
      <c r="L7339">
        <v>0</v>
      </c>
      <c r="M7339">
        <v>1</v>
      </c>
      <c r="N7339">
        <v>1</v>
      </c>
      <c r="O7339">
        <v>1</v>
      </c>
      <c r="P7339">
        <v>1</v>
      </c>
      <c r="Q7339">
        <v>1</v>
      </c>
      <c r="R7339">
        <v>1</v>
      </c>
      <c r="U7339">
        <v>1</v>
      </c>
      <c r="V7339">
        <v>0</v>
      </c>
      <c r="W7339">
        <v>1</v>
      </c>
      <c r="X7339">
        <v>1</v>
      </c>
      <c r="Y7339">
        <v>1</v>
      </c>
      <c r="Z7339">
        <v>1</v>
      </c>
      <c r="AA7339">
        <v>1</v>
      </c>
      <c r="AB7339">
        <v>1</v>
      </c>
    </row>
    <row r="7340" spans="1:28" x14ac:dyDescent="0.25">
      <c r="A7340" t="str">
        <f>"7336"</f>
        <v>7336</v>
      </c>
      <c r="B7340" t="str">
        <f t="shared" si="427"/>
        <v>1</v>
      </c>
      <c r="C7340" t="str">
        <f t="shared" si="426"/>
        <v>321</v>
      </c>
      <c r="D7340" t="str">
        <f>"1"</f>
        <v>1</v>
      </c>
      <c r="E7340" t="str">
        <f>"1-321-1"</f>
        <v>1-321-1</v>
      </c>
      <c r="F7340" t="s">
        <v>83</v>
      </c>
      <c r="G7340" t="s">
        <v>86</v>
      </c>
      <c r="H7340" t="s">
        <v>93</v>
      </c>
      <c r="I7340">
        <v>1</v>
      </c>
      <c r="K7340">
        <v>0</v>
      </c>
      <c r="L7340">
        <v>0</v>
      </c>
      <c r="M7340">
        <v>1</v>
      </c>
      <c r="N7340">
        <v>1</v>
      </c>
      <c r="O7340">
        <v>1</v>
      </c>
      <c r="P7340">
        <v>1</v>
      </c>
      <c r="Q7340">
        <v>1</v>
      </c>
      <c r="R7340">
        <v>1</v>
      </c>
      <c r="U7340">
        <v>0</v>
      </c>
      <c r="V7340">
        <v>1</v>
      </c>
      <c r="W7340">
        <v>1</v>
      </c>
      <c r="X7340">
        <v>1</v>
      </c>
      <c r="Y7340">
        <v>1</v>
      </c>
      <c r="Z7340">
        <v>1</v>
      </c>
      <c r="AA7340">
        <v>1</v>
      </c>
      <c r="AB7340">
        <v>1</v>
      </c>
    </row>
    <row r="7341" spans="1:28" x14ac:dyDescent="0.25">
      <c r="A7341" t="str">
        <f>"7337"</f>
        <v>7337</v>
      </c>
      <c r="B7341" t="str">
        <f t="shared" si="427"/>
        <v>1</v>
      </c>
      <c r="C7341" t="str">
        <f t="shared" si="426"/>
        <v>321</v>
      </c>
      <c r="D7341" t="str">
        <f>"17"</f>
        <v>17</v>
      </c>
      <c r="E7341" t="str">
        <f>"1-321-17"</f>
        <v>1-321-17</v>
      </c>
      <c r="F7341" t="s">
        <v>83</v>
      </c>
      <c r="G7341" t="s">
        <v>86</v>
      </c>
      <c r="H7341" t="s">
        <v>93</v>
      </c>
      <c r="I7341">
        <v>1</v>
      </c>
      <c r="K7341">
        <v>1</v>
      </c>
      <c r="L7341">
        <v>0</v>
      </c>
      <c r="M7341">
        <v>0</v>
      </c>
      <c r="N7341">
        <v>1</v>
      </c>
      <c r="O7341">
        <v>1</v>
      </c>
      <c r="P7341">
        <v>1</v>
      </c>
      <c r="Q7341">
        <v>1</v>
      </c>
      <c r="R7341">
        <v>1</v>
      </c>
      <c r="U7341">
        <v>0</v>
      </c>
      <c r="V7341">
        <v>1</v>
      </c>
      <c r="W7341">
        <v>1</v>
      </c>
      <c r="X7341">
        <v>1</v>
      </c>
      <c r="Y7341">
        <v>1</v>
      </c>
      <c r="Z7341">
        <v>1</v>
      </c>
      <c r="AA7341">
        <v>1</v>
      </c>
      <c r="AB7341">
        <v>1</v>
      </c>
    </row>
    <row r="7342" spans="1:28" x14ac:dyDescent="0.25">
      <c r="A7342" t="str">
        <f>"7338"</f>
        <v>7338</v>
      </c>
      <c r="B7342" t="str">
        <f t="shared" si="427"/>
        <v>1</v>
      </c>
      <c r="C7342" t="str">
        <f t="shared" si="426"/>
        <v>321</v>
      </c>
      <c r="D7342" t="str">
        <f>"12"</f>
        <v>12</v>
      </c>
      <c r="E7342" t="str">
        <f>"1-321-12"</f>
        <v>1-321-12</v>
      </c>
      <c r="F7342" t="s">
        <v>83</v>
      </c>
      <c r="G7342" t="s">
        <v>86</v>
      </c>
      <c r="H7342" t="s">
        <v>93</v>
      </c>
      <c r="I7342">
        <v>1</v>
      </c>
      <c r="K7342">
        <v>0</v>
      </c>
      <c r="L7342">
        <v>0</v>
      </c>
      <c r="M7342">
        <v>1</v>
      </c>
      <c r="N7342">
        <v>1</v>
      </c>
      <c r="O7342">
        <v>1</v>
      </c>
      <c r="P7342">
        <v>1</v>
      </c>
      <c r="Q7342">
        <v>1</v>
      </c>
      <c r="R7342">
        <v>1</v>
      </c>
      <c r="U7342">
        <v>1</v>
      </c>
      <c r="V7342">
        <v>0</v>
      </c>
      <c r="W7342">
        <v>1</v>
      </c>
      <c r="X7342">
        <v>1</v>
      </c>
      <c r="Y7342">
        <v>1</v>
      </c>
      <c r="Z7342">
        <v>1</v>
      </c>
      <c r="AA7342">
        <v>1</v>
      </c>
      <c r="AB7342">
        <v>1</v>
      </c>
    </row>
    <row r="7343" spans="1:28" x14ac:dyDescent="0.25">
      <c r="A7343" t="str">
        <f>"7339"</f>
        <v>7339</v>
      </c>
      <c r="B7343" t="str">
        <f t="shared" si="427"/>
        <v>1</v>
      </c>
      <c r="C7343" t="str">
        <f t="shared" si="426"/>
        <v>321</v>
      </c>
      <c r="D7343" t="str">
        <f>"6"</f>
        <v>6</v>
      </c>
      <c r="E7343" t="str">
        <f>"1-321-6"</f>
        <v>1-321-6</v>
      </c>
      <c r="F7343" t="s">
        <v>83</v>
      </c>
      <c r="G7343" t="s">
        <v>86</v>
      </c>
      <c r="H7343" t="s">
        <v>93</v>
      </c>
      <c r="I7343">
        <v>1</v>
      </c>
      <c r="K7343">
        <v>1</v>
      </c>
      <c r="L7343">
        <v>0</v>
      </c>
      <c r="M7343">
        <v>0</v>
      </c>
      <c r="N7343">
        <v>1</v>
      </c>
      <c r="O7343">
        <v>1</v>
      </c>
      <c r="P7343">
        <v>1</v>
      </c>
      <c r="Q7343">
        <v>1</v>
      </c>
      <c r="R7343">
        <v>1</v>
      </c>
      <c r="U7343">
        <v>0</v>
      </c>
      <c r="V7343">
        <v>1</v>
      </c>
      <c r="W7343">
        <v>1</v>
      </c>
      <c r="X7343">
        <v>1</v>
      </c>
      <c r="Y7343">
        <v>1</v>
      </c>
      <c r="Z7343">
        <v>1</v>
      </c>
      <c r="AA7343">
        <v>1</v>
      </c>
      <c r="AB7343">
        <v>1</v>
      </c>
    </row>
    <row r="7344" spans="1:28" x14ac:dyDescent="0.25">
      <c r="A7344" t="str">
        <f>"7340"</f>
        <v>7340</v>
      </c>
      <c r="B7344" t="str">
        <f t="shared" si="427"/>
        <v>1</v>
      </c>
      <c r="C7344" t="str">
        <f t="shared" si="426"/>
        <v>321</v>
      </c>
      <c r="D7344" t="str">
        <f>"18"</f>
        <v>18</v>
      </c>
      <c r="E7344" t="str">
        <f>"1-321-18"</f>
        <v>1-321-18</v>
      </c>
      <c r="F7344" t="s">
        <v>83</v>
      </c>
      <c r="G7344" t="s">
        <v>86</v>
      </c>
      <c r="H7344" t="s">
        <v>93</v>
      </c>
      <c r="I7344">
        <v>1</v>
      </c>
      <c r="K7344">
        <v>1</v>
      </c>
      <c r="L7344">
        <v>0</v>
      </c>
      <c r="M7344">
        <v>0</v>
      </c>
      <c r="N7344">
        <v>1</v>
      </c>
      <c r="O7344">
        <v>1</v>
      </c>
      <c r="P7344">
        <v>1</v>
      </c>
      <c r="Q7344">
        <v>1</v>
      </c>
      <c r="R7344">
        <v>1</v>
      </c>
      <c r="U7344">
        <v>0</v>
      </c>
      <c r="V7344">
        <v>1</v>
      </c>
      <c r="W7344">
        <v>1</v>
      </c>
      <c r="X7344">
        <v>1</v>
      </c>
      <c r="Y7344">
        <v>1</v>
      </c>
      <c r="Z7344">
        <v>1</v>
      </c>
      <c r="AA7344">
        <v>1</v>
      </c>
      <c r="AB7344">
        <v>1</v>
      </c>
    </row>
    <row r="7345" spans="1:28" x14ac:dyDescent="0.25">
      <c r="A7345" t="str">
        <f>"7341"</f>
        <v>7341</v>
      </c>
      <c r="B7345" t="str">
        <f t="shared" si="427"/>
        <v>1</v>
      </c>
      <c r="C7345" t="str">
        <f t="shared" si="426"/>
        <v>321</v>
      </c>
      <c r="D7345" t="str">
        <f>"7"</f>
        <v>7</v>
      </c>
      <c r="E7345" t="str">
        <f>"1-321-7"</f>
        <v>1-321-7</v>
      </c>
      <c r="F7345" t="s">
        <v>83</v>
      </c>
      <c r="G7345" t="s">
        <v>86</v>
      </c>
      <c r="H7345" t="s">
        <v>93</v>
      </c>
      <c r="I7345">
        <v>1</v>
      </c>
      <c r="K7345">
        <v>1</v>
      </c>
      <c r="L7345">
        <v>0</v>
      </c>
      <c r="M7345">
        <v>0</v>
      </c>
      <c r="N7345">
        <v>1</v>
      </c>
      <c r="O7345">
        <v>1</v>
      </c>
      <c r="P7345">
        <v>1</v>
      </c>
      <c r="Q7345">
        <v>1</v>
      </c>
      <c r="R7345">
        <v>1</v>
      </c>
      <c r="U7345">
        <v>0</v>
      </c>
      <c r="V7345">
        <v>1</v>
      </c>
      <c r="W7345">
        <v>1</v>
      </c>
      <c r="X7345">
        <v>1</v>
      </c>
      <c r="Y7345">
        <v>1</v>
      </c>
      <c r="Z7345">
        <v>1</v>
      </c>
      <c r="AA7345">
        <v>1</v>
      </c>
      <c r="AB7345">
        <v>1</v>
      </c>
    </row>
    <row r="7346" spans="1:28" x14ac:dyDescent="0.25">
      <c r="A7346" t="str">
        <f>"7342"</f>
        <v>7342</v>
      </c>
      <c r="B7346" t="str">
        <f t="shared" si="427"/>
        <v>1</v>
      </c>
      <c r="C7346" t="str">
        <f t="shared" si="426"/>
        <v>321</v>
      </c>
      <c r="D7346" t="str">
        <f>"19"</f>
        <v>19</v>
      </c>
      <c r="E7346" t="str">
        <f>"1-321-19"</f>
        <v>1-321-19</v>
      </c>
      <c r="F7346" t="s">
        <v>83</v>
      </c>
      <c r="G7346" t="s">
        <v>86</v>
      </c>
      <c r="H7346" t="s">
        <v>93</v>
      </c>
      <c r="I7346">
        <v>1</v>
      </c>
      <c r="K7346">
        <v>0</v>
      </c>
      <c r="L7346">
        <v>0</v>
      </c>
      <c r="M7346">
        <v>1</v>
      </c>
      <c r="N7346">
        <v>1</v>
      </c>
      <c r="O7346">
        <v>1</v>
      </c>
      <c r="P7346">
        <v>1</v>
      </c>
      <c r="Q7346">
        <v>1</v>
      </c>
      <c r="R7346">
        <v>1</v>
      </c>
      <c r="U7346">
        <v>1</v>
      </c>
      <c r="V7346">
        <v>0</v>
      </c>
      <c r="W7346">
        <v>1</v>
      </c>
      <c r="X7346">
        <v>1</v>
      </c>
      <c r="Y7346">
        <v>1</v>
      </c>
      <c r="Z7346">
        <v>1</v>
      </c>
      <c r="AA7346">
        <v>1</v>
      </c>
      <c r="AB7346">
        <v>1</v>
      </c>
    </row>
    <row r="7347" spans="1:28" x14ac:dyDescent="0.25">
      <c r="A7347" t="str">
        <f>"7343"</f>
        <v>7343</v>
      </c>
      <c r="B7347" t="str">
        <f t="shared" si="427"/>
        <v>1</v>
      </c>
      <c r="C7347" t="str">
        <f t="shared" si="426"/>
        <v>321</v>
      </c>
      <c r="D7347" t="str">
        <f>"2"</f>
        <v>2</v>
      </c>
      <c r="E7347" t="str">
        <f>"1-321-2"</f>
        <v>1-321-2</v>
      </c>
      <c r="F7347" t="s">
        <v>83</v>
      </c>
      <c r="G7347" t="s">
        <v>86</v>
      </c>
      <c r="H7347" t="s">
        <v>93</v>
      </c>
      <c r="I7347">
        <v>1</v>
      </c>
      <c r="K7347">
        <v>0</v>
      </c>
      <c r="L7347">
        <v>0</v>
      </c>
      <c r="M7347">
        <v>1</v>
      </c>
      <c r="N7347">
        <v>1</v>
      </c>
      <c r="O7347">
        <v>1</v>
      </c>
      <c r="P7347">
        <v>1</v>
      </c>
      <c r="Q7347">
        <v>1</v>
      </c>
      <c r="R7347">
        <v>1</v>
      </c>
      <c r="U7347">
        <v>0</v>
      </c>
      <c r="V7347">
        <v>1</v>
      </c>
      <c r="W7347">
        <v>1</v>
      </c>
      <c r="X7347">
        <v>1</v>
      </c>
      <c r="Y7347">
        <v>1</v>
      </c>
      <c r="Z7347">
        <v>1</v>
      </c>
      <c r="AA7347">
        <v>1</v>
      </c>
      <c r="AB7347">
        <v>1</v>
      </c>
    </row>
    <row r="7348" spans="1:28" x14ac:dyDescent="0.25">
      <c r="A7348" t="str">
        <f>"7344"</f>
        <v>7344</v>
      </c>
      <c r="B7348" t="str">
        <f t="shared" si="427"/>
        <v>1</v>
      </c>
      <c r="C7348" t="str">
        <f t="shared" ref="C7348:C7372" si="428">"322"</f>
        <v>322</v>
      </c>
      <c r="D7348" t="str">
        <f>"23"</f>
        <v>23</v>
      </c>
      <c r="E7348" t="str">
        <f>"1-322-23"</f>
        <v>1-322-23</v>
      </c>
      <c r="F7348" t="s">
        <v>83</v>
      </c>
      <c r="G7348" t="s">
        <v>86</v>
      </c>
      <c r="H7348" t="s">
        <v>93</v>
      </c>
      <c r="I7348">
        <v>1</v>
      </c>
      <c r="K7348">
        <v>0</v>
      </c>
      <c r="L7348">
        <v>1</v>
      </c>
      <c r="M7348">
        <v>0</v>
      </c>
      <c r="N7348">
        <v>1</v>
      </c>
      <c r="O7348">
        <v>1</v>
      </c>
      <c r="P7348">
        <v>1</v>
      </c>
      <c r="Q7348">
        <v>1</v>
      </c>
      <c r="R7348">
        <v>1</v>
      </c>
      <c r="U7348">
        <v>0</v>
      </c>
      <c r="V7348">
        <v>1</v>
      </c>
      <c r="W7348">
        <v>0</v>
      </c>
      <c r="X7348">
        <v>1</v>
      </c>
      <c r="Y7348">
        <v>1</v>
      </c>
      <c r="Z7348">
        <v>1</v>
      </c>
      <c r="AA7348">
        <v>1</v>
      </c>
      <c r="AB7348">
        <v>1</v>
      </c>
    </row>
    <row r="7349" spans="1:28" x14ac:dyDescent="0.25">
      <c r="A7349" t="str">
        <f>"7345"</f>
        <v>7345</v>
      </c>
      <c r="B7349" t="str">
        <f t="shared" si="427"/>
        <v>1</v>
      </c>
      <c r="C7349" t="str">
        <f t="shared" si="428"/>
        <v>322</v>
      </c>
      <c r="D7349" t="str">
        <f>"22"</f>
        <v>22</v>
      </c>
      <c r="E7349" t="str">
        <f>"1-322-22"</f>
        <v>1-322-22</v>
      </c>
      <c r="F7349" t="s">
        <v>83</v>
      </c>
      <c r="G7349" t="s">
        <v>86</v>
      </c>
      <c r="H7349" t="s">
        <v>93</v>
      </c>
      <c r="I7349">
        <v>1</v>
      </c>
      <c r="K7349">
        <v>1</v>
      </c>
      <c r="L7349">
        <v>0</v>
      </c>
      <c r="M7349">
        <v>0</v>
      </c>
      <c r="N7349">
        <v>1</v>
      </c>
      <c r="O7349">
        <v>1</v>
      </c>
      <c r="P7349">
        <v>1</v>
      </c>
      <c r="Q7349">
        <v>1</v>
      </c>
      <c r="R7349">
        <v>1</v>
      </c>
      <c r="U7349">
        <v>0</v>
      </c>
      <c r="V7349">
        <v>1</v>
      </c>
      <c r="W7349">
        <v>1</v>
      </c>
      <c r="X7349">
        <v>1</v>
      </c>
      <c r="Y7349">
        <v>1</v>
      </c>
      <c r="Z7349">
        <v>1</v>
      </c>
      <c r="AA7349">
        <v>1</v>
      </c>
      <c r="AB7349">
        <v>1</v>
      </c>
    </row>
    <row r="7350" spans="1:28" x14ac:dyDescent="0.25">
      <c r="A7350" t="str">
        <f>"7346"</f>
        <v>7346</v>
      </c>
      <c r="B7350" t="str">
        <f t="shared" si="427"/>
        <v>1</v>
      </c>
      <c r="C7350" t="str">
        <f t="shared" si="428"/>
        <v>322</v>
      </c>
      <c r="D7350" t="str">
        <f>"14"</f>
        <v>14</v>
      </c>
      <c r="E7350" t="str">
        <f>"1-322-14"</f>
        <v>1-322-14</v>
      </c>
      <c r="F7350" t="s">
        <v>83</v>
      </c>
      <c r="G7350" t="s">
        <v>86</v>
      </c>
      <c r="H7350" t="s">
        <v>93</v>
      </c>
      <c r="I7350">
        <v>1</v>
      </c>
      <c r="K7350">
        <v>1</v>
      </c>
      <c r="L7350">
        <v>0</v>
      </c>
      <c r="M7350">
        <v>0</v>
      </c>
      <c r="N7350">
        <v>1</v>
      </c>
      <c r="O7350">
        <v>1</v>
      </c>
      <c r="P7350">
        <v>1</v>
      </c>
      <c r="Q7350">
        <v>1</v>
      </c>
      <c r="R7350">
        <v>1</v>
      </c>
      <c r="U7350">
        <v>0</v>
      </c>
      <c r="V7350">
        <v>1</v>
      </c>
      <c r="W7350">
        <v>1</v>
      </c>
      <c r="X7350">
        <v>1</v>
      </c>
      <c r="Y7350">
        <v>1</v>
      </c>
      <c r="Z7350">
        <v>1</v>
      </c>
      <c r="AA7350">
        <v>1</v>
      </c>
      <c r="AB7350">
        <v>1</v>
      </c>
    </row>
    <row r="7351" spans="1:28" x14ac:dyDescent="0.25">
      <c r="A7351" t="str">
        <f>"7347"</f>
        <v>7347</v>
      </c>
      <c r="B7351" t="str">
        <f t="shared" si="427"/>
        <v>1</v>
      </c>
      <c r="C7351" t="str">
        <f t="shared" si="428"/>
        <v>322</v>
      </c>
      <c r="D7351" t="str">
        <f>"8"</f>
        <v>8</v>
      </c>
      <c r="E7351" t="str">
        <f>"1-322-8"</f>
        <v>1-322-8</v>
      </c>
      <c r="F7351" t="s">
        <v>83</v>
      </c>
      <c r="G7351" t="s">
        <v>86</v>
      </c>
      <c r="H7351" t="s">
        <v>93</v>
      </c>
      <c r="I7351">
        <v>0</v>
      </c>
      <c r="K7351">
        <v>1</v>
      </c>
      <c r="L7351">
        <v>0</v>
      </c>
      <c r="M7351">
        <v>0</v>
      </c>
      <c r="N7351">
        <v>0</v>
      </c>
      <c r="O7351">
        <v>0</v>
      </c>
      <c r="P7351">
        <v>0</v>
      </c>
      <c r="Q7351">
        <v>0</v>
      </c>
      <c r="R7351">
        <v>0</v>
      </c>
      <c r="U7351">
        <v>0</v>
      </c>
      <c r="V7351">
        <v>1</v>
      </c>
      <c r="W7351">
        <v>0</v>
      </c>
      <c r="X7351">
        <v>0</v>
      </c>
      <c r="Y7351">
        <v>0</v>
      </c>
      <c r="Z7351">
        <v>0</v>
      </c>
      <c r="AA7351">
        <v>0</v>
      </c>
      <c r="AB7351">
        <v>0</v>
      </c>
    </row>
    <row r="7352" spans="1:28" x14ac:dyDescent="0.25">
      <c r="A7352" t="str">
        <f>"7348"</f>
        <v>7348</v>
      </c>
      <c r="B7352" t="str">
        <f t="shared" si="427"/>
        <v>1</v>
      </c>
      <c r="C7352" t="str">
        <f t="shared" si="428"/>
        <v>322</v>
      </c>
      <c r="D7352" t="str">
        <f>"3"</f>
        <v>3</v>
      </c>
      <c r="E7352" t="str">
        <f>"1-322-3"</f>
        <v>1-322-3</v>
      </c>
      <c r="F7352" t="s">
        <v>83</v>
      </c>
      <c r="G7352" t="s">
        <v>86</v>
      </c>
      <c r="H7352" t="s">
        <v>93</v>
      </c>
      <c r="I7352">
        <v>0</v>
      </c>
      <c r="K7352">
        <v>0</v>
      </c>
      <c r="L7352">
        <v>0</v>
      </c>
      <c r="M7352">
        <v>1</v>
      </c>
      <c r="N7352">
        <v>0</v>
      </c>
      <c r="O7352">
        <v>0</v>
      </c>
      <c r="P7352">
        <v>0</v>
      </c>
      <c r="Q7352">
        <v>0</v>
      </c>
      <c r="R7352">
        <v>0</v>
      </c>
      <c r="U7352">
        <v>1</v>
      </c>
      <c r="V7352">
        <v>0</v>
      </c>
      <c r="W7352">
        <v>0</v>
      </c>
      <c r="X7352">
        <v>0</v>
      </c>
      <c r="Y7352">
        <v>0</v>
      </c>
      <c r="Z7352">
        <v>0</v>
      </c>
      <c r="AA7352">
        <v>0</v>
      </c>
      <c r="AB7352">
        <v>0</v>
      </c>
    </row>
    <row r="7353" spans="1:28" x14ac:dyDescent="0.25">
      <c r="A7353" t="str">
        <f>"7349"</f>
        <v>7349</v>
      </c>
      <c r="B7353" t="str">
        <f t="shared" si="427"/>
        <v>1</v>
      </c>
      <c r="C7353" t="str">
        <f t="shared" si="428"/>
        <v>322</v>
      </c>
      <c r="D7353" t="str">
        <f>"21"</f>
        <v>21</v>
      </c>
      <c r="E7353" t="str">
        <f>"1-322-21"</f>
        <v>1-322-21</v>
      </c>
      <c r="F7353" t="s">
        <v>83</v>
      </c>
      <c r="G7353" t="s">
        <v>86</v>
      </c>
      <c r="H7353" t="s">
        <v>93</v>
      </c>
      <c r="I7353">
        <v>1</v>
      </c>
      <c r="K7353">
        <v>0</v>
      </c>
      <c r="L7353">
        <v>1</v>
      </c>
      <c r="M7353">
        <v>0</v>
      </c>
      <c r="N7353">
        <v>1</v>
      </c>
      <c r="O7353">
        <v>1</v>
      </c>
      <c r="P7353">
        <v>1</v>
      </c>
      <c r="Q7353">
        <v>1</v>
      </c>
      <c r="R7353">
        <v>1</v>
      </c>
      <c r="U7353">
        <v>1</v>
      </c>
      <c r="V7353">
        <v>0</v>
      </c>
      <c r="W7353">
        <v>1</v>
      </c>
      <c r="X7353">
        <v>1</v>
      </c>
      <c r="Y7353">
        <v>1</v>
      </c>
      <c r="Z7353">
        <v>1</v>
      </c>
      <c r="AA7353">
        <v>1</v>
      </c>
      <c r="AB7353">
        <v>1</v>
      </c>
    </row>
    <row r="7354" spans="1:28" x14ac:dyDescent="0.25">
      <c r="A7354" t="str">
        <f>"7350"</f>
        <v>7350</v>
      </c>
      <c r="B7354" t="str">
        <f t="shared" si="427"/>
        <v>1</v>
      </c>
      <c r="C7354" t="str">
        <f t="shared" si="428"/>
        <v>322</v>
      </c>
      <c r="D7354" t="str">
        <f>"20"</f>
        <v>20</v>
      </c>
      <c r="E7354" t="str">
        <f>"1-322-20"</f>
        <v>1-322-20</v>
      </c>
      <c r="F7354" t="s">
        <v>83</v>
      </c>
      <c r="G7354" t="s">
        <v>86</v>
      </c>
      <c r="H7354" t="s">
        <v>93</v>
      </c>
      <c r="I7354">
        <v>1</v>
      </c>
      <c r="K7354">
        <v>1</v>
      </c>
      <c r="L7354">
        <v>0</v>
      </c>
      <c r="M7354">
        <v>0</v>
      </c>
      <c r="N7354">
        <v>1</v>
      </c>
      <c r="O7354">
        <v>1</v>
      </c>
      <c r="P7354">
        <v>1</v>
      </c>
      <c r="Q7354">
        <v>1</v>
      </c>
      <c r="R7354">
        <v>1</v>
      </c>
      <c r="U7354">
        <v>1</v>
      </c>
      <c r="V7354">
        <v>0</v>
      </c>
      <c r="W7354">
        <v>1</v>
      </c>
      <c r="X7354">
        <v>1</v>
      </c>
      <c r="Y7354">
        <v>1</v>
      </c>
      <c r="Z7354">
        <v>1</v>
      </c>
      <c r="AA7354">
        <v>1</v>
      </c>
      <c r="AB7354">
        <v>1</v>
      </c>
    </row>
    <row r="7355" spans="1:28" x14ac:dyDescent="0.25">
      <c r="A7355" t="str">
        <f>"7351"</f>
        <v>7351</v>
      </c>
      <c r="B7355" t="str">
        <f t="shared" si="427"/>
        <v>1</v>
      </c>
      <c r="C7355" t="str">
        <f t="shared" si="428"/>
        <v>322</v>
      </c>
      <c r="D7355" t="str">
        <f>"13"</f>
        <v>13</v>
      </c>
      <c r="E7355" t="str">
        <f>"1-322-13"</f>
        <v>1-322-13</v>
      </c>
      <c r="F7355" t="s">
        <v>83</v>
      </c>
      <c r="G7355" t="s">
        <v>86</v>
      </c>
      <c r="H7355" t="s">
        <v>93</v>
      </c>
      <c r="I7355">
        <v>1</v>
      </c>
      <c r="K7355">
        <v>0</v>
      </c>
      <c r="L7355">
        <v>0</v>
      </c>
      <c r="M7355">
        <v>1</v>
      </c>
      <c r="N7355">
        <v>1</v>
      </c>
      <c r="O7355">
        <v>1</v>
      </c>
      <c r="P7355">
        <v>1</v>
      </c>
      <c r="Q7355">
        <v>1</v>
      </c>
      <c r="R7355">
        <v>1</v>
      </c>
      <c r="U7355">
        <v>1</v>
      </c>
      <c r="V7355">
        <v>0</v>
      </c>
      <c r="W7355">
        <v>1</v>
      </c>
      <c r="X7355">
        <v>1</v>
      </c>
      <c r="Y7355">
        <v>1</v>
      </c>
      <c r="Z7355">
        <v>1</v>
      </c>
      <c r="AA7355">
        <v>1</v>
      </c>
      <c r="AB7355">
        <v>1</v>
      </c>
    </row>
    <row r="7356" spans="1:28" x14ac:dyDescent="0.25">
      <c r="A7356" t="str">
        <f>"7352"</f>
        <v>7352</v>
      </c>
      <c r="B7356" t="str">
        <f t="shared" si="427"/>
        <v>1</v>
      </c>
      <c r="C7356" t="str">
        <f t="shared" si="428"/>
        <v>322</v>
      </c>
      <c r="D7356" t="str">
        <f>"9"</f>
        <v>9</v>
      </c>
      <c r="E7356" t="str">
        <f>"1-322-9"</f>
        <v>1-322-9</v>
      </c>
      <c r="F7356" t="s">
        <v>83</v>
      </c>
      <c r="G7356" t="s">
        <v>86</v>
      </c>
      <c r="H7356" t="s">
        <v>93</v>
      </c>
      <c r="I7356">
        <v>1</v>
      </c>
      <c r="K7356">
        <v>0</v>
      </c>
      <c r="L7356">
        <v>0</v>
      </c>
      <c r="M7356">
        <v>1</v>
      </c>
      <c r="N7356">
        <v>1</v>
      </c>
      <c r="O7356">
        <v>1</v>
      </c>
      <c r="P7356">
        <v>1</v>
      </c>
      <c r="Q7356">
        <v>1</v>
      </c>
      <c r="R7356">
        <v>1</v>
      </c>
      <c r="U7356">
        <v>0</v>
      </c>
      <c r="V7356">
        <v>1</v>
      </c>
      <c r="W7356">
        <v>1</v>
      </c>
      <c r="X7356">
        <v>1</v>
      </c>
      <c r="Y7356">
        <v>1</v>
      </c>
      <c r="Z7356">
        <v>1</v>
      </c>
      <c r="AA7356">
        <v>1</v>
      </c>
      <c r="AB7356">
        <v>1</v>
      </c>
    </row>
    <row r="7357" spans="1:28" x14ac:dyDescent="0.25">
      <c r="A7357" t="str">
        <f>"7353"</f>
        <v>7353</v>
      </c>
      <c r="B7357" t="str">
        <f t="shared" si="427"/>
        <v>1</v>
      </c>
      <c r="C7357" t="str">
        <f t="shared" si="428"/>
        <v>322</v>
      </c>
      <c r="D7357" t="str">
        <f>"7"</f>
        <v>7</v>
      </c>
      <c r="E7357" t="str">
        <f>"1-322-7"</f>
        <v>1-322-7</v>
      </c>
      <c r="F7357" t="s">
        <v>83</v>
      </c>
      <c r="G7357" t="s">
        <v>86</v>
      </c>
      <c r="H7357" t="s">
        <v>93</v>
      </c>
      <c r="I7357">
        <v>1</v>
      </c>
      <c r="K7357">
        <v>1</v>
      </c>
      <c r="L7357">
        <v>0</v>
      </c>
      <c r="M7357">
        <v>0</v>
      </c>
      <c r="N7357">
        <v>1</v>
      </c>
      <c r="O7357">
        <v>1</v>
      </c>
      <c r="P7357">
        <v>1</v>
      </c>
      <c r="Q7357">
        <v>1</v>
      </c>
      <c r="R7357">
        <v>1</v>
      </c>
      <c r="U7357">
        <v>0</v>
      </c>
      <c r="V7357">
        <v>1</v>
      </c>
      <c r="W7357">
        <v>1</v>
      </c>
      <c r="X7357">
        <v>1</v>
      </c>
      <c r="Y7357">
        <v>1</v>
      </c>
      <c r="Z7357">
        <v>1</v>
      </c>
      <c r="AA7357">
        <v>1</v>
      </c>
      <c r="AB7357">
        <v>1</v>
      </c>
    </row>
    <row r="7358" spans="1:28" x14ac:dyDescent="0.25">
      <c r="A7358" t="str">
        <f>"7354"</f>
        <v>7354</v>
      </c>
      <c r="B7358" t="str">
        <f t="shared" si="427"/>
        <v>1</v>
      </c>
      <c r="C7358" t="str">
        <f t="shared" si="428"/>
        <v>322</v>
      </c>
      <c r="D7358" t="str">
        <f>"16"</f>
        <v>16</v>
      </c>
      <c r="E7358" t="str">
        <f>"1-322-16"</f>
        <v>1-322-16</v>
      </c>
      <c r="F7358" t="s">
        <v>83</v>
      </c>
      <c r="G7358" t="s">
        <v>86</v>
      </c>
      <c r="H7358" t="s">
        <v>93</v>
      </c>
      <c r="I7358">
        <v>1</v>
      </c>
      <c r="K7358">
        <v>0</v>
      </c>
      <c r="L7358">
        <v>0</v>
      </c>
      <c r="M7358">
        <v>1</v>
      </c>
      <c r="N7358">
        <v>1</v>
      </c>
      <c r="O7358">
        <v>1</v>
      </c>
      <c r="P7358">
        <v>1</v>
      </c>
      <c r="Q7358">
        <v>1</v>
      </c>
      <c r="R7358">
        <v>1</v>
      </c>
      <c r="U7358">
        <v>0</v>
      </c>
      <c r="V7358">
        <v>1</v>
      </c>
      <c r="W7358">
        <v>1</v>
      </c>
      <c r="X7358">
        <v>1</v>
      </c>
      <c r="Y7358">
        <v>1</v>
      </c>
      <c r="Z7358">
        <v>1</v>
      </c>
      <c r="AA7358">
        <v>1</v>
      </c>
      <c r="AB7358">
        <v>1</v>
      </c>
    </row>
    <row r="7359" spans="1:28" x14ac:dyDescent="0.25">
      <c r="A7359" t="str">
        <f>"7355"</f>
        <v>7355</v>
      </c>
      <c r="B7359" t="str">
        <f t="shared" si="427"/>
        <v>1</v>
      </c>
      <c r="C7359" t="str">
        <f t="shared" si="428"/>
        <v>322</v>
      </c>
      <c r="D7359" t="str">
        <f>"10"</f>
        <v>10</v>
      </c>
      <c r="E7359" t="str">
        <f>"1-322-10"</f>
        <v>1-322-10</v>
      </c>
      <c r="F7359" t="s">
        <v>83</v>
      </c>
      <c r="G7359" t="s">
        <v>86</v>
      </c>
      <c r="H7359" t="s">
        <v>93</v>
      </c>
      <c r="I7359">
        <v>1</v>
      </c>
      <c r="K7359">
        <v>1</v>
      </c>
      <c r="L7359">
        <v>0</v>
      </c>
      <c r="M7359">
        <v>0</v>
      </c>
      <c r="N7359">
        <v>1</v>
      </c>
      <c r="O7359">
        <v>1</v>
      </c>
      <c r="P7359">
        <v>1</v>
      </c>
      <c r="Q7359">
        <v>1</v>
      </c>
      <c r="R7359">
        <v>1</v>
      </c>
      <c r="U7359">
        <v>0</v>
      </c>
      <c r="V7359">
        <v>1</v>
      </c>
      <c r="W7359">
        <v>1</v>
      </c>
      <c r="X7359">
        <v>1</v>
      </c>
      <c r="Y7359">
        <v>1</v>
      </c>
      <c r="Z7359">
        <v>1</v>
      </c>
      <c r="AA7359">
        <v>1</v>
      </c>
      <c r="AB7359">
        <v>1</v>
      </c>
    </row>
    <row r="7360" spans="1:28" x14ac:dyDescent="0.25">
      <c r="A7360" t="str">
        <f>"7356"</f>
        <v>7356</v>
      </c>
      <c r="B7360" t="str">
        <f t="shared" si="427"/>
        <v>1</v>
      </c>
      <c r="C7360" t="str">
        <f t="shared" si="428"/>
        <v>322</v>
      </c>
      <c r="D7360" t="str">
        <f>"1"</f>
        <v>1</v>
      </c>
      <c r="E7360" t="str">
        <f>"1-322-1"</f>
        <v>1-322-1</v>
      </c>
      <c r="F7360" t="s">
        <v>83</v>
      </c>
      <c r="G7360" t="s">
        <v>86</v>
      </c>
      <c r="H7360" t="s">
        <v>93</v>
      </c>
      <c r="I7360">
        <v>1</v>
      </c>
      <c r="K7360">
        <v>0</v>
      </c>
      <c r="L7360">
        <v>0</v>
      </c>
      <c r="M7360">
        <v>1</v>
      </c>
      <c r="N7360">
        <v>1</v>
      </c>
      <c r="O7360">
        <v>1</v>
      </c>
      <c r="P7360">
        <v>1</v>
      </c>
      <c r="Q7360">
        <v>1</v>
      </c>
      <c r="R7360">
        <v>1</v>
      </c>
      <c r="U7360">
        <v>0</v>
      </c>
      <c r="V7360">
        <v>1</v>
      </c>
      <c r="W7360">
        <v>1</v>
      </c>
      <c r="X7360">
        <v>1</v>
      </c>
      <c r="Y7360">
        <v>1</v>
      </c>
      <c r="Z7360">
        <v>1</v>
      </c>
      <c r="AA7360">
        <v>1</v>
      </c>
      <c r="AB7360">
        <v>1</v>
      </c>
    </row>
    <row r="7361" spans="1:49" x14ac:dyDescent="0.25">
      <c r="A7361" t="str">
        <f>"7357"</f>
        <v>7357</v>
      </c>
      <c r="B7361" t="str">
        <f t="shared" si="427"/>
        <v>1</v>
      </c>
      <c r="C7361" t="str">
        <f t="shared" si="428"/>
        <v>322</v>
      </c>
      <c r="D7361" t="str">
        <f>"25"</f>
        <v>25</v>
      </c>
      <c r="E7361" t="str">
        <f>"1-322-25"</f>
        <v>1-322-25</v>
      </c>
      <c r="F7361" t="s">
        <v>83</v>
      </c>
      <c r="G7361" t="s">
        <v>86</v>
      </c>
      <c r="H7361" t="s">
        <v>93</v>
      </c>
      <c r="I7361">
        <v>1</v>
      </c>
      <c r="K7361">
        <v>0</v>
      </c>
      <c r="L7361">
        <v>0</v>
      </c>
      <c r="M7361">
        <v>1</v>
      </c>
      <c r="N7361">
        <v>1</v>
      </c>
      <c r="O7361">
        <v>1</v>
      </c>
      <c r="P7361">
        <v>1</v>
      </c>
      <c r="Q7361">
        <v>1</v>
      </c>
      <c r="R7361">
        <v>1</v>
      </c>
      <c r="U7361">
        <v>0</v>
      </c>
      <c r="V7361">
        <v>1</v>
      </c>
      <c r="W7361">
        <v>1</v>
      </c>
      <c r="X7361">
        <v>1</v>
      </c>
      <c r="Y7361">
        <v>1</v>
      </c>
      <c r="Z7361">
        <v>1</v>
      </c>
      <c r="AA7361">
        <v>1</v>
      </c>
      <c r="AB7361">
        <v>1</v>
      </c>
    </row>
    <row r="7362" spans="1:49" x14ac:dyDescent="0.25">
      <c r="A7362" t="str">
        <f>"7358"</f>
        <v>7358</v>
      </c>
      <c r="B7362" t="str">
        <f t="shared" si="427"/>
        <v>1</v>
      </c>
      <c r="C7362" t="str">
        <f t="shared" si="428"/>
        <v>322</v>
      </c>
      <c r="D7362" t="str">
        <f>"24"</f>
        <v>24</v>
      </c>
      <c r="E7362" t="str">
        <f>"1-322-24"</f>
        <v>1-322-24</v>
      </c>
      <c r="F7362" t="s">
        <v>83</v>
      </c>
      <c r="G7362" t="s">
        <v>86</v>
      </c>
      <c r="H7362" t="s">
        <v>93</v>
      </c>
      <c r="I7362">
        <v>1</v>
      </c>
      <c r="K7362">
        <v>0</v>
      </c>
      <c r="L7362">
        <v>0</v>
      </c>
      <c r="M7362">
        <v>1</v>
      </c>
      <c r="N7362">
        <v>1</v>
      </c>
      <c r="O7362">
        <v>1</v>
      </c>
      <c r="P7362">
        <v>1</v>
      </c>
      <c r="Q7362">
        <v>1</v>
      </c>
      <c r="R7362">
        <v>1</v>
      </c>
      <c r="U7362">
        <v>1</v>
      </c>
      <c r="V7362">
        <v>0</v>
      </c>
      <c r="W7362">
        <v>1</v>
      </c>
      <c r="X7362">
        <v>1</v>
      </c>
      <c r="Y7362">
        <v>1</v>
      </c>
      <c r="Z7362">
        <v>1</v>
      </c>
      <c r="AA7362">
        <v>1</v>
      </c>
      <c r="AB7362">
        <v>1</v>
      </c>
    </row>
    <row r="7363" spans="1:49" x14ac:dyDescent="0.25">
      <c r="A7363" t="str">
        <f>"7359"</f>
        <v>7359</v>
      </c>
      <c r="B7363" t="str">
        <f t="shared" si="427"/>
        <v>1</v>
      </c>
      <c r="C7363" t="str">
        <f t="shared" si="428"/>
        <v>322</v>
      </c>
      <c r="D7363" t="str">
        <f>"15"</f>
        <v>15</v>
      </c>
      <c r="E7363" t="str">
        <f>"1-322-15"</f>
        <v>1-322-15</v>
      </c>
      <c r="F7363" t="s">
        <v>83</v>
      </c>
      <c r="G7363" t="s">
        <v>86</v>
      </c>
      <c r="H7363" t="s">
        <v>93</v>
      </c>
      <c r="I7363">
        <v>1</v>
      </c>
      <c r="K7363">
        <v>0</v>
      </c>
      <c r="L7363">
        <v>0</v>
      </c>
      <c r="M7363">
        <v>1</v>
      </c>
      <c r="N7363">
        <v>1</v>
      </c>
      <c r="O7363">
        <v>1</v>
      </c>
      <c r="P7363">
        <v>1</v>
      </c>
      <c r="Q7363">
        <v>1</v>
      </c>
      <c r="R7363">
        <v>1</v>
      </c>
      <c r="U7363">
        <v>0</v>
      </c>
      <c r="V7363">
        <v>1</v>
      </c>
      <c r="W7363">
        <v>1</v>
      </c>
      <c r="X7363">
        <v>1</v>
      </c>
      <c r="Y7363">
        <v>1</v>
      </c>
      <c r="Z7363">
        <v>1</v>
      </c>
      <c r="AA7363">
        <v>1</v>
      </c>
      <c r="AB7363">
        <v>1</v>
      </c>
    </row>
    <row r="7364" spans="1:49" x14ac:dyDescent="0.25">
      <c r="A7364" t="str">
        <f>"7360"</f>
        <v>7360</v>
      </c>
      <c r="B7364" t="str">
        <f t="shared" si="427"/>
        <v>1</v>
      </c>
      <c r="C7364" t="str">
        <f t="shared" si="428"/>
        <v>322</v>
      </c>
      <c r="D7364" t="str">
        <f>"11"</f>
        <v>11</v>
      </c>
      <c r="E7364" t="str">
        <f>"1-322-11"</f>
        <v>1-322-11</v>
      </c>
      <c r="F7364" t="s">
        <v>83</v>
      </c>
      <c r="G7364" t="s">
        <v>86</v>
      </c>
      <c r="H7364" t="s">
        <v>93</v>
      </c>
      <c r="I7364">
        <v>1</v>
      </c>
      <c r="K7364">
        <v>1</v>
      </c>
      <c r="L7364">
        <v>0</v>
      </c>
      <c r="M7364">
        <v>0</v>
      </c>
      <c r="N7364">
        <v>1</v>
      </c>
      <c r="O7364">
        <v>1</v>
      </c>
      <c r="P7364">
        <v>1</v>
      </c>
      <c r="Q7364">
        <v>1</v>
      </c>
      <c r="R7364">
        <v>1</v>
      </c>
      <c r="U7364">
        <v>0</v>
      </c>
      <c r="V7364">
        <v>1</v>
      </c>
      <c r="W7364">
        <v>1</v>
      </c>
      <c r="X7364">
        <v>1</v>
      </c>
      <c r="Y7364">
        <v>1</v>
      </c>
      <c r="Z7364">
        <v>1</v>
      </c>
      <c r="AA7364">
        <v>1</v>
      </c>
      <c r="AB7364">
        <v>1</v>
      </c>
    </row>
    <row r="7365" spans="1:49" x14ac:dyDescent="0.25">
      <c r="A7365" t="str">
        <f>"7361"</f>
        <v>7361</v>
      </c>
      <c r="B7365" t="str">
        <f t="shared" si="427"/>
        <v>1</v>
      </c>
      <c r="C7365" t="str">
        <f t="shared" si="428"/>
        <v>322</v>
      </c>
      <c r="D7365" t="str">
        <f>"2"</f>
        <v>2</v>
      </c>
      <c r="E7365" t="str">
        <f>"1-322-2"</f>
        <v>1-322-2</v>
      </c>
      <c r="F7365" t="s">
        <v>83</v>
      </c>
      <c r="G7365" t="s">
        <v>86</v>
      </c>
      <c r="H7365" t="s">
        <v>93</v>
      </c>
      <c r="I7365">
        <v>1</v>
      </c>
      <c r="K7365">
        <v>0</v>
      </c>
      <c r="L7365">
        <v>0</v>
      </c>
      <c r="M7365">
        <v>1</v>
      </c>
      <c r="N7365">
        <v>1</v>
      </c>
      <c r="O7365">
        <v>1</v>
      </c>
      <c r="P7365">
        <v>1</v>
      </c>
      <c r="Q7365">
        <v>1</v>
      </c>
      <c r="R7365">
        <v>1</v>
      </c>
      <c r="U7365">
        <v>0</v>
      </c>
      <c r="V7365">
        <v>1</v>
      </c>
      <c r="W7365">
        <v>1</v>
      </c>
      <c r="X7365">
        <v>1</v>
      </c>
      <c r="Y7365">
        <v>1</v>
      </c>
      <c r="Z7365">
        <v>1</v>
      </c>
      <c r="AA7365">
        <v>1</v>
      </c>
      <c r="AB7365">
        <v>1</v>
      </c>
    </row>
    <row r="7366" spans="1:49" x14ac:dyDescent="0.25">
      <c r="A7366" t="str">
        <f>"7362"</f>
        <v>7362</v>
      </c>
      <c r="B7366" t="str">
        <f t="shared" si="427"/>
        <v>1</v>
      </c>
      <c r="C7366" t="str">
        <f t="shared" si="428"/>
        <v>322</v>
      </c>
      <c r="D7366" t="str">
        <f>"17"</f>
        <v>17</v>
      </c>
      <c r="E7366" t="str">
        <f>"1-322-17"</f>
        <v>1-322-17</v>
      </c>
      <c r="F7366" t="s">
        <v>83</v>
      </c>
      <c r="G7366" t="s">
        <v>86</v>
      </c>
      <c r="H7366" t="s">
        <v>93</v>
      </c>
      <c r="I7366">
        <v>1</v>
      </c>
      <c r="K7366">
        <v>1</v>
      </c>
      <c r="L7366">
        <v>0</v>
      </c>
      <c r="M7366">
        <v>0</v>
      </c>
      <c r="N7366">
        <v>1</v>
      </c>
      <c r="O7366">
        <v>1</v>
      </c>
      <c r="P7366">
        <v>1</v>
      </c>
      <c r="Q7366">
        <v>1</v>
      </c>
      <c r="R7366">
        <v>1</v>
      </c>
      <c r="U7366">
        <v>0</v>
      </c>
      <c r="V7366">
        <v>1</v>
      </c>
      <c r="W7366">
        <v>1</v>
      </c>
      <c r="X7366">
        <v>1</v>
      </c>
      <c r="Y7366">
        <v>1</v>
      </c>
      <c r="Z7366">
        <v>1</v>
      </c>
      <c r="AA7366">
        <v>1</v>
      </c>
      <c r="AB7366">
        <v>1</v>
      </c>
    </row>
    <row r="7367" spans="1:49" x14ac:dyDescent="0.25">
      <c r="A7367" t="str">
        <f>"7363"</f>
        <v>7363</v>
      </c>
      <c r="B7367" t="str">
        <f t="shared" si="427"/>
        <v>1</v>
      </c>
      <c r="C7367" t="str">
        <f t="shared" si="428"/>
        <v>322</v>
      </c>
      <c r="D7367" t="str">
        <f>"12"</f>
        <v>12</v>
      </c>
      <c r="E7367" t="str">
        <f>"1-322-12"</f>
        <v>1-322-12</v>
      </c>
      <c r="F7367" t="s">
        <v>83</v>
      </c>
      <c r="G7367" t="s">
        <v>86</v>
      </c>
      <c r="H7367" t="s">
        <v>93</v>
      </c>
      <c r="I7367">
        <v>1</v>
      </c>
      <c r="K7367">
        <v>0</v>
      </c>
      <c r="L7367">
        <v>0</v>
      </c>
      <c r="M7367">
        <v>1</v>
      </c>
      <c r="N7367">
        <v>1</v>
      </c>
      <c r="O7367">
        <v>1</v>
      </c>
      <c r="P7367">
        <v>1</v>
      </c>
      <c r="Q7367">
        <v>1</v>
      </c>
      <c r="R7367">
        <v>1</v>
      </c>
      <c r="U7367">
        <v>1</v>
      </c>
      <c r="V7367">
        <v>0</v>
      </c>
      <c r="W7367">
        <v>1</v>
      </c>
      <c r="X7367">
        <v>1</v>
      </c>
      <c r="Y7367">
        <v>1</v>
      </c>
      <c r="Z7367">
        <v>1</v>
      </c>
      <c r="AA7367">
        <v>1</v>
      </c>
      <c r="AB7367">
        <v>1</v>
      </c>
    </row>
    <row r="7368" spans="1:49" x14ac:dyDescent="0.25">
      <c r="A7368" t="str">
        <f>"7364"</f>
        <v>7364</v>
      </c>
      <c r="B7368" t="str">
        <f t="shared" si="427"/>
        <v>1</v>
      </c>
      <c r="C7368" t="str">
        <f t="shared" si="428"/>
        <v>322</v>
      </c>
      <c r="D7368" t="str">
        <f>"5"</f>
        <v>5</v>
      </c>
      <c r="E7368" t="str">
        <f>"1-322-5"</f>
        <v>1-322-5</v>
      </c>
      <c r="F7368" t="s">
        <v>83</v>
      </c>
      <c r="G7368" t="s">
        <v>86</v>
      </c>
      <c r="H7368" t="s">
        <v>93</v>
      </c>
      <c r="I7368">
        <v>1</v>
      </c>
      <c r="K7368">
        <v>0</v>
      </c>
      <c r="L7368">
        <v>0</v>
      </c>
      <c r="M7368">
        <v>1</v>
      </c>
      <c r="N7368">
        <v>1</v>
      </c>
      <c r="O7368">
        <v>1</v>
      </c>
      <c r="P7368">
        <v>1</v>
      </c>
      <c r="Q7368">
        <v>1</v>
      </c>
      <c r="R7368">
        <v>1</v>
      </c>
      <c r="U7368">
        <v>0</v>
      </c>
      <c r="V7368">
        <v>1</v>
      </c>
      <c r="W7368">
        <v>1</v>
      </c>
      <c r="X7368">
        <v>1</v>
      </c>
      <c r="Y7368">
        <v>1</v>
      </c>
      <c r="Z7368">
        <v>1</v>
      </c>
      <c r="AA7368">
        <v>1</v>
      </c>
      <c r="AB7368">
        <v>1</v>
      </c>
    </row>
    <row r="7369" spans="1:49" x14ac:dyDescent="0.25">
      <c r="A7369" t="str">
        <f>"7365"</f>
        <v>7365</v>
      </c>
      <c r="B7369" t="str">
        <f t="shared" si="427"/>
        <v>1</v>
      </c>
      <c r="C7369" t="str">
        <f t="shared" si="428"/>
        <v>322</v>
      </c>
      <c r="D7369" t="str">
        <f>"18"</f>
        <v>18</v>
      </c>
      <c r="E7369" t="str">
        <f>"1-322-18"</f>
        <v>1-322-18</v>
      </c>
      <c r="F7369" t="s">
        <v>83</v>
      </c>
      <c r="G7369" t="s">
        <v>86</v>
      </c>
      <c r="H7369" t="s">
        <v>93</v>
      </c>
      <c r="I7369">
        <v>1</v>
      </c>
      <c r="K7369">
        <v>1</v>
      </c>
      <c r="L7369">
        <v>0</v>
      </c>
      <c r="M7369">
        <v>0</v>
      </c>
      <c r="N7369">
        <v>1</v>
      </c>
      <c r="O7369">
        <v>1</v>
      </c>
      <c r="P7369">
        <v>1</v>
      </c>
      <c r="Q7369">
        <v>1</v>
      </c>
      <c r="R7369">
        <v>1</v>
      </c>
      <c r="U7369">
        <v>0</v>
      </c>
      <c r="V7369">
        <v>1</v>
      </c>
      <c r="W7369">
        <v>1</v>
      </c>
      <c r="X7369">
        <v>1</v>
      </c>
      <c r="Y7369">
        <v>1</v>
      </c>
      <c r="Z7369">
        <v>1</v>
      </c>
      <c r="AA7369">
        <v>1</v>
      </c>
      <c r="AB7369">
        <v>1</v>
      </c>
    </row>
    <row r="7370" spans="1:49" x14ac:dyDescent="0.25">
      <c r="A7370" t="str">
        <f>"7366"</f>
        <v>7366</v>
      </c>
      <c r="B7370" t="str">
        <f t="shared" si="427"/>
        <v>1</v>
      </c>
      <c r="C7370" t="str">
        <f t="shared" si="428"/>
        <v>322</v>
      </c>
      <c r="D7370" t="str">
        <f>"4"</f>
        <v>4</v>
      </c>
      <c r="E7370" t="str">
        <f>"1-322-4"</f>
        <v>1-322-4</v>
      </c>
      <c r="F7370" t="s">
        <v>83</v>
      </c>
      <c r="G7370" t="s">
        <v>86</v>
      </c>
      <c r="H7370" t="s">
        <v>93</v>
      </c>
      <c r="I7370">
        <v>1</v>
      </c>
      <c r="K7370">
        <v>1</v>
      </c>
      <c r="L7370">
        <v>0</v>
      </c>
      <c r="M7370">
        <v>0</v>
      </c>
      <c r="N7370">
        <v>1</v>
      </c>
      <c r="O7370">
        <v>1</v>
      </c>
      <c r="P7370">
        <v>1</v>
      </c>
      <c r="Q7370">
        <v>1</v>
      </c>
      <c r="R7370">
        <v>1</v>
      </c>
      <c r="U7370">
        <v>0</v>
      </c>
      <c r="V7370">
        <v>1</v>
      </c>
      <c r="W7370">
        <v>1</v>
      </c>
      <c r="X7370">
        <v>1</v>
      </c>
      <c r="Y7370">
        <v>1</v>
      </c>
      <c r="Z7370">
        <v>1</v>
      </c>
      <c r="AA7370">
        <v>1</v>
      </c>
      <c r="AB7370">
        <v>1</v>
      </c>
    </row>
    <row r="7371" spans="1:49" x14ac:dyDescent="0.25">
      <c r="A7371" t="str">
        <f>"7367"</f>
        <v>7367</v>
      </c>
      <c r="B7371" t="str">
        <f t="shared" si="427"/>
        <v>1</v>
      </c>
      <c r="C7371" t="str">
        <f t="shared" si="428"/>
        <v>322</v>
      </c>
      <c r="D7371" t="str">
        <f>"19"</f>
        <v>19</v>
      </c>
      <c r="E7371" t="str">
        <f>"1-322-19"</f>
        <v>1-322-19</v>
      </c>
      <c r="F7371" t="s">
        <v>83</v>
      </c>
      <c r="G7371" t="s">
        <v>86</v>
      </c>
      <c r="H7371" t="s">
        <v>93</v>
      </c>
      <c r="I7371">
        <v>1</v>
      </c>
      <c r="K7371">
        <v>1</v>
      </c>
      <c r="L7371">
        <v>0</v>
      </c>
      <c r="M7371">
        <v>0</v>
      </c>
      <c r="N7371">
        <v>1</v>
      </c>
      <c r="O7371">
        <v>1</v>
      </c>
      <c r="P7371">
        <v>1</v>
      </c>
      <c r="Q7371">
        <v>1</v>
      </c>
      <c r="R7371">
        <v>1</v>
      </c>
      <c r="U7371">
        <v>0</v>
      </c>
      <c r="V7371">
        <v>1</v>
      </c>
      <c r="W7371">
        <v>1</v>
      </c>
      <c r="X7371">
        <v>1</v>
      </c>
      <c r="Y7371">
        <v>1</v>
      </c>
      <c r="Z7371">
        <v>1</v>
      </c>
      <c r="AA7371">
        <v>1</v>
      </c>
      <c r="AB7371">
        <v>1</v>
      </c>
    </row>
    <row r="7372" spans="1:49" x14ac:dyDescent="0.25">
      <c r="A7372" t="str">
        <f>"7368"</f>
        <v>7368</v>
      </c>
      <c r="B7372" t="str">
        <f t="shared" si="427"/>
        <v>1</v>
      </c>
      <c r="C7372" t="str">
        <f t="shared" si="428"/>
        <v>322</v>
      </c>
      <c r="D7372" t="str">
        <f>"6"</f>
        <v>6</v>
      </c>
      <c r="E7372" t="str">
        <f>"1-322-6"</f>
        <v>1-322-6</v>
      </c>
      <c r="F7372" t="s">
        <v>83</v>
      </c>
      <c r="G7372" t="s">
        <v>86</v>
      </c>
      <c r="H7372" t="s">
        <v>93</v>
      </c>
      <c r="I7372">
        <v>1</v>
      </c>
      <c r="K7372">
        <v>0</v>
      </c>
      <c r="L7372">
        <v>1</v>
      </c>
      <c r="M7372">
        <v>0</v>
      </c>
      <c r="N7372">
        <v>1</v>
      </c>
      <c r="O7372">
        <v>1</v>
      </c>
      <c r="P7372">
        <v>1</v>
      </c>
      <c r="Q7372">
        <v>1</v>
      </c>
      <c r="R7372">
        <v>1</v>
      </c>
      <c r="U7372">
        <v>0</v>
      </c>
      <c r="V7372">
        <v>1</v>
      </c>
      <c r="W7372">
        <v>1</v>
      </c>
      <c r="X7372">
        <v>1</v>
      </c>
      <c r="Y7372">
        <v>1</v>
      </c>
      <c r="Z7372">
        <v>1</v>
      </c>
      <c r="AA7372">
        <v>1</v>
      </c>
      <c r="AB7372">
        <v>1</v>
      </c>
    </row>
    <row r="7373" spans="1:49" x14ac:dyDescent="0.25">
      <c r="A7373" t="str">
        <f>"7369"</f>
        <v>7369</v>
      </c>
      <c r="B7373" t="str">
        <f t="shared" si="427"/>
        <v>1</v>
      </c>
      <c r="C7373" t="str">
        <f t="shared" ref="C7373:C7394" si="429">"323"</f>
        <v>323</v>
      </c>
      <c r="D7373" t="str">
        <f>"22"</f>
        <v>22</v>
      </c>
      <c r="E7373" t="str">
        <f>"1-323-22"</f>
        <v>1-323-22</v>
      </c>
      <c r="F7373" t="s">
        <v>83</v>
      </c>
      <c r="G7373" t="s">
        <v>86</v>
      </c>
      <c r="H7373" t="s">
        <v>87</v>
      </c>
      <c r="AC7373">
        <v>0</v>
      </c>
      <c r="AD7373">
        <v>1</v>
      </c>
      <c r="AE7373">
        <v>0</v>
      </c>
      <c r="AF7373">
        <v>0</v>
      </c>
      <c r="AH7373">
        <v>1</v>
      </c>
      <c r="AI7373">
        <v>0</v>
      </c>
      <c r="AJ7373">
        <v>1</v>
      </c>
      <c r="AK7373">
        <v>0</v>
      </c>
      <c r="AL7373">
        <v>0</v>
      </c>
      <c r="AM7373">
        <v>0</v>
      </c>
      <c r="AN7373">
        <v>1</v>
      </c>
      <c r="AO7373">
        <v>1</v>
      </c>
      <c r="AP7373">
        <v>1</v>
      </c>
      <c r="AQ7373">
        <v>1</v>
      </c>
      <c r="AU7373">
        <v>1</v>
      </c>
      <c r="AV7373">
        <v>1</v>
      </c>
      <c r="AW7373">
        <v>1</v>
      </c>
    </row>
    <row r="7374" spans="1:49" x14ac:dyDescent="0.25">
      <c r="A7374" t="str">
        <f>"7370"</f>
        <v>7370</v>
      </c>
      <c r="B7374" t="str">
        <f t="shared" si="427"/>
        <v>1</v>
      </c>
      <c r="C7374" t="str">
        <f t="shared" si="429"/>
        <v>323</v>
      </c>
      <c r="D7374" t="str">
        <f>"14"</f>
        <v>14</v>
      </c>
      <c r="E7374" t="str">
        <f>"1-323-14"</f>
        <v>1-323-14</v>
      </c>
      <c r="F7374" t="s">
        <v>83</v>
      </c>
      <c r="G7374" t="s">
        <v>86</v>
      </c>
      <c r="H7374" t="s">
        <v>87</v>
      </c>
      <c r="AC7374">
        <v>1</v>
      </c>
      <c r="AD7374">
        <v>0</v>
      </c>
      <c r="AE7374">
        <v>0</v>
      </c>
      <c r="AF7374">
        <v>0</v>
      </c>
      <c r="AH7374">
        <v>1</v>
      </c>
      <c r="AI7374">
        <v>0</v>
      </c>
      <c r="AJ7374">
        <v>0</v>
      </c>
      <c r="AK7374">
        <v>0</v>
      </c>
      <c r="AL7374">
        <v>1</v>
      </c>
      <c r="AM7374">
        <v>0</v>
      </c>
      <c r="AN7374">
        <v>0</v>
      </c>
      <c r="AO7374">
        <v>1</v>
      </c>
      <c r="AP7374">
        <v>1</v>
      </c>
      <c r="AQ7374">
        <v>1</v>
      </c>
      <c r="AU7374">
        <v>1</v>
      </c>
      <c r="AV7374">
        <v>0</v>
      </c>
      <c r="AW7374">
        <v>1</v>
      </c>
    </row>
    <row r="7375" spans="1:49" x14ac:dyDescent="0.25">
      <c r="A7375" t="str">
        <f>"7371"</f>
        <v>7371</v>
      </c>
      <c r="B7375" t="str">
        <f t="shared" si="427"/>
        <v>1</v>
      </c>
      <c r="C7375" t="str">
        <f t="shared" si="429"/>
        <v>323</v>
      </c>
      <c r="D7375" t="str">
        <f>"8"</f>
        <v>8</v>
      </c>
      <c r="E7375" t="str">
        <f>"1-323-8"</f>
        <v>1-323-8</v>
      </c>
      <c r="F7375" t="s">
        <v>83</v>
      </c>
      <c r="G7375" t="s">
        <v>86</v>
      </c>
      <c r="H7375" t="s">
        <v>93</v>
      </c>
      <c r="I7375">
        <v>1</v>
      </c>
      <c r="K7375">
        <v>1</v>
      </c>
      <c r="L7375">
        <v>0</v>
      </c>
      <c r="M7375">
        <v>0</v>
      </c>
      <c r="N7375">
        <v>1</v>
      </c>
      <c r="O7375">
        <v>1</v>
      </c>
      <c r="P7375">
        <v>1</v>
      </c>
      <c r="Q7375">
        <v>1</v>
      </c>
      <c r="R7375">
        <v>1</v>
      </c>
      <c r="U7375">
        <v>1</v>
      </c>
      <c r="V7375">
        <v>0</v>
      </c>
      <c r="W7375">
        <v>1</v>
      </c>
      <c r="X7375">
        <v>1</v>
      </c>
      <c r="Y7375">
        <v>1</v>
      </c>
      <c r="Z7375">
        <v>1</v>
      </c>
      <c r="AA7375">
        <v>1</v>
      </c>
      <c r="AB7375">
        <v>1</v>
      </c>
    </row>
    <row r="7376" spans="1:49" x14ac:dyDescent="0.25">
      <c r="A7376" t="str">
        <f>"7372"</f>
        <v>7372</v>
      </c>
      <c r="B7376" t="str">
        <f t="shared" si="427"/>
        <v>1</v>
      </c>
      <c r="C7376" t="str">
        <f t="shared" si="429"/>
        <v>323</v>
      </c>
      <c r="D7376" t="str">
        <f>"5"</f>
        <v>5</v>
      </c>
      <c r="E7376" t="str">
        <f>"1-323-5"</f>
        <v>1-323-5</v>
      </c>
      <c r="F7376" t="s">
        <v>83</v>
      </c>
      <c r="G7376" t="s">
        <v>86</v>
      </c>
      <c r="H7376" t="s">
        <v>87</v>
      </c>
      <c r="AC7376">
        <v>0</v>
      </c>
      <c r="AD7376">
        <v>1</v>
      </c>
      <c r="AE7376">
        <v>0</v>
      </c>
      <c r="AF7376">
        <v>0</v>
      </c>
      <c r="AH7376">
        <v>1</v>
      </c>
      <c r="AI7376">
        <v>0</v>
      </c>
      <c r="AJ7376">
        <v>0</v>
      </c>
      <c r="AK7376">
        <v>1</v>
      </c>
      <c r="AL7376">
        <v>1</v>
      </c>
      <c r="AM7376">
        <v>0</v>
      </c>
      <c r="AN7376">
        <v>0</v>
      </c>
      <c r="AO7376">
        <v>0</v>
      </c>
      <c r="AP7376">
        <v>0</v>
      </c>
      <c r="AQ7376">
        <v>0</v>
      </c>
      <c r="AU7376">
        <v>1</v>
      </c>
      <c r="AV7376">
        <v>1</v>
      </c>
      <c r="AW7376">
        <v>1</v>
      </c>
    </row>
    <row r="7377" spans="1:49" x14ac:dyDescent="0.25">
      <c r="A7377" t="str">
        <f>"7373"</f>
        <v>7373</v>
      </c>
      <c r="B7377" t="str">
        <f t="shared" si="427"/>
        <v>1</v>
      </c>
      <c r="C7377" t="str">
        <f t="shared" si="429"/>
        <v>323</v>
      </c>
      <c r="D7377" t="str">
        <f>"21"</f>
        <v>21</v>
      </c>
      <c r="E7377" t="str">
        <f>"1-323-21"</f>
        <v>1-323-21</v>
      </c>
      <c r="F7377" t="s">
        <v>83</v>
      </c>
      <c r="G7377" t="s">
        <v>86</v>
      </c>
      <c r="H7377" t="s">
        <v>87</v>
      </c>
      <c r="AC7377">
        <v>0</v>
      </c>
      <c r="AD7377">
        <v>1</v>
      </c>
      <c r="AE7377">
        <v>0</v>
      </c>
      <c r="AF7377">
        <v>0</v>
      </c>
      <c r="AH7377">
        <v>0</v>
      </c>
      <c r="AI7377">
        <v>1</v>
      </c>
      <c r="AJ7377">
        <v>0</v>
      </c>
      <c r="AK7377">
        <v>1</v>
      </c>
      <c r="AL7377">
        <v>0</v>
      </c>
      <c r="AM7377">
        <v>0</v>
      </c>
      <c r="AN7377">
        <v>1</v>
      </c>
      <c r="AO7377">
        <v>1</v>
      </c>
      <c r="AP7377">
        <v>1</v>
      </c>
      <c r="AQ7377">
        <v>1</v>
      </c>
      <c r="AU7377">
        <v>1</v>
      </c>
      <c r="AV7377">
        <v>1</v>
      </c>
      <c r="AW7377">
        <v>1</v>
      </c>
    </row>
    <row r="7378" spans="1:49" x14ac:dyDescent="0.25">
      <c r="A7378" t="str">
        <f>"7374"</f>
        <v>7374</v>
      </c>
      <c r="B7378" t="str">
        <f t="shared" si="427"/>
        <v>1</v>
      </c>
      <c r="C7378" t="str">
        <f t="shared" si="429"/>
        <v>323</v>
      </c>
      <c r="D7378" t="str">
        <f>"20"</f>
        <v>20</v>
      </c>
      <c r="E7378" t="str">
        <f>"1-323-20"</f>
        <v>1-323-20</v>
      </c>
      <c r="F7378" t="s">
        <v>83</v>
      </c>
      <c r="G7378" t="s">
        <v>86</v>
      </c>
      <c r="H7378" t="s">
        <v>93</v>
      </c>
      <c r="I7378">
        <v>1</v>
      </c>
      <c r="K7378">
        <v>1</v>
      </c>
      <c r="L7378">
        <v>0</v>
      </c>
      <c r="M7378">
        <v>0</v>
      </c>
      <c r="N7378">
        <v>1</v>
      </c>
      <c r="O7378">
        <v>1</v>
      </c>
      <c r="P7378">
        <v>1</v>
      </c>
      <c r="Q7378">
        <v>1</v>
      </c>
      <c r="R7378">
        <v>1</v>
      </c>
      <c r="U7378">
        <v>0</v>
      </c>
      <c r="V7378">
        <v>1</v>
      </c>
      <c r="W7378">
        <v>1</v>
      </c>
      <c r="X7378">
        <v>1</v>
      </c>
      <c r="Y7378">
        <v>1</v>
      </c>
      <c r="Z7378">
        <v>1</v>
      </c>
      <c r="AA7378">
        <v>1</v>
      </c>
      <c r="AB7378">
        <v>1</v>
      </c>
    </row>
    <row r="7379" spans="1:49" x14ac:dyDescent="0.25">
      <c r="A7379" t="str">
        <f>"7375"</f>
        <v>7375</v>
      </c>
      <c r="B7379" t="str">
        <f t="shared" si="427"/>
        <v>1</v>
      </c>
      <c r="C7379" t="str">
        <f t="shared" si="429"/>
        <v>323</v>
      </c>
      <c r="D7379" t="str">
        <f>"13"</f>
        <v>13</v>
      </c>
      <c r="E7379" t="str">
        <f>"1-323-13"</f>
        <v>1-323-13</v>
      </c>
      <c r="F7379" t="s">
        <v>83</v>
      </c>
      <c r="G7379" t="s">
        <v>86</v>
      </c>
      <c r="H7379" t="s">
        <v>87</v>
      </c>
      <c r="AC7379">
        <v>0</v>
      </c>
      <c r="AD7379">
        <v>1</v>
      </c>
      <c r="AE7379">
        <v>0</v>
      </c>
      <c r="AF7379">
        <v>0</v>
      </c>
      <c r="AH7379">
        <v>1</v>
      </c>
      <c r="AI7379">
        <v>0</v>
      </c>
      <c r="AJ7379">
        <v>0</v>
      </c>
      <c r="AK7379">
        <v>1</v>
      </c>
      <c r="AL7379">
        <v>0</v>
      </c>
      <c r="AM7379">
        <v>0</v>
      </c>
      <c r="AN7379">
        <v>1</v>
      </c>
      <c r="AO7379">
        <v>1</v>
      </c>
      <c r="AP7379">
        <v>1</v>
      </c>
      <c r="AQ7379">
        <v>1</v>
      </c>
      <c r="AU7379">
        <v>1</v>
      </c>
      <c r="AV7379">
        <v>1</v>
      </c>
      <c r="AW7379">
        <v>1</v>
      </c>
    </row>
    <row r="7380" spans="1:49" x14ac:dyDescent="0.25">
      <c r="A7380" t="str">
        <f>"7376"</f>
        <v>7376</v>
      </c>
      <c r="B7380" t="str">
        <f t="shared" si="427"/>
        <v>1</v>
      </c>
      <c r="C7380" t="str">
        <f t="shared" si="429"/>
        <v>323</v>
      </c>
      <c r="D7380" t="str">
        <f>"9"</f>
        <v>9</v>
      </c>
      <c r="E7380" t="str">
        <f>"1-323-9"</f>
        <v>1-323-9</v>
      </c>
      <c r="F7380" t="s">
        <v>83</v>
      </c>
      <c r="G7380" t="s">
        <v>86</v>
      </c>
      <c r="H7380" t="s">
        <v>93</v>
      </c>
      <c r="I7380">
        <v>1</v>
      </c>
      <c r="K7380">
        <v>0</v>
      </c>
      <c r="L7380">
        <v>0</v>
      </c>
      <c r="M7380">
        <v>1</v>
      </c>
      <c r="N7380">
        <v>1</v>
      </c>
      <c r="O7380">
        <v>1</v>
      </c>
      <c r="P7380">
        <v>1</v>
      </c>
      <c r="Q7380">
        <v>1</v>
      </c>
      <c r="R7380">
        <v>1</v>
      </c>
      <c r="U7380">
        <v>1</v>
      </c>
      <c r="V7380">
        <v>0</v>
      </c>
      <c r="W7380">
        <v>1</v>
      </c>
      <c r="X7380">
        <v>1</v>
      </c>
      <c r="Y7380">
        <v>1</v>
      </c>
      <c r="Z7380">
        <v>1</v>
      </c>
      <c r="AA7380">
        <v>1</v>
      </c>
      <c r="AB7380">
        <v>1</v>
      </c>
    </row>
    <row r="7381" spans="1:49" x14ac:dyDescent="0.25">
      <c r="A7381" t="str">
        <f>"7377"</f>
        <v>7377</v>
      </c>
      <c r="B7381" t="str">
        <f t="shared" si="427"/>
        <v>1</v>
      </c>
      <c r="C7381" t="str">
        <f t="shared" si="429"/>
        <v>323</v>
      </c>
      <c r="D7381" t="str">
        <f>"2"</f>
        <v>2</v>
      </c>
      <c r="E7381" t="str">
        <f>"1-323-2"</f>
        <v>1-323-2</v>
      </c>
      <c r="F7381" t="s">
        <v>83</v>
      </c>
      <c r="G7381" t="s">
        <v>86</v>
      </c>
      <c r="H7381" t="s">
        <v>87</v>
      </c>
      <c r="AC7381">
        <v>0</v>
      </c>
      <c r="AD7381">
        <v>1</v>
      </c>
      <c r="AE7381">
        <v>0</v>
      </c>
      <c r="AF7381">
        <v>0</v>
      </c>
      <c r="AH7381">
        <v>1</v>
      </c>
      <c r="AI7381">
        <v>0</v>
      </c>
      <c r="AJ7381">
        <v>0</v>
      </c>
      <c r="AK7381">
        <v>1</v>
      </c>
      <c r="AL7381">
        <v>0</v>
      </c>
      <c r="AM7381">
        <v>0</v>
      </c>
      <c r="AN7381">
        <v>0</v>
      </c>
      <c r="AO7381">
        <v>0</v>
      </c>
      <c r="AP7381">
        <v>0</v>
      </c>
      <c r="AQ7381">
        <v>0</v>
      </c>
      <c r="AU7381">
        <v>0</v>
      </c>
      <c r="AV7381">
        <v>0</v>
      </c>
      <c r="AW7381">
        <v>0</v>
      </c>
    </row>
    <row r="7382" spans="1:49" x14ac:dyDescent="0.25">
      <c r="A7382" t="str">
        <f>"7378"</f>
        <v>7378</v>
      </c>
      <c r="B7382" t="str">
        <f t="shared" si="427"/>
        <v>1</v>
      </c>
      <c r="C7382" t="str">
        <f t="shared" si="429"/>
        <v>323</v>
      </c>
      <c r="D7382" t="str">
        <f>"18"</f>
        <v>18</v>
      </c>
      <c r="E7382" t="str">
        <f>"1-323-18"</f>
        <v>1-323-18</v>
      </c>
      <c r="F7382" t="s">
        <v>83</v>
      </c>
      <c r="G7382" t="s">
        <v>86</v>
      </c>
      <c r="H7382" t="s">
        <v>87</v>
      </c>
      <c r="AC7382">
        <v>0</v>
      </c>
      <c r="AD7382">
        <v>1</v>
      </c>
      <c r="AE7382">
        <v>0</v>
      </c>
      <c r="AF7382">
        <v>0</v>
      </c>
      <c r="AH7382">
        <v>0</v>
      </c>
      <c r="AI7382">
        <v>1</v>
      </c>
      <c r="AJ7382">
        <v>0</v>
      </c>
      <c r="AK7382">
        <v>1</v>
      </c>
      <c r="AL7382">
        <v>0</v>
      </c>
      <c r="AM7382">
        <v>0</v>
      </c>
      <c r="AN7382">
        <v>1</v>
      </c>
      <c r="AO7382">
        <v>0</v>
      </c>
      <c r="AP7382">
        <v>0</v>
      </c>
      <c r="AQ7382">
        <v>0</v>
      </c>
      <c r="AU7382">
        <v>0</v>
      </c>
      <c r="AV7382">
        <v>0</v>
      </c>
      <c r="AW7382">
        <v>0</v>
      </c>
    </row>
    <row r="7383" spans="1:49" x14ac:dyDescent="0.25">
      <c r="A7383" t="str">
        <f>"7379"</f>
        <v>7379</v>
      </c>
      <c r="B7383" t="str">
        <f t="shared" si="427"/>
        <v>1</v>
      </c>
      <c r="C7383" t="str">
        <f t="shared" si="429"/>
        <v>323</v>
      </c>
      <c r="D7383" t="str">
        <f>"10"</f>
        <v>10</v>
      </c>
      <c r="E7383" t="str">
        <f>"1-323-10"</f>
        <v>1-323-10</v>
      </c>
      <c r="F7383" t="s">
        <v>83</v>
      </c>
      <c r="G7383" t="s">
        <v>86</v>
      </c>
      <c r="H7383" t="s">
        <v>93</v>
      </c>
      <c r="I7383">
        <v>1</v>
      </c>
      <c r="K7383">
        <v>0</v>
      </c>
      <c r="L7383">
        <v>0</v>
      </c>
      <c r="M7383">
        <v>1</v>
      </c>
      <c r="N7383">
        <v>1</v>
      </c>
      <c r="O7383">
        <v>0</v>
      </c>
      <c r="P7383">
        <v>0</v>
      </c>
      <c r="Q7383">
        <v>0</v>
      </c>
      <c r="R7383">
        <v>0</v>
      </c>
      <c r="U7383">
        <v>1</v>
      </c>
      <c r="V7383">
        <v>0</v>
      </c>
      <c r="W7383">
        <v>0</v>
      </c>
      <c r="X7383">
        <v>0</v>
      </c>
      <c r="Y7383">
        <v>0</v>
      </c>
      <c r="Z7383">
        <v>0</v>
      </c>
      <c r="AA7383">
        <v>0</v>
      </c>
      <c r="AB7383">
        <v>0</v>
      </c>
    </row>
    <row r="7384" spans="1:49" x14ac:dyDescent="0.25">
      <c r="A7384" t="str">
        <f>"7380"</f>
        <v>7380</v>
      </c>
      <c r="B7384" t="str">
        <f t="shared" si="427"/>
        <v>1</v>
      </c>
      <c r="C7384" t="str">
        <f t="shared" si="429"/>
        <v>323</v>
      </c>
      <c r="D7384" t="str">
        <f>"6"</f>
        <v>6</v>
      </c>
      <c r="E7384" t="str">
        <f>"1-323-6"</f>
        <v>1-323-6</v>
      </c>
      <c r="F7384" t="s">
        <v>83</v>
      </c>
      <c r="G7384" t="s">
        <v>86</v>
      </c>
      <c r="H7384" t="s">
        <v>87</v>
      </c>
      <c r="AC7384">
        <v>0</v>
      </c>
      <c r="AD7384">
        <v>1</v>
      </c>
      <c r="AE7384">
        <v>0</v>
      </c>
      <c r="AF7384">
        <v>0</v>
      </c>
      <c r="AH7384">
        <v>1</v>
      </c>
      <c r="AI7384">
        <v>0</v>
      </c>
      <c r="AJ7384">
        <v>1</v>
      </c>
      <c r="AK7384">
        <v>0</v>
      </c>
      <c r="AL7384">
        <v>1</v>
      </c>
      <c r="AM7384">
        <v>0</v>
      </c>
      <c r="AN7384">
        <v>0</v>
      </c>
      <c r="AO7384">
        <v>0</v>
      </c>
      <c r="AP7384">
        <v>0</v>
      </c>
      <c r="AQ7384">
        <v>0</v>
      </c>
      <c r="AU7384">
        <v>0</v>
      </c>
      <c r="AV7384">
        <v>0</v>
      </c>
      <c r="AW7384">
        <v>0</v>
      </c>
    </row>
    <row r="7385" spans="1:49" x14ac:dyDescent="0.25">
      <c r="A7385" t="str">
        <f>"7381"</f>
        <v>7381</v>
      </c>
      <c r="B7385" t="str">
        <f t="shared" si="427"/>
        <v>1</v>
      </c>
      <c r="C7385" t="str">
        <f t="shared" si="429"/>
        <v>323</v>
      </c>
      <c r="D7385" t="str">
        <f>"17"</f>
        <v>17</v>
      </c>
      <c r="E7385" t="str">
        <f>"1-323-17"</f>
        <v>1-323-17</v>
      </c>
      <c r="F7385" t="s">
        <v>83</v>
      </c>
      <c r="G7385" t="s">
        <v>90</v>
      </c>
      <c r="H7385" t="s">
        <v>94</v>
      </c>
      <c r="I7385">
        <v>1</v>
      </c>
      <c r="K7385">
        <v>1</v>
      </c>
      <c r="L7385">
        <v>0</v>
      </c>
      <c r="M7385">
        <v>0</v>
      </c>
      <c r="N7385">
        <v>1</v>
      </c>
      <c r="O7385">
        <v>1</v>
      </c>
      <c r="P7385">
        <v>1</v>
      </c>
      <c r="Q7385">
        <v>1</v>
      </c>
      <c r="R7385">
        <v>1</v>
      </c>
      <c r="S7385">
        <v>1</v>
      </c>
      <c r="U7385">
        <v>0</v>
      </c>
      <c r="V7385">
        <v>1</v>
      </c>
      <c r="W7385">
        <v>1</v>
      </c>
      <c r="X7385">
        <v>1</v>
      </c>
      <c r="Y7385">
        <v>1</v>
      </c>
      <c r="Z7385">
        <v>1</v>
      </c>
      <c r="AA7385">
        <v>1</v>
      </c>
      <c r="AB7385">
        <v>1</v>
      </c>
    </row>
    <row r="7386" spans="1:49" x14ac:dyDescent="0.25">
      <c r="A7386" t="str">
        <f>"7382"</f>
        <v>7382</v>
      </c>
      <c r="B7386" t="str">
        <f t="shared" si="427"/>
        <v>1</v>
      </c>
      <c r="C7386" t="str">
        <f t="shared" si="429"/>
        <v>323</v>
      </c>
      <c r="D7386" t="str">
        <f>"11"</f>
        <v>11</v>
      </c>
      <c r="E7386" t="str">
        <f>"1-323-11"</f>
        <v>1-323-11</v>
      </c>
      <c r="F7386" t="s">
        <v>83</v>
      </c>
      <c r="G7386" t="s">
        <v>86</v>
      </c>
      <c r="H7386" t="s">
        <v>87</v>
      </c>
      <c r="AC7386">
        <v>1</v>
      </c>
      <c r="AD7386">
        <v>0</v>
      </c>
      <c r="AE7386">
        <v>0</v>
      </c>
      <c r="AF7386">
        <v>0</v>
      </c>
      <c r="AH7386">
        <v>1</v>
      </c>
      <c r="AI7386">
        <v>0</v>
      </c>
      <c r="AJ7386">
        <v>0</v>
      </c>
      <c r="AK7386">
        <v>1</v>
      </c>
      <c r="AL7386">
        <v>1</v>
      </c>
      <c r="AM7386">
        <v>0</v>
      </c>
      <c r="AN7386">
        <v>0</v>
      </c>
      <c r="AO7386">
        <v>1</v>
      </c>
      <c r="AP7386">
        <v>1</v>
      </c>
      <c r="AQ7386">
        <v>1</v>
      </c>
      <c r="AU7386">
        <v>1</v>
      </c>
      <c r="AV7386">
        <v>1</v>
      </c>
      <c r="AW7386">
        <v>0</v>
      </c>
    </row>
    <row r="7387" spans="1:49" x14ac:dyDescent="0.25">
      <c r="A7387" t="str">
        <f>"7383"</f>
        <v>7383</v>
      </c>
      <c r="B7387" t="str">
        <f t="shared" si="427"/>
        <v>1</v>
      </c>
      <c r="C7387" t="str">
        <f t="shared" si="429"/>
        <v>323</v>
      </c>
      <c r="D7387" t="str">
        <f>"1"</f>
        <v>1</v>
      </c>
      <c r="E7387" t="str">
        <f>"1-323-1"</f>
        <v>1-323-1</v>
      </c>
      <c r="F7387" t="s">
        <v>83</v>
      </c>
      <c r="G7387" t="s">
        <v>86</v>
      </c>
      <c r="H7387" t="s">
        <v>93</v>
      </c>
      <c r="I7387">
        <v>1</v>
      </c>
      <c r="K7387">
        <v>1</v>
      </c>
      <c r="L7387">
        <v>0</v>
      </c>
      <c r="M7387">
        <v>0</v>
      </c>
      <c r="N7387">
        <v>1</v>
      </c>
      <c r="O7387">
        <v>1</v>
      </c>
      <c r="P7387">
        <v>1</v>
      </c>
      <c r="Q7387">
        <v>1</v>
      </c>
      <c r="R7387">
        <v>1</v>
      </c>
      <c r="U7387">
        <v>0</v>
      </c>
      <c r="V7387">
        <v>1</v>
      </c>
      <c r="W7387">
        <v>1</v>
      </c>
      <c r="X7387">
        <v>1</v>
      </c>
      <c r="Y7387">
        <v>1</v>
      </c>
      <c r="Z7387">
        <v>1</v>
      </c>
      <c r="AA7387">
        <v>1</v>
      </c>
      <c r="AB7387">
        <v>1</v>
      </c>
    </row>
    <row r="7388" spans="1:49" x14ac:dyDescent="0.25">
      <c r="A7388" t="str">
        <f>"7384"</f>
        <v>7384</v>
      </c>
      <c r="B7388" t="str">
        <f t="shared" si="427"/>
        <v>1</v>
      </c>
      <c r="C7388" t="str">
        <f t="shared" si="429"/>
        <v>323</v>
      </c>
      <c r="D7388" t="str">
        <f>"19"</f>
        <v>19</v>
      </c>
      <c r="E7388" t="str">
        <f>"1-323-19"</f>
        <v>1-323-19</v>
      </c>
      <c r="F7388" t="s">
        <v>83</v>
      </c>
      <c r="G7388" t="s">
        <v>86</v>
      </c>
      <c r="H7388" t="s">
        <v>87</v>
      </c>
      <c r="AC7388">
        <v>0</v>
      </c>
      <c r="AD7388">
        <v>1</v>
      </c>
      <c r="AE7388">
        <v>0</v>
      </c>
      <c r="AF7388">
        <v>0</v>
      </c>
      <c r="AH7388">
        <v>0</v>
      </c>
      <c r="AI7388">
        <v>1</v>
      </c>
      <c r="AJ7388">
        <v>0</v>
      </c>
      <c r="AK7388">
        <v>1</v>
      </c>
      <c r="AL7388">
        <v>0</v>
      </c>
      <c r="AM7388">
        <v>0</v>
      </c>
      <c r="AN7388">
        <v>1</v>
      </c>
      <c r="AO7388">
        <v>1</v>
      </c>
      <c r="AP7388">
        <v>1</v>
      </c>
      <c r="AQ7388">
        <v>1</v>
      </c>
      <c r="AU7388">
        <v>1</v>
      </c>
      <c r="AV7388">
        <v>1</v>
      </c>
      <c r="AW7388">
        <v>1</v>
      </c>
    </row>
    <row r="7389" spans="1:49" x14ac:dyDescent="0.25">
      <c r="A7389" t="str">
        <f>"7385"</f>
        <v>7385</v>
      </c>
      <c r="B7389" t="str">
        <f t="shared" si="427"/>
        <v>1</v>
      </c>
      <c r="C7389" t="str">
        <f t="shared" si="429"/>
        <v>323</v>
      </c>
      <c r="D7389" t="str">
        <f>"12"</f>
        <v>12</v>
      </c>
      <c r="E7389" t="str">
        <f>"1-323-12"</f>
        <v>1-323-12</v>
      </c>
      <c r="F7389" t="s">
        <v>83</v>
      </c>
      <c r="G7389" t="s">
        <v>86</v>
      </c>
      <c r="H7389" t="s">
        <v>87</v>
      </c>
      <c r="AC7389">
        <v>0</v>
      </c>
      <c r="AD7389">
        <v>1</v>
      </c>
      <c r="AE7389">
        <v>0</v>
      </c>
      <c r="AF7389">
        <v>0</v>
      </c>
      <c r="AH7389">
        <v>0</v>
      </c>
      <c r="AI7389">
        <v>1</v>
      </c>
      <c r="AJ7389">
        <v>0</v>
      </c>
      <c r="AK7389">
        <v>1</v>
      </c>
      <c r="AL7389">
        <v>0</v>
      </c>
      <c r="AM7389">
        <v>0</v>
      </c>
      <c r="AN7389">
        <v>1</v>
      </c>
      <c r="AO7389">
        <v>0</v>
      </c>
      <c r="AP7389">
        <v>0</v>
      </c>
      <c r="AQ7389">
        <v>0</v>
      </c>
      <c r="AU7389">
        <v>0</v>
      </c>
      <c r="AV7389">
        <v>0</v>
      </c>
      <c r="AW7389">
        <v>0</v>
      </c>
    </row>
    <row r="7390" spans="1:49" x14ac:dyDescent="0.25">
      <c r="A7390" t="str">
        <f>"7386"</f>
        <v>7386</v>
      </c>
      <c r="B7390" t="str">
        <f t="shared" ref="B7390:B7453" si="430">"1"</f>
        <v>1</v>
      </c>
      <c r="C7390" t="str">
        <f t="shared" si="429"/>
        <v>323</v>
      </c>
      <c r="D7390" t="str">
        <f>"3"</f>
        <v>3</v>
      </c>
      <c r="E7390" t="str">
        <f>"1-323-3"</f>
        <v>1-323-3</v>
      </c>
      <c r="F7390" t="s">
        <v>83</v>
      </c>
      <c r="G7390" t="s">
        <v>86</v>
      </c>
      <c r="H7390" t="s">
        <v>87</v>
      </c>
      <c r="AC7390">
        <v>0</v>
      </c>
      <c r="AD7390">
        <v>0</v>
      </c>
      <c r="AE7390">
        <v>0</v>
      </c>
      <c r="AF7390">
        <v>0</v>
      </c>
      <c r="AH7390">
        <v>0</v>
      </c>
      <c r="AI7390">
        <v>1</v>
      </c>
      <c r="AJ7390">
        <v>0</v>
      </c>
      <c r="AK7390">
        <v>0</v>
      </c>
      <c r="AL7390">
        <v>0</v>
      </c>
      <c r="AM7390">
        <v>0</v>
      </c>
      <c r="AN7390">
        <v>0</v>
      </c>
      <c r="AO7390">
        <v>0</v>
      </c>
      <c r="AP7390">
        <v>0</v>
      </c>
      <c r="AQ7390">
        <v>0</v>
      </c>
      <c r="AU7390">
        <v>0</v>
      </c>
      <c r="AV7390">
        <v>0</v>
      </c>
      <c r="AW7390">
        <v>0</v>
      </c>
    </row>
    <row r="7391" spans="1:49" x14ac:dyDescent="0.25">
      <c r="A7391" t="str">
        <f>"7387"</f>
        <v>7387</v>
      </c>
      <c r="B7391" t="str">
        <f t="shared" si="430"/>
        <v>1</v>
      </c>
      <c r="C7391" t="str">
        <f t="shared" si="429"/>
        <v>323</v>
      </c>
      <c r="D7391" t="str">
        <f>"15"</f>
        <v>15</v>
      </c>
      <c r="E7391" t="str">
        <f>"1-323-15"</f>
        <v>1-323-15</v>
      </c>
      <c r="F7391" t="s">
        <v>83</v>
      </c>
      <c r="G7391" t="s">
        <v>86</v>
      </c>
      <c r="H7391" t="s">
        <v>87</v>
      </c>
      <c r="AC7391">
        <v>0</v>
      </c>
      <c r="AD7391">
        <v>0</v>
      </c>
      <c r="AE7391">
        <v>0</v>
      </c>
      <c r="AF7391">
        <v>0</v>
      </c>
      <c r="AH7391">
        <v>0</v>
      </c>
      <c r="AI7391">
        <v>1</v>
      </c>
      <c r="AJ7391">
        <v>0</v>
      </c>
      <c r="AK7391">
        <v>0</v>
      </c>
      <c r="AL7391">
        <v>0</v>
      </c>
      <c r="AM7391">
        <v>0</v>
      </c>
      <c r="AN7391">
        <v>0</v>
      </c>
      <c r="AO7391">
        <v>0</v>
      </c>
      <c r="AP7391">
        <v>0</v>
      </c>
      <c r="AQ7391">
        <v>0</v>
      </c>
      <c r="AU7391">
        <v>0</v>
      </c>
      <c r="AV7391">
        <v>0</v>
      </c>
      <c r="AW7391">
        <v>0</v>
      </c>
    </row>
    <row r="7392" spans="1:49" x14ac:dyDescent="0.25">
      <c r="A7392" t="str">
        <f>"7388"</f>
        <v>7388</v>
      </c>
      <c r="B7392" t="str">
        <f t="shared" si="430"/>
        <v>1</v>
      </c>
      <c r="C7392" t="str">
        <f t="shared" si="429"/>
        <v>323</v>
      </c>
      <c r="D7392" t="str">
        <f>"7"</f>
        <v>7</v>
      </c>
      <c r="E7392" t="str">
        <f>"1-323-7"</f>
        <v>1-323-7</v>
      </c>
      <c r="F7392" t="s">
        <v>83</v>
      </c>
      <c r="G7392" t="s">
        <v>86</v>
      </c>
      <c r="H7392" t="s">
        <v>93</v>
      </c>
      <c r="I7392">
        <v>1</v>
      </c>
      <c r="K7392">
        <v>1</v>
      </c>
      <c r="L7392">
        <v>0</v>
      </c>
      <c r="M7392">
        <v>0</v>
      </c>
      <c r="N7392">
        <v>1</v>
      </c>
      <c r="O7392">
        <v>1</v>
      </c>
      <c r="P7392">
        <v>1</v>
      </c>
      <c r="Q7392">
        <v>1</v>
      </c>
      <c r="R7392">
        <v>1</v>
      </c>
      <c r="U7392">
        <v>0</v>
      </c>
      <c r="V7392">
        <v>1</v>
      </c>
      <c r="W7392">
        <v>1</v>
      </c>
      <c r="X7392">
        <v>1</v>
      </c>
      <c r="Y7392">
        <v>1</v>
      </c>
      <c r="Z7392">
        <v>1</v>
      </c>
      <c r="AA7392">
        <v>1</v>
      </c>
      <c r="AB7392">
        <v>1</v>
      </c>
    </row>
    <row r="7393" spans="1:49" x14ac:dyDescent="0.25">
      <c r="A7393" t="str">
        <f>"7389"</f>
        <v>7389</v>
      </c>
      <c r="B7393" t="str">
        <f t="shared" si="430"/>
        <v>1</v>
      </c>
      <c r="C7393" t="str">
        <f t="shared" si="429"/>
        <v>323</v>
      </c>
      <c r="D7393" t="str">
        <f>"16"</f>
        <v>16</v>
      </c>
      <c r="E7393" t="str">
        <f>"1-323-16"</f>
        <v>1-323-16</v>
      </c>
      <c r="F7393" t="s">
        <v>83</v>
      </c>
      <c r="G7393" t="s">
        <v>86</v>
      </c>
      <c r="H7393" t="s">
        <v>93</v>
      </c>
      <c r="I7393">
        <v>1</v>
      </c>
      <c r="K7393">
        <v>0</v>
      </c>
      <c r="L7393">
        <v>0</v>
      </c>
      <c r="M7393">
        <v>1</v>
      </c>
      <c r="N7393">
        <v>1</v>
      </c>
      <c r="O7393">
        <v>1</v>
      </c>
      <c r="P7393">
        <v>1</v>
      </c>
      <c r="Q7393">
        <v>1</v>
      </c>
      <c r="R7393">
        <v>1</v>
      </c>
      <c r="U7393">
        <v>1</v>
      </c>
      <c r="V7393">
        <v>0</v>
      </c>
      <c r="W7393">
        <v>1</v>
      </c>
      <c r="X7393">
        <v>1</v>
      </c>
      <c r="Y7393">
        <v>1</v>
      </c>
      <c r="Z7393">
        <v>1</v>
      </c>
      <c r="AA7393">
        <v>1</v>
      </c>
      <c r="AB7393">
        <v>1</v>
      </c>
    </row>
    <row r="7394" spans="1:49" x14ac:dyDescent="0.25">
      <c r="A7394" t="str">
        <f>"7390"</f>
        <v>7390</v>
      </c>
      <c r="B7394" t="str">
        <f t="shared" si="430"/>
        <v>1</v>
      </c>
      <c r="C7394" t="str">
        <f t="shared" si="429"/>
        <v>323</v>
      </c>
      <c r="D7394" t="str">
        <f>"4"</f>
        <v>4</v>
      </c>
      <c r="E7394" t="str">
        <f>"1-323-4"</f>
        <v>1-323-4</v>
      </c>
      <c r="F7394" t="s">
        <v>83</v>
      </c>
      <c r="G7394" t="s">
        <v>86</v>
      </c>
      <c r="H7394" t="s">
        <v>93</v>
      </c>
      <c r="I7394">
        <v>1</v>
      </c>
      <c r="K7394">
        <v>1</v>
      </c>
      <c r="L7394">
        <v>0</v>
      </c>
      <c r="M7394">
        <v>0</v>
      </c>
      <c r="N7394">
        <v>1</v>
      </c>
      <c r="O7394">
        <v>1</v>
      </c>
      <c r="P7394">
        <v>1</v>
      </c>
      <c r="Q7394">
        <v>0</v>
      </c>
      <c r="R7394">
        <v>1</v>
      </c>
      <c r="U7394">
        <v>0</v>
      </c>
      <c r="V7394">
        <v>1</v>
      </c>
      <c r="W7394">
        <v>1</v>
      </c>
      <c r="X7394">
        <v>1</v>
      </c>
      <c r="Y7394">
        <v>1</v>
      </c>
      <c r="Z7394">
        <v>1</v>
      </c>
      <c r="AA7394">
        <v>1</v>
      </c>
      <c r="AB7394">
        <v>1</v>
      </c>
    </row>
    <row r="7395" spans="1:49" x14ac:dyDescent="0.25">
      <c r="A7395" t="str">
        <f>"7391"</f>
        <v>7391</v>
      </c>
      <c r="B7395" t="str">
        <f t="shared" si="430"/>
        <v>1</v>
      </c>
      <c r="C7395" t="str">
        <f t="shared" ref="C7395:C7419" si="431">"324"</f>
        <v>324</v>
      </c>
      <c r="D7395" t="str">
        <f>"23"</f>
        <v>23</v>
      </c>
      <c r="E7395" t="str">
        <f>"1-324-23"</f>
        <v>1-324-23</v>
      </c>
      <c r="F7395" t="s">
        <v>83</v>
      </c>
      <c r="G7395" t="s">
        <v>86</v>
      </c>
      <c r="H7395" t="s">
        <v>87</v>
      </c>
      <c r="AC7395">
        <v>1</v>
      </c>
      <c r="AD7395">
        <v>0</v>
      </c>
      <c r="AE7395">
        <v>0</v>
      </c>
      <c r="AF7395">
        <v>0</v>
      </c>
      <c r="AH7395">
        <v>1</v>
      </c>
      <c r="AI7395">
        <v>0</v>
      </c>
      <c r="AJ7395">
        <v>0</v>
      </c>
      <c r="AK7395">
        <v>0</v>
      </c>
      <c r="AL7395">
        <v>0</v>
      </c>
      <c r="AM7395">
        <v>0</v>
      </c>
      <c r="AN7395">
        <v>0</v>
      </c>
      <c r="AO7395">
        <v>0</v>
      </c>
      <c r="AP7395">
        <v>0</v>
      </c>
      <c r="AQ7395">
        <v>0</v>
      </c>
      <c r="AU7395">
        <v>0</v>
      </c>
      <c r="AV7395">
        <v>0</v>
      </c>
      <c r="AW7395">
        <v>0</v>
      </c>
    </row>
    <row r="7396" spans="1:49" x14ac:dyDescent="0.25">
      <c r="A7396" t="str">
        <f>"7392"</f>
        <v>7392</v>
      </c>
      <c r="B7396" t="str">
        <f t="shared" si="430"/>
        <v>1</v>
      </c>
      <c r="C7396" t="str">
        <f t="shared" si="431"/>
        <v>324</v>
      </c>
      <c r="D7396" t="str">
        <f>"22"</f>
        <v>22</v>
      </c>
      <c r="E7396" t="str">
        <f>"1-324-22"</f>
        <v>1-324-22</v>
      </c>
      <c r="F7396" t="s">
        <v>83</v>
      </c>
      <c r="G7396" t="s">
        <v>86</v>
      </c>
      <c r="H7396" t="s">
        <v>87</v>
      </c>
      <c r="AC7396">
        <v>1</v>
      </c>
      <c r="AD7396">
        <v>0</v>
      </c>
      <c r="AE7396">
        <v>0</v>
      </c>
      <c r="AF7396">
        <v>0</v>
      </c>
      <c r="AH7396">
        <v>0</v>
      </c>
      <c r="AI7396">
        <v>1</v>
      </c>
      <c r="AJ7396">
        <v>0</v>
      </c>
      <c r="AK7396">
        <v>1</v>
      </c>
      <c r="AL7396">
        <v>0</v>
      </c>
      <c r="AM7396">
        <v>0</v>
      </c>
      <c r="AN7396">
        <v>1</v>
      </c>
      <c r="AO7396">
        <v>1</v>
      </c>
      <c r="AP7396">
        <v>0</v>
      </c>
      <c r="AQ7396">
        <v>0</v>
      </c>
      <c r="AU7396">
        <v>0</v>
      </c>
      <c r="AV7396">
        <v>0</v>
      </c>
      <c r="AW7396">
        <v>1</v>
      </c>
    </row>
    <row r="7397" spans="1:49" x14ac:dyDescent="0.25">
      <c r="A7397" t="str">
        <f>"7393"</f>
        <v>7393</v>
      </c>
      <c r="B7397" t="str">
        <f t="shared" si="430"/>
        <v>1</v>
      </c>
      <c r="C7397" t="str">
        <f t="shared" si="431"/>
        <v>324</v>
      </c>
      <c r="D7397" t="str">
        <f>"13"</f>
        <v>13</v>
      </c>
      <c r="E7397" t="str">
        <f>"1-324-13"</f>
        <v>1-324-13</v>
      </c>
      <c r="F7397" t="s">
        <v>83</v>
      </c>
      <c r="G7397" t="s">
        <v>86</v>
      </c>
      <c r="H7397" t="s">
        <v>93</v>
      </c>
      <c r="I7397">
        <v>0</v>
      </c>
      <c r="K7397">
        <v>1</v>
      </c>
      <c r="L7397">
        <v>0</v>
      </c>
      <c r="M7397">
        <v>0</v>
      </c>
      <c r="N7397">
        <v>0</v>
      </c>
      <c r="O7397">
        <v>0</v>
      </c>
      <c r="P7397">
        <v>0</v>
      </c>
      <c r="Q7397">
        <v>0</v>
      </c>
      <c r="R7397">
        <v>0</v>
      </c>
      <c r="U7397">
        <v>1</v>
      </c>
      <c r="V7397">
        <v>0</v>
      </c>
      <c r="W7397">
        <v>0</v>
      </c>
      <c r="X7397">
        <v>0</v>
      </c>
      <c r="Y7397">
        <v>0</v>
      </c>
      <c r="Z7397">
        <v>0</v>
      </c>
      <c r="AA7397">
        <v>0</v>
      </c>
      <c r="AB7397">
        <v>0</v>
      </c>
    </row>
    <row r="7398" spans="1:49" x14ac:dyDescent="0.25">
      <c r="A7398" t="str">
        <f>"7394"</f>
        <v>7394</v>
      </c>
      <c r="B7398" t="str">
        <f t="shared" si="430"/>
        <v>1</v>
      </c>
      <c r="C7398" t="str">
        <f t="shared" si="431"/>
        <v>324</v>
      </c>
      <c r="D7398" t="str">
        <f>"8"</f>
        <v>8</v>
      </c>
      <c r="E7398" t="str">
        <f>"1-324-8"</f>
        <v>1-324-8</v>
      </c>
      <c r="F7398" t="s">
        <v>83</v>
      </c>
      <c r="G7398" t="s">
        <v>86</v>
      </c>
      <c r="H7398" t="s">
        <v>93</v>
      </c>
      <c r="I7398">
        <v>1</v>
      </c>
      <c r="K7398">
        <v>0</v>
      </c>
      <c r="L7398">
        <v>0</v>
      </c>
      <c r="M7398">
        <v>1</v>
      </c>
      <c r="N7398">
        <v>1</v>
      </c>
      <c r="O7398">
        <v>1</v>
      </c>
      <c r="P7398">
        <v>1</v>
      </c>
      <c r="Q7398">
        <v>1</v>
      </c>
      <c r="R7398">
        <v>1</v>
      </c>
      <c r="U7398">
        <v>1</v>
      </c>
      <c r="V7398">
        <v>0</v>
      </c>
      <c r="W7398">
        <v>1</v>
      </c>
      <c r="X7398">
        <v>1</v>
      </c>
      <c r="Y7398">
        <v>1</v>
      </c>
      <c r="Z7398">
        <v>1</v>
      </c>
      <c r="AA7398">
        <v>1</v>
      </c>
      <c r="AB7398">
        <v>1</v>
      </c>
    </row>
    <row r="7399" spans="1:49" x14ac:dyDescent="0.25">
      <c r="A7399" t="str">
        <f>"7395"</f>
        <v>7395</v>
      </c>
      <c r="B7399" t="str">
        <f t="shared" si="430"/>
        <v>1</v>
      </c>
      <c r="C7399" t="str">
        <f t="shared" si="431"/>
        <v>324</v>
      </c>
      <c r="D7399" t="str">
        <f>"6"</f>
        <v>6</v>
      </c>
      <c r="E7399" t="str">
        <f>"1-324-6"</f>
        <v>1-324-6</v>
      </c>
      <c r="F7399" t="s">
        <v>83</v>
      </c>
      <c r="G7399" t="s">
        <v>86</v>
      </c>
      <c r="H7399" t="s">
        <v>87</v>
      </c>
      <c r="AC7399">
        <v>0</v>
      </c>
      <c r="AD7399">
        <v>1</v>
      </c>
      <c r="AE7399">
        <v>0</v>
      </c>
      <c r="AF7399">
        <v>0</v>
      </c>
      <c r="AH7399">
        <v>0</v>
      </c>
      <c r="AI7399">
        <v>1</v>
      </c>
      <c r="AJ7399">
        <v>0</v>
      </c>
      <c r="AK7399">
        <v>1</v>
      </c>
      <c r="AL7399">
        <v>0</v>
      </c>
      <c r="AM7399">
        <v>1</v>
      </c>
      <c r="AN7399">
        <v>0</v>
      </c>
      <c r="AO7399">
        <v>0</v>
      </c>
      <c r="AP7399">
        <v>0</v>
      </c>
      <c r="AQ7399">
        <v>0</v>
      </c>
      <c r="AU7399">
        <v>0</v>
      </c>
      <c r="AV7399">
        <v>0</v>
      </c>
      <c r="AW7399">
        <v>0</v>
      </c>
    </row>
    <row r="7400" spans="1:49" x14ac:dyDescent="0.25">
      <c r="A7400" t="str">
        <f>"7396"</f>
        <v>7396</v>
      </c>
      <c r="B7400" t="str">
        <f t="shared" si="430"/>
        <v>1</v>
      </c>
      <c r="C7400" t="str">
        <f t="shared" si="431"/>
        <v>324</v>
      </c>
      <c r="D7400" t="str">
        <f>"21"</f>
        <v>21</v>
      </c>
      <c r="E7400" t="str">
        <f>"1-324-21"</f>
        <v>1-324-21</v>
      </c>
      <c r="F7400" t="s">
        <v>83</v>
      </c>
      <c r="G7400" t="s">
        <v>86</v>
      </c>
      <c r="H7400" t="s">
        <v>93</v>
      </c>
      <c r="I7400">
        <v>1</v>
      </c>
      <c r="K7400">
        <v>0</v>
      </c>
      <c r="L7400">
        <v>1</v>
      </c>
      <c r="M7400">
        <v>0</v>
      </c>
      <c r="N7400">
        <v>1</v>
      </c>
      <c r="O7400">
        <v>1</v>
      </c>
      <c r="P7400">
        <v>1</v>
      </c>
      <c r="Q7400">
        <v>1</v>
      </c>
      <c r="R7400">
        <v>1</v>
      </c>
      <c r="U7400">
        <v>0</v>
      </c>
      <c r="V7400">
        <v>1</v>
      </c>
      <c r="W7400">
        <v>1</v>
      </c>
      <c r="X7400">
        <v>1</v>
      </c>
      <c r="Y7400">
        <v>1</v>
      </c>
      <c r="Z7400">
        <v>1</v>
      </c>
      <c r="AA7400">
        <v>1</v>
      </c>
      <c r="AB7400">
        <v>1</v>
      </c>
    </row>
    <row r="7401" spans="1:49" x14ac:dyDescent="0.25">
      <c r="A7401" t="str">
        <f>"7397"</f>
        <v>7397</v>
      </c>
      <c r="B7401" t="str">
        <f t="shared" si="430"/>
        <v>1</v>
      </c>
      <c r="C7401" t="str">
        <f t="shared" si="431"/>
        <v>324</v>
      </c>
      <c r="D7401" t="str">
        <f>"20"</f>
        <v>20</v>
      </c>
      <c r="E7401" t="str">
        <f>"1-324-20"</f>
        <v>1-324-20</v>
      </c>
      <c r="F7401" t="s">
        <v>83</v>
      </c>
      <c r="G7401" t="s">
        <v>86</v>
      </c>
      <c r="H7401" t="s">
        <v>93</v>
      </c>
      <c r="I7401">
        <v>1</v>
      </c>
      <c r="K7401">
        <v>0</v>
      </c>
      <c r="L7401">
        <v>0</v>
      </c>
      <c r="M7401">
        <v>1</v>
      </c>
      <c r="N7401">
        <v>1</v>
      </c>
      <c r="O7401">
        <v>1</v>
      </c>
      <c r="P7401">
        <v>1</v>
      </c>
      <c r="Q7401">
        <v>1</v>
      </c>
      <c r="R7401">
        <v>1</v>
      </c>
      <c r="U7401">
        <v>1</v>
      </c>
      <c r="V7401">
        <v>0</v>
      </c>
      <c r="W7401">
        <v>1</v>
      </c>
      <c r="X7401">
        <v>1</v>
      </c>
      <c r="Y7401">
        <v>1</v>
      </c>
      <c r="Z7401">
        <v>1</v>
      </c>
      <c r="AA7401">
        <v>1</v>
      </c>
      <c r="AB7401">
        <v>1</v>
      </c>
    </row>
    <row r="7402" spans="1:49" x14ac:dyDescent="0.25">
      <c r="A7402" t="str">
        <f>"7398"</f>
        <v>7398</v>
      </c>
      <c r="B7402" t="str">
        <f t="shared" si="430"/>
        <v>1</v>
      </c>
      <c r="C7402" t="str">
        <f t="shared" si="431"/>
        <v>324</v>
      </c>
      <c r="D7402" t="str">
        <f>"14"</f>
        <v>14</v>
      </c>
      <c r="E7402" t="str">
        <f>"1-324-14"</f>
        <v>1-324-14</v>
      </c>
      <c r="F7402" t="s">
        <v>83</v>
      </c>
      <c r="G7402" t="s">
        <v>86</v>
      </c>
      <c r="H7402" t="s">
        <v>87</v>
      </c>
      <c r="AC7402">
        <v>0</v>
      </c>
      <c r="AD7402">
        <v>1</v>
      </c>
      <c r="AE7402">
        <v>0</v>
      </c>
      <c r="AF7402">
        <v>0</v>
      </c>
      <c r="AH7402">
        <v>0</v>
      </c>
      <c r="AI7402">
        <v>1</v>
      </c>
      <c r="AJ7402">
        <v>0</v>
      </c>
      <c r="AK7402">
        <v>0</v>
      </c>
      <c r="AL7402">
        <v>0</v>
      </c>
      <c r="AM7402">
        <v>0</v>
      </c>
      <c r="AN7402">
        <v>0</v>
      </c>
      <c r="AO7402">
        <v>0</v>
      </c>
      <c r="AP7402">
        <v>0</v>
      </c>
      <c r="AQ7402">
        <v>0</v>
      </c>
      <c r="AU7402">
        <v>0</v>
      </c>
      <c r="AV7402">
        <v>0</v>
      </c>
      <c r="AW7402">
        <v>0</v>
      </c>
    </row>
    <row r="7403" spans="1:49" x14ac:dyDescent="0.25">
      <c r="A7403" t="str">
        <f>"7399"</f>
        <v>7399</v>
      </c>
      <c r="B7403" t="str">
        <f t="shared" si="430"/>
        <v>1</v>
      </c>
      <c r="C7403" t="str">
        <f t="shared" si="431"/>
        <v>324</v>
      </c>
      <c r="D7403" t="str">
        <f>"9"</f>
        <v>9</v>
      </c>
      <c r="E7403" t="str">
        <f>"1-324-9"</f>
        <v>1-324-9</v>
      </c>
      <c r="F7403" t="s">
        <v>83</v>
      </c>
      <c r="G7403" t="s">
        <v>86</v>
      </c>
      <c r="H7403" t="s">
        <v>93</v>
      </c>
      <c r="I7403">
        <v>1</v>
      </c>
      <c r="K7403">
        <v>0</v>
      </c>
      <c r="L7403">
        <v>0</v>
      </c>
      <c r="M7403">
        <v>1</v>
      </c>
      <c r="N7403">
        <v>1</v>
      </c>
      <c r="O7403">
        <v>1</v>
      </c>
      <c r="P7403">
        <v>1</v>
      </c>
      <c r="Q7403">
        <v>1</v>
      </c>
      <c r="R7403">
        <v>1</v>
      </c>
      <c r="U7403">
        <v>1</v>
      </c>
      <c r="V7403">
        <v>0</v>
      </c>
      <c r="W7403">
        <v>1</v>
      </c>
      <c r="X7403">
        <v>1</v>
      </c>
      <c r="Y7403">
        <v>1</v>
      </c>
      <c r="Z7403">
        <v>1</v>
      </c>
      <c r="AA7403">
        <v>1</v>
      </c>
      <c r="AB7403">
        <v>1</v>
      </c>
    </row>
    <row r="7404" spans="1:49" x14ac:dyDescent="0.25">
      <c r="A7404" t="str">
        <f>"7400"</f>
        <v>7400</v>
      </c>
      <c r="B7404" t="str">
        <f t="shared" si="430"/>
        <v>1</v>
      </c>
      <c r="C7404" t="str">
        <f t="shared" si="431"/>
        <v>324</v>
      </c>
      <c r="D7404" t="str">
        <f>"3"</f>
        <v>3</v>
      </c>
      <c r="E7404" t="str">
        <f>"1-324-3"</f>
        <v>1-324-3</v>
      </c>
      <c r="F7404" t="s">
        <v>83</v>
      </c>
      <c r="G7404" t="s">
        <v>86</v>
      </c>
      <c r="H7404" t="s">
        <v>87</v>
      </c>
      <c r="AC7404">
        <v>0</v>
      </c>
      <c r="AD7404">
        <v>0</v>
      </c>
      <c r="AE7404">
        <v>0</v>
      </c>
      <c r="AF7404">
        <v>0</v>
      </c>
      <c r="AH7404">
        <v>0</v>
      </c>
      <c r="AI7404">
        <v>1</v>
      </c>
      <c r="AJ7404">
        <v>0</v>
      </c>
      <c r="AK7404">
        <v>0</v>
      </c>
      <c r="AL7404">
        <v>0</v>
      </c>
      <c r="AM7404">
        <v>0</v>
      </c>
      <c r="AN7404">
        <v>0</v>
      </c>
      <c r="AO7404">
        <v>1</v>
      </c>
      <c r="AP7404">
        <v>1</v>
      </c>
      <c r="AQ7404">
        <v>1</v>
      </c>
      <c r="AU7404">
        <v>1</v>
      </c>
      <c r="AV7404">
        <v>1</v>
      </c>
      <c r="AW7404">
        <v>1</v>
      </c>
    </row>
    <row r="7405" spans="1:49" x14ac:dyDescent="0.25">
      <c r="A7405" t="str">
        <f>"7401"</f>
        <v>7401</v>
      </c>
      <c r="B7405" t="str">
        <f t="shared" si="430"/>
        <v>1</v>
      </c>
      <c r="C7405" t="str">
        <f t="shared" si="431"/>
        <v>324</v>
      </c>
      <c r="D7405" t="str">
        <f>"17"</f>
        <v>17</v>
      </c>
      <c r="E7405" t="str">
        <f>"1-324-17"</f>
        <v>1-324-17</v>
      </c>
      <c r="F7405" t="s">
        <v>83</v>
      </c>
      <c r="G7405" t="s">
        <v>86</v>
      </c>
      <c r="H7405" t="s">
        <v>93</v>
      </c>
      <c r="I7405">
        <v>1</v>
      </c>
      <c r="K7405">
        <v>0</v>
      </c>
      <c r="L7405">
        <v>1</v>
      </c>
      <c r="M7405">
        <v>0</v>
      </c>
      <c r="N7405">
        <v>1</v>
      </c>
      <c r="O7405">
        <v>1</v>
      </c>
      <c r="P7405">
        <v>1</v>
      </c>
      <c r="Q7405">
        <v>1</v>
      </c>
      <c r="R7405">
        <v>1</v>
      </c>
      <c r="U7405">
        <v>0</v>
      </c>
      <c r="V7405">
        <v>1</v>
      </c>
      <c r="W7405">
        <v>1</v>
      </c>
      <c r="X7405">
        <v>1</v>
      </c>
      <c r="Y7405">
        <v>1</v>
      </c>
      <c r="Z7405">
        <v>1</v>
      </c>
      <c r="AA7405">
        <v>1</v>
      </c>
      <c r="AB7405">
        <v>1</v>
      </c>
    </row>
    <row r="7406" spans="1:49" x14ac:dyDescent="0.25">
      <c r="A7406" t="str">
        <f>"7402"</f>
        <v>7402</v>
      </c>
      <c r="B7406" t="str">
        <f t="shared" si="430"/>
        <v>1</v>
      </c>
      <c r="C7406" t="str">
        <f t="shared" si="431"/>
        <v>324</v>
      </c>
      <c r="D7406" t="str">
        <f>"10"</f>
        <v>10</v>
      </c>
      <c r="E7406" t="str">
        <f>"1-324-10"</f>
        <v>1-324-10</v>
      </c>
      <c r="F7406" t="s">
        <v>83</v>
      </c>
      <c r="G7406" t="s">
        <v>86</v>
      </c>
      <c r="H7406" t="s">
        <v>93</v>
      </c>
      <c r="I7406">
        <v>1</v>
      </c>
      <c r="K7406">
        <v>0</v>
      </c>
      <c r="L7406">
        <v>0</v>
      </c>
      <c r="M7406">
        <v>1</v>
      </c>
      <c r="N7406">
        <v>1</v>
      </c>
      <c r="O7406">
        <v>1</v>
      </c>
      <c r="P7406">
        <v>1</v>
      </c>
      <c r="Q7406">
        <v>1</v>
      </c>
      <c r="R7406">
        <v>1</v>
      </c>
      <c r="U7406">
        <v>1</v>
      </c>
      <c r="V7406">
        <v>0</v>
      </c>
      <c r="W7406">
        <v>1</v>
      </c>
      <c r="X7406">
        <v>1</v>
      </c>
      <c r="Y7406">
        <v>1</v>
      </c>
      <c r="Z7406">
        <v>1</v>
      </c>
      <c r="AA7406">
        <v>1</v>
      </c>
      <c r="AB7406">
        <v>1</v>
      </c>
    </row>
    <row r="7407" spans="1:49" x14ac:dyDescent="0.25">
      <c r="A7407" t="str">
        <f>"7403"</f>
        <v>7403</v>
      </c>
      <c r="B7407" t="str">
        <f t="shared" si="430"/>
        <v>1</v>
      </c>
      <c r="C7407" t="str">
        <f t="shared" si="431"/>
        <v>324</v>
      </c>
      <c r="D7407" t="str">
        <f>"4"</f>
        <v>4</v>
      </c>
      <c r="E7407" t="str">
        <f>"1-324-4"</f>
        <v>1-324-4</v>
      </c>
      <c r="F7407" t="s">
        <v>83</v>
      </c>
      <c r="G7407" t="s">
        <v>86</v>
      </c>
      <c r="H7407" t="s">
        <v>87</v>
      </c>
      <c r="AC7407">
        <v>0</v>
      </c>
      <c r="AD7407">
        <v>0</v>
      </c>
      <c r="AE7407">
        <v>0</v>
      </c>
      <c r="AF7407">
        <v>0</v>
      </c>
      <c r="AH7407">
        <v>0</v>
      </c>
      <c r="AI7407">
        <v>1</v>
      </c>
      <c r="AJ7407">
        <v>0</v>
      </c>
      <c r="AK7407">
        <v>0</v>
      </c>
      <c r="AL7407">
        <v>0</v>
      </c>
      <c r="AM7407">
        <v>0</v>
      </c>
      <c r="AN7407">
        <v>0</v>
      </c>
      <c r="AO7407">
        <v>0</v>
      </c>
      <c r="AP7407">
        <v>0</v>
      </c>
      <c r="AQ7407">
        <v>0</v>
      </c>
      <c r="AU7407">
        <v>0</v>
      </c>
      <c r="AV7407">
        <v>0</v>
      </c>
      <c r="AW7407">
        <v>0</v>
      </c>
    </row>
    <row r="7408" spans="1:49" x14ac:dyDescent="0.25">
      <c r="A7408" t="str">
        <f>"7404"</f>
        <v>7404</v>
      </c>
      <c r="B7408" t="str">
        <f t="shared" si="430"/>
        <v>1</v>
      </c>
      <c r="C7408" t="str">
        <f t="shared" si="431"/>
        <v>324</v>
      </c>
      <c r="D7408" t="str">
        <f>"11"</f>
        <v>11</v>
      </c>
      <c r="E7408" t="str">
        <f>"1-324-11"</f>
        <v>1-324-11</v>
      </c>
      <c r="F7408" t="s">
        <v>83</v>
      </c>
      <c r="G7408" t="s">
        <v>86</v>
      </c>
      <c r="H7408" t="s">
        <v>93</v>
      </c>
      <c r="I7408">
        <v>1</v>
      </c>
      <c r="K7408">
        <v>0</v>
      </c>
      <c r="L7408">
        <v>0</v>
      </c>
      <c r="M7408">
        <v>1</v>
      </c>
      <c r="N7408">
        <v>1</v>
      </c>
      <c r="O7408">
        <v>1</v>
      </c>
      <c r="P7408">
        <v>1</v>
      </c>
      <c r="Q7408">
        <v>1</v>
      </c>
      <c r="R7408">
        <v>1</v>
      </c>
      <c r="U7408">
        <v>0</v>
      </c>
      <c r="V7408">
        <v>1</v>
      </c>
      <c r="W7408">
        <v>1</v>
      </c>
      <c r="X7408">
        <v>1</v>
      </c>
      <c r="Y7408">
        <v>1</v>
      </c>
      <c r="Z7408">
        <v>1</v>
      </c>
      <c r="AA7408">
        <v>1</v>
      </c>
      <c r="AB7408">
        <v>1</v>
      </c>
    </row>
    <row r="7409" spans="1:49" x14ac:dyDescent="0.25">
      <c r="A7409" t="str">
        <f>"7405"</f>
        <v>7405</v>
      </c>
      <c r="B7409" t="str">
        <f t="shared" si="430"/>
        <v>1</v>
      </c>
      <c r="C7409" t="str">
        <f t="shared" si="431"/>
        <v>324</v>
      </c>
      <c r="D7409" t="str">
        <f>"1"</f>
        <v>1</v>
      </c>
      <c r="E7409" t="str">
        <f>"1-324-1"</f>
        <v>1-324-1</v>
      </c>
      <c r="F7409" t="s">
        <v>83</v>
      </c>
      <c r="G7409" t="s">
        <v>86</v>
      </c>
      <c r="H7409" t="s">
        <v>93</v>
      </c>
      <c r="I7409">
        <v>1</v>
      </c>
      <c r="K7409">
        <v>0</v>
      </c>
      <c r="L7409">
        <v>0</v>
      </c>
      <c r="M7409">
        <v>1</v>
      </c>
      <c r="N7409">
        <v>1</v>
      </c>
      <c r="O7409">
        <v>1</v>
      </c>
      <c r="P7409">
        <v>1</v>
      </c>
      <c r="Q7409">
        <v>1</v>
      </c>
      <c r="R7409">
        <v>1</v>
      </c>
      <c r="U7409">
        <v>0</v>
      </c>
      <c r="V7409">
        <v>1</v>
      </c>
      <c r="W7409">
        <v>1</v>
      </c>
      <c r="X7409">
        <v>1</v>
      </c>
      <c r="Y7409">
        <v>1</v>
      </c>
      <c r="Z7409">
        <v>1</v>
      </c>
      <c r="AA7409">
        <v>1</v>
      </c>
      <c r="AB7409">
        <v>1</v>
      </c>
    </row>
    <row r="7410" spans="1:49" x14ac:dyDescent="0.25">
      <c r="A7410" t="str">
        <f>"7406"</f>
        <v>7406</v>
      </c>
      <c r="B7410" t="str">
        <f t="shared" si="430"/>
        <v>1</v>
      </c>
      <c r="C7410" t="str">
        <f t="shared" si="431"/>
        <v>324</v>
      </c>
      <c r="D7410" t="str">
        <f>"25"</f>
        <v>25</v>
      </c>
      <c r="E7410" t="str">
        <f>"1-324-25"</f>
        <v>1-324-25</v>
      </c>
      <c r="F7410" t="s">
        <v>83</v>
      </c>
      <c r="G7410" t="s">
        <v>86</v>
      </c>
      <c r="H7410" t="s">
        <v>87</v>
      </c>
      <c r="AC7410">
        <v>0</v>
      </c>
      <c r="AD7410">
        <v>1</v>
      </c>
      <c r="AE7410">
        <v>0</v>
      </c>
      <c r="AF7410">
        <v>0</v>
      </c>
      <c r="AH7410">
        <v>0</v>
      </c>
      <c r="AI7410">
        <v>1</v>
      </c>
      <c r="AJ7410">
        <v>0</v>
      </c>
      <c r="AK7410">
        <v>1</v>
      </c>
      <c r="AL7410">
        <v>0</v>
      </c>
      <c r="AM7410">
        <v>0</v>
      </c>
      <c r="AN7410">
        <v>1</v>
      </c>
      <c r="AO7410">
        <v>1</v>
      </c>
      <c r="AP7410">
        <v>1</v>
      </c>
      <c r="AQ7410">
        <v>1</v>
      </c>
      <c r="AU7410">
        <v>1</v>
      </c>
      <c r="AV7410">
        <v>1</v>
      </c>
      <c r="AW7410">
        <v>0</v>
      </c>
    </row>
    <row r="7411" spans="1:49" x14ac:dyDescent="0.25">
      <c r="A7411" t="str">
        <f>"7407"</f>
        <v>7407</v>
      </c>
      <c r="B7411" t="str">
        <f t="shared" si="430"/>
        <v>1</v>
      </c>
      <c r="C7411" t="str">
        <f t="shared" si="431"/>
        <v>324</v>
      </c>
      <c r="D7411" t="str">
        <f>"24"</f>
        <v>24</v>
      </c>
      <c r="E7411" t="str">
        <f>"1-324-24"</f>
        <v>1-324-24</v>
      </c>
      <c r="F7411" t="s">
        <v>83</v>
      </c>
      <c r="G7411" t="s">
        <v>86</v>
      </c>
      <c r="H7411" t="s">
        <v>93</v>
      </c>
      <c r="I7411">
        <v>1</v>
      </c>
      <c r="K7411">
        <v>0</v>
      </c>
      <c r="L7411">
        <v>0</v>
      </c>
      <c r="M7411">
        <v>1</v>
      </c>
      <c r="N7411">
        <v>1</v>
      </c>
      <c r="O7411">
        <v>1</v>
      </c>
      <c r="P7411">
        <v>1</v>
      </c>
      <c r="Q7411">
        <v>1</v>
      </c>
      <c r="R7411">
        <v>1</v>
      </c>
      <c r="U7411">
        <v>0</v>
      </c>
      <c r="V7411">
        <v>1</v>
      </c>
      <c r="W7411">
        <v>1</v>
      </c>
      <c r="X7411">
        <v>1</v>
      </c>
      <c r="Y7411">
        <v>1</v>
      </c>
      <c r="Z7411">
        <v>1</v>
      </c>
      <c r="AA7411">
        <v>1</v>
      </c>
      <c r="AB7411">
        <v>1</v>
      </c>
    </row>
    <row r="7412" spans="1:49" x14ac:dyDescent="0.25">
      <c r="A7412" t="str">
        <f>"7408"</f>
        <v>7408</v>
      </c>
      <c r="B7412" t="str">
        <f t="shared" si="430"/>
        <v>1</v>
      </c>
      <c r="C7412" t="str">
        <f t="shared" si="431"/>
        <v>324</v>
      </c>
      <c r="D7412" t="str">
        <f>"15"</f>
        <v>15</v>
      </c>
      <c r="E7412" t="str">
        <f>"1-324-15"</f>
        <v>1-324-15</v>
      </c>
      <c r="F7412" t="s">
        <v>83</v>
      </c>
      <c r="G7412" t="s">
        <v>86</v>
      </c>
      <c r="H7412" t="s">
        <v>93</v>
      </c>
      <c r="I7412">
        <v>1</v>
      </c>
      <c r="K7412">
        <v>0</v>
      </c>
      <c r="L7412">
        <v>0</v>
      </c>
      <c r="M7412">
        <v>0</v>
      </c>
      <c r="N7412">
        <v>1</v>
      </c>
      <c r="O7412">
        <v>0</v>
      </c>
      <c r="P7412">
        <v>1</v>
      </c>
      <c r="Q7412">
        <v>1</v>
      </c>
      <c r="R7412">
        <v>1</v>
      </c>
      <c r="U7412">
        <v>1</v>
      </c>
      <c r="V7412">
        <v>0</v>
      </c>
      <c r="W7412">
        <v>1</v>
      </c>
      <c r="X7412">
        <v>1</v>
      </c>
      <c r="Y7412">
        <v>1</v>
      </c>
      <c r="Z7412">
        <v>1</v>
      </c>
      <c r="AA7412">
        <v>1</v>
      </c>
      <c r="AB7412">
        <v>1</v>
      </c>
    </row>
    <row r="7413" spans="1:49" x14ac:dyDescent="0.25">
      <c r="A7413" t="str">
        <f>"7409"</f>
        <v>7409</v>
      </c>
      <c r="B7413" t="str">
        <f t="shared" si="430"/>
        <v>1</v>
      </c>
      <c r="C7413" t="str">
        <f t="shared" si="431"/>
        <v>324</v>
      </c>
      <c r="D7413" t="str">
        <f>"12"</f>
        <v>12</v>
      </c>
      <c r="E7413" t="str">
        <f>"1-324-12"</f>
        <v>1-324-12</v>
      </c>
      <c r="F7413" t="s">
        <v>83</v>
      </c>
      <c r="G7413" t="s">
        <v>86</v>
      </c>
      <c r="H7413" t="s">
        <v>93</v>
      </c>
      <c r="I7413">
        <v>1</v>
      </c>
      <c r="K7413">
        <v>0</v>
      </c>
      <c r="L7413">
        <v>0</v>
      </c>
      <c r="M7413">
        <v>1</v>
      </c>
      <c r="N7413">
        <v>1</v>
      </c>
      <c r="O7413">
        <v>1</v>
      </c>
      <c r="P7413">
        <v>1</v>
      </c>
      <c r="Q7413">
        <v>1</v>
      </c>
      <c r="R7413">
        <v>1</v>
      </c>
      <c r="U7413">
        <v>0</v>
      </c>
      <c r="V7413">
        <v>1</v>
      </c>
      <c r="W7413">
        <v>1</v>
      </c>
      <c r="X7413">
        <v>1</v>
      </c>
      <c r="Y7413">
        <v>1</v>
      </c>
      <c r="Z7413">
        <v>1</v>
      </c>
      <c r="AA7413">
        <v>1</v>
      </c>
      <c r="AB7413">
        <v>1</v>
      </c>
    </row>
    <row r="7414" spans="1:49" x14ac:dyDescent="0.25">
      <c r="A7414" t="str">
        <f>"7410"</f>
        <v>7410</v>
      </c>
      <c r="B7414" t="str">
        <f t="shared" si="430"/>
        <v>1</v>
      </c>
      <c r="C7414" t="str">
        <f t="shared" si="431"/>
        <v>324</v>
      </c>
      <c r="D7414" t="str">
        <f>"7"</f>
        <v>7</v>
      </c>
      <c r="E7414" t="str">
        <f>"1-324-7"</f>
        <v>1-324-7</v>
      </c>
      <c r="F7414" t="s">
        <v>83</v>
      </c>
      <c r="G7414" t="s">
        <v>86</v>
      </c>
      <c r="H7414" t="s">
        <v>93</v>
      </c>
      <c r="I7414">
        <v>1</v>
      </c>
      <c r="K7414">
        <v>0</v>
      </c>
      <c r="L7414">
        <v>0</v>
      </c>
      <c r="M7414">
        <v>1</v>
      </c>
      <c r="N7414">
        <v>1</v>
      </c>
      <c r="O7414">
        <v>1</v>
      </c>
      <c r="P7414">
        <v>1</v>
      </c>
      <c r="Q7414">
        <v>1</v>
      </c>
      <c r="R7414">
        <v>1</v>
      </c>
      <c r="U7414">
        <v>1</v>
      </c>
      <c r="V7414">
        <v>0</v>
      </c>
      <c r="W7414">
        <v>1</v>
      </c>
      <c r="X7414">
        <v>1</v>
      </c>
      <c r="Y7414">
        <v>1</v>
      </c>
      <c r="Z7414">
        <v>1</v>
      </c>
      <c r="AA7414">
        <v>1</v>
      </c>
      <c r="AB7414">
        <v>1</v>
      </c>
    </row>
    <row r="7415" spans="1:49" x14ac:dyDescent="0.25">
      <c r="A7415" t="str">
        <f>"7411"</f>
        <v>7411</v>
      </c>
      <c r="B7415" t="str">
        <f t="shared" si="430"/>
        <v>1</v>
      </c>
      <c r="C7415" t="str">
        <f t="shared" si="431"/>
        <v>324</v>
      </c>
      <c r="D7415" t="str">
        <f>"18"</f>
        <v>18</v>
      </c>
      <c r="E7415" t="str">
        <f>"1-324-18"</f>
        <v>1-324-18</v>
      </c>
      <c r="F7415" t="s">
        <v>83</v>
      </c>
      <c r="G7415" t="s">
        <v>86</v>
      </c>
      <c r="H7415" t="s">
        <v>93</v>
      </c>
      <c r="I7415">
        <v>1</v>
      </c>
      <c r="K7415">
        <v>1</v>
      </c>
      <c r="L7415">
        <v>0</v>
      </c>
      <c r="M7415">
        <v>0</v>
      </c>
      <c r="N7415">
        <v>1</v>
      </c>
      <c r="O7415">
        <v>1</v>
      </c>
      <c r="P7415">
        <v>1</v>
      </c>
      <c r="Q7415">
        <v>1</v>
      </c>
      <c r="R7415">
        <v>1</v>
      </c>
      <c r="U7415">
        <v>0</v>
      </c>
      <c r="V7415">
        <v>1</v>
      </c>
      <c r="W7415">
        <v>1</v>
      </c>
      <c r="X7415">
        <v>1</v>
      </c>
      <c r="Y7415">
        <v>1</v>
      </c>
      <c r="Z7415">
        <v>1</v>
      </c>
      <c r="AA7415">
        <v>1</v>
      </c>
      <c r="AB7415">
        <v>1</v>
      </c>
    </row>
    <row r="7416" spans="1:49" x14ac:dyDescent="0.25">
      <c r="A7416" t="str">
        <f>"7412"</f>
        <v>7412</v>
      </c>
      <c r="B7416" t="str">
        <f t="shared" si="430"/>
        <v>1</v>
      </c>
      <c r="C7416" t="str">
        <f t="shared" si="431"/>
        <v>324</v>
      </c>
      <c r="D7416" t="str">
        <f>"5"</f>
        <v>5</v>
      </c>
      <c r="E7416" t="str">
        <f>"1-324-5"</f>
        <v>1-324-5</v>
      </c>
      <c r="F7416" t="s">
        <v>83</v>
      </c>
      <c r="G7416" t="s">
        <v>86</v>
      </c>
      <c r="H7416" t="s">
        <v>87</v>
      </c>
      <c r="AC7416">
        <v>0</v>
      </c>
      <c r="AD7416">
        <v>0</v>
      </c>
      <c r="AE7416">
        <v>0</v>
      </c>
      <c r="AF7416">
        <v>0</v>
      </c>
      <c r="AH7416">
        <v>0</v>
      </c>
      <c r="AI7416">
        <v>1</v>
      </c>
      <c r="AJ7416">
        <v>0</v>
      </c>
      <c r="AK7416">
        <v>0</v>
      </c>
      <c r="AL7416">
        <v>0</v>
      </c>
      <c r="AM7416">
        <v>0</v>
      </c>
      <c r="AN7416">
        <v>0</v>
      </c>
      <c r="AO7416">
        <v>1</v>
      </c>
      <c r="AP7416">
        <v>0</v>
      </c>
      <c r="AQ7416">
        <v>0</v>
      </c>
      <c r="AU7416">
        <v>0</v>
      </c>
      <c r="AV7416">
        <v>1</v>
      </c>
      <c r="AW7416">
        <v>1</v>
      </c>
    </row>
    <row r="7417" spans="1:49" x14ac:dyDescent="0.25">
      <c r="A7417" t="str">
        <f>"7413"</f>
        <v>7413</v>
      </c>
      <c r="B7417" t="str">
        <f t="shared" si="430"/>
        <v>1</v>
      </c>
      <c r="C7417" t="str">
        <f t="shared" si="431"/>
        <v>324</v>
      </c>
      <c r="D7417" t="str">
        <f>"19"</f>
        <v>19</v>
      </c>
      <c r="E7417" t="str">
        <f>"1-324-19"</f>
        <v>1-324-19</v>
      </c>
      <c r="F7417" t="s">
        <v>83</v>
      </c>
      <c r="G7417" t="s">
        <v>86</v>
      </c>
      <c r="H7417" t="s">
        <v>93</v>
      </c>
      <c r="I7417">
        <v>1</v>
      </c>
      <c r="K7417">
        <v>0</v>
      </c>
      <c r="L7417">
        <v>0</v>
      </c>
      <c r="M7417">
        <v>1</v>
      </c>
      <c r="N7417">
        <v>1</v>
      </c>
      <c r="O7417">
        <v>1</v>
      </c>
      <c r="P7417">
        <v>1</v>
      </c>
      <c r="Q7417">
        <v>1</v>
      </c>
      <c r="R7417">
        <v>1</v>
      </c>
      <c r="U7417">
        <v>1</v>
      </c>
      <c r="V7417">
        <v>0</v>
      </c>
      <c r="W7417">
        <v>1</v>
      </c>
      <c r="X7417">
        <v>1</v>
      </c>
      <c r="Y7417">
        <v>1</v>
      </c>
      <c r="Z7417">
        <v>1</v>
      </c>
      <c r="AA7417">
        <v>1</v>
      </c>
      <c r="AB7417">
        <v>1</v>
      </c>
    </row>
    <row r="7418" spans="1:49" x14ac:dyDescent="0.25">
      <c r="A7418" t="str">
        <f>"7414"</f>
        <v>7414</v>
      </c>
      <c r="B7418" t="str">
        <f t="shared" si="430"/>
        <v>1</v>
      </c>
      <c r="C7418" t="str">
        <f t="shared" si="431"/>
        <v>324</v>
      </c>
      <c r="D7418" t="str">
        <f>"2"</f>
        <v>2</v>
      </c>
      <c r="E7418" t="str">
        <f>"1-324-2"</f>
        <v>1-324-2</v>
      </c>
      <c r="F7418" t="s">
        <v>83</v>
      </c>
      <c r="G7418" t="s">
        <v>86</v>
      </c>
      <c r="H7418" t="s">
        <v>87</v>
      </c>
      <c r="AC7418">
        <v>0</v>
      </c>
      <c r="AD7418">
        <v>1</v>
      </c>
      <c r="AE7418">
        <v>0</v>
      </c>
      <c r="AF7418">
        <v>0</v>
      </c>
      <c r="AH7418">
        <v>0</v>
      </c>
      <c r="AI7418">
        <v>1</v>
      </c>
      <c r="AJ7418">
        <v>0</v>
      </c>
      <c r="AK7418">
        <v>1</v>
      </c>
      <c r="AL7418">
        <v>0</v>
      </c>
      <c r="AM7418">
        <v>0</v>
      </c>
      <c r="AN7418">
        <v>1</v>
      </c>
      <c r="AO7418">
        <v>0</v>
      </c>
      <c r="AP7418">
        <v>0</v>
      </c>
      <c r="AQ7418">
        <v>0</v>
      </c>
      <c r="AU7418">
        <v>0</v>
      </c>
      <c r="AV7418">
        <v>0</v>
      </c>
      <c r="AW7418">
        <v>0</v>
      </c>
    </row>
    <row r="7419" spans="1:49" x14ac:dyDescent="0.25">
      <c r="A7419" t="str">
        <f>"7415"</f>
        <v>7415</v>
      </c>
      <c r="B7419" t="str">
        <f t="shared" si="430"/>
        <v>1</v>
      </c>
      <c r="C7419" t="str">
        <f t="shared" si="431"/>
        <v>324</v>
      </c>
      <c r="D7419" t="str">
        <f>"16"</f>
        <v>16</v>
      </c>
      <c r="E7419" t="str">
        <f>"1-324-16"</f>
        <v>1-324-16</v>
      </c>
      <c r="F7419" t="s">
        <v>83</v>
      </c>
      <c r="G7419" t="s">
        <v>86</v>
      </c>
      <c r="H7419" t="s">
        <v>87</v>
      </c>
      <c r="AC7419">
        <v>0</v>
      </c>
      <c r="AD7419">
        <v>1</v>
      </c>
      <c r="AE7419">
        <v>0</v>
      </c>
      <c r="AF7419">
        <v>0</v>
      </c>
      <c r="AH7419">
        <v>0</v>
      </c>
      <c r="AI7419">
        <v>1</v>
      </c>
      <c r="AJ7419">
        <v>0</v>
      </c>
      <c r="AK7419">
        <v>1</v>
      </c>
      <c r="AL7419">
        <v>1</v>
      </c>
      <c r="AM7419">
        <v>0</v>
      </c>
      <c r="AN7419">
        <v>0</v>
      </c>
      <c r="AO7419">
        <v>1</v>
      </c>
      <c r="AP7419">
        <v>1</v>
      </c>
      <c r="AQ7419">
        <v>1</v>
      </c>
      <c r="AU7419">
        <v>1</v>
      </c>
      <c r="AV7419">
        <v>1</v>
      </c>
      <c r="AW7419">
        <v>1</v>
      </c>
    </row>
    <row r="7420" spans="1:49" x14ac:dyDescent="0.25">
      <c r="A7420" t="str">
        <f>"7416"</f>
        <v>7416</v>
      </c>
      <c r="B7420" t="str">
        <f t="shared" si="430"/>
        <v>1</v>
      </c>
      <c r="C7420" t="str">
        <f t="shared" ref="C7420:C7441" si="432">"325"</f>
        <v>325</v>
      </c>
      <c r="D7420" t="str">
        <f>"21"</f>
        <v>21</v>
      </c>
      <c r="E7420" t="str">
        <f>"1-325-21"</f>
        <v>1-325-21</v>
      </c>
      <c r="F7420" t="s">
        <v>83</v>
      </c>
      <c r="G7420" t="s">
        <v>86</v>
      </c>
      <c r="H7420" t="s">
        <v>93</v>
      </c>
      <c r="I7420">
        <v>1</v>
      </c>
      <c r="K7420">
        <v>1</v>
      </c>
      <c r="L7420">
        <v>0</v>
      </c>
      <c r="M7420">
        <v>0</v>
      </c>
      <c r="N7420">
        <v>1</v>
      </c>
      <c r="O7420">
        <v>1</v>
      </c>
      <c r="P7420">
        <v>1</v>
      </c>
      <c r="Q7420">
        <v>1</v>
      </c>
      <c r="R7420">
        <v>1</v>
      </c>
      <c r="U7420">
        <v>0</v>
      </c>
      <c r="V7420">
        <v>1</v>
      </c>
      <c r="W7420">
        <v>1</v>
      </c>
      <c r="X7420">
        <v>1</v>
      </c>
      <c r="Y7420">
        <v>1</v>
      </c>
      <c r="Z7420">
        <v>1</v>
      </c>
      <c r="AA7420">
        <v>1</v>
      </c>
      <c r="AB7420">
        <v>1</v>
      </c>
    </row>
    <row r="7421" spans="1:49" x14ac:dyDescent="0.25">
      <c r="A7421" t="str">
        <f>"7417"</f>
        <v>7417</v>
      </c>
      <c r="B7421" t="str">
        <f t="shared" si="430"/>
        <v>1</v>
      </c>
      <c r="C7421" t="str">
        <f t="shared" si="432"/>
        <v>325</v>
      </c>
      <c r="D7421" t="str">
        <f>"20"</f>
        <v>20</v>
      </c>
      <c r="E7421" t="str">
        <f>"1-325-20"</f>
        <v>1-325-20</v>
      </c>
      <c r="F7421" t="s">
        <v>83</v>
      </c>
      <c r="G7421" t="s">
        <v>86</v>
      </c>
      <c r="H7421" t="s">
        <v>93</v>
      </c>
      <c r="I7421">
        <v>1</v>
      </c>
      <c r="K7421">
        <v>0</v>
      </c>
      <c r="L7421">
        <v>0</v>
      </c>
      <c r="M7421">
        <v>1</v>
      </c>
      <c r="N7421">
        <v>1</v>
      </c>
      <c r="O7421">
        <v>1</v>
      </c>
      <c r="P7421">
        <v>1</v>
      </c>
      <c r="Q7421">
        <v>1</v>
      </c>
      <c r="R7421">
        <v>1</v>
      </c>
      <c r="U7421">
        <v>0</v>
      </c>
      <c r="V7421">
        <v>1</v>
      </c>
      <c r="W7421">
        <v>1</v>
      </c>
      <c r="X7421">
        <v>1</v>
      </c>
      <c r="Y7421">
        <v>1</v>
      </c>
      <c r="Z7421">
        <v>1</v>
      </c>
      <c r="AA7421">
        <v>1</v>
      </c>
      <c r="AB7421">
        <v>1</v>
      </c>
    </row>
    <row r="7422" spans="1:49" x14ac:dyDescent="0.25">
      <c r="A7422" t="str">
        <f>"7418"</f>
        <v>7418</v>
      </c>
      <c r="B7422" t="str">
        <f t="shared" si="430"/>
        <v>1</v>
      </c>
      <c r="C7422" t="str">
        <f t="shared" si="432"/>
        <v>325</v>
      </c>
      <c r="D7422" t="str">
        <f>"14"</f>
        <v>14</v>
      </c>
      <c r="E7422" t="str">
        <f>"1-325-14"</f>
        <v>1-325-14</v>
      </c>
      <c r="F7422" t="s">
        <v>83</v>
      </c>
      <c r="G7422" t="s">
        <v>86</v>
      </c>
      <c r="H7422" t="s">
        <v>93</v>
      </c>
      <c r="I7422">
        <v>1</v>
      </c>
      <c r="K7422">
        <v>0</v>
      </c>
      <c r="L7422">
        <v>0</v>
      </c>
      <c r="M7422">
        <v>1</v>
      </c>
      <c r="N7422">
        <v>1</v>
      </c>
      <c r="O7422">
        <v>1</v>
      </c>
      <c r="P7422">
        <v>1</v>
      </c>
      <c r="Q7422">
        <v>1</v>
      </c>
      <c r="R7422">
        <v>1</v>
      </c>
      <c r="U7422">
        <v>0</v>
      </c>
      <c r="V7422">
        <v>1</v>
      </c>
      <c r="W7422">
        <v>1</v>
      </c>
      <c r="X7422">
        <v>1</v>
      </c>
      <c r="Y7422">
        <v>1</v>
      </c>
      <c r="Z7422">
        <v>1</v>
      </c>
      <c r="AA7422">
        <v>1</v>
      </c>
      <c r="AB7422">
        <v>1</v>
      </c>
    </row>
    <row r="7423" spans="1:49" x14ac:dyDescent="0.25">
      <c r="A7423" t="str">
        <f>"7419"</f>
        <v>7419</v>
      </c>
      <c r="B7423" t="str">
        <f t="shared" si="430"/>
        <v>1</v>
      </c>
      <c r="C7423" t="str">
        <f t="shared" si="432"/>
        <v>325</v>
      </c>
      <c r="D7423" t="str">
        <f>"8"</f>
        <v>8</v>
      </c>
      <c r="E7423" t="str">
        <f>"1-325-8"</f>
        <v>1-325-8</v>
      </c>
      <c r="F7423" t="s">
        <v>83</v>
      </c>
      <c r="G7423" t="s">
        <v>86</v>
      </c>
      <c r="H7423" t="s">
        <v>93</v>
      </c>
      <c r="I7423">
        <v>1</v>
      </c>
      <c r="K7423">
        <v>0</v>
      </c>
      <c r="L7423">
        <v>0</v>
      </c>
      <c r="M7423">
        <v>1</v>
      </c>
      <c r="N7423">
        <v>1</v>
      </c>
      <c r="O7423">
        <v>0</v>
      </c>
      <c r="P7423">
        <v>0</v>
      </c>
      <c r="Q7423">
        <v>0</v>
      </c>
      <c r="R7423">
        <v>0</v>
      </c>
      <c r="U7423">
        <v>0</v>
      </c>
      <c r="V7423">
        <v>1</v>
      </c>
      <c r="W7423">
        <v>0</v>
      </c>
      <c r="X7423">
        <v>0</v>
      </c>
      <c r="Y7423">
        <v>0</v>
      </c>
      <c r="Z7423">
        <v>0</v>
      </c>
      <c r="AA7423">
        <v>0</v>
      </c>
      <c r="AB7423">
        <v>0</v>
      </c>
    </row>
    <row r="7424" spans="1:49" x14ac:dyDescent="0.25">
      <c r="A7424" t="str">
        <f>"7420"</f>
        <v>7420</v>
      </c>
      <c r="B7424" t="str">
        <f t="shared" si="430"/>
        <v>1</v>
      </c>
      <c r="C7424" t="str">
        <f t="shared" si="432"/>
        <v>325</v>
      </c>
      <c r="D7424" t="str">
        <f>"4"</f>
        <v>4</v>
      </c>
      <c r="E7424" t="str">
        <f>"1-325-4"</f>
        <v>1-325-4</v>
      </c>
      <c r="F7424" t="s">
        <v>83</v>
      </c>
      <c r="G7424" t="s">
        <v>86</v>
      </c>
      <c r="H7424" t="s">
        <v>93</v>
      </c>
      <c r="I7424">
        <v>1</v>
      </c>
      <c r="K7424">
        <v>0</v>
      </c>
      <c r="L7424">
        <v>0</v>
      </c>
      <c r="M7424">
        <v>0</v>
      </c>
      <c r="N7424">
        <v>0</v>
      </c>
      <c r="O7424">
        <v>0</v>
      </c>
      <c r="P7424">
        <v>0</v>
      </c>
      <c r="Q7424">
        <v>0</v>
      </c>
      <c r="R7424">
        <v>0</v>
      </c>
      <c r="U7424">
        <v>1</v>
      </c>
      <c r="V7424">
        <v>0</v>
      </c>
      <c r="W7424">
        <v>0</v>
      </c>
      <c r="X7424">
        <v>0</v>
      </c>
      <c r="Y7424">
        <v>0</v>
      </c>
      <c r="Z7424">
        <v>0</v>
      </c>
      <c r="AA7424">
        <v>0</v>
      </c>
      <c r="AB7424">
        <v>0</v>
      </c>
    </row>
    <row r="7425" spans="1:28" x14ac:dyDescent="0.25">
      <c r="A7425" t="str">
        <f>"7421"</f>
        <v>7421</v>
      </c>
      <c r="B7425" t="str">
        <f t="shared" si="430"/>
        <v>1</v>
      </c>
      <c r="C7425" t="str">
        <f t="shared" si="432"/>
        <v>325</v>
      </c>
      <c r="D7425" t="str">
        <f>"13"</f>
        <v>13</v>
      </c>
      <c r="E7425" t="str">
        <f>"1-325-13"</f>
        <v>1-325-13</v>
      </c>
      <c r="F7425" t="s">
        <v>83</v>
      </c>
      <c r="G7425" t="s">
        <v>86</v>
      </c>
      <c r="H7425" t="s">
        <v>93</v>
      </c>
      <c r="I7425">
        <v>1</v>
      </c>
      <c r="K7425">
        <v>0</v>
      </c>
      <c r="L7425">
        <v>0</v>
      </c>
      <c r="M7425">
        <v>1</v>
      </c>
      <c r="N7425">
        <v>1</v>
      </c>
      <c r="O7425">
        <v>1</v>
      </c>
      <c r="P7425">
        <v>1</v>
      </c>
      <c r="Q7425">
        <v>1</v>
      </c>
      <c r="R7425">
        <v>1</v>
      </c>
      <c r="U7425">
        <v>0</v>
      </c>
      <c r="V7425">
        <v>0</v>
      </c>
      <c r="W7425">
        <v>0</v>
      </c>
      <c r="X7425">
        <v>1</v>
      </c>
      <c r="Y7425">
        <v>1</v>
      </c>
      <c r="Z7425">
        <v>1</v>
      </c>
      <c r="AA7425">
        <v>1</v>
      </c>
      <c r="AB7425">
        <v>1</v>
      </c>
    </row>
    <row r="7426" spans="1:28" x14ac:dyDescent="0.25">
      <c r="A7426" t="str">
        <f>"7422"</f>
        <v>7422</v>
      </c>
      <c r="B7426" t="str">
        <f t="shared" si="430"/>
        <v>1</v>
      </c>
      <c r="C7426" t="str">
        <f t="shared" si="432"/>
        <v>325</v>
      </c>
      <c r="D7426" t="str">
        <f>"9"</f>
        <v>9</v>
      </c>
      <c r="E7426" t="str">
        <f>"1-325-9"</f>
        <v>1-325-9</v>
      </c>
      <c r="F7426" t="s">
        <v>83</v>
      </c>
      <c r="G7426" t="s">
        <v>86</v>
      </c>
      <c r="H7426" t="s">
        <v>93</v>
      </c>
      <c r="I7426">
        <v>1</v>
      </c>
      <c r="K7426">
        <v>0</v>
      </c>
      <c r="L7426">
        <v>0</v>
      </c>
      <c r="M7426">
        <v>1</v>
      </c>
      <c r="N7426">
        <v>1</v>
      </c>
      <c r="O7426">
        <v>1</v>
      </c>
      <c r="P7426">
        <v>1</v>
      </c>
      <c r="Q7426">
        <v>0</v>
      </c>
      <c r="R7426">
        <v>1</v>
      </c>
      <c r="U7426">
        <v>1</v>
      </c>
      <c r="V7426">
        <v>0</v>
      </c>
      <c r="W7426">
        <v>0</v>
      </c>
      <c r="X7426">
        <v>1</v>
      </c>
      <c r="Y7426">
        <v>1</v>
      </c>
      <c r="Z7426">
        <v>1</v>
      </c>
      <c r="AA7426">
        <v>1</v>
      </c>
      <c r="AB7426">
        <v>1</v>
      </c>
    </row>
    <row r="7427" spans="1:28" x14ac:dyDescent="0.25">
      <c r="A7427" t="str">
        <f>"7423"</f>
        <v>7423</v>
      </c>
      <c r="B7427" t="str">
        <f t="shared" si="430"/>
        <v>1</v>
      </c>
      <c r="C7427" t="str">
        <f t="shared" si="432"/>
        <v>325</v>
      </c>
      <c r="D7427" t="str">
        <f>"3"</f>
        <v>3</v>
      </c>
      <c r="E7427" t="str">
        <f>"1-325-3"</f>
        <v>1-325-3</v>
      </c>
      <c r="F7427" t="s">
        <v>83</v>
      </c>
      <c r="G7427" t="s">
        <v>86</v>
      </c>
      <c r="H7427" t="s">
        <v>93</v>
      </c>
      <c r="I7427">
        <v>1</v>
      </c>
      <c r="K7427">
        <v>0</v>
      </c>
      <c r="L7427">
        <v>0</v>
      </c>
      <c r="M7427">
        <v>1</v>
      </c>
      <c r="N7427">
        <v>1</v>
      </c>
      <c r="O7427">
        <v>1</v>
      </c>
      <c r="P7427">
        <v>1</v>
      </c>
      <c r="Q7427">
        <v>1</v>
      </c>
      <c r="R7427">
        <v>1</v>
      </c>
      <c r="U7427">
        <v>0</v>
      </c>
      <c r="V7427">
        <v>1</v>
      </c>
      <c r="W7427">
        <v>1</v>
      </c>
      <c r="X7427">
        <v>1</v>
      </c>
      <c r="Y7427">
        <v>1</v>
      </c>
      <c r="Z7427">
        <v>1</v>
      </c>
      <c r="AA7427">
        <v>1</v>
      </c>
      <c r="AB7427">
        <v>1</v>
      </c>
    </row>
    <row r="7428" spans="1:28" x14ac:dyDescent="0.25">
      <c r="A7428" t="str">
        <f>"7424"</f>
        <v>7424</v>
      </c>
      <c r="B7428" t="str">
        <f t="shared" si="430"/>
        <v>1</v>
      </c>
      <c r="C7428" t="str">
        <f t="shared" si="432"/>
        <v>325</v>
      </c>
      <c r="D7428" t="str">
        <f>"22"</f>
        <v>22</v>
      </c>
      <c r="E7428" t="str">
        <f>"1-325-22"</f>
        <v>1-325-22</v>
      </c>
      <c r="F7428" t="s">
        <v>83</v>
      </c>
      <c r="G7428" t="s">
        <v>86</v>
      </c>
      <c r="H7428" t="s">
        <v>93</v>
      </c>
      <c r="I7428">
        <v>1</v>
      </c>
      <c r="K7428">
        <v>0</v>
      </c>
      <c r="L7428">
        <v>0</v>
      </c>
      <c r="M7428">
        <v>1</v>
      </c>
      <c r="N7428">
        <v>1</v>
      </c>
      <c r="O7428">
        <v>1</v>
      </c>
      <c r="P7428">
        <v>1</v>
      </c>
      <c r="Q7428">
        <v>1</v>
      </c>
      <c r="R7428">
        <v>1</v>
      </c>
      <c r="U7428">
        <v>1</v>
      </c>
      <c r="V7428">
        <v>0</v>
      </c>
      <c r="W7428">
        <v>1</v>
      </c>
      <c r="X7428">
        <v>1</v>
      </c>
      <c r="Y7428">
        <v>1</v>
      </c>
      <c r="Z7428">
        <v>1</v>
      </c>
      <c r="AA7428">
        <v>1</v>
      </c>
      <c r="AB7428">
        <v>1</v>
      </c>
    </row>
    <row r="7429" spans="1:28" x14ac:dyDescent="0.25">
      <c r="A7429" t="str">
        <f>"7425"</f>
        <v>7425</v>
      </c>
      <c r="B7429" t="str">
        <f t="shared" si="430"/>
        <v>1</v>
      </c>
      <c r="C7429" t="str">
        <f t="shared" si="432"/>
        <v>325</v>
      </c>
      <c r="D7429" t="str">
        <f>"15"</f>
        <v>15</v>
      </c>
      <c r="E7429" t="str">
        <f>"1-325-15"</f>
        <v>1-325-15</v>
      </c>
      <c r="F7429" t="s">
        <v>83</v>
      </c>
      <c r="G7429" t="s">
        <v>86</v>
      </c>
      <c r="H7429" t="s">
        <v>93</v>
      </c>
      <c r="I7429">
        <v>1</v>
      </c>
      <c r="K7429">
        <v>0</v>
      </c>
      <c r="L7429">
        <v>0</v>
      </c>
      <c r="M7429">
        <v>1</v>
      </c>
      <c r="N7429">
        <v>1</v>
      </c>
      <c r="O7429">
        <v>1</v>
      </c>
      <c r="P7429">
        <v>1</v>
      </c>
      <c r="Q7429">
        <v>1</v>
      </c>
      <c r="R7429">
        <v>1</v>
      </c>
      <c r="U7429">
        <v>0</v>
      </c>
      <c r="V7429">
        <v>1</v>
      </c>
      <c r="W7429">
        <v>1</v>
      </c>
      <c r="X7429">
        <v>1</v>
      </c>
      <c r="Y7429">
        <v>1</v>
      </c>
      <c r="Z7429">
        <v>1</v>
      </c>
      <c r="AA7429">
        <v>1</v>
      </c>
      <c r="AB7429">
        <v>1</v>
      </c>
    </row>
    <row r="7430" spans="1:28" x14ac:dyDescent="0.25">
      <c r="A7430" t="str">
        <f>"7426"</f>
        <v>7426</v>
      </c>
      <c r="B7430" t="str">
        <f t="shared" si="430"/>
        <v>1</v>
      </c>
      <c r="C7430" t="str">
        <f t="shared" si="432"/>
        <v>325</v>
      </c>
      <c r="D7430" t="str">
        <f>"10"</f>
        <v>10</v>
      </c>
      <c r="E7430" t="str">
        <f>"1-325-10"</f>
        <v>1-325-10</v>
      </c>
      <c r="F7430" t="s">
        <v>83</v>
      </c>
      <c r="G7430" t="s">
        <v>86</v>
      </c>
      <c r="H7430" t="s">
        <v>93</v>
      </c>
      <c r="I7430">
        <v>1</v>
      </c>
      <c r="K7430">
        <v>0</v>
      </c>
      <c r="L7430">
        <v>0</v>
      </c>
      <c r="M7430">
        <v>1</v>
      </c>
      <c r="N7430">
        <v>1</v>
      </c>
      <c r="O7430">
        <v>1</v>
      </c>
      <c r="P7430">
        <v>1</v>
      </c>
      <c r="Q7430">
        <v>1</v>
      </c>
      <c r="R7430">
        <v>1</v>
      </c>
      <c r="U7430">
        <v>0</v>
      </c>
      <c r="V7430">
        <v>1</v>
      </c>
      <c r="W7430">
        <v>1</v>
      </c>
      <c r="X7430">
        <v>1</v>
      </c>
      <c r="Y7430">
        <v>1</v>
      </c>
      <c r="Z7430">
        <v>1</v>
      </c>
      <c r="AA7430">
        <v>1</v>
      </c>
      <c r="AB7430">
        <v>1</v>
      </c>
    </row>
    <row r="7431" spans="1:28" x14ac:dyDescent="0.25">
      <c r="A7431" t="str">
        <f>"7427"</f>
        <v>7427</v>
      </c>
      <c r="B7431" t="str">
        <f t="shared" si="430"/>
        <v>1</v>
      </c>
      <c r="C7431" t="str">
        <f t="shared" si="432"/>
        <v>325</v>
      </c>
      <c r="D7431" t="str">
        <f>"1"</f>
        <v>1</v>
      </c>
      <c r="E7431" t="str">
        <f>"1-325-1"</f>
        <v>1-325-1</v>
      </c>
      <c r="F7431" t="s">
        <v>83</v>
      </c>
      <c r="G7431" t="s">
        <v>86</v>
      </c>
      <c r="H7431" t="s">
        <v>93</v>
      </c>
      <c r="I7431">
        <v>0</v>
      </c>
      <c r="K7431">
        <v>0</v>
      </c>
      <c r="L7431">
        <v>0</v>
      </c>
      <c r="M7431">
        <v>1</v>
      </c>
      <c r="N7431">
        <v>1</v>
      </c>
      <c r="O7431">
        <v>1</v>
      </c>
      <c r="P7431">
        <v>1</v>
      </c>
      <c r="Q7431">
        <v>1</v>
      </c>
      <c r="R7431">
        <v>1</v>
      </c>
      <c r="U7431">
        <v>0</v>
      </c>
      <c r="V7431">
        <v>1</v>
      </c>
      <c r="W7431">
        <v>0</v>
      </c>
      <c r="X7431">
        <v>0</v>
      </c>
      <c r="Y7431">
        <v>0</v>
      </c>
      <c r="Z7431">
        <v>0</v>
      </c>
      <c r="AA7431">
        <v>0</v>
      </c>
      <c r="AB7431">
        <v>0</v>
      </c>
    </row>
    <row r="7432" spans="1:28" x14ac:dyDescent="0.25">
      <c r="A7432" t="str">
        <f>"7428"</f>
        <v>7428</v>
      </c>
      <c r="B7432" t="str">
        <f t="shared" si="430"/>
        <v>1</v>
      </c>
      <c r="C7432" t="str">
        <f t="shared" si="432"/>
        <v>325</v>
      </c>
      <c r="D7432" t="str">
        <f>"19"</f>
        <v>19</v>
      </c>
      <c r="E7432" t="str">
        <f>"1-325-19"</f>
        <v>1-325-19</v>
      </c>
      <c r="F7432" t="s">
        <v>83</v>
      </c>
      <c r="G7432" t="s">
        <v>86</v>
      </c>
      <c r="H7432" t="s">
        <v>93</v>
      </c>
      <c r="I7432">
        <v>1</v>
      </c>
      <c r="K7432">
        <v>0</v>
      </c>
      <c r="L7432">
        <v>0</v>
      </c>
      <c r="M7432">
        <v>1</v>
      </c>
      <c r="N7432">
        <v>1</v>
      </c>
      <c r="O7432">
        <v>1</v>
      </c>
      <c r="P7432">
        <v>1</v>
      </c>
      <c r="Q7432">
        <v>1</v>
      </c>
      <c r="R7432">
        <v>1</v>
      </c>
      <c r="U7432">
        <v>0</v>
      </c>
      <c r="V7432">
        <v>1</v>
      </c>
      <c r="W7432">
        <v>1</v>
      </c>
      <c r="X7432">
        <v>1</v>
      </c>
      <c r="Y7432">
        <v>1</v>
      </c>
      <c r="Z7432">
        <v>1</v>
      </c>
      <c r="AA7432">
        <v>1</v>
      </c>
      <c r="AB7432">
        <v>1</v>
      </c>
    </row>
    <row r="7433" spans="1:28" x14ac:dyDescent="0.25">
      <c r="A7433" t="str">
        <f>"7429"</f>
        <v>7429</v>
      </c>
      <c r="B7433" t="str">
        <f t="shared" si="430"/>
        <v>1</v>
      </c>
      <c r="C7433" t="str">
        <f t="shared" si="432"/>
        <v>325</v>
      </c>
      <c r="D7433" t="str">
        <f>"11"</f>
        <v>11</v>
      </c>
      <c r="E7433" t="str">
        <f>"1-325-11"</f>
        <v>1-325-11</v>
      </c>
      <c r="F7433" t="s">
        <v>83</v>
      </c>
      <c r="G7433" t="s">
        <v>86</v>
      </c>
      <c r="H7433" t="s">
        <v>93</v>
      </c>
      <c r="I7433">
        <v>1</v>
      </c>
      <c r="K7433">
        <v>1</v>
      </c>
      <c r="L7433">
        <v>0</v>
      </c>
      <c r="M7433">
        <v>0</v>
      </c>
      <c r="N7433">
        <v>1</v>
      </c>
      <c r="O7433">
        <v>1</v>
      </c>
      <c r="P7433">
        <v>1</v>
      </c>
      <c r="Q7433">
        <v>1</v>
      </c>
      <c r="R7433">
        <v>1</v>
      </c>
      <c r="U7433">
        <v>0</v>
      </c>
      <c r="V7433">
        <v>1</v>
      </c>
      <c r="W7433">
        <v>1</v>
      </c>
      <c r="X7433">
        <v>1</v>
      </c>
      <c r="Y7433">
        <v>1</v>
      </c>
      <c r="Z7433">
        <v>1</v>
      </c>
      <c r="AA7433">
        <v>1</v>
      </c>
      <c r="AB7433">
        <v>1</v>
      </c>
    </row>
    <row r="7434" spans="1:28" x14ac:dyDescent="0.25">
      <c r="A7434" t="str">
        <f>"7430"</f>
        <v>7430</v>
      </c>
      <c r="B7434" t="str">
        <f t="shared" si="430"/>
        <v>1</v>
      </c>
      <c r="C7434" t="str">
        <f t="shared" si="432"/>
        <v>325</v>
      </c>
      <c r="D7434" t="str">
        <f>"5"</f>
        <v>5</v>
      </c>
      <c r="E7434" t="str">
        <f>"1-325-5"</f>
        <v>1-325-5</v>
      </c>
      <c r="F7434" t="s">
        <v>83</v>
      </c>
      <c r="G7434" t="s">
        <v>86</v>
      </c>
      <c r="H7434" t="s">
        <v>93</v>
      </c>
      <c r="I7434">
        <v>1</v>
      </c>
      <c r="K7434">
        <v>0</v>
      </c>
      <c r="L7434">
        <v>0</v>
      </c>
      <c r="M7434">
        <v>1</v>
      </c>
      <c r="N7434">
        <v>1</v>
      </c>
      <c r="O7434">
        <v>1</v>
      </c>
      <c r="P7434">
        <v>1</v>
      </c>
      <c r="Q7434">
        <v>1</v>
      </c>
      <c r="R7434">
        <v>1</v>
      </c>
      <c r="U7434">
        <v>0</v>
      </c>
      <c r="V7434">
        <v>1</v>
      </c>
      <c r="W7434">
        <v>1</v>
      </c>
      <c r="X7434">
        <v>1</v>
      </c>
      <c r="Y7434">
        <v>1</v>
      </c>
      <c r="Z7434">
        <v>1</v>
      </c>
      <c r="AA7434">
        <v>1</v>
      </c>
      <c r="AB7434">
        <v>1</v>
      </c>
    </row>
    <row r="7435" spans="1:28" x14ac:dyDescent="0.25">
      <c r="A7435" t="str">
        <f>"7431"</f>
        <v>7431</v>
      </c>
      <c r="B7435" t="str">
        <f t="shared" si="430"/>
        <v>1</v>
      </c>
      <c r="C7435" t="str">
        <f t="shared" si="432"/>
        <v>325</v>
      </c>
      <c r="D7435" t="str">
        <f>"18"</f>
        <v>18</v>
      </c>
      <c r="E7435" t="str">
        <f>"1-325-18"</f>
        <v>1-325-18</v>
      </c>
      <c r="F7435" t="s">
        <v>83</v>
      </c>
      <c r="G7435" t="s">
        <v>86</v>
      </c>
      <c r="H7435" t="s">
        <v>93</v>
      </c>
      <c r="I7435">
        <v>1</v>
      </c>
      <c r="K7435">
        <v>0</v>
      </c>
      <c r="L7435">
        <v>0</v>
      </c>
      <c r="M7435">
        <v>1</v>
      </c>
      <c r="N7435">
        <v>1</v>
      </c>
      <c r="O7435">
        <v>1</v>
      </c>
      <c r="P7435">
        <v>1</v>
      </c>
      <c r="Q7435">
        <v>1</v>
      </c>
      <c r="R7435">
        <v>1</v>
      </c>
      <c r="U7435">
        <v>0</v>
      </c>
      <c r="V7435">
        <v>1</v>
      </c>
      <c r="W7435">
        <v>1</v>
      </c>
      <c r="X7435">
        <v>1</v>
      </c>
      <c r="Y7435">
        <v>1</v>
      </c>
      <c r="Z7435">
        <v>1</v>
      </c>
      <c r="AA7435">
        <v>1</v>
      </c>
      <c r="AB7435">
        <v>1</v>
      </c>
    </row>
    <row r="7436" spans="1:28" x14ac:dyDescent="0.25">
      <c r="A7436" t="str">
        <f>"7432"</f>
        <v>7432</v>
      </c>
      <c r="B7436" t="str">
        <f t="shared" si="430"/>
        <v>1</v>
      </c>
      <c r="C7436" t="str">
        <f t="shared" si="432"/>
        <v>325</v>
      </c>
      <c r="D7436" t="str">
        <f>"12"</f>
        <v>12</v>
      </c>
      <c r="E7436" t="str">
        <f>"1-325-12"</f>
        <v>1-325-12</v>
      </c>
      <c r="F7436" t="s">
        <v>83</v>
      </c>
      <c r="G7436" t="s">
        <v>86</v>
      </c>
      <c r="H7436" t="s">
        <v>93</v>
      </c>
      <c r="I7436">
        <v>0</v>
      </c>
      <c r="K7436">
        <v>0</v>
      </c>
      <c r="L7436">
        <v>0</v>
      </c>
      <c r="M7436">
        <v>1</v>
      </c>
      <c r="N7436">
        <v>0</v>
      </c>
      <c r="O7436">
        <v>0</v>
      </c>
      <c r="P7436">
        <v>0</v>
      </c>
      <c r="Q7436">
        <v>0</v>
      </c>
      <c r="R7436">
        <v>0</v>
      </c>
      <c r="U7436">
        <v>0</v>
      </c>
      <c r="V7436">
        <v>1</v>
      </c>
      <c r="W7436">
        <v>0</v>
      </c>
      <c r="X7436">
        <v>0</v>
      </c>
      <c r="Y7436">
        <v>0</v>
      </c>
      <c r="Z7436">
        <v>0</v>
      </c>
      <c r="AA7436">
        <v>0</v>
      </c>
      <c r="AB7436">
        <v>0</v>
      </c>
    </row>
    <row r="7437" spans="1:28" x14ac:dyDescent="0.25">
      <c r="A7437" t="str">
        <f>"7433"</f>
        <v>7433</v>
      </c>
      <c r="B7437" t="str">
        <f t="shared" si="430"/>
        <v>1</v>
      </c>
      <c r="C7437" t="str">
        <f t="shared" si="432"/>
        <v>325</v>
      </c>
      <c r="D7437" t="str">
        <f>"6"</f>
        <v>6</v>
      </c>
      <c r="E7437" t="str">
        <f>"1-325-6"</f>
        <v>1-325-6</v>
      </c>
      <c r="F7437" t="s">
        <v>83</v>
      </c>
      <c r="G7437" t="s">
        <v>86</v>
      </c>
      <c r="H7437" t="s">
        <v>93</v>
      </c>
      <c r="I7437">
        <v>1</v>
      </c>
      <c r="K7437">
        <v>1</v>
      </c>
      <c r="L7437">
        <v>0</v>
      </c>
      <c r="M7437">
        <v>0</v>
      </c>
      <c r="N7437">
        <v>1</v>
      </c>
      <c r="O7437">
        <v>1</v>
      </c>
      <c r="P7437">
        <v>1</v>
      </c>
      <c r="Q7437">
        <v>1</v>
      </c>
      <c r="R7437">
        <v>1</v>
      </c>
      <c r="U7437">
        <v>0</v>
      </c>
      <c r="V7437">
        <v>1</v>
      </c>
      <c r="W7437">
        <v>1</v>
      </c>
      <c r="X7437">
        <v>1</v>
      </c>
      <c r="Y7437">
        <v>1</v>
      </c>
      <c r="Z7437">
        <v>1</v>
      </c>
      <c r="AA7437">
        <v>1</v>
      </c>
      <c r="AB7437">
        <v>1</v>
      </c>
    </row>
    <row r="7438" spans="1:28" x14ac:dyDescent="0.25">
      <c r="A7438" t="str">
        <f>"7434"</f>
        <v>7434</v>
      </c>
      <c r="B7438" t="str">
        <f t="shared" si="430"/>
        <v>1</v>
      </c>
      <c r="C7438" t="str">
        <f t="shared" si="432"/>
        <v>325</v>
      </c>
      <c r="D7438" t="str">
        <f>"16"</f>
        <v>16</v>
      </c>
      <c r="E7438" t="str">
        <f>"1-325-16"</f>
        <v>1-325-16</v>
      </c>
      <c r="F7438" t="s">
        <v>83</v>
      </c>
      <c r="G7438" t="s">
        <v>86</v>
      </c>
      <c r="H7438" t="s">
        <v>93</v>
      </c>
      <c r="I7438">
        <v>1</v>
      </c>
      <c r="K7438">
        <v>0</v>
      </c>
      <c r="L7438">
        <v>1</v>
      </c>
      <c r="M7438">
        <v>0</v>
      </c>
      <c r="N7438">
        <v>1</v>
      </c>
      <c r="O7438">
        <v>0</v>
      </c>
      <c r="P7438">
        <v>0</v>
      </c>
      <c r="Q7438">
        <v>1</v>
      </c>
      <c r="R7438">
        <v>0</v>
      </c>
      <c r="U7438">
        <v>1</v>
      </c>
      <c r="V7438">
        <v>0</v>
      </c>
      <c r="W7438">
        <v>0</v>
      </c>
      <c r="X7438">
        <v>0</v>
      </c>
      <c r="Y7438">
        <v>0</v>
      </c>
      <c r="Z7438">
        <v>0</v>
      </c>
      <c r="AA7438">
        <v>0</v>
      </c>
      <c r="AB7438">
        <v>0</v>
      </c>
    </row>
    <row r="7439" spans="1:28" x14ac:dyDescent="0.25">
      <c r="A7439" t="str">
        <f>"7435"</f>
        <v>7435</v>
      </c>
      <c r="B7439" t="str">
        <f t="shared" si="430"/>
        <v>1</v>
      </c>
      <c r="C7439" t="str">
        <f t="shared" si="432"/>
        <v>325</v>
      </c>
      <c r="D7439" t="str">
        <f>"7"</f>
        <v>7</v>
      </c>
      <c r="E7439" t="str">
        <f>"1-325-7"</f>
        <v>1-325-7</v>
      </c>
      <c r="F7439" t="s">
        <v>83</v>
      </c>
      <c r="G7439" t="s">
        <v>86</v>
      </c>
      <c r="H7439" t="s">
        <v>93</v>
      </c>
      <c r="I7439">
        <v>1</v>
      </c>
      <c r="K7439">
        <v>1</v>
      </c>
      <c r="L7439">
        <v>0</v>
      </c>
      <c r="M7439">
        <v>0</v>
      </c>
      <c r="N7439">
        <v>0</v>
      </c>
      <c r="O7439">
        <v>0</v>
      </c>
      <c r="P7439">
        <v>0</v>
      </c>
      <c r="Q7439">
        <v>1</v>
      </c>
      <c r="R7439">
        <v>0</v>
      </c>
      <c r="U7439">
        <v>0</v>
      </c>
      <c r="V7439">
        <v>1</v>
      </c>
      <c r="W7439">
        <v>0</v>
      </c>
      <c r="X7439">
        <v>0</v>
      </c>
      <c r="Y7439">
        <v>0</v>
      </c>
      <c r="Z7439">
        <v>1</v>
      </c>
      <c r="AA7439">
        <v>0</v>
      </c>
      <c r="AB7439">
        <v>0</v>
      </c>
    </row>
    <row r="7440" spans="1:28" x14ac:dyDescent="0.25">
      <c r="A7440" t="str">
        <f>"7436"</f>
        <v>7436</v>
      </c>
      <c r="B7440" t="str">
        <f t="shared" si="430"/>
        <v>1</v>
      </c>
      <c r="C7440" t="str">
        <f t="shared" si="432"/>
        <v>325</v>
      </c>
      <c r="D7440" t="str">
        <f>"17"</f>
        <v>17</v>
      </c>
      <c r="E7440" t="str">
        <f>"1-325-17"</f>
        <v>1-325-17</v>
      </c>
      <c r="F7440" t="s">
        <v>83</v>
      </c>
      <c r="G7440" t="s">
        <v>86</v>
      </c>
      <c r="H7440" t="s">
        <v>93</v>
      </c>
      <c r="I7440">
        <v>1</v>
      </c>
      <c r="K7440">
        <v>0</v>
      </c>
      <c r="L7440">
        <v>0</v>
      </c>
      <c r="M7440">
        <v>1</v>
      </c>
      <c r="N7440">
        <v>1</v>
      </c>
      <c r="O7440">
        <v>1</v>
      </c>
      <c r="P7440">
        <v>1</v>
      </c>
      <c r="Q7440">
        <v>1</v>
      </c>
      <c r="R7440">
        <v>1</v>
      </c>
      <c r="U7440">
        <v>1</v>
      </c>
      <c r="V7440">
        <v>0</v>
      </c>
      <c r="W7440">
        <v>1</v>
      </c>
      <c r="X7440">
        <v>1</v>
      </c>
      <c r="Y7440">
        <v>1</v>
      </c>
      <c r="Z7440">
        <v>1</v>
      </c>
      <c r="AA7440">
        <v>1</v>
      </c>
      <c r="AB7440">
        <v>1</v>
      </c>
    </row>
    <row r="7441" spans="1:28" x14ac:dyDescent="0.25">
      <c r="A7441" t="str">
        <f>"7437"</f>
        <v>7437</v>
      </c>
      <c r="B7441" t="str">
        <f t="shared" si="430"/>
        <v>1</v>
      </c>
      <c r="C7441" t="str">
        <f t="shared" si="432"/>
        <v>325</v>
      </c>
      <c r="D7441" t="str">
        <f>"2"</f>
        <v>2</v>
      </c>
      <c r="E7441" t="str">
        <f>"1-325-2"</f>
        <v>1-325-2</v>
      </c>
      <c r="F7441" t="s">
        <v>83</v>
      </c>
      <c r="G7441" t="s">
        <v>86</v>
      </c>
      <c r="H7441" t="s">
        <v>93</v>
      </c>
      <c r="I7441">
        <v>1</v>
      </c>
      <c r="K7441">
        <v>0</v>
      </c>
      <c r="L7441">
        <v>0</v>
      </c>
      <c r="M7441">
        <v>1</v>
      </c>
      <c r="N7441">
        <v>1</v>
      </c>
      <c r="O7441">
        <v>1</v>
      </c>
      <c r="P7441">
        <v>1</v>
      </c>
      <c r="Q7441">
        <v>1</v>
      </c>
      <c r="R7441">
        <v>1</v>
      </c>
      <c r="U7441">
        <v>1</v>
      </c>
      <c r="V7441">
        <v>0</v>
      </c>
      <c r="W7441">
        <v>1</v>
      </c>
      <c r="X7441">
        <v>1</v>
      </c>
      <c r="Y7441">
        <v>1</v>
      </c>
      <c r="Z7441">
        <v>1</v>
      </c>
      <c r="AA7441">
        <v>1</v>
      </c>
      <c r="AB7441">
        <v>1</v>
      </c>
    </row>
    <row r="7442" spans="1:28" x14ac:dyDescent="0.25">
      <c r="A7442" t="str">
        <f>"7438"</f>
        <v>7438</v>
      </c>
      <c r="B7442" t="str">
        <f t="shared" si="430"/>
        <v>1</v>
      </c>
      <c r="C7442" t="str">
        <f t="shared" ref="C7442:C7466" si="433">"326"</f>
        <v>326</v>
      </c>
      <c r="D7442" t="str">
        <f>"21"</f>
        <v>21</v>
      </c>
      <c r="E7442" t="str">
        <f>"1-326-21"</f>
        <v>1-326-21</v>
      </c>
      <c r="F7442" t="s">
        <v>83</v>
      </c>
      <c r="G7442" t="s">
        <v>86</v>
      </c>
      <c r="H7442" t="s">
        <v>93</v>
      </c>
      <c r="I7442">
        <v>1</v>
      </c>
      <c r="K7442">
        <v>1</v>
      </c>
      <c r="L7442">
        <v>0</v>
      </c>
      <c r="M7442">
        <v>0</v>
      </c>
      <c r="N7442">
        <v>1</v>
      </c>
      <c r="O7442">
        <v>1</v>
      </c>
      <c r="P7442">
        <v>1</v>
      </c>
      <c r="Q7442">
        <v>1</v>
      </c>
      <c r="R7442">
        <v>1</v>
      </c>
      <c r="U7442">
        <v>1</v>
      </c>
      <c r="V7442">
        <v>0</v>
      </c>
      <c r="W7442">
        <v>1</v>
      </c>
      <c r="X7442">
        <v>1</v>
      </c>
      <c r="Y7442">
        <v>1</v>
      </c>
      <c r="Z7442">
        <v>1</v>
      </c>
      <c r="AA7442">
        <v>1</v>
      </c>
      <c r="AB7442">
        <v>1</v>
      </c>
    </row>
    <row r="7443" spans="1:28" x14ac:dyDescent="0.25">
      <c r="A7443" t="str">
        <f>"7439"</f>
        <v>7439</v>
      </c>
      <c r="B7443" t="str">
        <f t="shared" si="430"/>
        <v>1</v>
      </c>
      <c r="C7443" t="str">
        <f t="shared" si="433"/>
        <v>326</v>
      </c>
      <c r="D7443" t="str">
        <f>"20"</f>
        <v>20</v>
      </c>
      <c r="E7443" t="str">
        <f>"1-326-20"</f>
        <v>1-326-20</v>
      </c>
      <c r="F7443" t="s">
        <v>83</v>
      </c>
      <c r="G7443" t="s">
        <v>84</v>
      </c>
      <c r="H7443" t="s">
        <v>92</v>
      </c>
      <c r="I7443">
        <v>1</v>
      </c>
      <c r="J7443">
        <v>1</v>
      </c>
      <c r="N7443">
        <v>1</v>
      </c>
      <c r="O7443">
        <v>1</v>
      </c>
      <c r="P7443">
        <v>1</v>
      </c>
      <c r="Q7443">
        <v>1</v>
      </c>
      <c r="R7443">
        <v>1</v>
      </c>
      <c r="S7443">
        <v>1</v>
      </c>
      <c r="T7443">
        <v>1</v>
      </c>
      <c r="W7443">
        <v>1</v>
      </c>
      <c r="X7443">
        <v>1</v>
      </c>
      <c r="Y7443">
        <v>1</v>
      </c>
      <c r="Z7443">
        <v>1</v>
      </c>
      <c r="AA7443">
        <v>1</v>
      </c>
      <c r="AB7443">
        <v>1</v>
      </c>
    </row>
    <row r="7444" spans="1:28" x14ac:dyDescent="0.25">
      <c r="A7444" t="str">
        <f>"7440"</f>
        <v>7440</v>
      </c>
      <c r="B7444" t="str">
        <f t="shared" si="430"/>
        <v>1</v>
      </c>
      <c r="C7444" t="str">
        <f t="shared" si="433"/>
        <v>326</v>
      </c>
      <c r="D7444" t="str">
        <f>"13"</f>
        <v>13</v>
      </c>
      <c r="E7444" t="str">
        <f>"1-326-13"</f>
        <v>1-326-13</v>
      </c>
      <c r="F7444" t="s">
        <v>83</v>
      </c>
      <c r="G7444" t="s">
        <v>86</v>
      </c>
      <c r="H7444" t="s">
        <v>93</v>
      </c>
      <c r="I7444">
        <v>1</v>
      </c>
      <c r="K7444">
        <v>1</v>
      </c>
      <c r="L7444">
        <v>0</v>
      </c>
      <c r="M7444">
        <v>0</v>
      </c>
      <c r="N7444">
        <v>1</v>
      </c>
      <c r="O7444">
        <v>1</v>
      </c>
      <c r="P7444">
        <v>1</v>
      </c>
      <c r="Q7444">
        <v>1</v>
      </c>
      <c r="R7444">
        <v>1</v>
      </c>
      <c r="U7444">
        <v>0</v>
      </c>
      <c r="V7444">
        <v>1</v>
      </c>
      <c r="W7444">
        <v>1</v>
      </c>
      <c r="X7444">
        <v>1</v>
      </c>
      <c r="Y7444">
        <v>1</v>
      </c>
      <c r="Z7444">
        <v>1</v>
      </c>
      <c r="AA7444">
        <v>1</v>
      </c>
      <c r="AB7444">
        <v>1</v>
      </c>
    </row>
    <row r="7445" spans="1:28" x14ac:dyDescent="0.25">
      <c r="A7445" t="str">
        <f>"7441"</f>
        <v>7441</v>
      </c>
      <c r="B7445" t="str">
        <f t="shared" si="430"/>
        <v>1</v>
      </c>
      <c r="C7445" t="str">
        <f t="shared" si="433"/>
        <v>326</v>
      </c>
      <c r="D7445" t="str">
        <f>"8"</f>
        <v>8</v>
      </c>
      <c r="E7445" t="str">
        <f>"1-326-8"</f>
        <v>1-326-8</v>
      </c>
      <c r="F7445" t="s">
        <v>83</v>
      </c>
      <c r="G7445" t="s">
        <v>84</v>
      </c>
      <c r="H7445" t="s">
        <v>92</v>
      </c>
      <c r="I7445">
        <v>1</v>
      </c>
      <c r="J7445">
        <v>1</v>
      </c>
      <c r="N7445">
        <v>1</v>
      </c>
      <c r="O7445">
        <v>1</v>
      </c>
      <c r="P7445">
        <v>1</v>
      </c>
      <c r="Q7445">
        <v>1</v>
      </c>
      <c r="R7445">
        <v>1</v>
      </c>
      <c r="S7445">
        <v>1</v>
      </c>
      <c r="T7445">
        <v>1</v>
      </c>
      <c r="W7445">
        <v>1</v>
      </c>
      <c r="X7445">
        <v>1</v>
      </c>
      <c r="Y7445">
        <v>1</v>
      </c>
      <c r="Z7445">
        <v>1</v>
      </c>
      <c r="AA7445">
        <v>1</v>
      </c>
      <c r="AB7445">
        <v>1</v>
      </c>
    </row>
    <row r="7446" spans="1:28" x14ac:dyDescent="0.25">
      <c r="A7446" t="str">
        <f>"7442"</f>
        <v>7442</v>
      </c>
      <c r="B7446" t="str">
        <f t="shared" si="430"/>
        <v>1</v>
      </c>
      <c r="C7446" t="str">
        <f t="shared" si="433"/>
        <v>326</v>
      </c>
      <c r="D7446" t="str">
        <f>"4"</f>
        <v>4</v>
      </c>
      <c r="E7446" t="str">
        <f>"1-326-4"</f>
        <v>1-326-4</v>
      </c>
      <c r="F7446" t="s">
        <v>83</v>
      </c>
      <c r="G7446" t="s">
        <v>86</v>
      </c>
      <c r="H7446" t="s">
        <v>93</v>
      </c>
      <c r="I7446">
        <v>1</v>
      </c>
      <c r="K7446">
        <v>0</v>
      </c>
      <c r="L7446">
        <v>0</v>
      </c>
      <c r="M7446">
        <v>1</v>
      </c>
      <c r="N7446">
        <v>1</v>
      </c>
      <c r="O7446">
        <v>1</v>
      </c>
      <c r="P7446">
        <v>1</v>
      </c>
      <c r="Q7446">
        <v>1</v>
      </c>
      <c r="R7446">
        <v>1</v>
      </c>
      <c r="U7446">
        <v>0</v>
      </c>
      <c r="V7446">
        <v>1</v>
      </c>
      <c r="W7446">
        <v>1</v>
      </c>
      <c r="X7446">
        <v>1</v>
      </c>
      <c r="Y7446">
        <v>1</v>
      </c>
      <c r="Z7446">
        <v>1</v>
      </c>
      <c r="AA7446">
        <v>1</v>
      </c>
      <c r="AB7446">
        <v>1</v>
      </c>
    </row>
    <row r="7447" spans="1:28" x14ac:dyDescent="0.25">
      <c r="A7447" t="str">
        <f>"7443"</f>
        <v>7443</v>
      </c>
      <c r="B7447" t="str">
        <f t="shared" si="430"/>
        <v>1</v>
      </c>
      <c r="C7447" t="str">
        <f t="shared" si="433"/>
        <v>326</v>
      </c>
      <c r="D7447" t="str">
        <f>"23"</f>
        <v>23</v>
      </c>
      <c r="E7447" t="str">
        <f>"1-326-23"</f>
        <v>1-326-23</v>
      </c>
      <c r="F7447" t="s">
        <v>83</v>
      </c>
      <c r="G7447" t="s">
        <v>86</v>
      </c>
      <c r="H7447" t="s">
        <v>93</v>
      </c>
      <c r="I7447">
        <v>1</v>
      </c>
      <c r="K7447">
        <v>0</v>
      </c>
      <c r="L7447">
        <v>0</v>
      </c>
      <c r="M7447">
        <v>1</v>
      </c>
      <c r="N7447">
        <v>1</v>
      </c>
      <c r="O7447">
        <v>1</v>
      </c>
      <c r="P7447">
        <v>1</v>
      </c>
      <c r="Q7447">
        <v>1</v>
      </c>
      <c r="R7447">
        <v>1</v>
      </c>
      <c r="U7447">
        <v>0</v>
      </c>
      <c r="V7447">
        <v>1</v>
      </c>
      <c r="W7447">
        <v>1</v>
      </c>
      <c r="X7447">
        <v>1</v>
      </c>
      <c r="Y7447">
        <v>1</v>
      </c>
      <c r="Z7447">
        <v>1</v>
      </c>
      <c r="AA7447">
        <v>1</v>
      </c>
      <c r="AB7447">
        <v>1</v>
      </c>
    </row>
    <row r="7448" spans="1:28" x14ac:dyDescent="0.25">
      <c r="A7448" t="str">
        <f>"7444"</f>
        <v>7444</v>
      </c>
      <c r="B7448" t="str">
        <f t="shared" si="430"/>
        <v>1</v>
      </c>
      <c r="C7448" t="str">
        <f t="shared" si="433"/>
        <v>326</v>
      </c>
      <c r="D7448" t="str">
        <f>"22"</f>
        <v>22</v>
      </c>
      <c r="E7448" t="str">
        <f>"1-326-22"</f>
        <v>1-326-22</v>
      </c>
      <c r="F7448" t="s">
        <v>83</v>
      </c>
      <c r="G7448" t="s">
        <v>86</v>
      </c>
      <c r="H7448" t="s">
        <v>93</v>
      </c>
      <c r="I7448">
        <v>1</v>
      </c>
      <c r="K7448">
        <v>1</v>
      </c>
      <c r="L7448">
        <v>0</v>
      </c>
      <c r="M7448">
        <v>0</v>
      </c>
      <c r="N7448">
        <v>1</v>
      </c>
      <c r="O7448">
        <v>1</v>
      </c>
      <c r="P7448">
        <v>1</v>
      </c>
      <c r="Q7448">
        <v>1</v>
      </c>
      <c r="R7448">
        <v>1</v>
      </c>
      <c r="U7448">
        <v>0</v>
      </c>
      <c r="V7448">
        <v>1</v>
      </c>
      <c r="W7448">
        <v>1</v>
      </c>
      <c r="X7448">
        <v>1</v>
      </c>
      <c r="Y7448">
        <v>1</v>
      </c>
      <c r="Z7448">
        <v>1</v>
      </c>
      <c r="AA7448">
        <v>1</v>
      </c>
      <c r="AB7448">
        <v>1</v>
      </c>
    </row>
    <row r="7449" spans="1:28" x14ac:dyDescent="0.25">
      <c r="A7449" t="str">
        <f>"7445"</f>
        <v>7445</v>
      </c>
      <c r="B7449" t="str">
        <f t="shared" si="430"/>
        <v>1</v>
      </c>
      <c r="C7449" t="str">
        <f t="shared" si="433"/>
        <v>326</v>
      </c>
      <c r="D7449" t="str">
        <f>"14"</f>
        <v>14</v>
      </c>
      <c r="E7449" t="str">
        <f>"1-326-14"</f>
        <v>1-326-14</v>
      </c>
      <c r="F7449" t="s">
        <v>83</v>
      </c>
      <c r="G7449" t="s">
        <v>84</v>
      </c>
      <c r="H7449" t="s">
        <v>92</v>
      </c>
      <c r="I7449">
        <v>1</v>
      </c>
      <c r="J7449">
        <v>0</v>
      </c>
      <c r="N7449">
        <v>1</v>
      </c>
      <c r="O7449">
        <v>1</v>
      </c>
      <c r="P7449">
        <v>1</v>
      </c>
      <c r="Q7449">
        <v>1</v>
      </c>
      <c r="R7449">
        <v>1</v>
      </c>
      <c r="S7449">
        <v>1</v>
      </c>
      <c r="T7449">
        <v>1</v>
      </c>
      <c r="W7449">
        <v>1</v>
      </c>
      <c r="X7449">
        <v>1</v>
      </c>
      <c r="Y7449">
        <v>1</v>
      </c>
      <c r="Z7449">
        <v>1</v>
      </c>
      <c r="AA7449">
        <v>1</v>
      </c>
      <c r="AB7449">
        <v>1</v>
      </c>
    </row>
    <row r="7450" spans="1:28" x14ac:dyDescent="0.25">
      <c r="A7450" t="str">
        <f>"7446"</f>
        <v>7446</v>
      </c>
      <c r="B7450" t="str">
        <f t="shared" si="430"/>
        <v>1</v>
      </c>
      <c r="C7450" t="str">
        <f t="shared" si="433"/>
        <v>326</v>
      </c>
      <c r="D7450" t="str">
        <f>"9"</f>
        <v>9</v>
      </c>
      <c r="E7450" t="str">
        <f>"1-326-9"</f>
        <v>1-326-9</v>
      </c>
      <c r="F7450" t="s">
        <v>83</v>
      </c>
      <c r="G7450" t="s">
        <v>86</v>
      </c>
      <c r="H7450" t="s">
        <v>93</v>
      </c>
      <c r="I7450">
        <v>1</v>
      </c>
      <c r="K7450">
        <v>0</v>
      </c>
      <c r="L7450">
        <v>0</v>
      </c>
      <c r="M7450">
        <v>1</v>
      </c>
      <c r="N7450">
        <v>1</v>
      </c>
      <c r="O7450">
        <v>1</v>
      </c>
      <c r="P7450">
        <v>1</v>
      </c>
      <c r="Q7450">
        <v>1</v>
      </c>
      <c r="R7450">
        <v>1</v>
      </c>
      <c r="U7450">
        <v>0</v>
      </c>
      <c r="V7450">
        <v>1</v>
      </c>
      <c r="W7450">
        <v>1</v>
      </c>
      <c r="X7450">
        <v>1</v>
      </c>
      <c r="Y7450">
        <v>1</v>
      </c>
      <c r="Z7450">
        <v>1</v>
      </c>
      <c r="AA7450">
        <v>1</v>
      </c>
      <c r="AB7450">
        <v>1</v>
      </c>
    </row>
    <row r="7451" spans="1:28" x14ac:dyDescent="0.25">
      <c r="A7451" t="str">
        <f>"7447"</f>
        <v>7447</v>
      </c>
      <c r="B7451" t="str">
        <f t="shared" si="430"/>
        <v>1</v>
      </c>
      <c r="C7451" t="str">
        <f t="shared" si="433"/>
        <v>326</v>
      </c>
      <c r="D7451" t="str">
        <f>"2"</f>
        <v>2</v>
      </c>
      <c r="E7451" t="str">
        <f>"1-326-2"</f>
        <v>1-326-2</v>
      </c>
      <c r="F7451" t="s">
        <v>83</v>
      </c>
      <c r="G7451" t="s">
        <v>84</v>
      </c>
      <c r="H7451" t="s">
        <v>92</v>
      </c>
      <c r="I7451">
        <v>1</v>
      </c>
      <c r="J7451">
        <v>1</v>
      </c>
      <c r="N7451">
        <v>1</v>
      </c>
      <c r="O7451">
        <v>1</v>
      </c>
      <c r="P7451">
        <v>1</v>
      </c>
      <c r="Q7451">
        <v>1</v>
      </c>
      <c r="R7451">
        <v>1</v>
      </c>
      <c r="S7451">
        <v>0</v>
      </c>
      <c r="T7451">
        <v>1</v>
      </c>
      <c r="W7451">
        <v>1</v>
      </c>
      <c r="X7451">
        <v>1</v>
      </c>
      <c r="Y7451">
        <v>1</v>
      </c>
      <c r="Z7451">
        <v>1</v>
      </c>
      <c r="AA7451">
        <v>1</v>
      </c>
      <c r="AB7451">
        <v>1</v>
      </c>
    </row>
    <row r="7452" spans="1:28" x14ac:dyDescent="0.25">
      <c r="A7452" t="str">
        <f>"7448"</f>
        <v>7448</v>
      </c>
      <c r="B7452" t="str">
        <f t="shared" si="430"/>
        <v>1</v>
      </c>
      <c r="C7452" t="str">
        <f t="shared" si="433"/>
        <v>326</v>
      </c>
      <c r="D7452" t="str">
        <f>"17"</f>
        <v>17</v>
      </c>
      <c r="E7452" t="str">
        <f>"1-326-17"</f>
        <v>1-326-17</v>
      </c>
      <c r="F7452" t="s">
        <v>83</v>
      </c>
      <c r="G7452" t="s">
        <v>84</v>
      </c>
      <c r="H7452" t="s">
        <v>92</v>
      </c>
      <c r="I7452">
        <v>1</v>
      </c>
      <c r="J7452">
        <v>1</v>
      </c>
      <c r="N7452">
        <v>1</v>
      </c>
      <c r="O7452">
        <v>1</v>
      </c>
      <c r="P7452">
        <v>1</v>
      </c>
      <c r="Q7452">
        <v>1</v>
      </c>
      <c r="R7452">
        <v>1</v>
      </c>
      <c r="S7452">
        <v>1</v>
      </c>
      <c r="T7452">
        <v>1</v>
      </c>
      <c r="W7452">
        <v>1</v>
      </c>
      <c r="X7452">
        <v>1</v>
      </c>
      <c r="Y7452">
        <v>1</v>
      </c>
      <c r="Z7452">
        <v>1</v>
      </c>
      <c r="AA7452">
        <v>1</v>
      </c>
      <c r="AB7452">
        <v>1</v>
      </c>
    </row>
    <row r="7453" spans="1:28" x14ac:dyDescent="0.25">
      <c r="A7453" t="str">
        <f>"7449"</f>
        <v>7449</v>
      </c>
      <c r="B7453" t="str">
        <f t="shared" si="430"/>
        <v>1</v>
      </c>
      <c r="C7453" t="str">
        <f t="shared" si="433"/>
        <v>326</v>
      </c>
      <c r="D7453" t="str">
        <f>"10"</f>
        <v>10</v>
      </c>
      <c r="E7453" t="str">
        <f>"1-326-10"</f>
        <v>1-326-10</v>
      </c>
      <c r="F7453" t="s">
        <v>83</v>
      </c>
      <c r="G7453" t="s">
        <v>86</v>
      </c>
      <c r="H7453" t="s">
        <v>93</v>
      </c>
      <c r="I7453">
        <v>1</v>
      </c>
      <c r="K7453">
        <v>0</v>
      </c>
      <c r="L7453">
        <v>1</v>
      </c>
      <c r="M7453">
        <v>0</v>
      </c>
      <c r="N7453">
        <v>1</v>
      </c>
      <c r="O7453">
        <v>1</v>
      </c>
      <c r="P7453">
        <v>1</v>
      </c>
      <c r="Q7453">
        <v>1</v>
      </c>
      <c r="R7453">
        <v>1</v>
      </c>
      <c r="U7453">
        <v>0</v>
      </c>
      <c r="V7453">
        <v>1</v>
      </c>
      <c r="W7453">
        <v>1</v>
      </c>
      <c r="X7453">
        <v>1</v>
      </c>
      <c r="Y7453">
        <v>1</v>
      </c>
      <c r="Z7453">
        <v>1</v>
      </c>
      <c r="AA7453">
        <v>1</v>
      </c>
      <c r="AB7453">
        <v>1</v>
      </c>
    </row>
    <row r="7454" spans="1:28" x14ac:dyDescent="0.25">
      <c r="A7454" t="str">
        <f>"7450"</f>
        <v>7450</v>
      </c>
      <c r="B7454" t="str">
        <f t="shared" ref="B7454:B7517" si="434">"1"</f>
        <v>1</v>
      </c>
      <c r="C7454" t="str">
        <f t="shared" si="433"/>
        <v>326</v>
      </c>
      <c r="D7454" t="str">
        <f>"1"</f>
        <v>1</v>
      </c>
      <c r="E7454" t="str">
        <f>"1-326-1"</f>
        <v>1-326-1</v>
      </c>
      <c r="F7454" t="s">
        <v>83</v>
      </c>
      <c r="G7454" t="s">
        <v>86</v>
      </c>
      <c r="H7454" t="s">
        <v>93</v>
      </c>
      <c r="I7454">
        <v>1</v>
      </c>
      <c r="K7454">
        <v>1</v>
      </c>
      <c r="L7454">
        <v>0</v>
      </c>
      <c r="M7454">
        <v>0</v>
      </c>
      <c r="N7454">
        <v>1</v>
      </c>
      <c r="O7454">
        <v>1</v>
      </c>
      <c r="P7454">
        <v>1</v>
      </c>
      <c r="Q7454">
        <v>1</v>
      </c>
      <c r="R7454">
        <v>1</v>
      </c>
      <c r="U7454">
        <v>0</v>
      </c>
      <c r="V7454">
        <v>1</v>
      </c>
      <c r="W7454">
        <v>1</v>
      </c>
      <c r="X7454">
        <v>1</v>
      </c>
      <c r="Y7454">
        <v>1</v>
      </c>
      <c r="Z7454">
        <v>1</v>
      </c>
      <c r="AA7454">
        <v>1</v>
      </c>
      <c r="AB7454">
        <v>1</v>
      </c>
    </row>
    <row r="7455" spans="1:28" x14ac:dyDescent="0.25">
      <c r="A7455" t="str">
        <f>"7451"</f>
        <v>7451</v>
      </c>
      <c r="B7455" t="str">
        <f t="shared" si="434"/>
        <v>1</v>
      </c>
      <c r="C7455" t="str">
        <f t="shared" si="433"/>
        <v>326</v>
      </c>
      <c r="D7455" t="str">
        <f>"25"</f>
        <v>25</v>
      </c>
      <c r="E7455" t="str">
        <f>"1-326-25"</f>
        <v>1-326-25</v>
      </c>
      <c r="F7455" t="s">
        <v>83</v>
      </c>
      <c r="G7455" t="s">
        <v>86</v>
      </c>
      <c r="H7455" t="s">
        <v>93</v>
      </c>
      <c r="I7455">
        <v>1</v>
      </c>
      <c r="K7455">
        <v>0</v>
      </c>
      <c r="L7455">
        <v>0</v>
      </c>
      <c r="M7455">
        <v>1</v>
      </c>
      <c r="N7455">
        <v>1</v>
      </c>
      <c r="O7455">
        <v>0</v>
      </c>
      <c r="P7455">
        <v>0</v>
      </c>
      <c r="Q7455">
        <v>0</v>
      </c>
      <c r="R7455">
        <v>0</v>
      </c>
      <c r="U7455">
        <v>1</v>
      </c>
      <c r="V7455">
        <v>0</v>
      </c>
      <c r="W7455">
        <v>0</v>
      </c>
      <c r="X7455">
        <v>0</v>
      </c>
      <c r="Y7455">
        <v>0</v>
      </c>
      <c r="Z7455">
        <v>0</v>
      </c>
      <c r="AA7455">
        <v>0</v>
      </c>
      <c r="AB7455">
        <v>0</v>
      </c>
    </row>
    <row r="7456" spans="1:28" x14ac:dyDescent="0.25">
      <c r="A7456" t="str">
        <f>"7452"</f>
        <v>7452</v>
      </c>
      <c r="B7456" t="str">
        <f t="shared" si="434"/>
        <v>1</v>
      </c>
      <c r="C7456" t="str">
        <f t="shared" si="433"/>
        <v>326</v>
      </c>
      <c r="D7456" t="str">
        <f>"24"</f>
        <v>24</v>
      </c>
      <c r="E7456" t="str">
        <f>"1-326-24"</f>
        <v>1-326-24</v>
      </c>
      <c r="F7456" t="s">
        <v>83</v>
      </c>
      <c r="G7456" t="s">
        <v>86</v>
      </c>
      <c r="H7456" t="s">
        <v>93</v>
      </c>
      <c r="I7456">
        <v>0</v>
      </c>
      <c r="K7456">
        <v>0</v>
      </c>
      <c r="L7456">
        <v>0</v>
      </c>
      <c r="M7456">
        <v>1</v>
      </c>
      <c r="N7456">
        <v>1</v>
      </c>
      <c r="O7456">
        <v>1</v>
      </c>
      <c r="P7456">
        <v>0</v>
      </c>
      <c r="Q7456">
        <v>0</v>
      </c>
      <c r="R7456">
        <v>0</v>
      </c>
      <c r="U7456">
        <v>1</v>
      </c>
      <c r="V7456">
        <v>0</v>
      </c>
      <c r="W7456">
        <v>0</v>
      </c>
      <c r="X7456">
        <v>0</v>
      </c>
      <c r="Y7456">
        <v>0</v>
      </c>
      <c r="Z7456">
        <v>0</v>
      </c>
      <c r="AA7456">
        <v>0</v>
      </c>
      <c r="AB7456">
        <v>0</v>
      </c>
    </row>
    <row r="7457" spans="1:28" x14ac:dyDescent="0.25">
      <c r="A7457" t="str">
        <f>"7453"</f>
        <v>7453</v>
      </c>
      <c r="B7457" t="str">
        <f t="shared" si="434"/>
        <v>1</v>
      </c>
      <c r="C7457" t="str">
        <f t="shared" si="433"/>
        <v>326</v>
      </c>
      <c r="D7457" t="str">
        <f>"18"</f>
        <v>18</v>
      </c>
      <c r="E7457" t="str">
        <f>"1-326-18"</f>
        <v>1-326-18</v>
      </c>
      <c r="F7457" t="s">
        <v>83</v>
      </c>
      <c r="G7457" t="s">
        <v>84</v>
      </c>
      <c r="H7457" t="s">
        <v>92</v>
      </c>
      <c r="I7457">
        <v>1</v>
      </c>
      <c r="J7457">
        <v>1</v>
      </c>
      <c r="N7457">
        <v>1</v>
      </c>
      <c r="O7457">
        <v>1</v>
      </c>
      <c r="P7457">
        <v>1</v>
      </c>
      <c r="Q7457">
        <v>1</v>
      </c>
      <c r="R7457">
        <v>1</v>
      </c>
      <c r="S7457">
        <v>1</v>
      </c>
      <c r="T7457">
        <v>1</v>
      </c>
      <c r="W7457">
        <v>1</v>
      </c>
      <c r="X7457">
        <v>1</v>
      </c>
      <c r="Y7457">
        <v>1</v>
      </c>
      <c r="Z7457">
        <v>1</v>
      </c>
      <c r="AA7457">
        <v>1</v>
      </c>
      <c r="AB7457">
        <v>1</v>
      </c>
    </row>
    <row r="7458" spans="1:28" x14ac:dyDescent="0.25">
      <c r="A7458" t="str">
        <f>"7454"</f>
        <v>7454</v>
      </c>
      <c r="B7458" t="str">
        <f t="shared" si="434"/>
        <v>1</v>
      </c>
      <c r="C7458" t="str">
        <f t="shared" si="433"/>
        <v>326</v>
      </c>
      <c r="D7458" t="str">
        <f>"11"</f>
        <v>11</v>
      </c>
      <c r="E7458" t="str">
        <f>"1-326-11"</f>
        <v>1-326-11</v>
      </c>
      <c r="F7458" t="s">
        <v>83</v>
      </c>
      <c r="G7458" t="s">
        <v>86</v>
      </c>
      <c r="H7458" t="s">
        <v>93</v>
      </c>
      <c r="I7458">
        <v>1</v>
      </c>
      <c r="K7458">
        <v>0</v>
      </c>
      <c r="L7458">
        <v>1</v>
      </c>
      <c r="M7458">
        <v>0</v>
      </c>
      <c r="N7458">
        <v>1</v>
      </c>
      <c r="O7458">
        <v>1</v>
      </c>
      <c r="P7458">
        <v>1</v>
      </c>
      <c r="Q7458">
        <v>1</v>
      </c>
      <c r="R7458">
        <v>1</v>
      </c>
      <c r="U7458">
        <v>1</v>
      </c>
      <c r="V7458">
        <v>0</v>
      </c>
      <c r="W7458">
        <v>1</v>
      </c>
      <c r="X7458">
        <v>1</v>
      </c>
      <c r="Y7458">
        <v>1</v>
      </c>
      <c r="Z7458">
        <v>1</v>
      </c>
      <c r="AA7458">
        <v>1</v>
      </c>
      <c r="AB7458">
        <v>1</v>
      </c>
    </row>
    <row r="7459" spans="1:28" x14ac:dyDescent="0.25">
      <c r="A7459" t="str">
        <f>"7455"</f>
        <v>7455</v>
      </c>
      <c r="B7459" t="str">
        <f t="shared" si="434"/>
        <v>1</v>
      </c>
      <c r="C7459" t="str">
        <f t="shared" si="433"/>
        <v>326</v>
      </c>
      <c r="D7459" t="str">
        <f>"6"</f>
        <v>6</v>
      </c>
      <c r="E7459" t="str">
        <f>"1-326-6"</f>
        <v>1-326-6</v>
      </c>
      <c r="F7459" t="s">
        <v>83</v>
      </c>
      <c r="G7459" t="s">
        <v>86</v>
      </c>
      <c r="H7459" t="s">
        <v>93</v>
      </c>
      <c r="I7459">
        <v>1</v>
      </c>
      <c r="K7459">
        <v>0</v>
      </c>
      <c r="L7459">
        <v>0</v>
      </c>
      <c r="M7459">
        <v>1</v>
      </c>
      <c r="N7459">
        <v>1</v>
      </c>
      <c r="O7459">
        <v>1</v>
      </c>
      <c r="P7459">
        <v>0</v>
      </c>
      <c r="Q7459">
        <v>0</v>
      </c>
      <c r="R7459">
        <v>0</v>
      </c>
      <c r="U7459">
        <v>0</v>
      </c>
      <c r="V7459">
        <v>1</v>
      </c>
      <c r="W7459">
        <v>0</v>
      </c>
      <c r="X7459">
        <v>0</v>
      </c>
      <c r="Y7459">
        <v>0</v>
      </c>
      <c r="Z7459">
        <v>0</v>
      </c>
      <c r="AA7459">
        <v>0</v>
      </c>
      <c r="AB7459">
        <v>0</v>
      </c>
    </row>
    <row r="7460" spans="1:28" x14ac:dyDescent="0.25">
      <c r="A7460" t="str">
        <f>"7456"</f>
        <v>7456</v>
      </c>
      <c r="B7460" t="str">
        <f t="shared" si="434"/>
        <v>1</v>
      </c>
      <c r="C7460" t="str">
        <f t="shared" si="433"/>
        <v>326</v>
      </c>
      <c r="D7460" t="str">
        <f>"19"</f>
        <v>19</v>
      </c>
      <c r="E7460" t="str">
        <f>"1-326-19"</f>
        <v>1-326-19</v>
      </c>
      <c r="F7460" t="s">
        <v>83</v>
      </c>
      <c r="G7460" t="s">
        <v>86</v>
      </c>
      <c r="H7460" t="s">
        <v>93</v>
      </c>
      <c r="I7460">
        <v>1</v>
      </c>
      <c r="K7460">
        <v>0</v>
      </c>
      <c r="L7460">
        <v>0</v>
      </c>
      <c r="M7460">
        <v>1</v>
      </c>
      <c r="N7460">
        <v>1</v>
      </c>
      <c r="O7460">
        <v>1</v>
      </c>
      <c r="P7460">
        <v>1</v>
      </c>
      <c r="Q7460">
        <v>1</v>
      </c>
      <c r="R7460">
        <v>1</v>
      </c>
      <c r="U7460">
        <v>0</v>
      </c>
      <c r="V7460">
        <v>1</v>
      </c>
      <c r="W7460">
        <v>1</v>
      </c>
      <c r="X7460">
        <v>1</v>
      </c>
      <c r="Y7460">
        <v>1</v>
      </c>
      <c r="Z7460">
        <v>1</v>
      </c>
      <c r="AA7460">
        <v>1</v>
      </c>
      <c r="AB7460">
        <v>1</v>
      </c>
    </row>
    <row r="7461" spans="1:28" x14ac:dyDescent="0.25">
      <c r="A7461" t="str">
        <f>"7457"</f>
        <v>7457</v>
      </c>
      <c r="B7461" t="str">
        <f t="shared" si="434"/>
        <v>1</v>
      </c>
      <c r="C7461" t="str">
        <f t="shared" si="433"/>
        <v>326</v>
      </c>
      <c r="D7461" t="str">
        <f>"12"</f>
        <v>12</v>
      </c>
      <c r="E7461" t="str">
        <f>"1-326-12"</f>
        <v>1-326-12</v>
      </c>
      <c r="F7461" t="s">
        <v>83</v>
      </c>
      <c r="G7461" t="s">
        <v>86</v>
      </c>
      <c r="H7461" t="s">
        <v>93</v>
      </c>
      <c r="I7461">
        <v>1</v>
      </c>
      <c r="K7461">
        <v>0</v>
      </c>
      <c r="L7461">
        <v>0</v>
      </c>
      <c r="M7461">
        <v>1</v>
      </c>
      <c r="N7461">
        <v>1</v>
      </c>
      <c r="O7461">
        <v>1</v>
      </c>
      <c r="P7461">
        <v>1</v>
      </c>
      <c r="Q7461">
        <v>1</v>
      </c>
      <c r="R7461">
        <v>1</v>
      </c>
      <c r="U7461">
        <v>1</v>
      </c>
      <c r="V7461">
        <v>0</v>
      </c>
      <c r="W7461">
        <v>1</v>
      </c>
      <c r="X7461">
        <v>1</v>
      </c>
      <c r="Y7461">
        <v>1</v>
      </c>
      <c r="Z7461">
        <v>1</v>
      </c>
      <c r="AA7461">
        <v>1</v>
      </c>
      <c r="AB7461">
        <v>1</v>
      </c>
    </row>
    <row r="7462" spans="1:28" x14ac:dyDescent="0.25">
      <c r="A7462" t="str">
        <f>"7458"</f>
        <v>7458</v>
      </c>
      <c r="B7462" t="str">
        <f t="shared" si="434"/>
        <v>1</v>
      </c>
      <c r="C7462" t="str">
        <f t="shared" si="433"/>
        <v>326</v>
      </c>
      <c r="D7462" t="str">
        <f>"3"</f>
        <v>3</v>
      </c>
      <c r="E7462" t="str">
        <f>"1-326-3"</f>
        <v>1-326-3</v>
      </c>
      <c r="F7462" t="s">
        <v>83</v>
      </c>
      <c r="G7462" t="s">
        <v>86</v>
      </c>
      <c r="H7462" t="s">
        <v>93</v>
      </c>
      <c r="I7462">
        <v>1</v>
      </c>
      <c r="K7462">
        <v>1</v>
      </c>
      <c r="L7462">
        <v>0</v>
      </c>
      <c r="M7462">
        <v>0</v>
      </c>
      <c r="N7462">
        <v>1</v>
      </c>
      <c r="O7462">
        <v>1</v>
      </c>
      <c r="P7462">
        <v>1</v>
      </c>
      <c r="Q7462">
        <v>1</v>
      </c>
      <c r="R7462">
        <v>1</v>
      </c>
      <c r="U7462">
        <v>0</v>
      </c>
      <c r="V7462">
        <v>1</v>
      </c>
      <c r="W7462">
        <v>1</v>
      </c>
      <c r="X7462">
        <v>1</v>
      </c>
      <c r="Y7462">
        <v>1</v>
      </c>
      <c r="Z7462">
        <v>1</v>
      </c>
      <c r="AA7462">
        <v>1</v>
      </c>
      <c r="AB7462">
        <v>1</v>
      </c>
    </row>
    <row r="7463" spans="1:28" x14ac:dyDescent="0.25">
      <c r="A7463" t="str">
        <f>"7459"</f>
        <v>7459</v>
      </c>
      <c r="B7463" t="str">
        <f t="shared" si="434"/>
        <v>1</v>
      </c>
      <c r="C7463" t="str">
        <f t="shared" si="433"/>
        <v>326</v>
      </c>
      <c r="D7463" t="str">
        <f>"15"</f>
        <v>15</v>
      </c>
      <c r="E7463" t="str">
        <f>"1-326-15"</f>
        <v>1-326-15</v>
      </c>
      <c r="F7463" t="s">
        <v>83</v>
      </c>
      <c r="G7463" t="s">
        <v>84</v>
      </c>
      <c r="H7463" t="s">
        <v>92</v>
      </c>
      <c r="I7463">
        <v>0</v>
      </c>
      <c r="J7463">
        <v>1</v>
      </c>
      <c r="N7463">
        <v>1</v>
      </c>
      <c r="O7463">
        <v>1</v>
      </c>
      <c r="P7463">
        <v>1</v>
      </c>
      <c r="Q7463">
        <v>1</v>
      </c>
      <c r="R7463">
        <v>1</v>
      </c>
      <c r="S7463">
        <v>1</v>
      </c>
      <c r="T7463">
        <v>1</v>
      </c>
      <c r="W7463">
        <v>1</v>
      </c>
      <c r="X7463">
        <v>1</v>
      </c>
      <c r="Y7463">
        <v>1</v>
      </c>
      <c r="Z7463">
        <v>1</v>
      </c>
      <c r="AA7463">
        <v>1</v>
      </c>
      <c r="AB7463">
        <v>1</v>
      </c>
    </row>
    <row r="7464" spans="1:28" x14ac:dyDescent="0.25">
      <c r="A7464" t="str">
        <f>"7460"</f>
        <v>7460</v>
      </c>
      <c r="B7464" t="str">
        <f t="shared" si="434"/>
        <v>1</v>
      </c>
      <c r="C7464" t="str">
        <f t="shared" si="433"/>
        <v>326</v>
      </c>
      <c r="D7464" t="str">
        <f>"7"</f>
        <v>7</v>
      </c>
      <c r="E7464" t="str">
        <f>"1-326-7"</f>
        <v>1-326-7</v>
      </c>
      <c r="F7464" t="s">
        <v>83</v>
      </c>
      <c r="G7464" t="s">
        <v>84</v>
      </c>
      <c r="H7464" t="s">
        <v>92</v>
      </c>
      <c r="I7464">
        <v>1</v>
      </c>
      <c r="J7464">
        <v>1</v>
      </c>
      <c r="N7464">
        <v>1</v>
      </c>
      <c r="O7464">
        <v>1</v>
      </c>
      <c r="P7464">
        <v>1</v>
      </c>
      <c r="Q7464">
        <v>1</v>
      </c>
      <c r="R7464">
        <v>1</v>
      </c>
      <c r="S7464">
        <v>1</v>
      </c>
      <c r="T7464">
        <v>1</v>
      </c>
      <c r="W7464">
        <v>1</v>
      </c>
      <c r="X7464">
        <v>1</v>
      </c>
      <c r="Y7464">
        <v>1</v>
      </c>
      <c r="Z7464">
        <v>1</v>
      </c>
      <c r="AA7464">
        <v>1</v>
      </c>
      <c r="AB7464">
        <v>1</v>
      </c>
    </row>
    <row r="7465" spans="1:28" x14ac:dyDescent="0.25">
      <c r="A7465" t="str">
        <f>"7461"</f>
        <v>7461</v>
      </c>
      <c r="B7465" t="str">
        <f t="shared" si="434"/>
        <v>1</v>
      </c>
      <c r="C7465" t="str">
        <f t="shared" si="433"/>
        <v>326</v>
      </c>
      <c r="D7465" t="str">
        <f>"16"</f>
        <v>16</v>
      </c>
      <c r="E7465" t="str">
        <f>"1-326-16"</f>
        <v>1-326-16</v>
      </c>
      <c r="F7465" t="s">
        <v>83</v>
      </c>
      <c r="G7465" t="s">
        <v>84</v>
      </c>
      <c r="H7465" t="s">
        <v>92</v>
      </c>
      <c r="I7465">
        <v>1</v>
      </c>
      <c r="J7465">
        <v>1</v>
      </c>
      <c r="N7465">
        <v>1</v>
      </c>
      <c r="O7465">
        <v>1</v>
      </c>
      <c r="P7465">
        <v>1</v>
      </c>
      <c r="Q7465">
        <v>1</v>
      </c>
      <c r="R7465">
        <v>1</v>
      </c>
      <c r="S7465">
        <v>1</v>
      </c>
      <c r="T7465">
        <v>1</v>
      </c>
      <c r="W7465">
        <v>1</v>
      </c>
      <c r="X7465">
        <v>1</v>
      </c>
      <c r="Y7465">
        <v>1</v>
      </c>
      <c r="Z7465">
        <v>1</v>
      </c>
      <c r="AA7465">
        <v>1</v>
      </c>
      <c r="AB7465">
        <v>1</v>
      </c>
    </row>
    <row r="7466" spans="1:28" x14ac:dyDescent="0.25">
      <c r="A7466" t="str">
        <f>"7462"</f>
        <v>7462</v>
      </c>
      <c r="B7466" t="str">
        <f t="shared" si="434"/>
        <v>1</v>
      </c>
      <c r="C7466" t="str">
        <f t="shared" si="433"/>
        <v>326</v>
      </c>
      <c r="D7466" t="str">
        <f>"5"</f>
        <v>5</v>
      </c>
      <c r="E7466" t="str">
        <f>"1-326-5"</f>
        <v>1-326-5</v>
      </c>
      <c r="F7466" t="s">
        <v>83</v>
      </c>
      <c r="G7466" t="s">
        <v>86</v>
      </c>
      <c r="H7466" t="s">
        <v>93</v>
      </c>
      <c r="I7466">
        <v>1</v>
      </c>
      <c r="K7466">
        <v>0</v>
      </c>
      <c r="L7466">
        <v>0</v>
      </c>
      <c r="M7466">
        <v>1</v>
      </c>
      <c r="N7466">
        <v>1</v>
      </c>
      <c r="O7466">
        <v>1</v>
      </c>
      <c r="P7466">
        <v>1</v>
      </c>
      <c r="Q7466">
        <v>1</v>
      </c>
      <c r="R7466">
        <v>1</v>
      </c>
      <c r="U7466">
        <v>0</v>
      </c>
      <c r="V7466">
        <v>1</v>
      </c>
      <c r="W7466">
        <v>1</v>
      </c>
      <c r="X7466">
        <v>1</v>
      </c>
      <c r="Y7466">
        <v>1</v>
      </c>
      <c r="Z7466">
        <v>1</v>
      </c>
      <c r="AA7466">
        <v>1</v>
      </c>
      <c r="AB7466">
        <v>1</v>
      </c>
    </row>
    <row r="7467" spans="1:28" x14ac:dyDescent="0.25">
      <c r="A7467" t="str">
        <f>"7463"</f>
        <v>7463</v>
      </c>
      <c r="B7467" t="str">
        <f t="shared" si="434"/>
        <v>1</v>
      </c>
      <c r="C7467" t="str">
        <f t="shared" ref="C7467:C7489" si="435">"327"</f>
        <v>327</v>
      </c>
      <c r="D7467" t="str">
        <f>"21"</f>
        <v>21</v>
      </c>
      <c r="E7467" t="str">
        <f>"1-327-21"</f>
        <v>1-327-21</v>
      </c>
      <c r="F7467" t="s">
        <v>83</v>
      </c>
      <c r="G7467" t="s">
        <v>84</v>
      </c>
      <c r="H7467" t="s">
        <v>92</v>
      </c>
      <c r="I7467">
        <v>1</v>
      </c>
      <c r="J7467">
        <v>1</v>
      </c>
      <c r="N7467">
        <v>1</v>
      </c>
      <c r="O7467">
        <v>1</v>
      </c>
      <c r="P7467">
        <v>1</v>
      </c>
      <c r="Q7467">
        <v>1</v>
      </c>
      <c r="R7467">
        <v>1</v>
      </c>
      <c r="S7467">
        <v>1</v>
      </c>
      <c r="T7467">
        <v>1</v>
      </c>
      <c r="W7467">
        <v>1</v>
      </c>
      <c r="X7467">
        <v>1</v>
      </c>
      <c r="Y7467">
        <v>1</v>
      </c>
      <c r="Z7467">
        <v>1</v>
      </c>
      <c r="AA7467">
        <v>1</v>
      </c>
      <c r="AB7467">
        <v>1</v>
      </c>
    </row>
    <row r="7468" spans="1:28" x14ac:dyDescent="0.25">
      <c r="A7468" t="str">
        <f>"7464"</f>
        <v>7464</v>
      </c>
      <c r="B7468" t="str">
        <f t="shared" si="434"/>
        <v>1</v>
      </c>
      <c r="C7468" t="str">
        <f t="shared" si="435"/>
        <v>327</v>
      </c>
      <c r="D7468" t="str">
        <f>"20"</f>
        <v>20</v>
      </c>
      <c r="E7468" t="str">
        <f>"1-327-20"</f>
        <v>1-327-20</v>
      </c>
      <c r="F7468" t="s">
        <v>83</v>
      </c>
      <c r="G7468" t="s">
        <v>84</v>
      </c>
      <c r="H7468" t="s">
        <v>92</v>
      </c>
      <c r="I7468">
        <v>1</v>
      </c>
      <c r="J7468">
        <v>1</v>
      </c>
      <c r="N7468">
        <v>1</v>
      </c>
      <c r="O7468">
        <v>1</v>
      </c>
      <c r="P7468">
        <v>1</v>
      </c>
      <c r="Q7468">
        <v>1</v>
      </c>
      <c r="R7468">
        <v>1</v>
      </c>
      <c r="S7468">
        <v>1</v>
      </c>
      <c r="T7468">
        <v>1</v>
      </c>
      <c r="W7468">
        <v>1</v>
      </c>
      <c r="X7468">
        <v>1</v>
      </c>
      <c r="Y7468">
        <v>1</v>
      </c>
      <c r="Z7468">
        <v>1</v>
      </c>
      <c r="AA7468">
        <v>1</v>
      </c>
      <c r="AB7468">
        <v>1</v>
      </c>
    </row>
    <row r="7469" spans="1:28" x14ac:dyDescent="0.25">
      <c r="A7469" t="str">
        <f>"7465"</f>
        <v>7465</v>
      </c>
      <c r="B7469" t="str">
        <f t="shared" si="434"/>
        <v>1</v>
      </c>
      <c r="C7469" t="str">
        <f t="shared" si="435"/>
        <v>327</v>
      </c>
      <c r="D7469" t="str">
        <f>"13"</f>
        <v>13</v>
      </c>
      <c r="E7469" t="str">
        <f>"1-327-13"</f>
        <v>1-327-13</v>
      </c>
      <c r="F7469" t="s">
        <v>83</v>
      </c>
      <c r="G7469" t="s">
        <v>84</v>
      </c>
      <c r="H7469" t="s">
        <v>92</v>
      </c>
      <c r="I7469">
        <v>1</v>
      </c>
      <c r="J7469">
        <v>1</v>
      </c>
      <c r="N7469">
        <v>1</v>
      </c>
      <c r="O7469">
        <v>0</v>
      </c>
      <c r="P7469">
        <v>1</v>
      </c>
      <c r="Q7469">
        <v>1</v>
      </c>
      <c r="R7469">
        <v>1</v>
      </c>
      <c r="S7469">
        <v>1</v>
      </c>
      <c r="T7469">
        <v>1</v>
      </c>
      <c r="W7469">
        <v>1</v>
      </c>
      <c r="X7469">
        <v>1</v>
      </c>
      <c r="Y7469">
        <v>1</v>
      </c>
      <c r="Z7469">
        <v>1</v>
      </c>
      <c r="AA7469">
        <v>1</v>
      </c>
      <c r="AB7469">
        <v>1</v>
      </c>
    </row>
    <row r="7470" spans="1:28" x14ac:dyDescent="0.25">
      <c r="A7470" t="str">
        <f>"7466"</f>
        <v>7466</v>
      </c>
      <c r="B7470" t="str">
        <f t="shared" si="434"/>
        <v>1</v>
      </c>
      <c r="C7470" t="str">
        <f t="shared" si="435"/>
        <v>327</v>
      </c>
      <c r="D7470" t="str">
        <f>"12"</f>
        <v>12</v>
      </c>
      <c r="E7470" t="str">
        <f>"1-327-12"</f>
        <v>1-327-12</v>
      </c>
      <c r="F7470" t="s">
        <v>83</v>
      </c>
      <c r="G7470" t="s">
        <v>84</v>
      </c>
      <c r="H7470" t="s">
        <v>92</v>
      </c>
      <c r="I7470">
        <v>1</v>
      </c>
      <c r="J7470">
        <v>1</v>
      </c>
      <c r="N7470">
        <v>1</v>
      </c>
      <c r="O7470">
        <v>1</v>
      </c>
      <c r="P7470">
        <v>1</v>
      </c>
      <c r="Q7470">
        <v>1</v>
      </c>
      <c r="R7470">
        <v>1</v>
      </c>
      <c r="S7470">
        <v>1</v>
      </c>
      <c r="T7470">
        <v>1</v>
      </c>
      <c r="W7470">
        <v>1</v>
      </c>
      <c r="X7470">
        <v>1</v>
      </c>
      <c r="Y7470">
        <v>1</v>
      </c>
      <c r="Z7470">
        <v>1</v>
      </c>
      <c r="AA7470">
        <v>1</v>
      </c>
      <c r="AB7470">
        <v>1</v>
      </c>
    </row>
    <row r="7471" spans="1:28" x14ac:dyDescent="0.25">
      <c r="A7471" t="str">
        <f>"7467"</f>
        <v>7467</v>
      </c>
      <c r="B7471" t="str">
        <f t="shared" si="434"/>
        <v>1</v>
      </c>
      <c r="C7471" t="str">
        <f t="shared" si="435"/>
        <v>327</v>
      </c>
      <c r="D7471" t="str">
        <f>"9"</f>
        <v>9</v>
      </c>
      <c r="E7471" t="str">
        <f>"1-327-9"</f>
        <v>1-327-9</v>
      </c>
      <c r="F7471" t="s">
        <v>83</v>
      </c>
      <c r="G7471" t="s">
        <v>86</v>
      </c>
      <c r="H7471" t="s">
        <v>93</v>
      </c>
      <c r="I7471">
        <v>1</v>
      </c>
      <c r="K7471">
        <v>0</v>
      </c>
      <c r="L7471">
        <v>1</v>
      </c>
      <c r="M7471">
        <v>0</v>
      </c>
      <c r="N7471">
        <v>1</v>
      </c>
      <c r="O7471">
        <v>1</v>
      </c>
      <c r="P7471">
        <v>1</v>
      </c>
      <c r="Q7471">
        <v>1</v>
      </c>
      <c r="R7471">
        <v>1</v>
      </c>
      <c r="U7471">
        <v>0</v>
      </c>
      <c r="V7471">
        <v>1</v>
      </c>
      <c r="W7471">
        <v>1</v>
      </c>
      <c r="X7471">
        <v>1</v>
      </c>
      <c r="Y7471">
        <v>1</v>
      </c>
      <c r="Z7471">
        <v>1</v>
      </c>
      <c r="AA7471">
        <v>1</v>
      </c>
      <c r="AB7471">
        <v>1</v>
      </c>
    </row>
    <row r="7472" spans="1:28" x14ac:dyDescent="0.25">
      <c r="A7472" t="str">
        <f>"7468"</f>
        <v>7468</v>
      </c>
      <c r="B7472" t="str">
        <f t="shared" si="434"/>
        <v>1</v>
      </c>
      <c r="C7472" t="str">
        <f t="shared" si="435"/>
        <v>327</v>
      </c>
      <c r="D7472" t="str">
        <f>"8"</f>
        <v>8</v>
      </c>
      <c r="E7472" t="str">
        <f>"1-327-8"</f>
        <v>1-327-8</v>
      </c>
      <c r="F7472" t="s">
        <v>83</v>
      </c>
      <c r="G7472" t="s">
        <v>86</v>
      </c>
      <c r="H7472" t="s">
        <v>93</v>
      </c>
      <c r="I7472">
        <v>1</v>
      </c>
      <c r="K7472">
        <v>0</v>
      </c>
      <c r="L7472">
        <v>0</v>
      </c>
      <c r="M7472">
        <v>1</v>
      </c>
      <c r="N7472">
        <v>1</v>
      </c>
      <c r="O7472">
        <v>1</v>
      </c>
      <c r="P7472">
        <v>1</v>
      </c>
      <c r="Q7472">
        <v>1</v>
      </c>
      <c r="R7472">
        <v>1</v>
      </c>
      <c r="U7472">
        <v>0</v>
      </c>
      <c r="V7472">
        <v>1</v>
      </c>
      <c r="W7472">
        <v>1</v>
      </c>
      <c r="X7472">
        <v>1</v>
      </c>
      <c r="Y7472">
        <v>1</v>
      </c>
      <c r="Z7472">
        <v>1</v>
      </c>
      <c r="AA7472">
        <v>1</v>
      </c>
      <c r="AB7472">
        <v>1</v>
      </c>
    </row>
    <row r="7473" spans="1:28" x14ac:dyDescent="0.25">
      <c r="A7473" t="str">
        <f>"7469"</f>
        <v>7469</v>
      </c>
      <c r="B7473" t="str">
        <f t="shared" si="434"/>
        <v>1</v>
      </c>
      <c r="C7473" t="str">
        <f t="shared" si="435"/>
        <v>327</v>
      </c>
      <c r="D7473" t="str">
        <f>"1"</f>
        <v>1</v>
      </c>
      <c r="E7473" t="str">
        <f>"1-327-1"</f>
        <v>1-327-1</v>
      </c>
      <c r="F7473" t="s">
        <v>83</v>
      </c>
      <c r="G7473" t="s">
        <v>86</v>
      </c>
      <c r="H7473" t="s">
        <v>93</v>
      </c>
      <c r="I7473">
        <v>1</v>
      </c>
      <c r="K7473">
        <v>0</v>
      </c>
      <c r="L7473">
        <v>0</v>
      </c>
      <c r="M7473">
        <v>1</v>
      </c>
      <c r="N7473">
        <v>1</v>
      </c>
      <c r="O7473">
        <v>1</v>
      </c>
      <c r="P7473">
        <v>1</v>
      </c>
      <c r="Q7473">
        <v>1</v>
      </c>
      <c r="R7473">
        <v>1</v>
      </c>
      <c r="U7473">
        <v>1</v>
      </c>
      <c r="V7473">
        <v>0</v>
      </c>
      <c r="W7473">
        <v>1</v>
      </c>
      <c r="X7473">
        <v>1</v>
      </c>
      <c r="Y7473">
        <v>1</v>
      </c>
      <c r="Z7473">
        <v>1</v>
      </c>
      <c r="AA7473">
        <v>1</v>
      </c>
      <c r="AB7473">
        <v>1</v>
      </c>
    </row>
    <row r="7474" spans="1:28" x14ac:dyDescent="0.25">
      <c r="A7474" t="str">
        <f>"7470"</f>
        <v>7470</v>
      </c>
      <c r="B7474" t="str">
        <f t="shared" si="434"/>
        <v>1</v>
      </c>
      <c r="C7474" t="str">
        <f t="shared" si="435"/>
        <v>327</v>
      </c>
      <c r="D7474" t="str">
        <f>"23"</f>
        <v>23</v>
      </c>
      <c r="E7474" t="str">
        <f>"1-327-23"</f>
        <v>1-327-23</v>
      </c>
      <c r="F7474" t="s">
        <v>83</v>
      </c>
      <c r="G7474" t="s">
        <v>84</v>
      </c>
      <c r="H7474" t="s">
        <v>92</v>
      </c>
      <c r="I7474">
        <v>1</v>
      </c>
      <c r="J7474">
        <v>1</v>
      </c>
      <c r="N7474">
        <v>1</v>
      </c>
      <c r="O7474">
        <v>1</v>
      </c>
      <c r="P7474">
        <v>1</v>
      </c>
      <c r="Q7474">
        <v>1</v>
      </c>
      <c r="R7474">
        <v>1</v>
      </c>
      <c r="S7474">
        <v>1</v>
      </c>
      <c r="T7474">
        <v>1</v>
      </c>
      <c r="W7474">
        <v>1</v>
      </c>
      <c r="X7474">
        <v>1</v>
      </c>
      <c r="Y7474">
        <v>1</v>
      </c>
      <c r="Z7474">
        <v>1</v>
      </c>
      <c r="AA7474">
        <v>1</v>
      </c>
      <c r="AB7474">
        <v>1</v>
      </c>
    </row>
    <row r="7475" spans="1:28" x14ac:dyDescent="0.25">
      <c r="A7475" t="str">
        <f>"7471"</f>
        <v>7471</v>
      </c>
      <c r="B7475" t="str">
        <f t="shared" si="434"/>
        <v>1</v>
      </c>
      <c r="C7475" t="str">
        <f t="shared" si="435"/>
        <v>327</v>
      </c>
      <c r="D7475" t="str">
        <f>"22"</f>
        <v>22</v>
      </c>
      <c r="E7475" t="str">
        <f>"1-327-22"</f>
        <v>1-327-22</v>
      </c>
      <c r="F7475" t="s">
        <v>83</v>
      </c>
      <c r="G7475" t="s">
        <v>84</v>
      </c>
      <c r="H7475" t="s">
        <v>92</v>
      </c>
      <c r="I7475">
        <v>1</v>
      </c>
      <c r="J7475">
        <v>1</v>
      </c>
      <c r="N7475">
        <v>1</v>
      </c>
      <c r="O7475">
        <v>1</v>
      </c>
      <c r="P7475">
        <v>1</v>
      </c>
      <c r="Q7475">
        <v>1</v>
      </c>
      <c r="R7475">
        <v>1</v>
      </c>
      <c r="S7475">
        <v>1</v>
      </c>
      <c r="T7475">
        <v>1</v>
      </c>
      <c r="W7475">
        <v>0</v>
      </c>
      <c r="X7475">
        <v>1</v>
      </c>
      <c r="Y7475">
        <v>1</v>
      </c>
      <c r="Z7475">
        <v>1</v>
      </c>
      <c r="AA7475">
        <v>1</v>
      </c>
      <c r="AB7475">
        <v>1</v>
      </c>
    </row>
    <row r="7476" spans="1:28" x14ac:dyDescent="0.25">
      <c r="A7476" t="str">
        <f>"7472"</f>
        <v>7472</v>
      </c>
      <c r="B7476" t="str">
        <f t="shared" si="434"/>
        <v>1</v>
      </c>
      <c r="C7476" t="str">
        <f t="shared" si="435"/>
        <v>327</v>
      </c>
      <c r="D7476" t="str">
        <f>"16"</f>
        <v>16</v>
      </c>
      <c r="E7476" t="str">
        <f>"1-327-16"</f>
        <v>1-327-16</v>
      </c>
      <c r="F7476" t="s">
        <v>83</v>
      </c>
      <c r="G7476" t="s">
        <v>84</v>
      </c>
      <c r="H7476" t="s">
        <v>92</v>
      </c>
      <c r="I7476">
        <v>1</v>
      </c>
      <c r="J7476">
        <v>1</v>
      </c>
      <c r="N7476">
        <v>1</v>
      </c>
      <c r="O7476">
        <v>1</v>
      </c>
      <c r="P7476">
        <v>1</v>
      </c>
      <c r="Q7476">
        <v>1</v>
      </c>
      <c r="R7476">
        <v>1</v>
      </c>
      <c r="S7476">
        <v>1</v>
      </c>
      <c r="T7476">
        <v>1</v>
      </c>
      <c r="W7476">
        <v>1</v>
      </c>
      <c r="X7476">
        <v>1</v>
      </c>
      <c r="Y7476">
        <v>1</v>
      </c>
      <c r="Z7476">
        <v>1</v>
      </c>
      <c r="AA7476">
        <v>1</v>
      </c>
      <c r="AB7476">
        <v>1</v>
      </c>
    </row>
    <row r="7477" spans="1:28" x14ac:dyDescent="0.25">
      <c r="A7477" t="str">
        <f>"7473"</f>
        <v>7473</v>
      </c>
      <c r="B7477" t="str">
        <f t="shared" si="434"/>
        <v>1</v>
      </c>
      <c r="C7477" t="str">
        <f t="shared" si="435"/>
        <v>327</v>
      </c>
      <c r="D7477" t="str">
        <f>"10"</f>
        <v>10</v>
      </c>
      <c r="E7477" t="str">
        <f>"1-327-10"</f>
        <v>1-327-10</v>
      </c>
      <c r="F7477" t="s">
        <v>83</v>
      </c>
      <c r="G7477" t="s">
        <v>84</v>
      </c>
      <c r="H7477" t="s">
        <v>92</v>
      </c>
      <c r="I7477">
        <v>1</v>
      </c>
      <c r="J7477">
        <v>1</v>
      </c>
      <c r="N7477">
        <v>1</v>
      </c>
      <c r="O7477">
        <v>1</v>
      </c>
      <c r="P7477">
        <v>0</v>
      </c>
      <c r="Q7477">
        <v>1</v>
      </c>
      <c r="R7477">
        <v>0</v>
      </c>
      <c r="S7477">
        <v>1</v>
      </c>
      <c r="T7477">
        <v>1</v>
      </c>
      <c r="W7477">
        <v>1</v>
      </c>
      <c r="X7477">
        <v>1</v>
      </c>
      <c r="Y7477">
        <v>1</v>
      </c>
      <c r="Z7477">
        <v>1</v>
      </c>
      <c r="AA7477">
        <v>0</v>
      </c>
      <c r="AB7477">
        <v>1</v>
      </c>
    </row>
    <row r="7478" spans="1:28" x14ac:dyDescent="0.25">
      <c r="A7478" t="str">
        <f>"7474"</f>
        <v>7474</v>
      </c>
      <c r="B7478" t="str">
        <f t="shared" si="434"/>
        <v>1</v>
      </c>
      <c r="C7478" t="str">
        <f t="shared" si="435"/>
        <v>327</v>
      </c>
      <c r="D7478" t="str">
        <f>"3"</f>
        <v>3</v>
      </c>
      <c r="E7478" t="str">
        <f>"1-327-3"</f>
        <v>1-327-3</v>
      </c>
      <c r="F7478" t="s">
        <v>83</v>
      </c>
      <c r="G7478" t="s">
        <v>84</v>
      </c>
      <c r="H7478" t="s">
        <v>92</v>
      </c>
      <c r="I7478">
        <v>1</v>
      </c>
      <c r="J7478">
        <v>1</v>
      </c>
      <c r="N7478">
        <v>1</v>
      </c>
      <c r="O7478">
        <v>1</v>
      </c>
      <c r="P7478">
        <v>1</v>
      </c>
      <c r="Q7478">
        <v>1</v>
      </c>
      <c r="R7478">
        <v>1</v>
      </c>
      <c r="S7478">
        <v>1</v>
      </c>
      <c r="T7478">
        <v>1</v>
      </c>
      <c r="W7478">
        <v>1</v>
      </c>
      <c r="X7478">
        <v>1</v>
      </c>
      <c r="Y7478">
        <v>1</v>
      </c>
      <c r="Z7478">
        <v>1</v>
      </c>
      <c r="AA7478">
        <v>1</v>
      </c>
      <c r="AB7478">
        <v>1</v>
      </c>
    </row>
    <row r="7479" spans="1:28" x14ac:dyDescent="0.25">
      <c r="A7479" t="str">
        <f>"7475"</f>
        <v>7475</v>
      </c>
      <c r="B7479" t="str">
        <f t="shared" si="434"/>
        <v>1</v>
      </c>
      <c r="C7479" t="str">
        <f t="shared" si="435"/>
        <v>327</v>
      </c>
      <c r="D7479" t="str">
        <f>"19"</f>
        <v>19</v>
      </c>
      <c r="E7479" t="str">
        <f>"1-327-19"</f>
        <v>1-327-19</v>
      </c>
      <c r="F7479" t="s">
        <v>83</v>
      </c>
      <c r="G7479" t="s">
        <v>84</v>
      </c>
      <c r="H7479" t="s">
        <v>92</v>
      </c>
      <c r="I7479">
        <v>1</v>
      </c>
      <c r="J7479">
        <v>1</v>
      </c>
      <c r="N7479">
        <v>1</v>
      </c>
      <c r="O7479">
        <v>1</v>
      </c>
      <c r="P7479">
        <v>1</v>
      </c>
      <c r="Q7479">
        <v>1</v>
      </c>
      <c r="R7479">
        <v>1</v>
      </c>
      <c r="S7479">
        <v>1</v>
      </c>
      <c r="T7479">
        <v>1</v>
      </c>
      <c r="W7479">
        <v>1</v>
      </c>
      <c r="X7479">
        <v>1</v>
      </c>
      <c r="Y7479">
        <v>1</v>
      </c>
      <c r="Z7479">
        <v>1</v>
      </c>
      <c r="AA7479">
        <v>1</v>
      </c>
      <c r="AB7479">
        <v>1</v>
      </c>
    </row>
    <row r="7480" spans="1:28" x14ac:dyDescent="0.25">
      <c r="A7480" t="str">
        <f>"7476"</f>
        <v>7476</v>
      </c>
      <c r="B7480" t="str">
        <f t="shared" si="434"/>
        <v>1</v>
      </c>
      <c r="C7480" t="str">
        <f t="shared" si="435"/>
        <v>327</v>
      </c>
      <c r="D7480" t="str">
        <f>"11"</f>
        <v>11</v>
      </c>
      <c r="E7480" t="str">
        <f>"1-327-11"</f>
        <v>1-327-11</v>
      </c>
      <c r="F7480" t="s">
        <v>83</v>
      </c>
      <c r="G7480" t="s">
        <v>84</v>
      </c>
      <c r="H7480" t="s">
        <v>92</v>
      </c>
      <c r="I7480">
        <v>1</v>
      </c>
      <c r="J7480">
        <v>1</v>
      </c>
      <c r="N7480">
        <v>1</v>
      </c>
      <c r="O7480">
        <v>1</v>
      </c>
      <c r="P7480">
        <v>1</v>
      </c>
      <c r="Q7480">
        <v>1</v>
      </c>
      <c r="R7480">
        <v>1</v>
      </c>
      <c r="S7480">
        <v>1</v>
      </c>
      <c r="T7480">
        <v>1</v>
      </c>
      <c r="W7480">
        <v>1</v>
      </c>
      <c r="X7480">
        <v>1</v>
      </c>
      <c r="Y7480">
        <v>1</v>
      </c>
      <c r="Z7480">
        <v>1</v>
      </c>
      <c r="AA7480">
        <v>1</v>
      </c>
      <c r="AB7480">
        <v>1</v>
      </c>
    </row>
    <row r="7481" spans="1:28" x14ac:dyDescent="0.25">
      <c r="A7481" t="str">
        <f>"7477"</f>
        <v>7477</v>
      </c>
      <c r="B7481" t="str">
        <f t="shared" si="434"/>
        <v>1</v>
      </c>
      <c r="C7481" t="str">
        <f t="shared" si="435"/>
        <v>327</v>
      </c>
      <c r="D7481" t="str">
        <f>"4"</f>
        <v>4</v>
      </c>
      <c r="E7481" t="str">
        <f>"1-327-4"</f>
        <v>1-327-4</v>
      </c>
      <c r="F7481" t="s">
        <v>83</v>
      </c>
      <c r="G7481" t="s">
        <v>84</v>
      </c>
      <c r="H7481" t="s">
        <v>92</v>
      </c>
      <c r="I7481">
        <v>1</v>
      </c>
      <c r="J7481">
        <v>1</v>
      </c>
      <c r="N7481">
        <v>1</v>
      </c>
      <c r="O7481">
        <v>1</v>
      </c>
      <c r="P7481">
        <v>1</v>
      </c>
      <c r="Q7481">
        <v>1</v>
      </c>
      <c r="R7481">
        <v>1</v>
      </c>
      <c r="S7481">
        <v>1</v>
      </c>
      <c r="T7481">
        <v>1</v>
      </c>
      <c r="W7481">
        <v>1</v>
      </c>
      <c r="X7481">
        <v>1</v>
      </c>
      <c r="Y7481">
        <v>1</v>
      </c>
      <c r="Z7481">
        <v>1</v>
      </c>
      <c r="AA7481">
        <v>1</v>
      </c>
      <c r="AB7481">
        <v>1</v>
      </c>
    </row>
    <row r="7482" spans="1:28" x14ac:dyDescent="0.25">
      <c r="A7482" t="str">
        <f>"7478"</f>
        <v>7478</v>
      </c>
      <c r="B7482" t="str">
        <f t="shared" si="434"/>
        <v>1</v>
      </c>
      <c r="C7482" t="str">
        <f t="shared" si="435"/>
        <v>327</v>
      </c>
      <c r="D7482" t="str">
        <f>"14"</f>
        <v>14</v>
      </c>
      <c r="E7482" t="str">
        <f>"1-327-14"</f>
        <v>1-327-14</v>
      </c>
      <c r="F7482" t="s">
        <v>83</v>
      </c>
      <c r="G7482" t="s">
        <v>84</v>
      </c>
      <c r="H7482" t="s">
        <v>92</v>
      </c>
      <c r="I7482">
        <v>1</v>
      </c>
      <c r="J7482">
        <v>1</v>
      </c>
      <c r="N7482">
        <v>1</v>
      </c>
      <c r="O7482">
        <v>1</v>
      </c>
      <c r="P7482">
        <v>1</v>
      </c>
      <c r="Q7482">
        <v>1</v>
      </c>
      <c r="R7482">
        <v>1</v>
      </c>
      <c r="S7482">
        <v>1</v>
      </c>
      <c r="T7482">
        <v>1</v>
      </c>
      <c r="W7482">
        <v>0</v>
      </c>
      <c r="X7482">
        <v>1</v>
      </c>
      <c r="Y7482">
        <v>1</v>
      </c>
      <c r="Z7482">
        <v>1</v>
      </c>
      <c r="AA7482">
        <v>1</v>
      </c>
      <c r="AB7482">
        <v>1</v>
      </c>
    </row>
    <row r="7483" spans="1:28" x14ac:dyDescent="0.25">
      <c r="A7483" t="str">
        <f>"7479"</f>
        <v>7479</v>
      </c>
      <c r="B7483" t="str">
        <f t="shared" si="434"/>
        <v>1</v>
      </c>
      <c r="C7483" t="str">
        <f t="shared" si="435"/>
        <v>327</v>
      </c>
      <c r="D7483" t="str">
        <f>"6"</f>
        <v>6</v>
      </c>
      <c r="E7483" t="str">
        <f>"1-327-6"</f>
        <v>1-327-6</v>
      </c>
      <c r="F7483" t="s">
        <v>83</v>
      </c>
      <c r="G7483" t="s">
        <v>84</v>
      </c>
      <c r="H7483" t="s">
        <v>92</v>
      </c>
      <c r="I7483">
        <v>1</v>
      </c>
      <c r="J7483">
        <v>1</v>
      </c>
      <c r="N7483">
        <v>1</v>
      </c>
      <c r="O7483">
        <v>1</v>
      </c>
      <c r="P7483">
        <v>1</v>
      </c>
      <c r="Q7483">
        <v>1</v>
      </c>
      <c r="R7483">
        <v>1</v>
      </c>
      <c r="S7483">
        <v>1</v>
      </c>
      <c r="T7483">
        <v>1</v>
      </c>
      <c r="W7483">
        <v>1</v>
      </c>
      <c r="X7483">
        <v>1</v>
      </c>
      <c r="Y7483">
        <v>1</v>
      </c>
      <c r="Z7483">
        <v>1</v>
      </c>
      <c r="AA7483">
        <v>1</v>
      </c>
      <c r="AB7483">
        <v>1</v>
      </c>
    </row>
    <row r="7484" spans="1:28" x14ac:dyDescent="0.25">
      <c r="A7484" t="str">
        <f>"7480"</f>
        <v>7480</v>
      </c>
      <c r="B7484" t="str">
        <f t="shared" si="434"/>
        <v>1</v>
      </c>
      <c r="C7484" t="str">
        <f t="shared" si="435"/>
        <v>327</v>
      </c>
      <c r="D7484" t="str">
        <f>"15"</f>
        <v>15</v>
      </c>
      <c r="E7484" t="str">
        <f>"1-327-15"</f>
        <v>1-327-15</v>
      </c>
      <c r="F7484" t="s">
        <v>83</v>
      </c>
      <c r="G7484" t="s">
        <v>84</v>
      </c>
      <c r="H7484" t="s">
        <v>92</v>
      </c>
      <c r="I7484">
        <v>1</v>
      </c>
      <c r="J7484">
        <v>1</v>
      </c>
      <c r="N7484">
        <v>1</v>
      </c>
      <c r="O7484">
        <v>1</v>
      </c>
      <c r="P7484">
        <v>1</v>
      </c>
      <c r="Q7484">
        <v>1</v>
      </c>
      <c r="R7484">
        <v>1</v>
      </c>
      <c r="S7484">
        <v>1</v>
      </c>
      <c r="T7484">
        <v>1</v>
      </c>
      <c r="W7484">
        <v>1</v>
      </c>
      <c r="X7484">
        <v>1</v>
      </c>
      <c r="Y7484">
        <v>1</v>
      </c>
      <c r="Z7484">
        <v>1</v>
      </c>
      <c r="AA7484">
        <v>1</v>
      </c>
      <c r="AB7484">
        <v>1</v>
      </c>
    </row>
    <row r="7485" spans="1:28" x14ac:dyDescent="0.25">
      <c r="A7485" t="str">
        <f>"7481"</f>
        <v>7481</v>
      </c>
      <c r="B7485" t="str">
        <f t="shared" si="434"/>
        <v>1</v>
      </c>
      <c r="C7485" t="str">
        <f t="shared" si="435"/>
        <v>327</v>
      </c>
      <c r="D7485" t="str">
        <f>"5"</f>
        <v>5</v>
      </c>
      <c r="E7485" t="str">
        <f>"1-327-5"</f>
        <v>1-327-5</v>
      </c>
      <c r="F7485" t="s">
        <v>83</v>
      </c>
      <c r="G7485" t="s">
        <v>84</v>
      </c>
      <c r="H7485" t="s">
        <v>92</v>
      </c>
      <c r="I7485">
        <v>1</v>
      </c>
      <c r="J7485">
        <v>1</v>
      </c>
      <c r="N7485">
        <v>1</v>
      </c>
      <c r="O7485">
        <v>1</v>
      </c>
      <c r="P7485">
        <v>1</v>
      </c>
      <c r="Q7485">
        <v>1</v>
      </c>
      <c r="R7485">
        <v>1</v>
      </c>
      <c r="S7485">
        <v>1</v>
      </c>
      <c r="T7485">
        <v>1</v>
      </c>
      <c r="W7485">
        <v>1</v>
      </c>
      <c r="X7485">
        <v>1</v>
      </c>
      <c r="Y7485">
        <v>1</v>
      </c>
      <c r="Z7485">
        <v>1</v>
      </c>
      <c r="AA7485">
        <v>1</v>
      </c>
      <c r="AB7485">
        <v>1</v>
      </c>
    </row>
    <row r="7486" spans="1:28" x14ac:dyDescent="0.25">
      <c r="A7486" t="str">
        <f>"7482"</f>
        <v>7482</v>
      </c>
      <c r="B7486" t="str">
        <f t="shared" si="434"/>
        <v>1</v>
      </c>
      <c r="C7486" t="str">
        <f t="shared" si="435"/>
        <v>327</v>
      </c>
      <c r="D7486" t="str">
        <f>"17"</f>
        <v>17</v>
      </c>
      <c r="E7486" t="str">
        <f>"1-327-17"</f>
        <v>1-327-17</v>
      </c>
      <c r="F7486" t="s">
        <v>83</v>
      </c>
      <c r="G7486" t="s">
        <v>84</v>
      </c>
      <c r="H7486" t="s">
        <v>92</v>
      </c>
      <c r="I7486">
        <v>1</v>
      </c>
      <c r="J7486">
        <v>1</v>
      </c>
      <c r="N7486">
        <v>1</v>
      </c>
      <c r="O7486">
        <v>1</v>
      </c>
      <c r="P7486">
        <v>1</v>
      </c>
      <c r="Q7486">
        <v>1</v>
      </c>
      <c r="R7486">
        <v>1</v>
      </c>
      <c r="S7486">
        <v>1</v>
      </c>
      <c r="T7486">
        <v>1</v>
      </c>
      <c r="W7486">
        <v>1</v>
      </c>
      <c r="X7486">
        <v>1</v>
      </c>
      <c r="Y7486">
        <v>1</v>
      </c>
      <c r="Z7486">
        <v>1</v>
      </c>
      <c r="AA7486">
        <v>1</v>
      </c>
      <c r="AB7486">
        <v>1</v>
      </c>
    </row>
    <row r="7487" spans="1:28" x14ac:dyDescent="0.25">
      <c r="A7487" t="str">
        <f>"7483"</f>
        <v>7483</v>
      </c>
      <c r="B7487" t="str">
        <f t="shared" si="434"/>
        <v>1</v>
      </c>
      <c r="C7487" t="str">
        <f t="shared" si="435"/>
        <v>327</v>
      </c>
      <c r="D7487" t="str">
        <f>"2"</f>
        <v>2</v>
      </c>
      <c r="E7487" t="str">
        <f>"1-327-2"</f>
        <v>1-327-2</v>
      </c>
      <c r="F7487" t="s">
        <v>83</v>
      </c>
      <c r="G7487" t="s">
        <v>84</v>
      </c>
      <c r="H7487" t="s">
        <v>92</v>
      </c>
      <c r="I7487">
        <v>1</v>
      </c>
      <c r="J7487">
        <v>1</v>
      </c>
      <c r="N7487">
        <v>1</v>
      </c>
      <c r="O7487">
        <v>1</v>
      </c>
      <c r="P7487">
        <v>0</v>
      </c>
      <c r="Q7487">
        <v>0</v>
      </c>
      <c r="R7487">
        <v>1</v>
      </c>
      <c r="S7487">
        <v>1</v>
      </c>
      <c r="T7487">
        <v>1</v>
      </c>
      <c r="W7487">
        <v>1</v>
      </c>
      <c r="X7487">
        <v>1</v>
      </c>
      <c r="Y7487">
        <v>1</v>
      </c>
      <c r="Z7487">
        <v>1</v>
      </c>
      <c r="AA7487">
        <v>1</v>
      </c>
      <c r="AB7487">
        <v>1</v>
      </c>
    </row>
    <row r="7488" spans="1:28" x14ac:dyDescent="0.25">
      <c r="A7488" t="str">
        <f>"7484"</f>
        <v>7484</v>
      </c>
      <c r="B7488" t="str">
        <f t="shared" si="434"/>
        <v>1</v>
      </c>
      <c r="C7488" t="str">
        <f t="shared" si="435"/>
        <v>327</v>
      </c>
      <c r="D7488" t="str">
        <f>"18"</f>
        <v>18</v>
      </c>
      <c r="E7488" t="str">
        <f>"1-327-18"</f>
        <v>1-327-18</v>
      </c>
      <c r="F7488" t="s">
        <v>83</v>
      </c>
      <c r="G7488" t="s">
        <v>84</v>
      </c>
      <c r="H7488" t="s">
        <v>92</v>
      </c>
      <c r="I7488">
        <v>1</v>
      </c>
      <c r="J7488">
        <v>1</v>
      </c>
      <c r="N7488">
        <v>1</v>
      </c>
      <c r="O7488">
        <v>1</v>
      </c>
      <c r="P7488">
        <v>1</v>
      </c>
      <c r="Q7488">
        <v>1</v>
      </c>
      <c r="R7488">
        <v>1</v>
      </c>
      <c r="S7488">
        <v>1</v>
      </c>
      <c r="T7488">
        <v>1</v>
      </c>
      <c r="W7488">
        <v>1</v>
      </c>
      <c r="X7488">
        <v>1</v>
      </c>
      <c r="Y7488">
        <v>1</v>
      </c>
      <c r="Z7488">
        <v>1</v>
      </c>
      <c r="AA7488">
        <v>1</v>
      </c>
      <c r="AB7488">
        <v>1</v>
      </c>
    </row>
    <row r="7489" spans="1:28" x14ac:dyDescent="0.25">
      <c r="A7489" t="str">
        <f>"7485"</f>
        <v>7485</v>
      </c>
      <c r="B7489" t="str">
        <f t="shared" si="434"/>
        <v>1</v>
      </c>
      <c r="C7489" t="str">
        <f t="shared" si="435"/>
        <v>327</v>
      </c>
      <c r="D7489" t="str">
        <f>"7"</f>
        <v>7</v>
      </c>
      <c r="E7489" t="str">
        <f>"1-327-7"</f>
        <v>1-327-7</v>
      </c>
      <c r="F7489" t="s">
        <v>83</v>
      </c>
      <c r="G7489" t="s">
        <v>86</v>
      </c>
      <c r="H7489" t="s">
        <v>93</v>
      </c>
      <c r="I7489">
        <v>1</v>
      </c>
      <c r="K7489">
        <v>1</v>
      </c>
      <c r="L7489">
        <v>0</v>
      </c>
      <c r="M7489">
        <v>0</v>
      </c>
      <c r="N7489">
        <v>1</v>
      </c>
      <c r="O7489">
        <v>1</v>
      </c>
      <c r="P7489">
        <v>1</v>
      </c>
      <c r="Q7489">
        <v>1</v>
      </c>
      <c r="R7489">
        <v>1</v>
      </c>
      <c r="U7489">
        <v>0</v>
      </c>
      <c r="V7489">
        <v>1</v>
      </c>
      <c r="W7489">
        <v>1</v>
      </c>
      <c r="X7489">
        <v>1</v>
      </c>
      <c r="Y7489">
        <v>1</v>
      </c>
      <c r="Z7489">
        <v>1</v>
      </c>
      <c r="AA7489">
        <v>1</v>
      </c>
      <c r="AB7489">
        <v>1</v>
      </c>
    </row>
    <row r="7490" spans="1:28" x14ac:dyDescent="0.25">
      <c r="A7490" t="str">
        <f>"7486"</f>
        <v>7486</v>
      </c>
      <c r="B7490" t="str">
        <f t="shared" si="434"/>
        <v>1</v>
      </c>
      <c r="C7490" t="str">
        <f t="shared" ref="C7490:C7514" si="436">"328"</f>
        <v>328</v>
      </c>
      <c r="D7490" t="str">
        <f>"21"</f>
        <v>21</v>
      </c>
      <c r="E7490" t="str">
        <f>"1-328-21"</f>
        <v>1-328-21</v>
      </c>
      <c r="F7490" t="s">
        <v>83</v>
      </c>
      <c r="G7490" t="s">
        <v>88</v>
      </c>
      <c r="H7490" t="s">
        <v>95</v>
      </c>
      <c r="I7490">
        <v>1</v>
      </c>
      <c r="K7490">
        <v>0</v>
      </c>
      <c r="L7490">
        <v>1</v>
      </c>
      <c r="M7490">
        <v>0</v>
      </c>
      <c r="N7490">
        <v>1</v>
      </c>
      <c r="O7490">
        <v>1</v>
      </c>
      <c r="P7490">
        <v>1</v>
      </c>
      <c r="Q7490">
        <v>1</v>
      </c>
      <c r="R7490">
        <v>1</v>
      </c>
      <c r="S7490">
        <v>1</v>
      </c>
      <c r="T7490">
        <v>1</v>
      </c>
      <c r="W7490">
        <v>1</v>
      </c>
      <c r="X7490">
        <v>1</v>
      </c>
      <c r="Y7490">
        <v>1</v>
      </c>
      <c r="Z7490">
        <v>1</v>
      </c>
      <c r="AA7490">
        <v>1</v>
      </c>
      <c r="AB7490">
        <v>1</v>
      </c>
    </row>
    <row r="7491" spans="1:28" x14ac:dyDescent="0.25">
      <c r="A7491" t="str">
        <f>"7487"</f>
        <v>7487</v>
      </c>
      <c r="B7491" t="str">
        <f t="shared" si="434"/>
        <v>1</v>
      </c>
      <c r="C7491" t="str">
        <f t="shared" si="436"/>
        <v>328</v>
      </c>
      <c r="D7491" t="str">
        <f>"20"</f>
        <v>20</v>
      </c>
      <c r="E7491" t="str">
        <f>"1-328-20"</f>
        <v>1-328-20</v>
      </c>
      <c r="F7491" t="s">
        <v>83</v>
      </c>
      <c r="G7491" t="s">
        <v>84</v>
      </c>
      <c r="H7491" t="s">
        <v>92</v>
      </c>
      <c r="I7491">
        <v>1</v>
      </c>
      <c r="J7491">
        <v>1</v>
      </c>
      <c r="N7491">
        <v>1</v>
      </c>
      <c r="O7491">
        <v>1</v>
      </c>
      <c r="P7491">
        <v>1</v>
      </c>
      <c r="Q7491">
        <v>1</v>
      </c>
      <c r="R7491">
        <v>1</v>
      </c>
      <c r="S7491">
        <v>1</v>
      </c>
      <c r="T7491">
        <v>1</v>
      </c>
      <c r="W7491">
        <v>1</v>
      </c>
      <c r="X7491">
        <v>1</v>
      </c>
      <c r="Y7491">
        <v>1</v>
      </c>
      <c r="Z7491">
        <v>1</v>
      </c>
      <c r="AA7491">
        <v>1</v>
      </c>
      <c r="AB7491">
        <v>1</v>
      </c>
    </row>
    <row r="7492" spans="1:28" x14ac:dyDescent="0.25">
      <c r="A7492" t="str">
        <f>"7488"</f>
        <v>7488</v>
      </c>
      <c r="B7492" t="str">
        <f t="shared" si="434"/>
        <v>1</v>
      </c>
      <c r="C7492" t="str">
        <f t="shared" si="436"/>
        <v>328</v>
      </c>
      <c r="D7492" t="str">
        <f>"13"</f>
        <v>13</v>
      </c>
      <c r="E7492" t="str">
        <f>"1-328-13"</f>
        <v>1-328-13</v>
      </c>
      <c r="F7492" t="s">
        <v>83</v>
      </c>
      <c r="G7492" t="s">
        <v>84</v>
      </c>
      <c r="H7492" t="s">
        <v>92</v>
      </c>
      <c r="I7492">
        <v>1</v>
      </c>
      <c r="J7492">
        <v>1</v>
      </c>
      <c r="N7492">
        <v>1</v>
      </c>
      <c r="O7492">
        <v>1</v>
      </c>
      <c r="P7492">
        <v>1</v>
      </c>
      <c r="Q7492">
        <v>1</v>
      </c>
      <c r="R7492">
        <v>1</v>
      </c>
      <c r="S7492">
        <v>1</v>
      </c>
      <c r="T7492">
        <v>0</v>
      </c>
      <c r="W7492">
        <v>1</v>
      </c>
      <c r="X7492">
        <v>1</v>
      </c>
      <c r="Y7492">
        <v>1</v>
      </c>
      <c r="Z7492">
        <v>1</v>
      </c>
      <c r="AA7492">
        <v>1</v>
      </c>
      <c r="AB7492">
        <v>1</v>
      </c>
    </row>
    <row r="7493" spans="1:28" x14ac:dyDescent="0.25">
      <c r="A7493" t="str">
        <f>"7489"</f>
        <v>7489</v>
      </c>
      <c r="B7493" t="str">
        <f t="shared" si="434"/>
        <v>1</v>
      </c>
      <c r="C7493" t="str">
        <f t="shared" si="436"/>
        <v>328</v>
      </c>
      <c r="D7493" t="str">
        <f>"12"</f>
        <v>12</v>
      </c>
      <c r="E7493" t="str">
        <f>"1-328-12"</f>
        <v>1-328-12</v>
      </c>
      <c r="F7493" t="s">
        <v>83</v>
      </c>
      <c r="G7493" t="s">
        <v>84</v>
      </c>
      <c r="H7493" t="s">
        <v>92</v>
      </c>
      <c r="I7493">
        <v>1</v>
      </c>
      <c r="J7493">
        <v>1</v>
      </c>
      <c r="N7493">
        <v>1</v>
      </c>
      <c r="O7493">
        <v>1</v>
      </c>
      <c r="P7493">
        <v>1</v>
      </c>
      <c r="Q7493">
        <v>1</v>
      </c>
      <c r="R7493">
        <v>1</v>
      </c>
      <c r="S7493">
        <v>1</v>
      </c>
      <c r="T7493">
        <v>1</v>
      </c>
      <c r="W7493">
        <v>1</v>
      </c>
      <c r="X7493">
        <v>1</v>
      </c>
      <c r="Y7493">
        <v>1</v>
      </c>
      <c r="Z7493">
        <v>1</v>
      </c>
      <c r="AA7493">
        <v>1</v>
      </c>
      <c r="AB7493">
        <v>1</v>
      </c>
    </row>
    <row r="7494" spans="1:28" x14ac:dyDescent="0.25">
      <c r="A7494" t="str">
        <f>"7490"</f>
        <v>7490</v>
      </c>
      <c r="B7494" t="str">
        <f t="shared" si="434"/>
        <v>1</v>
      </c>
      <c r="C7494" t="str">
        <f t="shared" si="436"/>
        <v>328</v>
      </c>
      <c r="D7494" t="str">
        <f>"9"</f>
        <v>9</v>
      </c>
      <c r="E7494" t="str">
        <f>"1-328-9"</f>
        <v>1-328-9</v>
      </c>
      <c r="F7494" t="s">
        <v>83</v>
      </c>
      <c r="G7494" t="s">
        <v>84</v>
      </c>
      <c r="H7494" t="s">
        <v>92</v>
      </c>
      <c r="I7494">
        <v>1</v>
      </c>
      <c r="J7494">
        <v>1</v>
      </c>
      <c r="N7494">
        <v>1</v>
      </c>
      <c r="O7494">
        <v>1</v>
      </c>
      <c r="P7494">
        <v>1</v>
      </c>
      <c r="Q7494">
        <v>1</v>
      </c>
      <c r="R7494">
        <v>1</v>
      </c>
      <c r="S7494">
        <v>1</v>
      </c>
      <c r="T7494">
        <v>1</v>
      </c>
      <c r="W7494">
        <v>1</v>
      </c>
      <c r="X7494">
        <v>1</v>
      </c>
      <c r="Y7494">
        <v>1</v>
      </c>
      <c r="Z7494">
        <v>1</v>
      </c>
      <c r="AA7494">
        <v>1</v>
      </c>
      <c r="AB7494">
        <v>1</v>
      </c>
    </row>
    <row r="7495" spans="1:28" x14ac:dyDescent="0.25">
      <c r="A7495" t="str">
        <f>"7491"</f>
        <v>7491</v>
      </c>
      <c r="B7495" t="str">
        <f t="shared" si="434"/>
        <v>1</v>
      </c>
      <c r="C7495" t="str">
        <f t="shared" si="436"/>
        <v>328</v>
      </c>
      <c r="D7495" t="str">
        <f>"8"</f>
        <v>8</v>
      </c>
      <c r="E7495" t="str">
        <f>"1-328-8"</f>
        <v>1-328-8</v>
      </c>
      <c r="F7495" t="s">
        <v>83</v>
      </c>
      <c r="G7495" t="s">
        <v>84</v>
      </c>
      <c r="H7495" t="s">
        <v>92</v>
      </c>
      <c r="I7495">
        <v>1</v>
      </c>
      <c r="J7495">
        <v>1</v>
      </c>
      <c r="N7495">
        <v>1</v>
      </c>
      <c r="O7495">
        <v>1</v>
      </c>
      <c r="P7495">
        <v>1</v>
      </c>
      <c r="Q7495">
        <v>1</v>
      </c>
      <c r="R7495">
        <v>1</v>
      </c>
      <c r="S7495">
        <v>1</v>
      </c>
      <c r="T7495">
        <v>1</v>
      </c>
      <c r="W7495">
        <v>1</v>
      </c>
      <c r="X7495">
        <v>1</v>
      </c>
      <c r="Y7495">
        <v>1</v>
      </c>
      <c r="Z7495">
        <v>1</v>
      </c>
      <c r="AA7495">
        <v>1</v>
      </c>
      <c r="AB7495">
        <v>1</v>
      </c>
    </row>
    <row r="7496" spans="1:28" x14ac:dyDescent="0.25">
      <c r="A7496" t="str">
        <f>"7492"</f>
        <v>7492</v>
      </c>
      <c r="B7496" t="str">
        <f t="shared" si="434"/>
        <v>1</v>
      </c>
      <c r="C7496" t="str">
        <f t="shared" si="436"/>
        <v>328</v>
      </c>
      <c r="D7496" t="str">
        <f>"1"</f>
        <v>1</v>
      </c>
      <c r="E7496" t="str">
        <f>"1-328-1"</f>
        <v>1-328-1</v>
      </c>
      <c r="F7496" t="s">
        <v>83</v>
      </c>
      <c r="G7496" t="s">
        <v>84</v>
      </c>
      <c r="H7496" t="s">
        <v>92</v>
      </c>
      <c r="I7496">
        <v>1</v>
      </c>
      <c r="J7496">
        <v>1</v>
      </c>
      <c r="N7496">
        <v>1</v>
      </c>
      <c r="O7496">
        <v>1</v>
      </c>
      <c r="P7496">
        <v>1</v>
      </c>
      <c r="Q7496">
        <v>1</v>
      </c>
      <c r="R7496">
        <v>1</v>
      </c>
      <c r="S7496">
        <v>1</v>
      </c>
      <c r="T7496">
        <v>1</v>
      </c>
      <c r="W7496">
        <v>1</v>
      </c>
      <c r="X7496">
        <v>1</v>
      </c>
      <c r="Y7496">
        <v>1</v>
      </c>
      <c r="Z7496">
        <v>1</v>
      </c>
      <c r="AA7496">
        <v>1</v>
      </c>
      <c r="AB7496">
        <v>1</v>
      </c>
    </row>
    <row r="7497" spans="1:28" x14ac:dyDescent="0.25">
      <c r="A7497" t="str">
        <f>"7493"</f>
        <v>7493</v>
      </c>
      <c r="B7497" t="str">
        <f t="shared" si="434"/>
        <v>1</v>
      </c>
      <c r="C7497" t="str">
        <f t="shared" si="436"/>
        <v>328</v>
      </c>
      <c r="D7497" t="str">
        <f>"23"</f>
        <v>23</v>
      </c>
      <c r="E7497" t="str">
        <f>"1-328-23"</f>
        <v>1-328-23</v>
      </c>
      <c r="F7497" t="s">
        <v>83</v>
      </c>
      <c r="G7497" t="s">
        <v>84</v>
      </c>
      <c r="H7497" t="s">
        <v>92</v>
      </c>
      <c r="I7497">
        <v>1</v>
      </c>
      <c r="J7497">
        <v>1</v>
      </c>
      <c r="N7497">
        <v>1</v>
      </c>
      <c r="O7497">
        <v>1</v>
      </c>
      <c r="P7497">
        <v>1</v>
      </c>
      <c r="Q7497">
        <v>1</v>
      </c>
      <c r="R7497">
        <v>1</v>
      </c>
      <c r="S7497">
        <v>1</v>
      </c>
      <c r="T7497">
        <v>1</v>
      </c>
      <c r="W7497">
        <v>1</v>
      </c>
      <c r="X7497">
        <v>1</v>
      </c>
      <c r="Y7497">
        <v>1</v>
      </c>
      <c r="Z7497">
        <v>1</v>
      </c>
      <c r="AA7497">
        <v>1</v>
      </c>
      <c r="AB7497">
        <v>1</v>
      </c>
    </row>
    <row r="7498" spans="1:28" x14ac:dyDescent="0.25">
      <c r="A7498" t="str">
        <f>"7494"</f>
        <v>7494</v>
      </c>
      <c r="B7498" t="str">
        <f t="shared" si="434"/>
        <v>1</v>
      </c>
      <c r="C7498" t="str">
        <f t="shared" si="436"/>
        <v>328</v>
      </c>
      <c r="D7498" t="str">
        <f>"22"</f>
        <v>22</v>
      </c>
      <c r="E7498" t="str">
        <f>"1-328-22"</f>
        <v>1-328-22</v>
      </c>
      <c r="F7498" t="s">
        <v>83</v>
      </c>
      <c r="G7498" t="s">
        <v>84</v>
      </c>
      <c r="H7498" t="s">
        <v>92</v>
      </c>
      <c r="I7498">
        <v>1</v>
      </c>
      <c r="J7498">
        <v>1</v>
      </c>
      <c r="N7498">
        <v>1</v>
      </c>
      <c r="O7498">
        <v>1</v>
      </c>
      <c r="P7498">
        <v>1</v>
      </c>
      <c r="Q7498">
        <v>1</v>
      </c>
      <c r="R7498">
        <v>1</v>
      </c>
      <c r="S7498">
        <v>1</v>
      </c>
      <c r="T7498">
        <v>1</v>
      </c>
      <c r="W7498">
        <v>1</v>
      </c>
      <c r="X7498">
        <v>1</v>
      </c>
      <c r="Y7498">
        <v>1</v>
      </c>
      <c r="Z7498">
        <v>1</v>
      </c>
      <c r="AA7498">
        <v>1</v>
      </c>
      <c r="AB7498">
        <v>1</v>
      </c>
    </row>
    <row r="7499" spans="1:28" x14ac:dyDescent="0.25">
      <c r="A7499" t="str">
        <f>"7495"</f>
        <v>7495</v>
      </c>
      <c r="B7499" t="str">
        <f t="shared" si="434"/>
        <v>1</v>
      </c>
      <c r="C7499" t="str">
        <f t="shared" si="436"/>
        <v>328</v>
      </c>
      <c r="D7499" t="str">
        <f>"16"</f>
        <v>16</v>
      </c>
      <c r="E7499" t="str">
        <f>"1-328-16"</f>
        <v>1-328-16</v>
      </c>
      <c r="F7499" t="s">
        <v>83</v>
      </c>
      <c r="G7499" t="s">
        <v>84</v>
      </c>
      <c r="H7499" t="s">
        <v>92</v>
      </c>
      <c r="I7499">
        <v>1</v>
      </c>
      <c r="J7499">
        <v>1</v>
      </c>
      <c r="N7499">
        <v>1</v>
      </c>
      <c r="O7499">
        <v>1</v>
      </c>
      <c r="P7499">
        <v>1</v>
      </c>
      <c r="Q7499">
        <v>1</v>
      </c>
      <c r="R7499">
        <v>1</v>
      </c>
      <c r="S7499">
        <v>1</v>
      </c>
      <c r="T7499">
        <v>1</v>
      </c>
      <c r="W7499">
        <v>1</v>
      </c>
      <c r="X7499">
        <v>1</v>
      </c>
      <c r="Y7499">
        <v>1</v>
      </c>
      <c r="Z7499">
        <v>1</v>
      </c>
      <c r="AA7499">
        <v>1</v>
      </c>
      <c r="AB7499">
        <v>1</v>
      </c>
    </row>
    <row r="7500" spans="1:28" x14ac:dyDescent="0.25">
      <c r="A7500" t="str">
        <f>"7496"</f>
        <v>7496</v>
      </c>
      <c r="B7500" t="str">
        <f t="shared" si="434"/>
        <v>1</v>
      </c>
      <c r="C7500" t="str">
        <f t="shared" si="436"/>
        <v>328</v>
      </c>
      <c r="D7500" t="str">
        <f>"10"</f>
        <v>10</v>
      </c>
      <c r="E7500" t="str">
        <f>"1-328-10"</f>
        <v>1-328-10</v>
      </c>
      <c r="F7500" t="s">
        <v>83</v>
      </c>
      <c r="G7500" t="s">
        <v>84</v>
      </c>
      <c r="H7500" t="s">
        <v>92</v>
      </c>
      <c r="I7500">
        <v>1</v>
      </c>
      <c r="J7500">
        <v>1</v>
      </c>
      <c r="N7500">
        <v>1</v>
      </c>
      <c r="O7500">
        <v>1</v>
      </c>
      <c r="P7500">
        <v>1</v>
      </c>
      <c r="Q7500">
        <v>1</v>
      </c>
      <c r="R7500">
        <v>1</v>
      </c>
      <c r="S7500">
        <v>1</v>
      </c>
      <c r="T7500">
        <v>1</v>
      </c>
      <c r="W7500">
        <v>0</v>
      </c>
      <c r="X7500">
        <v>1</v>
      </c>
      <c r="Y7500">
        <v>0</v>
      </c>
      <c r="Z7500">
        <v>0</v>
      </c>
      <c r="AA7500">
        <v>1</v>
      </c>
      <c r="AB7500">
        <v>0</v>
      </c>
    </row>
    <row r="7501" spans="1:28" x14ac:dyDescent="0.25">
      <c r="A7501" t="str">
        <f>"7497"</f>
        <v>7497</v>
      </c>
      <c r="B7501" t="str">
        <f t="shared" si="434"/>
        <v>1</v>
      </c>
      <c r="C7501" t="str">
        <f t="shared" si="436"/>
        <v>328</v>
      </c>
      <c r="D7501" t="str">
        <f>"6"</f>
        <v>6</v>
      </c>
      <c r="E7501" t="str">
        <f>"1-328-6"</f>
        <v>1-328-6</v>
      </c>
      <c r="F7501" t="s">
        <v>83</v>
      </c>
      <c r="G7501" t="s">
        <v>84</v>
      </c>
      <c r="H7501" t="s">
        <v>92</v>
      </c>
      <c r="I7501">
        <v>1</v>
      </c>
      <c r="J7501">
        <v>1</v>
      </c>
      <c r="N7501">
        <v>1</v>
      </c>
      <c r="O7501">
        <v>1</v>
      </c>
      <c r="P7501">
        <v>1</v>
      </c>
      <c r="Q7501">
        <v>1</v>
      </c>
      <c r="R7501">
        <v>1</v>
      </c>
      <c r="S7501">
        <v>1</v>
      </c>
      <c r="T7501">
        <v>1</v>
      </c>
      <c r="W7501">
        <v>1</v>
      </c>
      <c r="X7501">
        <v>1</v>
      </c>
      <c r="Y7501">
        <v>1</v>
      </c>
      <c r="Z7501">
        <v>1</v>
      </c>
      <c r="AA7501">
        <v>1</v>
      </c>
      <c r="AB7501">
        <v>1</v>
      </c>
    </row>
    <row r="7502" spans="1:28" x14ac:dyDescent="0.25">
      <c r="A7502" t="str">
        <f>"7498"</f>
        <v>7498</v>
      </c>
      <c r="B7502" t="str">
        <f t="shared" si="434"/>
        <v>1</v>
      </c>
      <c r="C7502" t="str">
        <f t="shared" si="436"/>
        <v>328</v>
      </c>
      <c r="D7502" t="str">
        <f>"25"</f>
        <v>25</v>
      </c>
      <c r="E7502" t="str">
        <f>"1-328-25"</f>
        <v>1-328-25</v>
      </c>
      <c r="F7502" t="s">
        <v>83</v>
      </c>
      <c r="G7502" t="s">
        <v>88</v>
      </c>
      <c r="H7502" t="s">
        <v>95</v>
      </c>
      <c r="I7502">
        <v>1</v>
      </c>
      <c r="K7502">
        <v>1</v>
      </c>
      <c r="L7502">
        <v>0</v>
      </c>
      <c r="M7502">
        <v>0</v>
      </c>
      <c r="N7502">
        <v>1</v>
      </c>
      <c r="O7502">
        <v>1</v>
      </c>
      <c r="P7502">
        <v>1</v>
      </c>
      <c r="Q7502">
        <v>1</v>
      </c>
      <c r="R7502">
        <v>1</v>
      </c>
      <c r="S7502">
        <v>1</v>
      </c>
      <c r="T7502">
        <v>1</v>
      </c>
      <c r="W7502">
        <v>1</v>
      </c>
      <c r="X7502">
        <v>1</v>
      </c>
      <c r="Y7502">
        <v>1</v>
      </c>
      <c r="Z7502">
        <v>1</v>
      </c>
      <c r="AA7502">
        <v>1</v>
      </c>
      <c r="AB7502">
        <v>0</v>
      </c>
    </row>
    <row r="7503" spans="1:28" x14ac:dyDescent="0.25">
      <c r="A7503" t="str">
        <f>"7499"</f>
        <v>7499</v>
      </c>
      <c r="B7503" t="str">
        <f t="shared" si="434"/>
        <v>1</v>
      </c>
      <c r="C7503" t="str">
        <f t="shared" si="436"/>
        <v>328</v>
      </c>
      <c r="D7503" t="str">
        <f>"24"</f>
        <v>24</v>
      </c>
      <c r="E7503" t="str">
        <f>"1-328-24"</f>
        <v>1-328-24</v>
      </c>
      <c r="F7503" t="s">
        <v>83</v>
      </c>
      <c r="G7503" t="s">
        <v>84</v>
      </c>
      <c r="H7503" t="s">
        <v>92</v>
      </c>
      <c r="I7503">
        <v>1</v>
      </c>
      <c r="J7503">
        <v>0</v>
      </c>
      <c r="N7503">
        <v>1</v>
      </c>
      <c r="O7503">
        <v>0</v>
      </c>
      <c r="P7503">
        <v>0</v>
      </c>
      <c r="Q7503">
        <v>0</v>
      </c>
      <c r="R7503">
        <v>0</v>
      </c>
      <c r="S7503">
        <v>1</v>
      </c>
      <c r="T7503">
        <v>0</v>
      </c>
      <c r="W7503">
        <v>0</v>
      </c>
      <c r="X7503">
        <v>0</v>
      </c>
      <c r="Y7503">
        <v>1</v>
      </c>
      <c r="Z7503">
        <v>0</v>
      </c>
      <c r="AA7503">
        <v>1</v>
      </c>
      <c r="AB7503">
        <v>1</v>
      </c>
    </row>
    <row r="7504" spans="1:28" x14ac:dyDescent="0.25">
      <c r="A7504" t="str">
        <f>"7500"</f>
        <v>7500</v>
      </c>
      <c r="B7504" t="str">
        <f t="shared" si="434"/>
        <v>1</v>
      </c>
      <c r="C7504" t="str">
        <f t="shared" si="436"/>
        <v>328</v>
      </c>
      <c r="D7504" t="str">
        <f>"17"</f>
        <v>17</v>
      </c>
      <c r="E7504" t="str">
        <f>"1-328-17"</f>
        <v>1-328-17</v>
      </c>
      <c r="F7504" t="s">
        <v>83</v>
      </c>
      <c r="G7504" t="s">
        <v>84</v>
      </c>
      <c r="H7504" t="s">
        <v>92</v>
      </c>
      <c r="I7504">
        <v>1</v>
      </c>
      <c r="J7504">
        <v>1</v>
      </c>
      <c r="N7504">
        <v>1</v>
      </c>
      <c r="O7504">
        <v>1</v>
      </c>
      <c r="P7504">
        <v>1</v>
      </c>
      <c r="Q7504">
        <v>1</v>
      </c>
      <c r="R7504">
        <v>1</v>
      </c>
      <c r="S7504">
        <v>1</v>
      </c>
      <c r="T7504">
        <v>1</v>
      </c>
      <c r="W7504">
        <v>1</v>
      </c>
      <c r="X7504">
        <v>1</v>
      </c>
      <c r="Y7504">
        <v>1</v>
      </c>
      <c r="Z7504">
        <v>1</v>
      </c>
      <c r="AA7504">
        <v>1</v>
      </c>
      <c r="AB7504">
        <v>1</v>
      </c>
    </row>
    <row r="7505" spans="1:49" x14ac:dyDescent="0.25">
      <c r="A7505" t="str">
        <f>"7501"</f>
        <v>7501</v>
      </c>
      <c r="B7505" t="str">
        <f t="shared" si="434"/>
        <v>1</v>
      </c>
      <c r="C7505" t="str">
        <f t="shared" si="436"/>
        <v>328</v>
      </c>
      <c r="D7505" t="str">
        <f>"11"</f>
        <v>11</v>
      </c>
      <c r="E7505" t="str">
        <f>"1-328-11"</f>
        <v>1-328-11</v>
      </c>
      <c r="F7505" t="s">
        <v>83</v>
      </c>
      <c r="G7505" t="s">
        <v>84</v>
      </c>
      <c r="H7505" t="s">
        <v>92</v>
      </c>
      <c r="I7505">
        <v>1</v>
      </c>
      <c r="J7505">
        <v>1</v>
      </c>
      <c r="N7505">
        <v>1</v>
      </c>
      <c r="O7505">
        <v>1</v>
      </c>
      <c r="P7505">
        <v>1</v>
      </c>
      <c r="Q7505">
        <v>1</v>
      </c>
      <c r="R7505">
        <v>1</v>
      </c>
      <c r="S7505">
        <v>1</v>
      </c>
      <c r="T7505">
        <v>1</v>
      </c>
      <c r="W7505">
        <v>1</v>
      </c>
      <c r="X7505">
        <v>1</v>
      </c>
      <c r="Y7505">
        <v>1</v>
      </c>
      <c r="Z7505">
        <v>1</v>
      </c>
      <c r="AA7505">
        <v>1</v>
      </c>
      <c r="AB7505">
        <v>1</v>
      </c>
    </row>
    <row r="7506" spans="1:49" x14ac:dyDescent="0.25">
      <c r="A7506" t="str">
        <f>"7502"</f>
        <v>7502</v>
      </c>
      <c r="B7506" t="str">
        <f t="shared" si="434"/>
        <v>1</v>
      </c>
      <c r="C7506" t="str">
        <f t="shared" si="436"/>
        <v>328</v>
      </c>
      <c r="D7506" t="str">
        <f>"4"</f>
        <v>4</v>
      </c>
      <c r="E7506" t="str">
        <f>"1-328-4"</f>
        <v>1-328-4</v>
      </c>
      <c r="F7506" t="s">
        <v>83</v>
      </c>
      <c r="G7506" t="s">
        <v>86</v>
      </c>
      <c r="H7506" t="s">
        <v>93</v>
      </c>
      <c r="I7506">
        <v>1</v>
      </c>
      <c r="K7506">
        <v>0</v>
      </c>
      <c r="L7506">
        <v>0</v>
      </c>
      <c r="M7506">
        <v>1</v>
      </c>
      <c r="N7506">
        <v>1</v>
      </c>
      <c r="O7506">
        <v>1</v>
      </c>
      <c r="P7506">
        <v>1</v>
      </c>
      <c r="Q7506">
        <v>1</v>
      </c>
      <c r="R7506">
        <v>1</v>
      </c>
      <c r="U7506">
        <v>1</v>
      </c>
      <c r="V7506">
        <v>0</v>
      </c>
      <c r="W7506">
        <v>1</v>
      </c>
      <c r="X7506">
        <v>1</v>
      </c>
      <c r="Y7506">
        <v>1</v>
      </c>
      <c r="Z7506">
        <v>1</v>
      </c>
      <c r="AA7506">
        <v>1</v>
      </c>
      <c r="AB7506">
        <v>1</v>
      </c>
    </row>
    <row r="7507" spans="1:49" x14ac:dyDescent="0.25">
      <c r="A7507" t="str">
        <f>"7503"</f>
        <v>7503</v>
      </c>
      <c r="B7507" t="str">
        <f t="shared" si="434"/>
        <v>1</v>
      </c>
      <c r="C7507" t="str">
        <f t="shared" si="436"/>
        <v>328</v>
      </c>
      <c r="D7507" t="str">
        <f>"14"</f>
        <v>14</v>
      </c>
      <c r="E7507" t="str">
        <f>"1-328-14"</f>
        <v>1-328-14</v>
      </c>
      <c r="F7507" t="s">
        <v>83</v>
      </c>
      <c r="G7507" t="s">
        <v>84</v>
      </c>
      <c r="H7507" t="s">
        <v>92</v>
      </c>
      <c r="I7507">
        <v>1</v>
      </c>
      <c r="J7507">
        <v>1</v>
      </c>
      <c r="N7507">
        <v>1</v>
      </c>
      <c r="O7507">
        <v>1</v>
      </c>
      <c r="P7507">
        <v>1</v>
      </c>
      <c r="Q7507">
        <v>1</v>
      </c>
      <c r="R7507">
        <v>1</v>
      </c>
      <c r="S7507">
        <v>1</v>
      </c>
      <c r="T7507">
        <v>1</v>
      </c>
      <c r="W7507">
        <v>1</v>
      </c>
      <c r="X7507">
        <v>1</v>
      </c>
      <c r="Y7507">
        <v>1</v>
      </c>
      <c r="Z7507">
        <v>1</v>
      </c>
      <c r="AA7507">
        <v>1</v>
      </c>
      <c r="AB7507">
        <v>1</v>
      </c>
    </row>
    <row r="7508" spans="1:49" x14ac:dyDescent="0.25">
      <c r="A7508" t="str">
        <f>"7504"</f>
        <v>7504</v>
      </c>
      <c r="B7508" t="str">
        <f t="shared" si="434"/>
        <v>1</v>
      </c>
      <c r="C7508" t="str">
        <f t="shared" si="436"/>
        <v>328</v>
      </c>
      <c r="D7508" t="str">
        <f>"3"</f>
        <v>3</v>
      </c>
      <c r="E7508" t="str">
        <f>"1-328-3"</f>
        <v>1-328-3</v>
      </c>
      <c r="F7508" t="s">
        <v>83</v>
      </c>
      <c r="G7508" t="s">
        <v>84</v>
      </c>
      <c r="H7508" t="s">
        <v>92</v>
      </c>
      <c r="I7508">
        <v>1</v>
      </c>
      <c r="J7508">
        <v>1</v>
      </c>
      <c r="N7508">
        <v>1</v>
      </c>
      <c r="O7508">
        <v>1</v>
      </c>
      <c r="P7508">
        <v>1</v>
      </c>
      <c r="Q7508">
        <v>1</v>
      </c>
      <c r="R7508">
        <v>1</v>
      </c>
      <c r="S7508">
        <v>1</v>
      </c>
      <c r="T7508">
        <v>1</v>
      </c>
      <c r="W7508">
        <v>1</v>
      </c>
      <c r="X7508">
        <v>1</v>
      </c>
      <c r="Y7508">
        <v>1</v>
      </c>
      <c r="Z7508">
        <v>1</v>
      </c>
      <c r="AA7508">
        <v>1</v>
      </c>
      <c r="AB7508">
        <v>1</v>
      </c>
    </row>
    <row r="7509" spans="1:49" x14ac:dyDescent="0.25">
      <c r="A7509" t="str">
        <f>"7505"</f>
        <v>7505</v>
      </c>
      <c r="B7509" t="str">
        <f t="shared" si="434"/>
        <v>1</v>
      </c>
      <c r="C7509" t="str">
        <f t="shared" si="436"/>
        <v>328</v>
      </c>
      <c r="D7509" t="str">
        <f>"15"</f>
        <v>15</v>
      </c>
      <c r="E7509" t="str">
        <f>"1-328-15"</f>
        <v>1-328-15</v>
      </c>
      <c r="F7509" t="s">
        <v>83</v>
      </c>
      <c r="G7509" t="s">
        <v>84</v>
      </c>
      <c r="H7509" t="s">
        <v>92</v>
      </c>
      <c r="I7509">
        <v>1</v>
      </c>
      <c r="J7509">
        <v>1</v>
      </c>
      <c r="N7509">
        <v>1</v>
      </c>
      <c r="O7509">
        <v>1</v>
      </c>
      <c r="P7509">
        <v>1</v>
      </c>
      <c r="Q7509">
        <v>1</v>
      </c>
      <c r="R7509">
        <v>1</v>
      </c>
      <c r="S7509">
        <v>1</v>
      </c>
      <c r="T7509">
        <v>1</v>
      </c>
      <c r="W7509">
        <v>1</v>
      </c>
      <c r="X7509">
        <v>1</v>
      </c>
      <c r="Y7509">
        <v>1</v>
      </c>
      <c r="Z7509">
        <v>1</v>
      </c>
      <c r="AA7509">
        <v>1</v>
      </c>
      <c r="AB7509">
        <v>1</v>
      </c>
    </row>
    <row r="7510" spans="1:49" x14ac:dyDescent="0.25">
      <c r="A7510" t="str">
        <f>"7506"</f>
        <v>7506</v>
      </c>
      <c r="B7510" t="str">
        <f t="shared" si="434"/>
        <v>1</v>
      </c>
      <c r="C7510" t="str">
        <f t="shared" si="436"/>
        <v>328</v>
      </c>
      <c r="D7510" t="str">
        <f>"5"</f>
        <v>5</v>
      </c>
      <c r="E7510" t="str">
        <f>"1-328-5"</f>
        <v>1-328-5</v>
      </c>
      <c r="F7510" t="s">
        <v>83</v>
      </c>
      <c r="G7510" t="s">
        <v>84</v>
      </c>
      <c r="H7510" t="s">
        <v>92</v>
      </c>
      <c r="I7510">
        <v>1</v>
      </c>
      <c r="J7510">
        <v>1</v>
      </c>
      <c r="N7510">
        <v>1</v>
      </c>
      <c r="O7510">
        <v>1</v>
      </c>
      <c r="P7510">
        <v>1</v>
      </c>
      <c r="Q7510">
        <v>1</v>
      </c>
      <c r="R7510">
        <v>1</v>
      </c>
      <c r="S7510">
        <v>1</v>
      </c>
      <c r="T7510">
        <v>1</v>
      </c>
      <c r="W7510">
        <v>1</v>
      </c>
      <c r="X7510">
        <v>1</v>
      </c>
      <c r="Y7510">
        <v>1</v>
      </c>
      <c r="Z7510">
        <v>1</v>
      </c>
      <c r="AA7510">
        <v>1</v>
      </c>
      <c r="AB7510">
        <v>1</v>
      </c>
    </row>
    <row r="7511" spans="1:49" x14ac:dyDescent="0.25">
      <c r="A7511" t="str">
        <f>"7507"</f>
        <v>7507</v>
      </c>
      <c r="B7511" t="str">
        <f t="shared" si="434"/>
        <v>1</v>
      </c>
      <c r="C7511" t="str">
        <f t="shared" si="436"/>
        <v>328</v>
      </c>
      <c r="D7511" t="str">
        <f>"18"</f>
        <v>18</v>
      </c>
      <c r="E7511" t="str">
        <f>"1-328-18"</f>
        <v>1-328-18</v>
      </c>
      <c r="F7511" t="s">
        <v>83</v>
      </c>
      <c r="G7511" t="s">
        <v>88</v>
      </c>
      <c r="H7511" t="s">
        <v>95</v>
      </c>
      <c r="I7511">
        <v>1</v>
      </c>
      <c r="K7511">
        <v>1</v>
      </c>
      <c r="L7511">
        <v>0</v>
      </c>
      <c r="M7511">
        <v>0</v>
      </c>
      <c r="N7511">
        <v>1</v>
      </c>
      <c r="O7511">
        <v>1</v>
      </c>
      <c r="P7511">
        <v>1</v>
      </c>
      <c r="Q7511">
        <v>1</v>
      </c>
      <c r="R7511">
        <v>1</v>
      </c>
      <c r="S7511">
        <v>1</v>
      </c>
      <c r="T7511">
        <v>1</v>
      </c>
      <c r="W7511">
        <v>1</v>
      </c>
      <c r="X7511">
        <v>1</v>
      </c>
      <c r="Y7511">
        <v>1</v>
      </c>
      <c r="Z7511">
        <v>1</v>
      </c>
      <c r="AA7511">
        <v>1</v>
      </c>
      <c r="AB7511">
        <v>0</v>
      </c>
    </row>
    <row r="7512" spans="1:49" x14ac:dyDescent="0.25">
      <c r="A7512" t="str">
        <f>"7508"</f>
        <v>7508</v>
      </c>
      <c r="B7512" t="str">
        <f t="shared" si="434"/>
        <v>1</v>
      </c>
      <c r="C7512" t="str">
        <f t="shared" si="436"/>
        <v>328</v>
      </c>
      <c r="D7512" t="str">
        <f>"7"</f>
        <v>7</v>
      </c>
      <c r="E7512" t="str">
        <f>"1-328-7"</f>
        <v>1-328-7</v>
      </c>
      <c r="F7512" t="s">
        <v>83</v>
      </c>
      <c r="G7512" t="s">
        <v>84</v>
      </c>
      <c r="H7512" t="s">
        <v>92</v>
      </c>
      <c r="I7512">
        <v>1</v>
      </c>
      <c r="J7512">
        <v>1</v>
      </c>
      <c r="N7512">
        <v>1</v>
      </c>
      <c r="O7512">
        <v>1</v>
      </c>
      <c r="P7512">
        <v>1</v>
      </c>
      <c r="Q7512">
        <v>1</v>
      </c>
      <c r="R7512">
        <v>0</v>
      </c>
      <c r="S7512">
        <v>0</v>
      </c>
      <c r="T7512">
        <v>0</v>
      </c>
      <c r="W7512">
        <v>1</v>
      </c>
      <c r="X7512">
        <v>0</v>
      </c>
      <c r="Y7512">
        <v>1</v>
      </c>
      <c r="Z7512">
        <v>0</v>
      </c>
      <c r="AA7512">
        <v>0</v>
      </c>
      <c r="AB7512">
        <v>1</v>
      </c>
    </row>
    <row r="7513" spans="1:49" x14ac:dyDescent="0.25">
      <c r="A7513" t="str">
        <f>"7509"</f>
        <v>7509</v>
      </c>
      <c r="B7513" t="str">
        <f t="shared" si="434"/>
        <v>1</v>
      </c>
      <c r="C7513" t="str">
        <f t="shared" si="436"/>
        <v>328</v>
      </c>
      <c r="D7513" t="str">
        <f>"19"</f>
        <v>19</v>
      </c>
      <c r="E7513" t="str">
        <f>"1-328-19"</f>
        <v>1-328-19</v>
      </c>
      <c r="F7513" t="s">
        <v>83</v>
      </c>
      <c r="G7513" t="s">
        <v>84</v>
      </c>
      <c r="H7513" t="s">
        <v>92</v>
      </c>
      <c r="I7513">
        <v>1</v>
      </c>
      <c r="J7513">
        <v>1</v>
      </c>
      <c r="N7513">
        <v>1</v>
      </c>
      <c r="O7513">
        <v>1</v>
      </c>
      <c r="P7513">
        <v>1</v>
      </c>
      <c r="Q7513">
        <v>1</v>
      </c>
      <c r="R7513">
        <v>1</v>
      </c>
      <c r="S7513">
        <v>1</v>
      </c>
      <c r="T7513">
        <v>1</v>
      </c>
      <c r="W7513">
        <v>1</v>
      </c>
      <c r="X7513">
        <v>1</v>
      </c>
      <c r="Y7513">
        <v>1</v>
      </c>
      <c r="Z7513">
        <v>1</v>
      </c>
      <c r="AA7513">
        <v>1</v>
      </c>
      <c r="AB7513">
        <v>1</v>
      </c>
    </row>
    <row r="7514" spans="1:49" x14ac:dyDescent="0.25">
      <c r="A7514" t="str">
        <f>"7510"</f>
        <v>7510</v>
      </c>
      <c r="B7514" t="str">
        <f t="shared" si="434"/>
        <v>1</v>
      </c>
      <c r="C7514" t="str">
        <f t="shared" si="436"/>
        <v>328</v>
      </c>
      <c r="D7514" t="str">
        <f>"2"</f>
        <v>2</v>
      </c>
      <c r="E7514" t="str">
        <f>"1-328-2"</f>
        <v>1-328-2</v>
      </c>
      <c r="F7514" t="s">
        <v>83</v>
      </c>
      <c r="G7514" t="s">
        <v>84</v>
      </c>
      <c r="H7514" t="s">
        <v>92</v>
      </c>
      <c r="I7514">
        <v>1</v>
      </c>
      <c r="J7514">
        <v>1</v>
      </c>
      <c r="N7514">
        <v>1</v>
      </c>
      <c r="O7514">
        <v>1</v>
      </c>
      <c r="P7514">
        <v>1</v>
      </c>
      <c r="Q7514">
        <v>1</v>
      </c>
      <c r="R7514">
        <v>1</v>
      </c>
      <c r="S7514">
        <v>1</v>
      </c>
      <c r="T7514">
        <v>1</v>
      </c>
      <c r="W7514">
        <v>1</v>
      </c>
      <c r="X7514">
        <v>1</v>
      </c>
      <c r="Y7514">
        <v>1</v>
      </c>
      <c r="Z7514">
        <v>1</v>
      </c>
      <c r="AA7514">
        <v>1</v>
      </c>
      <c r="AB7514">
        <v>1</v>
      </c>
    </row>
    <row r="7515" spans="1:49" x14ac:dyDescent="0.25">
      <c r="A7515" t="str">
        <f>"7511"</f>
        <v>7511</v>
      </c>
      <c r="B7515" t="str">
        <f t="shared" si="434"/>
        <v>1</v>
      </c>
      <c r="C7515" t="str">
        <f t="shared" ref="C7515:C7538" si="437">"329"</f>
        <v>329</v>
      </c>
      <c r="D7515" t="str">
        <f>"23"</f>
        <v>23</v>
      </c>
      <c r="E7515" t="str">
        <f>"1-329-23"</f>
        <v>1-329-23</v>
      </c>
      <c r="F7515" t="s">
        <v>83</v>
      </c>
      <c r="G7515" t="s">
        <v>84</v>
      </c>
      <c r="H7515" t="s">
        <v>85</v>
      </c>
      <c r="AC7515">
        <v>1</v>
      </c>
      <c r="AD7515">
        <v>0</v>
      </c>
      <c r="AE7515">
        <v>0</v>
      </c>
      <c r="AF7515">
        <v>0</v>
      </c>
      <c r="AG7515">
        <v>1</v>
      </c>
      <c r="AJ7515">
        <v>1</v>
      </c>
      <c r="AK7515">
        <v>0</v>
      </c>
      <c r="AL7515">
        <v>1</v>
      </c>
      <c r="AM7515">
        <v>0</v>
      </c>
      <c r="AN7515">
        <v>0</v>
      </c>
      <c r="AO7515">
        <v>1</v>
      </c>
      <c r="AP7515">
        <v>1</v>
      </c>
      <c r="AQ7515">
        <v>1</v>
      </c>
      <c r="AR7515">
        <v>1</v>
      </c>
      <c r="AS7515">
        <v>0</v>
      </c>
      <c r="AT7515">
        <v>1</v>
      </c>
      <c r="AV7515">
        <v>1</v>
      </c>
      <c r="AW7515">
        <v>1</v>
      </c>
    </row>
    <row r="7516" spans="1:49" x14ac:dyDescent="0.25">
      <c r="A7516" t="str">
        <f>"7512"</f>
        <v>7512</v>
      </c>
      <c r="B7516" t="str">
        <f t="shared" si="434"/>
        <v>1</v>
      </c>
      <c r="C7516" t="str">
        <f t="shared" si="437"/>
        <v>329</v>
      </c>
      <c r="D7516" t="str">
        <f>"22"</f>
        <v>22</v>
      </c>
      <c r="E7516" t="str">
        <f>"1-329-22"</f>
        <v>1-329-22</v>
      </c>
      <c r="F7516" t="s">
        <v>83</v>
      </c>
      <c r="G7516" t="s">
        <v>84</v>
      </c>
      <c r="H7516" t="s">
        <v>85</v>
      </c>
      <c r="AC7516">
        <v>1</v>
      </c>
      <c r="AD7516">
        <v>0</v>
      </c>
      <c r="AE7516">
        <v>0</v>
      </c>
      <c r="AF7516">
        <v>0</v>
      </c>
      <c r="AG7516">
        <v>1</v>
      </c>
      <c r="AJ7516">
        <v>1</v>
      </c>
      <c r="AK7516">
        <v>0</v>
      </c>
      <c r="AL7516">
        <v>1</v>
      </c>
      <c r="AM7516">
        <v>0</v>
      </c>
      <c r="AN7516">
        <v>0</v>
      </c>
      <c r="AO7516">
        <v>1</v>
      </c>
      <c r="AP7516">
        <v>1</v>
      </c>
      <c r="AQ7516">
        <v>1</v>
      </c>
      <c r="AR7516">
        <v>1</v>
      </c>
      <c r="AS7516">
        <v>0</v>
      </c>
      <c r="AT7516">
        <v>1</v>
      </c>
      <c r="AV7516">
        <v>1</v>
      </c>
      <c r="AW7516">
        <v>1</v>
      </c>
    </row>
    <row r="7517" spans="1:49" x14ac:dyDescent="0.25">
      <c r="A7517" t="str">
        <f>"7513"</f>
        <v>7513</v>
      </c>
      <c r="B7517" t="str">
        <f t="shared" si="434"/>
        <v>1</v>
      </c>
      <c r="C7517" t="str">
        <f t="shared" si="437"/>
        <v>329</v>
      </c>
      <c r="D7517" t="str">
        <f>"13"</f>
        <v>13</v>
      </c>
      <c r="E7517" t="str">
        <f>"1-329-13"</f>
        <v>1-329-13</v>
      </c>
      <c r="F7517" t="s">
        <v>83</v>
      </c>
      <c r="G7517" t="s">
        <v>84</v>
      </c>
      <c r="H7517" t="s">
        <v>92</v>
      </c>
      <c r="I7517">
        <v>1</v>
      </c>
      <c r="J7517">
        <v>1</v>
      </c>
      <c r="N7517">
        <v>1</v>
      </c>
      <c r="O7517">
        <v>1</v>
      </c>
      <c r="P7517">
        <v>1</v>
      </c>
      <c r="Q7517">
        <v>1</v>
      </c>
      <c r="R7517">
        <v>1</v>
      </c>
      <c r="S7517">
        <v>1</v>
      </c>
      <c r="T7517">
        <v>1</v>
      </c>
      <c r="W7517">
        <v>1</v>
      </c>
      <c r="X7517">
        <v>1</v>
      </c>
      <c r="Y7517">
        <v>1</v>
      </c>
      <c r="Z7517">
        <v>0</v>
      </c>
      <c r="AA7517">
        <v>1</v>
      </c>
      <c r="AB7517">
        <v>1</v>
      </c>
    </row>
    <row r="7518" spans="1:49" x14ac:dyDescent="0.25">
      <c r="A7518" t="str">
        <f>"7514"</f>
        <v>7514</v>
      </c>
      <c r="B7518" t="str">
        <f t="shared" ref="B7518:B7581" si="438">"1"</f>
        <v>1</v>
      </c>
      <c r="C7518" t="str">
        <f t="shared" si="437"/>
        <v>329</v>
      </c>
      <c r="D7518" t="str">
        <f>"12"</f>
        <v>12</v>
      </c>
      <c r="E7518" t="str">
        <f>"1-329-12"</f>
        <v>1-329-12</v>
      </c>
      <c r="F7518" t="s">
        <v>83</v>
      </c>
      <c r="G7518" t="s">
        <v>84</v>
      </c>
      <c r="H7518" t="s">
        <v>85</v>
      </c>
      <c r="AC7518">
        <v>0</v>
      </c>
      <c r="AD7518">
        <v>1</v>
      </c>
      <c r="AE7518">
        <v>0</v>
      </c>
      <c r="AF7518">
        <v>0</v>
      </c>
      <c r="AG7518">
        <v>1</v>
      </c>
      <c r="AJ7518">
        <v>1</v>
      </c>
      <c r="AK7518">
        <v>0</v>
      </c>
      <c r="AL7518">
        <v>1</v>
      </c>
      <c r="AM7518">
        <v>0</v>
      </c>
      <c r="AN7518">
        <v>0</v>
      </c>
      <c r="AO7518">
        <v>1</v>
      </c>
      <c r="AP7518">
        <v>1</v>
      </c>
      <c r="AQ7518">
        <v>1</v>
      </c>
      <c r="AR7518">
        <v>1</v>
      </c>
      <c r="AS7518">
        <v>0</v>
      </c>
      <c r="AT7518">
        <v>0</v>
      </c>
      <c r="AV7518">
        <v>1</v>
      </c>
      <c r="AW7518">
        <v>1</v>
      </c>
    </row>
    <row r="7519" spans="1:49" x14ac:dyDescent="0.25">
      <c r="A7519" t="str">
        <f>"7515"</f>
        <v>7515</v>
      </c>
      <c r="B7519" t="str">
        <f t="shared" si="438"/>
        <v>1</v>
      </c>
      <c r="C7519" t="str">
        <f t="shared" si="437"/>
        <v>329</v>
      </c>
      <c r="D7519" t="str">
        <f>"11"</f>
        <v>11</v>
      </c>
      <c r="E7519" t="str">
        <f>"1-329-11"</f>
        <v>1-329-11</v>
      </c>
      <c r="F7519" t="s">
        <v>83</v>
      </c>
      <c r="G7519" t="s">
        <v>84</v>
      </c>
      <c r="H7519" t="s">
        <v>85</v>
      </c>
      <c r="AC7519">
        <v>1</v>
      </c>
      <c r="AD7519">
        <v>0</v>
      </c>
      <c r="AE7519">
        <v>0</v>
      </c>
      <c r="AF7519">
        <v>0</v>
      </c>
      <c r="AG7519">
        <v>0</v>
      </c>
      <c r="AJ7519">
        <v>0</v>
      </c>
      <c r="AK7519">
        <v>1</v>
      </c>
      <c r="AL7519">
        <v>0</v>
      </c>
      <c r="AM7519">
        <v>0</v>
      </c>
      <c r="AN7519">
        <v>1</v>
      </c>
      <c r="AO7519">
        <v>0</v>
      </c>
      <c r="AP7519">
        <v>0</v>
      </c>
      <c r="AQ7519">
        <v>0</v>
      </c>
      <c r="AR7519">
        <v>0</v>
      </c>
      <c r="AS7519">
        <v>1</v>
      </c>
      <c r="AT7519">
        <v>0</v>
      </c>
      <c r="AV7519">
        <v>0</v>
      </c>
      <c r="AW7519">
        <v>0</v>
      </c>
    </row>
    <row r="7520" spans="1:49" x14ac:dyDescent="0.25">
      <c r="A7520" t="str">
        <f>"7516"</f>
        <v>7516</v>
      </c>
      <c r="B7520" t="str">
        <f t="shared" si="438"/>
        <v>1</v>
      </c>
      <c r="C7520" t="str">
        <f t="shared" si="437"/>
        <v>329</v>
      </c>
      <c r="D7520" t="str">
        <f>"8"</f>
        <v>8</v>
      </c>
      <c r="E7520" t="str">
        <f>"1-329-8"</f>
        <v>1-329-8</v>
      </c>
      <c r="F7520" t="s">
        <v>83</v>
      </c>
      <c r="G7520" t="s">
        <v>84</v>
      </c>
      <c r="H7520" t="s">
        <v>92</v>
      </c>
      <c r="I7520">
        <v>1</v>
      </c>
      <c r="J7520">
        <v>1</v>
      </c>
      <c r="N7520">
        <v>1</v>
      </c>
      <c r="O7520">
        <v>1</v>
      </c>
      <c r="P7520">
        <v>1</v>
      </c>
      <c r="Q7520">
        <v>1</v>
      </c>
      <c r="R7520">
        <v>1</v>
      </c>
      <c r="S7520">
        <v>1</v>
      </c>
      <c r="T7520">
        <v>1</v>
      </c>
      <c r="W7520">
        <v>1</v>
      </c>
      <c r="X7520">
        <v>1</v>
      </c>
      <c r="Y7520">
        <v>1</v>
      </c>
      <c r="Z7520">
        <v>1</v>
      </c>
      <c r="AA7520">
        <v>1</v>
      </c>
      <c r="AB7520">
        <v>1</v>
      </c>
    </row>
    <row r="7521" spans="1:49" x14ac:dyDescent="0.25">
      <c r="A7521" t="str">
        <f>"7517"</f>
        <v>7517</v>
      </c>
      <c r="B7521" t="str">
        <f t="shared" si="438"/>
        <v>1</v>
      </c>
      <c r="C7521" t="str">
        <f t="shared" si="437"/>
        <v>329</v>
      </c>
      <c r="D7521" t="str">
        <f>"5"</f>
        <v>5</v>
      </c>
      <c r="E7521" t="str">
        <f>"1-329-5"</f>
        <v>1-329-5</v>
      </c>
      <c r="F7521" t="s">
        <v>83</v>
      </c>
      <c r="G7521" t="s">
        <v>84</v>
      </c>
      <c r="H7521" t="s">
        <v>85</v>
      </c>
      <c r="AC7521">
        <v>0</v>
      </c>
      <c r="AD7521">
        <v>0</v>
      </c>
      <c r="AE7521">
        <v>0</v>
      </c>
      <c r="AF7521">
        <v>0</v>
      </c>
      <c r="AG7521">
        <v>0</v>
      </c>
      <c r="AJ7521">
        <v>0</v>
      </c>
      <c r="AK7521">
        <v>1</v>
      </c>
      <c r="AL7521">
        <v>0</v>
      </c>
      <c r="AM7521">
        <v>0</v>
      </c>
      <c r="AN7521">
        <v>0</v>
      </c>
      <c r="AO7521">
        <v>0</v>
      </c>
      <c r="AP7521">
        <v>0</v>
      </c>
      <c r="AQ7521">
        <v>0</v>
      </c>
      <c r="AR7521">
        <v>0</v>
      </c>
      <c r="AS7521">
        <v>0</v>
      </c>
      <c r="AT7521">
        <v>0</v>
      </c>
      <c r="AV7521">
        <v>0</v>
      </c>
      <c r="AW7521">
        <v>0</v>
      </c>
    </row>
    <row r="7522" spans="1:49" x14ac:dyDescent="0.25">
      <c r="A7522" t="str">
        <f>"7518"</f>
        <v>7518</v>
      </c>
      <c r="B7522" t="str">
        <f t="shared" si="438"/>
        <v>1</v>
      </c>
      <c r="C7522" t="str">
        <f t="shared" si="437"/>
        <v>329</v>
      </c>
      <c r="D7522" t="str">
        <f>"24"</f>
        <v>24</v>
      </c>
      <c r="E7522" t="str">
        <f>"1-329-24"</f>
        <v>1-329-24</v>
      </c>
      <c r="F7522" t="s">
        <v>83</v>
      </c>
      <c r="G7522" t="s">
        <v>84</v>
      </c>
      <c r="H7522" t="s">
        <v>85</v>
      </c>
      <c r="AC7522">
        <v>0</v>
      </c>
      <c r="AD7522">
        <v>1</v>
      </c>
      <c r="AE7522">
        <v>0</v>
      </c>
      <c r="AF7522">
        <v>0</v>
      </c>
      <c r="AG7522">
        <v>0</v>
      </c>
      <c r="AJ7522">
        <v>0</v>
      </c>
      <c r="AK7522">
        <v>1</v>
      </c>
      <c r="AL7522">
        <v>0</v>
      </c>
      <c r="AM7522">
        <v>0</v>
      </c>
      <c r="AN7522">
        <v>1</v>
      </c>
      <c r="AO7522">
        <v>0</v>
      </c>
      <c r="AP7522">
        <v>0</v>
      </c>
      <c r="AQ7522">
        <v>0</v>
      </c>
      <c r="AR7522">
        <v>0</v>
      </c>
      <c r="AS7522">
        <v>0</v>
      </c>
      <c r="AT7522">
        <v>0</v>
      </c>
      <c r="AV7522">
        <v>0</v>
      </c>
      <c r="AW7522">
        <v>0</v>
      </c>
    </row>
    <row r="7523" spans="1:49" x14ac:dyDescent="0.25">
      <c r="A7523" t="str">
        <f>"7519"</f>
        <v>7519</v>
      </c>
      <c r="B7523" t="str">
        <f t="shared" si="438"/>
        <v>1</v>
      </c>
      <c r="C7523" t="str">
        <f t="shared" si="437"/>
        <v>329</v>
      </c>
      <c r="D7523" t="str">
        <f>"17"</f>
        <v>17</v>
      </c>
      <c r="E7523" t="str">
        <f>"1-329-17"</f>
        <v>1-329-17</v>
      </c>
      <c r="F7523" t="s">
        <v>83</v>
      </c>
      <c r="G7523" t="s">
        <v>84</v>
      </c>
      <c r="H7523" t="s">
        <v>85</v>
      </c>
      <c r="AC7523">
        <v>0</v>
      </c>
      <c r="AD7523">
        <v>1</v>
      </c>
      <c r="AE7523">
        <v>0</v>
      </c>
      <c r="AF7523">
        <v>0</v>
      </c>
      <c r="AG7523">
        <v>1</v>
      </c>
      <c r="AJ7523">
        <v>1</v>
      </c>
      <c r="AK7523">
        <v>0</v>
      </c>
      <c r="AL7523">
        <v>1</v>
      </c>
      <c r="AM7523">
        <v>0</v>
      </c>
      <c r="AN7523">
        <v>0</v>
      </c>
      <c r="AO7523">
        <v>1</v>
      </c>
      <c r="AP7523">
        <v>1</v>
      </c>
      <c r="AQ7523">
        <v>1</v>
      </c>
      <c r="AR7523">
        <v>1</v>
      </c>
      <c r="AS7523">
        <v>1</v>
      </c>
      <c r="AT7523">
        <v>0</v>
      </c>
      <c r="AV7523">
        <v>1</v>
      </c>
      <c r="AW7523">
        <v>1</v>
      </c>
    </row>
    <row r="7524" spans="1:49" x14ac:dyDescent="0.25">
      <c r="A7524" t="str">
        <f>"7520"</f>
        <v>7520</v>
      </c>
      <c r="B7524" t="str">
        <f t="shared" si="438"/>
        <v>1</v>
      </c>
      <c r="C7524" t="str">
        <f t="shared" si="437"/>
        <v>329</v>
      </c>
      <c r="D7524" t="str">
        <f>"9"</f>
        <v>9</v>
      </c>
      <c r="E7524" t="str">
        <f>"1-329-9"</f>
        <v>1-329-9</v>
      </c>
      <c r="F7524" t="s">
        <v>83</v>
      </c>
      <c r="G7524" t="s">
        <v>84</v>
      </c>
      <c r="H7524" t="s">
        <v>92</v>
      </c>
      <c r="I7524">
        <v>1</v>
      </c>
      <c r="J7524">
        <v>1</v>
      </c>
      <c r="N7524">
        <v>1</v>
      </c>
      <c r="O7524">
        <v>1</v>
      </c>
      <c r="P7524">
        <v>1</v>
      </c>
      <c r="Q7524">
        <v>1</v>
      </c>
      <c r="R7524">
        <v>1</v>
      </c>
      <c r="S7524">
        <v>1</v>
      </c>
      <c r="T7524">
        <v>1</v>
      </c>
      <c r="W7524">
        <v>1</v>
      </c>
      <c r="X7524">
        <v>1</v>
      </c>
      <c r="Y7524">
        <v>1</v>
      </c>
      <c r="Z7524">
        <v>1</v>
      </c>
      <c r="AA7524">
        <v>1</v>
      </c>
      <c r="AB7524">
        <v>1</v>
      </c>
    </row>
    <row r="7525" spans="1:49" x14ac:dyDescent="0.25">
      <c r="A7525" t="str">
        <f>"7521"</f>
        <v>7521</v>
      </c>
      <c r="B7525" t="str">
        <f t="shared" si="438"/>
        <v>1</v>
      </c>
      <c r="C7525" t="str">
        <f t="shared" si="437"/>
        <v>329</v>
      </c>
      <c r="D7525" t="str">
        <f>"1"</f>
        <v>1</v>
      </c>
      <c r="E7525" t="str">
        <f>"1-329-1"</f>
        <v>1-329-1</v>
      </c>
      <c r="F7525" t="s">
        <v>83</v>
      </c>
      <c r="G7525" t="s">
        <v>84</v>
      </c>
      <c r="H7525" t="s">
        <v>92</v>
      </c>
      <c r="I7525">
        <v>1</v>
      </c>
      <c r="J7525">
        <v>1</v>
      </c>
      <c r="N7525">
        <v>1</v>
      </c>
      <c r="O7525">
        <v>1</v>
      </c>
      <c r="P7525">
        <v>1</v>
      </c>
      <c r="Q7525">
        <v>1</v>
      </c>
      <c r="R7525">
        <v>1</v>
      </c>
      <c r="S7525">
        <v>1</v>
      </c>
      <c r="T7525">
        <v>1</v>
      </c>
      <c r="W7525">
        <v>1</v>
      </c>
      <c r="X7525">
        <v>1</v>
      </c>
      <c r="Y7525">
        <v>1</v>
      </c>
      <c r="Z7525">
        <v>1</v>
      </c>
      <c r="AA7525">
        <v>1</v>
      </c>
      <c r="AB7525">
        <v>1</v>
      </c>
    </row>
    <row r="7526" spans="1:49" x14ac:dyDescent="0.25">
      <c r="A7526" t="str">
        <f>"7522"</f>
        <v>7522</v>
      </c>
      <c r="B7526" t="str">
        <f t="shared" si="438"/>
        <v>1</v>
      </c>
      <c r="C7526" t="str">
        <f t="shared" si="437"/>
        <v>329</v>
      </c>
      <c r="D7526" t="str">
        <f>"21"</f>
        <v>21</v>
      </c>
      <c r="E7526" t="str">
        <f>"1-329-21"</f>
        <v>1-329-21</v>
      </c>
      <c r="F7526" t="s">
        <v>83</v>
      </c>
      <c r="G7526" t="s">
        <v>84</v>
      </c>
      <c r="H7526" t="s">
        <v>92</v>
      </c>
      <c r="I7526">
        <v>0</v>
      </c>
      <c r="J7526">
        <v>0</v>
      </c>
      <c r="N7526">
        <v>0</v>
      </c>
      <c r="O7526">
        <v>0</v>
      </c>
      <c r="P7526">
        <v>0</v>
      </c>
      <c r="Q7526">
        <v>0</v>
      </c>
      <c r="R7526">
        <v>0</v>
      </c>
      <c r="S7526">
        <v>1</v>
      </c>
      <c r="T7526">
        <v>0</v>
      </c>
      <c r="W7526">
        <v>1</v>
      </c>
      <c r="X7526">
        <v>1</v>
      </c>
      <c r="Y7526">
        <v>0</v>
      </c>
      <c r="Z7526">
        <v>0</v>
      </c>
      <c r="AA7526">
        <v>0</v>
      </c>
      <c r="AB7526">
        <v>1</v>
      </c>
    </row>
    <row r="7527" spans="1:49" x14ac:dyDescent="0.25">
      <c r="A7527" t="str">
        <f>"7523"</f>
        <v>7523</v>
      </c>
      <c r="B7527" t="str">
        <f t="shared" si="438"/>
        <v>1</v>
      </c>
      <c r="C7527" t="str">
        <f t="shared" si="437"/>
        <v>329</v>
      </c>
      <c r="D7527" t="str">
        <f>"20"</f>
        <v>20</v>
      </c>
      <c r="E7527" t="str">
        <f>"1-329-20"</f>
        <v>1-329-20</v>
      </c>
      <c r="F7527" t="s">
        <v>83</v>
      </c>
      <c r="G7527" t="s">
        <v>84</v>
      </c>
      <c r="H7527" t="s">
        <v>85</v>
      </c>
      <c r="AC7527">
        <v>1</v>
      </c>
      <c r="AD7527">
        <v>0</v>
      </c>
      <c r="AE7527">
        <v>0</v>
      </c>
      <c r="AF7527">
        <v>0</v>
      </c>
      <c r="AG7527">
        <v>1</v>
      </c>
      <c r="AJ7527">
        <v>1</v>
      </c>
      <c r="AK7527">
        <v>0</v>
      </c>
      <c r="AL7527">
        <v>0</v>
      </c>
      <c r="AM7527">
        <v>0</v>
      </c>
      <c r="AN7527">
        <v>1</v>
      </c>
      <c r="AO7527">
        <v>1</v>
      </c>
      <c r="AP7527">
        <v>1</v>
      </c>
      <c r="AQ7527">
        <v>1</v>
      </c>
      <c r="AR7527">
        <v>1</v>
      </c>
      <c r="AS7527">
        <v>0</v>
      </c>
      <c r="AT7527">
        <v>1</v>
      </c>
      <c r="AV7527">
        <v>1</v>
      </c>
      <c r="AW7527">
        <v>1</v>
      </c>
    </row>
    <row r="7528" spans="1:49" x14ac:dyDescent="0.25">
      <c r="A7528" t="str">
        <f>"7524"</f>
        <v>7524</v>
      </c>
      <c r="B7528" t="str">
        <f t="shared" si="438"/>
        <v>1</v>
      </c>
      <c r="C7528" t="str">
        <f t="shared" si="437"/>
        <v>329</v>
      </c>
      <c r="D7528" t="str">
        <f>"14"</f>
        <v>14</v>
      </c>
      <c r="E7528" t="str">
        <f>"1-329-14"</f>
        <v>1-329-14</v>
      </c>
      <c r="F7528" t="s">
        <v>83</v>
      </c>
      <c r="G7528" t="s">
        <v>84</v>
      </c>
      <c r="H7528" t="s">
        <v>92</v>
      </c>
      <c r="I7528">
        <v>1</v>
      </c>
      <c r="J7528">
        <v>1</v>
      </c>
      <c r="N7528">
        <v>1</v>
      </c>
      <c r="O7528">
        <v>1</v>
      </c>
      <c r="P7528">
        <v>1</v>
      </c>
      <c r="Q7528">
        <v>1</v>
      </c>
      <c r="R7528">
        <v>1</v>
      </c>
      <c r="S7528">
        <v>1</v>
      </c>
      <c r="T7528">
        <v>1</v>
      </c>
      <c r="W7528">
        <v>1</v>
      </c>
      <c r="X7528">
        <v>1</v>
      </c>
      <c r="Y7528">
        <v>1</v>
      </c>
      <c r="Z7528">
        <v>1</v>
      </c>
      <c r="AA7528">
        <v>1</v>
      </c>
      <c r="AB7528">
        <v>1</v>
      </c>
    </row>
    <row r="7529" spans="1:49" x14ac:dyDescent="0.25">
      <c r="A7529" t="str">
        <f>"7525"</f>
        <v>7525</v>
      </c>
      <c r="B7529" t="str">
        <f t="shared" si="438"/>
        <v>1</v>
      </c>
      <c r="C7529" t="str">
        <f t="shared" si="437"/>
        <v>329</v>
      </c>
      <c r="D7529" t="str">
        <f>"10"</f>
        <v>10</v>
      </c>
      <c r="E7529" t="str">
        <f>"1-329-10"</f>
        <v>1-329-10</v>
      </c>
      <c r="F7529" t="s">
        <v>83</v>
      </c>
      <c r="G7529" t="s">
        <v>84</v>
      </c>
      <c r="H7529" t="s">
        <v>85</v>
      </c>
      <c r="AC7529">
        <v>0</v>
      </c>
      <c r="AD7529">
        <v>1</v>
      </c>
      <c r="AE7529">
        <v>0</v>
      </c>
      <c r="AF7529">
        <v>0</v>
      </c>
      <c r="AG7529">
        <v>1</v>
      </c>
      <c r="AJ7529">
        <v>1</v>
      </c>
      <c r="AK7529">
        <v>0</v>
      </c>
      <c r="AL7529">
        <v>1</v>
      </c>
      <c r="AM7529">
        <v>0</v>
      </c>
      <c r="AN7529">
        <v>0</v>
      </c>
      <c r="AO7529">
        <v>1</v>
      </c>
      <c r="AP7529">
        <v>1</v>
      </c>
      <c r="AQ7529">
        <v>1</v>
      </c>
      <c r="AR7529">
        <v>1</v>
      </c>
      <c r="AS7529">
        <v>0</v>
      </c>
      <c r="AT7529">
        <v>0</v>
      </c>
      <c r="AV7529">
        <v>1</v>
      </c>
      <c r="AW7529">
        <v>1</v>
      </c>
    </row>
    <row r="7530" spans="1:49" x14ac:dyDescent="0.25">
      <c r="A7530" t="str">
        <f>"7526"</f>
        <v>7526</v>
      </c>
      <c r="B7530" t="str">
        <f t="shared" si="438"/>
        <v>1</v>
      </c>
      <c r="C7530" t="str">
        <f t="shared" si="437"/>
        <v>329</v>
      </c>
      <c r="D7530" t="str">
        <f>"6"</f>
        <v>6</v>
      </c>
      <c r="E7530" t="str">
        <f>"1-329-6"</f>
        <v>1-329-6</v>
      </c>
      <c r="F7530" t="s">
        <v>83</v>
      </c>
      <c r="G7530" t="s">
        <v>84</v>
      </c>
      <c r="H7530" t="s">
        <v>85</v>
      </c>
      <c r="AC7530">
        <v>1</v>
      </c>
      <c r="AD7530">
        <v>0</v>
      </c>
      <c r="AE7530">
        <v>0</v>
      </c>
      <c r="AF7530">
        <v>0</v>
      </c>
      <c r="AG7530">
        <v>0</v>
      </c>
      <c r="AJ7530">
        <v>1</v>
      </c>
      <c r="AK7530">
        <v>0</v>
      </c>
      <c r="AL7530">
        <v>1</v>
      </c>
      <c r="AM7530">
        <v>0</v>
      </c>
      <c r="AN7530">
        <v>0</v>
      </c>
      <c r="AO7530">
        <v>0</v>
      </c>
      <c r="AP7530">
        <v>0</v>
      </c>
      <c r="AQ7530">
        <v>0</v>
      </c>
      <c r="AR7530">
        <v>0</v>
      </c>
      <c r="AS7530">
        <v>1</v>
      </c>
      <c r="AT7530">
        <v>0</v>
      </c>
      <c r="AV7530">
        <v>0</v>
      </c>
      <c r="AW7530">
        <v>0</v>
      </c>
    </row>
    <row r="7531" spans="1:49" x14ac:dyDescent="0.25">
      <c r="A7531" t="str">
        <f>"7527"</f>
        <v>7527</v>
      </c>
      <c r="B7531" t="str">
        <f t="shared" si="438"/>
        <v>1</v>
      </c>
      <c r="C7531" t="str">
        <f t="shared" si="437"/>
        <v>329</v>
      </c>
      <c r="D7531" t="str">
        <f>"15"</f>
        <v>15</v>
      </c>
      <c r="E7531" t="str">
        <f>"1-329-15"</f>
        <v>1-329-15</v>
      </c>
      <c r="F7531" t="s">
        <v>83</v>
      </c>
      <c r="G7531" t="s">
        <v>84</v>
      </c>
      <c r="H7531" t="s">
        <v>85</v>
      </c>
      <c r="AC7531">
        <v>0</v>
      </c>
      <c r="AD7531">
        <v>1</v>
      </c>
      <c r="AE7531">
        <v>0</v>
      </c>
      <c r="AF7531">
        <v>0</v>
      </c>
      <c r="AG7531">
        <v>0</v>
      </c>
      <c r="AJ7531">
        <v>0</v>
      </c>
      <c r="AK7531">
        <v>1</v>
      </c>
      <c r="AL7531">
        <v>0</v>
      </c>
      <c r="AM7531">
        <v>0</v>
      </c>
      <c r="AN7531">
        <v>1</v>
      </c>
      <c r="AO7531">
        <v>0</v>
      </c>
      <c r="AP7531">
        <v>0</v>
      </c>
      <c r="AQ7531">
        <v>0</v>
      </c>
      <c r="AR7531">
        <v>0</v>
      </c>
      <c r="AS7531">
        <v>0</v>
      </c>
      <c r="AT7531">
        <v>1</v>
      </c>
      <c r="AV7531">
        <v>0</v>
      </c>
      <c r="AW7531">
        <v>0</v>
      </c>
    </row>
    <row r="7532" spans="1:49" x14ac:dyDescent="0.25">
      <c r="A7532" t="str">
        <f>"7528"</f>
        <v>7528</v>
      </c>
      <c r="B7532" t="str">
        <f t="shared" si="438"/>
        <v>1</v>
      </c>
      <c r="C7532" t="str">
        <f t="shared" si="437"/>
        <v>329</v>
      </c>
      <c r="D7532" t="str">
        <f>"2"</f>
        <v>2</v>
      </c>
      <c r="E7532" t="str">
        <f>"1-329-2"</f>
        <v>1-329-2</v>
      </c>
      <c r="F7532" t="s">
        <v>83</v>
      </c>
      <c r="G7532" t="s">
        <v>88</v>
      </c>
      <c r="H7532" t="s">
        <v>89</v>
      </c>
      <c r="AC7532">
        <v>1</v>
      </c>
      <c r="AD7532">
        <v>0</v>
      </c>
      <c r="AE7532">
        <v>0</v>
      </c>
      <c r="AF7532">
        <v>0</v>
      </c>
      <c r="AH7532">
        <v>1</v>
      </c>
      <c r="AI7532">
        <v>0</v>
      </c>
      <c r="AJ7532">
        <v>1</v>
      </c>
      <c r="AK7532">
        <v>0</v>
      </c>
      <c r="AL7532">
        <v>0</v>
      </c>
      <c r="AM7532">
        <v>0</v>
      </c>
      <c r="AN7532">
        <v>1</v>
      </c>
      <c r="AO7532">
        <v>1</v>
      </c>
      <c r="AP7532">
        <v>1</v>
      </c>
      <c r="AQ7532">
        <v>1</v>
      </c>
      <c r="AR7532">
        <v>1</v>
      </c>
      <c r="AS7532">
        <v>0</v>
      </c>
      <c r="AT7532">
        <v>1</v>
      </c>
      <c r="AV7532">
        <v>1</v>
      </c>
      <c r="AW7532">
        <v>1</v>
      </c>
    </row>
    <row r="7533" spans="1:49" x14ac:dyDescent="0.25">
      <c r="A7533" t="str">
        <f>"7529"</f>
        <v>7529</v>
      </c>
      <c r="B7533" t="str">
        <f t="shared" si="438"/>
        <v>1</v>
      </c>
      <c r="C7533" t="str">
        <f t="shared" si="437"/>
        <v>329</v>
      </c>
      <c r="D7533" t="str">
        <f>"16"</f>
        <v>16</v>
      </c>
      <c r="E7533" t="str">
        <f>"1-329-16"</f>
        <v>1-329-16</v>
      </c>
      <c r="F7533" t="s">
        <v>83</v>
      </c>
      <c r="G7533" t="s">
        <v>84</v>
      </c>
      <c r="H7533" t="s">
        <v>85</v>
      </c>
      <c r="AC7533">
        <v>0</v>
      </c>
      <c r="AD7533">
        <v>1</v>
      </c>
      <c r="AE7533">
        <v>0</v>
      </c>
      <c r="AF7533">
        <v>0</v>
      </c>
      <c r="AG7533">
        <v>0</v>
      </c>
      <c r="AJ7533">
        <v>1</v>
      </c>
      <c r="AK7533">
        <v>0</v>
      </c>
      <c r="AL7533">
        <v>0</v>
      </c>
      <c r="AM7533">
        <v>0</v>
      </c>
      <c r="AN7533">
        <v>1</v>
      </c>
      <c r="AO7533">
        <v>0</v>
      </c>
      <c r="AP7533">
        <v>0</v>
      </c>
      <c r="AQ7533">
        <v>0</v>
      </c>
      <c r="AR7533">
        <v>0</v>
      </c>
      <c r="AS7533">
        <v>0</v>
      </c>
      <c r="AT7533">
        <v>1</v>
      </c>
      <c r="AV7533">
        <v>0</v>
      </c>
      <c r="AW7533">
        <v>0</v>
      </c>
    </row>
    <row r="7534" spans="1:49" x14ac:dyDescent="0.25">
      <c r="A7534" t="str">
        <f>"7530"</f>
        <v>7530</v>
      </c>
      <c r="B7534" t="str">
        <f t="shared" si="438"/>
        <v>1</v>
      </c>
      <c r="C7534" t="str">
        <f t="shared" si="437"/>
        <v>329</v>
      </c>
      <c r="D7534" t="str">
        <f>"7"</f>
        <v>7</v>
      </c>
      <c r="E7534" t="str">
        <f>"1-329-7"</f>
        <v>1-329-7</v>
      </c>
      <c r="F7534" t="s">
        <v>83</v>
      </c>
      <c r="G7534" t="s">
        <v>84</v>
      </c>
      <c r="H7534" t="s">
        <v>85</v>
      </c>
      <c r="AC7534">
        <v>1</v>
      </c>
      <c r="AD7534">
        <v>0</v>
      </c>
      <c r="AE7534">
        <v>0</v>
      </c>
      <c r="AF7534">
        <v>0</v>
      </c>
      <c r="AG7534">
        <v>0</v>
      </c>
      <c r="AJ7534">
        <v>1</v>
      </c>
      <c r="AK7534">
        <v>0</v>
      </c>
      <c r="AL7534">
        <v>1</v>
      </c>
      <c r="AM7534">
        <v>0</v>
      </c>
      <c r="AN7534">
        <v>0</v>
      </c>
      <c r="AO7534">
        <v>0</v>
      </c>
      <c r="AP7534">
        <v>0</v>
      </c>
      <c r="AQ7534">
        <v>0</v>
      </c>
      <c r="AR7534">
        <v>0</v>
      </c>
      <c r="AS7534">
        <v>1</v>
      </c>
      <c r="AT7534">
        <v>0</v>
      </c>
      <c r="AV7534">
        <v>1</v>
      </c>
      <c r="AW7534">
        <v>0</v>
      </c>
    </row>
    <row r="7535" spans="1:49" x14ac:dyDescent="0.25">
      <c r="A7535" t="str">
        <f>"7531"</f>
        <v>7531</v>
      </c>
      <c r="B7535" t="str">
        <f t="shared" si="438"/>
        <v>1</v>
      </c>
      <c r="C7535" t="str">
        <f t="shared" si="437"/>
        <v>329</v>
      </c>
      <c r="D7535" t="str">
        <f>"18"</f>
        <v>18</v>
      </c>
      <c r="E7535" t="str">
        <f>"1-329-18"</f>
        <v>1-329-18</v>
      </c>
      <c r="F7535" t="s">
        <v>83</v>
      </c>
      <c r="G7535" t="s">
        <v>84</v>
      </c>
      <c r="H7535" t="s">
        <v>92</v>
      </c>
      <c r="I7535">
        <v>1</v>
      </c>
      <c r="J7535">
        <v>1</v>
      </c>
      <c r="N7535">
        <v>1</v>
      </c>
      <c r="O7535">
        <v>1</v>
      </c>
      <c r="P7535">
        <v>1</v>
      </c>
      <c r="Q7535">
        <v>1</v>
      </c>
      <c r="R7535">
        <v>1</v>
      </c>
      <c r="S7535">
        <v>1</v>
      </c>
      <c r="T7535">
        <v>1</v>
      </c>
      <c r="W7535">
        <v>1</v>
      </c>
      <c r="X7535">
        <v>1</v>
      </c>
      <c r="Y7535">
        <v>1</v>
      </c>
      <c r="Z7535">
        <v>1</v>
      </c>
      <c r="AA7535">
        <v>1</v>
      </c>
      <c r="AB7535">
        <v>1</v>
      </c>
    </row>
    <row r="7536" spans="1:49" x14ac:dyDescent="0.25">
      <c r="A7536" t="str">
        <f>"7532"</f>
        <v>7532</v>
      </c>
      <c r="B7536" t="str">
        <f t="shared" si="438"/>
        <v>1</v>
      </c>
      <c r="C7536" t="str">
        <f t="shared" si="437"/>
        <v>329</v>
      </c>
      <c r="D7536" t="str">
        <f>"3"</f>
        <v>3</v>
      </c>
      <c r="E7536" t="str">
        <f>"1-329-3"</f>
        <v>1-329-3</v>
      </c>
      <c r="F7536" t="s">
        <v>83</v>
      </c>
      <c r="G7536" t="s">
        <v>84</v>
      </c>
      <c r="H7536" t="s">
        <v>92</v>
      </c>
      <c r="I7536">
        <v>1</v>
      </c>
      <c r="J7536">
        <v>1</v>
      </c>
      <c r="N7536">
        <v>1</v>
      </c>
      <c r="O7536">
        <v>1</v>
      </c>
      <c r="P7536">
        <v>1</v>
      </c>
      <c r="Q7536">
        <v>1</v>
      </c>
      <c r="R7536">
        <v>1</v>
      </c>
      <c r="S7536">
        <v>1</v>
      </c>
      <c r="T7536">
        <v>1</v>
      </c>
      <c r="W7536">
        <v>1</v>
      </c>
      <c r="X7536">
        <v>1</v>
      </c>
      <c r="Y7536">
        <v>1</v>
      </c>
      <c r="Z7536">
        <v>1</v>
      </c>
      <c r="AA7536">
        <v>1</v>
      </c>
      <c r="AB7536">
        <v>1</v>
      </c>
    </row>
    <row r="7537" spans="1:49" x14ac:dyDescent="0.25">
      <c r="A7537" t="str">
        <f>"7533"</f>
        <v>7533</v>
      </c>
      <c r="B7537" t="str">
        <f t="shared" si="438"/>
        <v>1</v>
      </c>
      <c r="C7537" t="str">
        <f t="shared" si="437"/>
        <v>329</v>
      </c>
      <c r="D7537" t="str">
        <f>"19"</f>
        <v>19</v>
      </c>
      <c r="E7537" t="str">
        <f>"1-329-19"</f>
        <v>1-329-19</v>
      </c>
      <c r="F7537" t="s">
        <v>83</v>
      </c>
      <c r="G7537" t="s">
        <v>84</v>
      </c>
      <c r="H7537" t="s">
        <v>92</v>
      </c>
      <c r="I7537">
        <v>1</v>
      </c>
      <c r="J7537">
        <v>1</v>
      </c>
      <c r="N7537">
        <v>1</v>
      </c>
      <c r="O7537">
        <v>1</v>
      </c>
      <c r="P7537">
        <v>1</v>
      </c>
      <c r="Q7537">
        <v>1</v>
      </c>
      <c r="R7537">
        <v>1</v>
      </c>
      <c r="S7537">
        <v>1</v>
      </c>
      <c r="T7537">
        <v>1</v>
      </c>
      <c r="W7537">
        <v>1</v>
      </c>
      <c r="X7537">
        <v>1</v>
      </c>
      <c r="Y7537">
        <v>1</v>
      </c>
      <c r="Z7537">
        <v>1</v>
      </c>
      <c r="AA7537">
        <v>1</v>
      </c>
      <c r="AB7537">
        <v>1</v>
      </c>
    </row>
    <row r="7538" spans="1:49" x14ac:dyDescent="0.25">
      <c r="A7538" t="str">
        <f>"7534"</f>
        <v>7534</v>
      </c>
      <c r="B7538" t="str">
        <f t="shared" si="438"/>
        <v>1</v>
      </c>
      <c r="C7538" t="str">
        <f t="shared" si="437"/>
        <v>329</v>
      </c>
      <c r="D7538" t="str">
        <f>"4"</f>
        <v>4</v>
      </c>
      <c r="E7538" t="str">
        <f>"1-329-4"</f>
        <v>1-329-4</v>
      </c>
      <c r="F7538" t="s">
        <v>83</v>
      </c>
      <c r="G7538" t="s">
        <v>84</v>
      </c>
      <c r="H7538" t="s">
        <v>85</v>
      </c>
      <c r="AC7538">
        <v>0</v>
      </c>
      <c r="AD7538">
        <v>1</v>
      </c>
      <c r="AE7538">
        <v>0</v>
      </c>
      <c r="AF7538">
        <v>0</v>
      </c>
      <c r="AG7538">
        <v>1</v>
      </c>
      <c r="AJ7538">
        <v>0</v>
      </c>
      <c r="AK7538">
        <v>1</v>
      </c>
      <c r="AL7538">
        <v>0</v>
      </c>
      <c r="AM7538">
        <v>0</v>
      </c>
      <c r="AN7538">
        <v>1</v>
      </c>
      <c r="AO7538">
        <v>0</v>
      </c>
      <c r="AP7538">
        <v>0</v>
      </c>
      <c r="AQ7538">
        <v>0</v>
      </c>
      <c r="AR7538">
        <v>1</v>
      </c>
      <c r="AS7538">
        <v>1</v>
      </c>
      <c r="AT7538">
        <v>0</v>
      </c>
      <c r="AV7538">
        <v>1</v>
      </c>
      <c r="AW7538">
        <v>1</v>
      </c>
    </row>
    <row r="7539" spans="1:49" x14ac:dyDescent="0.25">
      <c r="A7539" t="str">
        <f>"7535"</f>
        <v>7535</v>
      </c>
      <c r="B7539" t="str">
        <f t="shared" si="438"/>
        <v>1</v>
      </c>
      <c r="C7539" t="str">
        <f t="shared" ref="C7539:C7562" si="439">"330"</f>
        <v>330</v>
      </c>
      <c r="D7539" t="str">
        <f>"21"</f>
        <v>21</v>
      </c>
      <c r="E7539" t="str">
        <f>"1-330-21"</f>
        <v>1-330-21</v>
      </c>
      <c r="F7539" t="s">
        <v>83</v>
      </c>
      <c r="G7539" t="s">
        <v>84</v>
      </c>
      <c r="H7539" t="s">
        <v>85</v>
      </c>
      <c r="AC7539">
        <v>1</v>
      </c>
      <c r="AD7539">
        <v>0</v>
      </c>
      <c r="AE7539">
        <v>0</v>
      </c>
      <c r="AF7539">
        <v>0</v>
      </c>
      <c r="AG7539">
        <v>0</v>
      </c>
      <c r="AJ7539">
        <v>1</v>
      </c>
      <c r="AK7539">
        <v>0</v>
      </c>
      <c r="AL7539">
        <v>1</v>
      </c>
      <c r="AM7539">
        <v>0</v>
      </c>
      <c r="AN7539">
        <v>0</v>
      </c>
      <c r="AO7539">
        <v>0</v>
      </c>
      <c r="AP7539">
        <v>0</v>
      </c>
      <c r="AQ7539">
        <v>0</v>
      </c>
      <c r="AR7539">
        <v>0</v>
      </c>
      <c r="AS7539">
        <v>0</v>
      </c>
      <c r="AT7539">
        <v>1</v>
      </c>
      <c r="AV7539">
        <v>0</v>
      </c>
      <c r="AW7539">
        <v>0</v>
      </c>
    </row>
    <row r="7540" spans="1:49" x14ac:dyDescent="0.25">
      <c r="A7540" t="str">
        <f>"7536"</f>
        <v>7536</v>
      </c>
      <c r="B7540" t="str">
        <f t="shared" si="438"/>
        <v>1</v>
      </c>
      <c r="C7540" t="str">
        <f t="shared" si="439"/>
        <v>330</v>
      </c>
      <c r="D7540" t="str">
        <f>"20"</f>
        <v>20</v>
      </c>
      <c r="E7540" t="str">
        <f>"1-330-20"</f>
        <v>1-330-20</v>
      </c>
      <c r="F7540" t="s">
        <v>83</v>
      </c>
      <c r="G7540" t="s">
        <v>84</v>
      </c>
      <c r="H7540" t="s">
        <v>92</v>
      </c>
      <c r="I7540">
        <v>1</v>
      </c>
      <c r="J7540">
        <v>1</v>
      </c>
      <c r="N7540">
        <v>1</v>
      </c>
      <c r="O7540">
        <v>1</v>
      </c>
      <c r="P7540">
        <v>1</v>
      </c>
      <c r="Q7540">
        <v>1</v>
      </c>
      <c r="R7540">
        <v>1</v>
      </c>
      <c r="S7540">
        <v>1</v>
      </c>
      <c r="T7540">
        <v>1</v>
      </c>
      <c r="W7540">
        <v>1</v>
      </c>
      <c r="X7540">
        <v>1</v>
      </c>
      <c r="Y7540">
        <v>1</v>
      </c>
      <c r="Z7540">
        <v>1</v>
      </c>
      <c r="AA7540">
        <v>1</v>
      </c>
      <c r="AB7540">
        <v>1</v>
      </c>
    </row>
    <row r="7541" spans="1:49" x14ac:dyDescent="0.25">
      <c r="A7541" t="str">
        <f>"7537"</f>
        <v>7537</v>
      </c>
      <c r="B7541" t="str">
        <f t="shared" si="438"/>
        <v>1</v>
      </c>
      <c r="C7541" t="str">
        <f t="shared" si="439"/>
        <v>330</v>
      </c>
      <c r="D7541" t="str">
        <f>"13"</f>
        <v>13</v>
      </c>
      <c r="E7541" t="str">
        <f>"1-330-13"</f>
        <v>1-330-13</v>
      </c>
      <c r="F7541" t="s">
        <v>83</v>
      </c>
      <c r="G7541" t="s">
        <v>86</v>
      </c>
      <c r="H7541" t="s">
        <v>93</v>
      </c>
      <c r="I7541">
        <v>0</v>
      </c>
      <c r="K7541">
        <v>0</v>
      </c>
      <c r="L7541">
        <v>0</v>
      </c>
      <c r="M7541">
        <v>0</v>
      </c>
      <c r="N7541">
        <v>1</v>
      </c>
      <c r="O7541">
        <v>0</v>
      </c>
      <c r="P7541">
        <v>0</v>
      </c>
      <c r="Q7541">
        <v>0</v>
      </c>
      <c r="R7541">
        <v>0</v>
      </c>
      <c r="U7541">
        <v>0</v>
      </c>
      <c r="V7541">
        <v>0</v>
      </c>
      <c r="W7541">
        <v>0</v>
      </c>
      <c r="X7541">
        <v>0</v>
      </c>
      <c r="Y7541">
        <v>0</v>
      </c>
      <c r="Z7541">
        <v>0</v>
      </c>
      <c r="AA7541">
        <v>0</v>
      </c>
      <c r="AB7541">
        <v>0</v>
      </c>
    </row>
    <row r="7542" spans="1:49" x14ac:dyDescent="0.25">
      <c r="A7542" t="str">
        <f>"7538"</f>
        <v>7538</v>
      </c>
      <c r="B7542" t="str">
        <f t="shared" si="438"/>
        <v>1</v>
      </c>
      <c r="C7542" t="str">
        <f t="shared" si="439"/>
        <v>330</v>
      </c>
      <c r="D7542" t="str">
        <f>"12"</f>
        <v>12</v>
      </c>
      <c r="E7542" t="str">
        <f>"1-330-12"</f>
        <v>1-330-12</v>
      </c>
      <c r="F7542" t="s">
        <v>83</v>
      </c>
      <c r="G7542" t="s">
        <v>84</v>
      </c>
      <c r="H7542" t="s">
        <v>92</v>
      </c>
      <c r="I7542">
        <v>1</v>
      </c>
      <c r="J7542">
        <v>1</v>
      </c>
      <c r="N7542">
        <v>1</v>
      </c>
      <c r="O7542">
        <v>1</v>
      </c>
      <c r="P7542">
        <v>1</v>
      </c>
      <c r="Q7542">
        <v>1</v>
      </c>
      <c r="R7542">
        <v>1</v>
      </c>
      <c r="S7542">
        <v>1</v>
      </c>
      <c r="T7542">
        <v>1</v>
      </c>
      <c r="W7542">
        <v>1</v>
      </c>
      <c r="X7542">
        <v>1</v>
      </c>
      <c r="Y7542">
        <v>1</v>
      </c>
      <c r="Z7542">
        <v>1</v>
      </c>
      <c r="AA7542">
        <v>1</v>
      </c>
      <c r="AB7542">
        <v>1</v>
      </c>
    </row>
    <row r="7543" spans="1:49" x14ac:dyDescent="0.25">
      <c r="A7543" t="str">
        <f>"7539"</f>
        <v>7539</v>
      </c>
      <c r="B7543" t="str">
        <f t="shared" si="438"/>
        <v>1</v>
      </c>
      <c r="C7543" t="str">
        <f t="shared" si="439"/>
        <v>330</v>
      </c>
      <c r="D7543" t="str">
        <f>"11"</f>
        <v>11</v>
      </c>
      <c r="E7543" t="str">
        <f>"1-330-11"</f>
        <v>1-330-11</v>
      </c>
      <c r="F7543" t="s">
        <v>83</v>
      </c>
      <c r="G7543" t="s">
        <v>84</v>
      </c>
      <c r="H7543" t="s">
        <v>85</v>
      </c>
      <c r="AC7543">
        <v>0</v>
      </c>
      <c r="AD7543">
        <v>1</v>
      </c>
      <c r="AE7543">
        <v>0</v>
      </c>
      <c r="AF7543">
        <v>0</v>
      </c>
      <c r="AG7543">
        <v>1</v>
      </c>
      <c r="AJ7543">
        <v>1</v>
      </c>
      <c r="AK7543">
        <v>0</v>
      </c>
      <c r="AL7543">
        <v>0</v>
      </c>
      <c r="AM7543">
        <v>0</v>
      </c>
      <c r="AN7543">
        <v>1</v>
      </c>
      <c r="AO7543">
        <v>1</v>
      </c>
      <c r="AP7543">
        <v>1</v>
      </c>
      <c r="AQ7543">
        <v>1</v>
      </c>
      <c r="AR7543">
        <v>1</v>
      </c>
      <c r="AS7543">
        <v>0</v>
      </c>
      <c r="AT7543">
        <v>1</v>
      </c>
      <c r="AV7543">
        <v>1</v>
      </c>
      <c r="AW7543">
        <v>1</v>
      </c>
    </row>
    <row r="7544" spans="1:49" x14ac:dyDescent="0.25">
      <c r="A7544" t="str">
        <f>"7540"</f>
        <v>7540</v>
      </c>
      <c r="B7544" t="str">
        <f t="shared" si="438"/>
        <v>1</v>
      </c>
      <c r="C7544" t="str">
        <f t="shared" si="439"/>
        <v>330</v>
      </c>
      <c r="D7544" t="str">
        <f>"8"</f>
        <v>8</v>
      </c>
      <c r="E7544" t="str">
        <f>"1-330-8"</f>
        <v>1-330-8</v>
      </c>
      <c r="F7544" t="s">
        <v>83</v>
      </c>
      <c r="G7544" t="s">
        <v>84</v>
      </c>
      <c r="H7544" t="s">
        <v>85</v>
      </c>
      <c r="AC7544">
        <v>1</v>
      </c>
      <c r="AD7544">
        <v>0</v>
      </c>
      <c r="AE7544">
        <v>0</v>
      </c>
      <c r="AF7544">
        <v>0</v>
      </c>
      <c r="AG7544">
        <v>1</v>
      </c>
      <c r="AJ7544">
        <v>1</v>
      </c>
      <c r="AK7544">
        <v>0</v>
      </c>
      <c r="AL7544">
        <v>1</v>
      </c>
      <c r="AM7544">
        <v>0</v>
      </c>
      <c r="AN7544">
        <v>0</v>
      </c>
      <c r="AO7544">
        <v>1</v>
      </c>
      <c r="AP7544">
        <v>1</v>
      </c>
      <c r="AQ7544">
        <v>1</v>
      </c>
      <c r="AR7544">
        <v>1</v>
      </c>
      <c r="AS7544">
        <v>1</v>
      </c>
      <c r="AT7544">
        <v>0</v>
      </c>
      <c r="AV7544">
        <v>1</v>
      </c>
      <c r="AW7544">
        <v>1</v>
      </c>
    </row>
    <row r="7545" spans="1:49" x14ac:dyDescent="0.25">
      <c r="A7545" t="str">
        <f>"7541"</f>
        <v>7541</v>
      </c>
      <c r="B7545" t="str">
        <f t="shared" si="438"/>
        <v>1</v>
      </c>
      <c r="C7545" t="str">
        <f t="shared" si="439"/>
        <v>330</v>
      </c>
      <c r="D7545" t="str">
        <f>"3"</f>
        <v>3</v>
      </c>
      <c r="E7545" t="str">
        <f>"1-330-3"</f>
        <v>1-330-3</v>
      </c>
      <c r="F7545" t="s">
        <v>83</v>
      </c>
      <c r="G7545" t="s">
        <v>84</v>
      </c>
      <c r="H7545" t="s">
        <v>85</v>
      </c>
      <c r="AC7545">
        <v>1</v>
      </c>
      <c r="AD7545">
        <v>0</v>
      </c>
      <c r="AE7545">
        <v>0</v>
      </c>
      <c r="AF7545">
        <v>0</v>
      </c>
      <c r="AG7545">
        <v>0</v>
      </c>
      <c r="AJ7545">
        <v>1</v>
      </c>
      <c r="AK7545">
        <v>0</v>
      </c>
      <c r="AL7545">
        <v>1</v>
      </c>
      <c r="AM7545">
        <v>0</v>
      </c>
      <c r="AN7545">
        <v>0</v>
      </c>
      <c r="AO7545">
        <v>0</v>
      </c>
      <c r="AP7545">
        <v>0</v>
      </c>
      <c r="AQ7545">
        <v>0</v>
      </c>
      <c r="AR7545">
        <v>0</v>
      </c>
      <c r="AS7545">
        <v>1</v>
      </c>
      <c r="AT7545">
        <v>0</v>
      </c>
      <c r="AV7545">
        <v>0</v>
      </c>
      <c r="AW7545">
        <v>1</v>
      </c>
    </row>
    <row r="7546" spans="1:49" x14ac:dyDescent="0.25">
      <c r="A7546" t="str">
        <f>"7542"</f>
        <v>7542</v>
      </c>
      <c r="B7546" t="str">
        <f t="shared" si="438"/>
        <v>1</v>
      </c>
      <c r="C7546" t="str">
        <f t="shared" si="439"/>
        <v>330</v>
      </c>
      <c r="D7546" t="str">
        <f>"24"</f>
        <v>24</v>
      </c>
      <c r="E7546" t="str">
        <f>"1-330-24"</f>
        <v>1-330-24</v>
      </c>
      <c r="F7546" t="s">
        <v>83</v>
      </c>
      <c r="G7546" t="s">
        <v>84</v>
      </c>
      <c r="H7546" t="s">
        <v>85</v>
      </c>
      <c r="AC7546">
        <v>0</v>
      </c>
      <c r="AD7546">
        <v>1</v>
      </c>
      <c r="AE7546">
        <v>0</v>
      </c>
      <c r="AF7546">
        <v>0</v>
      </c>
      <c r="AG7546">
        <v>1</v>
      </c>
      <c r="AJ7546">
        <v>0</v>
      </c>
      <c r="AK7546">
        <v>1</v>
      </c>
      <c r="AL7546">
        <v>0</v>
      </c>
      <c r="AM7546">
        <v>1</v>
      </c>
      <c r="AN7546">
        <v>0</v>
      </c>
      <c r="AO7546">
        <v>1</v>
      </c>
      <c r="AP7546">
        <v>1</v>
      </c>
      <c r="AQ7546">
        <v>1</v>
      </c>
      <c r="AR7546">
        <v>1</v>
      </c>
      <c r="AS7546">
        <v>1</v>
      </c>
      <c r="AT7546">
        <v>0</v>
      </c>
      <c r="AV7546">
        <v>1</v>
      </c>
      <c r="AW7546">
        <v>1</v>
      </c>
    </row>
    <row r="7547" spans="1:49" x14ac:dyDescent="0.25">
      <c r="A7547" t="str">
        <f>"7543"</f>
        <v>7543</v>
      </c>
      <c r="B7547" t="str">
        <f t="shared" si="438"/>
        <v>1</v>
      </c>
      <c r="C7547" t="str">
        <f t="shared" si="439"/>
        <v>330</v>
      </c>
      <c r="D7547" t="str">
        <f>"14"</f>
        <v>14</v>
      </c>
      <c r="E7547" t="str">
        <f>"1-330-14"</f>
        <v>1-330-14</v>
      </c>
      <c r="F7547" t="s">
        <v>83</v>
      </c>
      <c r="G7547" t="s">
        <v>84</v>
      </c>
      <c r="H7547" t="s">
        <v>85</v>
      </c>
      <c r="AC7547">
        <v>0</v>
      </c>
      <c r="AD7547">
        <v>1</v>
      </c>
      <c r="AE7547">
        <v>0</v>
      </c>
      <c r="AF7547">
        <v>0</v>
      </c>
      <c r="AG7547">
        <v>1</v>
      </c>
      <c r="AJ7547">
        <v>0</v>
      </c>
      <c r="AK7547">
        <v>1</v>
      </c>
      <c r="AL7547">
        <v>0</v>
      </c>
      <c r="AM7547">
        <v>0</v>
      </c>
      <c r="AN7547">
        <v>1</v>
      </c>
      <c r="AO7547">
        <v>1</v>
      </c>
      <c r="AP7547">
        <v>1</v>
      </c>
      <c r="AQ7547">
        <v>1</v>
      </c>
      <c r="AR7547">
        <v>1</v>
      </c>
      <c r="AS7547">
        <v>0</v>
      </c>
      <c r="AT7547">
        <v>1</v>
      </c>
      <c r="AV7547">
        <v>1</v>
      </c>
      <c r="AW7547">
        <v>1</v>
      </c>
    </row>
    <row r="7548" spans="1:49" x14ac:dyDescent="0.25">
      <c r="A7548" t="str">
        <f>"7544"</f>
        <v>7544</v>
      </c>
      <c r="B7548" t="str">
        <f t="shared" si="438"/>
        <v>1</v>
      </c>
      <c r="C7548" t="str">
        <f t="shared" si="439"/>
        <v>330</v>
      </c>
      <c r="D7548" t="str">
        <f>"9"</f>
        <v>9</v>
      </c>
      <c r="E7548" t="str">
        <f>"1-330-9"</f>
        <v>1-330-9</v>
      </c>
      <c r="F7548" t="s">
        <v>83</v>
      </c>
      <c r="G7548" t="s">
        <v>84</v>
      </c>
      <c r="H7548" t="s">
        <v>92</v>
      </c>
      <c r="I7548">
        <v>1</v>
      </c>
      <c r="J7548">
        <v>1</v>
      </c>
      <c r="N7548">
        <v>1</v>
      </c>
      <c r="O7548">
        <v>1</v>
      </c>
      <c r="P7548">
        <v>1</v>
      </c>
      <c r="Q7548">
        <v>1</v>
      </c>
      <c r="R7548">
        <v>1</v>
      </c>
      <c r="S7548">
        <v>1</v>
      </c>
      <c r="T7548">
        <v>0</v>
      </c>
      <c r="W7548">
        <v>1</v>
      </c>
      <c r="X7548">
        <v>1</v>
      </c>
      <c r="Y7548">
        <v>1</v>
      </c>
      <c r="Z7548">
        <v>1</v>
      </c>
      <c r="AA7548">
        <v>1</v>
      </c>
      <c r="AB7548">
        <v>1</v>
      </c>
    </row>
    <row r="7549" spans="1:49" x14ac:dyDescent="0.25">
      <c r="A7549" t="str">
        <f>"7545"</f>
        <v>7545</v>
      </c>
      <c r="B7549" t="str">
        <f t="shared" si="438"/>
        <v>1</v>
      </c>
      <c r="C7549" t="str">
        <f t="shared" si="439"/>
        <v>330</v>
      </c>
      <c r="D7549" t="str">
        <f>"5"</f>
        <v>5</v>
      </c>
      <c r="E7549" t="str">
        <f>"1-330-5"</f>
        <v>1-330-5</v>
      </c>
      <c r="F7549" t="s">
        <v>83</v>
      </c>
      <c r="G7549" t="s">
        <v>84</v>
      </c>
      <c r="H7549" t="s">
        <v>85</v>
      </c>
      <c r="AC7549">
        <v>1</v>
      </c>
      <c r="AD7549">
        <v>0</v>
      </c>
      <c r="AE7549">
        <v>0</v>
      </c>
      <c r="AF7549">
        <v>0</v>
      </c>
      <c r="AG7549">
        <v>1</v>
      </c>
      <c r="AJ7549">
        <v>1</v>
      </c>
      <c r="AK7549">
        <v>0</v>
      </c>
      <c r="AL7549">
        <v>1</v>
      </c>
      <c r="AM7549">
        <v>0</v>
      </c>
      <c r="AN7549">
        <v>0</v>
      </c>
      <c r="AO7549">
        <v>0</v>
      </c>
      <c r="AP7549">
        <v>1</v>
      </c>
      <c r="AQ7549">
        <v>1</v>
      </c>
      <c r="AR7549">
        <v>0</v>
      </c>
      <c r="AS7549">
        <v>1</v>
      </c>
      <c r="AT7549">
        <v>0</v>
      </c>
      <c r="AV7549">
        <v>1</v>
      </c>
      <c r="AW7549">
        <v>0</v>
      </c>
    </row>
    <row r="7550" spans="1:49" x14ac:dyDescent="0.25">
      <c r="A7550" t="str">
        <f>"7546"</f>
        <v>7546</v>
      </c>
      <c r="B7550" t="str">
        <f t="shared" si="438"/>
        <v>1</v>
      </c>
      <c r="C7550" t="str">
        <f t="shared" si="439"/>
        <v>330</v>
      </c>
      <c r="D7550" t="str">
        <f>"23"</f>
        <v>23</v>
      </c>
      <c r="E7550" t="str">
        <f>"1-330-23"</f>
        <v>1-330-23</v>
      </c>
      <c r="F7550" t="s">
        <v>83</v>
      </c>
      <c r="G7550" t="s">
        <v>84</v>
      </c>
      <c r="H7550" t="s">
        <v>85</v>
      </c>
      <c r="AC7550">
        <v>0</v>
      </c>
      <c r="AD7550">
        <v>1</v>
      </c>
      <c r="AE7550">
        <v>0</v>
      </c>
      <c r="AF7550">
        <v>0</v>
      </c>
      <c r="AG7550">
        <v>1</v>
      </c>
      <c r="AJ7550">
        <v>0</v>
      </c>
      <c r="AK7550">
        <v>1</v>
      </c>
      <c r="AL7550">
        <v>0</v>
      </c>
      <c r="AM7550">
        <v>0</v>
      </c>
      <c r="AN7550">
        <v>1</v>
      </c>
      <c r="AO7550">
        <v>1</v>
      </c>
      <c r="AP7550">
        <v>1</v>
      </c>
      <c r="AQ7550">
        <v>1</v>
      </c>
      <c r="AR7550">
        <v>1</v>
      </c>
      <c r="AS7550">
        <v>0</v>
      </c>
      <c r="AT7550">
        <v>1</v>
      </c>
      <c r="AV7550">
        <v>1</v>
      </c>
      <c r="AW7550">
        <v>1</v>
      </c>
    </row>
    <row r="7551" spans="1:49" x14ac:dyDescent="0.25">
      <c r="A7551" t="str">
        <f>"7547"</f>
        <v>7547</v>
      </c>
      <c r="B7551" t="str">
        <f t="shared" si="438"/>
        <v>1</v>
      </c>
      <c r="C7551" t="str">
        <f t="shared" si="439"/>
        <v>330</v>
      </c>
      <c r="D7551" t="str">
        <f>"22"</f>
        <v>22</v>
      </c>
      <c r="E7551" t="str">
        <f>"1-330-22"</f>
        <v>1-330-22</v>
      </c>
      <c r="F7551" t="s">
        <v>83</v>
      </c>
      <c r="G7551" t="s">
        <v>84</v>
      </c>
      <c r="H7551" t="s">
        <v>85</v>
      </c>
      <c r="AC7551">
        <v>0</v>
      </c>
      <c r="AD7551">
        <v>1</v>
      </c>
      <c r="AE7551">
        <v>0</v>
      </c>
      <c r="AF7551">
        <v>0</v>
      </c>
      <c r="AG7551">
        <v>1</v>
      </c>
      <c r="AJ7551">
        <v>0</v>
      </c>
      <c r="AK7551">
        <v>1</v>
      </c>
      <c r="AL7551">
        <v>0</v>
      </c>
      <c r="AM7551">
        <v>0</v>
      </c>
      <c r="AN7551">
        <v>1</v>
      </c>
      <c r="AO7551">
        <v>1</v>
      </c>
      <c r="AP7551">
        <v>1</v>
      </c>
      <c r="AQ7551">
        <v>1</v>
      </c>
      <c r="AR7551">
        <v>1</v>
      </c>
      <c r="AS7551">
        <v>0</v>
      </c>
      <c r="AT7551">
        <v>1</v>
      </c>
      <c r="AV7551">
        <v>1</v>
      </c>
      <c r="AW7551">
        <v>1</v>
      </c>
    </row>
    <row r="7552" spans="1:49" x14ac:dyDescent="0.25">
      <c r="A7552" t="str">
        <f>"7548"</f>
        <v>7548</v>
      </c>
      <c r="B7552" t="str">
        <f t="shared" si="438"/>
        <v>1</v>
      </c>
      <c r="C7552" t="str">
        <f t="shared" si="439"/>
        <v>330</v>
      </c>
      <c r="D7552" t="str">
        <f>"15"</f>
        <v>15</v>
      </c>
      <c r="E7552" t="str">
        <f>"1-330-15"</f>
        <v>1-330-15</v>
      </c>
      <c r="F7552" t="s">
        <v>83</v>
      </c>
      <c r="G7552" t="s">
        <v>84</v>
      </c>
      <c r="H7552" t="s">
        <v>85</v>
      </c>
      <c r="AC7552">
        <v>0</v>
      </c>
      <c r="AD7552">
        <v>1</v>
      </c>
      <c r="AE7552">
        <v>0</v>
      </c>
      <c r="AF7552">
        <v>0</v>
      </c>
      <c r="AG7552">
        <v>0</v>
      </c>
      <c r="AJ7552">
        <v>0</v>
      </c>
      <c r="AK7552">
        <v>1</v>
      </c>
      <c r="AL7552">
        <v>0</v>
      </c>
      <c r="AM7552">
        <v>1</v>
      </c>
      <c r="AN7552">
        <v>0</v>
      </c>
      <c r="AO7552">
        <v>0</v>
      </c>
      <c r="AP7552">
        <v>0</v>
      </c>
      <c r="AQ7552">
        <v>0</v>
      </c>
      <c r="AR7552">
        <v>0</v>
      </c>
      <c r="AS7552">
        <v>0</v>
      </c>
      <c r="AT7552">
        <v>1</v>
      </c>
      <c r="AV7552">
        <v>0</v>
      </c>
      <c r="AW7552">
        <v>0</v>
      </c>
    </row>
    <row r="7553" spans="1:49" x14ac:dyDescent="0.25">
      <c r="A7553" t="str">
        <f>"7549"</f>
        <v>7549</v>
      </c>
      <c r="B7553" t="str">
        <f t="shared" si="438"/>
        <v>1</v>
      </c>
      <c r="C7553" t="str">
        <f t="shared" si="439"/>
        <v>330</v>
      </c>
      <c r="D7553" t="str">
        <f>"10"</f>
        <v>10</v>
      </c>
      <c r="E7553" t="str">
        <f>"1-330-10"</f>
        <v>1-330-10</v>
      </c>
      <c r="F7553" t="s">
        <v>83</v>
      </c>
      <c r="G7553" t="s">
        <v>84</v>
      </c>
      <c r="H7553" t="s">
        <v>92</v>
      </c>
      <c r="I7553">
        <v>1</v>
      </c>
      <c r="J7553">
        <v>1</v>
      </c>
      <c r="N7553">
        <v>1</v>
      </c>
      <c r="O7553">
        <v>1</v>
      </c>
      <c r="P7553">
        <v>1</v>
      </c>
      <c r="Q7553">
        <v>1</v>
      </c>
      <c r="R7553">
        <v>1</v>
      </c>
      <c r="S7553">
        <v>1</v>
      </c>
      <c r="T7553">
        <v>1</v>
      </c>
      <c r="W7553">
        <v>1</v>
      </c>
      <c r="X7553">
        <v>1</v>
      </c>
      <c r="Y7553">
        <v>1</v>
      </c>
      <c r="Z7553">
        <v>1</v>
      </c>
      <c r="AA7553">
        <v>1</v>
      </c>
      <c r="AB7553">
        <v>1</v>
      </c>
    </row>
    <row r="7554" spans="1:49" x14ac:dyDescent="0.25">
      <c r="A7554" t="str">
        <f>"7550"</f>
        <v>7550</v>
      </c>
      <c r="B7554" t="str">
        <f t="shared" si="438"/>
        <v>1</v>
      </c>
      <c r="C7554" t="str">
        <f t="shared" si="439"/>
        <v>330</v>
      </c>
      <c r="D7554" t="str">
        <f>"1"</f>
        <v>1</v>
      </c>
      <c r="E7554" t="str">
        <f>"1-330-1"</f>
        <v>1-330-1</v>
      </c>
      <c r="F7554" t="s">
        <v>83</v>
      </c>
      <c r="G7554" t="s">
        <v>84</v>
      </c>
      <c r="H7554" t="s">
        <v>85</v>
      </c>
      <c r="AC7554">
        <v>0</v>
      </c>
      <c r="AD7554">
        <v>1</v>
      </c>
      <c r="AE7554">
        <v>0</v>
      </c>
      <c r="AF7554">
        <v>0</v>
      </c>
      <c r="AG7554">
        <v>0</v>
      </c>
      <c r="AJ7554">
        <v>1</v>
      </c>
      <c r="AK7554">
        <v>0</v>
      </c>
      <c r="AL7554">
        <v>1</v>
      </c>
      <c r="AM7554">
        <v>0</v>
      </c>
      <c r="AN7554">
        <v>0</v>
      </c>
      <c r="AO7554">
        <v>0</v>
      </c>
      <c r="AP7554">
        <v>0</v>
      </c>
      <c r="AQ7554">
        <v>0</v>
      </c>
      <c r="AR7554">
        <v>0</v>
      </c>
      <c r="AS7554">
        <v>1</v>
      </c>
      <c r="AT7554">
        <v>0</v>
      </c>
      <c r="AV7554">
        <v>0</v>
      </c>
      <c r="AW7554">
        <v>0</v>
      </c>
    </row>
    <row r="7555" spans="1:49" x14ac:dyDescent="0.25">
      <c r="A7555" t="str">
        <f>"7551"</f>
        <v>7551</v>
      </c>
      <c r="B7555" t="str">
        <f t="shared" si="438"/>
        <v>1</v>
      </c>
      <c r="C7555" t="str">
        <f t="shared" si="439"/>
        <v>330</v>
      </c>
      <c r="D7555" t="str">
        <f>"16"</f>
        <v>16</v>
      </c>
      <c r="E7555" t="str">
        <f>"1-330-16"</f>
        <v>1-330-16</v>
      </c>
      <c r="F7555" t="s">
        <v>83</v>
      </c>
      <c r="G7555" t="s">
        <v>84</v>
      </c>
      <c r="H7555" t="s">
        <v>92</v>
      </c>
      <c r="I7555">
        <v>1</v>
      </c>
      <c r="J7555">
        <v>1</v>
      </c>
      <c r="N7555">
        <v>1</v>
      </c>
      <c r="O7555">
        <v>1</v>
      </c>
      <c r="P7555">
        <v>1</v>
      </c>
      <c r="Q7555">
        <v>1</v>
      </c>
      <c r="R7555">
        <v>1</v>
      </c>
      <c r="S7555">
        <v>1</v>
      </c>
      <c r="T7555">
        <v>1</v>
      </c>
      <c r="W7555">
        <v>1</v>
      </c>
      <c r="X7555">
        <v>1</v>
      </c>
      <c r="Y7555">
        <v>1</v>
      </c>
      <c r="Z7555">
        <v>1</v>
      </c>
      <c r="AA7555">
        <v>1</v>
      </c>
      <c r="AB7555">
        <v>1</v>
      </c>
    </row>
    <row r="7556" spans="1:49" x14ac:dyDescent="0.25">
      <c r="A7556" t="str">
        <f>"7552"</f>
        <v>7552</v>
      </c>
      <c r="B7556" t="str">
        <f t="shared" si="438"/>
        <v>1</v>
      </c>
      <c r="C7556" t="str">
        <f t="shared" si="439"/>
        <v>330</v>
      </c>
      <c r="D7556" t="str">
        <f>"2"</f>
        <v>2</v>
      </c>
      <c r="E7556" t="str">
        <f>"1-330-2"</f>
        <v>1-330-2</v>
      </c>
      <c r="F7556" t="s">
        <v>83</v>
      </c>
      <c r="G7556" t="s">
        <v>84</v>
      </c>
      <c r="H7556" t="s">
        <v>92</v>
      </c>
      <c r="I7556">
        <v>1</v>
      </c>
      <c r="J7556">
        <v>1</v>
      </c>
      <c r="N7556">
        <v>1</v>
      </c>
      <c r="O7556">
        <v>1</v>
      </c>
      <c r="P7556">
        <v>1</v>
      </c>
      <c r="Q7556">
        <v>1</v>
      </c>
      <c r="R7556">
        <v>1</v>
      </c>
      <c r="S7556">
        <v>1</v>
      </c>
      <c r="T7556">
        <v>1</v>
      </c>
      <c r="W7556">
        <v>1</v>
      </c>
      <c r="X7556">
        <v>1</v>
      </c>
      <c r="Y7556">
        <v>1</v>
      </c>
      <c r="Z7556">
        <v>1</v>
      </c>
      <c r="AA7556">
        <v>1</v>
      </c>
      <c r="AB7556">
        <v>1</v>
      </c>
    </row>
    <row r="7557" spans="1:49" x14ac:dyDescent="0.25">
      <c r="A7557" t="str">
        <f>"7553"</f>
        <v>7553</v>
      </c>
      <c r="B7557" t="str">
        <f t="shared" si="438"/>
        <v>1</v>
      </c>
      <c r="C7557" t="str">
        <f t="shared" si="439"/>
        <v>330</v>
      </c>
      <c r="D7557" t="str">
        <f>"17"</f>
        <v>17</v>
      </c>
      <c r="E7557" t="str">
        <f>"1-330-17"</f>
        <v>1-330-17</v>
      </c>
      <c r="F7557" t="s">
        <v>83</v>
      </c>
      <c r="G7557" t="s">
        <v>84</v>
      </c>
      <c r="H7557" t="s">
        <v>85</v>
      </c>
      <c r="AC7557">
        <v>0</v>
      </c>
      <c r="AD7557">
        <v>1</v>
      </c>
      <c r="AE7557">
        <v>0</v>
      </c>
      <c r="AF7557">
        <v>0</v>
      </c>
      <c r="AG7557">
        <v>1</v>
      </c>
      <c r="AJ7557">
        <v>1</v>
      </c>
      <c r="AK7557">
        <v>0</v>
      </c>
      <c r="AL7557">
        <v>1</v>
      </c>
      <c r="AM7557">
        <v>0</v>
      </c>
      <c r="AN7557">
        <v>0</v>
      </c>
      <c r="AO7557">
        <v>1</v>
      </c>
      <c r="AP7557">
        <v>1</v>
      </c>
      <c r="AQ7557">
        <v>1</v>
      </c>
      <c r="AR7557">
        <v>1</v>
      </c>
      <c r="AS7557">
        <v>1</v>
      </c>
      <c r="AT7557">
        <v>0</v>
      </c>
      <c r="AV7557">
        <v>1</v>
      </c>
      <c r="AW7557">
        <v>1</v>
      </c>
    </row>
    <row r="7558" spans="1:49" x14ac:dyDescent="0.25">
      <c r="A7558" t="str">
        <f>"7554"</f>
        <v>7554</v>
      </c>
      <c r="B7558" t="str">
        <f t="shared" si="438"/>
        <v>1</v>
      </c>
      <c r="C7558" t="str">
        <f t="shared" si="439"/>
        <v>330</v>
      </c>
      <c r="D7558" t="str">
        <f>"7"</f>
        <v>7</v>
      </c>
      <c r="E7558" t="str">
        <f>"1-330-7"</f>
        <v>1-330-7</v>
      </c>
      <c r="F7558" t="s">
        <v>83</v>
      </c>
      <c r="G7558" t="s">
        <v>84</v>
      </c>
      <c r="H7558" t="s">
        <v>92</v>
      </c>
      <c r="I7558">
        <v>1</v>
      </c>
      <c r="J7558">
        <v>1</v>
      </c>
      <c r="N7558">
        <v>1</v>
      </c>
      <c r="O7558">
        <v>1</v>
      </c>
      <c r="P7558">
        <v>1</v>
      </c>
      <c r="Q7558">
        <v>1</v>
      </c>
      <c r="R7558">
        <v>1</v>
      </c>
      <c r="S7558">
        <v>1</v>
      </c>
      <c r="T7558">
        <v>1</v>
      </c>
      <c r="W7558">
        <v>1</v>
      </c>
      <c r="X7558">
        <v>1</v>
      </c>
      <c r="Y7558">
        <v>1</v>
      </c>
      <c r="Z7558">
        <v>1</v>
      </c>
      <c r="AA7558">
        <v>1</v>
      </c>
      <c r="AB7558">
        <v>1</v>
      </c>
    </row>
    <row r="7559" spans="1:49" x14ac:dyDescent="0.25">
      <c r="A7559" t="str">
        <f>"7555"</f>
        <v>7555</v>
      </c>
      <c r="B7559" t="str">
        <f t="shared" si="438"/>
        <v>1</v>
      </c>
      <c r="C7559" t="str">
        <f t="shared" si="439"/>
        <v>330</v>
      </c>
      <c r="D7559" t="str">
        <f>"18"</f>
        <v>18</v>
      </c>
      <c r="E7559" t="str">
        <f>"1-330-18"</f>
        <v>1-330-18</v>
      </c>
      <c r="F7559" t="s">
        <v>83</v>
      </c>
      <c r="G7559" t="s">
        <v>84</v>
      </c>
      <c r="H7559" t="s">
        <v>85</v>
      </c>
      <c r="AC7559">
        <v>0</v>
      </c>
      <c r="AD7559">
        <v>1</v>
      </c>
      <c r="AE7559">
        <v>0</v>
      </c>
      <c r="AF7559">
        <v>0</v>
      </c>
      <c r="AG7559">
        <v>0</v>
      </c>
      <c r="AJ7559">
        <v>0</v>
      </c>
      <c r="AK7559">
        <v>1</v>
      </c>
      <c r="AL7559">
        <v>0</v>
      </c>
      <c r="AM7559">
        <v>0</v>
      </c>
      <c r="AN7559">
        <v>1</v>
      </c>
      <c r="AO7559">
        <v>0</v>
      </c>
      <c r="AP7559">
        <v>0</v>
      </c>
      <c r="AQ7559">
        <v>0</v>
      </c>
      <c r="AR7559">
        <v>0</v>
      </c>
      <c r="AS7559">
        <v>1</v>
      </c>
      <c r="AT7559">
        <v>0</v>
      </c>
      <c r="AV7559">
        <v>0</v>
      </c>
      <c r="AW7559">
        <v>0</v>
      </c>
    </row>
    <row r="7560" spans="1:49" x14ac:dyDescent="0.25">
      <c r="A7560" t="str">
        <f>"7556"</f>
        <v>7556</v>
      </c>
      <c r="B7560" t="str">
        <f t="shared" si="438"/>
        <v>1</v>
      </c>
      <c r="C7560" t="str">
        <f t="shared" si="439"/>
        <v>330</v>
      </c>
      <c r="D7560" t="str">
        <f>"6"</f>
        <v>6</v>
      </c>
      <c r="E7560" t="str">
        <f>"1-330-6"</f>
        <v>1-330-6</v>
      </c>
      <c r="F7560" t="s">
        <v>83</v>
      </c>
      <c r="G7560" t="s">
        <v>88</v>
      </c>
      <c r="H7560" t="s">
        <v>95</v>
      </c>
      <c r="I7560">
        <v>1</v>
      </c>
      <c r="K7560">
        <v>0</v>
      </c>
      <c r="L7560">
        <v>1</v>
      </c>
      <c r="M7560">
        <v>0</v>
      </c>
      <c r="N7560">
        <v>1</v>
      </c>
      <c r="O7560">
        <v>1</v>
      </c>
      <c r="P7560">
        <v>1</v>
      </c>
      <c r="Q7560">
        <v>1</v>
      </c>
      <c r="R7560">
        <v>0</v>
      </c>
      <c r="S7560">
        <v>1</v>
      </c>
      <c r="T7560">
        <v>1</v>
      </c>
      <c r="W7560">
        <v>1</v>
      </c>
      <c r="X7560">
        <v>1</v>
      </c>
      <c r="Y7560">
        <v>1</v>
      </c>
      <c r="Z7560">
        <v>1</v>
      </c>
      <c r="AA7560">
        <v>1</v>
      </c>
      <c r="AB7560">
        <v>1</v>
      </c>
    </row>
    <row r="7561" spans="1:49" x14ac:dyDescent="0.25">
      <c r="A7561" t="str">
        <f>"7557"</f>
        <v>7557</v>
      </c>
      <c r="B7561" t="str">
        <f t="shared" si="438"/>
        <v>1</v>
      </c>
      <c r="C7561" t="str">
        <f t="shared" si="439"/>
        <v>330</v>
      </c>
      <c r="D7561" t="str">
        <f>"19"</f>
        <v>19</v>
      </c>
      <c r="E7561" t="str">
        <f>"1-330-19"</f>
        <v>1-330-19</v>
      </c>
      <c r="F7561" t="s">
        <v>83</v>
      </c>
      <c r="G7561" t="s">
        <v>84</v>
      </c>
      <c r="H7561" t="s">
        <v>85</v>
      </c>
      <c r="AC7561">
        <v>0</v>
      </c>
      <c r="AD7561">
        <v>1</v>
      </c>
      <c r="AE7561">
        <v>0</v>
      </c>
      <c r="AF7561">
        <v>0</v>
      </c>
      <c r="AG7561">
        <v>0</v>
      </c>
      <c r="AJ7561">
        <v>0</v>
      </c>
      <c r="AK7561">
        <v>1</v>
      </c>
      <c r="AL7561">
        <v>0</v>
      </c>
      <c r="AM7561">
        <v>0</v>
      </c>
      <c r="AN7561">
        <v>1</v>
      </c>
      <c r="AO7561">
        <v>0</v>
      </c>
      <c r="AP7561">
        <v>0</v>
      </c>
      <c r="AQ7561">
        <v>0</v>
      </c>
      <c r="AR7561">
        <v>0</v>
      </c>
      <c r="AS7561">
        <v>1</v>
      </c>
      <c r="AT7561">
        <v>0</v>
      </c>
      <c r="AV7561">
        <v>0</v>
      </c>
      <c r="AW7561">
        <v>0</v>
      </c>
    </row>
    <row r="7562" spans="1:49" x14ac:dyDescent="0.25">
      <c r="A7562" t="str">
        <f>"7558"</f>
        <v>7558</v>
      </c>
      <c r="B7562" t="str">
        <f t="shared" si="438"/>
        <v>1</v>
      </c>
      <c r="C7562" t="str">
        <f t="shared" si="439"/>
        <v>330</v>
      </c>
      <c r="D7562" t="str">
        <f>"4"</f>
        <v>4</v>
      </c>
      <c r="E7562" t="str">
        <f>"1-330-4"</f>
        <v>1-330-4</v>
      </c>
      <c r="F7562" t="s">
        <v>83</v>
      </c>
      <c r="G7562" t="s">
        <v>84</v>
      </c>
      <c r="H7562" t="s">
        <v>85</v>
      </c>
      <c r="AC7562">
        <v>1</v>
      </c>
      <c r="AD7562">
        <v>0</v>
      </c>
      <c r="AE7562">
        <v>0</v>
      </c>
      <c r="AF7562">
        <v>0</v>
      </c>
      <c r="AG7562">
        <v>1</v>
      </c>
      <c r="AJ7562">
        <v>1</v>
      </c>
      <c r="AK7562">
        <v>0</v>
      </c>
      <c r="AL7562">
        <v>1</v>
      </c>
      <c r="AM7562">
        <v>0</v>
      </c>
      <c r="AN7562">
        <v>0</v>
      </c>
      <c r="AO7562">
        <v>1</v>
      </c>
      <c r="AP7562">
        <v>1</v>
      </c>
      <c r="AQ7562">
        <v>1</v>
      </c>
      <c r="AR7562">
        <v>1</v>
      </c>
      <c r="AS7562">
        <v>1</v>
      </c>
      <c r="AT7562">
        <v>0</v>
      </c>
      <c r="AV7562">
        <v>1</v>
      </c>
      <c r="AW7562">
        <v>1</v>
      </c>
    </row>
    <row r="7563" spans="1:49" x14ac:dyDescent="0.25">
      <c r="A7563" t="str">
        <f>"7559"</f>
        <v>7559</v>
      </c>
      <c r="B7563" t="str">
        <f t="shared" si="438"/>
        <v>1</v>
      </c>
      <c r="C7563" t="str">
        <f t="shared" ref="C7563:C7587" si="440">"331"</f>
        <v>331</v>
      </c>
      <c r="D7563" t="str">
        <f>"25"</f>
        <v>25</v>
      </c>
      <c r="E7563" t="str">
        <f>"1-331-25"</f>
        <v>1-331-25</v>
      </c>
      <c r="F7563" t="s">
        <v>83</v>
      </c>
      <c r="G7563" t="s">
        <v>84</v>
      </c>
      <c r="H7563" t="s">
        <v>85</v>
      </c>
      <c r="AC7563">
        <v>1</v>
      </c>
      <c r="AD7563">
        <v>0</v>
      </c>
      <c r="AE7563">
        <v>0</v>
      </c>
      <c r="AF7563">
        <v>0</v>
      </c>
      <c r="AG7563">
        <v>1</v>
      </c>
      <c r="AJ7563">
        <v>1</v>
      </c>
      <c r="AK7563">
        <v>0</v>
      </c>
      <c r="AL7563">
        <v>1</v>
      </c>
      <c r="AM7563">
        <v>0</v>
      </c>
      <c r="AN7563">
        <v>0</v>
      </c>
      <c r="AO7563">
        <v>1</v>
      </c>
      <c r="AP7563">
        <v>1</v>
      </c>
      <c r="AQ7563">
        <v>1</v>
      </c>
      <c r="AR7563">
        <v>1</v>
      </c>
      <c r="AS7563">
        <v>1</v>
      </c>
      <c r="AT7563">
        <v>0</v>
      </c>
      <c r="AV7563">
        <v>1</v>
      </c>
      <c r="AW7563">
        <v>1</v>
      </c>
    </row>
    <row r="7564" spans="1:49" x14ac:dyDescent="0.25">
      <c r="A7564" t="str">
        <f>"7560"</f>
        <v>7560</v>
      </c>
      <c r="B7564" t="str">
        <f t="shared" si="438"/>
        <v>1</v>
      </c>
      <c r="C7564" t="str">
        <f t="shared" si="440"/>
        <v>331</v>
      </c>
      <c r="D7564" t="str">
        <f>"24"</f>
        <v>24</v>
      </c>
      <c r="E7564" t="str">
        <f>"1-331-24"</f>
        <v>1-331-24</v>
      </c>
      <c r="F7564" t="s">
        <v>83</v>
      </c>
      <c r="G7564" t="s">
        <v>84</v>
      </c>
      <c r="H7564" t="s">
        <v>85</v>
      </c>
      <c r="AC7564">
        <v>1</v>
      </c>
      <c r="AD7564">
        <v>0</v>
      </c>
      <c r="AE7564">
        <v>0</v>
      </c>
      <c r="AF7564">
        <v>0</v>
      </c>
      <c r="AG7564">
        <v>1</v>
      </c>
      <c r="AJ7564">
        <v>1</v>
      </c>
      <c r="AK7564">
        <v>0</v>
      </c>
      <c r="AL7564">
        <v>1</v>
      </c>
      <c r="AM7564">
        <v>0</v>
      </c>
      <c r="AN7564">
        <v>0</v>
      </c>
      <c r="AO7564">
        <v>1</v>
      </c>
      <c r="AP7564">
        <v>1</v>
      </c>
      <c r="AQ7564">
        <v>1</v>
      </c>
      <c r="AR7564">
        <v>1</v>
      </c>
      <c r="AS7564">
        <v>1</v>
      </c>
      <c r="AT7564">
        <v>0</v>
      </c>
      <c r="AV7564">
        <v>1</v>
      </c>
      <c r="AW7564">
        <v>1</v>
      </c>
    </row>
    <row r="7565" spans="1:49" x14ac:dyDescent="0.25">
      <c r="A7565" t="str">
        <f>"7561"</f>
        <v>7561</v>
      </c>
      <c r="B7565" t="str">
        <f t="shared" si="438"/>
        <v>1</v>
      </c>
      <c r="C7565" t="str">
        <f t="shared" si="440"/>
        <v>331</v>
      </c>
      <c r="D7565" t="str">
        <f>"21"</f>
        <v>21</v>
      </c>
      <c r="E7565" t="str">
        <f>"1-331-21"</f>
        <v>1-331-21</v>
      </c>
      <c r="F7565" t="s">
        <v>83</v>
      </c>
      <c r="G7565" t="s">
        <v>84</v>
      </c>
      <c r="H7565" t="s">
        <v>85</v>
      </c>
      <c r="AC7565">
        <v>0</v>
      </c>
      <c r="AD7565">
        <v>1</v>
      </c>
      <c r="AE7565">
        <v>0</v>
      </c>
      <c r="AF7565">
        <v>0</v>
      </c>
      <c r="AG7565">
        <v>1</v>
      </c>
      <c r="AJ7565">
        <v>0</v>
      </c>
      <c r="AK7565">
        <v>1</v>
      </c>
      <c r="AL7565">
        <v>0</v>
      </c>
      <c r="AM7565">
        <v>0</v>
      </c>
      <c r="AN7565">
        <v>1</v>
      </c>
      <c r="AO7565">
        <v>1</v>
      </c>
      <c r="AP7565">
        <v>1</v>
      </c>
      <c r="AQ7565">
        <v>1</v>
      </c>
      <c r="AR7565">
        <v>1</v>
      </c>
      <c r="AS7565">
        <v>0</v>
      </c>
      <c r="AT7565">
        <v>1</v>
      </c>
      <c r="AV7565">
        <v>1</v>
      </c>
      <c r="AW7565">
        <v>1</v>
      </c>
    </row>
    <row r="7566" spans="1:49" x14ac:dyDescent="0.25">
      <c r="A7566" t="str">
        <f>"7562"</f>
        <v>7562</v>
      </c>
      <c r="B7566" t="str">
        <f t="shared" si="438"/>
        <v>1</v>
      </c>
      <c r="C7566" t="str">
        <f t="shared" si="440"/>
        <v>331</v>
      </c>
      <c r="D7566" t="str">
        <f>"20"</f>
        <v>20</v>
      </c>
      <c r="E7566" t="str">
        <f>"1-331-20"</f>
        <v>1-331-20</v>
      </c>
      <c r="F7566" t="s">
        <v>83</v>
      </c>
      <c r="G7566" t="s">
        <v>84</v>
      </c>
      <c r="H7566" t="s">
        <v>85</v>
      </c>
      <c r="AC7566">
        <v>0</v>
      </c>
      <c r="AD7566">
        <v>1</v>
      </c>
      <c r="AE7566">
        <v>0</v>
      </c>
      <c r="AF7566">
        <v>0</v>
      </c>
      <c r="AG7566">
        <v>0</v>
      </c>
      <c r="AJ7566">
        <v>0</v>
      </c>
      <c r="AK7566">
        <v>1</v>
      </c>
      <c r="AL7566">
        <v>0</v>
      </c>
      <c r="AM7566">
        <v>0</v>
      </c>
      <c r="AN7566">
        <v>0</v>
      </c>
      <c r="AO7566">
        <v>0</v>
      </c>
      <c r="AP7566">
        <v>0</v>
      </c>
      <c r="AQ7566">
        <v>0</v>
      </c>
      <c r="AR7566">
        <v>0</v>
      </c>
      <c r="AS7566">
        <v>0</v>
      </c>
      <c r="AT7566">
        <v>0</v>
      </c>
      <c r="AV7566">
        <v>0</v>
      </c>
      <c r="AW7566">
        <v>0</v>
      </c>
    </row>
    <row r="7567" spans="1:49" x14ac:dyDescent="0.25">
      <c r="A7567" t="str">
        <f>"7563"</f>
        <v>7563</v>
      </c>
      <c r="B7567" t="str">
        <f t="shared" si="438"/>
        <v>1</v>
      </c>
      <c r="C7567" t="str">
        <f t="shared" si="440"/>
        <v>331</v>
      </c>
      <c r="D7567" t="str">
        <f>"13"</f>
        <v>13</v>
      </c>
      <c r="E7567" t="str">
        <f>"1-331-13"</f>
        <v>1-331-13</v>
      </c>
      <c r="F7567" t="s">
        <v>83</v>
      </c>
      <c r="G7567" t="s">
        <v>84</v>
      </c>
      <c r="H7567" t="s">
        <v>85</v>
      </c>
      <c r="AC7567">
        <v>0</v>
      </c>
      <c r="AD7567">
        <v>1</v>
      </c>
      <c r="AE7567">
        <v>0</v>
      </c>
      <c r="AF7567">
        <v>0</v>
      </c>
      <c r="AG7567">
        <v>1</v>
      </c>
      <c r="AJ7567">
        <v>0</v>
      </c>
      <c r="AK7567">
        <v>1</v>
      </c>
      <c r="AL7567">
        <v>0</v>
      </c>
      <c r="AM7567">
        <v>0</v>
      </c>
      <c r="AN7567">
        <v>1</v>
      </c>
      <c r="AO7567">
        <v>0</v>
      </c>
      <c r="AP7567">
        <v>0</v>
      </c>
      <c r="AQ7567">
        <v>0</v>
      </c>
      <c r="AR7567">
        <v>0</v>
      </c>
      <c r="AS7567">
        <v>1</v>
      </c>
      <c r="AT7567">
        <v>0</v>
      </c>
      <c r="AV7567">
        <v>0</v>
      </c>
      <c r="AW7567">
        <v>0</v>
      </c>
    </row>
    <row r="7568" spans="1:49" x14ac:dyDescent="0.25">
      <c r="A7568" t="str">
        <f>"7564"</f>
        <v>7564</v>
      </c>
      <c r="B7568" t="str">
        <f t="shared" si="438"/>
        <v>1</v>
      </c>
      <c r="C7568" t="str">
        <f t="shared" si="440"/>
        <v>331</v>
      </c>
      <c r="D7568" t="str">
        <f>"12"</f>
        <v>12</v>
      </c>
      <c r="E7568" t="str">
        <f>"1-331-12"</f>
        <v>1-331-12</v>
      </c>
      <c r="F7568" t="s">
        <v>83</v>
      </c>
      <c r="G7568" t="s">
        <v>84</v>
      </c>
      <c r="H7568" t="s">
        <v>92</v>
      </c>
      <c r="I7568">
        <v>1</v>
      </c>
      <c r="J7568">
        <v>1</v>
      </c>
      <c r="N7568">
        <v>1</v>
      </c>
      <c r="O7568">
        <v>1</v>
      </c>
      <c r="P7568">
        <v>1</v>
      </c>
      <c r="Q7568">
        <v>1</v>
      </c>
      <c r="R7568">
        <v>1</v>
      </c>
      <c r="S7568">
        <v>1</v>
      </c>
      <c r="T7568">
        <v>1</v>
      </c>
      <c r="W7568">
        <v>1</v>
      </c>
      <c r="X7568">
        <v>1</v>
      </c>
      <c r="Y7568">
        <v>1</v>
      </c>
      <c r="Z7568">
        <v>1</v>
      </c>
      <c r="AA7568">
        <v>1</v>
      </c>
      <c r="AB7568">
        <v>1</v>
      </c>
    </row>
    <row r="7569" spans="1:49" x14ac:dyDescent="0.25">
      <c r="A7569" t="str">
        <f>"7565"</f>
        <v>7565</v>
      </c>
      <c r="B7569" t="str">
        <f t="shared" si="438"/>
        <v>1</v>
      </c>
      <c r="C7569" t="str">
        <f t="shared" si="440"/>
        <v>331</v>
      </c>
      <c r="D7569" t="str">
        <f>"9"</f>
        <v>9</v>
      </c>
      <c r="E7569" t="str">
        <f>"1-331-9"</f>
        <v>1-331-9</v>
      </c>
      <c r="F7569" t="s">
        <v>83</v>
      </c>
      <c r="G7569" t="s">
        <v>84</v>
      </c>
      <c r="H7569" t="s">
        <v>85</v>
      </c>
      <c r="AC7569">
        <v>0</v>
      </c>
      <c r="AD7569">
        <v>1</v>
      </c>
      <c r="AE7569">
        <v>0</v>
      </c>
      <c r="AF7569">
        <v>0</v>
      </c>
      <c r="AG7569">
        <v>0</v>
      </c>
      <c r="AJ7569">
        <v>0</v>
      </c>
      <c r="AK7569">
        <v>1</v>
      </c>
      <c r="AL7569">
        <v>0</v>
      </c>
      <c r="AM7569">
        <v>0</v>
      </c>
      <c r="AN7569">
        <v>1</v>
      </c>
      <c r="AO7569">
        <v>0</v>
      </c>
      <c r="AP7569">
        <v>0</v>
      </c>
      <c r="AQ7569">
        <v>0</v>
      </c>
      <c r="AR7569">
        <v>0</v>
      </c>
      <c r="AS7569">
        <v>0</v>
      </c>
      <c r="AT7569">
        <v>0</v>
      </c>
      <c r="AV7569">
        <v>0</v>
      </c>
      <c r="AW7569">
        <v>0</v>
      </c>
    </row>
    <row r="7570" spans="1:49" x14ac:dyDescent="0.25">
      <c r="A7570" t="str">
        <f>"7566"</f>
        <v>7566</v>
      </c>
      <c r="B7570" t="str">
        <f t="shared" si="438"/>
        <v>1</v>
      </c>
      <c r="C7570" t="str">
        <f t="shared" si="440"/>
        <v>331</v>
      </c>
      <c r="D7570" t="str">
        <f>"8"</f>
        <v>8</v>
      </c>
      <c r="E7570" t="str">
        <f>"1-331-8"</f>
        <v>1-331-8</v>
      </c>
      <c r="F7570" t="s">
        <v>83</v>
      </c>
      <c r="G7570" t="s">
        <v>84</v>
      </c>
      <c r="H7570" t="s">
        <v>85</v>
      </c>
      <c r="AC7570">
        <v>0</v>
      </c>
      <c r="AD7570">
        <v>1</v>
      </c>
      <c r="AE7570">
        <v>0</v>
      </c>
      <c r="AF7570">
        <v>0</v>
      </c>
      <c r="AG7570">
        <v>0</v>
      </c>
      <c r="AJ7570">
        <v>0</v>
      </c>
      <c r="AK7570">
        <v>1</v>
      </c>
      <c r="AL7570">
        <v>1</v>
      </c>
      <c r="AM7570">
        <v>0</v>
      </c>
      <c r="AN7570">
        <v>0</v>
      </c>
      <c r="AO7570">
        <v>0</v>
      </c>
      <c r="AP7570">
        <v>0</v>
      </c>
      <c r="AQ7570">
        <v>0</v>
      </c>
      <c r="AR7570">
        <v>0</v>
      </c>
      <c r="AS7570">
        <v>0</v>
      </c>
      <c r="AT7570">
        <v>0</v>
      </c>
      <c r="AV7570">
        <v>0</v>
      </c>
      <c r="AW7570">
        <v>0</v>
      </c>
    </row>
    <row r="7571" spans="1:49" x14ac:dyDescent="0.25">
      <c r="A7571" t="str">
        <f>"7567"</f>
        <v>7567</v>
      </c>
      <c r="B7571" t="str">
        <f t="shared" si="438"/>
        <v>1</v>
      </c>
      <c r="C7571" t="str">
        <f t="shared" si="440"/>
        <v>331</v>
      </c>
      <c r="D7571" t="str">
        <f>"1"</f>
        <v>1</v>
      </c>
      <c r="E7571" t="str">
        <f>"1-331-1"</f>
        <v>1-331-1</v>
      </c>
      <c r="F7571" t="s">
        <v>83</v>
      </c>
      <c r="G7571" t="s">
        <v>84</v>
      </c>
      <c r="H7571" t="s">
        <v>85</v>
      </c>
      <c r="AC7571">
        <v>0</v>
      </c>
      <c r="AD7571">
        <v>1</v>
      </c>
      <c r="AE7571">
        <v>0</v>
      </c>
      <c r="AF7571">
        <v>0</v>
      </c>
      <c r="AG7571">
        <v>1</v>
      </c>
      <c r="AJ7571">
        <v>0</v>
      </c>
      <c r="AK7571">
        <v>1</v>
      </c>
      <c r="AL7571">
        <v>0</v>
      </c>
      <c r="AM7571">
        <v>0</v>
      </c>
      <c r="AN7571">
        <v>1</v>
      </c>
      <c r="AO7571">
        <v>1</v>
      </c>
      <c r="AP7571">
        <v>1</v>
      </c>
      <c r="AQ7571">
        <v>1</v>
      </c>
      <c r="AR7571">
        <v>1</v>
      </c>
      <c r="AS7571">
        <v>0</v>
      </c>
      <c r="AT7571">
        <v>1</v>
      </c>
      <c r="AV7571">
        <v>1</v>
      </c>
      <c r="AW7571">
        <v>1</v>
      </c>
    </row>
    <row r="7572" spans="1:49" x14ac:dyDescent="0.25">
      <c r="A7572" t="str">
        <f>"7568"</f>
        <v>7568</v>
      </c>
      <c r="B7572" t="str">
        <f t="shared" si="438"/>
        <v>1</v>
      </c>
      <c r="C7572" t="str">
        <f t="shared" si="440"/>
        <v>331</v>
      </c>
      <c r="D7572" t="str">
        <f>"19"</f>
        <v>19</v>
      </c>
      <c r="E7572" t="str">
        <f>"1-331-19"</f>
        <v>1-331-19</v>
      </c>
      <c r="F7572" t="s">
        <v>83</v>
      </c>
      <c r="G7572" t="s">
        <v>84</v>
      </c>
      <c r="H7572" t="s">
        <v>85</v>
      </c>
      <c r="AC7572">
        <v>0</v>
      </c>
      <c r="AD7572">
        <v>1</v>
      </c>
      <c r="AE7572">
        <v>0</v>
      </c>
      <c r="AF7572">
        <v>0</v>
      </c>
      <c r="AG7572">
        <v>0</v>
      </c>
      <c r="AJ7572">
        <v>0</v>
      </c>
      <c r="AK7572">
        <v>1</v>
      </c>
      <c r="AL7572">
        <v>0</v>
      </c>
      <c r="AM7572">
        <v>0</v>
      </c>
      <c r="AN7572">
        <v>0</v>
      </c>
      <c r="AO7572">
        <v>0</v>
      </c>
      <c r="AP7572">
        <v>0</v>
      </c>
      <c r="AQ7572">
        <v>0</v>
      </c>
      <c r="AR7572">
        <v>0</v>
      </c>
      <c r="AS7572">
        <v>0</v>
      </c>
      <c r="AT7572">
        <v>0</v>
      </c>
      <c r="AV7572">
        <v>0</v>
      </c>
      <c r="AW7572">
        <v>0</v>
      </c>
    </row>
    <row r="7573" spans="1:49" x14ac:dyDescent="0.25">
      <c r="A7573" t="str">
        <f>"7569"</f>
        <v>7569</v>
      </c>
      <c r="B7573" t="str">
        <f t="shared" si="438"/>
        <v>1</v>
      </c>
      <c r="C7573" t="str">
        <f t="shared" si="440"/>
        <v>331</v>
      </c>
      <c r="D7573" t="str">
        <f>"10"</f>
        <v>10</v>
      </c>
      <c r="E7573" t="str">
        <f>"1-331-10"</f>
        <v>1-331-10</v>
      </c>
      <c r="F7573" t="s">
        <v>83</v>
      </c>
      <c r="G7573" t="s">
        <v>84</v>
      </c>
      <c r="H7573" t="s">
        <v>85</v>
      </c>
      <c r="AC7573">
        <v>1</v>
      </c>
      <c r="AD7573">
        <v>0</v>
      </c>
      <c r="AE7573">
        <v>0</v>
      </c>
      <c r="AF7573">
        <v>0</v>
      </c>
      <c r="AG7573">
        <v>0</v>
      </c>
      <c r="AJ7573">
        <v>1</v>
      </c>
      <c r="AK7573">
        <v>0</v>
      </c>
      <c r="AL7573">
        <v>1</v>
      </c>
      <c r="AM7573">
        <v>0</v>
      </c>
      <c r="AN7573">
        <v>0</v>
      </c>
      <c r="AO7573">
        <v>0</v>
      </c>
      <c r="AP7573">
        <v>0</v>
      </c>
      <c r="AQ7573">
        <v>0</v>
      </c>
      <c r="AR7573">
        <v>0</v>
      </c>
      <c r="AS7573">
        <v>1</v>
      </c>
      <c r="AT7573">
        <v>0</v>
      </c>
      <c r="AV7573">
        <v>0</v>
      </c>
      <c r="AW7573">
        <v>0</v>
      </c>
    </row>
    <row r="7574" spans="1:49" x14ac:dyDescent="0.25">
      <c r="A7574" t="str">
        <f>"7570"</f>
        <v>7570</v>
      </c>
      <c r="B7574" t="str">
        <f t="shared" si="438"/>
        <v>1</v>
      </c>
      <c r="C7574" t="str">
        <f t="shared" si="440"/>
        <v>331</v>
      </c>
      <c r="D7574" t="str">
        <f>"3"</f>
        <v>3</v>
      </c>
      <c r="E7574" t="str">
        <f>"1-331-3"</f>
        <v>1-331-3</v>
      </c>
      <c r="F7574" t="s">
        <v>83</v>
      </c>
      <c r="G7574" t="s">
        <v>84</v>
      </c>
      <c r="H7574" t="s">
        <v>92</v>
      </c>
      <c r="I7574">
        <v>1</v>
      </c>
      <c r="J7574">
        <v>1</v>
      </c>
      <c r="N7574">
        <v>1</v>
      </c>
      <c r="O7574">
        <v>1</v>
      </c>
      <c r="P7574">
        <v>1</v>
      </c>
      <c r="Q7574">
        <v>1</v>
      </c>
      <c r="R7574">
        <v>1</v>
      </c>
      <c r="S7574">
        <v>1</v>
      </c>
      <c r="T7574">
        <v>1</v>
      </c>
      <c r="W7574">
        <v>1</v>
      </c>
      <c r="X7574">
        <v>1</v>
      </c>
      <c r="Y7574">
        <v>1</v>
      </c>
      <c r="Z7574">
        <v>1</v>
      </c>
      <c r="AA7574">
        <v>1</v>
      </c>
      <c r="AB7574">
        <v>1</v>
      </c>
    </row>
    <row r="7575" spans="1:49" x14ac:dyDescent="0.25">
      <c r="A7575" t="str">
        <f>"7571"</f>
        <v>7571</v>
      </c>
      <c r="B7575" t="str">
        <f t="shared" si="438"/>
        <v>1</v>
      </c>
      <c r="C7575" t="str">
        <f t="shared" si="440"/>
        <v>331</v>
      </c>
      <c r="D7575" t="str">
        <f>"23"</f>
        <v>23</v>
      </c>
      <c r="E7575" t="str">
        <f>"1-331-23"</f>
        <v>1-331-23</v>
      </c>
      <c r="F7575" t="s">
        <v>83</v>
      </c>
      <c r="G7575" t="s">
        <v>84</v>
      </c>
      <c r="H7575" t="s">
        <v>85</v>
      </c>
      <c r="AC7575">
        <v>0</v>
      </c>
      <c r="AD7575">
        <v>1</v>
      </c>
      <c r="AE7575">
        <v>0</v>
      </c>
      <c r="AF7575">
        <v>0</v>
      </c>
      <c r="AG7575">
        <v>1</v>
      </c>
      <c r="AJ7575">
        <v>0</v>
      </c>
      <c r="AK7575">
        <v>1</v>
      </c>
      <c r="AL7575">
        <v>0</v>
      </c>
      <c r="AM7575">
        <v>0</v>
      </c>
      <c r="AN7575">
        <v>1</v>
      </c>
      <c r="AO7575">
        <v>1</v>
      </c>
      <c r="AP7575">
        <v>1</v>
      </c>
      <c r="AQ7575">
        <v>1</v>
      </c>
      <c r="AR7575">
        <v>1</v>
      </c>
      <c r="AS7575">
        <v>1</v>
      </c>
      <c r="AT7575">
        <v>0</v>
      </c>
      <c r="AV7575">
        <v>1</v>
      </c>
      <c r="AW7575">
        <v>1</v>
      </c>
    </row>
    <row r="7576" spans="1:49" x14ac:dyDescent="0.25">
      <c r="A7576" t="str">
        <f>"7572"</f>
        <v>7572</v>
      </c>
      <c r="B7576" t="str">
        <f t="shared" si="438"/>
        <v>1</v>
      </c>
      <c r="C7576" t="str">
        <f t="shared" si="440"/>
        <v>331</v>
      </c>
      <c r="D7576" t="str">
        <f>"22"</f>
        <v>22</v>
      </c>
      <c r="E7576" t="str">
        <f>"1-331-22"</f>
        <v>1-331-22</v>
      </c>
      <c r="F7576" t="s">
        <v>83</v>
      </c>
      <c r="G7576" t="s">
        <v>84</v>
      </c>
      <c r="H7576" t="s">
        <v>85</v>
      </c>
      <c r="AC7576">
        <v>0</v>
      </c>
      <c r="AD7576">
        <v>1</v>
      </c>
      <c r="AE7576">
        <v>0</v>
      </c>
      <c r="AF7576">
        <v>0</v>
      </c>
      <c r="AG7576">
        <v>1</v>
      </c>
      <c r="AJ7576">
        <v>0</v>
      </c>
      <c r="AK7576">
        <v>1</v>
      </c>
      <c r="AL7576">
        <v>0</v>
      </c>
      <c r="AM7576">
        <v>0</v>
      </c>
      <c r="AN7576">
        <v>1</v>
      </c>
      <c r="AO7576">
        <v>1</v>
      </c>
      <c r="AP7576">
        <v>1</v>
      </c>
      <c r="AQ7576">
        <v>1</v>
      </c>
      <c r="AR7576">
        <v>1</v>
      </c>
      <c r="AS7576">
        <v>1</v>
      </c>
      <c r="AT7576">
        <v>0</v>
      </c>
      <c r="AV7576">
        <v>1</v>
      </c>
      <c r="AW7576">
        <v>1</v>
      </c>
    </row>
    <row r="7577" spans="1:49" x14ac:dyDescent="0.25">
      <c r="A7577" t="str">
        <f>"7573"</f>
        <v>7573</v>
      </c>
      <c r="B7577" t="str">
        <f t="shared" si="438"/>
        <v>1</v>
      </c>
      <c r="C7577" t="str">
        <f t="shared" si="440"/>
        <v>331</v>
      </c>
      <c r="D7577" t="str">
        <f>"17"</f>
        <v>17</v>
      </c>
      <c r="E7577" t="str">
        <f>"1-331-17"</f>
        <v>1-331-17</v>
      </c>
      <c r="F7577" t="s">
        <v>83</v>
      </c>
      <c r="G7577" t="s">
        <v>84</v>
      </c>
      <c r="H7577" t="s">
        <v>85</v>
      </c>
      <c r="AC7577">
        <v>0</v>
      </c>
      <c r="AD7577">
        <v>1</v>
      </c>
      <c r="AE7577">
        <v>0</v>
      </c>
      <c r="AF7577">
        <v>0</v>
      </c>
      <c r="AG7577">
        <v>1</v>
      </c>
      <c r="AJ7577">
        <v>1</v>
      </c>
      <c r="AK7577">
        <v>0</v>
      </c>
      <c r="AL7577">
        <v>0</v>
      </c>
      <c r="AM7577">
        <v>0</v>
      </c>
      <c r="AN7577">
        <v>1</v>
      </c>
      <c r="AO7577">
        <v>1</v>
      </c>
      <c r="AP7577">
        <v>1</v>
      </c>
      <c r="AQ7577">
        <v>1</v>
      </c>
      <c r="AR7577">
        <v>1</v>
      </c>
      <c r="AS7577">
        <v>0</v>
      </c>
      <c r="AT7577">
        <v>1</v>
      </c>
      <c r="AV7577">
        <v>1</v>
      </c>
      <c r="AW7577">
        <v>1</v>
      </c>
    </row>
    <row r="7578" spans="1:49" x14ac:dyDescent="0.25">
      <c r="A7578" t="str">
        <f>"7574"</f>
        <v>7574</v>
      </c>
      <c r="B7578" t="str">
        <f t="shared" si="438"/>
        <v>1</v>
      </c>
      <c r="C7578" t="str">
        <f t="shared" si="440"/>
        <v>331</v>
      </c>
      <c r="D7578" t="str">
        <f>"11"</f>
        <v>11</v>
      </c>
      <c r="E7578" t="str">
        <f>"1-331-11"</f>
        <v>1-331-11</v>
      </c>
      <c r="F7578" t="s">
        <v>83</v>
      </c>
      <c r="G7578" t="s">
        <v>84</v>
      </c>
      <c r="H7578" t="s">
        <v>92</v>
      </c>
      <c r="I7578">
        <v>1</v>
      </c>
      <c r="J7578">
        <v>1</v>
      </c>
      <c r="N7578">
        <v>1</v>
      </c>
      <c r="O7578">
        <v>1</v>
      </c>
      <c r="P7578">
        <v>1</v>
      </c>
      <c r="Q7578">
        <v>1</v>
      </c>
      <c r="R7578">
        <v>1</v>
      </c>
      <c r="S7578">
        <v>1</v>
      </c>
      <c r="T7578">
        <v>1</v>
      </c>
      <c r="W7578">
        <v>1</v>
      </c>
      <c r="X7578">
        <v>1</v>
      </c>
      <c r="Y7578">
        <v>1</v>
      </c>
      <c r="Z7578">
        <v>1</v>
      </c>
      <c r="AA7578">
        <v>1</v>
      </c>
      <c r="AB7578">
        <v>1</v>
      </c>
    </row>
    <row r="7579" spans="1:49" x14ac:dyDescent="0.25">
      <c r="A7579" t="str">
        <f>"7575"</f>
        <v>7575</v>
      </c>
      <c r="B7579" t="str">
        <f t="shared" si="438"/>
        <v>1</v>
      </c>
      <c r="C7579" t="str">
        <f t="shared" si="440"/>
        <v>331</v>
      </c>
      <c r="D7579" t="str">
        <f>"6"</f>
        <v>6</v>
      </c>
      <c r="E7579" t="str">
        <f>"1-331-6"</f>
        <v>1-331-6</v>
      </c>
      <c r="F7579" t="s">
        <v>83</v>
      </c>
      <c r="G7579" t="s">
        <v>84</v>
      </c>
      <c r="H7579" t="s">
        <v>92</v>
      </c>
      <c r="I7579">
        <v>1</v>
      </c>
      <c r="J7579">
        <v>1</v>
      </c>
      <c r="N7579">
        <v>1</v>
      </c>
      <c r="O7579">
        <v>1</v>
      </c>
      <c r="P7579">
        <v>1</v>
      </c>
      <c r="Q7579">
        <v>1</v>
      </c>
      <c r="R7579">
        <v>1</v>
      </c>
      <c r="S7579">
        <v>1</v>
      </c>
      <c r="T7579">
        <v>0</v>
      </c>
      <c r="W7579">
        <v>1</v>
      </c>
      <c r="X7579">
        <v>0</v>
      </c>
      <c r="Y7579">
        <v>1</v>
      </c>
      <c r="Z7579">
        <v>1</v>
      </c>
      <c r="AA7579">
        <v>1</v>
      </c>
      <c r="AB7579">
        <v>1</v>
      </c>
    </row>
    <row r="7580" spans="1:49" x14ac:dyDescent="0.25">
      <c r="A7580" t="str">
        <f>"7576"</f>
        <v>7576</v>
      </c>
      <c r="B7580" t="str">
        <f t="shared" si="438"/>
        <v>1</v>
      </c>
      <c r="C7580" t="str">
        <f t="shared" si="440"/>
        <v>331</v>
      </c>
      <c r="D7580" t="str">
        <f>"14"</f>
        <v>14</v>
      </c>
      <c r="E7580" t="str">
        <f>"1-331-14"</f>
        <v>1-331-14</v>
      </c>
      <c r="F7580" t="s">
        <v>83</v>
      </c>
      <c r="G7580" t="s">
        <v>84</v>
      </c>
      <c r="H7580" t="s">
        <v>92</v>
      </c>
      <c r="I7580">
        <v>1</v>
      </c>
      <c r="J7580">
        <v>1</v>
      </c>
      <c r="N7580">
        <v>1</v>
      </c>
      <c r="O7580">
        <v>1</v>
      </c>
      <c r="P7580">
        <v>1</v>
      </c>
      <c r="Q7580">
        <v>1</v>
      </c>
      <c r="R7580">
        <v>1</v>
      </c>
      <c r="S7580">
        <v>1</v>
      </c>
      <c r="T7580">
        <v>1</v>
      </c>
      <c r="W7580">
        <v>1</v>
      </c>
      <c r="X7580">
        <v>1</v>
      </c>
      <c r="Y7580">
        <v>1</v>
      </c>
      <c r="Z7580">
        <v>1</v>
      </c>
      <c r="AA7580">
        <v>1</v>
      </c>
      <c r="AB7580">
        <v>1</v>
      </c>
    </row>
    <row r="7581" spans="1:49" x14ac:dyDescent="0.25">
      <c r="A7581" t="str">
        <f>"7577"</f>
        <v>7577</v>
      </c>
      <c r="B7581" t="str">
        <f t="shared" si="438"/>
        <v>1</v>
      </c>
      <c r="C7581" t="str">
        <f t="shared" si="440"/>
        <v>331</v>
      </c>
      <c r="D7581" t="str">
        <f>"4"</f>
        <v>4</v>
      </c>
      <c r="E7581" t="str">
        <f>"1-331-4"</f>
        <v>1-331-4</v>
      </c>
      <c r="F7581" t="s">
        <v>83</v>
      </c>
      <c r="G7581" t="s">
        <v>84</v>
      </c>
      <c r="H7581" t="s">
        <v>92</v>
      </c>
      <c r="I7581">
        <v>1</v>
      </c>
      <c r="J7581">
        <v>1</v>
      </c>
      <c r="N7581">
        <v>1</v>
      </c>
      <c r="O7581">
        <v>1</v>
      </c>
      <c r="P7581">
        <v>1</v>
      </c>
      <c r="Q7581">
        <v>1</v>
      </c>
      <c r="R7581">
        <v>1</v>
      </c>
      <c r="S7581">
        <v>1</v>
      </c>
      <c r="T7581">
        <v>1</v>
      </c>
      <c r="W7581">
        <v>1</v>
      </c>
      <c r="X7581">
        <v>1</v>
      </c>
      <c r="Y7581">
        <v>1</v>
      </c>
      <c r="Z7581">
        <v>1</v>
      </c>
      <c r="AA7581">
        <v>1</v>
      </c>
      <c r="AB7581">
        <v>1</v>
      </c>
    </row>
    <row r="7582" spans="1:49" x14ac:dyDescent="0.25">
      <c r="A7582" t="str">
        <f>"7578"</f>
        <v>7578</v>
      </c>
      <c r="B7582" t="str">
        <f t="shared" ref="B7582:B7645" si="441">"1"</f>
        <v>1</v>
      </c>
      <c r="C7582" t="str">
        <f t="shared" si="440"/>
        <v>331</v>
      </c>
      <c r="D7582" t="str">
        <f>"15"</f>
        <v>15</v>
      </c>
      <c r="E7582" t="str">
        <f>"1-331-15"</f>
        <v>1-331-15</v>
      </c>
      <c r="F7582" t="s">
        <v>83</v>
      </c>
      <c r="G7582" t="s">
        <v>84</v>
      </c>
      <c r="H7582" t="s">
        <v>92</v>
      </c>
      <c r="I7582">
        <v>1</v>
      </c>
      <c r="J7582">
        <v>1</v>
      </c>
      <c r="N7582">
        <v>1</v>
      </c>
      <c r="O7582">
        <v>1</v>
      </c>
      <c r="P7582">
        <v>1</v>
      </c>
      <c r="Q7582">
        <v>1</v>
      </c>
      <c r="R7582">
        <v>1</v>
      </c>
      <c r="S7582">
        <v>1</v>
      </c>
      <c r="T7582">
        <v>1</v>
      </c>
      <c r="W7582">
        <v>1</v>
      </c>
      <c r="X7582">
        <v>1</v>
      </c>
      <c r="Y7582">
        <v>1</v>
      </c>
      <c r="Z7582">
        <v>1</v>
      </c>
      <c r="AA7582">
        <v>1</v>
      </c>
      <c r="AB7582">
        <v>1</v>
      </c>
    </row>
    <row r="7583" spans="1:49" x14ac:dyDescent="0.25">
      <c r="A7583" t="str">
        <f>"7579"</f>
        <v>7579</v>
      </c>
      <c r="B7583" t="str">
        <f t="shared" si="441"/>
        <v>1</v>
      </c>
      <c r="C7583" t="str">
        <f t="shared" si="440"/>
        <v>331</v>
      </c>
      <c r="D7583" t="str">
        <f>"7"</f>
        <v>7</v>
      </c>
      <c r="E7583" t="str">
        <f>"1-331-7"</f>
        <v>1-331-7</v>
      </c>
      <c r="F7583" t="s">
        <v>83</v>
      </c>
      <c r="G7583" t="s">
        <v>84</v>
      </c>
      <c r="H7583" t="s">
        <v>85</v>
      </c>
      <c r="AC7583">
        <v>0</v>
      </c>
      <c r="AD7583">
        <v>1</v>
      </c>
      <c r="AE7583">
        <v>0</v>
      </c>
      <c r="AF7583">
        <v>0</v>
      </c>
      <c r="AG7583">
        <v>0</v>
      </c>
      <c r="AJ7583">
        <v>1</v>
      </c>
      <c r="AK7583">
        <v>0</v>
      </c>
      <c r="AL7583">
        <v>0</v>
      </c>
      <c r="AM7583">
        <v>0</v>
      </c>
      <c r="AN7583">
        <v>1</v>
      </c>
      <c r="AO7583">
        <v>0</v>
      </c>
      <c r="AP7583">
        <v>0</v>
      </c>
      <c r="AQ7583">
        <v>0</v>
      </c>
      <c r="AR7583">
        <v>0</v>
      </c>
      <c r="AS7583">
        <v>0</v>
      </c>
      <c r="AT7583">
        <v>1</v>
      </c>
      <c r="AV7583">
        <v>0</v>
      </c>
      <c r="AW7583">
        <v>0</v>
      </c>
    </row>
    <row r="7584" spans="1:49" x14ac:dyDescent="0.25">
      <c r="A7584" t="str">
        <f>"7580"</f>
        <v>7580</v>
      </c>
      <c r="B7584" t="str">
        <f t="shared" si="441"/>
        <v>1</v>
      </c>
      <c r="C7584" t="str">
        <f t="shared" si="440"/>
        <v>331</v>
      </c>
      <c r="D7584" t="str">
        <f>"16"</f>
        <v>16</v>
      </c>
      <c r="E7584" t="str">
        <f>"1-331-16"</f>
        <v>1-331-16</v>
      </c>
      <c r="F7584" t="s">
        <v>83</v>
      </c>
      <c r="G7584" t="s">
        <v>84</v>
      </c>
      <c r="H7584" t="s">
        <v>92</v>
      </c>
      <c r="I7584">
        <v>1</v>
      </c>
      <c r="J7584">
        <v>1</v>
      </c>
      <c r="N7584">
        <v>1</v>
      </c>
      <c r="O7584">
        <v>1</v>
      </c>
      <c r="P7584">
        <v>1</v>
      </c>
      <c r="Q7584">
        <v>1</v>
      </c>
      <c r="R7584">
        <v>1</v>
      </c>
      <c r="S7584">
        <v>1</v>
      </c>
      <c r="T7584">
        <v>1</v>
      </c>
      <c r="W7584">
        <v>1</v>
      </c>
      <c r="X7584">
        <v>1</v>
      </c>
      <c r="Y7584">
        <v>1</v>
      </c>
      <c r="Z7584">
        <v>1</v>
      </c>
      <c r="AA7584">
        <v>1</v>
      </c>
      <c r="AB7584">
        <v>1</v>
      </c>
    </row>
    <row r="7585" spans="1:49" x14ac:dyDescent="0.25">
      <c r="A7585" t="str">
        <f>"7581"</f>
        <v>7581</v>
      </c>
      <c r="B7585" t="str">
        <f t="shared" si="441"/>
        <v>1</v>
      </c>
      <c r="C7585" t="str">
        <f t="shared" si="440"/>
        <v>331</v>
      </c>
      <c r="D7585" t="str">
        <f>"5"</f>
        <v>5</v>
      </c>
      <c r="E7585" t="str">
        <f>"1-331-5"</f>
        <v>1-331-5</v>
      </c>
      <c r="F7585" t="s">
        <v>83</v>
      </c>
      <c r="G7585" t="s">
        <v>84</v>
      </c>
      <c r="H7585" t="s">
        <v>92</v>
      </c>
      <c r="I7585">
        <v>1</v>
      </c>
      <c r="J7585">
        <v>1</v>
      </c>
      <c r="N7585">
        <v>1</v>
      </c>
      <c r="O7585">
        <v>1</v>
      </c>
      <c r="P7585">
        <v>1</v>
      </c>
      <c r="Q7585">
        <v>1</v>
      </c>
      <c r="R7585">
        <v>1</v>
      </c>
      <c r="S7585">
        <v>1</v>
      </c>
      <c r="T7585">
        <v>1</v>
      </c>
      <c r="W7585">
        <v>1</v>
      </c>
      <c r="X7585">
        <v>1</v>
      </c>
      <c r="Y7585">
        <v>1</v>
      </c>
      <c r="Z7585">
        <v>1</v>
      </c>
      <c r="AA7585">
        <v>1</v>
      </c>
      <c r="AB7585">
        <v>1</v>
      </c>
    </row>
    <row r="7586" spans="1:49" x14ac:dyDescent="0.25">
      <c r="A7586" t="str">
        <f>"7582"</f>
        <v>7582</v>
      </c>
      <c r="B7586" t="str">
        <f t="shared" si="441"/>
        <v>1</v>
      </c>
      <c r="C7586" t="str">
        <f t="shared" si="440"/>
        <v>331</v>
      </c>
      <c r="D7586" t="str">
        <f>"18"</f>
        <v>18</v>
      </c>
      <c r="E7586" t="str">
        <f>"1-331-18"</f>
        <v>1-331-18</v>
      </c>
      <c r="F7586" t="s">
        <v>83</v>
      </c>
      <c r="G7586" t="s">
        <v>84</v>
      </c>
      <c r="H7586" t="s">
        <v>92</v>
      </c>
      <c r="I7586">
        <v>1</v>
      </c>
      <c r="J7586">
        <v>1</v>
      </c>
      <c r="N7586">
        <v>1</v>
      </c>
      <c r="O7586">
        <v>1</v>
      </c>
      <c r="P7586">
        <v>1</v>
      </c>
      <c r="Q7586">
        <v>1</v>
      </c>
      <c r="R7586">
        <v>1</v>
      </c>
      <c r="S7586">
        <v>1</v>
      </c>
      <c r="T7586">
        <v>1</v>
      </c>
      <c r="W7586">
        <v>1</v>
      </c>
      <c r="X7586">
        <v>1</v>
      </c>
      <c r="Y7586">
        <v>1</v>
      </c>
      <c r="Z7586">
        <v>1</v>
      </c>
      <c r="AA7586">
        <v>1</v>
      </c>
      <c r="AB7586">
        <v>1</v>
      </c>
    </row>
    <row r="7587" spans="1:49" x14ac:dyDescent="0.25">
      <c r="A7587" t="str">
        <f>"7583"</f>
        <v>7583</v>
      </c>
      <c r="B7587" t="str">
        <f t="shared" si="441"/>
        <v>1</v>
      </c>
      <c r="C7587" t="str">
        <f t="shared" si="440"/>
        <v>331</v>
      </c>
      <c r="D7587" t="str">
        <f>"2"</f>
        <v>2</v>
      </c>
      <c r="E7587" t="str">
        <f>"1-331-2"</f>
        <v>1-331-2</v>
      </c>
      <c r="F7587" t="s">
        <v>83</v>
      </c>
      <c r="G7587" t="s">
        <v>84</v>
      </c>
      <c r="H7587" t="s">
        <v>85</v>
      </c>
      <c r="AC7587">
        <v>1</v>
      </c>
      <c r="AD7587">
        <v>0</v>
      </c>
      <c r="AE7587">
        <v>0</v>
      </c>
      <c r="AF7587">
        <v>0</v>
      </c>
      <c r="AG7587">
        <v>0</v>
      </c>
      <c r="AJ7587">
        <v>1</v>
      </c>
      <c r="AK7587">
        <v>0</v>
      </c>
      <c r="AL7587">
        <v>1</v>
      </c>
      <c r="AM7587">
        <v>0</v>
      </c>
      <c r="AN7587">
        <v>0</v>
      </c>
      <c r="AO7587">
        <v>0</v>
      </c>
      <c r="AP7587">
        <v>0</v>
      </c>
      <c r="AQ7587">
        <v>0</v>
      </c>
      <c r="AR7587">
        <v>0</v>
      </c>
      <c r="AS7587">
        <v>0</v>
      </c>
      <c r="AT7587">
        <v>0</v>
      </c>
      <c r="AV7587">
        <v>0</v>
      </c>
      <c r="AW7587">
        <v>0</v>
      </c>
    </row>
    <row r="7588" spans="1:49" x14ac:dyDescent="0.25">
      <c r="A7588" t="str">
        <f>"7584"</f>
        <v>7584</v>
      </c>
      <c r="B7588" t="str">
        <f t="shared" si="441"/>
        <v>1</v>
      </c>
      <c r="C7588" t="str">
        <f t="shared" ref="C7588:C7610" si="442">"332"</f>
        <v>332</v>
      </c>
      <c r="D7588" t="str">
        <f>"23"</f>
        <v>23</v>
      </c>
      <c r="E7588" t="str">
        <f>"1-332-23"</f>
        <v>1-332-23</v>
      </c>
      <c r="F7588" t="s">
        <v>83</v>
      </c>
      <c r="G7588" t="s">
        <v>84</v>
      </c>
      <c r="H7588" t="s">
        <v>85</v>
      </c>
      <c r="AC7588">
        <v>0</v>
      </c>
      <c r="AD7588">
        <v>0</v>
      </c>
      <c r="AE7588">
        <v>0</v>
      </c>
      <c r="AF7588">
        <v>0</v>
      </c>
      <c r="AG7588">
        <v>1</v>
      </c>
      <c r="AJ7588">
        <v>0</v>
      </c>
      <c r="AK7588">
        <v>1</v>
      </c>
      <c r="AL7588">
        <v>0</v>
      </c>
      <c r="AM7588">
        <v>0</v>
      </c>
      <c r="AN7588">
        <v>1</v>
      </c>
      <c r="AO7588">
        <v>1</v>
      </c>
      <c r="AP7588">
        <v>1</v>
      </c>
      <c r="AQ7588">
        <v>1</v>
      </c>
      <c r="AR7588">
        <v>1</v>
      </c>
      <c r="AS7588">
        <v>0</v>
      </c>
      <c r="AT7588">
        <v>0</v>
      </c>
      <c r="AV7588">
        <v>1</v>
      </c>
      <c r="AW7588">
        <v>1</v>
      </c>
    </row>
    <row r="7589" spans="1:49" x14ac:dyDescent="0.25">
      <c r="A7589" t="str">
        <f>"7585"</f>
        <v>7585</v>
      </c>
      <c r="B7589" t="str">
        <f t="shared" si="441"/>
        <v>1</v>
      </c>
      <c r="C7589" t="str">
        <f t="shared" si="442"/>
        <v>332</v>
      </c>
      <c r="D7589" t="str">
        <f>"22"</f>
        <v>22</v>
      </c>
      <c r="E7589" t="str">
        <f>"1-332-22"</f>
        <v>1-332-22</v>
      </c>
      <c r="F7589" t="s">
        <v>83</v>
      </c>
      <c r="G7589" t="s">
        <v>84</v>
      </c>
      <c r="H7589" t="s">
        <v>85</v>
      </c>
      <c r="AC7589">
        <v>1</v>
      </c>
      <c r="AD7589">
        <v>0</v>
      </c>
      <c r="AE7589">
        <v>0</v>
      </c>
      <c r="AF7589">
        <v>0</v>
      </c>
      <c r="AG7589">
        <v>0</v>
      </c>
      <c r="AJ7589">
        <v>1</v>
      </c>
      <c r="AK7589">
        <v>0</v>
      </c>
      <c r="AL7589">
        <v>1</v>
      </c>
      <c r="AM7589">
        <v>0</v>
      </c>
      <c r="AN7589">
        <v>0</v>
      </c>
      <c r="AO7589">
        <v>0</v>
      </c>
      <c r="AP7589">
        <v>0</v>
      </c>
      <c r="AQ7589">
        <v>0</v>
      </c>
      <c r="AR7589">
        <v>0</v>
      </c>
      <c r="AS7589">
        <v>1</v>
      </c>
      <c r="AT7589">
        <v>0</v>
      </c>
      <c r="AV7589">
        <v>0</v>
      </c>
      <c r="AW7589">
        <v>1</v>
      </c>
    </row>
    <row r="7590" spans="1:49" x14ac:dyDescent="0.25">
      <c r="A7590" t="str">
        <f>"7586"</f>
        <v>7586</v>
      </c>
      <c r="B7590" t="str">
        <f t="shared" si="441"/>
        <v>1</v>
      </c>
      <c r="C7590" t="str">
        <f t="shared" si="442"/>
        <v>332</v>
      </c>
      <c r="D7590" t="str">
        <f>"13"</f>
        <v>13</v>
      </c>
      <c r="E7590" t="str">
        <f>"1-332-13"</f>
        <v>1-332-13</v>
      </c>
      <c r="F7590" t="s">
        <v>83</v>
      </c>
      <c r="G7590" t="s">
        <v>84</v>
      </c>
      <c r="H7590" t="s">
        <v>85</v>
      </c>
      <c r="AC7590">
        <v>1</v>
      </c>
      <c r="AD7590">
        <v>0</v>
      </c>
      <c r="AE7590">
        <v>0</v>
      </c>
      <c r="AF7590">
        <v>0</v>
      </c>
      <c r="AG7590">
        <v>1</v>
      </c>
      <c r="AJ7590">
        <v>1</v>
      </c>
      <c r="AK7590">
        <v>0</v>
      </c>
      <c r="AL7590">
        <v>0</v>
      </c>
      <c r="AM7590">
        <v>1</v>
      </c>
      <c r="AN7590">
        <v>0</v>
      </c>
      <c r="AO7590">
        <v>1</v>
      </c>
      <c r="AP7590">
        <v>1</v>
      </c>
      <c r="AQ7590">
        <v>1</v>
      </c>
      <c r="AR7590">
        <v>1</v>
      </c>
      <c r="AS7590">
        <v>0</v>
      </c>
      <c r="AT7590">
        <v>1</v>
      </c>
      <c r="AV7590">
        <v>1</v>
      </c>
      <c r="AW7590">
        <v>1</v>
      </c>
    </row>
    <row r="7591" spans="1:49" x14ac:dyDescent="0.25">
      <c r="A7591" t="str">
        <f>"7587"</f>
        <v>7587</v>
      </c>
      <c r="B7591" t="str">
        <f t="shared" si="441"/>
        <v>1</v>
      </c>
      <c r="C7591" t="str">
        <f t="shared" si="442"/>
        <v>332</v>
      </c>
      <c r="D7591" t="str">
        <f>"1"</f>
        <v>1</v>
      </c>
      <c r="E7591" t="str">
        <f>"1-332-1"</f>
        <v>1-332-1</v>
      </c>
      <c r="F7591" t="s">
        <v>83</v>
      </c>
      <c r="G7591" t="s">
        <v>84</v>
      </c>
      <c r="H7591" t="s">
        <v>92</v>
      </c>
      <c r="I7591">
        <v>1</v>
      </c>
      <c r="J7591">
        <v>1</v>
      </c>
      <c r="N7591">
        <v>1</v>
      </c>
      <c r="O7591">
        <v>1</v>
      </c>
      <c r="P7591">
        <v>1</v>
      </c>
      <c r="Q7591">
        <v>1</v>
      </c>
      <c r="R7591">
        <v>1</v>
      </c>
      <c r="S7591">
        <v>1</v>
      </c>
      <c r="T7591">
        <v>1</v>
      </c>
      <c r="W7591">
        <v>1</v>
      </c>
      <c r="X7591">
        <v>1</v>
      </c>
      <c r="Y7591">
        <v>1</v>
      </c>
      <c r="Z7591">
        <v>1</v>
      </c>
      <c r="AA7591">
        <v>1</v>
      </c>
      <c r="AB7591">
        <v>1</v>
      </c>
    </row>
    <row r="7592" spans="1:49" x14ac:dyDescent="0.25">
      <c r="A7592" t="str">
        <f>"7588"</f>
        <v>7588</v>
      </c>
      <c r="B7592" t="str">
        <f t="shared" si="441"/>
        <v>1</v>
      </c>
      <c r="C7592" t="str">
        <f t="shared" si="442"/>
        <v>332</v>
      </c>
      <c r="D7592" t="str">
        <f>"21"</f>
        <v>21</v>
      </c>
      <c r="E7592" t="str">
        <f>"1-332-21"</f>
        <v>1-332-21</v>
      </c>
      <c r="F7592" t="s">
        <v>83</v>
      </c>
      <c r="G7592" t="s">
        <v>84</v>
      </c>
      <c r="H7592" t="s">
        <v>85</v>
      </c>
      <c r="AC7592">
        <v>1</v>
      </c>
      <c r="AD7592">
        <v>0</v>
      </c>
      <c r="AE7592">
        <v>0</v>
      </c>
      <c r="AF7592">
        <v>0</v>
      </c>
      <c r="AG7592">
        <v>0</v>
      </c>
      <c r="AJ7592">
        <v>1</v>
      </c>
      <c r="AK7592">
        <v>0</v>
      </c>
      <c r="AL7592">
        <v>1</v>
      </c>
      <c r="AM7592">
        <v>0</v>
      </c>
      <c r="AN7592">
        <v>0</v>
      </c>
      <c r="AO7592">
        <v>1</v>
      </c>
      <c r="AP7592">
        <v>1</v>
      </c>
      <c r="AQ7592">
        <v>1</v>
      </c>
      <c r="AR7592">
        <v>1</v>
      </c>
      <c r="AS7592">
        <v>1</v>
      </c>
      <c r="AT7592">
        <v>0</v>
      </c>
      <c r="AV7592">
        <v>1</v>
      </c>
      <c r="AW7592">
        <v>1</v>
      </c>
    </row>
    <row r="7593" spans="1:49" x14ac:dyDescent="0.25">
      <c r="A7593" t="str">
        <f>"7589"</f>
        <v>7589</v>
      </c>
      <c r="B7593" t="str">
        <f t="shared" si="441"/>
        <v>1</v>
      </c>
      <c r="C7593" t="str">
        <f t="shared" si="442"/>
        <v>332</v>
      </c>
      <c r="D7593" t="str">
        <f>"20"</f>
        <v>20</v>
      </c>
      <c r="E7593" t="str">
        <f>"1-332-20"</f>
        <v>1-332-20</v>
      </c>
      <c r="F7593" t="s">
        <v>83</v>
      </c>
      <c r="G7593" t="s">
        <v>84</v>
      </c>
      <c r="H7593" t="s">
        <v>85</v>
      </c>
      <c r="AC7593">
        <v>0</v>
      </c>
      <c r="AD7593">
        <v>1</v>
      </c>
      <c r="AE7593">
        <v>0</v>
      </c>
      <c r="AF7593">
        <v>0</v>
      </c>
      <c r="AG7593">
        <v>0</v>
      </c>
      <c r="AJ7593">
        <v>1</v>
      </c>
      <c r="AK7593">
        <v>0</v>
      </c>
      <c r="AL7593">
        <v>0</v>
      </c>
      <c r="AM7593">
        <v>1</v>
      </c>
      <c r="AN7593">
        <v>0</v>
      </c>
      <c r="AO7593">
        <v>0</v>
      </c>
      <c r="AP7593">
        <v>0</v>
      </c>
      <c r="AQ7593">
        <v>0</v>
      </c>
      <c r="AR7593">
        <v>0</v>
      </c>
      <c r="AS7593">
        <v>0</v>
      </c>
      <c r="AT7593">
        <v>1</v>
      </c>
      <c r="AV7593">
        <v>0</v>
      </c>
      <c r="AW7593">
        <v>0</v>
      </c>
    </row>
    <row r="7594" spans="1:49" x14ac:dyDescent="0.25">
      <c r="A7594" t="str">
        <f>"7590"</f>
        <v>7590</v>
      </c>
      <c r="B7594" t="str">
        <f t="shared" si="441"/>
        <v>1</v>
      </c>
      <c r="C7594" t="str">
        <f t="shared" si="442"/>
        <v>332</v>
      </c>
      <c r="D7594" t="str">
        <f>"14"</f>
        <v>14</v>
      </c>
      <c r="E7594" t="str">
        <f>"1-332-14"</f>
        <v>1-332-14</v>
      </c>
      <c r="F7594" t="s">
        <v>83</v>
      </c>
      <c r="G7594" t="s">
        <v>84</v>
      </c>
      <c r="H7594" t="s">
        <v>85</v>
      </c>
      <c r="AC7594">
        <v>0</v>
      </c>
      <c r="AD7594">
        <v>1</v>
      </c>
      <c r="AE7594">
        <v>0</v>
      </c>
      <c r="AF7594">
        <v>0</v>
      </c>
      <c r="AG7594">
        <v>1</v>
      </c>
      <c r="AJ7594">
        <v>0</v>
      </c>
      <c r="AK7594">
        <v>1</v>
      </c>
      <c r="AL7594">
        <v>0</v>
      </c>
      <c r="AM7594">
        <v>0</v>
      </c>
      <c r="AN7594">
        <v>1</v>
      </c>
      <c r="AO7594">
        <v>1</v>
      </c>
      <c r="AP7594">
        <v>1</v>
      </c>
      <c r="AQ7594">
        <v>1</v>
      </c>
      <c r="AR7594">
        <v>1</v>
      </c>
      <c r="AS7594">
        <v>0</v>
      </c>
      <c r="AT7594">
        <v>1</v>
      </c>
      <c r="AV7594">
        <v>1</v>
      </c>
      <c r="AW7594">
        <v>1</v>
      </c>
    </row>
    <row r="7595" spans="1:49" x14ac:dyDescent="0.25">
      <c r="A7595" t="str">
        <f>"7591"</f>
        <v>7591</v>
      </c>
      <c r="B7595" t="str">
        <f t="shared" si="441"/>
        <v>1</v>
      </c>
      <c r="C7595" t="str">
        <f t="shared" si="442"/>
        <v>332</v>
      </c>
      <c r="D7595" t="str">
        <f>"9"</f>
        <v>9</v>
      </c>
      <c r="E7595" t="str">
        <f>"1-332-9"</f>
        <v>1-332-9</v>
      </c>
      <c r="F7595" t="s">
        <v>83</v>
      </c>
      <c r="G7595" t="s">
        <v>84</v>
      </c>
      <c r="H7595" t="s">
        <v>85</v>
      </c>
      <c r="AC7595">
        <v>0</v>
      </c>
      <c r="AD7595">
        <v>1</v>
      </c>
      <c r="AE7595">
        <v>0</v>
      </c>
      <c r="AF7595">
        <v>0</v>
      </c>
      <c r="AG7595">
        <v>1</v>
      </c>
      <c r="AJ7595">
        <v>1</v>
      </c>
      <c r="AK7595">
        <v>0</v>
      </c>
      <c r="AL7595">
        <v>0</v>
      </c>
      <c r="AM7595">
        <v>1</v>
      </c>
      <c r="AN7595">
        <v>0</v>
      </c>
      <c r="AO7595">
        <v>1</v>
      </c>
      <c r="AP7595">
        <v>1</v>
      </c>
      <c r="AQ7595">
        <v>1</v>
      </c>
      <c r="AR7595">
        <v>1</v>
      </c>
      <c r="AS7595">
        <v>0</v>
      </c>
      <c r="AT7595">
        <v>1</v>
      </c>
      <c r="AV7595">
        <v>1</v>
      </c>
      <c r="AW7595">
        <v>1</v>
      </c>
    </row>
    <row r="7596" spans="1:49" x14ac:dyDescent="0.25">
      <c r="A7596" t="str">
        <f>"7592"</f>
        <v>7592</v>
      </c>
      <c r="B7596" t="str">
        <f t="shared" si="441"/>
        <v>1</v>
      </c>
      <c r="C7596" t="str">
        <f t="shared" si="442"/>
        <v>332</v>
      </c>
      <c r="D7596" t="str">
        <f>"5"</f>
        <v>5</v>
      </c>
      <c r="E7596" t="str">
        <f>"1-332-5"</f>
        <v>1-332-5</v>
      </c>
      <c r="F7596" t="s">
        <v>83</v>
      </c>
      <c r="G7596" t="s">
        <v>86</v>
      </c>
      <c r="H7596" t="s">
        <v>93</v>
      </c>
      <c r="I7596">
        <v>1</v>
      </c>
      <c r="K7596">
        <v>0</v>
      </c>
      <c r="L7596">
        <v>0</v>
      </c>
      <c r="M7596">
        <v>1</v>
      </c>
      <c r="N7596">
        <v>1</v>
      </c>
      <c r="O7596">
        <v>1</v>
      </c>
      <c r="P7596">
        <v>1</v>
      </c>
      <c r="Q7596">
        <v>1</v>
      </c>
      <c r="R7596">
        <v>1</v>
      </c>
      <c r="U7596">
        <v>1</v>
      </c>
      <c r="V7596">
        <v>0</v>
      </c>
      <c r="W7596">
        <v>1</v>
      </c>
      <c r="X7596">
        <v>1</v>
      </c>
      <c r="Y7596">
        <v>1</v>
      </c>
      <c r="Z7596">
        <v>1</v>
      </c>
      <c r="AA7596">
        <v>1</v>
      </c>
      <c r="AB7596">
        <v>1</v>
      </c>
    </row>
    <row r="7597" spans="1:49" x14ac:dyDescent="0.25">
      <c r="A7597" t="str">
        <f>"7593"</f>
        <v>7593</v>
      </c>
      <c r="B7597" t="str">
        <f t="shared" si="441"/>
        <v>1</v>
      </c>
      <c r="C7597" t="str">
        <f t="shared" si="442"/>
        <v>332</v>
      </c>
      <c r="D7597" t="str">
        <f>"17"</f>
        <v>17</v>
      </c>
      <c r="E7597" t="str">
        <f>"1-332-17"</f>
        <v>1-332-17</v>
      </c>
      <c r="F7597" t="s">
        <v>83</v>
      </c>
      <c r="G7597" t="s">
        <v>84</v>
      </c>
      <c r="H7597" t="s">
        <v>85</v>
      </c>
      <c r="AC7597">
        <v>0</v>
      </c>
      <c r="AD7597">
        <v>1</v>
      </c>
      <c r="AE7597">
        <v>0</v>
      </c>
      <c r="AF7597">
        <v>0</v>
      </c>
      <c r="AG7597">
        <v>1</v>
      </c>
      <c r="AJ7597">
        <v>0</v>
      </c>
      <c r="AK7597">
        <v>1</v>
      </c>
      <c r="AL7597">
        <v>0</v>
      </c>
      <c r="AM7597">
        <v>0</v>
      </c>
      <c r="AN7597">
        <v>1</v>
      </c>
      <c r="AO7597">
        <v>1</v>
      </c>
      <c r="AP7597">
        <v>1</v>
      </c>
      <c r="AQ7597">
        <v>1</v>
      </c>
      <c r="AR7597">
        <v>1</v>
      </c>
      <c r="AS7597">
        <v>0</v>
      </c>
      <c r="AT7597">
        <v>1</v>
      </c>
      <c r="AV7597">
        <v>1</v>
      </c>
      <c r="AW7597">
        <v>1</v>
      </c>
    </row>
    <row r="7598" spans="1:49" x14ac:dyDescent="0.25">
      <c r="A7598" t="str">
        <f>"7594"</f>
        <v>7594</v>
      </c>
      <c r="B7598" t="str">
        <f t="shared" si="441"/>
        <v>1</v>
      </c>
      <c r="C7598" t="str">
        <f t="shared" si="442"/>
        <v>332</v>
      </c>
      <c r="D7598" t="str">
        <f>"10"</f>
        <v>10</v>
      </c>
      <c r="E7598" t="str">
        <f>"1-332-10"</f>
        <v>1-332-10</v>
      </c>
      <c r="F7598" t="s">
        <v>83</v>
      </c>
      <c r="G7598" t="s">
        <v>84</v>
      </c>
      <c r="H7598" t="s">
        <v>85</v>
      </c>
      <c r="AC7598">
        <v>0</v>
      </c>
      <c r="AD7598">
        <v>1</v>
      </c>
      <c r="AE7598">
        <v>0</v>
      </c>
      <c r="AF7598">
        <v>0</v>
      </c>
      <c r="AG7598">
        <v>0</v>
      </c>
      <c r="AJ7598">
        <v>1</v>
      </c>
      <c r="AK7598">
        <v>0</v>
      </c>
      <c r="AL7598">
        <v>0</v>
      </c>
      <c r="AM7598">
        <v>1</v>
      </c>
      <c r="AN7598">
        <v>0</v>
      </c>
      <c r="AO7598">
        <v>1</v>
      </c>
      <c r="AP7598">
        <v>1</v>
      </c>
      <c r="AQ7598">
        <v>1</v>
      </c>
      <c r="AR7598">
        <v>1</v>
      </c>
      <c r="AS7598">
        <v>0</v>
      </c>
      <c r="AT7598">
        <v>1</v>
      </c>
      <c r="AV7598">
        <v>1</v>
      </c>
      <c r="AW7598">
        <v>1</v>
      </c>
    </row>
    <row r="7599" spans="1:49" x14ac:dyDescent="0.25">
      <c r="A7599" t="str">
        <f>"7595"</f>
        <v>7595</v>
      </c>
      <c r="B7599" t="str">
        <f t="shared" si="441"/>
        <v>1</v>
      </c>
      <c r="C7599" t="str">
        <f t="shared" si="442"/>
        <v>332</v>
      </c>
      <c r="D7599" t="str">
        <f>"7"</f>
        <v>7</v>
      </c>
      <c r="E7599" t="str">
        <f>"1-332-7"</f>
        <v>1-332-7</v>
      </c>
      <c r="F7599" t="s">
        <v>83</v>
      </c>
      <c r="G7599" t="s">
        <v>86</v>
      </c>
      <c r="H7599" t="s">
        <v>93</v>
      </c>
      <c r="I7599">
        <v>1</v>
      </c>
      <c r="K7599">
        <v>0</v>
      </c>
      <c r="L7599">
        <v>0</v>
      </c>
      <c r="M7599">
        <v>1</v>
      </c>
      <c r="N7599">
        <v>1</v>
      </c>
      <c r="O7599">
        <v>1</v>
      </c>
      <c r="P7599">
        <v>1</v>
      </c>
      <c r="Q7599">
        <v>1</v>
      </c>
      <c r="R7599">
        <v>1</v>
      </c>
      <c r="U7599">
        <v>1</v>
      </c>
      <c r="V7599">
        <v>0</v>
      </c>
      <c r="W7599">
        <v>1</v>
      </c>
      <c r="X7599">
        <v>1</v>
      </c>
      <c r="Y7599">
        <v>1</v>
      </c>
      <c r="Z7599">
        <v>1</v>
      </c>
      <c r="AA7599">
        <v>1</v>
      </c>
      <c r="AB7599">
        <v>1</v>
      </c>
    </row>
    <row r="7600" spans="1:49" x14ac:dyDescent="0.25">
      <c r="A7600" t="str">
        <f>"7596"</f>
        <v>7596</v>
      </c>
      <c r="B7600" t="str">
        <f t="shared" si="441"/>
        <v>1</v>
      </c>
      <c r="C7600" t="str">
        <f t="shared" si="442"/>
        <v>332</v>
      </c>
      <c r="D7600" t="str">
        <f>"16"</f>
        <v>16</v>
      </c>
      <c r="E7600" t="str">
        <f>"1-332-16"</f>
        <v>1-332-16</v>
      </c>
      <c r="F7600" t="s">
        <v>83</v>
      </c>
      <c r="G7600" t="s">
        <v>84</v>
      </c>
      <c r="H7600" t="s">
        <v>85</v>
      </c>
      <c r="AC7600">
        <v>0</v>
      </c>
      <c r="AD7600">
        <v>0</v>
      </c>
      <c r="AE7600">
        <v>0</v>
      </c>
      <c r="AF7600">
        <v>0</v>
      </c>
      <c r="AG7600">
        <v>0</v>
      </c>
      <c r="AJ7600">
        <v>0</v>
      </c>
      <c r="AK7600">
        <v>0</v>
      </c>
      <c r="AL7600">
        <v>0</v>
      </c>
      <c r="AM7600">
        <v>0</v>
      </c>
      <c r="AN7600">
        <v>1</v>
      </c>
      <c r="AO7600">
        <v>0</v>
      </c>
      <c r="AP7600">
        <v>0</v>
      </c>
      <c r="AQ7600">
        <v>0</v>
      </c>
      <c r="AR7600">
        <v>0</v>
      </c>
      <c r="AS7600">
        <v>0</v>
      </c>
      <c r="AT7600">
        <v>0</v>
      </c>
      <c r="AV7600">
        <v>0</v>
      </c>
      <c r="AW7600">
        <v>0</v>
      </c>
    </row>
    <row r="7601" spans="1:49" x14ac:dyDescent="0.25">
      <c r="A7601" t="str">
        <f>"7597"</f>
        <v>7597</v>
      </c>
      <c r="B7601" t="str">
        <f t="shared" si="441"/>
        <v>1</v>
      </c>
      <c r="C7601" t="str">
        <f t="shared" si="442"/>
        <v>332</v>
      </c>
      <c r="D7601" t="str">
        <f>"11"</f>
        <v>11</v>
      </c>
      <c r="E7601" t="str">
        <f>"1-332-11"</f>
        <v>1-332-11</v>
      </c>
      <c r="F7601" t="s">
        <v>83</v>
      </c>
      <c r="G7601" t="s">
        <v>84</v>
      </c>
      <c r="H7601" t="s">
        <v>85</v>
      </c>
      <c r="AC7601">
        <v>0</v>
      </c>
      <c r="AD7601">
        <v>0</v>
      </c>
      <c r="AE7601">
        <v>0</v>
      </c>
      <c r="AF7601">
        <v>0</v>
      </c>
      <c r="AG7601">
        <v>0</v>
      </c>
      <c r="AJ7601">
        <v>0</v>
      </c>
      <c r="AK7601">
        <v>0</v>
      </c>
      <c r="AL7601">
        <v>0</v>
      </c>
      <c r="AM7601">
        <v>0</v>
      </c>
      <c r="AN7601">
        <v>1</v>
      </c>
      <c r="AO7601">
        <v>0</v>
      </c>
      <c r="AP7601">
        <v>0</v>
      </c>
      <c r="AQ7601">
        <v>0</v>
      </c>
      <c r="AR7601">
        <v>0</v>
      </c>
      <c r="AS7601">
        <v>0</v>
      </c>
      <c r="AT7601">
        <v>0</v>
      </c>
      <c r="AV7601">
        <v>0</v>
      </c>
      <c r="AW7601">
        <v>0</v>
      </c>
    </row>
    <row r="7602" spans="1:49" x14ac:dyDescent="0.25">
      <c r="A7602" t="str">
        <f>"7598"</f>
        <v>7598</v>
      </c>
      <c r="B7602" t="str">
        <f t="shared" si="441"/>
        <v>1</v>
      </c>
      <c r="C7602" t="str">
        <f t="shared" si="442"/>
        <v>332</v>
      </c>
      <c r="D7602" t="str">
        <f>"3"</f>
        <v>3</v>
      </c>
      <c r="E7602" t="str">
        <f>"1-332-3"</f>
        <v>1-332-3</v>
      </c>
      <c r="F7602" t="s">
        <v>83</v>
      </c>
      <c r="G7602" t="s">
        <v>86</v>
      </c>
      <c r="H7602" t="s">
        <v>93</v>
      </c>
      <c r="I7602">
        <v>1</v>
      </c>
      <c r="K7602">
        <v>0</v>
      </c>
      <c r="L7602">
        <v>0</v>
      </c>
      <c r="M7602">
        <v>1</v>
      </c>
      <c r="N7602">
        <v>1</v>
      </c>
      <c r="O7602">
        <v>1</v>
      </c>
      <c r="P7602">
        <v>1</v>
      </c>
      <c r="Q7602">
        <v>1</v>
      </c>
      <c r="R7602">
        <v>1</v>
      </c>
      <c r="U7602">
        <v>1</v>
      </c>
      <c r="V7602">
        <v>0</v>
      </c>
      <c r="W7602">
        <v>1</v>
      </c>
      <c r="X7602">
        <v>1</v>
      </c>
      <c r="Y7602">
        <v>1</v>
      </c>
      <c r="Z7602">
        <v>1</v>
      </c>
      <c r="AA7602">
        <v>1</v>
      </c>
      <c r="AB7602">
        <v>1</v>
      </c>
    </row>
    <row r="7603" spans="1:49" x14ac:dyDescent="0.25">
      <c r="A7603" t="str">
        <f>"7599"</f>
        <v>7599</v>
      </c>
      <c r="B7603" t="str">
        <f t="shared" si="441"/>
        <v>1</v>
      </c>
      <c r="C7603" t="str">
        <f t="shared" si="442"/>
        <v>332</v>
      </c>
      <c r="D7603" t="str">
        <f>"15"</f>
        <v>15</v>
      </c>
      <c r="E7603" t="str">
        <f>"1-332-15"</f>
        <v>1-332-15</v>
      </c>
      <c r="F7603" t="s">
        <v>83</v>
      </c>
      <c r="G7603" t="s">
        <v>84</v>
      </c>
      <c r="H7603" t="s">
        <v>85</v>
      </c>
      <c r="AC7603">
        <v>1</v>
      </c>
      <c r="AD7603">
        <v>0</v>
      </c>
      <c r="AE7603">
        <v>0</v>
      </c>
      <c r="AF7603">
        <v>0</v>
      </c>
      <c r="AG7603">
        <v>1</v>
      </c>
      <c r="AJ7603">
        <v>1</v>
      </c>
      <c r="AK7603">
        <v>0</v>
      </c>
      <c r="AL7603">
        <v>1</v>
      </c>
      <c r="AM7603">
        <v>0</v>
      </c>
      <c r="AN7603">
        <v>0</v>
      </c>
      <c r="AO7603">
        <v>1</v>
      </c>
      <c r="AP7603">
        <v>1</v>
      </c>
      <c r="AQ7603">
        <v>1</v>
      </c>
      <c r="AR7603">
        <v>1</v>
      </c>
      <c r="AS7603">
        <v>0</v>
      </c>
      <c r="AT7603">
        <v>1</v>
      </c>
      <c r="AV7603">
        <v>1</v>
      </c>
      <c r="AW7603">
        <v>1</v>
      </c>
    </row>
    <row r="7604" spans="1:49" x14ac:dyDescent="0.25">
      <c r="A7604" t="str">
        <f>"7600"</f>
        <v>7600</v>
      </c>
      <c r="B7604" t="str">
        <f t="shared" si="441"/>
        <v>1</v>
      </c>
      <c r="C7604" t="str">
        <f t="shared" si="442"/>
        <v>332</v>
      </c>
      <c r="D7604" t="str">
        <f>"12"</f>
        <v>12</v>
      </c>
      <c r="E7604" t="str">
        <f>"1-332-12"</f>
        <v>1-332-12</v>
      </c>
      <c r="F7604" t="s">
        <v>83</v>
      </c>
      <c r="G7604" t="s">
        <v>84</v>
      </c>
      <c r="H7604" t="s">
        <v>85</v>
      </c>
      <c r="AC7604">
        <v>1</v>
      </c>
      <c r="AD7604">
        <v>0</v>
      </c>
      <c r="AE7604">
        <v>0</v>
      </c>
      <c r="AF7604">
        <v>0</v>
      </c>
      <c r="AG7604">
        <v>1</v>
      </c>
      <c r="AJ7604">
        <v>1</v>
      </c>
      <c r="AK7604">
        <v>0</v>
      </c>
      <c r="AL7604">
        <v>0</v>
      </c>
      <c r="AM7604">
        <v>1</v>
      </c>
      <c r="AN7604">
        <v>0</v>
      </c>
      <c r="AO7604">
        <v>1</v>
      </c>
      <c r="AP7604">
        <v>1</v>
      </c>
      <c r="AQ7604">
        <v>1</v>
      </c>
      <c r="AR7604">
        <v>1</v>
      </c>
      <c r="AS7604">
        <v>0</v>
      </c>
      <c r="AT7604">
        <v>1</v>
      </c>
      <c r="AV7604">
        <v>1</v>
      </c>
      <c r="AW7604">
        <v>1</v>
      </c>
    </row>
    <row r="7605" spans="1:49" x14ac:dyDescent="0.25">
      <c r="A7605" t="str">
        <f>"7601"</f>
        <v>7601</v>
      </c>
      <c r="B7605" t="str">
        <f t="shared" si="441"/>
        <v>1</v>
      </c>
      <c r="C7605" t="str">
        <f t="shared" si="442"/>
        <v>332</v>
      </c>
      <c r="D7605" t="str">
        <f>"2"</f>
        <v>2</v>
      </c>
      <c r="E7605" t="str">
        <f>"1-332-2"</f>
        <v>1-332-2</v>
      </c>
      <c r="F7605" t="s">
        <v>83</v>
      </c>
      <c r="G7605" t="s">
        <v>84</v>
      </c>
      <c r="H7605" t="s">
        <v>92</v>
      </c>
      <c r="I7605">
        <v>1</v>
      </c>
      <c r="J7605">
        <v>1</v>
      </c>
      <c r="N7605">
        <v>1</v>
      </c>
      <c r="O7605">
        <v>1</v>
      </c>
      <c r="P7605">
        <v>1</v>
      </c>
      <c r="Q7605">
        <v>1</v>
      </c>
      <c r="R7605">
        <v>1</v>
      </c>
      <c r="S7605">
        <v>1</v>
      </c>
      <c r="T7605">
        <v>1</v>
      </c>
      <c r="W7605">
        <v>1</v>
      </c>
      <c r="X7605">
        <v>1</v>
      </c>
      <c r="Y7605">
        <v>1</v>
      </c>
      <c r="Z7605">
        <v>1</v>
      </c>
      <c r="AA7605">
        <v>1</v>
      </c>
      <c r="AB7605">
        <v>1</v>
      </c>
    </row>
    <row r="7606" spans="1:49" x14ac:dyDescent="0.25">
      <c r="A7606" t="str">
        <f>"7602"</f>
        <v>7602</v>
      </c>
      <c r="B7606" t="str">
        <f t="shared" si="441"/>
        <v>1</v>
      </c>
      <c r="C7606" t="str">
        <f t="shared" si="442"/>
        <v>332</v>
      </c>
      <c r="D7606" t="str">
        <f>"18"</f>
        <v>18</v>
      </c>
      <c r="E7606" t="str">
        <f>"1-332-18"</f>
        <v>1-332-18</v>
      </c>
      <c r="F7606" t="s">
        <v>83</v>
      </c>
      <c r="G7606" t="s">
        <v>84</v>
      </c>
      <c r="H7606" t="s">
        <v>85</v>
      </c>
      <c r="AC7606">
        <v>0</v>
      </c>
      <c r="AD7606">
        <v>1</v>
      </c>
      <c r="AE7606">
        <v>0</v>
      </c>
      <c r="AF7606">
        <v>0</v>
      </c>
      <c r="AG7606">
        <v>1</v>
      </c>
      <c r="AJ7606">
        <v>0</v>
      </c>
      <c r="AK7606">
        <v>1</v>
      </c>
      <c r="AL7606">
        <v>0</v>
      </c>
      <c r="AM7606">
        <v>0</v>
      </c>
      <c r="AN7606">
        <v>1</v>
      </c>
      <c r="AO7606">
        <v>0</v>
      </c>
      <c r="AP7606">
        <v>0</v>
      </c>
      <c r="AQ7606">
        <v>0</v>
      </c>
      <c r="AR7606">
        <v>1</v>
      </c>
      <c r="AS7606">
        <v>1</v>
      </c>
      <c r="AT7606">
        <v>0</v>
      </c>
      <c r="AV7606">
        <v>1</v>
      </c>
      <c r="AW7606">
        <v>1</v>
      </c>
    </row>
    <row r="7607" spans="1:49" x14ac:dyDescent="0.25">
      <c r="A7607" t="str">
        <f>"7603"</f>
        <v>7603</v>
      </c>
      <c r="B7607" t="str">
        <f t="shared" si="441"/>
        <v>1</v>
      </c>
      <c r="C7607" t="str">
        <f t="shared" si="442"/>
        <v>332</v>
      </c>
      <c r="D7607" t="str">
        <f>"6"</f>
        <v>6</v>
      </c>
      <c r="E7607" t="str">
        <f>"1-332-6"</f>
        <v>1-332-6</v>
      </c>
      <c r="F7607" t="s">
        <v>83</v>
      </c>
      <c r="G7607" t="s">
        <v>84</v>
      </c>
      <c r="H7607" t="s">
        <v>92</v>
      </c>
      <c r="I7607">
        <v>1</v>
      </c>
      <c r="J7607">
        <v>1</v>
      </c>
      <c r="N7607">
        <v>1</v>
      </c>
      <c r="O7607">
        <v>1</v>
      </c>
      <c r="P7607">
        <v>1</v>
      </c>
      <c r="Q7607">
        <v>0</v>
      </c>
      <c r="R7607">
        <v>1</v>
      </c>
      <c r="S7607">
        <v>1</v>
      </c>
      <c r="T7607">
        <v>1</v>
      </c>
      <c r="W7607">
        <v>1</v>
      </c>
      <c r="X7607">
        <v>1</v>
      </c>
      <c r="Y7607">
        <v>1</v>
      </c>
      <c r="Z7607">
        <v>1</v>
      </c>
      <c r="AA7607">
        <v>1</v>
      </c>
      <c r="AB7607">
        <v>1</v>
      </c>
    </row>
    <row r="7608" spans="1:49" x14ac:dyDescent="0.25">
      <c r="A7608" t="str">
        <f>"7604"</f>
        <v>7604</v>
      </c>
      <c r="B7608" t="str">
        <f t="shared" si="441"/>
        <v>1</v>
      </c>
      <c r="C7608" t="str">
        <f t="shared" si="442"/>
        <v>332</v>
      </c>
      <c r="D7608" t="str">
        <f>"19"</f>
        <v>19</v>
      </c>
      <c r="E7608" t="str">
        <f>"1-332-19"</f>
        <v>1-332-19</v>
      </c>
      <c r="F7608" t="s">
        <v>83</v>
      </c>
      <c r="G7608" t="s">
        <v>88</v>
      </c>
      <c r="H7608" t="s">
        <v>89</v>
      </c>
      <c r="AC7608">
        <v>1</v>
      </c>
      <c r="AD7608">
        <v>0</v>
      </c>
      <c r="AE7608">
        <v>0</v>
      </c>
      <c r="AF7608">
        <v>0</v>
      </c>
      <c r="AH7608">
        <v>1</v>
      </c>
      <c r="AI7608">
        <v>0</v>
      </c>
      <c r="AJ7608">
        <v>0</v>
      </c>
      <c r="AK7608">
        <v>0</v>
      </c>
      <c r="AL7608">
        <v>0</v>
      </c>
      <c r="AM7608">
        <v>0</v>
      </c>
      <c r="AN7608">
        <v>0</v>
      </c>
      <c r="AO7608">
        <v>0</v>
      </c>
      <c r="AP7608">
        <v>0</v>
      </c>
      <c r="AQ7608">
        <v>0</v>
      </c>
      <c r="AR7608">
        <v>0</v>
      </c>
      <c r="AS7608">
        <v>0</v>
      </c>
      <c r="AT7608">
        <v>0</v>
      </c>
      <c r="AV7608">
        <v>0</v>
      </c>
      <c r="AW7608">
        <v>0</v>
      </c>
    </row>
    <row r="7609" spans="1:49" x14ac:dyDescent="0.25">
      <c r="A7609" t="str">
        <f>"7605"</f>
        <v>7605</v>
      </c>
      <c r="B7609" t="str">
        <f t="shared" si="441"/>
        <v>1</v>
      </c>
      <c r="C7609" t="str">
        <f t="shared" si="442"/>
        <v>332</v>
      </c>
      <c r="D7609" t="str">
        <f>"4"</f>
        <v>4</v>
      </c>
      <c r="E7609" t="str">
        <f>"1-332-4"</f>
        <v>1-332-4</v>
      </c>
      <c r="F7609" t="s">
        <v>83</v>
      </c>
      <c r="G7609" t="s">
        <v>86</v>
      </c>
      <c r="H7609" t="s">
        <v>93</v>
      </c>
      <c r="I7609">
        <v>1</v>
      </c>
      <c r="K7609">
        <v>1</v>
      </c>
      <c r="L7609">
        <v>0</v>
      </c>
      <c r="M7609">
        <v>0</v>
      </c>
      <c r="N7609">
        <v>1</v>
      </c>
      <c r="O7609">
        <v>1</v>
      </c>
      <c r="P7609">
        <v>1</v>
      </c>
      <c r="Q7609">
        <v>1</v>
      </c>
      <c r="R7609">
        <v>1</v>
      </c>
      <c r="U7609">
        <v>0</v>
      </c>
      <c r="V7609">
        <v>1</v>
      </c>
      <c r="W7609">
        <v>1</v>
      </c>
      <c r="X7609">
        <v>1</v>
      </c>
      <c r="Y7609">
        <v>1</v>
      </c>
      <c r="Z7609">
        <v>1</v>
      </c>
      <c r="AA7609">
        <v>1</v>
      </c>
      <c r="AB7609">
        <v>1</v>
      </c>
    </row>
    <row r="7610" spans="1:49" x14ac:dyDescent="0.25">
      <c r="A7610" t="str">
        <f>"7606"</f>
        <v>7606</v>
      </c>
      <c r="B7610" t="str">
        <f t="shared" si="441"/>
        <v>1</v>
      </c>
      <c r="C7610" t="str">
        <f t="shared" si="442"/>
        <v>332</v>
      </c>
      <c r="D7610" t="str">
        <f>"8"</f>
        <v>8</v>
      </c>
      <c r="E7610" t="str">
        <f>"1-332-8"</f>
        <v>1-332-8</v>
      </c>
      <c r="F7610" t="s">
        <v>83</v>
      </c>
      <c r="G7610" t="s">
        <v>84</v>
      </c>
      <c r="H7610" t="s">
        <v>85</v>
      </c>
      <c r="AC7610">
        <v>0</v>
      </c>
      <c r="AD7610">
        <v>1</v>
      </c>
      <c r="AE7610">
        <v>0</v>
      </c>
      <c r="AF7610">
        <v>0</v>
      </c>
      <c r="AG7610">
        <v>1</v>
      </c>
      <c r="AJ7610">
        <v>1</v>
      </c>
      <c r="AK7610">
        <v>0</v>
      </c>
      <c r="AL7610">
        <v>0</v>
      </c>
      <c r="AM7610">
        <v>0</v>
      </c>
      <c r="AN7610">
        <v>1</v>
      </c>
      <c r="AO7610">
        <v>1</v>
      </c>
      <c r="AP7610">
        <v>0</v>
      </c>
      <c r="AQ7610">
        <v>0</v>
      </c>
      <c r="AR7610">
        <v>1</v>
      </c>
      <c r="AS7610">
        <v>0</v>
      </c>
      <c r="AT7610">
        <v>1</v>
      </c>
      <c r="AV7610">
        <v>1</v>
      </c>
      <c r="AW7610">
        <v>1</v>
      </c>
    </row>
    <row r="7611" spans="1:49" x14ac:dyDescent="0.25">
      <c r="A7611" t="str">
        <f>"7607"</f>
        <v>7607</v>
      </c>
      <c r="B7611" t="str">
        <f t="shared" si="441"/>
        <v>1</v>
      </c>
      <c r="C7611" t="str">
        <f t="shared" ref="C7611:C7631" si="443">"333"</f>
        <v>333</v>
      </c>
      <c r="D7611" t="str">
        <f>"21"</f>
        <v>21</v>
      </c>
      <c r="E7611" t="str">
        <f>"1-333-21"</f>
        <v>1-333-21</v>
      </c>
      <c r="F7611" t="s">
        <v>83</v>
      </c>
      <c r="G7611" t="s">
        <v>84</v>
      </c>
      <c r="H7611" t="s">
        <v>92</v>
      </c>
      <c r="I7611">
        <v>1</v>
      </c>
      <c r="J7611">
        <v>1</v>
      </c>
      <c r="N7611">
        <v>1</v>
      </c>
      <c r="O7611">
        <v>1</v>
      </c>
      <c r="P7611">
        <v>1</v>
      </c>
      <c r="Q7611">
        <v>1</v>
      </c>
      <c r="R7611">
        <v>1</v>
      </c>
      <c r="S7611">
        <v>1</v>
      </c>
      <c r="T7611">
        <v>1</v>
      </c>
      <c r="W7611">
        <v>1</v>
      </c>
      <c r="X7611">
        <v>1</v>
      </c>
      <c r="Y7611">
        <v>1</v>
      </c>
      <c r="Z7611">
        <v>1</v>
      </c>
      <c r="AA7611">
        <v>1</v>
      </c>
      <c r="AB7611">
        <v>1</v>
      </c>
    </row>
    <row r="7612" spans="1:49" x14ac:dyDescent="0.25">
      <c r="A7612" t="str">
        <f>"7608"</f>
        <v>7608</v>
      </c>
      <c r="B7612" t="str">
        <f t="shared" si="441"/>
        <v>1</v>
      </c>
      <c r="C7612" t="str">
        <f t="shared" si="443"/>
        <v>333</v>
      </c>
      <c r="D7612" t="str">
        <f>"20"</f>
        <v>20</v>
      </c>
      <c r="E7612" t="str">
        <f>"1-333-20"</f>
        <v>1-333-20</v>
      </c>
      <c r="F7612" t="s">
        <v>83</v>
      </c>
      <c r="G7612" t="s">
        <v>84</v>
      </c>
      <c r="H7612" t="s">
        <v>92</v>
      </c>
      <c r="I7612">
        <v>1</v>
      </c>
      <c r="J7612">
        <v>1</v>
      </c>
      <c r="N7612">
        <v>1</v>
      </c>
      <c r="O7612">
        <v>1</v>
      </c>
      <c r="P7612">
        <v>1</v>
      </c>
      <c r="Q7612">
        <v>1</v>
      </c>
      <c r="R7612">
        <v>1</v>
      </c>
      <c r="S7612">
        <v>1</v>
      </c>
      <c r="T7612">
        <v>1</v>
      </c>
      <c r="W7612">
        <v>1</v>
      </c>
      <c r="X7612">
        <v>1</v>
      </c>
      <c r="Y7612">
        <v>1</v>
      </c>
      <c r="Z7612">
        <v>1</v>
      </c>
      <c r="AA7612">
        <v>1</v>
      </c>
      <c r="AB7612">
        <v>1</v>
      </c>
    </row>
    <row r="7613" spans="1:49" x14ac:dyDescent="0.25">
      <c r="A7613" t="str">
        <f>"7609"</f>
        <v>7609</v>
      </c>
      <c r="B7613" t="str">
        <f t="shared" si="441"/>
        <v>1</v>
      </c>
      <c r="C7613" t="str">
        <f t="shared" si="443"/>
        <v>333</v>
      </c>
      <c r="D7613" t="str">
        <f>"13"</f>
        <v>13</v>
      </c>
      <c r="E7613" t="str">
        <f>"1-333-13"</f>
        <v>1-333-13</v>
      </c>
      <c r="F7613" t="s">
        <v>83</v>
      </c>
      <c r="G7613" t="s">
        <v>84</v>
      </c>
      <c r="H7613" t="s">
        <v>92</v>
      </c>
      <c r="I7613">
        <v>1</v>
      </c>
      <c r="J7613">
        <v>1</v>
      </c>
      <c r="N7613">
        <v>1</v>
      </c>
      <c r="O7613">
        <v>1</v>
      </c>
      <c r="P7613">
        <v>1</v>
      </c>
      <c r="Q7613">
        <v>1</v>
      </c>
      <c r="R7613">
        <v>1</v>
      </c>
      <c r="S7613">
        <v>1</v>
      </c>
      <c r="T7613">
        <v>1</v>
      </c>
      <c r="W7613">
        <v>1</v>
      </c>
      <c r="X7613">
        <v>1</v>
      </c>
      <c r="Y7613">
        <v>1</v>
      </c>
      <c r="Z7613">
        <v>1</v>
      </c>
      <c r="AA7613">
        <v>1</v>
      </c>
      <c r="AB7613">
        <v>1</v>
      </c>
    </row>
    <row r="7614" spans="1:49" x14ac:dyDescent="0.25">
      <c r="A7614" t="str">
        <f>"7610"</f>
        <v>7610</v>
      </c>
      <c r="B7614" t="str">
        <f t="shared" si="441"/>
        <v>1</v>
      </c>
      <c r="C7614" t="str">
        <f t="shared" si="443"/>
        <v>333</v>
      </c>
      <c r="D7614" t="str">
        <f>"12"</f>
        <v>12</v>
      </c>
      <c r="E7614" t="str">
        <f>"1-333-12"</f>
        <v>1-333-12</v>
      </c>
      <c r="F7614" t="s">
        <v>83</v>
      </c>
      <c r="G7614" t="s">
        <v>84</v>
      </c>
      <c r="H7614" t="s">
        <v>92</v>
      </c>
      <c r="I7614">
        <v>1</v>
      </c>
      <c r="J7614">
        <v>1</v>
      </c>
      <c r="N7614">
        <v>1</v>
      </c>
      <c r="O7614">
        <v>1</v>
      </c>
      <c r="P7614">
        <v>1</v>
      </c>
      <c r="Q7614">
        <v>1</v>
      </c>
      <c r="R7614">
        <v>1</v>
      </c>
      <c r="S7614">
        <v>1</v>
      </c>
      <c r="T7614">
        <v>0</v>
      </c>
      <c r="W7614">
        <v>1</v>
      </c>
      <c r="X7614">
        <v>1</v>
      </c>
      <c r="Y7614">
        <v>1</v>
      </c>
      <c r="Z7614">
        <v>0</v>
      </c>
      <c r="AA7614">
        <v>0</v>
      </c>
      <c r="AB7614">
        <v>0</v>
      </c>
    </row>
    <row r="7615" spans="1:49" x14ac:dyDescent="0.25">
      <c r="A7615" t="str">
        <f>"7611"</f>
        <v>7611</v>
      </c>
      <c r="B7615" t="str">
        <f t="shared" si="441"/>
        <v>1</v>
      </c>
      <c r="C7615" t="str">
        <f t="shared" si="443"/>
        <v>333</v>
      </c>
      <c r="D7615" t="str">
        <f>"9"</f>
        <v>9</v>
      </c>
      <c r="E7615" t="str">
        <f>"1-333-9"</f>
        <v>1-333-9</v>
      </c>
      <c r="F7615" t="s">
        <v>83</v>
      </c>
      <c r="G7615" t="s">
        <v>84</v>
      </c>
      <c r="H7615" t="s">
        <v>92</v>
      </c>
      <c r="I7615">
        <v>1</v>
      </c>
      <c r="J7615">
        <v>1</v>
      </c>
      <c r="N7615">
        <v>1</v>
      </c>
      <c r="O7615">
        <v>0</v>
      </c>
      <c r="P7615">
        <v>0</v>
      </c>
      <c r="Q7615">
        <v>0</v>
      </c>
      <c r="R7615">
        <v>0</v>
      </c>
      <c r="S7615">
        <v>0</v>
      </c>
      <c r="T7615">
        <v>0</v>
      </c>
      <c r="W7615">
        <v>1</v>
      </c>
      <c r="X7615">
        <v>1</v>
      </c>
      <c r="Y7615">
        <v>1</v>
      </c>
      <c r="Z7615">
        <v>0</v>
      </c>
      <c r="AA7615">
        <v>0</v>
      </c>
      <c r="AB7615">
        <v>0</v>
      </c>
    </row>
    <row r="7616" spans="1:49" x14ac:dyDescent="0.25">
      <c r="A7616" t="str">
        <f>"7612"</f>
        <v>7612</v>
      </c>
      <c r="B7616" t="str">
        <f t="shared" si="441"/>
        <v>1</v>
      </c>
      <c r="C7616" t="str">
        <f t="shared" si="443"/>
        <v>333</v>
      </c>
      <c r="D7616" t="str">
        <f>"8"</f>
        <v>8</v>
      </c>
      <c r="E7616" t="str">
        <f>"1-333-8"</f>
        <v>1-333-8</v>
      </c>
      <c r="F7616" t="s">
        <v>83</v>
      </c>
      <c r="G7616" t="s">
        <v>84</v>
      </c>
      <c r="H7616" t="s">
        <v>92</v>
      </c>
      <c r="I7616">
        <v>1</v>
      </c>
      <c r="J7616">
        <v>1</v>
      </c>
      <c r="N7616">
        <v>1</v>
      </c>
      <c r="O7616">
        <v>1</v>
      </c>
      <c r="P7616">
        <v>1</v>
      </c>
      <c r="Q7616">
        <v>1</v>
      </c>
      <c r="R7616">
        <v>1</v>
      </c>
      <c r="S7616">
        <v>1</v>
      </c>
      <c r="T7616">
        <v>1</v>
      </c>
      <c r="W7616">
        <v>1</v>
      </c>
      <c r="X7616">
        <v>1</v>
      </c>
      <c r="Y7616">
        <v>1</v>
      </c>
      <c r="Z7616">
        <v>1</v>
      </c>
      <c r="AA7616">
        <v>1</v>
      </c>
      <c r="AB7616">
        <v>1</v>
      </c>
    </row>
    <row r="7617" spans="1:28" x14ac:dyDescent="0.25">
      <c r="A7617" t="str">
        <f>"7613"</f>
        <v>7613</v>
      </c>
      <c r="B7617" t="str">
        <f t="shared" si="441"/>
        <v>1</v>
      </c>
      <c r="C7617" t="str">
        <f t="shared" si="443"/>
        <v>333</v>
      </c>
      <c r="D7617" t="str">
        <f>"1"</f>
        <v>1</v>
      </c>
      <c r="E7617" t="str">
        <f>"1-333-1"</f>
        <v>1-333-1</v>
      </c>
      <c r="F7617" t="s">
        <v>83</v>
      </c>
      <c r="G7617" t="s">
        <v>84</v>
      </c>
      <c r="H7617" t="s">
        <v>92</v>
      </c>
      <c r="I7617">
        <v>1</v>
      </c>
      <c r="J7617">
        <v>1</v>
      </c>
      <c r="N7617">
        <v>1</v>
      </c>
      <c r="O7617">
        <v>1</v>
      </c>
      <c r="P7617">
        <v>1</v>
      </c>
      <c r="Q7617">
        <v>1</v>
      </c>
      <c r="R7617">
        <v>1</v>
      </c>
      <c r="S7617">
        <v>1</v>
      </c>
      <c r="T7617">
        <v>1</v>
      </c>
      <c r="W7617">
        <v>1</v>
      </c>
      <c r="X7617">
        <v>1</v>
      </c>
      <c r="Y7617">
        <v>1</v>
      </c>
      <c r="Z7617">
        <v>1</v>
      </c>
      <c r="AA7617">
        <v>1</v>
      </c>
      <c r="AB7617">
        <v>1</v>
      </c>
    </row>
    <row r="7618" spans="1:28" x14ac:dyDescent="0.25">
      <c r="A7618" t="str">
        <f>"7614"</f>
        <v>7614</v>
      </c>
      <c r="B7618" t="str">
        <f t="shared" si="441"/>
        <v>1</v>
      </c>
      <c r="C7618" t="str">
        <f t="shared" si="443"/>
        <v>333</v>
      </c>
      <c r="D7618" t="str">
        <f>"16"</f>
        <v>16</v>
      </c>
      <c r="E7618" t="str">
        <f>"1-333-16"</f>
        <v>1-333-16</v>
      </c>
      <c r="F7618" t="s">
        <v>83</v>
      </c>
      <c r="G7618" t="s">
        <v>84</v>
      </c>
      <c r="H7618" t="s">
        <v>92</v>
      </c>
      <c r="I7618">
        <v>1</v>
      </c>
      <c r="J7618">
        <v>1</v>
      </c>
      <c r="N7618">
        <v>1</v>
      </c>
      <c r="O7618">
        <v>1</v>
      </c>
      <c r="P7618">
        <v>1</v>
      </c>
      <c r="Q7618">
        <v>1</v>
      </c>
      <c r="R7618">
        <v>1</v>
      </c>
      <c r="S7618">
        <v>1</v>
      </c>
      <c r="T7618">
        <v>1</v>
      </c>
      <c r="W7618">
        <v>1</v>
      </c>
      <c r="X7618">
        <v>1</v>
      </c>
      <c r="Y7618">
        <v>1</v>
      </c>
      <c r="Z7618">
        <v>1</v>
      </c>
      <c r="AA7618">
        <v>1</v>
      </c>
      <c r="AB7618">
        <v>1</v>
      </c>
    </row>
    <row r="7619" spans="1:28" x14ac:dyDescent="0.25">
      <c r="A7619" t="str">
        <f>"7615"</f>
        <v>7615</v>
      </c>
      <c r="B7619" t="str">
        <f t="shared" si="441"/>
        <v>1</v>
      </c>
      <c r="C7619" t="str">
        <f t="shared" si="443"/>
        <v>333</v>
      </c>
      <c r="D7619" t="str">
        <f>"10"</f>
        <v>10</v>
      </c>
      <c r="E7619" t="str">
        <f>"1-333-10"</f>
        <v>1-333-10</v>
      </c>
      <c r="F7619" t="s">
        <v>83</v>
      </c>
      <c r="G7619" t="s">
        <v>84</v>
      </c>
      <c r="H7619" t="s">
        <v>92</v>
      </c>
      <c r="I7619">
        <v>1</v>
      </c>
      <c r="J7619">
        <v>1</v>
      </c>
      <c r="N7619">
        <v>1</v>
      </c>
      <c r="O7619">
        <v>1</v>
      </c>
      <c r="P7619">
        <v>1</v>
      </c>
      <c r="Q7619">
        <v>1</v>
      </c>
      <c r="R7619">
        <v>1</v>
      </c>
      <c r="S7619">
        <v>1</v>
      </c>
      <c r="T7619">
        <v>1</v>
      </c>
      <c r="W7619">
        <v>1</v>
      </c>
      <c r="X7619">
        <v>1</v>
      </c>
      <c r="Y7619">
        <v>1</v>
      </c>
      <c r="Z7619">
        <v>1</v>
      </c>
      <c r="AA7619">
        <v>1</v>
      </c>
      <c r="AB7619">
        <v>1</v>
      </c>
    </row>
    <row r="7620" spans="1:28" x14ac:dyDescent="0.25">
      <c r="A7620" t="str">
        <f>"7616"</f>
        <v>7616</v>
      </c>
      <c r="B7620" t="str">
        <f t="shared" si="441"/>
        <v>1</v>
      </c>
      <c r="C7620" t="str">
        <f t="shared" si="443"/>
        <v>333</v>
      </c>
      <c r="D7620" t="str">
        <f>"4"</f>
        <v>4</v>
      </c>
      <c r="E7620" t="str">
        <f>"1-333-4"</f>
        <v>1-333-4</v>
      </c>
      <c r="F7620" t="s">
        <v>83</v>
      </c>
      <c r="G7620" t="s">
        <v>84</v>
      </c>
      <c r="H7620" t="s">
        <v>92</v>
      </c>
      <c r="I7620">
        <v>1</v>
      </c>
      <c r="J7620">
        <v>1</v>
      </c>
      <c r="N7620">
        <v>1</v>
      </c>
      <c r="O7620">
        <v>1</v>
      </c>
      <c r="P7620">
        <v>1</v>
      </c>
      <c r="Q7620">
        <v>1</v>
      </c>
      <c r="R7620">
        <v>1</v>
      </c>
      <c r="S7620">
        <v>1</v>
      </c>
      <c r="T7620">
        <v>1</v>
      </c>
      <c r="W7620">
        <v>1</v>
      </c>
      <c r="X7620">
        <v>1</v>
      </c>
      <c r="Y7620">
        <v>1</v>
      </c>
      <c r="Z7620">
        <v>1</v>
      </c>
      <c r="AA7620">
        <v>1</v>
      </c>
      <c r="AB7620">
        <v>1</v>
      </c>
    </row>
    <row r="7621" spans="1:28" x14ac:dyDescent="0.25">
      <c r="A7621" t="str">
        <f>"7617"</f>
        <v>7617</v>
      </c>
      <c r="B7621" t="str">
        <f t="shared" si="441"/>
        <v>1</v>
      </c>
      <c r="C7621" t="str">
        <f t="shared" si="443"/>
        <v>333</v>
      </c>
      <c r="D7621" t="str">
        <f>"17"</f>
        <v>17</v>
      </c>
      <c r="E7621" t="str">
        <f>"1-333-17"</f>
        <v>1-333-17</v>
      </c>
      <c r="F7621" t="s">
        <v>83</v>
      </c>
      <c r="G7621" t="s">
        <v>84</v>
      </c>
      <c r="H7621" t="s">
        <v>92</v>
      </c>
      <c r="I7621">
        <v>1</v>
      </c>
      <c r="J7621">
        <v>1</v>
      </c>
      <c r="N7621">
        <v>1</v>
      </c>
      <c r="O7621">
        <v>1</v>
      </c>
      <c r="P7621">
        <v>1</v>
      </c>
      <c r="Q7621">
        <v>1</v>
      </c>
      <c r="R7621">
        <v>1</v>
      </c>
      <c r="S7621">
        <v>1</v>
      </c>
      <c r="T7621">
        <v>1</v>
      </c>
      <c r="W7621">
        <v>1</v>
      </c>
      <c r="X7621">
        <v>1</v>
      </c>
      <c r="Y7621">
        <v>1</v>
      </c>
      <c r="Z7621">
        <v>1</v>
      </c>
      <c r="AA7621">
        <v>1</v>
      </c>
      <c r="AB7621">
        <v>1</v>
      </c>
    </row>
    <row r="7622" spans="1:28" x14ac:dyDescent="0.25">
      <c r="A7622" t="str">
        <f>"7618"</f>
        <v>7618</v>
      </c>
      <c r="B7622" t="str">
        <f t="shared" si="441"/>
        <v>1</v>
      </c>
      <c r="C7622" t="str">
        <f t="shared" si="443"/>
        <v>333</v>
      </c>
      <c r="D7622" t="str">
        <f>"11"</f>
        <v>11</v>
      </c>
      <c r="E7622" t="str">
        <f>"1-333-11"</f>
        <v>1-333-11</v>
      </c>
      <c r="F7622" t="s">
        <v>83</v>
      </c>
      <c r="G7622" t="s">
        <v>84</v>
      </c>
      <c r="H7622" t="s">
        <v>92</v>
      </c>
      <c r="I7622">
        <v>1</v>
      </c>
      <c r="J7622">
        <v>1</v>
      </c>
      <c r="N7622">
        <v>1</v>
      </c>
      <c r="O7622">
        <v>1</v>
      </c>
      <c r="P7622">
        <v>1</v>
      </c>
      <c r="Q7622">
        <v>1</v>
      </c>
      <c r="R7622">
        <v>1</v>
      </c>
      <c r="S7622">
        <v>1</v>
      </c>
      <c r="T7622">
        <v>0</v>
      </c>
      <c r="W7622">
        <v>0</v>
      </c>
      <c r="X7622">
        <v>1</v>
      </c>
      <c r="Y7622">
        <v>1</v>
      </c>
      <c r="Z7622">
        <v>1</v>
      </c>
      <c r="AA7622">
        <v>1</v>
      </c>
      <c r="AB7622">
        <v>1</v>
      </c>
    </row>
    <row r="7623" spans="1:28" x14ac:dyDescent="0.25">
      <c r="A7623" t="str">
        <f>"7619"</f>
        <v>7619</v>
      </c>
      <c r="B7623" t="str">
        <f t="shared" si="441"/>
        <v>1</v>
      </c>
      <c r="C7623" t="str">
        <f t="shared" si="443"/>
        <v>333</v>
      </c>
      <c r="D7623" t="str">
        <f>"6"</f>
        <v>6</v>
      </c>
      <c r="E7623" t="str">
        <f>"1-333-6"</f>
        <v>1-333-6</v>
      </c>
      <c r="F7623" t="s">
        <v>83</v>
      </c>
      <c r="G7623" t="s">
        <v>84</v>
      </c>
      <c r="H7623" t="s">
        <v>92</v>
      </c>
      <c r="I7623">
        <v>1</v>
      </c>
      <c r="J7623">
        <v>1</v>
      </c>
      <c r="N7623">
        <v>1</v>
      </c>
      <c r="O7623">
        <v>1</v>
      </c>
      <c r="P7623">
        <v>1</v>
      </c>
      <c r="Q7623">
        <v>1</v>
      </c>
      <c r="R7623">
        <v>1</v>
      </c>
      <c r="S7623">
        <v>1</v>
      </c>
      <c r="T7623">
        <v>1</v>
      </c>
      <c r="W7623">
        <v>1</v>
      </c>
      <c r="X7623">
        <v>1</v>
      </c>
      <c r="Y7623">
        <v>1</v>
      </c>
      <c r="Z7623">
        <v>1</v>
      </c>
      <c r="AA7623">
        <v>1</v>
      </c>
      <c r="AB7623">
        <v>1</v>
      </c>
    </row>
    <row r="7624" spans="1:28" x14ac:dyDescent="0.25">
      <c r="A7624" t="str">
        <f>"7620"</f>
        <v>7620</v>
      </c>
      <c r="B7624" t="str">
        <f t="shared" si="441"/>
        <v>1</v>
      </c>
      <c r="C7624" t="str">
        <f t="shared" si="443"/>
        <v>333</v>
      </c>
      <c r="D7624" t="str">
        <f>"14"</f>
        <v>14</v>
      </c>
      <c r="E7624" t="str">
        <f>"1-333-14"</f>
        <v>1-333-14</v>
      </c>
      <c r="F7624" t="s">
        <v>83</v>
      </c>
      <c r="G7624" t="s">
        <v>84</v>
      </c>
      <c r="H7624" t="s">
        <v>92</v>
      </c>
      <c r="I7624">
        <v>1</v>
      </c>
      <c r="J7624">
        <v>1</v>
      </c>
      <c r="N7624">
        <v>1</v>
      </c>
      <c r="O7624">
        <v>1</v>
      </c>
      <c r="P7624">
        <v>1</v>
      </c>
      <c r="Q7624">
        <v>1</v>
      </c>
      <c r="R7624">
        <v>1</v>
      </c>
      <c r="S7624">
        <v>1</v>
      </c>
      <c r="T7624">
        <v>1</v>
      </c>
      <c r="W7624">
        <v>1</v>
      </c>
      <c r="X7624">
        <v>1</v>
      </c>
      <c r="Y7624">
        <v>1</v>
      </c>
      <c r="Z7624">
        <v>1</v>
      </c>
      <c r="AA7624">
        <v>1</v>
      </c>
      <c r="AB7624">
        <v>1</v>
      </c>
    </row>
    <row r="7625" spans="1:28" x14ac:dyDescent="0.25">
      <c r="A7625" t="str">
        <f>"7621"</f>
        <v>7621</v>
      </c>
      <c r="B7625" t="str">
        <f t="shared" si="441"/>
        <v>1</v>
      </c>
      <c r="C7625" t="str">
        <f t="shared" si="443"/>
        <v>333</v>
      </c>
      <c r="D7625" t="str">
        <f>"5"</f>
        <v>5</v>
      </c>
      <c r="E7625" t="str">
        <f>"1-333-5"</f>
        <v>1-333-5</v>
      </c>
      <c r="F7625" t="s">
        <v>83</v>
      </c>
      <c r="G7625" t="s">
        <v>84</v>
      </c>
      <c r="H7625" t="s">
        <v>92</v>
      </c>
      <c r="I7625">
        <v>1</v>
      </c>
      <c r="J7625">
        <v>1</v>
      </c>
      <c r="N7625">
        <v>1</v>
      </c>
      <c r="O7625">
        <v>1</v>
      </c>
      <c r="P7625">
        <v>1</v>
      </c>
      <c r="Q7625">
        <v>1</v>
      </c>
      <c r="R7625">
        <v>1</v>
      </c>
      <c r="S7625">
        <v>1</v>
      </c>
      <c r="T7625">
        <v>1</v>
      </c>
      <c r="W7625">
        <v>1</v>
      </c>
      <c r="X7625">
        <v>1</v>
      </c>
      <c r="Y7625">
        <v>1</v>
      </c>
      <c r="Z7625">
        <v>1</v>
      </c>
      <c r="AA7625">
        <v>1</v>
      </c>
      <c r="AB7625">
        <v>1</v>
      </c>
    </row>
    <row r="7626" spans="1:28" x14ac:dyDescent="0.25">
      <c r="A7626" t="str">
        <f>"7622"</f>
        <v>7622</v>
      </c>
      <c r="B7626" t="str">
        <f t="shared" si="441"/>
        <v>1</v>
      </c>
      <c r="C7626" t="str">
        <f t="shared" si="443"/>
        <v>333</v>
      </c>
      <c r="D7626" t="str">
        <f>"15"</f>
        <v>15</v>
      </c>
      <c r="E7626" t="str">
        <f>"1-333-15"</f>
        <v>1-333-15</v>
      </c>
      <c r="F7626" t="s">
        <v>83</v>
      </c>
      <c r="G7626" t="s">
        <v>84</v>
      </c>
      <c r="H7626" t="s">
        <v>92</v>
      </c>
      <c r="I7626">
        <v>1</v>
      </c>
      <c r="J7626">
        <v>1</v>
      </c>
      <c r="N7626">
        <v>1</v>
      </c>
      <c r="O7626">
        <v>1</v>
      </c>
      <c r="P7626">
        <v>1</v>
      </c>
      <c r="Q7626">
        <v>1</v>
      </c>
      <c r="R7626">
        <v>1</v>
      </c>
      <c r="S7626">
        <v>1</v>
      </c>
      <c r="T7626">
        <v>1</v>
      </c>
      <c r="W7626">
        <v>1</v>
      </c>
      <c r="X7626">
        <v>1</v>
      </c>
      <c r="Y7626">
        <v>1</v>
      </c>
      <c r="Z7626">
        <v>1</v>
      </c>
      <c r="AA7626">
        <v>1</v>
      </c>
      <c r="AB7626">
        <v>1</v>
      </c>
    </row>
    <row r="7627" spans="1:28" x14ac:dyDescent="0.25">
      <c r="A7627" t="str">
        <f>"7623"</f>
        <v>7623</v>
      </c>
      <c r="B7627" t="str">
        <f t="shared" si="441"/>
        <v>1</v>
      </c>
      <c r="C7627" t="str">
        <f t="shared" si="443"/>
        <v>333</v>
      </c>
      <c r="D7627" t="str">
        <f>"3"</f>
        <v>3</v>
      </c>
      <c r="E7627" t="str">
        <f>"1-333-3"</f>
        <v>1-333-3</v>
      </c>
      <c r="F7627" t="s">
        <v>83</v>
      </c>
      <c r="G7627" t="s">
        <v>84</v>
      </c>
      <c r="H7627" t="s">
        <v>92</v>
      </c>
      <c r="I7627">
        <v>1</v>
      </c>
      <c r="J7627">
        <v>1</v>
      </c>
      <c r="N7627">
        <v>1</v>
      </c>
      <c r="O7627">
        <v>1</v>
      </c>
      <c r="P7627">
        <v>1</v>
      </c>
      <c r="Q7627">
        <v>1</v>
      </c>
      <c r="R7627">
        <v>1</v>
      </c>
      <c r="S7627">
        <v>1</v>
      </c>
      <c r="T7627">
        <v>1</v>
      </c>
      <c r="W7627">
        <v>1</v>
      </c>
      <c r="X7627">
        <v>1</v>
      </c>
      <c r="Y7627">
        <v>1</v>
      </c>
      <c r="Z7627">
        <v>1</v>
      </c>
      <c r="AA7627">
        <v>1</v>
      </c>
      <c r="AB7627">
        <v>1</v>
      </c>
    </row>
    <row r="7628" spans="1:28" x14ac:dyDescent="0.25">
      <c r="A7628" t="str">
        <f>"7624"</f>
        <v>7624</v>
      </c>
      <c r="B7628" t="str">
        <f t="shared" si="441"/>
        <v>1</v>
      </c>
      <c r="C7628" t="str">
        <f t="shared" si="443"/>
        <v>333</v>
      </c>
      <c r="D7628" t="str">
        <f>"18"</f>
        <v>18</v>
      </c>
      <c r="E7628" t="str">
        <f>"1-333-18"</f>
        <v>1-333-18</v>
      </c>
      <c r="F7628" t="s">
        <v>83</v>
      </c>
      <c r="G7628" t="s">
        <v>84</v>
      </c>
      <c r="H7628" t="s">
        <v>92</v>
      </c>
      <c r="I7628">
        <v>1</v>
      </c>
      <c r="J7628">
        <v>1</v>
      </c>
      <c r="N7628">
        <v>1</v>
      </c>
      <c r="O7628">
        <v>1</v>
      </c>
      <c r="P7628">
        <v>1</v>
      </c>
      <c r="Q7628">
        <v>1</v>
      </c>
      <c r="R7628">
        <v>1</v>
      </c>
      <c r="S7628">
        <v>1</v>
      </c>
      <c r="T7628">
        <v>1</v>
      </c>
      <c r="W7628">
        <v>1</v>
      </c>
      <c r="X7628">
        <v>1</v>
      </c>
      <c r="Y7628">
        <v>1</v>
      </c>
      <c r="Z7628">
        <v>1</v>
      </c>
      <c r="AA7628">
        <v>1</v>
      </c>
      <c r="AB7628">
        <v>1</v>
      </c>
    </row>
    <row r="7629" spans="1:28" x14ac:dyDescent="0.25">
      <c r="A7629" t="str">
        <f>"7625"</f>
        <v>7625</v>
      </c>
      <c r="B7629" t="str">
        <f t="shared" si="441"/>
        <v>1</v>
      </c>
      <c r="C7629" t="str">
        <f t="shared" si="443"/>
        <v>333</v>
      </c>
      <c r="D7629" t="str">
        <f>"7"</f>
        <v>7</v>
      </c>
      <c r="E7629" t="str">
        <f>"1-333-7"</f>
        <v>1-333-7</v>
      </c>
      <c r="F7629" t="s">
        <v>83</v>
      </c>
      <c r="G7629" t="s">
        <v>84</v>
      </c>
      <c r="H7629" t="s">
        <v>92</v>
      </c>
      <c r="I7629">
        <v>1</v>
      </c>
      <c r="J7629">
        <v>1</v>
      </c>
      <c r="N7629">
        <v>1</v>
      </c>
      <c r="O7629">
        <v>1</v>
      </c>
      <c r="P7629">
        <v>1</v>
      </c>
      <c r="Q7629">
        <v>1</v>
      </c>
      <c r="R7629">
        <v>1</v>
      </c>
      <c r="S7629">
        <v>1</v>
      </c>
      <c r="T7629">
        <v>1</v>
      </c>
      <c r="W7629">
        <v>1</v>
      </c>
      <c r="X7629">
        <v>1</v>
      </c>
      <c r="Y7629">
        <v>1</v>
      </c>
      <c r="Z7629">
        <v>1</v>
      </c>
      <c r="AA7629">
        <v>1</v>
      </c>
      <c r="AB7629">
        <v>1</v>
      </c>
    </row>
    <row r="7630" spans="1:28" x14ac:dyDescent="0.25">
      <c r="A7630" t="str">
        <f>"7626"</f>
        <v>7626</v>
      </c>
      <c r="B7630" t="str">
        <f t="shared" si="441"/>
        <v>1</v>
      </c>
      <c r="C7630" t="str">
        <f t="shared" si="443"/>
        <v>333</v>
      </c>
      <c r="D7630" t="str">
        <f>"19"</f>
        <v>19</v>
      </c>
      <c r="E7630" t="str">
        <f>"1-333-19"</f>
        <v>1-333-19</v>
      </c>
      <c r="F7630" t="s">
        <v>83</v>
      </c>
      <c r="G7630" t="s">
        <v>84</v>
      </c>
      <c r="H7630" t="s">
        <v>92</v>
      </c>
      <c r="I7630">
        <v>1</v>
      </c>
      <c r="J7630">
        <v>1</v>
      </c>
      <c r="N7630">
        <v>1</v>
      </c>
      <c r="O7630">
        <v>1</v>
      </c>
      <c r="P7630">
        <v>1</v>
      </c>
      <c r="Q7630">
        <v>1</v>
      </c>
      <c r="R7630">
        <v>1</v>
      </c>
      <c r="S7630">
        <v>1</v>
      </c>
      <c r="T7630">
        <v>1</v>
      </c>
      <c r="W7630">
        <v>1</v>
      </c>
      <c r="X7630">
        <v>1</v>
      </c>
      <c r="Y7630">
        <v>1</v>
      </c>
      <c r="Z7630">
        <v>1</v>
      </c>
      <c r="AA7630">
        <v>1</v>
      </c>
      <c r="AB7630">
        <v>1</v>
      </c>
    </row>
    <row r="7631" spans="1:28" x14ac:dyDescent="0.25">
      <c r="A7631" t="str">
        <f>"7627"</f>
        <v>7627</v>
      </c>
      <c r="B7631" t="str">
        <f t="shared" si="441"/>
        <v>1</v>
      </c>
      <c r="C7631" t="str">
        <f t="shared" si="443"/>
        <v>333</v>
      </c>
      <c r="D7631" t="str">
        <f>"2"</f>
        <v>2</v>
      </c>
      <c r="E7631" t="str">
        <f>"1-333-2"</f>
        <v>1-333-2</v>
      </c>
      <c r="F7631" t="s">
        <v>83</v>
      </c>
      <c r="G7631" t="s">
        <v>84</v>
      </c>
      <c r="H7631" t="s">
        <v>92</v>
      </c>
      <c r="I7631">
        <v>1</v>
      </c>
      <c r="J7631">
        <v>1</v>
      </c>
      <c r="N7631">
        <v>1</v>
      </c>
      <c r="O7631">
        <v>0</v>
      </c>
      <c r="P7631">
        <v>0</v>
      </c>
      <c r="Q7631">
        <v>1</v>
      </c>
      <c r="R7631">
        <v>0</v>
      </c>
      <c r="S7631">
        <v>1</v>
      </c>
      <c r="T7631">
        <v>0</v>
      </c>
      <c r="W7631">
        <v>0</v>
      </c>
      <c r="X7631">
        <v>1</v>
      </c>
      <c r="Y7631">
        <v>1</v>
      </c>
      <c r="Z7631">
        <v>1</v>
      </c>
      <c r="AA7631">
        <v>0</v>
      </c>
      <c r="AB7631">
        <v>1</v>
      </c>
    </row>
    <row r="7632" spans="1:28" x14ac:dyDescent="0.25">
      <c r="A7632" t="str">
        <f>"7628"</f>
        <v>7628</v>
      </c>
      <c r="B7632" t="str">
        <f t="shared" si="441"/>
        <v>1</v>
      </c>
      <c r="C7632" t="str">
        <f t="shared" ref="C7632:C7656" si="444">"334"</f>
        <v>334</v>
      </c>
      <c r="D7632" t="str">
        <f>"21"</f>
        <v>21</v>
      </c>
      <c r="E7632" t="str">
        <f>"1-334-21"</f>
        <v>1-334-21</v>
      </c>
      <c r="F7632" t="s">
        <v>83</v>
      </c>
      <c r="G7632" t="s">
        <v>84</v>
      </c>
      <c r="H7632" t="s">
        <v>92</v>
      </c>
      <c r="I7632">
        <v>1</v>
      </c>
      <c r="J7632">
        <v>0</v>
      </c>
      <c r="N7632">
        <v>1</v>
      </c>
      <c r="O7632">
        <v>1</v>
      </c>
      <c r="P7632">
        <v>1</v>
      </c>
      <c r="Q7632">
        <v>1</v>
      </c>
      <c r="R7632">
        <v>1</v>
      </c>
      <c r="S7632">
        <v>1</v>
      </c>
      <c r="T7632">
        <v>1</v>
      </c>
      <c r="W7632">
        <v>1</v>
      </c>
      <c r="X7632">
        <v>1</v>
      </c>
      <c r="Y7632">
        <v>1</v>
      </c>
      <c r="Z7632">
        <v>1</v>
      </c>
      <c r="AA7632">
        <v>1</v>
      </c>
      <c r="AB7632">
        <v>1</v>
      </c>
    </row>
    <row r="7633" spans="1:28" x14ac:dyDescent="0.25">
      <c r="A7633" t="str">
        <f>"7629"</f>
        <v>7629</v>
      </c>
      <c r="B7633" t="str">
        <f t="shared" si="441"/>
        <v>1</v>
      </c>
      <c r="C7633" t="str">
        <f t="shared" si="444"/>
        <v>334</v>
      </c>
      <c r="D7633" t="str">
        <f>"20"</f>
        <v>20</v>
      </c>
      <c r="E7633" t="str">
        <f>"1-334-20"</f>
        <v>1-334-20</v>
      </c>
      <c r="F7633" t="s">
        <v>83</v>
      </c>
      <c r="G7633" t="s">
        <v>84</v>
      </c>
      <c r="H7633" t="s">
        <v>92</v>
      </c>
      <c r="I7633">
        <v>1</v>
      </c>
      <c r="J7633">
        <v>1</v>
      </c>
      <c r="N7633">
        <v>1</v>
      </c>
      <c r="O7633">
        <v>1</v>
      </c>
      <c r="P7633">
        <v>1</v>
      </c>
      <c r="Q7633">
        <v>1</v>
      </c>
      <c r="R7633">
        <v>1</v>
      </c>
      <c r="S7633">
        <v>1</v>
      </c>
      <c r="T7633">
        <v>1</v>
      </c>
      <c r="W7633">
        <v>1</v>
      </c>
      <c r="X7633">
        <v>1</v>
      </c>
      <c r="Y7633">
        <v>1</v>
      </c>
      <c r="Z7633">
        <v>1</v>
      </c>
      <c r="AA7633">
        <v>1</v>
      </c>
      <c r="AB7633">
        <v>1</v>
      </c>
    </row>
    <row r="7634" spans="1:28" x14ac:dyDescent="0.25">
      <c r="A7634" t="str">
        <f>"7630"</f>
        <v>7630</v>
      </c>
      <c r="B7634" t="str">
        <f t="shared" si="441"/>
        <v>1</v>
      </c>
      <c r="C7634" t="str">
        <f t="shared" si="444"/>
        <v>334</v>
      </c>
      <c r="D7634" t="str">
        <f>"13"</f>
        <v>13</v>
      </c>
      <c r="E7634" t="str">
        <f>"1-334-13"</f>
        <v>1-334-13</v>
      </c>
      <c r="F7634" t="s">
        <v>83</v>
      </c>
      <c r="G7634" t="s">
        <v>84</v>
      </c>
      <c r="H7634" t="s">
        <v>92</v>
      </c>
      <c r="I7634">
        <v>1</v>
      </c>
      <c r="J7634">
        <v>1</v>
      </c>
      <c r="N7634">
        <v>1</v>
      </c>
      <c r="O7634">
        <v>1</v>
      </c>
      <c r="P7634">
        <v>1</v>
      </c>
      <c r="Q7634">
        <v>1</v>
      </c>
      <c r="R7634">
        <v>1</v>
      </c>
      <c r="S7634">
        <v>1</v>
      </c>
      <c r="T7634">
        <v>1</v>
      </c>
      <c r="W7634">
        <v>1</v>
      </c>
      <c r="X7634">
        <v>1</v>
      </c>
      <c r="Y7634">
        <v>1</v>
      </c>
      <c r="Z7634">
        <v>1</v>
      </c>
      <c r="AA7634">
        <v>1</v>
      </c>
      <c r="AB7634">
        <v>1</v>
      </c>
    </row>
    <row r="7635" spans="1:28" x14ac:dyDescent="0.25">
      <c r="A7635" t="str">
        <f>"7631"</f>
        <v>7631</v>
      </c>
      <c r="B7635" t="str">
        <f t="shared" si="441"/>
        <v>1</v>
      </c>
      <c r="C7635" t="str">
        <f t="shared" si="444"/>
        <v>334</v>
      </c>
      <c r="D7635" t="str">
        <f>"8"</f>
        <v>8</v>
      </c>
      <c r="E7635" t="str">
        <f>"1-334-8"</f>
        <v>1-334-8</v>
      </c>
      <c r="F7635" t="s">
        <v>83</v>
      </c>
      <c r="G7635" t="s">
        <v>84</v>
      </c>
      <c r="H7635" t="s">
        <v>92</v>
      </c>
      <c r="I7635">
        <v>1</v>
      </c>
      <c r="J7635">
        <v>1</v>
      </c>
      <c r="N7635">
        <v>1</v>
      </c>
      <c r="O7635">
        <v>1</v>
      </c>
      <c r="P7635">
        <v>1</v>
      </c>
      <c r="Q7635">
        <v>1</v>
      </c>
      <c r="R7635">
        <v>1</v>
      </c>
      <c r="S7635">
        <v>1</v>
      </c>
      <c r="T7635">
        <v>1</v>
      </c>
      <c r="W7635">
        <v>1</v>
      </c>
      <c r="X7635">
        <v>1</v>
      </c>
      <c r="Y7635">
        <v>1</v>
      </c>
      <c r="Z7635">
        <v>1</v>
      </c>
      <c r="AA7635">
        <v>1</v>
      </c>
      <c r="AB7635">
        <v>1</v>
      </c>
    </row>
    <row r="7636" spans="1:28" x14ac:dyDescent="0.25">
      <c r="A7636" t="str">
        <f>"7632"</f>
        <v>7632</v>
      </c>
      <c r="B7636" t="str">
        <f t="shared" si="441"/>
        <v>1</v>
      </c>
      <c r="C7636" t="str">
        <f t="shared" si="444"/>
        <v>334</v>
      </c>
      <c r="D7636" t="str">
        <f>"1"</f>
        <v>1</v>
      </c>
      <c r="E7636" t="str">
        <f>"1-334-1"</f>
        <v>1-334-1</v>
      </c>
      <c r="F7636" t="s">
        <v>83</v>
      </c>
      <c r="G7636" t="s">
        <v>84</v>
      </c>
      <c r="H7636" t="s">
        <v>92</v>
      </c>
      <c r="I7636">
        <v>1</v>
      </c>
      <c r="J7636">
        <v>1</v>
      </c>
      <c r="N7636">
        <v>1</v>
      </c>
      <c r="O7636">
        <v>1</v>
      </c>
      <c r="P7636">
        <v>1</v>
      </c>
      <c r="Q7636">
        <v>1</v>
      </c>
      <c r="R7636">
        <v>1</v>
      </c>
      <c r="S7636">
        <v>1</v>
      </c>
      <c r="T7636">
        <v>0</v>
      </c>
      <c r="W7636">
        <v>1</v>
      </c>
      <c r="X7636">
        <v>1</v>
      </c>
      <c r="Y7636">
        <v>1</v>
      </c>
      <c r="Z7636">
        <v>1</v>
      </c>
      <c r="AA7636">
        <v>1</v>
      </c>
      <c r="AB7636">
        <v>1</v>
      </c>
    </row>
    <row r="7637" spans="1:28" x14ac:dyDescent="0.25">
      <c r="A7637" t="str">
        <f>"7633"</f>
        <v>7633</v>
      </c>
      <c r="B7637" t="str">
        <f t="shared" si="441"/>
        <v>1</v>
      </c>
      <c r="C7637" t="str">
        <f t="shared" si="444"/>
        <v>334</v>
      </c>
      <c r="D7637" t="str">
        <f>"23"</f>
        <v>23</v>
      </c>
      <c r="E7637" t="str">
        <f>"1-334-23"</f>
        <v>1-334-23</v>
      </c>
      <c r="F7637" t="s">
        <v>83</v>
      </c>
      <c r="G7637" t="s">
        <v>84</v>
      </c>
      <c r="H7637" t="s">
        <v>92</v>
      </c>
      <c r="I7637">
        <v>1</v>
      </c>
      <c r="J7637">
        <v>1</v>
      </c>
      <c r="N7637">
        <v>1</v>
      </c>
      <c r="O7637">
        <v>1</v>
      </c>
      <c r="P7637">
        <v>1</v>
      </c>
      <c r="Q7637">
        <v>1</v>
      </c>
      <c r="R7637">
        <v>1</v>
      </c>
      <c r="S7637">
        <v>1</v>
      </c>
      <c r="T7637">
        <v>1</v>
      </c>
      <c r="W7637">
        <v>1</v>
      </c>
      <c r="X7637">
        <v>1</v>
      </c>
      <c r="Y7637">
        <v>1</v>
      </c>
      <c r="Z7637">
        <v>1</v>
      </c>
      <c r="AA7637">
        <v>1</v>
      </c>
      <c r="AB7637">
        <v>1</v>
      </c>
    </row>
    <row r="7638" spans="1:28" x14ac:dyDescent="0.25">
      <c r="A7638" t="str">
        <f>"7634"</f>
        <v>7634</v>
      </c>
      <c r="B7638" t="str">
        <f t="shared" si="441"/>
        <v>1</v>
      </c>
      <c r="C7638" t="str">
        <f t="shared" si="444"/>
        <v>334</v>
      </c>
      <c r="D7638" t="str">
        <f>"22"</f>
        <v>22</v>
      </c>
      <c r="E7638" t="str">
        <f>"1-334-22"</f>
        <v>1-334-22</v>
      </c>
      <c r="F7638" t="s">
        <v>83</v>
      </c>
      <c r="G7638" t="s">
        <v>84</v>
      </c>
      <c r="H7638" t="s">
        <v>92</v>
      </c>
      <c r="I7638">
        <v>1</v>
      </c>
      <c r="J7638">
        <v>1</v>
      </c>
      <c r="N7638">
        <v>1</v>
      </c>
      <c r="O7638">
        <v>1</v>
      </c>
      <c r="P7638">
        <v>1</v>
      </c>
      <c r="Q7638">
        <v>1</v>
      </c>
      <c r="R7638">
        <v>1</v>
      </c>
      <c r="S7638">
        <v>1</v>
      </c>
      <c r="T7638">
        <v>1</v>
      </c>
      <c r="W7638">
        <v>0</v>
      </c>
      <c r="X7638">
        <v>1</v>
      </c>
      <c r="Y7638">
        <v>1</v>
      </c>
      <c r="Z7638">
        <v>1</v>
      </c>
      <c r="AA7638">
        <v>1</v>
      </c>
      <c r="AB7638">
        <v>1</v>
      </c>
    </row>
    <row r="7639" spans="1:28" x14ac:dyDescent="0.25">
      <c r="A7639" t="str">
        <f>"7635"</f>
        <v>7635</v>
      </c>
      <c r="B7639" t="str">
        <f t="shared" si="441"/>
        <v>1</v>
      </c>
      <c r="C7639" t="str">
        <f t="shared" si="444"/>
        <v>334</v>
      </c>
      <c r="D7639" t="str">
        <f>"16"</f>
        <v>16</v>
      </c>
      <c r="E7639" t="str">
        <f>"1-334-16"</f>
        <v>1-334-16</v>
      </c>
      <c r="F7639" t="s">
        <v>83</v>
      </c>
      <c r="G7639" t="s">
        <v>84</v>
      </c>
      <c r="H7639" t="s">
        <v>92</v>
      </c>
      <c r="I7639">
        <v>1</v>
      </c>
      <c r="J7639">
        <v>1</v>
      </c>
      <c r="N7639">
        <v>1</v>
      </c>
      <c r="O7639">
        <v>1</v>
      </c>
      <c r="P7639">
        <v>1</v>
      </c>
      <c r="Q7639">
        <v>1</v>
      </c>
      <c r="R7639">
        <v>1</v>
      </c>
      <c r="S7639">
        <v>1</v>
      </c>
      <c r="T7639">
        <v>1</v>
      </c>
      <c r="W7639">
        <v>1</v>
      </c>
      <c r="X7639">
        <v>1</v>
      </c>
      <c r="Y7639">
        <v>1</v>
      </c>
      <c r="Z7639">
        <v>1</v>
      </c>
      <c r="AA7639">
        <v>1</v>
      </c>
      <c r="AB7639">
        <v>1</v>
      </c>
    </row>
    <row r="7640" spans="1:28" x14ac:dyDescent="0.25">
      <c r="A7640" t="str">
        <f>"7636"</f>
        <v>7636</v>
      </c>
      <c r="B7640" t="str">
        <f t="shared" si="441"/>
        <v>1</v>
      </c>
      <c r="C7640" t="str">
        <f t="shared" si="444"/>
        <v>334</v>
      </c>
      <c r="D7640" t="str">
        <f>"9"</f>
        <v>9</v>
      </c>
      <c r="E7640" t="str">
        <f>"1-334-9"</f>
        <v>1-334-9</v>
      </c>
      <c r="F7640" t="s">
        <v>83</v>
      </c>
      <c r="G7640" t="s">
        <v>84</v>
      </c>
      <c r="H7640" t="s">
        <v>92</v>
      </c>
      <c r="I7640">
        <v>1</v>
      </c>
      <c r="J7640">
        <v>1</v>
      </c>
      <c r="N7640">
        <v>1</v>
      </c>
      <c r="O7640">
        <v>1</v>
      </c>
      <c r="P7640">
        <v>1</v>
      </c>
      <c r="Q7640">
        <v>1</v>
      </c>
      <c r="R7640">
        <v>1</v>
      </c>
      <c r="S7640">
        <v>1</v>
      </c>
      <c r="T7640">
        <v>1</v>
      </c>
      <c r="W7640">
        <v>1</v>
      </c>
      <c r="X7640">
        <v>1</v>
      </c>
      <c r="Y7640">
        <v>1</v>
      </c>
      <c r="Z7640">
        <v>1</v>
      </c>
      <c r="AA7640">
        <v>1</v>
      </c>
      <c r="AB7640">
        <v>1</v>
      </c>
    </row>
    <row r="7641" spans="1:28" x14ac:dyDescent="0.25">
      <c r="A7641" t="str">
        <f>"7637"</f>
        <v>7637</v>
      </c>
      <c r="B7641" t="str">
        <f t="shared" si="441"/>
        <v>1</v>
      </c>
      <c r="C7641" t="str">
        <f t="shared" si="444"/>
        <v>334</v>
      </c>
      <c r="D7641" t="str">
        <f>"5"</f>
        <v>5</v>
      </c>
      <c r="E7641" t="str">
        <f>"1-334-5"</f>
        <v>1-334-5</v>
      </c>
      <c r="F7641" t="s">
        <v>83</v>
      </c>
      <c r="G7641" t="s">
        <v>84</v>
      </c>
      <c r="H7641" t="s">
        <v>92</v>
      </c>
      <c r="I7641">
        <v>1</v>
      </c>
      <c r="J7641">
        <v>1</v>
      </c>
      <c r="N7641">
        <v>1</v>
      </c>
      <c r="O7641">
        <v>1</v>
      </c>
      <c r="P7641">
        <v>0</v>
      </c>
      <c r="Q7641">
        <v>1</v>
      </c>
      <c r="R7641">
        <v>0</v>
      </c>
      <c r="S7641">
        <v>1</v>
      </c>
      <c r="T7641">
        <v>1</v>
      </c>
      <c r="W7641">
        <v>0</v>
      </c>
      <c r="X7641">
        <v>0</v>
      </c>
      <c r="Y7641">
        <v>0</v>
      </c>
      <c r="Z7641">
        <v>0</v>
      </c>
      <c r="AA7641">
        <v>0</v>
      </c>
      <c r="AB7641">
        <v>1</v>
      </c>
    </row>
    <row r="7642" spans="1:28" x14ac:dyDescent="0.25">
      <c r="A7642" t="str">
        <f>"7638"</f>
        <v>7638</v>
      </c>
      <c r="B7642" t="str">
        <f t="shared" si="441"/>
        <v>1</v>
      </c>
      <c r="C7642" t="str">
        <f t="shared" si="444"/>
        <v>334</v>
      </c>
      <c r="D7642" t="str">
        <f>"25"</f>
        <v>25</v>
      </c>
      <c r="E7642" t="str">
        <f>"1-334-25"</f>
        <v>1-334-25</v>
      </c>
      <c r="F7642" t="s">
        <v>83</v>
      </c>
      <c r="G7642" t="s">
        <v>84</v>
      </c>
      <c r="H7642" t="s">
        <v>92</v>
      </c>
      <c r="I7642">
        <v>1</v>
      </c>
      <c r="J7642">
        <v>1</v>
      </c>
      <c r="N7642">
        <v>1</v>
      </c>
      <c r="O7642">
        <v>1</v>
      </c>
      <c r="P7642">
        <v>1</v>
      </c>
      <c r="Q7642">
        <v>1</v>
      </c>
      <c r="R7642">
        <v>1</v>
      </c>
      <c r="S7642">
        <v>1</v>
      </c>
      <c r="T7642">
        <v>1</v>
      </c>
      <c r="W7642">
        <v>1</v>
      </c>
      <c r="X7642">
        <v>1</v>
      </c>
      <c r="Y7642">
        <v>1</v>
      </c>
      <c r="Z7642">
        <v>1</v>
      </c>
      <c r="AA7642">
        <v>1</v>
      </c>
      <c r="AB7642">
        <v>1</v>
      </c>
    </row>
    <row r="7643" spans="1:28" x14ac:dyDescent="0.25">
      <c r="A7643" t="str">
        <f>"7639"</f>
        <v>7639</v>
      </c>
      <c r="B7643" t="str">
        <f t="shared" si="441"/>
        <v>1</v>
      </c>
      <c r="C7643" t="str">
        <f t="shared" si="444"/>
        <v>334</v>
      </c>
      <c r="D7643" t="str">
        <f>"24"</f>
        <v>24</v>
      </c>
      <c r="E7643" t="str">
        <f>"1-334-24"</f>
        <v>1-334-24</v>
      </c>
      <c r="F7643" t="s">
        <v>83</v>
      </c>
      <c r="G7643" t="s">
        <v>84</v>
      </c>
      <c r="H7643" t="s">
        <v>92</v>
      </c>
      <c r="I7643">
        <v>1</v>
      </c>
      <c r="J7643">
        <v>1</v>
      </c>
      <c r="N7643">
        <v>1</v>
      </c>
      <c r="O7643">
        <v>1</v>
      </c>
      <c r="P7643">
        <v>1</v>
      </c>
      <c r="Q7643">
        <v>1</v>
      </c>
      <c r="R7643">
        <v>1</v>
      </c>
      <c r="S7643">
        <v>1</v>
      </c>
      <c r="T7643">
        <v>1</v>
      </c>
      <c r="W7643">
        <v>1</v>
      </c>
      <c r="X7643">
        <v>1</v>
      </c>
      <c r="Y7643">
        <v>1</v>
      </c>
      <c r="Z7643">
        <v>1</v>
      </c>
      <c r="AA7643">
        <v>1</v>
      </c>
      <c r="AB7643">
        <v>1</v>
      </c>
    </row>
    <row r="7644" spans="1:28" x14ac:dyDescent="0.25">
      <c r="A7644" t="str">
        <f>"7640"</f>
        <v>7640</v>
      </c>
      <c r="B7644" t="str">
        <f t="shared" si="441"/>
        <v>1</v>
      </c>
      <c r="C7644" t="str">
        <f t="shared" si="444"/>
        <v>334</v>
      </c>
      <c r="D7644" t="str">
        <f>"17"</f>
        <v>17</v>
      </c>
      <c r="E7644" t="str">
        <f>"1-334-17"</f>
        <v>1-334-17</v>
      </c>
      <c r="F7644" t="s">
        <v>83</v>
      </c>
      <c r="G7644" t="s">
        <v>84</v>
      </c>
      <c r="H7644" t="s">
        <v>92</v>
      </c>
      <c r="I7644">
        <v>1</v>
      </c>
      <c r="J7644">
        <v>1</v>
      </c>
      <c r="N7644">
        <v>1</v>
      </c>
      <c r="O7644">
        <v>1</v>
      </c>
      <c r="P7644">
        <v>1</v>
      </c>
      <c r="Q7644">
        <v>1</v>
      </c>
      <c r="R7644">
        <v>1</v>
      </c>
      <c r="S7644">
        <v>1</v>
      </c>
      <c r="T7644">
        <v>1</v>
      </c>
      <c r="W7644">
        <v>1</v>
      </c>
      <c r="X7644">
        <v>1</v>
      </c>
      <c r="Y7644">
        <v>1</v>
      </c>
      <c r="Z7644">
        <v>1</v>
      </c>
      <c r="AA7644">
        <v>1</v>
      </c>
      <c r="AB7644">
        <v>1</v>
      </c>
    </row>
    <row r="7645" spans="1:28" x14ac:dyDescent="0.25">
      <c r="A7645" t="str">
        <f>"7641"</f>
        <v>7641</v>
      </c>
      <c r="B7645" t="str">
        <f t="shared" si="441"/>
        <v>1</v>
      </c>
      <c r="C7645" t="str">
        <f t="shared" si="444"/>
        <v>334</v>
      </c>
      <c r="D7645" t="str">
        <f>"10"</f>
        <v>10</v>
      </c>
      <c r="E7645" t="str">
        <f>"1-334-10"</f>
        <v>1-334-10</v>
      </c>
      <c r="F7645" t="s">
        <v>83</v>
      </c>
      <c r="G7645" t="s">
        <v>84</v>
      </c>
      <c r="H7645" t="s">
        <v>92</v>
      </c>
      <c r="I7645">
        <v>1</v>
      </c>
      <c r="J7645">
        <v>1</v>
      </c>
      <c r="N7645">
        <v>1</v>
      </c>
      <c r="O7645">
        <v>1</v>
      </c>
      <c r="P7645">
        <v>1</v>
      </c>
      <c r="Q7645">
        <v>1</v>
      </c>
      <c r="R7645">
        <v>1</v>
      </c>
      <c r="S7645">
        <v>1</v>
      </c>
      <c r="T7645">
        <v>1</v>
      </c>
      <c r="W7645">
        <v>1</v>
      </c>
      <c r="X7645">
        <v>1</v>
      </c>
      <c r="Y7645">
        <v>1</v>
      </c>
      <c r="Z7645">
        <v>1</v>
      </c>
      <c r="AA7645">
        <v>1</v>
      </c>
      <c r="AB7645">
        <v>1</v>
      </c>
    </row>
    <row r="7646" spans="1:28" x14ac:dyDescent="0.25">
      <c r="A7646" t="str">
        <f>"7642"</f>
        <v>7642</v>
      </c>
      <c r="B7646" t="str">
        <f t="shared" ref="B7646:B7709" si="445">"1"</f>
        <v>1</v>
      </c>
      <c r="C7646" t="str">
        <f t="shared" si="444"/>
        <v>334</v>
      </c>
      <c r="D7646" t="str">
        <f>"3"</f>
        <v>3</v>
      </c>
      <c r="E7646" t="str">
        <f>"1-334-3"</f>
        <v>1-334-3</v>
      </c>
      <c r="F7646" t="s">
        <v>83</v>
      </c>
      <c r="G7646" t="s">
        <v>84</v>
      </c>
      <c r="H7646" t="s">
        <v>92</v>
      </c>
      <c r="I7646">
        <v>1</v>
      </c>
      <c r="J7646">
        <v>1</v>
      </c>
      <c r="N7646">
        <v>1</v>
      </c>
      <c r="O7646">
        <v>1</v>
      </c>
      <c r="P7646">
        <v>1</v>
      </c>
      <c r="Q7646">
        <v>1</v>
      </c>
      <c r="R7646">
        <v>1</v>
      </c>
      <c r="S7646">
        <v>1</v>
      </c>
      <c r="T7646">
        <v>1</v>
      </c>
      <c r="W7646">
        <v>1</v>
      </c>
      <c r="X7646">
        <v>1</v>
      </c>
      <c r="Y7646">
        <v>1</v>
      </c>
      <c r="Z7646">
        <v>1</v>
      </c>
      <c r="AA7646">
        <v>1</v>
      </c>
      <c r="AB7646">
        <v>1</v>
      </c>
    </row>
    <row r="7647" spans="1:28" x14ac:dyDescent="0.25">
      <c r="A7647" t="str">
        <f>"7643"</f>
        <v>7643</v>
      </c>
      <c r="B7647" t="str">
        <f t="shared" si="445"/>
        <v>1</v>
      </c>
      <c r="C7647" t="str">
        <f t="shared" si="444"/>
        <v>334</v>
      </c>
      <c r="D7647" t="str">
        <f>"18"</f>
        <v>18</v>
      </c>
      <c r="E7647" t="str">
        <f>"1-334-18"</f>
        <v>1-334-18</v>
      </c>
      <c r="F7647" t="s">
        <v>83</v>
      </c>
      <c r="G7647" t="s">
        <v>84</v>
      </c>
      <c r="H7647" t="s">
        <v>92</v>
      </c>
      <c r="I7647">
        <v>1</v>
      </c>
      <c r="J7647">
        <v>1</v>
      </c>
      <c r="N7647">
        <v>1</v>
      </c>
      <c r="O7647">
        <v>1</v>
      </c>
      <c r="P7647">
        <v>1</v>
      </c>
      <c r="Q7647">
        <v>1</v>
      </c>
      <c r="R7647">
        <v>1</v>
      </c>
      <c r="S7647">
        <v>1</v>
      </c>
      <c r="T7647">
        <v>1</v>
      </c>
      <c r="W7647">
        <v>1</v>
      </c>
      <c r="X7647">
        <v>1</v>
      </c>
      <c r="Y7647">
        <v>1</v>
      </c>
      <c r="Z7647">
        <v>1</v>
      </c>
      <c r="AA7647">
        <v>1</v>
      </c>
      <c r="AB7647">
        <v>1</v>
      </c>
    </row>
    <row r="7648" spans="1:28" x14ac:dyDescent="0.25">
      <c r="A7648" t="str">
        <f>"7644"</f>
        <v>7644</v>
      </c>
      <c r="B7648" t="str">
        <f t="shared" si="445"/>
        <v>1</v>
      </c>
      <c r="C7648" t="str">
        <f t="shared" si="444"/>
        <v>334</v>
      </c>
      <c r="D7648" t="str">
        <f>"11"</f>
        <v>11</v>
      </c>
      <c r="E7648" t="str">
        <f>"1-334-11"</f>
        <v>1-334-11</v>
      </c>
      <c r="F7648" t="s">
        <v>83</v>
      </c>
      <c r="G7648" t="s">
        <v>84</v>
      </c>
      <c r="H7648" t="s">
        <v>92</v>
      </c>
      <c r="I7648">
        <v>1</v>
      </c>
      <c r="J7648">
        <v>1</v>
      </c>
      <c r="N7648">
        <v>1</v>
      </c>
      <c r="O7648">
        <v>1</v>
      </c>
      <c r="P7648">
        <v>1</v>
      </c>
      <c r="Q7648">
        <v>1</v>
      </c>
      <c r="R7648">
        <v>1</v>
      </c>
      <c r="S7648">
        <v>1</v>
      </c>
      <c r="T7648">
        <v>1</v>
      </c>
      <c r="W7648">
        <v>1</v>
      </c>
      <c r="X7648">
        <v>1</v>
      </c>
      <c r="Y7648">
        <v>1</v>
      </c>
      <c r="Z7648">
        <v>1</v>
      </c>
      <c r="AA7648">
        <v>1</v>
      </c>
      <c r="AB7648">
        <v>1</v>
      </c>
    </row>
    <row r="7649" spans="1:28" x14ac:dyDescent="0.25">
      <c r="A7649" t="str">
        <f>"7645"</f>
        <v>7645</v>
      </c>
      <c r="B7649" t="str">
        <f t="shared" si="445"/>
        <v>1</v>
      </c>
      <c r="C7649" t="str">
        <f t="shared" si="444"/>
        <v>334</v>
      </c>
      <c r="D7649" t="str">
        <f>"6"</f>
        <v>6</v>
      </c>
      <c r="E7649" t="str">
        <f>"1-334-6"</f>
        <v>1-334-6</v>
      </c>
      <c r="F7649" t="s">
        <v>83</v>
      </c>
      <c r="G7649" t="s">
        <v>84</v>
      </c>
      <c r="H7649" t="s">
        <v>92</v>
      </c>
      <c r="I7649">
        <v>1</v>
      </c>
      <c r="J7649">
        <v>1</v>
      </c>
      <c r="N7649">
        <v>1</v>
      </c>
      <c r="O7649">
        <v>1</v>
      </c>
      <c r="P7649">
        <v>1</v>
      </c>
      <c r="Q7649">
        <v>1</v>
      </c>
      <c r="R7649">
        <v>1</v>
      </c>
      <c r="S7649">
        <v>1</v>
      </c>
      <c r="T7649">
        <v>1</v>
      </c>
      <c r="W7649">
        <v>1</v>
      </c>
      <c r="X7649">
        <v>1</v>
      </c>
      <c r="Y7649">
        <v>1</v>
      </c>
      <c r="Z7649">
        <v>1</v>
      </c>
      <c r="AA7649">
        <v>1</v>
      </c>
      <c r="AB7649">
        <v>1</v>
      </c>
    </row>
    <row r="7650" spans="1:28" x14ac:dyDescent="0.25">
      <c r="A7650" t="str">
        <f>"7646"</f>
        <v>7646</v>
      </c>
      <c r="B7650" t="str">
        <f t="shared" si="445"/>
        <v>1</v>
      </c>
      <c r="C7650" t="str">
        <f t="shared" si="444"/>
        <v>334</v>
      </c>
      <c r="D7650" t="str">
        <f>"19"</f>
        <v>19</v>
      </c>
      <c r="E7650" t="str">
        <f>"1-334-19"</f>
        <v>1-334-19</v>
      </c>
      <c r="F7650" t="s">
        <v>83</v>
      </c>
      <c r="G7650" t="s">
        <v>84</v>
      </c>
      <c r="H7650" t="s">
        <v>92</v>
      </c>
      <c r="I7650">
        <v>1</v>
      </c>
      <c r="J7650">
        <v>1</v>
      </c>
      <c r="N7650">
        <v>1</v>
      </c>
      <c r="O7650">
        <v>1</v>
      </c>
      <c r="P7650">
        <v>1</v>
      </c>
      <c r="Q7650">
        <v>1</v>
      </c>
      <c r="R7650">
        <v>1</v>
      </c>
      <c r="S7650">
        <v>1</v>
      </c>
      <c r="T7650">
        <v>1</v>
      </c>
      <c r="W7650">
        <v>1</v>
      </c>
      <c r="X7650">
        <v>1</v>
      </c>
      <c r="Y7650">
        <v>1</v>
      </c>
      <c r="Z7650">
        <v>1</v>
      </c>
      <c r="AA7650">
        <v>1</v>
      </c>
      <c r="AB7650">
        <v>1</v>
      </c>
    </row>
    <row r="7651" spans="1:28" x14ac:dyDescent="0.25">
      <c r="A7651" t="str">
        <f>"7647"</f>
        <v>7647</v>
      </c>
      <c r="B7651" t="str">
        <f t="shared" si="445"/>
        <v>1</v>
      </c>
      <c r="C7651" t="str">
        <f t="shared" si="444"/>
        <v>334</v>
      </c>
      <c r="D7651" t="str">
        <f>"12"</f>
        <v>12</v>
      </c>
      <c r="E7651" t="str">
        <f>"1-334-12"</f>
        <v>1-334-12</v>
      </c>
      <c r="F7651" t="s">
        <v>83</v>
      </c>
      <c r="G7651" t="s">
        <v>84</v>
      </c>
      <c r="H7651" t="s">
        <v>92</v>
      </c>
      <c r="I7651">
        <v>1</v>
      </c>
      <c r="J7651">
        <v>1</v>
      </c>
      <c r="N7651">
        <v>1</v>
      </c>
      <c r="O7651">
        <v>1</v>
      </c>
      <c r="P7651">
        <v>1</v>
      </c>
      <c r="Q7651">
        <v>1</v>
      </c>
      <c r="R7651">
        <v>1</v>
      </c>
      <c r="S7651">
        <v>1</v>
      </c>
      <c r="T7651">
        <v>1</v>
      </c>
      <c r="W7651">
        <v>1</v>
      </c>
      <c r="X7651">
        <v>1</v>
      </c>
      <c r="Y7651">
        <v>1</v>
      </c>
      <c r="Z7651">
        <v>1</v>
      </c>
      <c r="AA7651">
        <v>1</v>
      </c>
      <c r="AB7651">
        <v>1</v>
      </c>
    </row>
    <row r="7652" spans="1:28" x14ac:dyDescent="0.25">
      <c r="A7652" t="str">
        <f>"7648"</f>
        <v>7648</v>
      </c>
      <c r="B7652" t="str">
        <f t="shared" si="445"/>
        <v>1</v>
      </c>
      <c r="C7652" t="str">
        <f t="shared" si="444"/>
        <v>334</v>
      </c>
      <c r="D7652" t="str">
        <f>"4"</f>
        <v>4</v>
      </c>
      <c r="E7652" t="str">
        <f>"1-334-4"</f>
        <v>1-334-4</v>
      </c>
      <c r="F7652" t="s">
        <v>83</v>
      </c>
      <c r="G7652" t="s">
        <v>84</v>
      </c>
      <c r="H7652" t="s">
        <v>92</v>
      </c>
      <c r="I7652">
        <v>1</v>
      </c>
      <c r="J7652">
        <v>1</v>
      </c>
      <c r="N7652">
        <v>1</v>
      </c>
      <c r="O7652">
        <v>1</v>
      </c>
      <c r="P7652">
        <v>1</v>
      </c>
      <c r="Q7652">
        <v>1</v>
      </c>
      <c r="R7652">
        <v>1</v>
      </c>
      <c r="S7652">
        <v>1</v>
      </c>
      <c r="T7652">
        <v>1</v>
      </c>
      <c r="W7652">
        <v>1</v>
      </c>
      <c r="X7652">
        <v>1</v>
      </c>
      <c r="Y7652">
        <v>1</v>
      </c>
      <c r="Z7652">
        <v>1</v>
      </c>
      <c r="AA7652">
        <v>1</v>
      </c>
      <c r="AB7652">
        <v>1</v>
      </c>
    </row>
    <row r="7653" spans="1:28" x14ac:dyDescent="0.25">
      <c r="A7653" t="str">
        <f>"7649"</f>
        <v>7649</v>
      </c>
      <c r="B7653" t="str">
        <f t="shared" si="445"/>
        <v>1</v>
      </c>
      <c r="C7653" t="str">
        <f t="shared" si="444"/>
        <v>334</v>
      </c>
      <c r="D7653" t="str">
        <f>"14"</f>
        <v>14</v>
      </c>
      <c r="E7653" t="str">
        <f>"1-334-14"</f>
        <v>1-334-14</v>
      </c>
      <c r="F7653" t="s">
        <v>83</v>
      </c>
      <c r="G7653" t="s">
        <v>84</v>
      </c>
      <c r="H7653" t="s">
        <v>92</v>
      </c>
      <c r="I7653">
        <v>1</v>
      </c>
      <c r="J7653">
        <v>1</v>
      </c>
      <c r="N7653">
        <v>1</v>
      </c>
      <c r="O7653">
        <v>1</v>
      </c>
      <c r="P7653">
        <v>1</v>
      </c>
      <c r="Q7653">
        <v>1</v>
      </c>
      <c r="R7653">
        <v>1</v>
      </c>
      <c r="S7653">
        <v>1</v>
      </c>
      <c r="T7653">
        <v>1</v>
      </c>
      <c r="W7653">
        <v>1</v>
      </c>
      <c r="X7653">
        <v>1</v>
      </c>
      <c r="Y7653">
        <v>1</v>
      </c>
      <c r="Z7653">
        <v>1</v>
      </c>
      <c r="AA7653">
        <v>1</v>
      </c>
      <c r="AB7653">
        <v>1</v>
      </c>
    </row>
    <row r="7654" spans="1:28" x14ac:dyDescent="0.25">
      <c r="A7654" t="str">
        <f>"7650"</f>
        <v>7650</v>
      </c>
      <c r="B7654" t="str">
        <f t="shared" si="445"/>
        <v>1</v>
      </c>
      <c r="C7654" t="str">
        <f t="shared" si="444"/>
        <v>334</v>
      </c>
      <c r="D7654" t="str">
        <f>"2"</f>
        <v>2</v>
      </c>
      <c r="E7654" t="str">
        <f>"1-334-2"</f>
        <v>1-334-2</v>
      </c>
      <c r="F7654" t="s">
        <v>83</v>
      </c>
      <c r="G7654" t="s">
        <v>84</v>
      </c>
      <c r="H7654" t="s">
        <v>92</v>
      </c>
      <c r="I7654">
        <v>1</v>
      </c>
      <c r="J7654">
        <v>1</v>
      </c>
      <c r="N7654">
        <v>1</v>
      </c>
      <c r="O7654">
        <v>1</v>
      </c>
      <c r="P7654">
        <v>1</v>
      </c>
      <c r="Q7654">
        <v>1</v>
      </c>
      <c r="R7654">
        <v>1</v>
      </c>
      <c r="S7654">
        <v>1</v>
      </c>
      <c r="T7654">
        <v>1</v>
      </c>
      <c r="W7654">
        <v>1</v>
      </c>
      <c r="X7654">
        <v>1</v>
      </c>
      <c r="Y7654">
        <v>1</v>
      </c>
      <c r="Z7654">
        <v>1</v>
      </c>
      <c r="AA7654">
        <v>1</v>
      </c>
      <c r="AB7654">
        <v>1</v>
      </c>
    </row>
    <row r="7655" spans="1:28" x14ac:dyDescent="0.25">
      <c r="A7655" t="str">
        <f>"7651"</f>
        <v>7651</v>
      </c>
      <c r="B7655" t="str">
        <f t="shared" si="445"/>
        <v>1</v>
      </c>
      <c r="C7655" t="str">
        <f t="shared" si="444"/>
        <v>334</v>
      </c>
      <c r="D7655" t="str">
        <f>"15"</f>
        <v>15</v>
      </c>
      <c r="E7655" t="str">
        <f>"1-334-15"</f>
        <v>1-334-15</v>
      </c>
      <c r="F7655" t="s">
        <v>83</v>
      </c>
      <c r="G7655" t="s">
        <v>84</v>
      </c>
      <c r="H7655" t="s">
        <v>92</v>
      </c>
      <c r="I7655">
        <v>1</v>
      </c>
      <c r="J7655">
        <v>1</v>
      </c>
      <c r="N7655">
        <v>1</v>
      </c>
      <c r="O7655">
        <v>1</v>
      </c>
      <c r="P7655">
        <v>1</v>
      </c>
      <c r="Q7655">
        <v>1</v>
      </c>
      <c r="R7655">
        <v>1</v>
      </c>
      <c r="S7655">
        <v>1</v>
      </c>
      <c r="T7655">
        <v>1</v>
      </c>
      <c r="W7655">
        <v>1</v>
      </c>
      <c r="X7655">
        <v>1</v>
      </c>
      <c r="Y7655">
        <v>1</v>
      </c>
      <c r="Z7655">
        <v>0</v>
      </c>
      <c r="AA7655">
        <v>1</v>
      </c>
      <c r="AB7655">
        <v>1</v>
      </c>
    </row>
    <row r="7656" spans="1:28" x14ac:dyDescent="0.25">
      <c r="A7656" t="str">
        <f>"7652"</f>
        <v>7652</v>
      </c>
      <c r="B7656" t="str">
        <f t="shared" si="445"/>
        <v>1</v>
      </c>
      <c r="C7656" t="str">
        <f t="shared" si="444"/>
        <v>334</v>
      </c>
      <c r="D7656" t="str">
        <f>"7"</f>
        <v>7</v>
      </c>
      <c r="E7656" t="str">
        <f>"1-334-7"</f>
        <v>1-334-7</v>
      </c>
      <c r="F7656" t="s">
        <v>83</v>
      </c>
      <c r="G7656" t="s">
        <v>84</v>
      </c>
      <c r="H7656" t="s">
        <v>92</v>
      </c>
      <c r="I7656">
        <v>1</v>
      </c>
      <c r="J7656">
        <v>1</v>
      </c>
      <c r="N7656">
        <v>1</v>
      </c>
      <c r="O7656">
        <v>1</v>
      </c>
      <c r="P7656">
        <v>1</v>
      </c>
      <c r="Q7656">
        <v>1</v>
      </c>
      <c r="R7656">
        <v>1</v>
      </c>
      <c r="S7656">
        <v>1</v>
      </c>
      <c r="T7656">
        <v>1</v>
      </c>
      <c r="W7656">
        <v>1</v>
      </c>
      <c r="X7656">
        <v>1</v>
      </c>
      <c r="Y7656">
        <v>1</v>
      </c>
      <c r="Z7656">
        <v>1</v>
      </c>
      <c r="AA7656">
        <v>1</v>
      </c>
      <c r="AB7656">
        <v>1</v>
      </c>
    </row>
    <row r="7657" spans="1:28" x14ac:dyDescent="0.25">
      <c r="A7657" t="str">
        <f>"7653"</f>
        <v>7653</v>
      </c>
      <c r="B7657" t="str">
        <f t="shared" si="445"/>
        <v>1</v>
      </c>
      <c r="C7657" t="str">
        <f t="shared" ref="C7657:C7674" si="446">"335"</f>
        <v>335</v>
      </c>
      <c r="D7657" t="str">
        <f>"13"</f>
        <v>13</v>
      </c>
      <c r="E7657" t="str">
        <f>"1-335-13"</f>
        <v>1-335-13</v>
      </c>
      <c r="F7657" t="s">
        <v>83</v>
      </c>
      <c r="G7657" t="s">
        <v>84</v>
      </c>
      <c r="H7657" t="s">
        <v>92</v>
      </c>
      <c r="I7657">
        <v>1</v>
      </c>
      <c r="J7657">
        <v>1</v>
      </c>
      <c r="N7657">
        <v>1</v>
      </c>
      <c r="O7657">
        <v>1</v>
      </c>
      <c r="P7657">
        <v>1</v>
      </c>
      <c r="Q7657">
        <v>1</v>
      </c>
      <c r="R7657">
        <v>1</v>
      </c>
      <c r="S7657">
        <v>1</v>
      </c>
      <c r="T7657">
        <v>1</v>
      </c>
      <c r="W7657">
        <v>1</v>
      </c>
      <c r="X7657">
        <v>1</v>
      </c>
      <c r="Y7657">
        <v>0</v>
      </c>
      <c r="Z7657">
        <v>1</v>
      </c>
      <c r="AA7657">
        <v>1</v>
      </c>
      <c r="AB7657">
        <v>0</v>
      </c>
    </row>
    <row r="7658" spans="1:28" x14ac:dyDescent="0.25">
      <c r="A7658" t="str">
        <f>"7654"</f>
        <v>7654</v>
      </c>
      <c r="B7658" t="str">
        <f t="shared" si="445"/>
        <v>1</v>
      </c>
      <c r="C7658" t="str">
        <f t="shared" si="446"/>
        <v>335</v>
      </c>
      <c r="D7658" t="str">
        <f>"12"</f>
        <v>12</v>
      </c>
      <c r="E7658" t="str">
        <f>"1-335-12"</f>
        <v>1-335-12</v>
      </c>
      <c r="F7658" t="s">
        <v>83</v>
      </c>
      <c r="G7658" t="s">
        <v>84</v>
      </c>
      <c r="H7658" t="s">
        <v>92</v>
      </c>
      <c r="I7658">
        <v>1</v>
      </c>
      <c r="J7658">
        <v>1</v>
      </c>
      <c r="N7658">
        <v>1</v>
      </c>
      <c r="O7658">
        <v>1</v>
      </c>
      <c r="P7658">
        <v>1</v>
      </c>
      <c r="Q7658">
        <v>1</v>
      </c>
      <c r="R7658">
        <v>1</v>
      </c>
      <c r="S7658">
        <v>1</v>
      </c>
      <c r="T7658">
        <v>1</v>
      </c>
      <c r="W7658">
        <v>1</v>
      </c>
      <c r="X7658">
        <v>1</v>
      </c>
      <c r="Y7658">
        <v>1</v>
      </c>
      <c r="Z7658">
        <v>1</v>
      </c>
      <c r="AA7658">
        <v>1</v>
      </c>
      <c r="AB7658">
        <v>1</v>
      </c>
    </row>
    <row r="7659" spans="1:28" x14ac:dyDescent="0.25">
      <c r="A7659" t="str">
        <f>"7655"</f>
        <v>7655</v>
      </c>
      <c r="B7659" t="str">
        <f t="shared" si="445"/>
        <v>1</v>
      </c>
      <c r="C7659" t="str">
        <f t="shared" si="446"/>
        <v>335</v>
      </c>
      <c r="D7659" t="str">
        <f>"9"</f>
        <v>9</v>
      </c>
      <c r="E7659" t="str">
        <f>"1-335-9"</f>
        <v>1-335-9</v>
      </c>
      <c r="F7659" t="s">
        <v>83</v>
      </c>
      <c r="G7659" t="s">
        <v>84</v>
      </c>
      <c r="H7659" t="s">
        <v>92</v>
      </c>
      <c r="I7659">
        <v>1</v>
      </c>
      <c r="J7659">
        <v>1</v>
      </c>
      <c r="N7659">
        <v>1</v>
      </c>
      <c r="O7659">
        <v>1</v>
      </c>
      <c r="P7659">
        <v>1</v>
      </c>
      <c r="Q7659">
        <v>1</v>
      </c>
      <c r="R7659">
        <v>1</v>
      </c>
      <c r="S7659">
        <v>1</v>
      </c>
      <c r="T7659">
        <v>1</v>
      </c>
      <c r="W7659">
        <v>1</v>
      </c>
      <c r="X7659">
        <v>1</v>
      </c>
      <c r="Y7659">
        <v>1</v>
      </c>
      <c r="Z7659">
        <v>1</v>
      </c>
      <c r="AA7659">
        <v>1</v>
      </c>
      <c r="AB7659">
        <v>1</v>
      </c>
    </row>
    <row r="7660" spans="1:28" x14ac:dyDescent="0.25">
      <c r="A7660" t="str">
        <f>"7656"</f>
        <v>7656</v>
      </c>
      <c r="B7660" t="str">
        <f t="shared" si="445"/>
        <v>1</v>
      </c>
      <c r="C7660" t="str">
        <f t="shared" si="446"/>
        <v>335</v>
      </c>
      <c r="D7660" t="str">
        <f>"8"</f>
        <v>8</v>
      </c>
      <c r="E7660" t="str">
        <f>"1-335-8"</f>
        <v>1-335-8</v>
      </c>
      <c r="F7660" t="s">
        <v>83</v>
      </c>
      <c r="G7660" t="s">
        <v>84</v>
      </c>
      <c r="H7660" t="s">
        <v>92</v>
      </c>
      <c r="I7660">
        <v>1</v>
      </c>
      <c r="J7660">
        <v>1</v>
      </c>
      <c r="N7660">
        <v>1</v>
      </c>
      <c r="O7660">
        <v>1</v>
      </c>
      <c r="P7660">
        <v>1</v>
      </c>
      <c r="Q7660">
        <v>1</v>
      </c>
      <c r="R7660">
        <v>1</v>
      </c>
      <c r="S7660">
        <v>1</v>
      </c>
      <c r="T7660">
        <v>1</v>
      </c>
      <c r="W7660">
        <v>1</v>
      </c>
      <c r="X7660">
        <v>1</v>
      </c>
      <c r="Y7660">
        <v>1</v>
      </c>
      <c r="Z7660">
        <v>1</v>
      </c>
      <c r="AA7660">
        <v>1</v>
      </c>
      <c r="AB7660">
        <v>1</v>
      </c>
    </row>
    <row r="7661" spans="1:28" x14ac:dyDescent="0.25">
      <c r="A7661" t="str">
        <f>"7657"</f>
        <v>7657</v>
      </c>
      <c r="B7661" t="str">
        <f t="shared" si="445"/>
        <v>1</v>
      </c>
      <c r="C7661" t="str">
        <f t="shared" si="446"/>
        <v>335</v>
      </c>
      <c r="D7661" t="str">
        <f>"4"</f>
        <v>4</v>
      </c>
      <c r="E7661" t="str">
        <f>"1-335-4"</f>
        <v>1-335-4</v>
      </c>
      <c r="F7661" t="s">
        <v>83</v>
      </c>
      <c r="G7661" t="s">
        <v>84</v>
      </c>
      <c r="H7661" t="s">
        <v>92</v>
      </c>
      <c r="I7661">
        <v>1</v>
      </c>
      <c r="J7661">
        <v>1</v>
      </c>
      <c r="N7661">
        <v>1</v>
      </c>
      <c r="O7661">
        <v>1</v>
      </c>
      <c r="P7661">
        <v>1</v>
      </c>
      <c r="Q7661">
        <v>1</v>
      </c>
      <c r="R7661">
        <v>1</v>
      </c>
      <c r="S7661">
        <v>1</v>
      </c>
      <c r="T7661">
        <v>1</v>
      </c>
      <c r="W7661">
        <v>1</v>
      </c>
      <c r="X7661">
        <v>1</v>
      </c>
      <c r="Y7661">
        <v>1</v>
      </c>
      <c r="Z7661">
        <v>1</v>
      </c>
      <c r="AA7661">
        <v>1</v>
      </c>
      <c r="AB7661">
        <v>1</v>
      </c>
    </row>
    <row r="7662" spans="1:28" x14ac:dyDescent="0.25">
      <c r="A7662" t="str">
        <f>"7658"</f>
        <v>7658</v>
      </c>
      <c r="B7662" t="str">
        <f t="shared" si="445"/>
        <v>1</v>
      </c>
      <c r="C7662" t="str">
        <f t="shared" si="446"/>
        <v>335</v>
      </c>
      <c r="D7662" t="str">
        <f>"16"</f>
        <v>16</v>
      </c>
      <c r="E7662" t="str">
        <f>"1-335-16"</f>
        <v>1-335-16</v>
      </c>
      <c r="F7662" t="s">
        <v>83</v>
      </c>
      <c r="G7662" t="s">
        <v>84</v>
      </c>
      <c r="H7662" t="s">
        <v>92</v>
      </c>
      <c r="I7662">
        <v>1</v>
      </c>
      <c r="J7662">
        <v>1</v>
      </c>
      <c r="N7662">
        <v>1</v>
      </c>
      <c r="O7662">
        <v>1</v>
      </c>
      <c r="P7662">
        <v>1</v>
      </c>
      <c r="Q7662">
        <v>1</v>
      </c>
      <c r="R7662">
        <v>1</v>
      </c>
      <c r="S7662">
        <v>1</v>
      </c>
      <c r="T7662">
        <v>1</v>
      </c>
      <c r="W7662">
        <v>1</v>
      </c>
      <c r="X7662">
        <v>1</v>
      </c>
      <c r="Y7662">
        <v>1</v>
      </c>
      <c r="Z7662">
        <v>1</v>
      </c>
      <c r="AA7662">
        <v>1</v>
      </c>
      <c r="AB7662">
        <v>1</v>
      </c>
    </row>
    <row r="7663" spans="1:28" x14ac:dyDescent="0.25">
      <c r="A7663" t="str">
        <f>"7659"</f>
        <v>7659</v>
      </c>
      <c r="B7663" t="str">
        <f t="shared" si="445"/>
        <v>1</v>
      </c>
      <c r="C7663" t="str">
        <f t="shared" si="446"/>
        <v>335</v>
      </c>
      <c r="D7663" t="str">
        <f>"10"</f>
        <v>10</v>
      </c>
      <c r="E7663" t="str">
        <f>"1-335-10"</f>
        <v>1-335-10</v>
      </c>
      <c r="F7663" t="s">
        <v>83</v>
      </c>
      <c r="G7663" t="s">
        <v>84</v>
      </c>
      <c r="H7663" t="s">
        <v>92</v>
      </c>
      <c r="I7663">
        <v>1</v>
      </c>
      <c r="J7663">
        <v>1</v>
      </c>
      <c r="N7663">
        <v>1</v>
      </c>
      <c r="O7663">
        <v>1</v>
      </c>
      <c r="P7663">
        <v>1</v>
      </c>
      <c r="Q7663">
        <v>1</v>
      </c>
      <c r="R7663">
        <v>1</v>
      </c>
      <c r="S7663">
        <v>1</v>
      </c>
      <c r="T7663">
        <v>1</v>
      </c>
      <c r="W7663">
        <v>1</v>
      </c>
      <c r="X7663">
        <v>1</v>
      </c>
      <c r="Y7663">
        <v>1</v>
      </c>
      <c r="Z7663">
        <v>1</v>
      </c>
      <c r="AA7663">
        <v>1</v>
      </c>
      <c r="AB7663">
        <v>1</v>
      </c>
    </row>
    <row r="7664" spans="1:28" x14ac:dyDescent="0.25">
      <c r="A7664" t="str">
        <f>"7660"</f>
        <v>7660</v>
      </c>
      <c r="B7664" t="str">
        <f t="shared" si="445"/>
        <v>1</v>
      </c>
      <c r="C7664" t="str">
        <f t="shared" si="446"/>
        <v>335</v>
      </c>
      <c r="D7664" t="str">
        <f>"5"</f>
        <v>5</v>
      </c>
      <c r="E7664" t="str">
        <f>"1-335-5"</f>
        <v>1-335-5</v>
      </c>
      <c r="F7664" t="s">
        <v>83</v>
      </c>
      <c r="G7664" t="s">
        <v>84</v>
      </c>
      <c r="H7664" t="s">
        <v>92</v>
      </c>
      <c r="I7664">
        <v>1</v>
      </c>
      <c r="J7664">
        <v>1</v>
      </c>
      <c r="N7664">
        <v>1</v>
      </c>
      <c r="O7664">
        <v>1</v>
      </c>
      <c r="P7664">
        <v>1</v>
      </c>
      <c r="Q7664">
        <v>1</v>
      </c>
      <c r="R7664">
        <v>1</v>
      </c>
      <c r="S7664">
        <v>1</v>
      </c>
      <c r="T7664">
        <v>1</v>
      </c>
      <c r="W7664">
        <v>1</v>
      </c>
      <c r="X7664">
        <v>1</v>
      </c>
      <c r="Y7664">
        <v>1</v>
      </c>
      <c r="Z7664">
        <v>1</v>
      </c>
      <c r="AA7664">
        <v>1</v>
      </c>
      <c r="AB7664">
        <v>1</v>
      </c>
    </row>
    <row r="7665" spans="1:49" x14ac:dyDescent="0.25">
      <c r="A7665" t="str">
        <f>"7661"</f>
        <v>7661</v>
      </c>
      <c r="B7665" t="str">
        <f t="shared" si="445"/>
        <v>1</v>
      </c>
      <c r="C7665" t="str">
        <f t="shared" si="446"/>
        <v>335</v>
      </c>
      <c r="D7665" t="str">
        <f>"17"</f>
        <v>17</v>
      </c>
      <c r="E7665" t="str">
        <f>"1-335-17"</f>
        <v>1-335-17</v>
      </c>
      <c r="F7665" t="s">
        <v>83</v>
      </c>
      <c r="G7665" t="s">
        <v>84</v>
      </c>
      <c r="H7665" t="s">
        <v>92</v>
      </c>
      <c r="I7665">
        <v>1</v>
      </c>
      <c r="J7665">
        <v>1</v>
      </c>
      <c r="N7665">
        <v>1</v>
      </c>
      <c r="O7665">
        <v>1</v>
      </c>
      <c r="P7665">
        <v>1</v>
      </c>
      <c r="Q7665">
        <v>1</v>
      </c>
      <c r="R7665">
        <v>1</v>
      </c>
      <c r="S7665">
        <v>1</v>
      </c>
      <c r="T7665">
        <v>1</v>
      </c>
      <c r="W7665">
        <v>1</v>
      </c>
      <c r="X7665">
        <v>1</v>
      </c>
      <c r="Y7665">
        <v>1</v>
      </c>
      <c r="Z7665">
        <v>1</v>
      </c>
      <c r="AA7665">
        <v>1</v>
      </c>
      <c r="AB7665">
        <v>1</v>
      </c>
    </row>
    <row r="7666" spans="1:49" x14ac:dyDescent="0.25">
      <c r="A7666" t="str">
        <f>"7662"</f>
        <v>7662</v>
      </c>
      <c r="B7666" t="str">
        <f t="shared" si="445"/>
        <v>1</v>
      </c>
      <c r="C7666" t="str">
        <f t="shared" si="446"/>
        <v>335</v>
      </c>
      <c r="D7666" t="str">
        <f>"11"</f>
        <v>11</v>
      </c>
      <c r="E7666" t="str">
        <f>"1-335-11"</f>
        <v>1-335-11</v>
      </c>
      <c r="F7666" t="s">
        <v>83</v>
      </c>
      <c r="G7666" t="s">
        <v>84</v>
      </c>
      <c r="H7666" t="s">
        <v>92</v>
      </c>
      <c r="I7666">
        <v>1</v>
      </c>
      <c r="J7666">
        <v>1</v>
      </c>
      <c r="N7666">
        <v>1</v>
      </c>
      <c r="O7666">
        <v>1</v>
      </c>
      <c r="P7666">
        <v>1</v>
      </c>
      <c r="Q7666">
        <v>1</v>
      </c>
      <c r="R7666">
        <v>1</v>
      </c>
      <c r="S7666">
        <v>1</v>
      </c>
      <c r="T7666">
        <v>1</v>
      </c>
      <c r="W7666">
        <v>1</v>
      </c>
      <c r="X7666">
        <v>1</v>
      </c>
      <c r="Y7666">
        <v>1</v>
      </c>
      <c r="Z7666">
        <v>1</v>
      </c>
      <c r="AA7666">
        <v>1</v>
      </c>
      <c r="AB7666">
        <v>1</v>
      </c>
    </row>
    <row r="7667" spans="1:49" x14ac:dyDescent="0.25">
      <c r="A7667" t="str">
        <f>"7663"</f>
        <v>7663</v>
      </c>
      <c r="B7667" t="str">
        <f t="shared" si="445"/>
        <v>1</v>
      </c>
      <c r="C7667" t="str">
        <f t="shared" si="446"/>
        <v>335</v>
      </c>
      <c r="D7667" t="str">
        <f>"3"</f>
        <v>3</v>
      </c>
      <c r="E7667" t="str">
        <f>"1-335-3"</f>
        <v>1-335-3</v>
      </c>
      <c r="F7667" t="s">
        <v>83</v>
      </c>
      <c r="G7667" t="s">
        <v>84</v>
      </c>
      <c r="H7667" t="s">
        <v>92</v>
      </c>
      <c r="I7667">
        <v>1</v>
      </c>
      <c r="J7667">
        <v>1</v>
      </c>
      <c r="N7667">
        <v>1</v>
      </c>
      <c r="O7667">
        <v>1</v>
      </c>
      <c r="P7667">
        <v>1</v>
      </c>
      <c r="Q7667">
        <v>1</v>
      </c>
      <c r="R7667">
        <v>1</v>
      </c>
      <c r="S7667">
        <v>1</v>
      </c>
      <c r="T7667">
        <v>1</v>
      </c>
      <c r="W7667">
        <v>1</v>
      </c>
      <c r="X7667">
        <v>1</v>
      </c>
      <c r="Y7667">
        <v>1</v>
      </c>
      <c r="Z7667">
        <v>1</v>
      </c>
      <c r="AA7667">
        <v>1</v>
      </c>
      <c r="AB7667">
        <v>1</v>
      </c>
    </row>
    <row r="7668" spans="1:49" x14ac:dyDescent="0.25">
      <c r="A7668" t="str">
        <f>"7664"</f>
        <v>7664</v>
      </c>
      <c r="B7668" t="str">
        <f t="shared" si="445"/>
        <v>1</v>
      </c>
      <c r="C7668" t="str">
        <f t="shared" si="446"/>
        <v>335</v>
      </c>
      <c r="D7668" t="str">
        <f>"14"</f>
        <v>14</v>
      </c>
      <c r="E7668" t="str">
        <f>"1-335-14"</f>
        <v>1-335-14</v>
      </c>
      <c r="F7668" t="s">
        <v>83</v>
      </c>
      <c r="G7668" t="s">
        <v>84</v>
      </c>
      <c r="H7668" t="s">
        <v>92</v>
      </c>
      <c r="I7668">
        <v>1</v>
      </c>
      <c r="J7668">
        <v>1</v>
      </c>
      <c r="N7668">
        <v>1</v>
      </c>
      <c r="O7668">
        <v>1</v>
      </c>
      <c r="P7668">
        <v>1</v>
      </c>
      <c r="Q7668">
        <v>0</v>
      </c>
      <c r="R7668">
        <v>1</v>
      </c>
      <c r="S7668">
        <v>1</v>
      </c>
      <c r="T7668">
        <v>1</v>
      </c>
      <c r="W7668">
        <v>1</v>
      </c>
      <c r="X7668">
        <v>1</v>
      </c>
      <c r="Y7668">
        <v>1</v>
      </c>
      <c r="Z7668">
        <v>1</v>
      </c>
      <c r="AA7668">
        <v>1</v>
      </c>
      <c r="AB7668">
        <v>1</v>
      </c>
    </row>
    <row r="7669" spans="1:49" x14ac:dyDescent="0.25">
      <c r="A7669" t="str">
        <f>"7665"</f>
        <v>7665</v>
      </c>
      <c r="B7669" t="str">
        <f t="shared" si="445"/>
        <v>1</v>
      </c>
      <c r="C7669" t="str">
        <f t="shared" si="446"/>
        <v>335</v>
      </c>
      <c r="D7669" t="str">
        <f>"7"</f>
        <v>7</v>
      </c>
      <c r="E7669" t="str">
        <f>"1-335-7"</f>
        <v>1-335-7</v>
      </c>
      <c r="F7669" t="s">
        <v>83</v>
      </c>
      <c r="G7669" t="s">
        <v>84</v>
      </c>
      <c r="H7669" t="s">
        <v>92</v>
      </c>
      <c r="I7669">
        <v>1</v>
      </c>
      <c r="J7669">
        <v>1</v>
      </c>
      <c r="N7669">
        <v>1</v>
      </c>
      <c r="O7669">
        <v>1</v>
      </c>
      <c r="P7669">
        <v>1</v>
      </c>
      <c r="Q7669">
        <v>1</v>
      </c>
      <c r="R7669">
        <v>1</v>
      </c>
      <c r="S7669">
        <v>1</v>
      </c>
      <c r="T7669">
        <v>1</v>
      </c>
      <c r="W7669">
        <v>1</v>
      </c>
      <c r="X7669">
        <v>1</v>
      </c>
      <c r="Y7669">
        <v>1</v>
      </c>
      <c r="Z7669">
        <v>1</v>
      </c>
      <c r="AA7669">
        <v>1</v>
      </c>
      <c r="AB7669">
        <v>1</v>
      </c>
    </row>
    <row r="7670" spans="1:49" x14ac:dyDescent="0.25">
      <c r="A7670" t="str">
        <f>"7666"</f>
        <v>7666</v>
      </c>
      <c r="B7670" t="str">
        <f t="shared" si="445"/>
        <v>1</v>
      </c>
      <c r="C7670" t="str">
        <f t="shared" si="446"/>
        <v>335</v>
      </c>
      <c r="D7670" t="str">
        <f>"15"</f>
        <v>15</v>
      </c>
      <c r="E7670" t="str">
        <f>"1-335-15"</f>
        <v>1-335-15</v>
      </c>
      <c r="F7670" t="s">
        <v>83</v>
      </c>
      <c r="G7670" t="s">
        <v>84</v>
      </c>
      <c r="H7670" t="s">
        <v>92</v>
      </c>
      <c r="I7670">
        <v>1</v>
      </c>
      <c r="J7670">
        <v>1</v>
      </c>
      <c r="N7670">
        <v>1</v>
      </c>
      <c r="O7670">
        <v>1</v>
      </c>
      <c r="P7670">
        <v>1</v>
      </c>
      <c r="Q7670">
        <v>1</v>
      </c>
      <c r="R7670">
        <v>1</v>
      </c>
      <c r="S7670">
        <v>1</v>
      </c>
      <c r="T7670">
        <v>1</v>
      </c>
      <c r="W7670">
        <v>1</v>
      </c>
      <c r="X7670">
        <v>1</v>
      </c>
      <c r="Y7670">
        <v>1</v>
      </c>
      <c r="Z7670">
        <v>1</v>
      </c>
      <c r="AA7670">
        <v>1</v>
      </c>
      <c r="AB7670">
        <v>1</v>
      </c>
    </row>
    <row r="7671" spans="1:49" x14ac:dyDescent="0.25">
      <c r="A7671" t="str">
        <f>"7667"</f>
        <v>7667</v>
      </c>
      <c r="B7671" t="str">
        <f t="shared" si="445"/>
        <v>1</v>
      </c>
      <c r="C7671" t="str">
        <f t="shared" si="446"/>
        <v>335</v>
      </c>
      <c r="D7671" t="str">
        <f>"1"</f>
        <v>1</v>
      </c>
      <c r="E7671" t="str">
        <f>"1-335-1"</f>
        <v>1-335-1</v>
      </c>
      <c r="F7671" t="s">
        <v>83</v>
      </c>
      <c r="G7671" t="s">
        <v>84</v>
      </c>
      <c r="H7671" t="s">
        <v>92</v>
      </c>
      <c r="I7671">
        <v>1</v>
      </c>
      <c r="J7671">
        <v>1</v>
      </c>
      <c r="N7671">
        <v>1</v>
      </c>
      <c r="O7671">
        <v>1</v>
      </c>
      <c r="P7671">
        <v>1</v>
      </c>
      <c r="Q7671">
        <v>1</v>
      </c>
      <c r="R7671">
        <v>1</v>
      </c>
      <c r="S7671">
        <v>1</v>
      </c>
      <c r="T7671">
        <v>1</v>
      </c>
      <c r="W7671">
        <v>1</v>
      </c>
      <c r="X7671">
        <v>1</v>
      </c>
      <c r="Y7671">
        <v>1</v>
      </c>
      <c r="Z7671">
        <v>1</v>
      </c>
      <c r="AA7671">
        <v>1</v>
      </c>
      <c r="AB7671">
        <v>1</v>
      </c>
    </row>
    <row r="7672" spans="1:49" x14ac:dyDescent="0.25">
      <c r="A7672" t="str">
        <f>"7668"</f>
        <v>7668</v>
      </c>
      <c r="B7672" t="str">
        <f t="shared" si="445"/>
        <v>1</v>
      </c>
      <c r="C7672" t="str">
        <f t="shared" si="446"/>
        <v>335</v>
      </c>
      <c r="D7672" t="str">
        <f>"18"</f>
        <v>18</v>
      </c>
      <c r="E7672" t="str">
        <f>"1-335-18"</f>
        <v>1-335-18</v>
      </c>
      <c r="F7672" t="s">
        <v>83</v>
      </c>
      <c r="G7672" t="s">
        <v>90</v>
      </c>
      <c r="H7672" t="s">
        <v>94</v>
      </c>
      <c r="I7672">
        <v>1</v>
      </c>
      <c r="K7672">
        <v>0</v>
      </c>
      <c r="L7672">
        <v>0</v>
      </c>
      <c r="M7672">
        <v>1</v>
      </c>
      <c r="N7672">
        <v>1</v>
      </c>
      <c r="O7672">
        <v>1</v>
      </c>
      <c r="P7672">
        <v>1</v>
      </c>
      <c r="Q7672">
        <v>1</v>
      </c>
      <c r="R7672">
        <v>1</v>
      </c>
      <c r="S7672">
        <v>1</v>
      </c>
      <c r="U7672">
        <v>0</v>
      </c>
      <c r="V7672">
        <v>1</v>
      </c>
      <c r="W7672">
        <v>1</v>
      </c>
      <c r="X7672">
        <v>1</v>
      </c>
      <c r="Y7672">
        <v>1</v>
      </c>
      <c r="Z7672">
        <v>1</v>
      </c>
      <c r="AA7672">
        <v>1</v>
      </c>
      <c r="AB7672">
        <v>1</v>
      </c>
    </row>
    <row r="7673" spans="1:49" x14ac:dyDescent="0.25">
      <c r="A7673" t="str">
        <f>"7669"</f>
        <v>7669</v>
      </c>
      <c r="B7673" t="str">
        <f t="shared" si="445"/>
        <v>1</v>
      </c>
      <c r="C7673" t="str">
        <f t="shared" si="446"/>
        <v>335</v>
      </c>
      <c r="D7673" t="str">
        <f>"6"</f>
        <v>6</v>
      </c>
      <c r="E7673" t="str">
        <f>"1-335-6"</f>
        <v>1-335-6</v>
      </c>
      <c r="F7673" t="s">
        <v>83</v>
      </c>
      <c r="G7673" t="s">
        <v>84</v>
      </c>
      <c r="H7673" t="s">
        <v>92</v>
      </c>
      <c r="I7673">
        <v>1</v>
      </c>
      <c r="J7673">
        <v>1</v>
      </c>
      <c r="N7673">
        <v>1</v>
      </c>
      <c r="O7673">
        <v>1</v>
      </c>
      <c r="P7673">
        <v>1</v>
      </c>
      <c r="Q7673">
        <v>1</v>
      </c>
      <c r="R7673">
        <v>1</v>
      </c>
      <c r="S7673">
        <v>1</v>
      </c>
      <c r="T7673">
        <v>1</v>
      </c>
      <c r="W7673">
        <v>1</v>
      </c>
      <c r="X7673">
        <v>1</v>
      </c>
      <c r="Y7673">
        <v>1</v>
      </c>
      <c r="Z7673">
        <v>1</v>
      </c>
      <c r="AA7673">
        <v>1</v>
      </c>
      <c r="AB7673">
        <v>1</v>
      </c>
    </row>
    <row r="7674" spans="1:49" x14ac:dyDescent="0.25">
      <c r="A7674" t="str">
        <f>"7670"</f>
        <v>7670</v>
      </c>
      <c r="B7674" t="str">
        <f t="shared" si="445"/>
        <v>1</v>
      </c>
      <c r="C7674" t="str">
        <f t="shared" si="446"/>
        <v>335</v>
      </c>
      <c r="D7674" t="str">
        <f>"2"</f>
        <v>2</v>
      </c>
      <c r="E7674" t="str">
        <f>"1-335-2"</f>
        <v>1-335-2</v>
      </c>
      <c r="F7674" t="s">
        <v>83</v>
      </c>
      <c r="G7674" t="s">
        <v>84</v>
      </c>
      <c r="H7674" t="s">
        <v>92</v>
      </c>
      <c r="I7674">
        <v>1</v>
      </c>
      <c r="J7674">
        <v>1</v>
      </c>
      <c r="N7674">
        <v>1</v>
      </c>
      <c r="O7674">
        <v>1</v>
      </c>
      <c r="P7674">
        <v>1</v>
      </c>
      <c r="Q7674">
        <v>1</v>
      </c>
      <c r="R7674">
        <v>1</v>
      </c>
      <c r="S7674">
        <v>1</v>
      </c>
      <c r="T7674">
        <v>1</v>
      </c>
      <c r="W7674">
        <v>1</v>
      </c>
      <c r="X7674">
        <v>1</v>
      </c>
      <c r="Y7674">
        <v>1</v>
      </c>
      <c r="Z7674">
        <v>1</v>
      </c>
      <c r="AA7674">
        <v>1</v>
      </c>
      <c r="AB7674">
        <v>1</v>
      </c>
    </row>
    <row r="7675" spans="1:49" x14ac:dyDescent="0.25">
      <c r="A7675" t="str">
        <f>"7671"</f>
        <v>7671</v>
      </c>
      <c r="B7675" t="str">
        <f t="shared" si="445"/>
        <v>1</v>
      </c>
      <c r="C7675" t="str">
        <f t="shared" ref="C7675:C7699" si="447">"336"</f>
        <v>336</v>
      </c>
      <c r="D7675" t="str">
        <f>"21"</f>
        <v>21</v>
      </c>
      <c r="E7675" t="str">
        <f>"1-336-21"</f>
        <v>1-336-21</v>
      </c>
      <c r="F7675" t="s">
        <v>83</v>
      </c>
      <c r="G7675" t="s">
        <v>84</v>
      </c>
      <c r="H7675" t="s">
        <v>85</v>
      </c>
      <c r="AC7675">
        <v>0</v>
      </c>
      <c r="AD7675">
        <v>1</v>
      </c>
      <c r="AE7675">
        <v>0</v>
      </c>
      <c r="AF7675">
        <v>0</v>
      </c>
      <c r="AG7675">
        <v>1</v>
      </c>
      <c r="AJ7675">
        <v>1</v>
      </c>
      <c r="AK7675">
        <v>0</v>
      </c>
      <c r="AL7675">
        <v>0</v>
      </c>
      <c r="AM7675">
        <v>1</v>
      </c>
      <c r="AN7675">
        <v>0</v>
      </c>
      <c r="AO7675">
        <v>1</v>
      </c>
      <c r="AP7675">
        <v>1</v>
      </c>
      <c r="AQ7675">
        <v>1</v>
      </c>
      <c r="AR7675">
        <v>1</v>
      </c>
      <c r="AS7675">
        <v>0</v>
      </c>
      <c r="AT7675">
        <v>1</v>
      </c>
      <c r="AV7675">
        <v>1</v>
      </c>
      <c r="AW7675">
        <v>1</v>
      </c>
    </row>
    <row r="7676" spans="1:49" x14ac:dyDescent="0.25">
      <c r="A7676" t="str">
        <f>"7672"</f>
        <v>7672</v>
      </c>
      <c r="B7676" t="str">
        <f t="shared" si="445"/>
        <v>1</v>
      </c>
      <c r="C7676" t="str">
        <f t="shared" si="447"/>
        <v>336</v>
      </c>
      <c r="D7676" t="str">
        <f>"20"</f>
        <v>20</v>
      </c>
      <c r="E7676" t="str">
        <f>"1-336-20"</f>
        <v>1-336-20</v>
      </c>
      <c r="F7676" t="s">
        <v>83</v>
      </c>
      <c r="G7676" t="s">
        <v>84</v>
      </c>
      <c r="H7676" t="s">
        <v>85</v>
      </c>
      <c r="AC7676">
        <v>0</v>
      </c>
      <c r="AD7676">
        <v>1</v>
      </c>
      <c r="AE7676">
        <v>0</v>
      </c>
      <c r="AF7676">
        <v>0</v>
      </c>
      <c r="AG7676">
        <v>1</v>
      </c>
      <c r="AJ7676">
        <v>0</v>
      </c>
      <c r="AK7676">
        <v>1</v>
      </c>
      <c r="AL7676">
        <v>1</v>
      </c>
      <c r="AM7676">
        <v>0</v>
      </c>
      <c r="AN7676">
        <v>0</v>
      </c>
      <c r="AO7676">
        <v>1</v>
      </c>
      <c r="AP7676">
        <v>1</v>
      </c>
      <c r="AQ7676">
        <v>1</v>
      </c>
      <c r="AR7676">
        <v>1</v>
      </c>
      <c r="AS7676">
        <v>1</v>
      </c>
      <c r="AT7676">
        <v>0</v>
      </c>
      <c r="AV7676">
        <v>1</v>
      </c>
      <c r="AW7676">
        <v>1</v>
      </c>
    </row>
    <row r="7677" spans="1:49" x14ac:dyDescent="0.25">
      <c r="A7677" t="str">
        <f>"7673"</f>
        <v>7673</v>
      </c>
      <c r="B7677" t="str">
        <f t="shared" si="445"/>
        <v>1</v>
      </c>
      <c r="C7677" t="str">
        <f t="shared" si="447"/>
        <v>336</v>
      </c>
      <c r="D7677" t="str">
        <f>"13"</f>
        <v>13</v>
      </c>
      <c r="E7677" t="str">
        <f>"1-336-13"</f>
        <v>1-336-13</v>
      </c>
      <c r="F7677" t="s">
        <v>83</v>
      </c>
      <c r="G7677" t="s">
        <v>84</v>
      </c>
      <c r="H7677" t="s">
        <v>85</v>
      </c>
      <c r="AC7677">
        <v>0</v>
      </c>
      <c r="AD7677">
        <v>1</v>
      </c>
      <c r="AE7677">
        <v>0</v>
      </c>
      <c r="AF7677">
        <v>0</v>
      </c>
      <c r="AG7677">
        <v>1</v>
      </c>
      <c r="AJ7677">
        <v>0</v>
      </c>
      <c r="AK7677">
        <v>1</v>
      </c>
      <c r="AL7677">
        <v>1</v>
      </c>
      <c r="AM7677">
        <v>0</v>
      </c>
      <c r="AN7677">
        <v>0</v>
      </c>
      <c r="AO7677">
        <v>1</v>
      </c>
      <c r="AP7677">
        <v>1</v>
      </c>
      <c r="AQ7677">
        <v>1</v>
      </c>
      <c r="AR7677">
        <v>1</v>
      </c>
      <c r="AS7677">
        <v>0</v>
      </c>
      <c r="AT7677">
        <v>1</v>
      </c>
      <c r="AV7677">
        <v>1</v>
      </c>
      <c r="AW7677">
        <v>1</v>
      </c>
    </row>
    <row r="7678" spans="1:49" x14ac:dyDescent="0.25">
      <c r="A7678" t="str">
        <f>"7674"</f>
        <v>7674</v>
      </c>
      <c r="B7678" t="str">
        <f t="shared" si="445"/>
        <v>1</v>
      </c>
      <c r="C7678" t="str">
        <f t="shared" si="447"/>
        <v>336</v>
      </c>
      <c r="D7678" t="str">
        <f>"8"</f>
        <v>8</v>
      </c>
      <c r="E7678" t="str">
        <f>"1-336-8"</f>
        <v>1-336-8</v>
      </c>
      <c r="F7678" t="s">
        <v>83</v>
      </c>
      <c r="G7678" t="s">
        <v>84</v>
      </c>
      <c r="H7678" t="s">
        <v>85</v>
      </c>
      <c r="AC7678">
        <v>0</v>
      </c>
      <c r="AD7678">
        <v>1</v>
      </c>
      <c r="AE7678">
        <v>0</v>
      </c>
      <c r="AF7678">
        <v>0</v>
      </c>
      <c r="AG7678">
        <v>0</v>
      </c>
      <c r="AJ7678">
        <v>0</v>
      </c>
      <c r="AK7678">
        <v>1</v>
      </c>
      <c r="AL7678">
        <v>0</v>
      </c>
      <c r="AM7678">
        <v>1</v>
      </c>
      <c r="AN7678">
        <v>0</v>
      </c>
      <c r="AO7678">
        <v>1</v>
      </c>
      <c r="AP7678">
        <v>1</v>
      </c>
      <c r="AQ7678">
        <v>1</v>
      </c>
      <c r="AR7678">
        <v>1</v>
      </c>
      <c r="AS7678">
        <v>0</v>
      </c>
      <c r="AT7678">
        <v>1</v>
      </c>
      <c r="AV7678">
        <v>1</v>
      </c>
      <c r="AW7678">
        <v>1</v>
      </c>
    </row>
    <row r="7679" spans="1:49" x14ac:dyDescent="0.25">
      <c r="A7679" t="str">
        <f>"7675"</f>
        <v>7675</v>
      </c>
      <c r="B7679" t="str">
        <f t="shared" si="445"/>
        <v>1</v>
      </c>
      <c r="C7679" t="str">
        <f t="shared" si="447"/>
        <v>336</v>
      </c>
      <c r="D7679" t="str">
        <f>"3"</f>
        <v>3</v>
      </c>
      <c r="E7679" t="str">
        <f>"1-336-3"</f>
        <v>1-336-3</v>
      </c>
      <c r="F7679" t="s">
        <v>83</v>
      </c>
      <c r="G7679" t="s">
        <v>84</v>
      </c>
      <c r="H7679" t="s">
        <v>85</v>
      </c>
      <c r="AC7679">
        <v>1</v>
      </c>
      <c r="AD7679">
        <v>0</v>
      </c>
      <c r="AE7679">
        <v>0</v>
      </c>
      <c r="AF7679">
        <v>0</v>
      </c>
      <c r="AG7679">
        <v>1</v>
      </c>
      <c r="AJ7679">
        <v>1</v>
      </c>
      <c r="AK7679">
        <v>0</v>
      </c>
      <c r="AL7679">
        <v>0</v>
      </c>
      <c r="AM7679">
        <v>1</v>
      </c>
      <c r="AN7679">
        <v>0</v>
      </c>
      <c r="AO7679">
        <v>1</v>
      </c>
      <c r="AP7679">
        <v>1</v>
      </c>
      <c r="AQ7679">
        <v>1</v>
      </c>
      <c r="AR7679">
        <v>1</v>
      </c>
      <c r="AS7679">
        <v>0</v>
      </c>
      <c r="AT7679">
        <v>1</v>
      </c>
      <c r="AV7679">
        <v>1</v>
      </c>
      <c r="AW7679">
        <v>1</v>
      </c>
    </row>
    <row r="7680" spans="1:49" x14ac:dyDescent="0.25">
      <c r="A7680" t="str">
        <f>"7676"</f>
        <v>7676</v>
      </c>
      <c r="B7680" t="str">
        <f t="shared" si="445"/>
        <v>1</v>
      </c>
      <c r="C7680" t="str">
        <f t="shared" si="447"/>
        <v>336</v>
      </c>
      <c r="D7680" t="str">
        <f>"25"</f>
        <v>25</v>
      </c>
      <c r="E7680" t="str">
        <f>"1-336-25"</f>
        <v>1-336-25</v>
      </c>
      <c r="F7680" t="s">
        <v>83</v>
      </c>
      <c r="G7680" t="s">
        <v>84</v>
      </c>
      <c r="H7680" t="s">
        <v>85</v>
      </c>
      <c r="AC7680">
        <v>1</v>
      </c>
      <c r="AD7680">
        <v>0</v>
      </c>
      <c r="AE7680">
        <v>0</v>
      </c>
      <c r="AF7680">
        <v>0</v>
      </c>
      <c r="AG7680">
        <v>1</v>
      </c>
      <c r="AJ7680">
        <v>1</v>
      </c>
      <c r="AK7680">
        <v>0</v>
      </c>
      <c r="AL7680">
        <v>0</v>
      </c>
      <c r="AM7680">
        <v>0</v>
      </c>
      <c r="AN7680">
        <v>1</v>
      </c>
      <c r="AO7680">
        <v>1</v>
      </c>
      <c r="AP7680">
        <v>1</v>
      </c>
      <c r="AQ7680">
        <v>1</v>
      </c>
      <c r="AR7680">
        <v>1</v>
      </c>
      <c r="AS7680">
        <v>0</v>
      </c>
      <c r="AT7680">
        <v>1</v>
      </c>
      <c r="AV7680">
        <v>1</v>
      </c>
      <c r="AW7680">
        <v>1</v>
      </c>
    </row>
    <row r="7681" spans="1:49" x14ac:dyDescent="0.25">
      <c r="A7681" t="str">
        <f>"7677"</f>
        <v>7677</v>
      </c>
      <c r="B7681" t="str">
        <f t="shared" si="445"/>
        <v>1</v>
      </c>
      <c r="C7681" t="str">
        <f t="shared" si="447"/>
        <v>336</v>
      </c>
      <c r="D7681" t="str">
        <f>"24"</f>
        <v>24</v>
      </c>
      <c r="E7681" t="str">
        <f>"1-336-24"</f>
        <v>1-336-24</v>
      </c>
      <c r="F7681" t="s">
        <v>83</v>
      </c>
      <c r="G7681" t="s">
        <v>84</v>
      </c>
      <c r="H7681" t="s">
        <v>85</v>
      </c>
      <c r="AC7681">
        <v>1</v>
      </c>
      <c r="AD7681">
        <v>0</v>
      </c>
      <c r="AE7681">
        <v>0</v>
      </c>
      <c r="AF7681">
        <v>0</v>
      </c>
      <c r="AG7681">
        <v>1</v>
      </c>
      <c r="AJ7681">
        <v>1</v>
      </c>
      <c r="AK7681">
        <v>0</v>
      </c>
      <c r="AL7681">
        <v>0</v>
      </c>
      <c r="AM7681">
        <v>1</v>
      </c>
      <c r="AN7681">
        <v>0</v>
      </c>
      <c r="AO7681">
        <v>1</v>
      </c>
      <c r="AP7681">
        <v>1</v>
      </c>
      <c r="AQ7681">
        <v>1</v>
      </c>
      <c r="AR7681">
        <v>1</v>
      </c>
      <c r="AS7681">
        <v>1</v>
      </c>
      <c r="AT7681">
        <v>0</v>
      </c>
      <c r="AV7681">
        <v>1</v>
      </c>
      <c r="AW7681">
        <v>1</v>
      </c>
    </row>
    <row r="7682" spans="1:49" x14ac:dyDescent="0.25">
      <c r="A7682" t="str">
        <f>"7678"</f>
        <v>7678</v>
      </c>
      <c r="B7682" t="str">
        <f t="shared" si="445"/>
        <v>1</v>
      </c>
      <c r="C7682" t="str">
        <f t="shared" si="447"/>
        <v>336</v>
      </c>
      <c r="D7682" t="str">
        <f>"15"</f>
        <v>15</v>
      </c>
      <c r="E7682" t="str">
        <f>"1-336-15"</f>
        <v>1-336-15</v>
      </c>
      <c r="F7682" t="s">
        <v>83</v>
      </c>
      <c r="G7682" t="s">
        <v>84</v>
      </c>
      <c r="H7682" t="s">
        <v>85</v>
      </c>
      <c r="AC7682">
        <v>0</v>
      </c>
      <c r="AD7682">
        <v>1</v>
      </c>
      <c r="AE7682">
        <v>0</v>
      </c>
      <c r="AF7682">
        <v>0</v>
      </c>
      <c r="AG7682">
        <v>1</v>
      </c>
      <c r="AJ7682">
        <v>1</v>
      </c>
      <c r="AK7682">
        <v>0</v>
      </c>
      <c r="AL7682">
        <v>0</v>
      </c>
      <c r="AM7682">
        <v>0</v>
      </c>
      <c r="AN7682">
        <v>1</v>
      </c>
      <c r="AO7682">
        <v>1</v>
      </c>
      <c r="AP7682">
        <v>1</v>
      </c>
      <c r="AQ7682">
        <v>1</v>
      </c>
      <c r="AR7682">
        <v>1</v>
      </c>
      <c r="AS7682">
        <v>0</v>
      </c>
      <c r="AT7682">
        <v>1</v>
      </c>
      <c r="AV7682">
        <v>1</v>
      </c>
      <c r="AW7682">
        <v>1</v>
      </c>
    </row>
    <row r="7683" spans="1:49" x14ac:dyDescent="0.25">
      <c r="A7683" t="str">
        <f>"7679"</f>
        <v>7679</v>
      </c>
      <c r="B7683" t="str">
        <f t="shared" si="445"/>
        <v>1</v>
      </c>
      <c r="C7683" t="str">
        <f t="shared" si="447"/>
        <v>336</v>
      </c>
      <c r="D7683" t="str">
        <f>"9"</f>
        <v>9</v>
      </c>
      <c r="E7683" t="str">
        <f>"1-336-9"</f>
        <v>1-336-9</v>
      </c>
      <c r="F7683" t="s">
        <v>83</v>
      </c>
      <c r="G7683" t="s">
        <v>84</v>
      </c>
      <c r="H7683" t="s">
        <v>85</v>
      </c>
      <c r="AC7683">
        <v>0</v>
      </c>
      <c r="AD7683">
        <v>0</v>
      </c>
      <c r="AE7683">
        <v>0</v>
      </c>
      <c r="AF7683">
        <v>0</v>
      </c>
      <c r="AG7683">
        <v>1</v>
      </c>
      <c r="AJ7683">
        <v>0</v>
      </c>
      <c r="AK7683">
        <v>0</v>
      </c>
      <c r="AL7683">
        <v>0</v>
      </c>
      <c r="AM7683">
        <v>0</v>
      </c>
      <c r="AN7683">
        <v>0</v>
      </c>
      <c r="AO7683">
        <v>1</v>
      </c>
      <c r="AP7683">
        <v>1</v>
      </c>
      <c r="AQ7683">
        <v>1</v>
      </c>
      <c r="AR7683">
        <v>1</v>
      </c>
      <c r="AS7683">
        <v>0</v>
      </c>
      <c r="AT7683">
        <v>0</v>
      </c>
      <c r="AV7683">
        <v>1</v>
      </c>
      <c r="AW7683">
        <v>1</v>
      </c>
    </row>
    <row r="7684" spans="1:49" x14ac:dyDescent="0.25">
      <c r="A7684" t="str">
        <f>"7680"</f>
        <v>7680</v>
      </c>
      <c r="B7684" t="str">
        <f t="shared" si="445"/>
        <v>1</v>
      </c>
      <c r="C7684" t="str">
        <f t="shared" si="447"/>
        <v>336</v>
      </c>
      <c r="D7684" t="str">
        <f>"1"</f>
        <v>1</v>
      </c>
      <c r="E7684" t="str">
        <f>"1-336-1"</f>
        <v>1-336-1</v>
      </c>
      <c r="F7684" t="s">
        <v>83</v>
      </c>
      <c r="G7684" t="s">
        <v>84</v>
      </c>
      <c r="H7684" t="s">
        <v>85</v>
      </c>
      <c r="AC7684">
        <v>0</v>
      </c>
      <c r="AD7684">
        <v>1</v>
      </c>
      <c r="AE7684">
        <v>0</v>
      </c>
      <c r="AF7684">
        <v>0</v>
      </c>
      <c r="AG7684">
        <v>0</v>
      </c>
      <c r="AJ7684">
        <v>0</v>
      </c>
      <c r="AK7684">
        <v>1</v>
      </c>
      <c r="AL7684">
        <v>0</v>
      </c>
      <c r="AM7684">
        <v>1</v>
      </c>
      <c r="AN7684">
        <v>0</v>
      </c>
      <c r="AO7684">
        <v>0</v>
      </c>
      <c r="AP7684">
        <v>0</v>
      </c>
      <c r="AQ7684">
        <v>0</v>
      </c>
      <c r="AR7684">
        <v>1</v>
      </c>
      <c r="AS7684">
        <v>0</v>
      </c>
      <c r="AT7684">
        <v>1</v>
      </c>
      <c r="AV7684">
        <v>0</v>
      </c>
      <c r="AW7684">
        <v>1</v>
      </c>
    </row>
    <row r="7685" spans="1:49" x14ac:dyDescent="0.25">
      <c r="A7685" t="str">
        <f>"7681"</f>
        <v>7681</v>
      </c>
      <c r="B7685" t="str">
        <f t="shared" si="445"/>
        <v>1</v>
      </c>
      <c r="C7685" t="str">
        <f t="shared" si="447"/>
        <v>336</v>
      </c>
      <c r="D7685" t="str">
        <f>"23"</f>
        <v>23</v>
      </c>
      <c r="E7685" t="str">
        <f>"1-336-23"</f>
        <v>1-336-23</v>
      </c>
      <c r="F7685" t="s">
        <v>83</v>
      </c>
      <c r="G7685" t="s">
        <v>84</v>
      </c>
      <c r="H7685" t="s">
        <v>85</v>
      </c>
      <c r="AC7685">
        <v>1</v>
      </c>
      <c r="AD7685">
        <v>0</v>
      </c>
      <c r="AE7685">
        <v>0</v>
      </c>
      <c r="AF7685">
        <v>0</v>
      </c>
      <c r="AG7685">
        <v>0</v>
      </c>
      <c r="AJ7685">
        <v>1</v>
      </c>
      <c r="AK7685">
        <v>0</v>
      </c>
      <c r="AL7685">
        <v>0</v>
      </c>
      <c r="AM7685">
        <v>0</v>
      </c>
      <c r="AN7685">
        <v>1</v>
      </c>
      <c r="AO7685">
        <v>0</v>
      </c>
      <c r="AP7685">
        <v>0</v>
      </c>
      <c r="AQ7685">
        <v>0</v>
      </c>
      <c r="AR7685">
        <v>0</v>
      </c>
      <c r="AS7685">
        <v>1</v>
      </c>
      <c r="AT7685">
        <v>0</v>
      </c>
      <c r="AV7685">
        <v>0</v>
      </c>
      <c r="AW7685">
        <v>0</v>
      </c>
    </row>
    <row r="7686" spans="1:49" x14ac:dyDescent="0.25">
      <c r="A7686" t="str">
        <f>"7682"</f>
        <v>7682</v>
      </c>
      <c r="B7686" t="str">
        <f t="shared" si="445"/>
        <v>1</v>
      </c>
      <c r="C7686" t="str">
        <f t="shared" si="447"/>
        <v>336</v>
      </c>
      <c r="D7686" t="str">
        <f>"22"</f>
        <v>22</v>
      </c>
      <c r="E7686" t="str">
        <f>"1-336-22"</f>
        <v>1-336-22</v>
      </c>
      <c r="F7686" t="s">
        <v>83</v>
      </c>
      <c r="G7686" t="s">
        <v>84</v>
      </c>
      <c r="H7686" t="s">
        <v>85</v>
      </c>
      <c r="AC7686">
        <v>0</v>
      </c>
      <c r="AD7686">
        <v>1</v>
      </c>
      <c r="AE7686">
        <v>0</v>
      </c>
      <c r="AF7686">
        <v>0</v>
      </c>
      <c r="AG7686">
        <v>0</v>
      </c>
      <c r="AJ7686">
        <v>0</v>
      </c>
      <c r="AK7686">
        <v>1</v>
      </c>
      <c r="AL7686">
        <v>0</v>
      </c>
      <c r="AM7686">
        <v>0</v>
      </c>
      <c r="AN7686">
        <v>1</v>
      </c>
      <c r="AO7686">
        <v>0</v>
      </c>
      <c r="AP7686">
        <v>0</v>
      </c>
      <c r="AQ7686">
        <v>0</v>
      </c>
      <c r="AR7686">
        <v>0</v>
      </c>
      <c r="AS7686">
        <v>1</v>
      </c>
      <c r="AT7686">
        <v>0</v>
      </c>
      <c r="AV7686">
        <v>0</v>
      </c>
      <c r="AW7686">
        <v>0</v>
      </c>
    </row>
    <row r="7687" spans="1:49" x14ac:dyDescent="0.25">
      <c r="A7687" t="str">
        <f>"7683"</f>
        <v>7683</v>
      </c>
      <c r="B7687" t="str">
        <f t="shared" si="445"/>
        <v>1</v>
      </c>
      <c r="C7687" t="str">
        <f t="shared" si="447"/>
        <v>336</v>
      </c>
      <c r="D7687" t="str">
        <f>"14"</f>
        <v>14</v>
      </c>
      <c r="E7687" t="str">
        <f>"1-336-14"</f>
        <v>1-336-14</v>
      </c>
      <c r="F7687" t="s">
        <v>83</v>
      </c>
      <c r="G7687" t="s">
        <v>84</v>
      </c>
      <c r="H7687" t="s">
        <v>85</v>
      </c>
      <c r="AC7687">
        <v>0</v>
      </c>
      <c r="AD7687">
        <v>1</v>
      </c>
      <c r="AE7687">
        <v>0</v>
      </c>
      <c r="AF7687">
        <v>0</v>
      </c>
      <c r="AG7687">
        <v>0</v>
      </c>
      <c r="AJ7687">
        <v>0</v>
      </c>
      <c r="AK7687">
        <v>1</v>
      </c>
      <c r="AL7687">
        <v>0</v>
      </c>
      <c r="AM7687">
        <v>0</v>
      </c>
      <c r="AN7687">
        <v>1</v>
      </c>
      <c r="AO7687">
        <v>0</v>
      </c>
      <c r="AP7687">
        <v>0</v>
      </c>
      <c r="AQ7687">
        <v>0</v>
      </c>
      <c r="AR7687">
        <v>0</v>
      </c>
      <c r="AS7687">
        <v>0</v>
      </c>
      <c r="AT7687">
        <v>0</v>
      </c>
      <c r="AV7687">
        <v>0</v>
      </c>
      <c r="AW7687">
        <v>0</v>
      </c>
    </row>
    <row r="7688" spans="1:49" x14ac:dyDescent="0.25">
      <c r="A7688" t="str">
        <f>"7684"</f>
        <v>7684</v>
      </c>
      <c r="B7688" t="str">
        <f t="shared" si="445"/>
        <v>1</v>
      </c>
      <c r="C7688" t="str">
        <f t="shared" si="447"/>
        <v>336</v>
      </c>
      <c r="D7688" t="str">
        <f>"10"</f>
        <v>10</v>
      </c>
      <c r="E7688" t="str">
        <f>"1-336-10"</f>
        <v>1-336-10</v>
      </c>
      <c r="F7688" t="s">
        <v>83</v>
      </c>
      <c r="G7688" t="s">
        <v>84</v>
      </c>
      <c r="H7688" t="s">
        <v>85</v>
      </c>
      <c r="AC7688">
        <v>0</v>
      </c>
      <c r="AD7688">
        <v>1</v>
      </c>
      <c r="AE7688">
        <v>0</v>
      </c>
      <c r="AF7688">
        <v>0</v>
      </c>
      <c r="AG7688">
        <v>1</v>
      </c>
      <c r="AJ7688">
        <v>0</v>
      </c>
      <c r="AK7688">
        <v>1</v>
      </c>
      <c r="AL7688">
        <v>0</v>
      </c>
      <c r="AM7688">
        <v>0</v>
      </c>
      <c r="AN7688">
        <v>1</v>
      </c>
      <c r="AO7688">
        <v>1</v>
      </c>
      <c r="AP7688">
        <v>1</v>
      </c>
      <c r="AQ7688">
        <v>1</v>
      </c>
      <c r="AR7688">
        <v>1</v>
      </c>
      <c r="AS7688">
        <v>1</v>
      </c>
      <c r="AT7688">
        <v>0</v>
      </c>
      <c r="AV7688">
        <v>1</v>
      </c>
      <c r="AW7688">
        <v>1</v>
      </c>
    </row>
    <row r="7689" spans="1:49" x14ac:dyDescent="0.25">
      <c r="A7689" t="str">
        <f>"7685"</f>
        <v>7685</v>
      </c>
      <c r="B7689" t="str">
        <f t="shared" si="445"/>
        <v>1</v>
      </c>
      <c r="C7689" t="str">
        <f t="shared" si="447"/>
        <v>336</v>
      </c>
      <c r="D7689" t="str">
        <f>"7"</f>
        <v>7</v>
      </c>
      <c r="E7689" t="str">
        <f>"1-336-7"</f>
        <v>1-336-7</v>
      </c>
      <c r="F7689" t="s">
        <v>83</v>
      </c>
      <c r="G7689" t="s">
        <v>84</v>
      </c>
      <c r="H7689" t="s">
        <v>85</v>
      </c>
      <c r="AC7689">
        <v>0</v>
      </c>
      <c r="AD7689">
        <v>1</v>
      </c>
      <c r="AE7689">
        <v>0</v>
      </c>
      <c r="AF7689">
        <v>0</v>
      </c>
      <c r="AG7689">
        <v>0</v>
      </c>
      <c r="AJ7689">
        <v>0</v>
      </c>
      <c r="AK7689">
        <v>1</v>
      </c>
      <c r="AL7689">
        <v>0</v>
      </c>
      <c r="AM7689">
        <v>0</v>
      </c>
      <c r="AN7689">
        <v>1</v>
      </c>
      <c r="AO7689">
        <v>1</v>
      </c>
      <c r="AP7689">
        <v>1</v>
      </c>
      <c r="AQ7689">
        <v>1</v>
      </c>
      <c r="AR7689">
        <v>1</v>
      </c>
      <c r="AS7689">
        <v>0</v>
      </c>
      <c r="AT7689">
        <v>1</v>
      </c>
      <c r="AV7689">
        <v>1</v>
      </c>
      <c r="AW7689">
        <v>1</v>
      </c>
    </row>
    <row r="7690" spans="1:49" x14ac:dyDescent="0.25">
      <c r="A7690" t="str">
        <f>"7686"</f>
        <v>7686</v>
      </c>
      <c r="B7690" t="str">
        <f t="shared" si="445"/>
        <v>1</v>
      </c>
      <c r="C7690" t="str">
        <f t="shared" si="447"/>
        <v>336</v>
      </c>
      <c r="D7690" t="str">
        <f>"11"</f>
        <v>11</v>
      </c>
      <c r="E7690" t="str">
        <f>"1-336-11"</f>
        <v>1-336-11</v>
      </c>
      <c r="F7690" t="s">
        <v>83</v>
      </c>
      <c r="G7690" t="s">
        <v>84</v>
      </c>
      <c r="H7690" t="s">
        <v>85</v>
      </c>
      <c r="AC7690">
        <v>0</v>
      </c>
      <c r="AD7690">
        <v>1</v>
      </c>
      <c r="AE7690">
        <v>0</v>
      </c>
      <c r="AF7690">
        <v>0</v>
      </c>
      <c r="AG7690">
        <v>1</v>
      </c>
      <c r="AJ7690">
        <v>1</v>
      </c>
      <c r="AK7690">
        <v>0</v>
      </c>
      <c r="AL7690">
        <v>0</v>
      </c>
      <c r="AM7690">
        <v>0</v>
      </c>
      <c r="AN7690">
        <v>1</v>
      </c>
      <c r="AO7690">
        <v>1</v>
      </c>
      <c r="AP7690">
        <v>1</v>
      </c>
      <c r="AQ7690">
        <v>1</v>
      </c>
      <c r="AR7690">
        <v>1</v>
      </c>
      <c r="AS7690">
        <v>0</v>
      </c>
      <c r="AT7690">
        <v>1</v>
      </c>
      <c r="AV7690">
        <v>1</v>
      </c>
      <c r="AW7690">
        <v>1</v>
      </c>
    </row>
    <row r="7691" spans="1:49" x14ac:dyDescent="0.25">
      <c r="A7691" t="str">
        <f>"7687"</f>
        <v>7687</v>
      </c>
      <c r="B7691" t="str">
        <f t="shared" si="445"/>
        <v>1</v>
      </c>
      <c r="C7691" t="str">
        <f t="shared" si="447"/>
        <v>336</v>
      </c>
      <c r="D7691" t="str">
        <f>"4"</f>
        <v>4</v>
      </c>
      <c r="E7691" t="str">
        <f>"1-336-4"</f>
        <v>1-336-4</v>
      </c>
      <c r="F7691" t="s">
        <v>83</v>
      </c>
      <c r="G7691" t="s">
        <v>84</v>
      </c>
      <c r="H7691" t="s">
        <v>85</v>
      </c>
      <c r="AC7691">
        <v>1</v>
      </c>
      <c r="AD7691">
        <v>0</v>
      </c>
      <c r="AE7691">
        <v>0</v>
      </c>
      <c r="AF7691">
        <v>0</v>
      </c>
      <c r="AG7691">
        <v>1</v>
      </c>
      <c r="AJ7691">
        <v>1</v>
      </c>
      <c r="AK7691">
        <v>0</v>
      </c>
      <c r="AL7691">
        <v>0</v>
      </c>
      <c r="AM7691">
        <v>1</v>
      </c>
      <c r="AN7691">
        <v>0</v>
      </c>
      <c r="AO7691">
        <v>1</v>
      </c>
      <c r="AP7691">
        <v>1</v>
      </c>
      <c r="AQ7691">
        <v>1</v>
      </c>
      <c r="AR7691">
        <v>1</v>
      </c>
      <c r="AS7691">
        <v>0</v>
      </c>
      <c r="AT7691">
        <v>1</v>
      </c>
      <c r="AV7691">
        <v>1</v>
      </c>
      <c r="AW7691">
        <v>1</v>
      </c>
    </row>
    <row r="7692" spans="1:49" x14ac:dyDescent="0.25">
      <c r="A7692" t="str">
        <f>"7688"</f>
        <v>7688</v>
      </c>
      <c r="B7692" t="str">
        <f t="shared" si="445"/>
        <v>1</v>
      </c>
      <c r="C7692" t="str">
        <f t="shared" si="447"/>
        <v>336</v>
      </c>
      <c r="D7692" t="str">
        <f>"16"</f>
        <v>16</v>
      </c>
      <c r="E7692" t="str">
        <f>"1-336-16"</f>
        <v>1-336-16</v>
      </c>
      <c r="F7692" t="s">
        <v>83</v>
      </c>
      <c r="G7692" t="s">
        <v>84</v>
      </c>
      <c r="H7692" t="s">
        <v>85</v>
      </c>
      <c r="AC7692">
        <v>1</v>
      </c>
      <c r="AD7692">
        <v>0</v>
      </c>
      <c r="AE7692">
        <v>0</v>
      </c>
      <c r="AF7692">
        <v>0</v>
      </c>
      <c r="AG7692">
        <v>1</v>
      </c>
      <c r="AJ7692">
        <v>0</v>
      </c>
      <c r="AK7692">
        <v>1</v>
      </c>
      <c r="AL7692">
        <v>1</v>
      </c>
      <c r="AM7692">
        <v>0</v>
      </c>
      <c r="AN7692">
        <v>0</v>
      </c>
      <c r="AO7692">
        <v>1</v>
      </c>
      <c r="AP7692">
        <v>1</v>
      </c>
      <c r="AQ7692">
        <v>1</v>
      </c>
      <c r="AR7692">
        <v>1</v>
      </c>
      <c r="AS7692">
        <v>0</v>
      </c>
      <c r="AT7692">
        <v>1</v>
      </c>
      <c r="AV7692">
        <v>1</v>
      </c>
      <c r="AW7692">
        <v>1</v>
      </c>
    </row>
    <row r="7693" spans="1:49" x14ac:dyDescent="0.25">
      <c r="A7693" t="str">
        <f>"7689"</f>
        <v>7689</v>
      </c>
      <c r="B7693" t="str">
        <f t="shared" si="445"/>
        <v>1</v>
      </c>
      <c r="C7693" t="str">
        <f t="shared" si="447"/>
        <v>336</v>
      </c>
      <c r="D7693" t="str">
        <f>"12"</f>
        <v>12</v>
      </c>
      <c r="E7693" t="str">
        <f>"1-336-12"</f>
        <v>1-336-12</v>
      </c>
      <c r="F7693" t="s">
        <v>83</v>
      </c>
      <c r="G7693" t="s">
        <v>84</v>
      </c>
      <c r="H7693" t="s">
        <v>85</v>
      </c>
      <c r="AC7693">
        <v>1</v>
      </c>
      <c r="AD7693">
        <v>0</v>
      </c>
      <c r="AE7693">
        <v>0</v>
      </c>
      <c r="AF7693">
        <v>0</v>
      </c>
      <c r="AG7693">
        <v>0</v>
      </c>
      <c r="AJ7693">
        <v>0</v>
      </c>
      <c r="AK7693">
        <v>1</v>
      </c>
      <c r="AL7693">
        <v>1</v>
      </c>
      <c r="AM7693">
        <v>0</v>
      </c>
      <c r="AN7693">
        <v>0</v>
      </c>
      <c r="AO7693">
        <v>0</v>
      </c>
      <c r="AP7693">
        <v>0</v>
      </c>
      <c r="AQ7693">
        <v>0</v>
      </c>
      <c r="AR7693">
        <v>0</v>
      </c>
      <c r="AS7693">
        <v>0</v>
      </c>
      <c r="AT7693">
        <v>1</v>
      </c>
      <c r="AV7693">
        <v>0</v>
      </c>
      <c r="AW7693">
        <v>0</v>
      </c>
    </row>
    <row r="7694" spans="1:49" x14ac:dyDescent="0.25">
      <c r="A7694" t="str">
        <f>"7690"</f>
        <v>7690</v>
      </c>
      <c r="B7694" t="str">
        <f t="shared" si="445"/>
        <v>1</v>
      </c>
      <c r="C7694" t="str">
        <f t="shared" si="447"/>
        <v>336</v>
      </c>
      <c r="D7694" t="str">
        <f>"5"</f>
        <v>5</v>
      </c>
      <c r="E7694" t="str">
        <f>"1-336-5"</f>
        <v>1-336-5</v>
      </c>
      <c r="F7694" t="s">
        <v>83</v>
      </c>
      <c r="G7694" t="s">
        <v>84</v>
      </c>
      <c r="H7694" t="s">
        <v>85</v>
      </c>
      <c r="AC7694">
        <v>1</v>
      </c>
      <c r="AD7694">
        <v>0</v>
      </c>
      <c r="AE7694">
        <v>0</v>
      </c>
      <c r="AF7694">
        <v>0</v>
      </c>
      <c r="AG7694">
        <v>1</v>
      </c>
      <c r="AJ7694">
        <v>1</v>
      </c>
      <c r="AK7694">
        <v>0</v>
      </c>
      <c r="AL7694">
        <v>0</v>
      </c>
      <c r="AM7694">
        <v>1</v>
      </c>
      <c r="AN7694">
        <v>0</v>
      </c>
      <c r="AO7694">
        <v>1</v>
      </c>
      <c r="AP7694">
        <v>1</v>
      </c>
      <c r="AQ7694">
        <v>1</v>
      </c>
      <c r="AR7694">
        <v>1</v>
      </c>
      <c r="AS7694">
        <v>0</v>
      </c>
      <c r="AT7694">
        <v>1</v>
      </c>
      <c r="AV7694">
        <v>1</v>
      </c>
      <c r="AW7694">
        <v>1</v>
      </c>
    </row>
    <row r="7695" spans="1:49" x14ac:dyDescent="0.25">
      <c r="A7695" t="str">
        <f>"7691"</f>
        <v>7691</v>
      </c>
      <c r="B7695" t="str">
        <f t="shared" si="445"/>
        <v>1</v>
      </c>
      <c r="C7695" t="str">
        <f t="shared" si="447"/>
        <v>336</v>
      </c>
      <c r="D7695" t="str">
        <f>"17"</f>
        <v>17</v>
      </c>
      <c r="E7695" t="str">
        <f>"1-336-17"</f>
        <v>1-336-17</v>
      </c>
      <c r="F7695" t="s">
        <v>83</v>
      </c>
      <c r="G7695" t="s">
        <v>84</v>
      </c>
      <c r="H7695" t="s">
        <v>85</v>
      </c>
      <c r="AC7695">
        <v>1</v>
      </c>
      <c r="AD7695">
        <v>0</v>
      </c>
      <c r="AE7695">
        <v>0</v>
      </c>
      <c r="AF7695">
        <v>0</v>
      </c>
      <c r="AG7695">
        <v>1</v>
      </c>
      <c r="AJ7695">
        <v>0</v>
      </c>
      <c r="AK7695">
        <v>1</v>
      </c>
      <c r="AL7695">
        <v>0</v>
      </c>
      <c r="AM7695">
        <v>1</v>
      </c>
      <c r="AN7695">
        <v>0</v>
      </c>
      <c r="AO7695">
        <v>1</v>
      </c>
      <c r="AP7695">
        <v>1</v>
      </c>
      <c r="AQ7695">
        <v>1</v>
      </c>
      <c r="AR7695">
        <v>1</v>
      </c>
      <c r="AS7695">
        <v>0</v>
      </c>
      <c r="AT7695">
        <v>1</v>
      </c>
      <c r="AV7695">
        <v>1</v>
      </c>
      <c r="AW7695">
        <v>1</v>
      </c>
    </row>
    <row r="7696" spans="1:49" x14ac:dyDescent="0.25">
      <c r="A7696" t="str">
        <f>"7692"</f>
        <v>7692</v>
      </c>
      <c r="B7696" t="str">
        <f t="shared" si="445"/>
        <v>1</v>
      </c>
      <c r="C7696" t="str">
        <f t="shared" si="447"/>
        <v>336</v>
      </c>
      <c r="D7696" t="str">
        <f>"6"</f>
        <v>6</v>
      </c>
      <c r="E7696" t="str">
        <f>"1-336-6"</f>
        <v>1-336-6</v>
      </c>
      <c r="F7696" t="s">
        <v>83</v>
      </c>
      <c r="G7696" t="s">
        <v>84</v>
      </c>
      <c r="H7696" t="s">
        <v>85</v>
      </c>
      <c r="AC7696">
        <v>0</v>
      </c>
      <c r="AD7696">
        <v>1</v>
      </c>
      <c r="AE7696">
        <v>0</v>
      </c>
      <c r="AF7696">
        <v>0</v>
      </c>
      <c r="AG7696">
        <v>1</v>
      </c>
      <c r="AJ7696">
        <v>0</v>
      </c>
      <c r="AK7696">
        <v>1</v>
      </c>
      <c r="AL7696">
        <v>1</v>
      </c>
      <c r="AM7696">
        <v>0</v>
      </c>
      <c r="AN7696">
        <v>0</v>
      </c>
      <c r="AO7696">
        <v>1</v>
      </c>
      <c r="AP7696">
        <v>1</v>
      </c>
      <c r="AQ7696">
        <v>1</v>
      </c>
      <c r="AR7696">
        <v>1</v>
      </c>
      <c r="AS7696">
        <v>0</v>
      </c>
      <c r="AT7696">
        <v>1</v>
      </c>
      <c r="AV7696">
        <v>1</v>
      </c>
      <c r="AW7696">
        <v>1</v>
      </c>
    </row>
    <row r="7697" spans="1:49" x14ac:dyDescent="0.25">
      <c r="A7697" t="str">
        <f>"7693"</f>
        <v>7693</v>
      </c>
      <c r="B7697" t="str">
        <f t="shared" si="445"/>
        <v>1</v>
      </c>
      <c r="C7697" t="str">
        <f t="shared" si="447"/>
        <v>336</v>
      </c>
      <c r="D7697" t="str">
        <f>"19"</f>
        <v>19</v>
      </c>
      <c r="E7697" t="str">
        <f>"1-336-19"</f>
        <v>1-336-19</v>
      </c>
      <c r="F7697" t="s">
        <v>83</v>
      </c>
      <c r="G7697" t="s">
        <v>84</v>
      </c>
      <c r="H7697" t="s">
        <v>85</v>
      </c>
      <c r="AC7697">
        <v>1</v>
      </c>
      <c r="AD7697">
        <v>0</v>
      </c>
      <c r="AE7697">
        <v>0</v>
      </c>
      <c r="AF7697">
        <v>0</v>
      </c>
      <c r="AG7697">
        <v>0</v>
      </c>
      <c r="AJ7697">
        <v>0</v>
      </c>
      <c r="AK7697">
        <v>1</v>
      </c>
      <c r="AL7697">
        <v>1</v>
      </c>
      <c r="AM7697">
        <v>0</v>
      </c>
      <c r="AN7697">
        <v>0</v>
      </c>
      <c r="AO7697">
        <v>0</v>
      </c>
      <c r="AP7697">
        <v>0</v>
      </c>
      <c r="AQ7697">
        <v>0</v>
      </c>
      <c r="AR7697">
        <v>0</v>
      </c>
      <c r="AS7697">
        <v>0</v>
      </c>
      <c r="AT7697">
        <v>1</v>
      </c>
      <c r="AV7697">
        <v>0</v>
      </c>
      <c r="AW7697">
        <v>0</v>
      </c>
    </row>
    <row r="7698" spans="1:49" x14ac:dyDescent="0.25">
      <c r="A7698" t="str">
        <f>"7694"</f>
        <v>7694</v>
      </c>
      <c r="B7698" t="str">
        <f t="shared" si="445"/>
        <v>1</v>
      </c>
      <c r="C7698" t="str">
        <f t="shared" si="447"/>
        <v>336</v>
      </c>
      <c r="D7698" t="str">
        <f>"2"</f>
        <v>2</v>
      </c>
      <c r="E7698" t="str">
        <f>"1-336-2"</f>
        <v>1-336-2</v>
      </c>
      <c r="F7698" t="s">
        <v>83</v>
      </c>
      <c r="G7698" t="s">
        <v>84</v>
      </c>
      <c r="H7698" t="s">
        <v>85</v>
      </c>
      <c r="AC7698">
        <v>0</v>
      </c>
      <c r="AD7698">
        <v>1</v>
      </c>
      <c r="AE7698">
        <v>0</v>
      </c>
      <c r="AF7698">
        <v>0</v>
      </c>
      <c r="AG7698">
        <v>1</v>
      </c>
      <c r="AJ7698">
        <v>0</v>
      </c>
      <c r="AK7698">
        <v>1</v>
      </c>
      <c r="AL7698">
        <v>0</v>
      </c>
      <c r="AM7698">
        <v>1</v>
      </c>
      <c r="AN7698">
        <v>0</v>
      </c>
      <c r="AO7698">
        <v>1</v>
      </c>
      <c r="AP7698">
        <v>1</v>
      </c>
      <c r="AQ7698">
        <v>1</v>
      </c>
      <c r="AR7698">
        <v>1</v>
      </c>
      <c r="AS7698">
        <v>0</v>
      </c>
      <c r="AT7698">
        <v>1</v>
      </c>
      <c r="AV7698">
        <v>1</v>
      </c>
      <c r="AW7698">
        <v>1</v>
      </c>
    </row>
    <row r="7699" spans="1:49" x14ac:dyDescent="0.25">
      <c r="A7699" t="str">
        <f>"7695"</f>
        <v>7695</v>
      </c>
      <c r="B7699" t="str">
        <f t="shared" si="445"/>
        <v>1</v>
      </c>
      <c r="C7699" t="str">
        <f t="shared" si="447"/>
        <v>336</v>
      </c>
      <c r="D7699" t="str">
        <f>"18"</f>
        <v>18</v>
      </c>
      <c r="E7699" t="str">
        <f>"1-336-18"</f>
        <v>1-336-18</v>
      </c>
      <c r="F7699" t="s">
        <v>83</v>
      </c>
      <c r="G7699" t="s">
        <v>84</v>
      </c>
      <c r="H7699" t="s">
        <v>85</v>
      </c>
      <c r="AC7699">
        <v>1</v>
      </c>
      <c r="AD7699">
        <v>0</v>
      </c>
      <c r="AE7699">
        <v>0</v>
      </c>
      <c r="AF7699">
        <v>0</v>
      </c>
      <c r="AG7699">
        <v>0</v>
      </c>
      <c r="AJ7699">
        <v>0</v>
      </c>
      <c r="AK7699">
        <v>1</v>
      </c>
      <c r="AL7699">
        <v>1</v>
      </c>
      <c r="AM7699">
        <v>0</v>
      </c>
      <c r="AN7699">
        <v>0</v>
      </c>
      <c r="AO7699">
        <v>0</v>
      </c>
      <c r="AP7699">
        <v>0</v>
      </c>
      <c r="AQ7699">
        <v>0</v>
      </c>
      <c r="AR7699">
        <v>1</v>
      </c>
      <c r="AS7699">
        <v>1</v>
      </c>
      <c r="AT7699">
        <v>0</v>
      </c>
      <c r="AV7699">
        <v>0</v>
      </c>
      <c r="AW7699">
        <v>0</v>
      </c>
    </row>
    <row r="7700" spans="1:49" x14ac:dyDescent="0.25">
      <c r="A7700" t="str">
        <f>"7696"</f>
        <v>7696</v>
      </c>
      <c r="B7700" t="str">
        <f t="shared" si="445"/>
        <v>1</v>
      </c>
      <c r="C7700" t="str">
        <f t="shared" ref="C7700:C7724" si="448">"337"</f>
        <v>337</v>
      </c>
      <c r="D7700" t="str">
        <f>"21"</f>
        <v>21</v>
      </c>
      <c r="E7700" t="str">
        <f>"1-337-21"</f>
        <v>1-337-21</v>
      </c>
      <c r="F7700" t="s">
        <v>83</v>
      </c>
      <c r="G7700" t="s">
        <v>84</v>
      </c>
      <c r="H7700" t="s">
        <v>85</v>
      </c>
      <c r="AC7700">
        <v>0</v>
      </c>
      <c r="AD7700">
        <v>1</v>
      </c>
      <c r="AE7700">
        <v>0</v>
      </c>
      <c r="AF7700">
        <v>0</v>
      </c>
      <c r="AG7700">
        <v>0</v>
      </c>
      <c r="AJ7700">
        <v>1</v>
      </c>
      <c r="AK7700">
        <v>0</v>
      </c>
      <c r="AL7700">
        <v>0</v>
      </c>
      <c r="AM7700">
        <v>0</v>
      </c>
      <c r="AN7700">
        <v>1</v>
      </c>
      <c r="AO7700">
        <v>1</v>
      </c>
      <c r="AP7700">
        <v>1</v>
      </c>
      <c r="AQ7700">
        <v>1</v>
      </c>
      <c r="AR7700">
        <v>1</v>
      </c>
      <c r="AS7700">
        <v>0</v>
      </c>
      <c r="AT7700">
        <v>1</v>
      </c>
      <c r="AV7700">
        <v>1</v>
      </c>
      <c r="AW7700">
        <v>1</v>
      </c>
    </row>
    <row r="7701" spans="1:49" x14ac:dyDescent="0.25">
      <c r="A7701" t="str">
        <f>"7697"</f>
        <v>7697</v>
      </c>
      <c r="B7701" t="str">
        <f t="shared" si="445"/>
        <v>1</v>
      </c>
      <c r="C7701" t="str">
        <f t="shared" si="448"/>
        <v>337</v>
      </c>
      <c r="D7701" t="str">
        <f>"20"</f>
        <v>20</v>
      </c>
      <c r="E7701" t="str">
        <f>"1-337-20"</f>
        <v>1-337-20</v>
      </c>
      <c r="F7701" t="s">
        <v>83</v>
      </c>
      <c r="G7701" t="s">
        <v>84</v>
      </c>
      <c r="H7701" t="s">
        <v>85</v>
      </c>
      <c r="AC7701">
        <v>0</v>
      </c>
      <c r="AD7701">
        <v>1</v>
      </c>
      <c r="AE7701">
        <v>0</v>
      </c>
      <c r="AF7701">
        <v>0</v>
      </c>
      <c r="AG7701">
        <v>1</v>
      </c>
      <c r="AJ7701">
        <v>0</v>
      </c>
      <c r="AK7701">
        <v>1</v>
      </c>
      <c r="AL7701">
        <v>1</v>
      </c>
      <c r="AM7701">
        <v>0</v>
      </c>
      <c r="AN7701">
        <v>0</v>
      </c>
      <c r="AO7701">
        <v>1</v>
      </c>
      <c r="AP7701">
        <v>1</v>
      </c>
      <c r="AQ7701">
        <v>1</v>
      </c>
      <c r="AR7701">
        <v>1</v>
      </c>
      <c r="AS7701">
        <v>1</v>
      </c>
      <c r="AT7701">
        <v>0</v>
      </c>
      <c r="AV7701">
        <v>1</v>
      </c>
      <c r="AW7701">
        <v>1</v>
      </c>
    </row>
    <row r="7702" spans="1:49" x14ac:dyDescent="0.25">
      <c r="A7702" t="str">
        <f>"7698"</f>
        <v>7698</v>
      </c>
      <c r="B7702" t="str">
        <f t="shared" si="445"/>
        <v>1</v>
      </c>
      <c r="C7702" t="str">
        <f t="shared" si="448"/>
        <v>337</v>
      </c>
      <c r="D7702" t="str">
        <f>"13"</f>
        <v>13</v>
      </c>
      <c r="E7702" t="str">
        <f>"1-337-13"</f>
        <v>1-337-13</v>
      </c>
      <c r="F7702" t="s">
        <v>83</v>
      </c>
      <c r="G7702" t="s">
        <v>84</v>
      </c>
      <c r="H7702" t="s">
        <v>85</v>
      </c>
      <c r="AC7702">
        <v>1</v>
      </c>
      <c r="AD7702">
        <v>0</v>
      </c>
      <c r="AE7702">
        <v>0</v>
      </c>
      <c r="AF7702">
        <v>0</v>
      </c>
      <c r="AG7702">
        <v>0</v>
      </c>
      <c r="AJ7702">
        <v>0</v>
      </c>
      <c r="AK7702">
        <v>1</v>
      </c>
      <c r="AL7702">
        <v>0</v>
      </c>
      <c r="AM7702">
        <v>1</v>
      </c>
      <c r="AN7702">
        <v>0</v>
      </c>
      <c r="AO7702">
        <v>0</v>
      </c>
      <c r="AP7702">
        <v>0</v>
      </c>
      <c r="AQ7702">
        <v>0</v>
      </c>
      <c r="AR7702">
        <v>0</v>
      </c>
      <c r="AS7702">
        <v>1</v>
      </c>
      <c r="AT7702">
        <v>0</v>
      </c>
      <c r="AV7702">
        <v>0</v>
      </c>
      <c r="AW7702">
        <v>0</v>
      </c>
    </row>
    <row r="7703" spans="1:49" x14ac:dyDescent="0.25">
      <c r="A7703" t="str">
        <f>"7699"</f>
        <v>7699</v>
      </c>
      <c r="B7703" t="str">
        <f t="shared" si="445"/>
        <v>1</v>
      </c>
      <c r="C7703" t="str">
        <f t="shared" si="448"/>
        <v>337</v>
      </c>
      <c r="D7703" t="str">
        <f>"8"</f>
        <v>8</v>
      </c>
      <c r="E7703" t="str">
        <f>"1-337-8"</f>
        <v>1-337-8</v>
      </c>
      <c r="F7703" t="s">
        <v>83</v>
      </c>
      <c r="G7703" t="s">
        <v>84</v>
      </c>
      <c r="H7703" t="s">
        <v>85</v>
      </c>
      <c r="AC7703">
        <v>0</v>
      </c>
      <c r="AD7703">
        <v>1</v>
      </c>
      <c r="AE7703">
        <v>0</v>
      </c>
      <c r="AF7703">
        <v>0</v>
      </c>
      <c r="AG7703">
        <v>1</v>
      </c>
      <c r="AJ7703">
        <v>1</v>
      </c>
      <c r="AK7703">
        <v>0</v>
      </c>
      <c r="AL7703">
        <v>1</v>
      </c>
      <c r="AM7703">
        <v>0</v>
      </c>
      <c r="AN7703">
        <v>0</v>
      </c>
      <c r="AO7703">
        <v>1</v>
      </c>
      <c r="AP7703">
        <v>1</v>
      </c>
      <c r="AQ7703">
        <v>1</v>
      </c>
      <c r="AR7703">
        <v>1</v>
      </c>
      <c r="AS7703">
        <v>0</v>
      </c>
      <c r="AT7703">
        <v>1</v>
      </c>
      <c r="AV7703">
        <v>1</v>
      </c>
      <c r="AW7703">
        <v>1</v>
      </c>
    </row>
    <row r="7704" spans="1:49" x14ac:dyDescent="0.25">
      <c r="A7704" t="str">
        <f>"7700"</f>
        <v>7700</v>
      </c>
      <c r="B7704" t="str">
        <f t="shared" si="445"/>
        <v>1</v>
      </c>
      <c r="C7704" t="str">
        <f t="shared" si="448"/>
        <v>337</v>
      </c>
      <c r="D7704" t="str">
        <f>"7"</f>
        <v>7</v>
      </c>
      <c r="E7704" t="str">
        <f>"1-337-7"</f>
        <v>1-337-7</v>
      </c>
      <c r="F7704" t="s">
        <v>83</v>
      </c>
      <c r="G7704" t="s">
        <v>84</v>
      </c>
      <c r="H7704" t="s">
        <v>85</v>
      </c>
      <c r="AC7704">
        <v>0</v>
      </c>
      <c r="AD7704">
        <v>1</v>
      </c>
      <c r="AE7704">
        <v>0</v>
      </c>
      <c r="AF7704">
        <v>0</v>
      </c>
      <c r="AG7704">
        <v>1</v>
      </c>
      <c r="AJ7704">
        <v>1</v>
      </c>
      <c r="AK7704">
        <v>0</v>
      </c>
      <c r="AL7704">
        <v>1</v>
      </c>
      <c r="AM7704">
        <v>0</v>
      </c>
      <c r="AN7704">
        <v>0</v>
      </c>
      <c r="AO7704">
        <v>1</v>
      </c>
      <c r="AP7704">
        <v>1</v>
      </c>
      <c r="AQ7704">
        <v>1</v>
      </c>
      <c r="AR7704">
        <v>1</v>
      </c>
      <c r="AS7704">
        <v>0</v>
      </c>
      <c r="AT7704">
        <v>1</v>
      </c>
      <c r="AV7704">
        <v>1</v>
      </c>
      <c r="AW7704">
        <v>1</v>
      </c>
    </row>
    <row r="7705" spans="1:49" x14ac:dyDescent="0.25">
      <c r="A7705" t="str">
        <f>"7701"</f>
        <v>7701</v>
      </c>
      <c r="B7705" t="str">
        <f t="shared" si="445"/>
        <v>1</v>
      </c>
      <c r="C7705" t="str">
        <f t="shared" si="448"/>
        <v>337</v>
      </c>
      <c r="D7705" t="str">
        <f>"25"</f>
        <v>25</v>
      </c>
      <c r="E7705" t="str">
        <f>"1-337-25"</f>
        <v>1-337-25</v>
      </c>
      <c r="F7705" t="s">
        <v>83</v>
      </c>
      <c r="G7705" t="s">
        <v>84</v>
      </c>
      <c r="H7705" t="s">
        <v>85</v>
      </c>
      <c r="AC7705">
        <v>1</v>
      </c>
      <c r="AD7705">
        <v>0</v>
      </c>
      <c r="AE7705">
        <v>0</v>
      </c>
      <c r="AF7705">
        <v>0</v>
      </c>
      <c r="AG7705">
        <v>1</v>
      </c>
      <c r="AJ7705">
        <v>1</v>
      </c>
      <c r="AK7705">
        <v>0</v>
      </c>
      <c r="AL7705">
        <v>1</v>
      </c>
      <c r="AM7705">
        <v>0</v>
      </c>
      <c r="AN7705">
        <v>0</v>
      </c>
      <c r="AO7705">
        <v>1</v>
      </c>
      <c r="AP7705">
        <v>1</v>
      </c>
      <c r="AQ7705">
        <v>1</v>
      </c>
      <c r="AR7705">
        <v>1</v>
      </c>
      <c r="AS7705">
        <v>1</v>
      </c>
      <c r="AT7705">
        <v>0</v>
      </c>
      <c r="AV7705">
        <v>1</v>
      </c>
      <c r="AW7705">
        <v>1</v>
      </c>
    </row>
    <row r="7706" spans="1:49" x14ac:dyDescent="0.25">
      <c r="A7706" t="str">
        <f>"7702"</f>
        <v>7702</v>
      </c>
      <c r="B7706" t="str">
        <f t="shared" si="445"/>
        <v>1</v>
      </c>
      <c r="C7706" t="str">
        <f t="shared" si="448"/>
        <v>337</v>
      </c>
      <c r="D7706" t="str">
        <f>"24"</f>
        <v>24</v>
      </c>
      <c r="E7706" t="str">
        <f>"1-337-24"</f>
        <v>1-337-24</v>
      </c>
      <c r="F7706" t="s">
        <v>83</v>
      </c>
      <c r="G7706" t="s">
        <v>84</v>
      </c>
      <c r="H7706" t="s">
        <v>85</v>
      </c>
      <c r="AC7706">
        <v>1</v>
      </c>
      <c r="AD7706">
        <v>0</v>
      </c>
      <c r="AE7706">
        <v>0</v>
      </c>
      <c r="AF7706">
        <v>0</v>
      </c>
      <c r="AG7706">
        <v>0</v>
      </c>
      <c r="AJ7706">
        <v>1</v>
      </c>
      <c r="AK7706">
        <v>0</v>
      </c>
      <c r="AL7706">
        <v>1</v>
      </c>
      <c r="AM7706">
        <v>0</v>
      </c>
      <c r="AN7706">
        <v>0</v>
      </c>
      <c r="AO7706">
        <v>0</v>
      </c>
      <c r="AP7706">
        <v>0</v>
      </c>
      <c r="AQ7706">
        <v>0</v>
      </c>
      <c r="AR7706">
        <v>0</v>
      </c>
      <c r="AS7706">
        <v>0</v>
      </c>
      <c r="AT7706">
        <v>1</v>
      </c>
      <c r="AV7706">
        <v>1</v>
      </c>
      <c r="AW7706">
        <v>1</v>
      </c>
    </row>
    <row r="7707" spans="1:49" x14ac:dyDescent="0.25">
      <c r="A7707" t="str">
        <f>"7703"</f>
        <v>7703</v>
      </c>
      <c r="B7707" t="str">
        <f t="shared" si="445"/>
        <v>1</v>
      </c>
      <c r="C7707" t="str">
        <f t="shared" si="448"/>
        <v>337</v>
      </c>
      <c r="D7707" t="str">
        <f>"14"</f>
        <v>14</v>
      </c>
      <c r="E7707" t="str">
        <f>"1-337-14"</f>
        <v>1-337-14</v>
      </c>
      <c r="F7707" t="s">
        <v>83</v>
      </c>
      <c r="G7707" t="s">
        <v>84</v>
      </c>
      <c r="H7707" t="s">
        <v>85</v>
      </c>
      <c r="AC7707">
        <v>1</v>
      </c>
      <c r="AD7707">
        <v>0</v>
      </c>
      <c r="AE7707">
        <v>0</v>
      </c>
      <c r="AF7707">
        <v>0</v>
      </c>
      <c r="AG7707">
        <v>1</v>
      </c>
      <c r="AJ7707">
        <v>1</v>
      </c>
      <c r="AK7707">
        <v>0</v>
      </c>
      <c r="AL7707">
        <v>1</v>
      </c>
      <c r="AM7707">
        <v>0</v>
      </c>
      <c r="AN7707">
        <v>0</v>
      </c>
      <c r="AO7707">
        <v>1</v>
      </c>
      <c r="AP7707">
        <v>1</v>
      </c>
      <c r="AQ7707">
        <v>1</v>
      </c>
      <c r="AR7707">
        <v>1</v>
      </c>
      <c r="AS7707">
        <v>1</v>
      </c>
      <c r="AT7707">
        <v>0</v>
      </c>
      <c r="AV7707">
        <v>1</v>
      </c>
      <c r="AW7707">
        <v>1</v>
      </c>
    </row>
    <row r="7708" spans="1:49" x14ac:dyDescent="0.25">
      <c r="A7708" t="str">
        <f>"7704"</f>
        <v>7704</v>
      </c>
      <c r="B7708" t="str">
        <f t="shared" si="445"/>
        <v>1</v>
      </c>
      <c r="C7708" t="str">
        <f t="shared" si="448"/>
        <v>337</v>
      </c>
      <c r="D7708" t="str">
        <f>"9"</f>
        <v>9</v>
      </c>
      <c r="E7708" t="str">
        <f>"1-337-9"</f>
        <v>1-337-9</v>
      </c>
      <c r="F7708" t="s">
        <v>83</v>
      </c>
      <c r="G7708" t="s">
        <v>84</v>
      </c>
      <c r="H7708" t="s">
        <v>85</v>
      </c>
      <c r="AC7708">
        <v>1</v>
      </c>
      <c r="AD7708">
        <v>0</v>
      </c>
      <c r="AE7708">
        <v>0</v>
      </c>
      <c r="AF7708">
        <v>0</v>
      </c>
      <c r="AG7708">
        <v>1</v>
      </c>
      <c r="AJ7708">
        <v>1</v>
      </c>
      <c r="AK7708">
        <v>0</v>
      </c>
      <c r="AL7708">
        <v>0</v>
      </c>
      <c r="AM7708">
        <v>0</v>
      </c>
      <c r="AN7708">
        <v>1</v>
      </c>
      <c r="AO7708">
        <v>1</v>
      </c>
      <c r="AP7708">
        <v>1</v>
      </c>
      <c r="AQ7708">
        <v>1</v>
      </c>
      <c r="AR7708">
        <v>1</v>
      </c>
      <c r="AS7708">
        <v>1</v>
      </c>
      <c r="AT7708">
        <v>0</v>
      </c>
      <c r="AV7708">
        <v>1</v>
      </c>
      <c r="AW7708">
        <v>1</v>
      </c>
    </row>
    <row r="7709" spans="1:49" x14ac:dyDescent="0.25">
      <c r="A7709" t="str">
        <f>"7705"</f>
        <v>7705</v>
      </c>
      <c r="B7709" t="str">
        <f t="shared" si="445"/>
        <v>1</v>
      </c>
      <c r="C7709" t="str">
        <f t="shared" si="448"/>
        <v>337</v>
      </c>
      <c r="D7709" t="str">
        <f>"3"</f>
        <v>3</v>
      </c>
      <c r="E7709" t="str">
        <f>"1-337-3"</f>
        <v>1-337-3</v>
      </c>
      <c r="F7709" t="s">
        <v>83</v>
      </c>
      <c r="G7709" t="s">
        <v>84</v>
      </c>
      <c r="H7709" t="s">
        <v>85</v>
      </c>
      <c r="AC7709">
        <v>0</v>
      </c>
      <c r="AD7709">
        <v>0</v>
      </c>
      <c r="AE7709">
        <v>0</v>
      </c>
      <c r="AF7709">
        <v>0</v>
      </c>
      <c r="AG7709">
        <v>0</v>
      </c>
      <c r="AJ7709">
        <v>0</v>
      </c>
      <c r="AK7709">
        <v>0</v>
      </c>
      <c r="AL7709">
        <v>0</v>
      </c>
      <c r="AM7709">
        <v>0</v>
      </c>
      <c r="AN7709">
        <v>0</v>
      </c>
      <c r="AO7709">
        <v>0</v>
      </c>
      <c r="AP7709">
        <v>0</v>
      </c>
      <c r="AQ7709">
        <v>0</v>
      </c>
      <c r="AR7709">
        <v>0</v>
      </c>
      <c r="AS7709">
        <v>0</v>
      </c>
      <c r="AT7709">
        <v>1</v>
      </c>
      <c r="AV7709">
        <v>0</v>
      </c>
      <c r="AW7709">
        <v>0</v>
      </c>
    </row>
    <row r="7710" spans="1:49" x14ac:dyDescent="0.25">
      <c r="A7710" t="str">
        <f>"7706"</f>
        <v>7706</v>
      </c>
      <c r="B7710" t="str">
        <f t="shared" ref="B7710:B7773" si="449">"1"</f>
        <v>1</v>
      </c>
      <c r="C7710" t="str">
        <f t="shared" si="448"/>
        <v>337</v>
      </c>
      <c r="D7710" t="str">
        <f>"23"</f>
        <v>23</v>
      </c>
      <c r="E7710" t="str">
        <f>"1-337-23"</f>
        <v>1-337-23</v>
      </c>
      <c r="F7710" t="s">
        <v>83</v>
      </c>
      <c r="G7710" t="s">
        <v>84</v>
      </c>
      <c r="H7710" t="s">
        <v>85</v>
      </c>
      <c r="AC7710">
        <v>0</v>
      </c>
      <c r="AD7710">
        <v>1</v>
      </c>
      <c r="AE7710">
        <v>0</v>
      </c>
      <c r="AF7710">
        <v>0</v>
      </c>
      <c r="AG7710">
        <v>0</v>
      </c>
      <c r="AJ7710">
        <v>0</v>
      </c>
      <c r="AK7710">
        <v>1</v>
      </c>
      <c r="AL7710">
        <v>0</v>
      </c>
      <c r="AM7710">
        <v>0</v>
      </c>
      <c r="AN7710">
        <v>1</v>
      </c>
      <c r="AO7710">
        <v>0</v>
      </c>
      <c r="AP7710">
        <v>0</v>
      </c>
      <c r="AQ7710">
        <v>0</v>
      </c>
      <c r="AR7710">
        <v>0</v>
      </c>
      <c r="AS7710">
        <v>1</v>
      </c>
      <c r="AT7710">
        <v>0</v>
      </c>
      <c r="AV7710">
        <v>0</v>
      </c>
      <c r="AW7710">
        <v>0</v>
      </c>
    </row>
    <row r="7711" spans="1:49" x14ac:dyDescent="0.25">
      <c r="A7711" t="str">
        <f>"7707"</f>
        <v>7707</v>
      </c>
      <c r="B7711" t="str">
        <f t="shared" si="449"/>
        <v>1</v>
      </c>
      <c r="C7711" t="str">
        <f t="shared" si="448"/>
        <v>337</v>
      </c>
      <c r="D7711" t="str">
        <f>"22"</f>
        <v>22</v>
      </c>
      <c r="E7711" t="str">
        <f>"1-337-22"</f>
        <v>1-337-22</v>
      </c>
      <c r="F7711" t="s">
        <v>83</v>
      </c>
      <c r="G7711" t="s">
        <v>84</v>
      </c>
      <c r="H7711" t="s">
        <v>85</v>
      </c>
      <c r="AC7711">
        <v>1</v>
      </c>
      <c r="AD7711">
        <v>0</v>
      </c>
      <c r="AE7711">
        <v>0</v>
      </c>
      <c r="AF7711">
        <v>0</v>
      </c>
      <c r="AG7711">
        <v>1</v>
      </c>
      <c r="AJ7711">
        <v>0</v>
      </c>
      <c r="AK7711">
        <v>1</v>
      </c>
      <c r="AL7711">
        <v>0</v>
      </c>
      <c r="AM7711">
        <v>1</v>
      </c>
      <c r="AN7711">
        <v>0</v>
      </c>
      <c r="AO7711">
        <v>1</v>
      </c>
      <c r="AP7711">
        <v>1</v>
      </c>
      <c r="AQ7711">
        <v>1</v>
      </c>
      <c r="AR7711">
        <v>1</v>
      </c>
      <c r="AS7711">
        <v>0</v>
      </c>
      <c r="AT7711">
        <v>1</v>
      </c>
      <c r="AV7711">
        <v>1</v>
      </c>
      <c r="AW7711">
        <v>1</v>
      </c>
    </row>
    <row r="7712" spans="1:49" x14ac:dyDescent="0.25">
      <c r="A7712" t="str">
        <f>"7708"</f>
        <v>7708</v>
      </c>
      <c r="B7712" t="str">
        <f t="shared" si="449"/>
        <v>1</v>
      </c>
      <c r="C7712" t="str">
        <f t="shared" si="448"/>
        <v>337</v>
      </c>
      <c r="D7712" t="str">
        <f>"15"</f>
        <v>15</v>
      </c>
      <c r="E7712" t="str">
        <f>"1-337-15"</f>
        <v>1-337-15</v>
      </c>
      <c r="F7712" t="s">
        <v>83</v>
      </c>
      <c r="G7712" t="s">
        <v>84</v>
      </c>
      <c r="H7712" t="s">
        <v>85</v>
      </c>
      <c r="AC7712">
        <v>1</v>
      </c>
      <c r="AD7712">
        <v>0</v>
      </c>
      <c r="AE7712">
        <v>0</v>
      </c>
      <c r="AF7712">
        <v>0</v>
      </c>
      <c r="AG7712">
        <v>1</v>
      </c>
      <c r="AJ7712">
        <v>1</v>
      </c>
      <c r="AK7712">
        <v>0</v>
      </c>
      <c r="AL7712">
        <v>0</v>
      </c>
      <c r="AM7712">
        <v>1</v>
      </c>
      <c r="AN7712">
        <v>0</v>
      </c>
      <c r="AO7712">
        <v>1</v>
      </c>
      <c r="AP7712">
        <v>1</v>
      </c>
      <c r="AQ7712">
        <v>1</v>
      </c>
      <c r="AR7712">
        <v>1</v>
      </c>
      <c r="AS7712">
        <v>0</v>
      </c>
      <c r="AT7712">
        <v>1</v>
      </c>
      <c r="AV7712">
        <v>1</v>
      </c>
      <c r="AW7712">
        <v>1</v>
      </c>
    </row>
    <row r="7713" spans="1:49" x14ac:dyDescent="0.25">
      <c r="A7713" t="str">
        <f>"7709"</f>
        <v>7709</v>
      </c>
      <c r="B7713" t="str">
        <f t="shared" si="449"/>
        <v>1</v>
      </c>
      <c r="C7713" t="str">
        <f t="shared" si="448"/>
        <v>337</v>
      </c>
      <c r="D7713" t="str">
        <f>"10"</f>
        <v>10</v>
      </c>
      <c r="E7713" t="str">
        <f>"1-337-10"</f>
        <v>1-337-10</v>
      </c>
      <c r="F7713" t="s">
        <v>83</v>
      </c>
      <c r="G7713" t="s">
        <v>84</v>
      </c>
      <c r="H7713" t="s">
        <v>85</v>
      </c>
      <c r="AC7713">
        <v>1</v>
      </c>
      <c r="AD7713">
        <v>0</v>
      </c>
      <c r="AE7713">
        <v>0</v>
      </c>
      <c r="AF7713">
        <v>0</v>
      </c>
      <c r="AG7713">
        <v>1</v>
      </c>
      <c r="AJ7713">
        <v>1</v>
      </c>
      <c r="AK7713">
        <v>0</v>
      </c>
      <c r="AL7713">
        <v>1</v>
      </c>
      <c r="AM7713">
        <v>0</v>
      </c>
      <c r="AN7713">
        <v>0</v>
      </c>
      <c r="AO7713">
        <v>1</v>
      </c>
      <c r="AP7713">
        <v>1</v>
      </c>
      <c r="AQ7713">
        <v>1</v>
      </c>
      <c r="AR7713">
        <v>1</v>
      </c>
      <c r="AS7713">
        <v>1</v>
      </c>
      <c r="AT7713">
        <v>0</v>
      </c>
      <c r="AV7713">
        <v>1</v>
      </c>
      <c r="AW7713">
        <v>0</v>
      </c>
    </row>
    <row r="7714" spans="1:49" x14ac:dyDescent="0.25">
      <c r="A7714" t="str">
        <f>"7710"</f>
        <v>7710</v>
      </c>
      <c r="B7714" t="str">
        <f t="shared" si="449"/>
        <v>1</v>
      </c>
      <c r="C7714" t="str">
        <f t="shared" si="448"/>
        <v>337</v>
      </c>
      <c r="D7714" t="str">
        <f>"1"</f>
        <v>1</v>
      </c>
      <c r="E7714" t="str">
        <f>"1-337-1"</f>
        <v>1-337-1</v>
      </c>
      <c r="F7714" t="s">
        <v>83</v>
      </c>
      <c r="G7714" t="s">
        <v>84</v>
      </c>
      <c r="H7714" t="s">
        <v>85</v>
      </c>
      <c r="AC7714">
        <v>1</v>
      </c>
      <c r="AD7714">
        <v>0</v>
      </c>
      <c r="AE7714">
        <v>0</v>
      </c>
      <c r="AF7714">
        <v>0</v>
      </c>
      <c r="AG7714">
        <v>1</v>
      </c>
      <c r="AJ7714">
        <v>0</v>
      </c>
      <c r="AK7714">
        <v>1</v>
      </c>
      <c r="AL7714">
        <v>0</v>
      </c>
      <c r="AM7714">
        <v>1</v>
      </c>
      <c r="AN7714">
        <v>0</v>
      </c>
      <c r="AO7714">
        <v>1</v>
      </c>
      <c r="AP7714">
        <v>1</v>
      </c>
      <c r="AQ7714">
        <v>1</v>
      </c>
      <c r="AR7714">
        <v>1</v>
      </c>
      <c r="AS7714">
        <v>0</v>
      </c>
      <c r="AT7714">
        <v>1</v>
      </c>
      <c r="AV7714">
        <v>1</v>
      </c>
      <c r="AW7714">
        <v>1</v>
      </c>
    </row>
    <row r="7715" spans="1:49" x14ac:dyDescent="0.25">
      <c r="A7715" t="str">
        <f>"7711"</f>
        <v>7711</v>
      </c>
      <c r="B7715" t="str">
        <f t="shared" si="449"/>
        <v>1</v>
      </c>
      <c r="C7715" t="str">
        <f t="shared" si="448"/>
        <v>337</v>
      </c>
      <c r="D7715" t="str">
        <f>"16"</f>
        <v>16</v>
      </c>
      <c r="E7715" t="str">
        <f>"1-337-16"</f>
        <v>1-337-16</v>
      </c>
      <c r="F7715" t="s">
        <v>83</v>
      </c>
      <c r="G7715" t="s">
        <v>84</v>
      </c>
      <c r="H7715" t="s">
        <v>85</v>
      </c>
      <c r="AC7715">
        <v>1</v>
      </c>
      <c r="AD7715">
        <v>0</v>
      </c>
      <c r="AE7715">
        <v>0</v>
      </c>
      <c r="AF7715">
        <v>0</v>
      </c>
      <c r="AG7715">
        <v>1</v>
      </c>
      <c r="AJ7715">
        <v>1</v>
      </c>
      <c r="AK7715">
        <v>0</v>
      </c>
      <c r="AL7715">
        <v>1</v>
      </c>
      <c r="AM7715">
        <v>0</v>
      </c>
      <c r="AN7715">
        <v>0</v>
      </c>
      <c r="AO7715">
        <v>1</v>
      </c>
      <c r="AP7715">
        <v>1</v>
      </c>
      <c r="AQ7715">
        <v>1</v>
      </c>
      <c r="AR7715">
        <v>1</v>
      </c>
      <c r="AS7715">
        <v>1</v>
      </c>
      <c r="AT7715">
        <v>0</v>
      </c>
      <c r="AV7715">
        <v>1</v>
      </c>
      <c r="AW7715">
        <v>1</v>
      </c>
    </row>
    <row r="7716" spans="1:49" x14ac:dyDescent="0.25">
      <c r="A7716" t="str">
        <f>"7712"</f>
        <v>7712</v>
      </c>
      <c r="B7716" t="str">
        <f t="shared" si="449"/>
        <v>1</v>
      </c>
      <c r="C7716" t="str">
        <f t="shared" si="448"/>
        <v>337</v>
      </c>
      <c r="D7716" t="str">
        <f>"11"</f>
        <v>11</v>
      </c>
      <c r="E7716" t="str">
        <f>"1-337-11"</f>
        <v>1-337-11</v>
      </c>
      <c r="F7716" t="s">
        <v>83</v>
      </c>
      <c r="G7716" t="s">
        <v>84</v>
      </c>
      <c r="H7716" t="s">
        <v>85</v>
      </c>
      <c r="AC7716">
        <v>1</v>
      </c>
      <c r="AD7716">
        <v>0</v>
      </c>
      <c r="AE7716">
        <v>0</v>
      </c>
      <c r="AF7716">
        <v>0</v>
      </c>
      <c r="AG7716">
        <v>1</v>
      </c>
      <c r="AJ7716">
        <v>1</v>
      </c>
      <c r="AK7716">
        <v>0</v>
      </c>
      <c r="AL7716">
        <v>0</v>
      </c>
      <c r="AM7716">
        <v>0</v>
      </c>
      <c r="AN7716">
        <v>1</v>
      </c>
      <c r="AO7716">
        <v>1</v>
      </c>
      <c r="AP7716">
        <v>1</v>
      </c>
      <c r="AQ7716">
        <v>1</v>
      </c>
      <c r="AR7716">
        <v>1</v>
      </c>
      <c r="AS7716">
        <v>1</v>
      </c>
      <c r="AT7716">
        <v>0</v>
      </c>
      <c r="AV7716">
        <v>1</v>
      </c>
      <c r="AW7716">
        <v>1</v>
      </c>
    </row>
    <row r="7717" spans="1:49" x14ac:dyDescent="0.25">
      <c r="A7717" t="str">
        <f>"7713"</f>
        <v>7713</v>
      </c>
      <c r="B7717" t="str">
        <f t="shared" si="449"/>
        <v>1</v>
      </c>
      <c r="C7717" t="str">
        <f t="shared" si="448"/>
        <v>337</v>
      </c>
      <c r="D7717" t="str">
        <f>"6"</f>
        <v>6</v>
      </c>
      <c r="E7717" t="str">
        <f>"1-337-6"</f>
        <v>1-337-6</v>
      </c>
      <c r="F7717" t="s">
        <v>83</v>
      </c>
      <c r="G7717" t="s">
        <v>84</v>
      </c>
      <c r="H7717" t="s">
        <v>85</v>
      </c>
      <c r="AC7717">
        <v>0</v>
      </c>
      <c r="AD7717">
        <v>1</v>
      </c>
      <c r="AE7717">
        <v>0</v>
      </c>
      <c r="AF7717">
        <v>0</v>
      </c>
      <c r="AG7717">
        <v>1</v>
      </c>
      <c r="AJ7717">
        <v>1</v>
      </c>
      <c r="AK7717">
        <v>0</v>
      </c>
      <c r="AL7717">
        <v>1</v>
      </c>
      <c r="AM7717">
        <v>0</v>
      </c>
      <c r="AN7717">
        <v>0</v>
      </c>
      <c r="AO7717">
        <v>1</v>
      </c>
      <c r="AP7717">
        <v>1</v>
      </c>
      <c r="AQ7717">
        <v>1</v>
      </c>
      <c r="AR7717">
        <v>1</v>
      </c>
      <c r="AS7717">
        <v>1</v>
      </c>
      <c r="AT7717">
        <v>0</v>
      </c>
      <c r="AV7717">
        <v>1</v>
      </c>
      <c r="AW7717">
        <v>1</v>
      </c>
    </row>
    <row r="7718" spans="1:49" x14ac:dyDescent="0.25">
      <c r="A7718" t="str">
        <f>"7714"</f>
        <v>7714</v>
      </c>
      <c r="B7718" t="str">
        <f t="shared" si="449"/>
        <v>1</v>
      </c>
      <c r="C7718" t="str">
        <f t="shared" si="448"/>
        <v>337</v>
      </c>
      <c r="D7718" t="str">
        <f>"17"</f>
        <v>17</v>
      </c>
      <c r="E7718" t="str">
        <f>"1-337-17"</f>
        <v>1-337-17</v>
      </c>
      <c r="F7718" t="s">
        <v>83</v>
      </c>
      <c r="G7718" t="s">
        <v>84</v>
      </c>
      <c r="H7718" t="s">
        <v>85</v>
      </c>
      <c r="AC7718">
        <v>0</v>
      </c>
      <c r="AD7718">
        <v>1</v>
      </c>
      <c r="AE7718">
        <v>0</v>
      </c>
      <c r="AF7718">
        <v>0</v>
      </c>
      <c r="AG7718">
        <v>1</v>
      </c>
      <c r="AJ7718">
        <v>0</v>
      </c>
      <c r="AK7718">
        <v>1</v>
      </c>
      <c r="AL7718">
        <v>0</v>
      </c>
      <c r="AM7718">
        <v>0</v>
      </c>
      <c r="AN7718">
        <v>0</v>
      </c>
      <c r="AO7718">
        <v>0</v>
      </c>
      <c r="AP7718">
        <v>0</v>
      </c>
      <c r="AQ7718">
        <v>0</v>
      </c>
      <c r="AR7718">
        <v>0</v>
      </c>
      <c r="AS7718">
        <v>0</v>
      </c>
      <c r="AT7718">
        <v>0</v>
      </c>
      <c r="AV7718">
        <v>0</v>
      </c>
      <c r="AW7718">
        <v>0</v>
      </c>
    </row>
    <row r="7719" spans="1:49" x14ac:dyDescent="0.25">
      <c r="A7719" t="str">
        <f>"7715"</f>
        <v>7715</v>
      </c>
      <c r="B7719" t="str">
        <f t="shared" si="449"/>
        <v>1</v>
      </c>
      <c r="C7719" t="str">
        <f t="shared" si="448"/>
        <v>337</v>
      </c>
      <c r="D7719" t="str">
        <f>"12"</f>
        <v>12</v>
      </c>
      <c r="E7719" t="str">
        <f>"1-337-12"</f>
        <v>1-337-12</v>
      </c>
      <c r="F7719" t="s">
        <v>83</v>
      </c>
      <c r="G7719" t="s">
        <v>84</v>
      </c>
      <c r="H7719" t="s">
        <v>85</v>
      </c>
      <c r="AC7719">
        <v>1</v>
      </c>
      <c r="AD7719">
        <v>0</v>
      </c>
      <c r="AE7719">
        <v>0</v>
      </c>
      <c r="AF7719">
        <v>0</v>
      </c>
      <c r="AG7719">
        <v>0</v>
      </c>
      <c r="AJ7719">
        <v>0</v>
      </c>
      <c r="AK7719">
        <v>1</v>
      </c>
      <c r="AL7719">
        <v>0</v>
      </c>
      <c r="AM7719">
        <v>1</v>
      </c>
      <c r="AN7719">
        <v>0</v>
      </c>
      <c r="AO7719">
        <v>0</v>
      </c>
      <c r="AP7719">
        <v>0</v>
      </c>
      <c r="AQ7719">
        <v>0</v>
      </c>
      <c r="AR7719">
        <v>0</v>
      </c>
      <c r="AS7719">
        <v>1</v>
      </c>
      <c r="AT7719">
        <v>0</v>
      </c>
      <c r="AV7719">
        <v>0</v>
      </c>
      <c r="AW7719">
        <v>0</v>
      </c>
    </row>
    <row r="7720" spans="1:49" x14ac:dyDescent="0.25">
      <c r="A7720" t="str">
        <f>"7716"</f>
        <v>7716</v>
      </c>
      <c r="B7720" t="str">
        <f t="shared" si="449"/>
        <v>1</v>
      </c>
      <c r="C7720" t="str">
        <f t="shared" si="448"/>
        <v>337</v>
      </c>
      <c r="D7720" t="str">
        <f>"2"</f>
        <v>2</v>
      </c>
      <c r="E7720" t="str">
        <f>"1-337-2"</f>
        <v>1-337-2</v>
      </c>
      <c r="F7720" t="s">
        <v>83</v>
      </c>
      <c r="G7720" t="s">
        <v>84</v>
      </c>
      <c r="H7720" t="s">
        <v>85</v>
      </c>
      <c r="AC7720">
        <v>1</v>
      </c>
      <c r="AD7720">
        <v>0</v>
      </c>
      <c r="AE7720">
        <v>0</v>
      </c>
      <c r="AF7720">
        <v>0</v>
      </c>
      <c r="AG7720">
        <v>0</v>
      </c>
      <c r="AJ7720">
        <v>1</v>
      </c>
      <c r="AK7720">
        <v>0</v>
      </c>
      <c r="AL7720">
        <v>1</v>
      </c>
      <c r="AM7720">
        <v>0</v>
      </c>
      <c r="AN7720">
        <v>0</v>
      </c>
      <c r="AO7720">
        <v>0</v>
      </c>
      <c r="AP7720">
        <v>0</v>
      </c>
      <c r="AQ7720">
        <v>0</v>
      </c>
      <c r="AR7720">
        <v>0</v>
      </c>
      <c r="AS7720">
        <v>0</v>
      </c>
      <c r="AT7720">
        <v>1</v>
      </c>
      <c r="AV7720">
        <v>0</v>
      </c>
      <c r="AW7720">
        <v>1</v>
      </c>
    </row>
    <row r="7721" spans="1:49" x14ac:dyDescent="0.25">
      <c r="A7721" t="str">
        <f>"7717"</f>
        <v>7717</v>
      </c>
      <c r="B7721" t="str">
        <f t="shared" si="449"/>
        <v>1</v>
      </c>
      <c r="C7721" t="str">
        <f t="shared" si="448"/>
        <v>337</v>
      </c>
      <c r="D7721" t="str">
        <f>"18"</f>
        <v>18</v>
      </c>
      <c r="E7721" t="str">
        <f>"1-337-18"</f>
        <v>1-337-18</v>
      </c>
      <c r="F7721" t="s">
        <v>83</v>
      </c>
      <c r="G7721" t="s">
        <v>84</v>
      </c>
      <c r="H7721" t="s">
        <v>85</v>
      </c>
      <c r="AC7721">
        <v>0</v>
      </c>
      <c r="AD7721">
        <v>1</v>
      </c>
      <c r="AE7721">
        <v>0</v>
      </c>
      <c r="AF7721">
        <v>0</v>
      </c>
      <c r="AG7721">
        <v>1</v>
      </c>
      <c r="AJ7721">
        <v>0</v>
      </c>
      <c r="AK7721">
        <v>1</v>
      </c>
      <c r="AL7721">
        <v>0</v>
      </c>
      <c r="AM7721">
        <v>0</v>
      </c>
      <c r="AN7721">
        <v>1</v>
      </c>
      <c r="AO7721">
        <v>1</v>
      </c>
      <c r="AP7721">
        <v>1</v>
      </c>
      <c r="AQ7721">
        <v>1</v>
      </c>
      <c r="AR7721">
        <v>1</v>
      </c>
      <c r="AS7721">
        <v>1</v>
      </c>
      <c r="AT7721">
        <v>0</v>
      </c>
      <c r="AV7721">
        <v>1</v>
      </c>
      <c r="AW7721">
        <v>1</v>
      </c>
    </row>
    <row r="7722" spans="1:49" x14ac:dyDescent="0.25">
      <c r="A7722" t="str">
        <f>"7718"</f>
        <v>7718</v>
      </c>
      <c r="B7722" t="str">
        <f t="shared" si="449"/>
        <v>1</v>
      </c>
      <c r="C7722" t="str">
        <f t="shared" si="448"/>
        <v>337</v>
      </c>
      <c r="D7722" t="str">
        <f>"5"</f>
        <v>5</v>
      </c>
      <c r="E7722" t="str">
        <f>"1-337-5"</f>
        <v>1-337-5</v>
      </c>
      <c r="F7722" t="s">
        <v>83</v>
      </c>
      <c r="G7722" t="s">
        <v>84</v>
      </c>
      <c r="H7722" t="s">
        <v>85</v>
      </c>
      <c r="AC7722">
        <v>1</v>
      </c>
      <c r="AD7722">
        <v>0</v>
      </c>
      <c r="AE7722">
        <v>0</v>
      </c>
      <c r="AF7722">
        <v>0</v>
      </c>
      <c r="AG7722">
        <v>1</v>
      </c>
      <c r="AJ7722">
        <v>1</v>
      </c>
      <c r="AK7722">
        <v>0</v>
      </c>
      <c r="AL7722">
        <v>0</v>
      </c>
      <c r="AM7722">
        <v>1</v>
      </c>
      <c r="AN7722">
        <v>0</v>
      </c>
      <c r="AO7722">
        <v>1</v>
      </c>
      <c r="AP7722">
        <v>1</v>
      </c>
      <c r="AQ7722">
        <v>1</v>
      </c>
      <c r="AR7722">
        <v>1</v>
      </c>
      <c r="AS7722">
        <v>0</v>
      </c>
      <c r="AT7722">
        <v>1</v>
      </c>
      <c r="AV7722">
        <v>1</v>
      </c>
      <c r="AW7722">
        <v>0</v>
      </c>
    </row>
    <row r="7723" spans="1:49" x14ac:dyDescent="0.25">
      <c r="A7723" t="str">
        <f>"7719"</f>
        <v>7719</v>
      </c>
      <c r="B7723" t="str">
        <f t="shared" si="449"/>
        <v>1</v>
      </c>
      <c r="C7723" t="str">
        <f t="shared" si="448"/>
        <v>337</v>
      </c>
      <c r="D7723" t="str">
        <f>"19"</f>
        <v>19</v>
      </c>
      <c r="E7723" t="str">
        <f>"1-337-19"</f>
        <v>1-337-19</v>
      </c>
      <c r="F7723" t="s">
        <v>83</v>
      </c>
      <c r="G7723" t="s">
        <v>84</v>
      </c>
      <c r="H7723" t="s">
        <v>85</v>
      </c>
      <c r="AC7723">
        <v>1</v>
      </c>
      <c r="AD7723">
        <v>0</v>
      </c>
      <c r="AE7723">
        <v>0</v>
      </c>
      <c r="AF7723">
        <v>0</v>
      </c>
      <c r="AG7723">
        <v>1</v>
      </c>
      <c r="AJ7723">
        <v>1</v>
      </c>
      <c r="AK7723">
        <v>0</v>
      </c>
      <c r="AL7723">
        <v>0</v>
      </c>
      <c r="AM7723">
        <v>0</v>
      </c>
      <c r="AN7723">
        <v>1</v>
      </c>
      <c r="AO7723">
        <v>1</v>
      </c>
      <c r="AP7723">
        <v>1</v>
      </c>
      <c r="AQ7723">
        <v>1</v>
      </c>
      <c r="AR7723">
        <v>1</v>
      </c>
      <c r="AS7723">
        <v>1</v>
      </c>
      <c r="AT7723">
        <v>0</v>
      </c>
      <c r="AV7723">
        <v>1</v>
      </c>
      <c r="AW7723">
        <v>1</v>
      </c>
    </row>
    <row r="7724" spans="1:49" x14ac:dyDescent="0.25">
      <c r="A7724" t="str">
        <f>"7720"</f>
        <v>7720</v>
      </c>
      <c r="B7724" t="str">
        <f t="shared" si="449"/>
        <v>1</v>
      </c>
      <c r="C7724" t="str">
        <f t="shared" si="448"/>
        <v>337</v>
      </c>
      <c r="D7724" t="str">
        <f>"4"</f>
        <v>4</v>
      </c>
      <c r="E7724" t="str">
        <f>"1-337-4"</f>
        <v>1-337-4</v>
      </c>
      <c r="F7724" t="s">
        <v>83</v>
      </c>
      <c r="G7724" t="s">
        <v>84</v>
      </c>
      <c r="H7724" t="s">
        <v>85</v>
      </c>
      <c r="AC7724">
        <v>1</v>
      </c>
      <c r="AD7724">
        <v>0</v>
      </c>
      <c r="AE7724">
        <v>0</v>
      </c>
      <c r="AF7724">
        <v>0</v>
      </c>
      <c r="AG7724">
        <v>1</v>
      </c>
      <c r="AJ7724">
        <v>1</v>
      </c>
      <c r="AK7724">
        <v>0</v>
      </c>
      <c r="AL7724">
        <v>0</v>
      </c>
      <c r="AM7724">
        <v>1</v>
      </c>
      <c r="AN7724">
        <v>0</v>
      </c>
      <c r="AO7724">
        <v>1</v>
      </c>
      <c r="AP7724">
        <v>1</v>
      </c>
      <c r="AQ7724">
        <v>1</v>
      </c>
      <c r="AR7724">
        <v>1</v>
      </c>
      <c r="AS7724">
        <v>0</v>
      </c>
      <c r="AT7724">
        <v>1</v>
      </c>
      <c r="AV7724">
        <v>0</v>
      </c>
      <c r="AW7724">
        <v>1</v>
      </c>
    </row>
    <row r="7725" spans="1:49" x14ac:dyDescent="0.25">
      <c r="A7725" t="str">
        <f>"7721"</f>
        <v>7721</v>
      </c>
      <c r="B7725" t="str">
        <f t="shared" si="449"/>
        <v>1</v>
      </c>
      <c r="C7725" t="str">
        <f t="shared" ref="C7725:C7745" si="450">"338"</f>
        <v>338</v>
      </c>
      <c r="D7725" t="str">
        <f>"20"</f>
        <v>20</v>
      </c>
      <c r="E7725" t="str">
        <f>"1-338-20"</f>
        <v>1-338-20</v>
      </c>
      <c r="F7725" t="s">
        <v>83</v>
      </c>
      <c r="G7725" t="s">
        <v>84</v>
      </c>
      <c r="H7725" t="s">
        <v>85</v>
      </c>
      <c r="AC7725">
        <v>1</v>
      </c>
      <c r="AD7725">
        <v>0</v>
      </c>
      <c r="AE7725">
        <v>0</v>
      </c>
      <c r="AF7725">
        <v>0</v>
      </c>
      <c r="AG7725">
        <v>1</v>
      </c>
      <c r="AJ7725">
        <v>1</v>
      </c>
      <c r="AK7725">
        <v>0</v>
      </c>
      <c r="AL7725">
        <v>1</v>
      </c>
      <c r="AM7725">
        <v>0</v>
      </c>
      <c r="AN7725">
        <v>0</v>
      </c>
      <c r="AO7725">
        <v>1</v>
      </c>
      <c r="AP7725">
        <v>1</v>
      </c>
      <c r="AQ7725">
        <v>1</v>
      </c>
      <c r="AR7725">
        <v>1</v>
      </c>
      <c r="AS7725">
        <v>1</v>
      </c>
      <c r="AT7725">
        <v>0</v>
      </c>
      <c r="AV7725">
        <v>1</v>
      </c>
      <c r="AW7725">
        <v>1</v>
      </c>
    </row>
    <row r="7726" spans="1:49" x14ac:dyDescent="0.25">
      <c r="A7726" t="str">
        <f>"7722"</f>
        <v>7722</v>
      </c>
      <c r="B7726" t="str">
        <f t="shared" si="449"/>
        <v>1</v>
      </c>
      <c r="C7726" t="str">
        <f t="shared" si="450"/>
        <v>338</v>
      </c>
      <c r="D7726" t="str">
        <f>"19"</f>
        <v>19</v>
      </c>
      <c r="E7726" t="str">
        <f>"1-338-19"</f>
        <v>1-338-19</v>
      </c>
      <c r="F7726" t="s">
        <v>83</v>
      </c>
      <c r="G7726" t="s">
        <v>84</v>
      </c>
      <c r="H7726" t="s">
        <v>92</v>
      </c>
      <c r="I7726">
        <v>0</v>
      </c>
      <c r="J7726">
        <v>0</v>
      </c>
      <c r="N7726">
        <v>1</v>
      </c>
      <c r="O7726">
        <v>1</v>
      </c>
      <c r="P7726">
        <v>0</v>
      </c>
      <c r="Q7726">
        <v>0</v>
      </c>
      <c r="R7726">
        <v>0</v>
      </c>
      <c r="S7726">
        <v>0</v>
      </c>
      <c r="T7726">
        <v>0</v>
      </c>
      <c r="W7726">
        <v>1</v>
      </c>
      <c r="X7726">
        <v>1</v>
      </c>
      <c r="Y7726">
        <v>1</v>
      </c>
      <c r="Z7726">
        <v>0</v>
      </c>
      <c r="AA7726">
        <v>0</v>
      </c>
      <c r="AB7726">
        <v>1</v>
      </c>
    </row>
    <row r="7727" spans="1:49" x14ac:dyDescent="0.25">
      <c r="A7727" t="str">
        <f>"7723"</f>
        <v>7723</v>
      </c>
      <c r="B7727" t="str">
        <f t="shared" si="449"/>
        <v>1</v>
      </c>
      <c r="C7727" t="str">
        <f t="shared" si="450"/>
        <v>338</v>
      </c>
      <c r="D7727" t="str">
        <f>"13"</f>
        <v>13</v>
      </c>
      <c r="E7727" t="str">
        <f>"1-338-13"</f>
        <v>1-338-13</v>
      </c>
      <c r="F7727" t="s">
        <v>83</v>
      </c>
      <c r="G7727" t="s">
        <v>84</v>
      </c>
      <c r="H7727" t="s">
        <v>85</v>
      </c>
      <c r="AC7727">
        <v>0</v>
      </c>
      <c r="AD7727">
        <v>1</v>
      </c>
      <c r="AE7727">
        <v>0</v>
      </c>
      <c r="AF7727">
        <v>0</v>
      </c>
      <c r="AG7727">
        <v>0</v>
      </c>
      <c r="AJ7727">
        <v>1</v>
      </c>
      <c r="AK7727">
        <v>0</v>
      </c>
      <c r="AL7727">
        <v>1</v>
      </c>
      <c r="AM7727">
        <v>0</v>
      </c>
      <c r="AN7727">
        <v>0</v>
      </c>
      <c r="AO7727">
        <v>0</v>
      </c>
      <c r="AP7727">
        <v>0</v>
      </c>
      <c r="AQ7727">
        <v>0</v>
      </c>
      <c r="AR7727">
        <v>0</v>
      </c>
      <c r="AS7727">
        <v>0</v>
      </c>
      <c r="AT7727">
        <v>0</v>
      </c>
      <c r="AV7727">
        <v>0</v>
      </c>
      <c r="AW7727">
        <v>0</v>
      </c>
    </row>
    <row r="7728" spans="1:49" x14ac:dyDescent="0.25">
      <c r="A7728" t="str">
        <f>"7724"</f>
        <v>7724</v>
      </c>
      <c r="B7728" t="str">
        <f t="shared" si="449"/>
        <v>1</v>
      </c>
      <c r="C7728" t="str">
        <f t="shared" si="450"/>
        <v>338</v>
      </c>
      <c r="D7728" t="str">
        <f>"12"</f>
        <v>12</v>
      </c>
      <c r="E7728" t="str">
        <f>"1-338-12"</f>
        <v>1-338-12</v>
      </c>
      <c r="F7728" t="s">
        <v>83</v>
      </c>
      <c r="G7728" t="s">
        <v>84</v>
      </c>
      <c r="H7728" t="s">
        <v>85</v>
      </c>
      <c r="AC7728">
        <v>1</v>
      </c>
      <c r="AD7728">
        <v>0</v>
      </c>
      <c r="AE7728">
        <v>0</v>
      </c>
      <c r="AF7728">
        <v>0</v>
      </c>
      <c r="AG7728">
        <v>1</v>
      </c>
      <c r="AJ7728">
        <v>1</v>
      </c>
      <c r="AK7728">
        <v>0</v>
      </c>
      <c r="AL7728">
        <v>1</v>
      </c>
      <c r="AM7728">
        <v>0</v>
      </c>
      <c r="AN7728">
        <v>0</v>
      </c>
      <c r="AO7728">
        <v>1</v>
      </c>
      <c r="AP7728">
        <v>1</v>
      </c>
      <c r="AQ7728">
        <v>1</v>
      </c>
      <c r="AR7728">
        <v>0</v>
      </c>
      <c r="AS7728">
        <v>1</v>
      </c>
      <c r="AT7728">
        <v>0</v>
      </c>
      <c r="AV7728">
        <v>1</v>
      </c>
      <c r="AW7728">
        <v>1</v>
      </c>
    </row>
    <row r="7729" spans="1:49" x14ac:dyDescent="0.25">
      <c r="A7729" t="str">
        <f>"7725"</f>
        <v>7725</v>
      </c>
      <c r="B7729" t="str">
        <f t="shared" si="449"/>
        <v>1</v>
      </c>
      <c r="C7729" t="str">
        <f t="shared" si="450"/>
        <v>338</v>
      </c>
      <c r="D7729" t="str">
        <f>"10"</f>
        <v>10</v>
      </c>
      <c r="E7729" t="str">
        <f>"1-338-10"</f>
        <v>1-338-10</v>
      </c>
      <c r="F7729" t="s">
        <v>83</v>
      </c>
      <c r="G7729" t="s">
        <v>84</v>
      </c>
      <c r="H7729" t="s">
        <v>85</v>
      </c>
      <c r="AC7729">
        <v>0</v>
      </c>
      <c r="AD7729">
        <v>0</v>
      </c>
      <c r="AE7729">
        <v>0</v>
      </c>
      <c r="AF7729">
        <v>0</v>
      </c>
      <c r="AG7729">
        <v>0</v>
      </c>
      <c r="AJ7729">
        <v>0</v>
      </c>
      <c r="AK7729">
        <v>0</v>
      </c>
      <c r="AL7729">
        <v>0</v>
      </c>
      <c r="AM7729">
        <v>1</v>
      </c>
      <c r="AN7729">
        <v>0</v>
      </c>
      <c r="AO7729">
        <v>0</v>
      </c>
      <c r="AP7729">
        <v>0</v>
      </c>
      <c r="AQ7729">
        <v>0</v>
      </c>
      <c r="AR7729">
        <v>0</v>
      </c>
      <c r="AS7729">
        <v>0</v>
      </c>
      <c r="AT7729">
        <v>0</v>
      </c>
      <c r="AV7729">
        <v>0</v>
      </c>
      <c r="AW7729">
        <v>1</v>
      </c>
    </row>
    <row r="7730" spans="1:49" x14ac:dyDescent="0.25">
      <c r="A7730" t="str">
        <f>"7726"</f>
        <v>7726</v>
      </c>
      <c r="B7730" t="str">
        <f t="shared" si="449"/>
        <v>1</v>
      </c>
      <c r="C7730" t="str">
        <f t="shared" si="450"/>
        <v>338</v>
      </c>
      <c r="D7730" t="str">
        <f>"8"</f>
        <v>8</v>
      </c>
      <c r="E7730" t="str">
        <f>"1-338-8"</f>
        <v>1-338-8</v>
      </c>
      <c r="F7730" t="s">
        <v>83</v>
      </c>
      <c r="G7730" t="s">
        <v>84</v>
      </c>
      <c r="H7730" t="s">
        <v>85</v>
      </c>
      <c r="AC7730">
        <v>0</v>
      </c>
      <c r="AD7730">
        <v>1</v>
      </c>
      <c r="AE7730">
        <v>0</v>
      </c>
      <c r="AF7730">
        <v>0</v>
      </c>
      <c r="AG7730">
        <v>0</v>
      </c>
      <c r="AJ7730">
        <v>1</v>
      </c>
      <c r="AK7730">
        <v>0</v>
      </c>
      <c r="AL7730">
        <v>0</v>
      </c>
      <c r="AM7730">
        <v>0</v>
      </c>
      <c r="AN7730">
        <v>1</v>
      </c>
      <c r="AO7730">
        <v>0</v>
      </c>
      <c r="AP7730">
        <v>0</v>
      </c>
      <c r="AQ7730">
        <v>0</v>
      </c>
      <c r="AR7730">
        <v>0</v>
      </c>
      <c r="AS7730">
        <v>1</v>
      </c>
      <c r="AT7730">
        <v>0</v>
      </c>
      <c r="AV7730">
        <v>0</v>
      </c>
      <c r="AW7730">
        <v>0</v>
      </c>
    </row>
    <row r="7731" spans="1:49" x14ac:dyDescent="0.25">
      <c r="A7731" t="str">
        <f>"7727"</f>
        <v>7727</v>
      </c>
      <c r="B7731" t="str">
        <f t="shared" si="449"/>
        <v>1</v>
      </c>
      <c r="C7731" t="str">
        <f t="shared" si="450"/>
        <v>338</v>
      </c>
      <c r="D7731" t="str">
        <f>"2"</f>
        <v>2</v>
      </c>
      <c r="E7731" t="str">
        <f>"1-338-2"</f>
        <v>1-338-2</v>
      </c>
      <c r="F7731" t="s">
        <v>83</v>
      </c>
      <c r="G7731" t="s">
        <v>84</v>
      </c>
      <c r="H7731" t="s">
        <v>85</v>
      </c>
      <c r="AC7731">
        <v>0</v>
      </c>
      <c r="AD7731">
        <v>1</v>
      </c>
      <c r="AE7731">
        <v>0</v>
      </c>
      <c r="AF7731">
        <v>0</v>
      </c>
      <c r="AG7731">
        <v>0</v>
      </c>
      <c r="AJ7731">
        <v>0</v>
      </c>
      <c r="AK7731">
        <v>1</v>
      </c>
      <c r="AL7731">
        <v>0</v>
      </c>
      <c r="AM7731">
        <v>0</v>
      </c>
      <c r="AN7731">
        <v>1</v>
      </c>
      <c r="AO7731">
        <v>0</v>
      </c>
      <c r="AP7731">
        <v>0</v>
      </c>
      <c r="AQ7731">
        <v>0</v>
      </c>
      <c r="AR7731">
        <v>0</v>
      </c>
      <c r="AS7731">
        <v>0</v>
      </c>
      <c r="AT7731">
        <v>1</v>
      </c>
      <c r="AV7731">
        <v>0</v>
      </c>
      <c r="AW7731">
        <v>0</v>
      </c>
    </row>
    <row r="7732" spans="1:49" x14ac:dyDescent="0.25">
      <c r="A7732" t="str">
        <f>"7728"</f>
        <v>7728</v>
      </c>
      <c r="B7732" t="str">
        <f t="shared" si="449"/>
        <v>1</v>
      </c>
      <c r="C7732" t="str">
        <f t="shared" si="450"/>
        <v>338</v>
      </c>
      <c r="D7732" t="str">
        <f>"14"</f>
        <v>14</v>
      </c>
      <c r="E7732" t="str">
        <f>"1-338-14"</f>
        <v>1-338-14</v>
      </c>
      <c r="F7732" t="s">
        <v>83</v>
      </c>
      <c r="G7732" t="s">
        <v>84</v>
      </c>
      <c r="H7732" t="s">
        <v>92</v>
      </c>
      <c r="I7732">
        <v>1</v>
      </c>
      <c r="J7732">
        <v>1</v>
      </c>
      <c r="N7732">
        <v>1</v>
      </c>
      <c r="O7732">
        <v>1</v>
      </c>
      <c r="P7732">
        <v>1</v>
      </c>
      <c r="Q7732">
        <v>1</v>
      </c>
      <c r="R7732">
        <v>1</v>
      </c>
      <c r="S7732">
        <v>1</v>
      </c>
      <c r="T7732">
        <v>1</v>
      </c>
      <c r="W7732">
        <v>1</v>
      </c>
      <c r="X7732">
        <v>1</v>
      </c>
      <c r="Y7732">
        <v>1</v>
      </c>
      <c r="Z7732">
        <v>1</v>
      </c>
      <c r="AA7732">
        <v>1</v>
      </c>
      <c r="AB7732">
        <v>1</v>
      </c>
    </row>
    <row r="7733" spans="1:49" x14ac:dyDescent="0.25">
      <c r="A7733" t="str">
        <f>"7729"</f>
        <v>7729</v>
      </c>
      <c r="B7733" t="str">
        <f t="shared" si="449"/>
        <v>1</v>
      </c>
      <c r="C7733" t="str">
        <f t="shared" si="450"/>
        <v>338</v>
      </c>
      <c r="D7733" t="str">
        <f>"9"</f>
        <v>9</v>
      </c>
      <c r="E7733" t="str">
        <f>"1-338-9"</f>
        <v>1-338-9</v>
      </c>
      <c r="F7733" t="s">
        <v>83</v>
      </c>
      <c r="G7733" t="s">
        <v>84</v>
      </c>
      <c r="H7733" t="s">
        <v>85</v>
      </c>
      <c r="AC7733">
        <v>0</v>
      </c>
      <c r="AD7733">
        <v>1</v>
      </c>
      <c r="AE7733">
        <v>0</v>
      </c>
      <c r="AF7733">
        <v>0</v>
      </c>
      <c r="AG7733">
        <v>0</v>
      </c>
      <c r="AJ7733">
        <v>0</v>
      </c>
      <c r="AK7733">
        <v>1</v>
      </c>
      <c r="AL7733">
        <v>0</v>
      </c>
      <c r="AM7733">
        <v>0</v>
      </c>
      <c r="AN7733">
        <v>1</v>
      </c>
      <c r="AO7733">
        <v>0</v>
      </c>
      <c r="AP7733">
        <v>0</v>
      </c>
      <c r="AQ7733">
        <v>0</v>
      </c>
      <c r="AR7733">
        <v>0</v>
      </c>
      <c r="AS7733">
        <v>0</v>
      </c>
      <c r="AT7733">
        <v>0</v>
      </c>
      <c r="AV7733">
        <v>0</v>
      </c>
      <c r="AW7733">
        <v>0</v>
      </c>
    </row>
    <row r="7734" spans="1:49" x14ac:dyDescent="0.25">
      <c r="A7734" t="str">
        <f>"7730"</f>
        <v>7730</v>
      </c>
      <c r="B7734" t="str">
        <f t="shared" si="449"/>
        <v>1</v>
      </c>
      <c r="C7734" t="str">
        <f t="shared" si="450"/>
        <v>338</v>
      </c>
      <c r="D7734" t="str">
        <f>"4"</f>
        <v>4</v>
      </c>
      <c r="E7734" t="str">
        <f>"1-338-4"</f>
        <v>1-338-4</v>
      </c>
      <c r="F7734" t="s">
        <v>83</v>
      </c>
      <c r="G7734" t="s">
        <v>84</v>
      </c>
      <c r="H7734" t="s">
        <v>92</v>
      </c>
      <c r="I7734">
        <v>0</v>
      </c>
      <c r="J7734">
        <v>0</v>
      </c>
      <c r="N7734">
        <v>1</v>
      </c>
      <c r="O7734">
        <v>1</v>
      </c>
      <c r="P7734">
        <v>1</v>
      </c>
      <c r="Q7734">
        <v>1</v>
      </c>
      <c r="R7734">
        <v>1</v>
      </c>
      <c r="S7734">
        <v>1</v>
      </c>
      <c r="T7734">
        <v>1</v>
      </c>
      <c r="W7734">
        <v>1</v>
      </c>
      <c r="X7734">
        <v>1</v>
      </c>
      <c r="Y7734">
        <v>1</v>
      </c>
      <c r="Z7734">
        <v>1</v>
      </c>
      <c r="AA7734">
        <v>1</v>
      </c>
      <c r="AB7734">
        <v>1</v>
      </c>
    </row>
    <row r="7735" spans="1:49" x14ac:dyDescent="0.25">
      <c r="A7735" t="str">
        <f>"7731"</f>
        <v>7731</v>
      </c>
      <c r="B7735" t="str">
        <f t="shared" si="449"/>
        <v>1</v>
      </c>
      <c r="C7735" t="str">
        <f t="shared" si="450"/>
        <v>338</v>
      </c>
      <c r="D7735" t="str">
        <f>"18"</f>
        <v>18</v>
      </c>
      <c r="E7735" t="str">
        <f>"1-338-18"</f>
        <v>1-338-18</v>
      </c>
      <c r="F7735" t="s">
        <v>83</v>
      </c>
      <c r="G7735" t="s">
        <v>84</v>
      </c>
      <c r="H7735" t="s">
        <v>85</v>
      </c>
      <c r="AC7735">
        <v>0</v>
      </c>
      <c r="AD7735">
        <v>1</v>
      </c>
      <c r="AE7735">
        <v>0</v>
      </c>
      <c r="AF7735">
        <v>0</v>
      </c>
      <c r="AG7735">
        <v>1</v>
      </c>
      <c r="AJ7735">
        <v>1</v>
      </c>
      <c r="AK7735">
        <v>0</v>
      </c>
      <c r="AL7735">
        <v>0</v>
      </c>
      <c r="AM7735">
        <v>1</v>
      </c>
      <c r="AN7735">
        <v>0</v>
      </c>
      <c r="AO7735">
        <v>1</v>
      </c>
      <c r="AP7735">
        <v>1</v>
      </c>
      <c r="AQ7735">
        <v>1</v>
      </c>
      <c r="AR7735">
        <v>1</v>
      </c>
      <c r="AS7735">
        <v>0</v>
      </c>
      <c r="AT7735">
        <v>1</v>
      </c>
      <c r="AV7735">
        <v>1</v>
      </c>
      <c r="AW7735">
        <v>1</v>
      </c>
    </row>
    <row r="7736" spans="1:49" x14ac:dyDescent="0.25">
      <c r="A7736" t="str">
        <f>"7732"</f>
        <v>7732</v>
      </c>
      <c r="B7736" t="str">
        <f t="shared" si="449"/>
        <v>1</v>
      </c>
      <c r="C7736" t="str">
        <f t="shared" si="450"/>
        <v>338</v>
      </c>
      <c r="D7736" t="str">
        <f>"11"</f>
        <v>11</v>
      </c>
      <c r="E7736" t="str">
        <f>"1-338-11"</f>
        <v>1-338-11</v>
      </c>
      <c r="F7736" t="s">
        <v>83</v>
      </c>
      <c r="G7736" t="s">
        <v>84</v>
      </c>
      <c r="H7736" t="s">
        <v>92</v>
      </c>
      <c r="I7736">
        <v>1</v>
      </c>
      <c r="J7736">
        <v>1</v>
      </c>
      <c r="N7736">
        <v>1</v>
      </c>
      <c r="O7736">
        <v>1</v>
      </c>
      <c r="P7736">
        <v>1</v>
      </c>
      <c r="Q7736">
        <v>1</v>
      </c>
      <c r="R7736">
        <v>1</v>
      </c>
      <c r="S7736">
        <v>1</v>
      </c>
      <c r="T7736">
        <v>1</v>
      </c>
      <c r="W7736">
        <v>1</v>
      </c>
      <c r="X7736">
        <v>1</v>
      </c>
      <c r="Y7736">
        <v>1</v>
      </c>
      <c r="Z7736">
        <v>1</v>
      </c>
      <c r="AA7736">
        <v>1</v>
      </c>
      <c r="AB7736">
        <v>1</v>
      </c>
    </row>
    <row r="7737" spans="1:49" x14ac:dyDescent="0.25">
      <c r="A7737" t="str">
        <f>"7733"</f>
        <v>7733</v>
      </c>
      <c r="B7737" t="str">
        <f t="shared" si="449"/>
        <v>1</v>
      </c>
      <c r="C7737" t="str">
        <f t="shared" si="450"/>
        <v>338</v>
      </c>
      <c r="D7737" t="str">
        <f>"6"</f>
        <v>6</v>
      </c>
      <c r="E7737" t="str">
        <f>"1-338-6"</f>
        <v>1-338-6</v>
      </c>
      <c r="F7737" t="s">
        <v>83</v>
      </c>
      <c r="G7737" t="s">
        <v>84</v>
      </c>
      <c r="H7737" t="s">
        <v>92</v>
      </c>
      <c r="I7737">
        <v>0</v>
      </c>
      <c r="J7737">
        <v>1</v>
      </c>
      <c r="N7737">
        <v>0</v>
      </c>
      <c r="O7737">
        <v>1</v>
      </c>
      <c r="P7737">
        <v>1</v>
      </c>
      <c r="Q7737">
        <v>0</v>
      </c>
      <c r="R7737">
        <v>0</v>
      </c>
      <c r="S7737">
        <v>1</v>
      </c>
      <c r="T7737">
        <v>0</v>
      </c>
      <c r="W7737">
        <v>1</v>
      </c>
      <c r="X7737">
        <v>0</v>
      </c>
      <c r="Y7737">
        <v>1</v>
      </c>
      <c r="Z7737">
        <v>0</v>
      </c>
      <c r="AA7737">
        <v>0</v>
      </c>
      <c r="AB7737">
        <v>0</v>
      </c>
    </row>
    <row r="7738" spans="1:49" x14ac:dyDescent="0.25">
      <c r="A7738" t="str">
        <f>"7734"</f>
        <v>7734</v>
      </c>
      <c r="B7738" t="str">
        <f t="shared" si="449"/>
        <v>1</v>
      </c>
      <c r="C7738" t="str">
        <f t="shared" si="450"/>
        <v>338</v>
      </c>
      <c r="D7738" t="str">
        <f>"15"</f>
        <v>15</v>
      </c>
      <c r="E7738" t="str">
        <f>"1-338-15"</f>
        <v>1-338-15</v>
      </c>
      <c r="F7738" t="s">
        <v>83</v>
      </c>
      <c r="G7738" t="s">
        <v>84</v>
      </c>
      <c r="H7738" t="s">
        <v>92</v>
      </c>
      <c r="I7738">
        <v>1</v>
      </c>
      <c r="J7738">
        <v>1</v>
      </c>
      <c r="N7738">
        <v>1</v>
      </c>
      <c r="O7738">
        <v>1</v>
      </c>
      <c r="P7738">
        <v>1</v>
      </c>
      <c r="Q7738">
        <v>1</v>
      </c>
      <c r="R7738">
        <v>1</v>
      </c>
      <c r="S7738">
        <v>1</v>
      </c>
      <c r="T7738">
        <v>1</v>
      </c>
      <c r="W7738">
        <v>1</v>
      </c>
      <c r="X7738">
        <v>1</v>
      </c>
      <c r="Y7738">
        <v>1</v>
      </c>
      <c r="Z7738">
        <v>1</v>
      </c>
      <c r="AA7738">
        <v>1</v>
      </c>
      <c r="AB7738">
        <v>0</v>
      </c>
    </row>
    <row r="7739" spans="1:49" x14ac:dyDescent="0.25">
      <c r="A7739" t="str">
        <f>"7735"</f>
        <v>7735</v>
      </c>
      <c r="B7739" t="str">
        <f t="shared" si="449"/>
        <v>1</v>
      </c>
      <c r="C7739" t="str">
        <f t="shared" si="450"/>
        <v>338</v>
      </c>
      <c r="D7739" t="str">
        <f>"5"</f>
        <v>5</v>
      </c>
      <c r="E7739" t="str">
        <f>"1-338-5"</f>
        <v>1-338-5</v>
      </c>
      <c r="F7739" t="s">
        <v>83</v>
      </c>
      <c r="G7739" t="s">
        <v>84</v>
      </c>
      <c r="H7739" t="s">
        <v>92</v>
      </c>
      <c r="I7739">
        <v>1</v>
      </c>
      <c r="J7739">
        <v>1</v>
      </c>
      <c r="N7739">
        <v>1</v>
      </c>
      <c r="O7739">
        <v>1</v>
      </c>
      <c r="P7739">
        <v>1</v>
      </c>
      <c r="Q7739">
        <v>1</v>
      </c>
      <c r="R7739">
        <v>1</v>
      </c>
      <c r="S7739">
        <v>1</v>
      </c>
      <c r="T7739">
        <v>1</v>
      </c>
      <c r="W7739">
        <v>1</v>
      </c>
      <c r="X7739">
        <v>1</v>
      </c>
      <c r="Y7739">
        <v>1</v>
      </c>
      <c r="Z7739">
        <v>1</v>
      </c>
      <c r="AA7739">
        <v>1</v>
      </c>
      <c r="AB7739">
        <v>1</v>
      </c>
    </row>
    <row r="7740" spans="1:49" x14ac:dyDescent="0.25">
      <c r="A7740" t="str">
        <f>"7736"</f>
        <v>7736</v>
      </c>
      <c r="B7740" t="str">
        <f t="shared" si="449"/>
        <v>1</v>
      </c>
      <c r="C7740" t="str">
        <f t="shared" si="450"/>
        <v>338</v>
      </c>
      <c r="D7740" t="str">
        <f>"16"</f>
        <v>16</v>
      </c>
      <c r="E7740" t="str">
        <f>"1-338-16"</f>
        <v>1-338-16</v>
      </c>
      <c r="F7740" t="s">
        <v>83</v>
      </c>
      <c r="G7740" t="s">
        <v>84</v>
      </c>
      <c r="H7740" t="s">
        <v>92</v>
      </c>
      <c r="I7740">
        <v>1</v>
      </c>
      <c r="J7740">
        <v>1</v>
      </c>
      <c r="N7740">
        <v>1</v>
      </c>
      <c r="O7740">
        <v>1</v>
      </c>
      <c r="P7740">
        <v>1</v>
      </c>
      <c r="Q7740">
        <v>1</v>
      </c>
      <c r="R7740">
        <v>1</v>
      </c>
      <c r="S7740">
        <v>1</v>
      </c>
      <c r="T7740">
        <v>1</v>
      </c>
      <c r="W7740">
        <v>1</v>
      </c>
      <c r="X7740">
        <v>1</v>
      </c>
      <c r="Y7740">
        <v>1</v>
      </c>
      <c r="Z7740">
        <v>1</v>
      </c>
      <c r="AA7740">
        <v>1</v>
      </c>
      <c r="AB7740">
        <v>1</v>
      </c>
    </row>
    <row r="7741" spans="1:49" x14ac:dyDescent="0.25">
      <c r="A7741" t="str">
        <f>"7737"</f>
        <v>7737</v>
      </c>
      <c r="B7741" t="str">
        <f t="shared" si="449"/>
        <v>1</v>
      </c>
      <c r="C7741" t="str">
        <f t="shared" si="450"/>
        <v>338</v>
      </c>
      <c r="D7741" t="str">
        <f>"1"</f>
        <v>1</v>
      </c>
      <c r="E7741" t="str">
        <f>"1-338-1"</f>
        <v>1-338-1</v>
      </c>
      <c r="F7741" t="s">
        <v>83</v>
      </c>
      <c r="G7741" t="s">
        <v>84</v>
      </c>
      <c r="H7741" t="s">
        <v>85</v>
      </c>
      <c r="AC7741">
        <v>1</v>
      </c>
      <c r="AD7741">
        <v>0</v>
      </c>
      <c r="AE7741">
        <v>0</v>
      </c>
      <c r="AF7741">
        <v>0</v>
      </c>
      <c r="AG7741">
        <v>1</v>
      </c>
      <c r="AJ7741">
        <v>1</v>
      </c>
      <c r="AK7741">
        <v>0</v>
      </c>
      <c r="AL7741">
        <v>0</v>
      </c>
      <c r="AM7741">
        <v>0</v>
      </c>
      <c r="AN7741">
        <v>1</v>
      </c>
      <c r="AO7741">
        <v>1</v>
      </c>
      <c r="AP7741">
        <v>1</v>
      </c>
      <c r="AQ7741">
        <v>1</v>
      </c>
      <c r="AR7741">
        <v>1</v>
      </c>
      <c r="AS7741">
        <v>0</v>
      </c>
      <c r="AT7741">
        <v>1</v>
      </c>
      <c r="AV7741">
        <v>1</v>
      </c>
      <c r="AW7741">
        <v>1</v>
      </c>
    </row>
    <row r="7742" spans="1:49" x14ac:dyDescent="0.25">
      <c r="A7742" t="str">
        <f>"7738"</f>
        <v>7738</v>
      </c>
      <c r="B7742" t="str">
        <f t="shared" si="449"/>
        <v>1</v>
      </c>
      <c r="C7742" t="str">
        <f t="shared" si="450"/>
        <v>338</v>
      </c>
      <c r="D7742" t="str">
        <f>"17"</f>
        <v>17</v>
      </c>
      <c r="E7742" t="str">
        <f>"1-338-17"</f>
        <v>1-338-17</v>
      </c>
      <c r="F7742" t="s">
        <v>83</v>
      </c>
      <c r="G7742" t="s">
        <v>84</v>
      </c>
      <c r="H7742" t="s">
        <v>85</v>
      </c>
      <c r="AC7742">
        <v>0</v>
      </c>
      <c r="AD7742">
        <v>0</v>
      </c>
      <c r="AE7742">
        <v>0</v>
      </c>
      <c r="AF7742">
        <v>0</v>
      </c>
      <c r="AG7742">
        <v>0</v>
      </c>
      <c r="AJ7742">
        <v>0</v>
      </c>
      <c r="AK7742">
        <v>1</v>
      </c>
      <c r="AL7742">
        <v>1</v>
      </c>
      <c r="AM7742">
        <v>0</v>
      </c>
      <c r="AN7742">
        <v>0</v>
      </c>
      <c r="AO7742">
        <v>0</v>
      </c>
      <c r="AP7742">
        <v>0</v>
      </c>
      <c r="AQ7742">
        <v>0</v>
      </c>
      <c r="AR7742">
        <v>0</v>
      </c>
      <c r="AS7742">
        <v>0</v>
      </c>
      <c r="AT7742">
        <v>1</v>
      </c>
      <c r="AV7742">
        <v>0</v>
      </c>
      <c r="AW7742">
        <v>0</v>
      </c>
    </row>
    <row r="7743" spans="1:49" x14ac:dyDescent="0.25">
      <c r="A7743" t="str">
        <f>"7739"</f>
        <v>7739</v>
      </c>
      <c r="B7743" t="str">
        <f t="shared" si="449"/>
        <v>1</v>
      </c>
      <c r="C7743" t="str">
        <f t="shared" si="450"/>
        <v>338</v>
      </c>
      <c r="D7743" t="str">
        <f>"3"</f>
        <v>3</v>
      </c>
      <c r="E7743" t="str">
        <f>"1-338-3"</f>
        <v>1-338-3</v>
      </c>
      <c r="F7743" t="s">
        <v>83</v>
      </c>
      <c r="G7743" t="s">
        <v>84</v>
      </c>
      <c r="H7743" t="s">
        <v>92</v>
      </c>
      <c r="I7743">
        <v>1</v>
      </c>
      <c r="J7743">
        <v>1</v>
      </c>
      <c r="N7743">
        <v>1</v>
      </c>
      <c r="O7743">
        <v>1</v>
      </c>
      <c r="P7743">
        <v>1</v>
      </c>
      <c r="Q7743">
        <v>1</v>
      </c>
      <c r="R7743">
        <v>1</v>
      </c>
      <c r="S7743">
        <v>1</v>
      </c>
      <c r="T7743">
        <v>1</v>
      </c>
      <c r="W7743">
        <v>1</v>
      </c>
      <c r="X7743">
        <v>1</v>
      </c>
      <c r="Y7743">
        <v>1</v>
      </c>
      <c r="Z7743">
        <v>0</v>
      </c>
      <c r="AA7743">
        <v>1</v>
      </c>
      <c r="AB7743">
        <v>1</v>
      </c>
    </row>
    <row r="7744" spans="1:49" x14ac:dyDescent="0.25">
      <c r="A7744" t="str">
        <f>"7740"</f>
        <v>7740</v>
      </c>
      <c r="B7744" t="str">
        <f t="shared" si="449"/>
        <v>1</v>
      </c>
      <c r="C7744" t="str">
        <f t="shared" si="450"/>
        <v>338</v>
      </c>
      <c r="D7744" t="str">
        <f>"21"</f>
        <v>21</v>
      </c>
      <c r="E7744" t="str">
        <f>"1-338-21"</f>
        <v>1-338-21</v>
      </c>
      <c r="F7744" t="s">
        <v>83</v>
      </c>
      <c r="G7744" t="s">
        <v>84</v>
      </c>
      <c r="H7744" t="s">
        <v>85</v>
      </c>
      <c r="AC7744">
        <v>0</v>
      </c>
      <c r="AD7744">
        <v>1</v>
      </c>
      <c r="AE7744">
        <v>0</v>
      </c>
      <c r="AF7744">
        <v>0</v>
      </c>
      <c r="AG7744">
        <v>1</v>
      </c>
      <c r="AJ7744">
        <v>0</v>
      </c>
      <c r="AK7744">
        <v>1</v>
      </c>
      <c r="AL7744">
        <v>0</v>
      </c>
      <c r="AM7744">
        <v>1</v>
      </c>
      <c r="AN7744">
        <v>0</v>
      </c>
      <c r="AO7744">
        <v>1</v>
      </c>
      <c r="AP7744">
        <v>1</v>
      </c>
      <c r="AQ7744">
        <v>1</v>
      </c>
      <c r="AR7744">
        <v>1</v>
      </c>
      <c r="AS7744">
        <v>0</v>
      </c>
      <c r="AT7744">
        <v>1</v>
      </c>
      <c r="AV7744">
        <v>1</v>
      </c>
      <c r="AW7744">
        <v>1</v>
      </c>
    </row>
    <row r="7745" spans="1:49" x14ac:dyDescent="0.25">
      <c r="A7745" t="str">
        <f>"7741"</f>
        <v>7741</v>
      </c>
      <c r="B7745" t="str">
        <f t="shared" si="449"/>
        <v>1</v>
      </c>
      <c r="C7745" t="str">
        <f t="shared" si="450"/>
        <v>338</v>
      </c>
      <c r="D7745" t="str">
        <f>"7"</f>
        <v>7</v>
      </c>
      <c r="E7745" t="str">
        <f>"1-338-7"</f>
        <v>1-338-7</v>
      </c>
      <c r="F7745" t="s">
        <v>83</v>
      </c>
      <c r="G7745" t="s">
        <v>84</v>
      </c>
      <c r="H7745" t="s">
        <v>85</v>
      </c>
      <c r="AC7745">
        <v>0</v>
      </c>
      <c r="AD7745">
        <v>1</v>
      </c>
      <c r="AE7745">
        <v>0</v>
      </c>
      <c r="AF7745">
        <v>0</v>
      </c>
      <c r="AG7745">
        <v>0</v>
      </c>
      <c r="AJ7745">
        <v>0</v>
      </c>
      <c r="AK7745">
        <v>1</v>
      </c>
      <c r="AL7745">
        <v>0</v>
      </c>
      <c r="AM7745">
        <v>0</v>
      </c>
      <c r="AN7745">
        <v>1</v>
      </c>
      <c r="AO7745">
        <v>0</v>
      </c>
      <c r="AP7745">
        <v>0</v>
      </c>
      <c r="AQ7745">
        <v>0</v>
      </c>
      <c r="AR7745">
        <v>1</v>
      </c>
      <c r="AS7745">
        <v>0</v>
      </c>
      <c r="AT7745">
        <v>1</v>
      </c>
      <c r="AV7745">
        <v>0</v>
      </c>
      <c r="AW7745">
        <v>1</v>
      </c>
    </row>
    <row r="7746" spans="1:49" x14ac:dyDescent="0.25">
      <c r="A7746" t="str">
        <f>"7742"</f>
        <v>7742</v>
      </c>
      <c r="B7746" t="str">
        <f t="shared" si="449"/>
        <v>1</v>
      </c>
      <c r="C7746" t="str">
        <f t="shared" ref="C7746:C7770" si="451">"339"</f>
        <v>339</v>
      </c>
      <c r="D7746" t="str">
        <f>"23"</f>
        <v>23</v>
      </c>
      <c r="E7746" t="str">
        <f>"1-339-23"</f>
        <v>1-339-23</v>
      </c>
      <c r="F7746" t="s">
        <v>83</v>
      </c>
      <c r="G7746" t="s">
        <v>84</v>
      </c>
      <c r="H7746" t="s">
        <v>92</v>
      </c>
      <c r="I7746">
        <v>1</v>
      </c>
      <c r="J7746">
        <v>1</v>
      </c>
      <c r="N7746">
        <v>1</v>
      </c>
      <c r="O7746">
        <v>1</v>
      </c>
      <c r="P7746">
        <v>0</v>
      </c>
      <c r="Q7746">
        <v>0</v>
      </c>
      <c r="R7746">
        <v>0</v>
      </c>
      <c r="S7746">
        <v>1</v>
      </c>
      <c r="T7746">
        <v>0</v>
      </c>
      <c r="W7746">
        <v>0</v>
      </c>
      <c r="X7746">
        <v>1</v>
      </c>
      <c r="Y7746">
        <v>1</v>
      </c>
      <c r="Z7746">
        <v>0</v>
      </c>
      <c r="AA7746">
        <v>0</v>
      </c>
      <c r="AB7746">
        <v>1</v>
      </c>
    </row>
    <row r="7747" spans="1:49" s="2" customFormat="1" x14ac:dyDescent="0.25">
      <c r="A7747" s="2" t="str">
        <f>"7743"</f>
        <v>7743</v>
      </c>
      <c r="B7747" s="2" t="str">
        <f t="shared" si="449"/>
        <v>1</v>
      </c>
      <c r="C7747" s="2" t="str">
        <f t="shared" si="451"/>
        <v>339</v>
      </c>
      <c r="D7747" s="2" t="str">
        <f>"22"</f>
        <v>22</v>
      </c>
      <c r="E7747" s="2" t="str">
        <f>"1-339-22"</f>
        <v>1-339-22</v>
      </c>
      <c r="F7747" s="2" t="s">
        <v>83</v>
      </c>
      <c r="G7747" s="2" t="s">
        <v>84</v>
      </c>
      <c r="H7747" s="2" t="s">
        <v>92</v>
      </c>
      <c r="I7747" s="2">
        <v>0</v>
      </c>
      <c r="J7747" s="2">
        <v>0</v>
      </c>
      <c r="N7747" s="2">
        <v>1</v>
      </c>
      <c r="O7747" s="2">
        <v>1</v>
      </c>
      <c r="P7747" s="2">
        <v>0</v>
      </c>
      <c r="Q7747" s="2">
        <v>0</v>
      </c>
      <c r="R7747" s="2">
        <v>0</v>
      </c>
      <c r="S7747" s="2">
        <v>0</v>
      </c>
      <c r="T7747" s="2">
        <v>0</v>
      </c>
      <c r="W7747" s="2">
        <v>1</v>
      </c>
      <c r="X7747" s="2">
        <v>1</v>
      </c>
      <c r="Y7747" s="2">
        <v>1</v>
      </c>
      <c r="Z7747" s="2">
        <v>1</v>
      </c>
      <c r="AA7747" s="2">
        <v>0</v>
      </c>
      <c r="AB7747" s="2">
        <v>1</v>
      </c>
    </row>
    <row r="7748" spans="1:49" x14ac:dyDescent="0.25">
      <c r="A7748" t="str">
        <f>"7744"</f>
        <v>7744</v>
      </c>
      <c r="B7748" t="str">
        <f t="shared" si="449"/>
        <v>1</v>
      </c>
      <c r="C7748" t="str">
        <f t="shared" si="451"/>
        <v>339</v>
      </c>
      <c r="D7748" t="str">
        <f>"13"</f>
        <v>13</v>
      </c>
      <c r="E7748" t="str">
        <f>"1-339-13"</f>
        <v>1-339-13</v>
      </c>
      <c r="F7748" t="s">
        <v>83</v>
      </c>
      <c r="G7748" t="s">
        <v>84</v>
      </c>
      <c r="H7748" t="s">
        <v>92</v>
      </c>
      <c r="I7748">
        <v>1</v>
      </c>
      <c r="J7748">
        <v>1</v>
      </c>
      <c r="N7748">
        <v>1</v>
      </c>
      <c r="O7748">
        <v>1</v>
      </c>
      <c r="P7748">
        <v>1</v>
      </c>
      <c r="Q7748">
        <v>1</v>
      </c>
      <c r="R7748">
        <v>1</v>
      </c>
      <c r="S7748">
        <v>1</v>
      </c>
      <c r="T7748">
        <v>1</v>
      </c>
      <c r="W7748">
        <v>1</v>
      </c>
      <c r="X7748">
        <v>1</v>
      </c>
      <c r="Y7748">
        <v>1</v>
      </c>
      <c r="Z7748">
        <v>1</v>
      </c>
      <c r="AA7748">
        <v>1</v>
      </c>
      <c r="AB7748">
        <v>1</v>
      </c>
    </row>
    <row r="7749" spans="1:49" x14ac:dyDescent="0.25">
      <c r="A7749" t="str">
        <f>"7745"</f>
        <v>7745</v>
      </c>
      <c r="B7749" t="str">
        <f t="shared" si="449"/>
        <v>1</v>
      </c>
      <c r="C7749" t="str">
        <f t="shared" si="451"/>
        <v>339</v>
      </c>
      <c r="D7749" t="str">
        <f>"8"</f>
        <v>8</v>
      </c>
      <c r="E7749" t="str">
        <f>"1-339-8"</f>
        <v>1-339-8</v>
      </c>
      <c r="F7749" t="s">
        <v>83</v>
      </c>
      <c r="G7749" t="s">
        <v>84</v>
      </c>
      <c r="H7749" t="s">
        <v>85</v>
      </c>
      <c r="AC7749">
        <v>0</v>
      </c>
      <c r="AD7749">
        <v>1</v>
      </c>
      <c r="AE7749">
        <v>0</v>
      </c>
      <c r="AF7749">
        <v>0</v>
      </c>
      <c r="AG7749">
        <v>1</v>
      </c>
      <c r="AJ7749">
        <v>0</v>
      </c>
      <c r="AK7749">
        <v>1</v>
      </c>
      <c r="AL7749">
        <v>0</v>
      </c>
      <c r="AM7749">
        <v>0</v>
      </c>
      <c r="AN7749">
        <v>1</v>
      </c>
      <c r="AO7749">
        <v>1</v>
      </c>
      <c r="AP7749">
        <v>1</v>
      </c>
      <c r="AQ7749">
        <v>1</v>
      </c>
      <c r="AR7749">
        <v>1</v>
      </c>
      <c r="AS7749">
        <v>1</v>
      </c>
      <c r="AT7749">
        <v>0</v>
      </c>
      <c r="AV7749">
        <v>1</v>
      </c>
      <c r="AW7749">
        <v>1</v>
      </c>
    </row>
    <row r="7750" spans="1:49" x14ac:dyDescent="0.25">
      <c r="A7750" t="str">
        <f>"7746"</f>
        <v>7746</v>
      </c>
      <c r="B7750" t="str">
        <f t="shared" si="449"/>
        <v>1</v>
      </c>
      <c r="C7750" t="str">
        <f t="shared" si="451"/>
        <v>339</v>
      </c>
      <c r="D7750" t="str">
        <f>"2"</f>
        <v>2</v>
      </c>
      <c r="E7750" t="str">
        <f>"1-339-2"</f>
        <v>1-339-2</v>
      </c>
      <c r="F7750" t="s">
        <v>83</v>
      </c>
      <c r="G7750" t="s">
        <v>84</v>
      </c>
      <c r="H7750" t="s">
        <v>92</v>
      </c>
      <c r="I7750">
        <v>1</v>
      </c>
      <c r="J7750">
        <v>1</v>
      </c>
      <c r="N7750">
        <v>1</v>
      </c>
      <c r="O7750">
        <v>1</v>
      </c>
      <c r="P7750">
        <v>1</v>
      </c>
      <c r="Q7750">
        <v>1</v>
      </c>
      <c r="R7750">
        <v>1</v>
      </c>
      <c r="S7750">
        <v>1</v>
      </c>
      <c r="T7750">
        <v>1</v>
      </c>
      <c r="W7750">
        <v>1</v>
      </c>
      <c r="X7750">
        <v>1</v>
      </c>
      <c r="Y7750">
        <v>1</v>
      </c>
      <c r="Z7750">
        <v>1</v>
      </c>
      <c r="AA7750">
        <v>1</v>
      </c>
      <c r="AB7750">
        <v>1</v>
      </c>
    </row>
    <row r="7751" spans="1:49" x14ac:dyDescent="0.25">
      <c r="A7751" t="str">
        <f>"7747"</f>
        <v>7747</v>
      </c>
      <c r="B7751" t="str">
        <f t="shared" si="449"/>
        <v>1</v>
      </c>
      <c r="C7751" t="str">
        <f t="shared" si="451"/>
        <v>339</v>
      </c>
      <c r="D7751" t="str">
        <f>"21"</f>
        <v>21</v>
      </c>
      <c r="E7751" t="str">
        <f>"1-339-21"</f>
        <v>1-339-21</v>
      </c>
      <c r="F7751" t="s">
        <v>83</v>
      </c>
      <c r="G7751" t="s">
        <v>84</v>
      </c>
      <c r="H7751" t="s">
        <v>85</v>
      </c>
      <c r="AC7751">
        <v>0</v>
      </c>
      <c r="AD7751">
        <v>0</v>
      </c>
      <c r="AE7751">
        <v>0</v>
      </c>
      <c r="AF7751">
        <v>0</v>
      </c>
      <c r="AG7751">
        <v>0</v>
      </c>
      <c r="AJ7751">
        <v>0</v>
      </c>
      <c r="AK7751">
        <v>0</v>
      </c>
      <c r="AL7751">
        <v>0</v>
      </c>
      <c r="AM7751">
        <v>0</v>
      </c>
      <c r="AN7751">
        <v>0</v>
      </c>
      <c r="AO7751">
        <v>1</v>
      </c>
      <c r="AP7751">
        <v>0</v>
      </c>
      <c r="AQ7751">
        <v>0</v>
      </c>
      <c r="AR7751">
        <v>1</v>
      </c>
      <c r="AS7751">
        <v>0</v>
      </c>
      <c r="AT7751">
        <v>1</v>
      </c>
      <c r="AV7751">
        <v>1</v>
      </c>
      <c r="AW7751">
        <v>1</v>
      </c>
    </row>
    <row r="7752" spans="1:49" x14ac:dyDescent="0.25">
      <c r="A7752" t="str">
        <f>"7748"</f>
        <v>7748</v>
      </c>
      <c r="B7752" t="str">
        <f t="shared" si="449"/>
        <v>1</v>
      </c>
      <c r="C7752" t="str">
        <f t="shared" si="451"/>
        <v>339</v>
      </c>
      <c r="D7752" t="str">
        <f>"20"</f>
        <v>20</v>
      </c>
      <c r="E7752" t="str">
        <f>"1-339-20"</f>
        <v>1-339-20</v>
      </c>
      <c r="F7752" t="s">
        <v>83</v>
      </c>
      <c r="G7752" t="s">
        <v>84</v>
      </c>
      <c r="H7752" t="s">
        <v>85</v>
      </c>
      <c r="AC7752">
        <v>0</v>
      </c>
      <c r="AD7752">
        <v>1</v>
      </c>
      <c r="AE7752">
        <v>0</v>
      </c>
      <c r="AF7752">
        <v>0</v>
      </c>
      <c r="AG7752">
        <v>0</v>
      </c>
      <c r="AJ7752">
        <v>0</v>
      </c>
      <c r="AK7752">
        <v>1</v>
      </c>
      <c r="AL7752">
        <v>0</v>
      </c>
      <c r="AM7752">
        <v>0</v>
      </c>
      <c r="AN7752">
        <v>1</v>
      </c>
      <c r="AO7752">
        <v>0</v>
      </c>
      <c r="AP7752">
        <v>0</v>
      </c>
      <c r="AQ7752">
        <v>0</v>
      </c>
      <c r="AR7752">
        <v>0</v>
      </c>
      <c r="AS7752">
        <v>1</v>
      </c>
      <c r="AT7752">
        <v>0</v>
      </c>
      <c r="AV7752">
        <v>0</v>
      </c>
      <c r="AW7752">
        <v>0</v>
      </c>
    </row>
    <row r="7753" spans="1:49" x14ac:dyDescent="0.25">
      <c r="A7753" t="str">
        <f>"7749"</f>
        <v>7749</v>
      </c>
      <c r="B7753" t="str">
        <f t="shared" si="449"/>
        <v>1</v>
      </c>
      <c r="C7753" t="str">
        <f t="shared" si="451"/>
        <v>339</v>
      </c>
      <c r="D7753" t="str">
        <f>"14"</f>
        <v>14</v>
      </c>
      <c r="E7753" t="str">
        <f>"1-339-14"</f>
        <v>1-339-14</v>
      </c>
      <c r="F7753" t="s">
        <v>83</v>
      </c>
      <c r="G7753" t="s">
        <v>84</v>
      </c>
      <c r="H7753" t="s">
        <v>85</v>
      </c>
      <c r="AC7753">
        <v>1</v>
      </c>
      <c r="AD7753">
        <v>0</v>
      </c>
      <c r="AE7753">
        <v>0</v>
      </c>
      <c r="AF7753">
        <v>0</v>
      </c>
      <c r="AG7753">
        <v>1</v>
      </c>
      <c r="AJ7753">
        <v>0</v>
      </c>
      <c r="AK7753">
        <v>1</v>
      </c>
      <c r="AL7753">
        <v>1</v>
      </c>
      <c r="AM7753">
        <v>0</v>
      </c>
      <c r="AN7753">
        <v>0</v>
      </c>
      <c r="AO7753">
        <v>1</v>
      </c>
      <c r="AP7753">
        <v>1</v>
      </c>
      <c r="AQ7753">
        <v>1</v>
      </c>
      <c r="AR7753">
        <v>1</v>
      </c>
      <c r="AS7753">
        <v>0</v>
      </c>
      <c r="AT7753">
        <v>1</v>
      </c>
      <c r="AV7753">
        <v>1</v>
      </c>
      <c r="AW7753">
        <v>1</v>
      </c>
    </row>
    <row r="7754" spans="1:49" x14ac:dyDescent="0.25">
      <c r="A7754" t="str">
        <f>"7750"</f>
        <v>7750</v>
      </c>
      <c r="B7754" t="str">
        <f t="shared" si="449"/>
        <v>1</v>
      </c>
      <c r="C7754" t="str">
        <f t="shared" si="451"/>
        <v>339</v>
      </c>
      <c r="D7754" t="str">
        <f>"9"</f>
        <v>9</v>
      </c>
      <c r="E7754" t="str">
        <f>"1-339-9"</f>
        <v>1-339-9</v>
      </c>
      <c r="F7754" t="s">
        <v>83</v>
      </c>
      <c r="G7754" t="s">
        <v>84</v>
      </c>
      <c r="H7754" t="s">
        <v>85</v>
      </c>
      <c r="AC7754">
        <v>0</v>
      </c>
      <c r="AD7754">
        <v>1</v>
      </c>
      <c r="AE7754">
        <v>0</v>
      </c>
      <c r="AF7754">
        <v>0</v>
      </c>
      <c r="AG7754">
        <v>1</v>
      </c>
      <c r="AJ7754">
        <v>1</v>
      </c>
      <c r="AK7754">
        <v>0</v>
      </c>
      <c r="AL7754">
        <v>0</v>
      </c>
      <c r="AM7754">
        <v>1</v>
      </c>
      <c r="AN7754">
        <v>0</v>
      </c>
      <c r="AO7754">
        <v>1</v>
      </c>
      <c r="AP7754">
        <v>1</v>
      </c>
      <c r="AQ7754">
        <v>1</v>
      </c>
      <c r="AR7754">
        <v>1</v>
      </c>
      <c r="AS7754">
        <v>0</v>
      </c>
      <c r="AT7754">
        <v>1</v>
      </c>
      <c r="AV7754">
        <v>1</v>
      </c>
      <c r="AW7754">
        <v>1</v>
      </c>
    </row>
    <row r="7755" spans="1:49" x14ac:dyDescent="0.25">
      <c r="A7755" t="str">
        <f>"7751"</f>
        <v>7751</v>
      </c>
      <c r="B7755" t="str">
        <f t="shared" si="449"/>
        <v>1</v>
      </c>
      <c r="C7755" t="str">
        <f t="shared" si="451"/>
        <v>339</v>
      </c>
      <c r="D7755" t="str">
        <f>"7"</f>
        <v>7</v>
      </c>
      <c r="E7755" t="str">
        <f>"1-339-7"</f>
        <v>1-339-7</v>
      </c>
      <c r="F7755" t="s">
        <v>83</v>
      </c>
      <c r="G7755" t="s">
        <v>84</v>
      </c>
      <c r="H7755" t="s">
        <v>92</v>
      </c>
      <c r="I7755">
        <v>1</v>
      </c>
      <c r="J7755">
        <v>1</v>
      </c>
      <c r="N7755">
        <v>1</v>
      </c>
      <c r="O7755">
        <v>1</v>
      </c>
      <c r="P7755">
        <v>1</v>
      </c>
      <c r="Q7755">
        <v>1</v>
      </c>
      <c r="R7755">
        <v>1</v>
      </c>
      <c r="S7755">
        <v>1</v>
      </c>
      <c r="T7755">
        <v>1</v>
      </c>
      <c r="W7755">
        <v>1</v>
      </c>
      <c r="X7755">
        <v>1</v>
      </c>
      <c r="Y7755">
        <v>1</v>
      </c>
      <c r="Z7755">
        <v>1</v>
      </c>
      <c r="AA7755">
        <v>1</v>
      </c>
      <c r="AB7755">
        <v>1</v>
      </c>
    </row>
    <row r="7756" spans="1:49" x14ac:dyDescent="0.25">
      <c r="A7756" t="str">
        <f>"7752"</f>
        <v>7752</v>
      </c>
      <c r="B7756" t="str">
        <f t="shared" si="449"/>
        <v>1</v>
      </c>
      <c r="C7756" t="str">
        <f t="shared" si="451"/>
        <v>339</v>
      </c>
      <c r="D7756" t="str">
        <f>"18"</f>
        <v>18</v>
      </c>
      <c r="E7756" t="str">
        <f>"1-339-18"</f>
        <v>1-339-18</v>
      </c>
      <c r="F7756" t="s">
        <v>83</v>
      </c>
      <c r="G7756" t="s">
        <v>84</v>
      </c>
      <c r="H7756" t="s">
        <v>85</v>
      </c>
      <c r="AC7756">
        <v>0</v>
      </c>
      <c r="AD7756">
        <v>1</v>
      </c>
      <c r="AE7756">
        <v>0</v>
      </c>
      <c r="AF7756">
        <v>0</v>
      </c>
      <c r="AG7756">
        <v>0</v>
      </c>
      <c r="AJ7756">
        <v>1</v>
      </c>
      <c r="AK7756">
        <v>0</v>
      </c>
      <c r="AL7756">
        <v>0</v>
      </c>
      <c r="AM7756">
        <v>0</v>
      </c>
      <c r="AN7756">
        <v>1</v>
      </c>
      <c r="AO7756">
        <v>0</v>
      </c>
      <c r="AP7756">
        <v>0</v>
      </c>
      <c r="AQ7756">
        <v>0</v>
      </c>
      <c r="AR7756">
        <v>0</v>
      </c>
      <c r="AS7756">
        <v>1</v>
      </c>
      <c r="AT7756">
        <v>0</v>
      </c>
      <c r="AV7756">
        <v>0</v>
      </c>
      <c r="AW7756">
        <v>0</v>
      </c>
    </row>
    <row r="7757" spans="1:49" x14ac:dyDescent="0.25">
      <c r="A7757" t="str">
        <f>"7753"</f>
        <v>7753</v>
      </c>
      <c r="B7757" t="str">
        <f t="shared" si="449"/>
        <v>1</v>
      </c>
      <c r="C7757" t="str">
        <f t="shared" si="451"/>
        <v>339</v>
      </c>
      <c r="D7757" t="str">
        <f>"10"</f>
        <v>10</v>
      </c>
      <c r="E7757" t="str">
        <f>"1-339-10"</f>
        <v>1-339-10</v>
      </c>
      <c r="F7757" t="s">
        <v>83</v>
      </c>
      <c r="G7757" t="s">
        <v>84</v>
      </c>
      <c r="H7757" t="s">
        <v>92</v>
      </c>
      <c r="I7757">
        <v>1</v>
      </c>
      <c r="J7757">
        <v>0</v>
      </c>
      <c r="N7757">
        <v>1</v>
      </c>
      <c r="O7757">
        <v>0</v>
      </c>
      <c r="P7757">
        <v>0</v>
      </c>
      <c r="Q7757">
        <v>0</v>
      </c>
      <c r="R7757">
        <v>0</v>
      </c>
      <c r="S7757">
        <v>0</v>
      </c>
      <c r="T7757">
        <v>0</v>
      </c>
      <c r="W7757">
        <v>0</v>
      </c>
      <c r="X7757">
        <v>0</v>
      </c>
      <c r="Y7757">
        <v>0</v>
      </c>
      <c r="Z7757">
        <v>0</v>
      </c>
      <c r="AA7757">
        <v>0</v>
      </c>
      <c r="AB7757">
        <v>0</v>
      </c>
    </row>
    <row r="7758" spans="1:49" x14ac:dyDescent="0.25">
      <c r="A7758" t="str">
        <f>"7754"</f>
        <v>7754</v>
      </c>
      <c r="B7758" t="str">
        <f t="shared" si="449"/>
        <v>1</v>
      </c>
      <c r="C7758" t="str">
        <f t="shared" si="451"/>
        <v>339</v>
      </c>
      <c r="D7758" t="str">
        <f>"3"</f>
        <v>3</v>
      </c>
      <c r="E7758" t="str">
        <f>"1-339-3"</f>
        <v>1-339-3</v>
      </c>
      <c r="F7758" t="s">
        <v>83</v>
      </c>
      <c r="G7758" t="s">
        <v>84</v>
      </c>
      <c r="H7758" t="s">
        <v>92</v>
      </c>
      <c r="I7758">
        <v>1</v>
      </c>
      <c r="J7758">
        <v>1</v>
      </c>
      <c r="N7758">
        <v>1</v>
      </c>
      <c r="O7758">
        <v>1</v>
      </c>
      <c r="P7758">
        <v>1</v>
      </c>
      <c r="Q7758">
        <v>1</v>
      </c>
      <c r="R7758">
        <v>1</v>
      </c>
      <c r="S7758">
        <v>1</v>
      </c>
      <c r="T7758">
        <v>1</v>
      </c>
      <c r="W7758">
        <v>1</v>
      </c>
      <c r="X7758">
        <v>1</v>
      </c>
      <c r="Y7758">
        <v>1</v>
      </c>
      <c r="Z7758">
        <v>1</v>
      </c>
      <c r="AA7758">
        <v>1</v>
      </c>
      <c r="AB7758">
        <v>1</v>
      </c>
    </row>
    <row r="7759" spans="1:49" x14ac:dyDescent="0.25">
      <c r="A7759" t="str">
        <f>"7755"</f>
        <v>7755</v>
      </c>
      <c r="B7759" t="str">
        <f t="shared" si="449"/>
        <v>1</v>
      </c>
      <c r="C7759" t="str">
        <f t="shared" si="451"/>
        <v>339</v>
      </c>
      <c r="D7759" t="str">
        <f>"25"</f>
        <v>25</v>
      </c>
      <c r="E7759" t="str">
        <f>"1-339-25"</f>
        <v>1-339-25</v>
      </c>
      <c r="F7759" t="s">
        <v>83</v>
      </c>
      <c r="G7759" t="s">
        <v>84</v>
      </c>
      <c r="H7759" t="s">
        <v>92</v>
      </c>
      <c r="I7759">
        <v>1</v>
      </c>
      <c r="J7759">
        <v>1</v>
      </c>
      <c r="N7759">
        <v>1</v>
      </c>
      <c r="O7759">
        <v>1</v>
      </c>
      <c r="P7759">
        <v>1</v>
      </c>
      <c r="Q7759">
        <v>1</v>
      </c>
      <c r="R7759">
        <v>1</v>
      </c>
      <c r="S7759">
        <v>1</v>
      </c>
      <c r="T7759">
        <v>1</v>
      </c>
      <c r="W7759">
        <v>1</v>
      </c>
      <c r="X7759">
        <v>1</v>
      </c>
      <c r="Y7759">
        <v>1</v>
      </c>
      <c r="Z7759">
        <v>1</v>
      </c>
      <c r="AA7759">
        <v>1</v>
      </c>
      <c r="AB7759">
        <v>1</v>
      </c>
    </row>
    <row r="7760" spans="1:49" x14ac:dyDescent="0.25">
      <c r="A7760" t="str">
        <f>"7756"</f>
        <v>7756</v>
      </c>
      <c r="B7760" t="str">
        <f t="shared" si="449"/>
        <v>1</v>
      </c>
      <c r="C7760" t="str">
        <f t="shared" si="451"/>
        <v>339</v>
      </c>
      <c r="D7760" t="str">
        <f>"15"</f>
        <v>15</v>
      </c>
      <c r="E7760" t="str">
        <f>"1-339-15"</f>
        <v>1-339-15</v>
      </c>
      <c r="F7760" t="s">
        <v>83</v>
      </c>
      <c r="G7760" t="s">
        <v>84</v>
      </c>
      <c r="H7760" t="s">
        <v>92</v>
      </c>
      <c r="I7760">
        <v>1</v>
      </c>
      <c r="J7760">
        <v>1</v>
      </c>
      <c r="N7760">
        <v>1</v>
      </c>
      <c r="O7760">
        <v>1</v>
      </c>
      <c r="P7760">
        <v>1</v>
      </c>
      <c r="Q7760">
        <v>1</v>
      </c>
      <c r="R7760">
        <v>1</v>
      </c>
      <c r="S7760">
        <v>1</v>
      </c>
      <c r="T7760">
        <v>1</v>
      </c>
      <c r="W7760">
        <v>1</v>
      </c>
      <c r="X7760">
        <v>1</v>
      </c>
      <c r="Y7760">
        <v>1</v>
      </c>
      <c r="Z7760">
        <v>1</v>
      </c>
      <c r="AA7760">
        <v>1</v>
      </c>
      <c r="AB7760">
        <v>1</v>
      </c>
    </row>
    <row r="7761" spans="1:49" x14ac:dyDescent="0.25">
      <c r="A7761" t="str">
        <f>"7757"</f>
        <v>7757</v>
      </c>
      <c r="B7761" t="str">
        <f t="shared" si="449"/>
        <v>1</v>
      </c>
      <c r="C7761" t="str">
        <f t="shared" si="451"/>
        <v>339</v>
      </c>
      <c r="D7761" t="str">
        <f>"11"</f>
        <v>11</v>
      </c>
      <c r="E7761" t="str">
        <f>"1-339-11"</f>
        <v>1-339-11</v>
      </c>
      <c r="F7761" t="s">
        <v>83</v>
      </c>
      <c r="G7761" t="s">
        <v>84</v>
      </c>
      <c r="H7761" t="s">
        <v>92</v>
      </c>
      <c r="I7761">
        <v>1</v>
      </c>
      <c r="J7761">
        <v>1</v>
      </c>
      <c r="N7761">
        <v>1</v>
      </c>
      <c r="O7761">
        <v>1</v>
      </c>
      <c r="P7761">
        <v>1</v>
      </c>
      <c r="Q7761">
        <v>1</v>
      </c>
      <c r="R7761">
        <v>1</v>
      </c>
      <c r="S7761">
        <v>1</v>
      </c>
      <c r="T7761">
        <v>1</v>
      </c>
      <c r="W7761">
        <v>1</v>
      </c>
      <c r="X7761">
        <v>1</v>
      </c>
      <c r="Y7761">
        <v>1</v>
      </c>
      <c r="Z7761">
        <v>1</v>
      </c>
      <c r="AA7761">
        <v>0</v>
      </c>
      <c r="AB7761">
        <v>1</v>
      </c>
    </row>
    <row r="7762" spans="1:49" x14ac:dyDescent="0.25">
      <c r="A7762" t="str">
        <f>"7758"</f>
        <v>7758</v>
      </c>
      <c r="B7762" t="str">
        <f t="shared" si="449"/>
        <v>1</v>
      </c>
      <c r="C7762" t="str">
        <f t="shared" si="451"/>
        <v>339</v>
      </c>
      <c r="D7762" t="str">
        <f>"19"</f>
        <v>19</v>
      </c>
      <c r="E7762" t="str">
        <f>"1-339-19"</f>
        <v>1-339-19</v>
      </c>
      <c r="F7762" t="s">
        <v>83</v>
      </c>
      <c r="G7762" t="s">
        <v>84</v>
      </c>
      <c r="H7762" t="s">
        <v>85</v>
      </c>
      <c r="AC7762">
        <v>0</v>
      </c>
      <c r="AD7762">
        <v>1</v>
      </c>
      <c r="AE7762">
        <v>0</v>
      </c>
      <c r="AF7762">
        <v>0</v>
      </c>
      <c r="AG7762">
        <v>1</v>
      </c>
      <c r="AJ7762">
        <v>0</v>
      </c>
      <c r="AK7762">
        <v>1</v>
      </c>
      <c r="AL7762">
        <v>0</v>
      </c>
      <c r="AM7762">
        <v>1</v>
      </c>
      <c r="AN7762">
        <v>0</v>
      </c>
      <c r="AO7762">
        <v>1</v>
      </c>
      <c r="AP7762">
        <v>1</v>
      </c>
      <c r="AQ7762">
        <v>1</v>
      </c>
      <c r="AR7762">
        <v>1</v>
      </c>
      <c r="AS7762">
        <v>0</v>
      </c>
      <c r="AT7762">
        <v>1</v>
      </c>
      <c r="AV7762">
        <v>1</v>
      </c>
      <c r="AW7762">
        <v>1</v>
      </c>
    </row>
    <row r="7763" spans="1:49" x14ac:dyDescent="0.25">
      <c r="A7763" t="str">
        <f>"7759"</f>
        <v>7759</v>
      </c>
      <c r="B7763" t="str">
        <f t="shared" si="449"/>
        <v>1</v>
      </c>
      <c r="C7763" t="str">
        <f t="shared" si="451"/>
        <v>339</v>
      </c>
      <c r="D7763" t="str">
        <f>"12"</f>
        <v>12</v>
      </c>
      <c r="E7763" t="str">
        <f>"1-339-12"</f>
        <v>1-339-12</v>
      </c>
      <c r="F7763" t="s">
        <v>83</v>
      </c>
      <c r="G7763" t="s">
        <v>84</v>
      </c>
      <c r="H7763" t="s">
        <v>92</v>
      </c>
      <c r="I7763">
        <v>1</v>
      </c>
      <c r="J7763">
        <v>1</v>
      </c>
      <c r="N7763">
        <v>1</v>
      </c>
      <c r="O7763">
        <v>1</v>
      </c>
      <c r="P7763">
        <v>1</v>
      </c>
      <c r="Q7763">
        <v>1</v>
      </c>
      <c r="R7763">
        <v>1</v>
      </c>
      <c r="S7763">
        <v>1</v>
      </c>
      <c r="T7763">
        <v>1</v>
      </c>
      <c r="W7763">
        <v>1</v>
      </c>
      <c r="X7763">
        <v>1</v>
      </c>
      <c r="Y7763">
        <v>1</v>
      </c>
      <c r="Z7763">
        <v>1</v>
      </c>
      <c r="AA7763">
        <v>1</v>
      </c>
      <c r="AB7763">
        <v>1</v>
      </c>
    </row>
    <row r="7764" spans="1:49" x14ac:dyDescent="0.25">
      <c r="A7764" t="str">
        <f>"7760"</f>
        <v>7760</v>
      </c>
      <c r="B7764" t="str">
        <f t="shared" si="449"/>
        <v>1</v>
      </c>
      <c r="C7764" t="str">
        <f t="shared" si="451"/>
        <v>339</v>
      </c>
      <c r="D7764" t="str">
        <f>"4"</f>
        <v>4</v>
      </c>
      <c r="E7764" t="str">
        <f>"1-339-4"</f>
        <v>1-339-4</v>
      </c>
      <c r="F7764" t="s">
        <v>83</v>
      </c>
      <c r="G7764" t="s">
        <v>84</v>
      </c>
      <c r="H7764" t="s">
        <v>92</v>
      </c>
      <c r="I7764">
        <v>1</v>
      </c>
      <c r="J7764">
        <v>1</v>
      </c>
      <c r="N7764">
        <v>0</v>
      </c>
      <c r="O7764">
        <v>0</v>
      </c>
      <c r="P7764">
        <v>0</v>
      </c>
      <c r="Q7764">
        <v>0</v>
      </c>
      <c r="R7764">
        <v>0</v>
      </c>
      <c r="S7764">
        <v>0</v>
      </c>
      <c r="T7764">
        <v>0</v>
      </c>
      <c r="W7764">
        <v>0</v>
      </c>
      <c r="X7764">
        <v>1</v>
      </c>
      <c r="Y7764">
        <v>0</v>
      </c>
      <c r="Z7764">
        <v>0</v>
      </c>
      <c r="AA7764">
        <v>0</v>
      </c>
      <c r="AB7764">
        <v>0</v>
      </c>
    </row>
    <row r="7765" spans="1:49" x14ac:dyDescent="0.25">
      <c r="A7765" t="str">
        <f>"7761"</f>
        <v>7761</v>
      </c>
      <c r="B7765" t="str">
        <f t="shared" si="449"/>
        <v>1</v>
      </c>
      <c r="C7765" t="str">
        <f t="shared" si="451"/>
        <v>339</v>
      </c>
      <c r="D7765" t="str">
        <f>"16"</f>
        <v>16</v>
      </c>
      <c r="E7765" t="str">
        <f>"1-339-16"</f>
        <v>1-339-16</v>
      </c>
      <c r="F7765" t="s">
        <v>83</v>
      </c>
      <c r="G7765" t="s">
        <v>84</v>
      </c>
      <c r="H7765" t="s">
        <v>92</v>
      </c>
      <c r="I7765">
        <v>1</v>
      </c>
      <c r="J7765">
        <v>1</v>
      </c>
      <c r="N7765">
        <v>1</v>
      </c>
      <c r="O7765">
        <v>1</v>
      </c>
      <c r="P7765">
        <v>1</v>
      </c>
      <c r="Q7765">
        <v>1</v>
      </c>
      <c r="R7765">
        <v>1</v>
      </c>
      <c r="S7765">
        <v>1</v>
      </c>
      <c r="T7765">
        <v>1</v>
      </c>
      <c r="W7765">
        <v>1</v>
      </c>
      <c r="X7765">
        <v>1</v>
      </c>
      <c r="Y7765">
        <v>1</v>
      </c>
      <c r="Z7765">
        <v>1</v>
      </c>
      <c r="AA7765">
        <v>1</v>
      </c>
      <c r="AB7765">
        <v>1</v>
      </c>
    </row>
    <row r="7766" spans="1:49" x14ac:dyDescent="0.25">
      <c r="A7766" t="str">
        <f>"7762"</f>
        <v>7762</v>
      </c>
      <c r="B7766" t="str">
        <f t="shared" si="449"/>
        <v>1</v>
      </c>
      <c r="C7766" t="str">
        <f t="shared" si="451"/>
        <v>339</v>
      </c>
      <c r="D7766" t="str">
        <f>"1"</f>
        <v>1</v>
      </c>
      <c r="E7766" t="str">
        <f>"1-339-1"</f>
        <v>1-339-1</v>
      </c>
      <c r="F7766" t="s">
        <v>83</v>
      </c>
      <c r="G7766" t="s">
        <v>84</v>
      </c>
      <c r="H7766" t="s">
        <v>92</v>
      </c>
      <c r="I7766">
        <v>1</v>
      </c>
      <c r="J7766">
        <v>1</v>
      </c>
      <c r="N7766">
        <v>1</v>
      </c>
      <c r="O7766">
        <v>1</v>
      </c>
      <c r="P7766">
        <v>1</v>
      </c>
      <c r="Q7766">
        <v>1</v>
      </c>
      <c r="R7766">
        <v>1</v>
      </c>
      <c r="S7766">
        <v>1</v>
      </c>
      <c r="T7766">
        <v>1</v>
      </c>
      <c r="W7766">
        <v>1</v>
      </c>
      <c r="X7766">
        <v>1</v>
      </c>
      <c r="Y7766">
        <v>1</v>
      </c>
      <c r="Z7766">
        <v>1</v>
      </c>
      <c r="AA7766">
        <v>1</v>
      </c>
      <c r="AB7766">
        <v>1</v>
      </c>
    </row>
    <row r="7767" spans="1:49" x14ac:dyDescent="0.25">
      <c r="A7767" t="str">
        <f>"7763"</f>
        <v>7763</v>
      </c>
      <c r="B7767" t="str">
        <f t="shared" si="449"/>
        <v>1</v>
      </c>
      <c r="C7767" t="str">
        <f t="shared" si="451"/>
        <v>339</v>
      </c>
      <c r="D7767" t="str">
        <f>"17"</f>
        <v>17</v>
      </c>
      <c r="E7767" t="str">
        <f>"1-339-17"</f>
        <v>1-339-17</v>
      </c>
      <c r="F7767" t="s">
        <v>83</v>
      </c>
      <c r="G7767" t="s">
        <v>84</v>
      </c>
      <c r="H7767" t="s">
        <v>85</v>
      </c>
      <c r="AC7767">
        <v>0</v>
      </c>
      <c r="AD7767">
        <v>1</v>
      </c>
      <c r="AE7767">
        <v>0</v>
      </c>
      <c r="AF7767">
        <v>0</v>
      </c>
      <c r="AG7767">
        <v>0</v>
      </c>
      <c r="AJ7767">
        <v>0</v>
      </c>
      <c r="AK7767">
        <v>1</v>
      </c>
      <c r="AL7767">
        <v>0</v>
      </c>
      <c r="AM7767">
        <v>0</v>
      </c>
      <c r="AN7767">
        <v>1</v>
      </c>
      <c r="AO7767">
        <v>0</v>
      </c>
      <c r="AP7767">
        <v>0</v>
      </c>
      <c r="AQ7767">
        <v>0</v>
      </c>
      <c r="AR7767">
        <v>0</v>
      </c>
      <c r="AS7767">
        <v>1</v>
      </c>
      <c r="AT7767">
        <v>0</v>
      </c>
      <c r="AV7767">
        <v>0</v>
      </c>
      <c r="AW7767">
        <v>0</v>
      </c>
    </row>
    <row r="7768" spans="1:49" x14ac:dyDescent="0.25">
      <c r="A7768" t="str">
        <f>"7764"</f>
        <v>7764</v>
      </c>
      <c r="B7768" t="str">
        <f t="shared" si="449"/>
        <v>1</v>
      </c>
      <c r="C7768" t="str">
        <f t="shared" si="451"/>
        <v>339</v>
      </c>
      <c r="D7768" t="str">
        <f>"6"</f>
        <v>6</v>
      </c>
      <c r="E7768" t="str">
        <f>"1-339-6"</f>
        <v>1-339-6</v>
      </c>
      <c r="F7768" t="s">
        <v>83</v>
      </c>
      <c r="G7768" t="s">
        <v>84</v>
      </c>
      <c r="H7768" t="s">
        <v>85</v>
      </c>
      <c r="AC7768">
        <v>1</v>
      </c>
      <c r="AD7768">
        <v>0</v>
      </c>
      <c r="AE7768">
        <v>0</v>
      </c>
      <c r="AF7768">
        <v>0</v>
      </c>
      <c r="AG7768">
        <v>0</v>
      </c>
      <c r="AJ7768">
        <v>1</v>
      </c>
      <c r="AK7768">
        <v>0</v>
      </c>
      <c r="AL7768">
        <v>1</v>
      </c>
      <c r="AM7768">
        <v>0</v>
      </c>
      <c r="AN7768">
        <v>0</v>
      </c>
      <c r="AO7768">
        <v>0</v>
      </c>
      <c r="AP7768">
        <v>0</v>
      </c>
      <c r="AQ7768">
        <v>0</v>
      </c>
      <c r="AR7768">
        <v>0</v>
      </c>
      <c r="AS7768">
        <v>1</v>
      </c>
      <c r="AT7768">
        <v>0</v>
      </c>
      <c r="AV7768">
        <v>0</v>
      </c>
      <c r="AW7768">
        <v>0</v>
      </c>
    </row>
    <row r="7769" spans="1:49" x14ac:dyDescent="0.25">
      <c r="A7769" t="str">
        <f>"7765"</f>
        <v>7765</v>
      </c>
      <c r="B7769" t="str">
        <f t="shared" si="449"/>
        <v>1</v>
      </c>
      <c r="C7769" t="str">
        <f t="shared" si="451"/>
        <v>339</v>
      </c>
      <c r="D7769" t="str">
        <f>"5"</f>
        <v>5</v>
      </c>
      <c r="E7769" t="str">
        <f>"1-339-5"</f>
        <v>1-339-5</v>
      </c>
      <c r="F7769" t="s">
        <v>83</v>
      </c>
      <c r="G7769" t="s">
        <v>84</v>
      </c>
      <c r="H7769" t="s">
        <v>85</v>
      </c>
      <c r="AC7769">
        <v>0</v>
      </c>
      <c r="AD7769">
        <v>1</v>
      </c>
      <c r="AE7769">
        <v>0</v>
      </c>
      <c r="AF7769">
        <v>0</v>
      </c>
      <c r="AG7769">
        <v>0</v>
      </c>
      <c r="AJ7769">
        <v>0</v>
      </c>
      <c r="AK7769">
        <v>1</v>
      </c>
      <c r="AL7769">
        <v>0</v>
      </c>
      <c r="AM7769">
        <v>1</v>
      </c>
      <c r="AN7769">
        <v>0</v>
      </c>
      <c r="AO7769">
        <v>0</v>
      </c>
      <c r="AP7769">
        <v>0</v>
      </c>
      <c r="AQ7769">
        <v>0</v>
      </c>
      <c r="AR7769">
        <v>0</v>
      </c>
      <c r="AS7769">
        <v>1</v>
      </c>
      <c r="AT7769">
        <v>0</v>
      </c>
      <c r="AV7769">
        <v>0</v>
      </c>
      <c r="AW7769">
        <v>0</v>
      </c>
    </row>
    <row r="7770" spans="1:49" x14ac:dyDescent="0.25">
      <c r="A7770" t="str">
        <f>"7766"</f>
        <v>7766</v>
      </c>
      <c r="B7770" t="str">
        <f t="shared" si="449"/>
        <v>1</v>
      </c>
      <c r="C7770" t="str">
        <f t="shared" si="451"/>
        <v>339</v>
      </c>
      <c r="D7770" t="str">
        <f>"24"</f>
        <v>24</v>
      </c>
      <c r="E7770" t="str">
        <f>"1-339-24"</f>
        <v>1-339-24</v>
      </c>
      <c r="F7770" t="s">
        <v>83</v>
      </c>
      <c r="G7770" t="s">
        <v>84</v>
      </c>
      <c r="H7770" t="s">
        <v>85</v>
      </c>
      <c r="AC7770">
        <v>0</v>
      </c>
      <c r="AD7770">
        <v>0</v>
      </c>
      <c r="AE7770">
        <v>0</v>
      </c>
      <c r="AF7770">
        <v>0</v>
      </c>
      <c r="AG7770">
        <v>0</v>
      </c>
      <c r="AJ7770">
        <v>0</v>
      </c>
      <c r="AK7770">
        <v>1</v>
      </c>
      <c r="AL7770">
        <v>0</v>
      </c>
      <c r="AM7770">
        <v>1</v>
      </c>
      <c r="AN7770">
        <v>0</v>
      </c>
      <c r="AO7770">
        <v>0</v>
      </c>
      <c r="AP7770">
        <v>0</v>
      </c>
      <c r="AQ7770">
        <v>0</v>
      </c>
      <c r="AR7770">
        <v>0</v>
      </c>
      <c r="AS7770">
        <v>1</v>
      </c>
      <c r="AT7770">
        <v>0</v>
      </c>
      <c r="AV7770">
        <v>0</v>
      </c>
      <c r="AW7770">
        <v>0</v>
      </c>
    </row>
    <row r="7771" spans="1:49" x14ac:dyDescent="0.25">
      <c r="A7771" t="str">
        <f>"7767"</f>
        <v>7767</v>
      </c>
      <c r="B7771" t="str">
        <f t="shared" si="449"/>
        <v>1</v>
      </c>
      <c r="C7771" t="str">
        <f t="shared" ref="C7771:C7794" si="452">"340"</f>
        <v>340</v>
      </c>
      <c r="D7771" t="str">
        <f>"23"</f>
        <v>23</v>
      </c>
      <c r="E7771" t="str">
        <f>"1-340-23"</f>
        <v>1-340-23</v>
      </c>
      <c r="F7771" t="s">
        <v>83</v>
      </c>
      <c r="G7771" t="s">
        <v>84</v>
      </c>
      <c r="H7771" t="s">
        <v>85</v>
      </c>
      <c r="AC7771">
        <v>1</v>
      </c>
      <c r="AD7771">
        <v>0</v>
      </c>
      <c r="AE7771">
        <v>0</v>
      </c>
      <c r="AF7771">
        <v>0</v>
      </c>
      <c r="AG7771">
        <v>1</v>
      </c>
      <c r="AJ7771">
        <v>1</v>
      </c>
      <c r="AK7771">
        <v>0</v>
      </c>
      <c r="AL7771">
        <v>0</v>
      </c>
      <c r="AM7771">
        <v>0</v>
      </c>
      <c r="AN7771">
        <v>1</v>
      </c>
      <c r="AO7771">
        <v>1</v>
      </c>
      <c r="AP7771">
        <v>1</v>
      </c>
      <c r="AQ7771">
        <v>1</v>
      </c>
      <c r="AR7771">
        <v>1</v>
      </c>
      <c r="AS7771">
        <v>0</v>
      </c>
      <c r="AT7771">
        <v>1</v>
      </c>
      <c r="AV7771">
        <v>1</v>
      </c>
      <c r="AW7771">
        <v>1</v>
      </c>
    </row>
    <row r="7772" spans="1:49" x14ac:dyDescent="0.25">
      <c r="A7772" t="str">
        <f>"7768"</f>
        <v>7768</v>
      </c>
      <c r="B7772" t="str">
        <f t="shared" si="449"/>
        <v>1</v>
      </c>
      <c r="C7772" t="str">
        <f t="shared" si="452"/>
        <v>340</v>
      </c>
      <c r="D7772" t="str">
        <f>"22"</f>
        <v>22</v>
      </c>
      <c r="E7772" t="str">
        <f>"1-340-22"</f>
        <v>1-340-22</v>
      </c>
      <c r="F7772" t="s">
        <v>83</v>
      </c>
      <c r="G7772" t="s">
        <v>84</v>
      </c>
      <c r="H7772" t="s">
        <v>85</v>
      </c>
      <c r="AC7772">
        <v>0</v>
      </c>
      <c r="AD7772">
        <v>1</v>
      </c>
      <c r="AE7772">
        <v>0</v>
      </c>
      <c r="AF7772">
        <v>0</v>
      </c>
      <c r="AG7772">
        <v>1</v>
      </c>
      <c r="AJ7772">
        <v>1</v>
      </c>
      <c r="AK7772">
        <v>0</v>
      </c>
      <c r="AL7772">
        <v>0</v>
      </c>
      <c r="AM7772">
        <v>0</v>
      </c>
      <c r="AN7772">
        <v>1</v>
      </c>
      <c r="AO7772">
        <v>1</v>
      </c>
      <c r="AP7772">
        <v>1</v>
      </c>
      <c r="AQ7772">
        <v>1</v>
      </c>
      <c r="AR7772">
        <v>1</v>
      </c>
      <c r="AS7772">
        <v>0</v>
      </c>
      <c r="AT7772">
        <v>1</v>
      </c>
      <c r="AV7772">
        <v>1</v>
      </c>
      <c r="AW7772">
        <v>1</v>
      </c>
    </row>
    <row r="7773" spans="1:49" x14ac:dyDescent="0.25">
      <c r="A7773" t="str">
        <f>"7769"</f>
        <v>7769</v>
      </c>
      <c r="B7773" t="str">
        <f t="shared" si="449"/>
        <v>1</v>
      </c>
      <c r="C7773" t="str">
        <f t="shared" si="452"/>
        <v>340</v>
      </c>
      <c r="D7773" t="str">
        <f>"14"</f>
        <v>14</v>
      </c>
      <c r="E7773" t="str">
        <f>"1-340-14"</f>
        <v>1-340-14</v>
      </c>
      <c r="F7773" t="s">
        <v>83</v>
      </c>
      <c r="G7773" t="s">
        <v>84</v>
      </c>
      <c r="H7773" t="s">
        <v>85</v>
      </c>
      <c r="AC7773">
        <v>1</v>
      </c>
      <c r="AD7773">
        <v>0</v>
      </c>
      <c r="AE7773">
        <v>0</v>
      </c>
      <c r="AF7773">
        <v>0</v>
      </c>
      <c r="AG7773">
        <v>1</v>
      </c>
      <c r="AJ7773">
        <v>0</v>
      </c>
      <c r="AK7773">
        <v>1</v>
      </c>
      <c r="AL7773">
        <v>1</v>
      </c>
      <c r="AM7773">
        <v>0</v>
      </c>
      <c r="AN7773">
        <v>0</v>
      </c>
      <c r="AO7773">
        <v>1</v>
      </c>
      <c r="AP7773">
        <v>1</v>
      </c>
      <c r="AQ7773">
        <v>1</v>
      </c>
      <c r="AR7773">
        <v>1</v>
      </c>
      <c r="AS7773">
        <v>0</v>
      </c>
      <c r="AT7773">
        <v>1</v>
      </c>
      <c r="AV7773">
        <v>1</v>
      </c>
      <c r="AW7773">
        <v>1</v>
      </c>
    </row>
    <row r="7774" spans="1:49" x14ac:dyDescent="0.25">
      <c r="A7774" t="str">
        <f>"7770"</f>
        <v>7770</v>
      </c>
      <c r="B7774" t="str">
        <f t="shared" ref="B7774:B7837" si="453">"1"</f>
        <v>1</v>
      </c>
      <c r="C7774" t="str">
        <f t="shared" si="452"/>
        <v>340</v>
      </c>
      <c r="D7774" t="str">
        <f>"8"</f>
        <v>8</v>
      </c>
      <c r="E7774" t="str">
        <f>"1-340-8"</f>
        <v>1-340-8</v>
      </c>
      <c r="F7774" t="s">
        <v>83</v>
      </c>
      <c r="G7774" t="s">
        <v>84</v>
      </c>
      <c r="H7774" t="s">
        <v>85</v>
      </c>
      <c r="AC7774">
        <v>0</v>
      </c>
      <c r="AD7774">
        <v>1</v>
      </c>
      <c r="AE7774">
        <v>0</v>
      </c>
      <c r="AF7774">
        <v>0</v>
      </c>
      <c r="AG7774">
        <v>1</v>
      </c>
      <c r="AJ7774">
        <v>1</v>
      </c>
      <c r="AK7774">
        <v>0</v>
      </c>
      <c r="AL7774">
        <v>1</v>
      </c>
      <c r="AM7774">
        <v>0</v>
      </c>
      <c r="AN7774">
        <v>0</v>
      </c>
      <c r="AO7774">
        <v>1</v>
      </c>
      <c r="AP7774">
        <v>1</v>
      </c>
      <c r="AQ7774">
        <v>1</v>
      </c>
      <c r="AR7774">
        <v>1</v>
      </c>
      <c r="AS7774">
        <v>1</v>
      </c>
      <c r="AT7774">
        <v>0</v>
      </c>
      <c r="AV7774">
        <v>1</v>
      </c>
      <c r="AW7774">
        <v>1</v>
      </c>
    </row>
    <row r="7775" spans="1:49" x14ac:dyDescent="0.25">
      <c r="A7775" t="str">
        <f>"7771"</f>
        <v>7771</v>
      </c>
      <c r="B7775" t="str">
        <f t="shared" si="453"/>
        <v>1</v>
      </c>
      <c r="C7775" t="str">
        <f t="shared" si="452"/>
        <v>340</v>
      </c>
      <c r="D7775" t="str">
        <f>"3"</f>
        <v>3</v>
      </c>
      <c r="E7775" t="str">
        <f>"1-340-3"</f>
        <v>1-340-3</v>
      </c>
      <c r="F7775" t="s">
        <v>83</v>
      </c>
      <c r="G7775" t="s">
        <v>84</v>
      </c>
      <c r="H7775" t="s">
        <v>85</v>
      </c>
      <c r="AC7775">
        <v>0</v>
      </c>
      <c r="AD7775">
        <v>1</v>
      </c>
      <c r="AE7775">
        <v>0</v>
      </c>
      <c r="AF7775">
        <v>0</v>
      </c>
      <c r="AG7775">
        <v>0</v>
      </c>
      <c r="AJ7775">
        <v>0</v>
      </c>
      <c r="AK7775">
        <v>1</v>
      </c>
      <c r="AL7775">
        <v>1</v>
      </c>
      <c r="AM7775">
        <v>0</v>
      </c>
      <c r="AN7775">
        <v>0</v>
      </c>
      <c r="AO7775">
        <v>0</v>
      </c>
      <c r="AP7775">
        <v>0</v>
      </c>
      <c r="AQ7775">
        <v>0</v>
      </c>
      <c r="AR7775">
        <v>0</v>
      </c>
      <c r="AS7775">
        <v>0</v>
      </c>
      <c r="AT7775">
        <v>1</v>
      </c>
      <c r="AV7775">
        <v>0</v>
      </c>
      <c r="AW7775">
        <v>0</v>
      </c>
    </row>
    <row r="7776" spans="1:49" x14ac:dyDescent="0.25">
      <c r="A7776" t="str">
        <f>"7772"</f>
        <v>7772</v>
      </c>
      <c r="B7776" t="str">
        <f t="shared" si="453"/>
        <v>1</v>
      </c>
      <c r="C7776" t="str">
        <f t="shared" si="452"/>
        <v>340</v>
      </c>
      <c r="D7776" t="str">
        <f>"21"</f>
        <v>21</v>
      </c>
      <c r="E7776" t="str">
        <f>"1-340-21"</f>
        <v>1-340-21</v>
      </c>
      <c r="F7776" t="s">
        <v>83</v>
      </c>
      <c r="G7776" t="s">
        <v>84</v>
      </c>
      <c r="H7776" t="s">
        <v>85</v>
      </c>
      <c r="AC7776">
        <v>0</v>
      </c>
      <c r="AD7776">
        <v>1</v>
      </c>
      <c r="AE7776">
        <v>0</v>
      </c>
      <c r="AF7776">
        <v>0</v>
      </c>
      <c r="AG7776">
        <v>1</v>
      </c>
      <c r="AJ7776">
        <v>1</v>
      </c>
      <c r="AK7776">
        <v>0</v>
      </c>
      <c r="AL7776">
        <v>1</v>
      </c>
      <c r="AM7776">
        <v>0</v>
      </c>
      <c r="AN7776">
        <v>0</v>
      </c>
      <c r="AO7776">
        <v>1</v>
      </c>
      <c r="AP7776">
        <v>1</v>
      </c>
      <c r="AQ7776">
        <v>1</v>
      </c>
      <c r="AR7776">
        <v>1</v>
      </c>
      <c r="AS7776">
        <v>0</v>
      </c>
      <c r="AT7776">
        <v>1</v>
      </c>
      <c r="AV7776">
        <v>1</v>
      </c>
      <c r="AW7776">
        <v>1</v>
      </c>
    </row>
    <row r="7777" spans="1:49" x14ac:dyDescent="0.25">
      <c r="A7777" t="str">
        <f>"7773"</f>
        <v>7773</v>
      </c>
      <c r="B7777" t="str">
        <f t="shared" si="453"/>
        <v>1</v>
      </c>
      <c r="C7777" t="str">
        <f t="shared" si="452"/>
        <v>340</v>
      </c>
      <c r="D7777" t="str">
        <f>"20"</f>
        <v>20</v>
      </c>
      <c r="E7777" t="str">
        <f>"1-340-20"</f>
        <v>1-340-20</v>
      </c>
      <c r="F7777" t="s">
        <v>83</v>
      </c>
      <c r="G7777" t="s">
        <v>84</v>
      </c>
      <c r="H7777" t="s">
        <v>85</v>
      </c>
      <c r="AC7777">
        <v>0</v>
      </c>
      <c r="AD7777">
        <v>1</v>
      </c>
      <c r="AE7777">
        <v>0</v>
      </c>
      <c r="AF7777">
        <v>0</v>
      </c>
      <c r="AG7777">
        <v>0</v>
      </c>
      <c r="AJ7777">
        <v>0</v>
      </c>
      <c r="AK7777">
        <v>1</v>
      </c>
      <c r="AL7777">
        <v>0</v>
      </c>
      <c r="AM7777">
        <v>0</v>
      </c>
      <c r="AN7777">
        <v>1</v>
      </c>
      <c r="AO7777">
        <v>0</v>
      </c>
      <c r="AP7777">
        <v>0</v>
      </c>
      <c r="AQ7777">
        <v>0</v>
      </c>
      <c r="AR7777">
        <v>0</v>
      </c>
      <c r="AS7777">
        <v>0</v>
      </c>
      <c r="AT7777">
        <v>1</v>
      </c>
      <c r="AV7777">
        <v>0</v>
      </c>
      <c r="AW7777">
        <v>0</v>
      </c>
    </row>
    <row r="7778" spans="1:49" x14ac:dyDescent="0.25">
      <c r="A7778" t="str">
        <f>"7774"</f>
        <v>7774</v>
      </c>
      <c r="B7778" t="str">
        <f t="shared" si="453"/>
        <v>1</v>
      </c>
      <c r="C7778" t="str">
        <f t="shared" si="452"/>
        <v>340</v>
      </c>
      <c r="D7778" t="str">
        <f>"13"</f>
        <v>13</v>
      </c>
      <c r="E7778" t="str">
        <f>"1-340-13"</f>
        <v>1-340-13</v>
      </c>
      <c r="F7778" t="s">
        <v>83</v>
      </c>
      <c r="G7778" t="s">
        <v>84</v>
      </c>
      <c r="H7778" t="s">
        <v>85</v>
      </c>
      <c r="AC7778">
        <v>0</v>
      </c>
      <c r="AD7778">
        <v>1</v>
      </c>
      <c r="AE7778">
        <v>0</v>
      </c>
      <c r="AF7778">
        <v>0</v>
      </c>
      <c r="AG7778">
        <v>0</v>
      </c>
      <c r="AJ7778">
        <v>1</v>
      </c>
      <c r="AK7778">
        <v>0</v>
      </c>
      <c r="AL7778">
        <v>0</v>
      </c>
      <c r="AM7778">
        <v>0</v>
      </c>
      <c r="AN7778">
        <v>1</v>
      </c>
      <c r="AO7778">
        <v>0</v>
      </c>
      <c r="AP7778">
        <v>0</v>
      </c>
      <c r="AQ7778">
        <v>0</v>
      </c>
      <c r="AR7778">
        <v>1</v>
      </c>
      <c r="AS7778">
        <v>0</v>
      </c>
      <c r="AT7778">
        <v>1</v>
      </c>
      <c r="AV7778">
        <v>1</v>
      </c>
      <c r="AW7778">
        <v>1</v>
      </c>
    </row>
    <row r="7779" spans="1:49" x14ac:dyDescent="0.25">
      <c r="A7779" t="str">
        <f>"7775"</f>
        <v>7775</v>
      </c>
      <c r="B7779" t="str">
        <f t="shared" si="453"/>
        <v>1</v>
      </c>
      <c r="C7779" t="str">
        <f t="shared" si="452"/>
        <v>340</v>
      </c>
      <c r="D7779" t="str">
        <f>"9"</f>
        <v>9</v>
      </c>
      <c r="E7779" t="str">
        <f>"1-340-9"</f>
        <v>1-340-9</v>
      </c>
      <c r="F7779" t="s">
        <v>83</v>
      </c>
      <c r="G7779" t="s">
        <v>84</v>
      </c>
      <c r="H7779" t="s">
        <v>85</v>
      </c>
      <c r="AC7779">
        <v>0</v>
      </c>
      <c r="AD7779">
        <v>0</v>
      </c>
      <c r="AE7779">
        <v>0</v>
      </c>
      <c r="AF7779">
        <v>0</v>
      </c>
      <c r="AG7779">
        <v>1</v>
      </c>
      <c r="AJ7779">
        <v>0</v>
      </c>
      <c r="AK7779">
        <v>0</v>
      </c>
      <c r="AL7779">
        <v>0</v>
      </c>
      <c r="AM7779">
        <v>0</v>
      </c>
      <c r="AN7779">
        <v>0</v>
      </c>
      <c r="AO7779">
        <v>1</v>
      </c>
      <c r="AP7779">
        <v>1</v>
      </c>
      <c r="AQ7779">
        <v>1</v>
      </c>
      <c r="AR7779">
        <v>1</v>
      </c>
      <c r="AS7779">
        <v>0</v>
      </c>
      <c r="AT7779">
        <v>1</v>
      </c>
      <c r="AV7779">
        <v>1</v>
      </c>
      <c r="AW7779">
        <v>1</v>
      </c>
    </row>
    <row r="7780" spans="1:49" x14ac:dyDescent="0.25">
      <c r="A7780" t="str">
        <f>"7776"</f>
        <v>7776</v>
      </c>
      <c r="B7780" t="str">
        <f t="shared" si="453"/>
        <v>1</v>
      </c>
      <c r="C7780" t="str">
        <f t="shared" si="452"/>
        <v>340</v>
      </c>
      <c r="D7780" t="str">
        <f>"7"</f>
        <v>7</v>
      </c>
      <c r="E7780" t="str">
        <f>"1-340-7"</f>
        <v>1-340-7</v>
      </c>
      <c r="F7780" t="s">
        <v>83</v>
      </c>
      <c r="G7780" t="s">
        <v>84</v>
      </c>
      <c r="H7780" t="s">
        <v>85</v>
      </c>
      <c r="AC7780">
        <v>1</v>
      </c>
      <c r="AD7780">
        <v>0</v>
      </c>
      <c r="AE7780">
        <v>0</v>
      </c>
      <c r="AF7780">
        <v>0</v>
      </c>
      <c r="AG7780">
        <v>0</v>
      </c>
      <c r="AJ7780">
        <v>1</v>
      </c>
      <c r="AK7780">
        <v>0</v>
      </c>
      <c r="AL7780">
        <v>1</v>
      </c>
      <c r="AM7780">
        <v>0</v>
      </c>
      <c r="AN7780">
        <v>0</v>
      </c>
      <c r="AO7780">
        <v>0</v>
      </c>
      <c r="AP7780">
        <v>0</v>
      </c>
      <c r="AQ7780">
        <v>0</v>
      </c>
      <c r="AR7780">
        <v>0</v>
      </c>
      <c r="AS7780">
        <v>0</v>
      </c>
      <c r="AT7780">
        <v>0</v>
      </c>
      <c r="AV7780">
        <v>0</v>
      </c>
      <c r="AW7780">
        <v>0</v>
      </c>
    </row>
    <row r="7781" spans="1:49" x14ac:dyDescent="0.25">
      <c r="A7781" t="str">
        <f>"7777"</f>
        <v>7777</v>
      </c>
      <c r="B7781" t="str">
        <f t="shared" si="453"/>
        <v>1</v>
      </c>
      <c r="C7781" t="str">
        <f t="shared" si="452"/>
        <v>340</v>
      </c>
      <c r="D7781" t="str">
        <f>"24"</f>
        <v>24</v>
      </c>
      <c r="E7781" t="str">
        <f>"1-340-24"</f>
        <v>1-340-24</v>
      </c>
      <c r="F7781" t="s">
        <v>83</v>
      </c>
      <c r="G7781" t="s">
        <v>84</v>
      </c>
      <c r="H7781" t="s">
        <v>85</v>
      </c>
      <c r="AC7781">
        <v>0</v>
      </c>
      <c r="AD7781">
        <v>0</v>
      </c>
      <c r="AE7781">
        <v>0</v>
      </c>
      <c r="AF7781">
        <v>0</v>
      </c>
      <c r="AG7781">
        <v>0</v>
      </c>
      <c r="AJ7781">
        <v>0</v>
      </c>
      <c r="AK7781">
        <v>1</v>
      </c>
      <c r="AL7781">
        <v>0</v>
      </c>
      <c r="AM7781">
        <v>0</v>
      </c>
      <c r="AN7781">
        <v>1</v>
      </c>
      <c r="AO7781">
        <v>0</v>
      </c>
      <c r="AP7781">
        <v>0</v>
      </c>
      <c r="AQ7781">
        <v>0</v>
      </c>
      <c r="AR7781">
        <v>0</v>
      </c>
      <c r="AS7781">
        <v>0</v>
      </c>
      <c r="AT7781">
        <v>0</v>
      </c>
      <c r="AV7781">
        <v>0</v>
      </c>
      <c r="AW7781">
        <v>1</v>
      </c>
    </row>
    <row r="7782" spans="1:49" x14ac:dyDescent="0.25">
      <c r="A7782" t="str">
        <f>"7778"</f>
        <v>7778</v>
      </c>
      <c r="B7782" t="str">
        <f t="shared" si="453"/>
        <v>1</v>
      </c>
      <c r="C7782" t="str">
        <f t="shared" si="452"/>
        <v>340</v>
      </c>
      <c r="D7782" t="str">
        <f>"15"</f>
        <v>15</v>
      </c>
      <c r="E7782" t="str">
        <f>"1-340-15"</f>
        <v>1-340-15</v>
      </c>
      <c r="F7782" t="s">
        <v>83</v>
      </c>
      <c r="G7782" t="s">
        <v>84</v>
      </c>
      <c r="H7782" t="s">
        <v>85</v>
      </c>
      <c r="AC7782">
        <v>1</v>
      </c>
      <c r="AD7782">
        <v>0</v>
      </c>
      <c r="AE7782">
        <v>0</v>
      </c>
      <c r="AF7782">
        <v>0</v>
      </c>
      <c r="AG7782">
        <v>1</v>
      </c>
      <c r="AJ7782">
        <v>1</v>
      </c>
      <c r="AK7782">
        <v>0</v>
      </c>
      <c r="AL7782">
        <v>1</v>
      </c>
      <c r="AM7782">
        <v>0</v>
      </c>
      <c r="AN7782">
        <v>0</v>
      </c>
      <c r="AO7782">
        <v>1</v>
      </c>
      <c r="AP7782">
        <v>1</v>
      </c>
      <c r="AQ7782">
        <v>1</v>
      </c>
      <c r="AR7782">
        <v>1</v>
      </c>
      <c r="AS7782">
        <v>1</v>
      </c>
      <c r="AT7782">
        <v>0</v>
      </c>
      <c r="AV7782">
        <v>1</v>
      </c>
      <c r="AW7782">
        <v>1</v>
      </c>
    </row>
    <row r="7783" spans="1:49" x14ac:dyDescent="0.25">
      <c r="A7783" t="str">
        <f>"7779"</f>
        <v>7779</v>
      </c>
      <c r="B7783" t="str">
        <f t="shared" si="453"/>
        <v>1</v>
      </c>
      <c r="C7783" t="str">
        <f t="shared" si="452"/>
        <v>340</v>
      </c>
      <c r="D7783" t="str">
        <f>"10"</f>
        <v>10</v>
      </c>
      <c r="E7783" t="str">
        <f>"1-340-10"</f>
        <v>1-340-10</v>
      </c>
      <c r="F7783" t="s">
        <v>83</v>
      </c>
      <c r="G7783" t="s">
        <v>84</v>
      </c>
      <c r="H7783" t="s">
        <v>85</v>
      </c>
      <c r="AC7783">
        <v>0</v>
      </c>
      <c r="AD7783">
        <v>1</v>
      </c>
      <c r="AE7783">
        <v>0</v>
      </c>
      <c r="AF7783">
        <v>0</v>
      </c>
      <c r="AG7783">
        <v>1</v>
      </c>
      <c r="AJ7783">
        <v>0</v>
      </c>
      <c r="AK7783">
        <v>1</v>
      </c>
      <c r="AL7783">
        <v>1</v>
      </c>
      <c r="AM7783">
        <v>0</v>
      </c>
      <c r="AN7783">
        <v>0</v>
      </c>
      <c r="AO7783">
        <v>1</v>
      </c>
      <c r="AP7783">
        <v>1</v>
      </c>
      <c r="AQ7783">
        <v>1</v>
      </c>
      <c r="AR7783">
        <v>1</v>
      </c>
      <c r="AS7783">
        <v>0</v>
      </c>
      <c r="AT7783">
        <v>1</v>
      </c>
      <c r="AV7783">
        <v>1</v>
      </c>
      <c r="AW7783">
        <v>1</v>
      </c>
    </row>
    <row r="7784" spans="1:49" x14ac:dyDescent="0.25">
      <c r="A7784" t="str">
        <f>"7780"</f>
        <v>7780</v>
      </c>
      <c r="B7784" t="str">
        <f t="shared" si="453"/>
        <v>1</v>
      </c>
      <c r="C7784" t="str">
        <f t="shared" si="452"/>
        <v>340</v>
      </c>
      <c r="D7784" t="str">
        <f>"2"</f>
        <v>2</v>
      </c>
      <c r="E7784" t="str">
        <f>"1-340-2"</f>
        <v>1-340-2</v>
      </c>
      <c r="F7784" t="s">
        <v>83</v>
      </c>
      <c r="G7784" t="s">
        <v>84</v>
      </c>
      <c r="H7784" t="s">
        <v>85</v>
      </c>
      <c r="AC7784">
        <v>0</v>
      </c>
      <c r="AD7784">
        <v>1</v>
      </c>
      <c r="AE7784">
        <v>0</v>
      </c>
      <c r="AF7784">
        <v>0</v>
      </c>
      <c r="AG7784">
        <v>1</v>
      </c>
      <c r="AJ7784">
        <v>1</v>
      </c>
      <c r="AK7784">
        <v>0</v>
      </c>
      <c r="AL7784">
        <v>0</v>
      </c>
      <c r="AM7784">
        <v>1</v>
      </c>
      <c r="AN7784">
        <v>0</v>
      </c>
      <c r="AO7784">
        <v>1</v>
      </c>
      <c r="AP7784">
        <v>1</v>
      </c>
      <c r="AQ7784">
        <v>1</v>
      </c>
      <c r="AR7784">
        <v>1</v>
      </c>
      <c r="AS7784">
        <v>0</v>
      </c>
      <c r="AT7784">
        <v>1</v>
      </c>
      <c r="AV7784">
        <v>1</v>
      </c>
      <c r="AW7784">
        <v>1</v>
      </c>
    </row>
    <row r="7785" spans="1:49" x14ac:dyDescent="0.25">
      <c r="A7785" t="str">
        <f>"7781"</f>
        <v>7781</v>
      </c>
      <c r="B7785" t="str">
        <f t="shared" si="453"/>
        <v>1</v>
      </c>
      <c r="C7785" t="str">
        <f t="shared" si="452"/>
        <v>340</v>
      </c>
      <c r="D7785" t="str">
        <f>"16"</f>
        <v>16</v>
      </c>
      <c r="E7785" t="str">
        <f>"1-340-16"</f>
        <v>1-340-16</v>
      </c>
      <c r="F7785" t="s">
        <v>83</v>
      </c>
      <c r="G7785" t="s">
        <v>84</v>
      </c>
      <c r="H7785" t="s">
        <v>85</v>
      </c>
      <c r="AC7785">
        <v>1</v>
      </c>
      <c r="AD7785">
        <v>0</v>
      </c>
      <c r="AE7785">
        <v>0</v>
      </c>
      <c r="AF7785">
        <v>0</v>
      </c>
      <c r="AG7785">
        <v>1</v>
      </c>
      <c r="AJ7785">
        <v>0</v>
      </c>
      <c r="AK7785">
        <v>1</v>
      </c>
      <c r="AL7785">
        <v>0</v>
      </c>
      <c r="AM7785">
        <v>1</v>
      </c>
      <c r="AN7785">
        <v>0</v>
      </c>
      <c r="AO7785">
        <v>1</v>
      </c>
      <c r="AP7785">
        <v>1</v>
      </c>
      <c r="AQ7785">
        <v>1</v>
      </c>
      <c r="AR7785">
        <v>1</v>
      </c>
      <c r="AS7785">
        <v>0</v>
      </c>
      <c r="AT7785">
        <v>1</v>
      </c>
      <c r="AV7785">
        <v>1</v>
      </c>
      <c r="AW7785">
        <v>1</v>
      </c>
    </row>
    <row r="7786" spans="1:49" x14ac:dyDescent="0.25">
      <c r="A7786" t="str">
        <f>"7782"</f>
        <v>7782</v>
      </c>
      <c r="B7786" t="str">
        <f t="shared" si="453"/>
        <v>1</v>
      </c>
      <c r="C7786" t="str">
        <f t="shared" si="452"/>
        <v>340</v>
      </c>
      <c r="D7786" t="str">
        <f>"11"</f>
        <v>11</v>
      </c>
      <c r="E7786" t="str">
        <f>"1-340-11"</f>
        <v>1-340-11</v>
      </c>
      <c r="F7786" t="s">
        <v>83</v>
      </c>
      <c r="G7786" t="s">
        <v>84</v>
      </c>
      <c r="H7786" t="s">
        <v>85</v>
      </c>
      <c r="AC7786">
        <v>0</v>
      </c>
      <c r="AD7786">
        <v>1</v>
      </c>
      <c r="AE7786">
        <v>0</v>
      </c>
      <c r="AF7786">
        <v>0</v>
      </c>
      <c r="AG7786">
        <v>1</v>
      </c>
      <c r="AJ7786">
        <v>1</v>
      </c>
      <c r="AK7786">
        <v>0</v>
      </c>
      <c r="AL7786">
        <v>1</v>
      </c>
      <c r="AM7786">
        <v>0</v>
      </c>
      <c r="AN7786">
        <v>0</v>
      </c>
      <c r="AO7786">
        <v>1</v>
      </c>
      <c r="AP7786">
        <v>1</v>
      </c>
      <c r="AQ7786">
        <v>1</v>
      </c>
      <c r="AR7786">
        <v>1</v>
      </c>
      <c r="AS7786">
        <v>0</v>
      </c>
      <c r="AT7786">
        <v>1</v>
      </c>
      <c r="AV7786">
        <v>1</v>
      </c>
      <c r="AW7786">
        <v>1</v>
      </c>
    </row>
    <row r="7787" spans="1:49" x14ac:dyDescent="0.25">
      <c r="A7787" t="str">
        <f>"7783"</f>
        <v>7783</v>
      </c>
      <c r="B7787" t="str">
        <f t="shared" si="453"/>
        <v>1</v>
      </c>
      <c r="C7787" t="str">
        <f t="shared" si="452"/>
        <v>340</v>
      </c>
      <c r="D7787" t="str">
        <f>"6"</f>
        <v>6</v>
      </c>
      <c r="E7787" t="str">
        <f>"1-340-6"</f>
        <v>1-340-6</v>
      </c>
      <c r="F7787" t="s">
        <v>83</v>
      </c>
      <c r="G7787" t="s">
        <v>84</v>
      </c>
      <c r="H7787" t="s">
        <v>85</v>
      </c>
      <c r="AC7787">
        <v>0</v>
      </c>
      <c r="AD7787">
        <v>1</v>
      </c>
      <c r="AE7787">
        <v>0</v>
      </c>
      <c r="AF7787">
        <v>0</v>
      </c>
      <c r="AG7787">
        <v>1</v>
      </c>
      <c r="AJ7787">
        <v>0</v>
      </c>
      <c r="AK7787">
        <v>1</v>
      </c>
      <c r="AL7787">
        <v>1</v>
      </c>
      <c r="AM7787">
        <v>0</v>
      </c>
      <c r="AN7787">
        <v>0</v>
      </c>
      <c r="AO7787">
        <v>1</v>
      </c>
      <c r="AP7787">
        <v>1</v>
      </c>
      <c r="AQ7787">
        <v>1</v>
      </c>
      <c r="AR7787">
        <v>1</v>
      </c>
      <c r="AS7787">
        <v>0</v>
      </c>
      <c r="AT7787">
        <v>1</v>
      </c>
      <c r="AV7787">
        <v>1</v>
      </c>
      <c r="AW7787">
        <v>1</v>
      </c>
    </row>
    <row r="7788" spans="1:49" x14ac:dyDescent="0.25">
      <c r="A7788" t="str">
        <f>"7784"</f>
        <v>7784</v>
      </c>
      <c r="B7788" t="str">
        <f t="shared" si="453"/>
        <v>1</v>
      </c>
      <c r="C7788" t="str">
        <f t="shared" si="452"/>
        <v>340</v>
      </c>
      <c r="D7788" t="str">
        <f>"19"</f>
        <v>19</v>
      </c>
      <c r="E7788" t="str">
        <f>"1-340-19"</f>
        <v>1-340-19</v>
      </c>
      <c r="F7788" t="s">
        <v>83</v>
      </c>
      <c r="G7788" t="s">
        <v>84</v>
      </c>
      <c r="H7788" t="s">
        <v>85</v>
      </c>
      <c r="AC7788">
        <v>0</v>
      </c>
      <c r="AD7788">
        <v>1</v>
      </c>
      <c r="AE7788">
        <v>0</v>
      </c>
      <c r="AF7788">
        <v>0</v>
      </c>
      <c r="AG7788">
        <v>1</v>
      </c>
      <c r="AJ7788">
        <v>0</v>
      </c>
      <c r="AK7788">
        <v>1</v>
      </c>
      <c r="AL7788">
        <v>1</v>
      </c>
      <c r="AM7788">
        <v>0</v>
      </c>
      <c r="AN7788">
        <v>0</v>
      </c>
      <c r="AO7788">
        <v>1</v>
      </c>
      <c r="AP7788">
        <v>1</v>
      </c>
      <c r="AQ7788">
        <v>1</v>
      </c>
      <c r="AR7788">
        <v>1</v>
      </c>
      <c r="AS7788">
        <v>0</v>
      </c>
      <c r="AT7788">
        <v>1</v>
      </c>
      <c r="AV7788">
        <v>1</v>
      </c>
      <c r="AW7788">
        <v>1</v>
      </c>
    </row>
    <row r="7789" spans="1:49" x14ac:dyDescent="0.25">
      <c r="A7789" t="str">
        <f>"7785"</f>
        <v>7785</v>
      </c>
      <c r="B7789" t="str">
        <f t="shared" si="453"/>
        <v>1</v>
      </c>
      <c r="C7789" t="str">
        <f t="shared" si="452"/>
        <v>340</v>
      </c>
      <c r="D7789" t="str">
        <f>"12"</f>
        <v>12</v>
      </c>
      <c r="E7789" t="str">
        <f>"1-340-12"</f>
        <v>1-340-12</v>
      </c>
      <c r="F7789" t="s">
        <v>83</v>
      </c>
      <c r="G7789" t="s">
        <v>84</v>
      </c>
      <c r="H7789" t="s">
        <v>85</v>
      </c>
      <c r="AC7789">
        <v>0</v>
      </c>
      <c r="AD7789">
        <v>1</v>
      </c>
      <c r="AE7789">
        <v>0</v>
      </c>
      <c r="AF7789">
        <v>0</v>
      </c>
      <c r="AG7789">
        <v>1</v>
      </c>
      <c r="AJ7789">
        <v>0</v>
      </c>
      <c r="AK7789">
        <v>1</v>
      </c>
      <c r="AL7789">
        <v>1</v>
      </c>
      <c r="AM7789">
        <v>0</v>
      </c>
      <c r="AN7789">
        <v>0</v>
      </c>
      <c r="AO7789">
        <v>1</v>
      </c>
      <c r="AP7789">
        <v>1</v>
      </c>
      <c r="AQ7789">
        <v>1</v>
      </c>
      <c r="AR7789">
        <v>1</v>
      </c>
      <c r="AS7789">
        <v>1</v>
      </c>
      <c r="AT7789">
        <v>0</v>
      </c>
      <c r="AV7789">
        <v>1</v>
      </c>
      <c r="AW7789">
        <v>1</v>
      </c>
    </row>
    <row r="7790" spans="1:49" x14ac:dyDescent="0.25">
      <c r="A7790" t="str">
        <f>"7786"</f>
        <v>7786</v>
      </c>
      <c r="B7790" t="str">
        <f t="shared" si="453"/>
        <v>1</v>
      </c>
      <c r="C7790" t="str">
        <f t="shared" si="452"/>
        <v>340</v>
      </c>
      <c r="D7790" t="str">
        <f>"1"</f>
        <v>1</v>
      </c>
      <c r="E7790" t="str">
        <f>"1-340-1"</f>
        <v>1-340-1</v>
      </c>
      <c r="F7790" t="s">
        <v>83</v>
      </c>
      <c r="G7790" t="s">
        <v>84</v>
      </c>
      <c r="H7790" t="s">
        <v>85</v>
      </c>
      <c r="AC7790">
        <v>1</v>
      </c>
      <c r="AD7790">
        <v>0</v>
      </c>
      <c r="AE7790">
        <v>0</v>
      </c>
      <c r="AF7790">
        <v>0</v>
      </c>
      <c r="AG7790">
        <v>1</v>
      </c>
      <c r="AJ7790">
        <v>0</v>
      </c>
      <c r="AK7790">
        <v>1</v>
      </c>
      <c r="AL7790">
        <v>1</v>
      </c>
      <c r="AM7790">
        <v>0</v>
      </c>
      <c r="AN7790">
        <v>0</v>
      </c>
      <c r="AO7790">
        <v>1</v>
      </c>
      <c r="AP7790">
        <v>1</v>
      </c>
      <c r="AQ7790">
        <v>1</v>
      </c>
      <c r="AR7790">
        <v>1</v>
      </c>
      <c r="AS7790">
        <v>1</v>
      </c>
      <c r="AT7790">
        <v>0</v>
      </c>
      <c r="AV7790">
        <v>1</v>
      </c>
      <c r="AW7790">
        <v>1</v>
      </c>
    </row>
    <row r="7791" spans="1:49" x14ac:dyDescent="0.25">
      <c r="A7791" t="str">
        <f>"7787"</f>
        <v>7787</v>
      </c>
      <c r="B7791" t="str">
        <f t="shared" si="453"/>
        <v>1</v>
      </c>
      <c r="C7791" t="str">
        <f t="shared" si="452"/>
        <v>340</v>
      </c>
      <c r="D7791" t="str">
        <f>"17"</f>
        <v>17</v>
      </c>
      <c r="E7791" t="str">
        <f>"1-340-17"</f>
        <v>1-340-17</v>
      </c>
      <c r="F7791" t="s">
        <v>83</v>
      </c>
      <c r="G7791" t="s">
        <v>84</v>
      </c>
      <c r="H7791" t="s">
        <v>85</v>
      </c>
      <c r="AC7791">
        <v>1</v>
      </c>
      <c r="AD7791">
        <v>0</v>
      </c>
      <c r="AE7791">
        <v>0</v>
      </c>
      <c r="AF7791">
        <v>0</v>
      </c>
      <c r="AG7791">
        <v>0</v>
      </c>
      <c r="AJ7791">
        <v>1</v>
      </c>
      <c r="AK7791">
        <v>0</v>
      </c>
      <c r="AL7791">
        <v>1</v>
      </c>
      <c r="AM7791">
        <v>0</v>
      </c>
      <c r="AN7791">
        <v>0</v>
      </c>
      <c r="AO7791">
        <v>0</v>
      </c>
      <c r="AP7791">
        <v>0</v>
      </c>
      <c r="AQ7791">
        <v>0</v>
      </c>
      <c r="AR7791">
        <v>0</v>
      </c>
      <c r="AS7791">
        <v>0</v>
      </c>
      <c r="AT7791">
        <v>0</v>
      </c>
      <c r="AV7791">
        <v>0</v>
      </c>
      <c r="AW7791">
        <v>0</v>
      </c>
    </row>
    <row r="7792" spans="1:49" x14ac:dyDescent="0.25">
      <c r="A7792" t="str">
        <f>"7788"</f>
        <v>7788</v>
      </c>
      <c r="B7792" t="str">
        <f t="shared" si="453"/>
        <v>1</v>
      </c>
      <c r="C7792" t="str">
        <f t="shared" si="452"/>
        <v>340</v>
      </c>
      <c r="D7792" t="str">
        <f>"4"</f>
        <v>4</v>
      </c>
      <c r="E7792" t="str">
        <f>"1-340-4"</f>
        <v>1-340-4</v>
      </c>
      <c r="F7792" t="s">
        <v>83</v>
      </c>
      <c r="G7792" t="s">
        <v>84</v>
      </c>
      <c r="H7792" t="s">
        <v>85</v>
      </c>
      <c r="AC7792">
        <v>0</v>
      </c>
      <c r="AD7792">
        <v>1</v>
      </c>
      <c r="AE7792">
        <v>0</v>
      </c>
      <c r="AF7792">
        <v>0</v>
      </c>
      <c r="AG7792">
        <v>1</v>
      </c>
      <c r="AJ7792">
        <v>1</v>
      </c>
      <c r="AK7792">
        <v>0</v>
      </c>
      <c r="AL7792">
        <v>1</v>
      </c>
      <c r="AM7792">
        <v>0</v>
      </c>
      <c r="AN7792">
        <v>0</v>
      </c>
      <c r="AO7792">
        <v>1</v>
      </c>
      <c r="AP7792">
        <v>1</v>
      </c>
      <c r="AQ7792">
        <v>1</v>
      </c>
      <c r="AR7792">
        <v>1</v>
      </c>
      <c r="AS7792">
        <v>1</v>
      </c>
      <c r="AT7792">
        <v>0</v>
      </c>
      <c r="AV7792">
        <v>1</v>
      </c>
      <c r="AW7792">
        <v>1</v>
      </c>
    </row>
    <row r="7793" spans="1:49" x14ac:dyDescent="0.25">
      <c r="A7793" t="str">
        <f>"7789"</f>
        <v>7789</v>
      </c>
      <c r="B7793" t="str">
        <f t="shared" si="453"/>
        <v>1</v>
      </c>
      <c r="C7793" t="str">
        <f t="shared" si="452"/>
        <v>340</v>
      </c>
      <c r="D7793" t="str">
        <f>"18"</f>
        <v>18</v>
      </c>
      <c r="E7793" t="str">
        <f>"1-340-18"</f>
        <v>1-340-18</v>
      </c>
      <c r="F7793" t="s">
        <v>83</v>
      </c>
      <c r="G7793" t="s">
        <v>84</v>
      </c>
      <c r="H7793" t="s">
        <v>85</v>
      </c>
      <c r="AC7793">
        <v>0</v>
      </c>
      <c r="AD7793">
        <v>1</v>
      </c>
      <c r="AE7793">
        <v>0</v>
      </c>
      <c r="AF7793">
        <v>0</v>
      </c>
      <c r="AG7793">
        <v>0</v>
      </c>
      <c r="AJ7793">
        <v>0</v>
      </c>
      <c r="AK7793">
        <v>1</v>
      </c>
      <c r="AL7793">
        <v>0</v>
      </c>
      <c r="AM7793">
        <v>0</v>
      </c>
      <c r="AN7793">
        <v>1</v>
      </c>
      <c r="AO7793">
        <v>0</v>
      </c>
      <c r="AP7793">
        <v>0</v>
      </c>
      <c r="AQ7793">
        <v>0</v>
      </c>
      <c r="AR7793">
        <v>0</v>
      </c>
      <c r="AS7793">
        <v>0</v>
      </c>
      <c r="AT7793">
        <v>1</v>
      </c>
      <c r="AV7793">
        <v>0</v>
      </c>
      <c r="AW7793">
        <v>0</v>
      </c>
    </row>
    <row r="7794" spans="1:49" x14ac:dyDescent="0.25">
      <c r="A7794" t="str">
        <f>"7790"</f>
        <v>7790</v>
      </c>
      <c r="B7794" t="str">
        <f t="shared" si="453"/>
        <v>1</v>
      </c>
      <c r="C7794" t="str">
        <f t="shared" si="452"/>
        <v>340</v>
      </c>
      <c r="D7794" t="str">
        <f>"5"</f>
        <v>5</v>
      </c>
      <c r="E7794" t="str">
        <f>"1-340-5"</f>
        <v>1-340-5</v>
      </c>
      <c r="F7794" t="s">
        <v>83</v>
      </c>
      <c r="G7794" t="s">
        <v>84</v>
      </c>
      <c r="H7794" t="s">
        <v>85</v>
      </c>
      <c r="AC7794">
        <v>0</v>
      </c>
      <c r="AD7794">
        <v>1</v>
      </c>
      <c r="AE7794">
        <v>0</v>
      </c>
      <c r="AF7794">
        <v>0</v>
      </c>
      <c r="AG7794">
        <v>0</v>
      </c>
      <c r="AJ7794">
        <v>0</v>
      </c>
      <c r="AK7794">
        <v>1</v>
      </c>
      <c r="AL7794">
        <v>0</v>
      </c>
      <c r="AM7794">
        <v>0</v>
      </c>
      <c r="AN7794">
        <v>1</v>
      </c>
      <c r="AO7794">
        <v>0</v>
      </c>
      <c r="AP7794">
        <v>0</v>
      </c>
      <c r="AQ7794">
        <v>0</v>
      </c>
      <c r="AR7794">
        <v>0</v>
      </c>
      <c r="AS7794">
        <v>0</v>
      </c>
      <c r="AT7794">
        <v>0</v>
      </c>
      <c r="AV7794">
        <v>0</v>
      </c>
      <c r="AW7794">
        <v>1</v>
      </c>
    </row>
    <row r="7795" spans="1:49" x14ac:dyDescent="0.25">
      <c r="A7795" t="str">
        <f>"7791"</f>
        <v>7791</v>
      </c>
      <c r="B7795" t="str">
        <f t="shared" si="453"/>
        <v>1</v>
      </c>
      <c r="C7795" t="str">
        <f t="shared" ref="C7795:C7819" si="454">"341"</f>
        <v>341</v>
      </c>
      <c r="D7795" t="str">
        <f>"19"</f>
        <v>19</v>
      </c>
      <c r="E7795" t="str">
        <f>"1-341-19"</f>
        <v>1-341-19</v>
      </c>
      <c r="F7795" t="s">
        <v>83</v>
      </c>
      <c r="G7795" t="s">
        <v>84</v>
      </c>
      <c r="H7795" t="s">
        <v>85</v>
      </c>
      <c r="AC7795">
        <v>0</v>
      </c>
      <c r="AD7795">
        <v>1</v>
      </c>
      <c r="AE7795">
        <v>0</v>
      </c>
      <c r="AF7795">
        <v>0</v>
      </c>
      <c r="AG7795">
        <v>0</v>
      </c>
      <c r="AJ7795">
        <v>1</v>
      </c>
      <c r="AK7795">
        <v>0</v>
      </c>
      <c r="AL7795">
        <v>1</v>
      </c>
      <c r="AM7795">
        <v>0</v>
      </c>
      <c r="AN7795">
        <v>0</v>
      </c>
      <c r="AO7795">
        <v>0</v>
      </c>
      <c r="AP7795">
        <v>0</v>
      </c>
      <c r="AQ7795">
        <v>1</v>
      </c>
      <c r="AR7795">
        <v>0</v>
      </c>
      <c r="AS7795">
        <v>0</v>
      </c>
      <c r="AT7795">
        <v>1</v>
      </c>
      <c r="AV7795">
        <v>0</v>
      </c>
      <c r="AW7795">
        <v>1</v>
      </c>
    </row>
    <row r="7796" spans="1:49" x14ac:dyDescent="0.25">
      <c r="A7796" t="str">
        <f>"7792"</f>
        <v>7792</v>
      </c>
      <c r="B7796" t="str">
        <f t="shared" si="453"/>
        <v>1</v>
      </c>
      <c r="C7796" t="str">
        <f t="shared" si="454"/>
        <v>341</v>
      </c>
      <c r="D7796" t="str">
        <f>"18"</f>
        <v>18</v>
      </c>
      <c r="E7796" t="str">
        <f>"1-341-18"</f>
        <v>1-341-18</v>
      </c>
      <c r="F7796" t="s">
        <v>83</v>
      </c>
      <c r="G7796" t="s">
        <v>84</v>
      </c>
      <c r="H7796" t="s">
        <v>85</v>
      </c>
      <c r="AC7796">
        <v>0</v>
      </c>
      <c r="AD7796">
        <v>1</v>
      </c>
      <c r="AE7796">
        <v>0</v>
      </c>
      <c r="AF7796">
        <v>0</v>
      </c>
      <c r="AG7796">
        <v>1</v>
      </c>
      <c r="AJ7796">
        <v>0</v>
      </c>
      <c r="AK7796">
        <v>1</v>
      </c>
      <c r="AL7796">
        <v>0</v>
      </c>
      <c r="AM7796">
        <v>0</v>
      </c>
      <c r="AN7796">
        <v>1</v>
      </c>
      <c r="AO7796">
        <v>1</v>
      </c>
      <c r="AP7796">
        <v>1</v>
      </c>
      <c r="AQ7796">
        <v>1</v>
      </c>
      <c r="AR7796">
        <v>1</v>
      </c>
      <c r="AS7796">
        <v>0</v>
      </c>
      <c r="AT7796">
        <v>1</v>
      </c>
      <c r="AV7796">
        <v>1</v>
      </c>
      <c r="AW7796">
        <v>1</v>
      </c>
    </row>
    <row r="7797" spans="1:49" x14ac:dyDescent="0.25">
      <c r="A7797" t="str">
        <f>"7793"</f>
        <v>7793</v>
      </c>
      <c r="B7797" t="str">
        <f t="shared" si="453"/>
        <v>1</v>
      </c>
      <c r="C7797" t="str">
        <f t="shared" si="454"/>
        <v>341</v>
      </c>
      <c r="D7797" t="str">
        <f>"8"</f>
        <v>8</v>
      </c>
      <c r="E7797" t="str">
        <f>"1-341-8"</f>
        <v>1-341-8</v>
      </c>
      <c r="F7797" t="s">
        <v>83</v>
      </c>
      <c r="G7797" t="s">
        <v>84</v>
      </c>
      <c r="H7797" t="s">
        <v>85</v>
      </c>
      <c r="AC7797">
        <v>0</v>
      </c>
      <c r="AD7797">
        <v>1</v>
      </c>
      <c r="AE7797">
        <v>0</v>
      </c>
      <c r="AF7797">
        <v>0</v>
      </c>
      <c r="AG7797">
        <v>0</v>
      </c>
      <c r="AJ7797">
        <v>0</v>
      </c>
      <c r="AK7797">
        <v>1</v>
      </c>
      <c r="AL7797">
        <v>0</v>
      </c>
      <c r="AM7797">
        <v>1</v>
      </c>
      <c r="AN7797">
        <v>0</v>
      </c>
      <c r="AO7797">
        <v>0</v>
      </c>
      <c r="AP7797">
        <v>0</v>
      </c>
      <c r="AQ7797">
        <v>0</v>
      </c>
      <c r="AR7797">
        <v>0</v>
      </c>
      <c r="AS7797">
        <v>0</v>
      </c>
      <c r="AT7797">
        <v>0</v>
      </c>
      <c r="AV7797">
        <v>0</v>
      </c>
      <c r="AW7797">
        <v>1</v>
      </c>
    </row>
    <row r="7798" spans="1:49" x14ac:dyDescent="0.25">
      <c r="A7798" t="str">
        <f>"7794"</f>
        <v>7794</v>
      </c>
      <c r="B7798" t="str">
        <f t="shared" si="453"/>
        <v>1</v>
      </c>
      <c r="C7798" t="str">
        <f t="shared" si="454"/>
        <v>341</v>
      </c>
      <c r="D7798" t="str">
        <f>"2"</f>
        <v>2</v>
      </c>
      <c r="E7798" t="str">
        <f>"1-341-2"</f>
        <v>1-341-2</v>
      </c>
      <c r="F7798" t="s">
        <v>83</v>
      </c>
      <c r="G7798" t="s">
        <v>84</v>
      </c>
      <c r="H7798" t="s">
        <v>85</v>
      </c>
      <c r="AC7798">
        <v>0</v>
      </c>
      <c r="AD7798">
        <v>1</v>
      </c>
      <c r="AE7798">
        <v>0</v>
      </c>
      <c r="AF7798">
        <v>0</v>
      </c>
      <c r="AG7798">
        <v>1</v>
      </c>
      <c r="AJ7798">
        <v>0</v>
      </c>
      <c r="AK7798">
        <v>1</v>
      </c>
      <c r="AL7798">
        <v>0</v>
      </c>
      <c r="AM7798">
        <v>0</v>
      </c>
      <c r="AN7798">
        <v>1</v>
      </c>
      <c r="AO7798">
        <v>1</v>
      </c>
      <c r="AP7798">
        <v>1</v>
      </c>
      <c r="AQ7798">
        <v>1</v>
      </c>
      <c r="AR7798">
        <v>1</v>
      </c>
      <c r="AS7798">
        <v>0</v>
      </c>
      <c r="AT7798">
        <v>1</v>
      </c>
      <c r="AV7798">
        <v>1</v>
      </c>
      <c r="AW7798">
        <v>1</v>
      </c>
    </row>
    <row r="7799" spans="1:49" x14ac:dyDescent="0.25">
      <c r="A7799" t="str">
        <f>"7795"</f>
        <v>7795</v>
      </c>
      <c r="B7799" t="str">
        <f t="shared" si="453"/>
        <v>1</v>
      </c>
      <c r="C7799" t="str">
        <f t="shared" si="454"/>
        <v>341</v>
      </c>
      <c r="D7799" t="str">
        <f>"23"</f>
        <v>23</v>
      </c>
      <c r="E7799" t="str">
        <f>"1-341-23"</f>
        <v>1-341-23</v>
      </c>
      <c r="F7799" t="s">
        <v>83</v>
      </c>
      <c r="G7799" t="s">
        <v>84</v>
      </c>
      <c r="H7799" t="s">
        <v>85</v>
      </c>
      <c r="AC7799">
        <v>1</v>
      </c>
      <c r="AD7799">
        <v>0</v>
      </c>
      <c r="AE7799">
        <v>0</v>
      </c>
      <c r="AF7799">
        <v>0</v>
      </c>
      <c r="AG7799">
        <v>0</v>
      </c>
      <c r="AJ7799">
        <v>1</v>
      </c>
      <c r="AK7799">
        <v>0</v>
      </c>
      <c r="AL7799">
        <v>1</v>
      </c>
      <c r="AM7799">
        <v>0</v>
      </c>
      <c r="AN7799">
        <v>0</v>
      </c>
      <c r="AO7799">
        <v>0</v>
      </c>
      <c r="AP7799">
        <v>0</v>
      </c>
      <c r="AQ7799">
        <v>0</v>
      </c>
      <c r="AR7799">
        <v>0</v>
      </c>
      <c r="AS7799">
        <v>1</v>
      </c>
      <c r="AT7799">
        <v>0</v>
      </c>
      <c r="AV7799">
        <v>0</v>
      </c>
      <c r="AW7799">
        <v>1</v>
      </c>
    </row>
    <row r="7800" spans="1:49" x14ac:dyDescent="0.25">
      <c r="A7800" t="str">
        <f>"7796"</f>
        <v>7796</v>
      </c>
      <c r="B7800" t="str">
        <f t="shared" si="453"/>
        <v>1</v>
      </c>
      <c r="C7800" t="str">
        <f t="shared" si="454"/>
        <v>341</v>
      </c>
      <c r="D7800" t="str">
        <f>"12"</f>
        <v>12</v>
      </c>
      <c r="E7800" t="str">
        <f>"1-341-12"</f>
        <v>1-341-12</v>
      </c>
      <c r="F7800" t="s">
        <v>83</v>
      </c>
      <c r="G7800" t="s">
        <v>84</v>
      </c>
      <c r="H7800" t="s">
        <v>85</v>
      </c>
      <c r="AC7800">
        <v>0</v>
      </c>
      <c r="AD7800">
        <v>1</v>
      </c>
      <c r="AE7800">
        <v>0</v>
      </c>
      <c r="AF7800">
        <v>0</v>
      </c>
      <c r="AG7800">
        <v>1</v>
      </c>
      <c r="AJ7800">
        <v>0</v>
      </c>
      <c r="AK7800">
        <v>1</v>
      </c>
      <c r="AL7800">
        <v>0</v>
      </c>
      <c r="AM7800">
        <v>1</v>
      </c>
      <c r="AN7800">
        <v>0</v>
      </c>
      <c r="AO7800">
        <v>1</v>
      </c>
      <c r="AP7800">
        <v>1</v>
      </c>
      <c r="AQ7800">
        <v>1</v>
      </c>
      <c r="AR7800">
        <v>1</v>
      </c>
      <c r="AS7800">
        <v>0</v>
      </c>
      <c r="AT7800">
        <v>1</v>
      </c>
      <c r="AV7800">
        <v>1</v>
      </c>
      <c r="AW7800">
        <v>1</v>
      </c>
    </row>
    <row r="7801" spans="1:49" x14ac:dyDescent="0.25">
      <c r="A7801" t="str">
        <f>"7797"</f>
        <v>7797</v>
      </c>
      <c r="B7801" t="str">
        <f t="shared" si="453"/>
        <v>1</v>
      </c>
      <c r="C7801" t="str">
        <f t="shared" si="454"/>
        <v>341</v>
      </c>
      <c r="D7801" t="str">
        <f>"9"</f>
        <v>9</v>
      </c>
      <c r="E7801" t="str">
        <f>"1-341-9"</f>
        <v>1-341-9</v>
      </c>
      <c r="F7801" t="s">
        <v>83</v>
      </c>
      <c r="G7801" t="s">
        <v>84</v>
      </c>
      <c r="H7801" t="s">
        <v>85</v>
      </c>
      <c r="AC7801">
        <v>1</v>
      </c>
      <c r="AD7801">
        <v>0</v>
      </c>
      <c r="AE7801">
        <v>0</v>
      </c>
      <c r="AF7801">
        <v>0</v>
      </c>
      <c r="AG7801">
        <v>1</v>
      </c>
      <c r="AJ7801">
        <v>0</v>
      </c>
      <c r="AK7801">
        <v>1</v>
      </c>
      <c r="AL7801">
        <v>0</v>
      </c>
      <c r="AM7801">
        <v>1</v>
      </c>
      <c r="AN7801">
        <v>0</v>
      </c>
      <c r="AO7801">
        <v>1</v>
      </c>
      <c r="AP7801">
        <v>1</v>
      </c>
      <c r="AQ7801">
        <v>1</v>
      </c>
      <c r="AR7801">
        <v>1</v>
      </c>
      <c r="AS7801">
        <v>1</v>
      </c>
      <c r="AT7801">
        <v>0</v>
      </c>
      <c r="AV7801">
        <v>1</v>
      </c>
      <c r="AW7801">
        <v>1</v>
      </c>
    </row>
    <row r="7802" spans="1:49" x14ac:dyDescent="0.25">
      <c r="A7802" t="str">
        <f>"7798"</f>
        <v>7798</v>
      </c>
      <c r="B7802" t="str">
        <f t="shared" si="453"/>
        <v>1</v>
      </c>
      <c r="C7802" t="str">
        <f t="shared" si="454"/>
        <v>341</v>
      </c>
      <c r="D7802" t="str">
        <f>"4"</f>
        <v>4</v>
      </c>
      <c r="E7802" t="str">
        <f>"1-341-4"</f>
        <v>1-341-4</v>
      </c>
      <c r="F7802" t="s">
        <v>83</v>
      </c>
      <c r="G7802" t="s">
        <v>88</v>
      </c>
      <c r="H7802" t="s">
        <v>89</v>
      </c>
      <c r="AC7802">
        <v>0</v>
      </c>
      <c r="AD7802">
        <v>1</v>
      </c>
      <c r="AE7802">
        <v>0</v>
      </c>
      <c r="AF7802">
        <v>0</v>
      </c>
      <c r="AH7802">
        <v>1</v>
      </c>
      <c r="AI7802">
        <v>0</v>
      </c>
      <c r="AJ7802">
        <v>1</v>
      </c>
      <c r="AK7802">
        <v>0</v>
      </c>
      <c r="AL7802">
        <v>0</v>
      </c>
      <c r="AM7802">
        <v>0</v>
      </c>
      <c r="AN7802">
        <v>1</v>
      </c>
      <c r="AO7802">
        <v>1</v>
      </c>
      <c r="AP7802">
        <v>1</v>
      </c>
      <c r="AQ7802">
        <v>1</v>
      </c>
      <c r="AR7802">
        <v>1</v>
      </c>
      <c r="AS7802">
        <v>0</v>
      </c>
      <c r="AT7802">
        <v>1</v>
      </c>
      <c r="AV7802">
        <v>1</v>
      </c>
      <c r="AW7802">
        <v>1</v>
      </c>
    </row>
    <row r="7803" spans="1:49" x14ac:dyDescent="0.25">
      <c r="A7803" t="str">
        <f>"7799"</f>
        <v>7799</v>
      </c>
      <c r="B7803" t="str">
        <f t="shared" si="453"/>
        <v>1</v>
      </c>
      <c r="C7803" t="str">
        <f t="shared" si="454"/>
        <v>341</v>
      </c>
      <c r="D7803" t="str">
        <f>"21"</f>
        <v>21</v>
      </c>
      <c r="E7803" t="str">
        <f>"1-341-21"</f>
        <v>1-341-21</v>
      </c>
      <c r="F7803" t="s">
        <v>83</v>
      </c>
      <c r="G7803" t="s">
        <v>84</v>
      </c>
      <c r="H7803" t="s">
        <v>85</v>
      </c>
      <c r="AC7803">
        <v>0</v>
      </c>
      <c r="AD7803">
        <v>1</v>
      </c>
      <c r="AE7803">
        <v>0</v>
      </c>
      <c r="AF7803">
        <v>0</v>
      </c>
      <c r="AG7803">
        <v>1</v>
      </c>
      <c r="AJ7803">
        <v>0</v>
      </c>
      <c r="AK7803">
        <v>1</v>
      </c>
      <c r="AL7803">
        <v>0</v>
      </c>
      <c r="AM7803">
        <v>0</v>
      </c>
      <c r="AN7803">
        <v>1</v>
      </c>
      <c r="AO7803">
        <v>1</v>
      </c>
      <c r="AP7803">
        <v>1</v>
      </c>
      <c r="AQ7803">
        <v>1</v>
      </c>
      <c r="AR7803">
        <v>1</v>
      </c>
      <c r="AS7803">
        <v>0</v>
      </c>
      <c r="AT7803">
        <v>1</v>
      </c>
      <c r="AV7803">
        <v>1</v>
      </c>
      <c r="AW7803">
        <v>1</v>
      </c>
    </row>
    <row r="7804" spans="1:49" x14ac:dyDescent="0.25">
      <c r="A7804" t="str">
        <f>"7800"</f>
        <v>7800</v>
      </c>
      <c r="B7804" t="str">
        <f t="shared" si="453"/>
        <v>1</v>
      </c>
      <c r="C7804" t="str">
        <f t="shared" si="454"/>
        <v>341</v>
      </c>
      <c r="D7804" t="str">
        <f>"20"</f>
        <v>20</v>
      </c>
      <c r="E7804" t="str">
        <f>"1-341-20"</f>
        <v>1-341-20</v>
      </c>
      <c r="F7804" t="s">
        <v>83</v>
      </c>
      <c r="G7804" t="s">
        <v>84</v>
      </c>
      <c r="H7804" t="s">
        <v>85</v>
      </c>
      <c r="AC7804">
        <v>0</v>
      </c>
      <c r="AD7804">
        <v>1</v>
      </c>
      <c r="AE7804">
        <v>0</v>
      </c>
      <c r="AF7804">
        <v>0</v>
      </c>
      <c r="AG7804">
        <v>0</v>
      </c>
      <c r="AJ7804">
        <v>1</v>
      </c>
      <c r="AK7804">
        <v>0</v>
      </c>
      <c r="AL7804">
        <v>1</v>
      </c>
      <c r="AM7804">
        <v>0</v>
      </c>
      <c r="AN7804">
        <v>0</v>
      </c>
      <c r="AO7804">
        <v>0</v>
      </c>
      <c r="AP7804">
        <v>0</v>
      </c>
      <c r="AQ7804">
        <v>1</v>
      </c>
      <c r="AR7804">
        <v>0</v>
      </c>
      <c r="AS7804">
        <v>0</v>
      </c>
      <c r="AT7804">
        <v>1</v>
      </c>
      <c r="AV7804">
        <v>0</v>
      </c>
      <c r="AW7804">
        <v>1</v>
      </c>
    </row>
    <row r="7805" spans="1:49" x14ac:dyDescent="0.25">
      <c r="A7805" t="str">
        <f>"7801"</f>
        <v>7801</v>
      </c>
      <c r="B7805" t="str">
        <f t="shared" si="453"/>
        <v>1</v>
      </c>
      <c r="C7805" t="str">
        <f t="shared" si="454"/>
        <v>341</v>
      </c>
      <c r="D7805" t="str">
        <f>"13"</f>
        <v>13</v>
      </c>
      <c r="E7805" t="str">
        <f>"1-341-13"</f>
        <v>1-341-13</v>
      </c>
      <c r="F7805" t="s">
        <v>83</v>
      </c>
      <c r="G7805" t="s">
        <v>84</v>
      </c>
      <c r="H7805" t="s">
        <v>85</v>
      </c>
      <c r="AC7805">
        <v>0</v>
      </c>
      <c r="AD7805">
        <v>1</v>
      </c>
      <c r="AE7805">
        <v>0</v>
      </c>
      <c r="AF7805">
        <v>0</v>
      </c>
      <c r="AG7805">
        <v>0</v>
      </c>
      <c r="AJ7805">
        <v>0</v>
      </c>
      <c r="AK7805">
        <v>1</v>
      </c>
      <c r="AL7805">
        <v>0</v>
      </c>
      <c r="AM7805">
        <v>0</v>
      </c>
      <c r="AN7805">
        <v>1</v>
      </c>
      <c r="AO7805">
        <v>0</v>
      </c>
      <c r="AP7805">
        <v>0</v>
      </c>
      <c r="AQ7805">
        <v>0</v>
      </c>
      <c r="AR7805">
        <v>0</v>
      </c>
      <c r="AS7805">
        <v>1</v>
      </c>
      <c r="AT7805">
        <v>0</v>
      </c>
      <c r="AV7805">
        <v>0</v>
      </c>
      <c r="AW7805">
        <v>1</v>
      </c>
    </row>
    <row r="7806" spans="1:49" x14ac:dyDescent="0.25">
      <c r="A7806" t="str">
        <f>"7802"</f>
        <v>7802</v>
      </c>
      <c r="B7806" t="str">
        <f t="shared" si="453"/>
        <v>1</v>
      </c>
      <c r="C7806" t="str">
        <f t="shared" si="454"/>
        <v>341</v>
      </c>
      <c r="D7806" t="str">
        <f>"10"</f>
        <v>10</v>
      </c>
      <c r="E7806" t="str">
        <f>"1-341-10"</f>
        <v>1-341-10</v>
      </c>
      <c r="F7806" t="s">
        <v>83</v>
      </c>
      <c r="G7806" t="s">
        <v>84</v>
      </c>
      <c r="H7806" t="s">
        <v>85</v>
      </c>
      <c r="AC7806">
        <v>0</v>
      </c>
      <c r="AD7806">
        <v>1</v>
      </c>
      <c r="AE7806">
        <v>0</v>
      </c>
      <c r="AF7806">
        <v>0</v>
      </c>
      <c r="AG7806">
        <v>0</v>
      </c>
      <c r="AJ7806">
        <v>0</v>
      </c>
      <c r="AK7806">
        <v>1</v>
      </c>
      <c r="AL7806">
        <v>0</v>
      </c>
      <c r="AM7806">
        <v>1</v>
      </c>
      <c r="AN7806">
        <v>0</v>
      </c>
      <c r="AO7806">
        <v>0</v>
      </c>
      <c r="AP7806">
        <v>0</v>
      </c>
      <c r="AQ7806">
        <v>0</v>
      </c>
      <c r="AR7806">
        <v>0</v>
      </c>
      <c r="AS7806">
        <v>1</v>
      </c>
      <c r="AT7806">
        <v>0</v>
      </c>
      <c r="AV7806">
        <v>0</v>
      </c>
      <c r="AW7806">
        <v>1</v>
      </c>
    </row>
    <row r="7807" spans="1:49" x14ac:dyDescent="0.25">
      <c r="A7807" t="str">
        <f>"7803"</f>
        <v>7803</v>
      </c>
      <c r="B7807" t="str">
        <f t="shared" si="453"/>
        <v>1</v>
      </c>
      <c r="C7807" t="str">
        <f t="shared" si="454"/>
        <v>341</v>
      </c>
      <c r="D7807" t="str">
        <f>"5"</f>
        <v>5</v>
      </c>
      <c r="E7807" t="str">
        <f>"1-341-5"</f>
        <v>1-341-5</v>
      </c>
      <c r="F7807" t="s">
        <v>83</v>
      </c>
      <c r="G7807" t="s">
        <v>88</v>
      </c>
      <c r="H7807" t="s">
        <v>89</v>
      </c>
      <c r="AC7807">
        <v>0</v>
      </c>
      <c r="AD7807">
        <v>1</v>
      </c>
      <c r="AE7807">
        <v>0</v>
      </c>
      <c r="AF7807">
        <v>0</v>
      </c>
      <c r="AH7807">
        <v>1</v>
      </c>
      <c r="AI7807">
        <v>0</v>
      </c>
      <c r="AJ7807">
        <v>1</v>
      </c>
      <c r="AK7807">
        <v>0</v>
      </c>
      <c r="AL7807">
        <v>0</v>
      </c>
      <c r="AM7807">
        <v>0</v>
      </c>
      <c r="AN7807">
        <v>1</v>
      </c>
      <c r="AO7807">
        <v>1</v>
      </c>
      <c r="AP7807">
        <v>1</v>
      </c>
      <c r="AQ7807">
        <v>1</v>
      </c>
      <c r="AR7807">
        <v>1</v>
      </c>
      <c r="AS7807">
        <v>0</v>
      </c>
      <c r="AT7807">
        <v>1</v>
      </c>
      <c r="AV7807">
        <v>1</v>
      </c>
      <c r="AW7807">
        <v>1</v>
      </c>
    </row>
    <row r="7808" spans="1:49" x14ac:dyDescent="0.25">
      <c r="A7808" t="str">
        <f>"7804"</f>
        <v>7804</v>
      </c>
      <c r="B7808" t="str">
        <f t="shared" si="453"/>
        <v>1</v>
      </c>
      <c r="C7808" t="str">
        <f t="shared" si="454"/>
        <v>341</v>
      </c>
      <c r="D7808" t="str">
        <f>"14"</f>
        <v>14</v>
      </c>
      <c r="E7808" t="str">
        <f>"1-341-14"</f>
        <v>1-341-14</v>
      </c>
      <c r="F7808" t="s">
        <v>83</v>
      </c>
      <c r="G7808" t="s">
        <v>88</v>
      </c>
      <c r="H7808" t="s">
        <v>89</v>
      </c>
      <c r="AC7808">
        <v>0</v>
      </c>
      <c r="AD7808">
        <v>1</v>
      </c>
      <c r="AE7808">
        <v>0</v>
      </c>
      <c r="AF7808">
        <v>0</v>
      </c>
      <c r="AH7808">
        <v>1</v>
      </c>
      <c r="AI7808">
        <v>0</v>
      </c>
      <c r="AJ7808">
        <v>0</v>
      </c>
      <c r="AK7808">
        <v>1</v>
      </c>
      <c r="AL7808">
        <v>0</v>
      </c>
      <c r="AM7808">
        <v>0</v>
      </c>
      <c r="AN7808">
        <v>1</v>
      </c>
      <c r="AO7808">
        <v>1</v>
      </c>
      <c r="AP7808">
        <v>1</v>
      </c>
      <c r="AQ7808">
        <v>1</v>
      </c>
      <c r="AR7808">
        <v>1</v>
      </c>
      <c r="AS7808">
        <v>0</v>
      </c>
      <c r="AT7808">
        <v>1</v>
      </c>
      <c r="AV7808">
        <v>1</v>
      </c>
      <c r="AW7808">
        <v>1</v>
      </c>
    </row>
    <row r="7809" spans="1:49" x14ac:dyDescent="0.25">
      <c r="A7809" t="str">
        <f>"7805"</f>
        <v>7805</v>
      </c>
      <c r="B7809" t="str">
        <f t="shared" si="453"/>
        <v>1</v>
      </c>
      <c r="C7809" t="str">
        <f t="shared" si="454"/>
        <v>341</v>
      </c>
      <c r="D7809" t="str">
        <f>"7"</f>
        <v>7</v>
      </c>
      <c r="E7809" t="str">
        <f>"1-341-7"</f>
        <v>1-341-7</v>
      </c>
      <c r="F7809" t="s">
        <v>83</v>
      </c>
      <c r="G7809" t="s">
        <v>84</v>
      </c>
      <c r="H7809" t="s">
        <v>85</v>
      </c>
      <c r="AC7809">
        <v>0</v>
      </c>
      <c r="AD7809">
        <v>1</v>
      </c>
      <c r="AE7809">
        <v>0</v>
      </c>
      <c r="AF7809">
        <v>0</v>
      </c>
      <c r="AG7809">
        <v>0</v>
      </c>
      <c r="AJ7809">
        <v>0</v>
      </c>
      <c r="AK7809">
        <v>1</v>
      </c>
      <c r="AL7809">
        <v>0</v>
      </c>
      <c r="AM7809">
        <v>0</v>
      </c>
      <c r="AN7809">
        <v>0</v>
      </c>
      <c r="AO7809">
        <v>0</v>
      </c>
      <c r="AP7809">
        <v>0</v>
      </c>
      <c r="AQ7809">
        <v>0</v>
      </c>
      <c r="AR7809">
        <v>1</v>
      </c>
      <c r="AS7809">
        <v>0</v>
      </c>
      <c r="AT7809">
        <v>1</v>
      </c>
      <c r="AV7809">
        <v>0</v>
      </c>
      <c r="AW7809">
        <v>1</v>
      </c>
    </row>
    <row r="7810" spans="1:49" x14ac:dyDescent="0.25">
      <c r="A7810" t="str">
        <f>"7806"</f>
        <v>7806</v>
      </c>
      <c r="B7810" t="str">
        <f t="shared" si="453"/>
        <v>1</v>
      </c>
      <c r="C7810" t="str">
        <f t="shared" si="454"/>
        <v>341</v>
      </c>
      <c r="D7810" t="str">
        <f>"15"</f>
        <v>15</v>
      </c>
      <c r="E7810" t="str">
        <f>"1-341-15"</f>
        <v>1-341-15</v>
      </c>
      <c r="F7810" t="s">
        <v>83</v>
      </c>
      <c r="G7810" t="s">
        <v>84</v>
      </c>
      <c r="H7810" t="s">
        <v>85</v>
      </c>
      <c r="AC7810">
        <v>0</v>
      </c>
      <c r="AD7810">
        <v>0</v>
      </c>
      <c r="AE7810">
        <v>0</v>
      </c>
      <c r="AF7810">
        <v>0</v>
      </c>
      <c r="AG7810">
        <v>0</v>
      </c>
      <c r="AJ7810">
        <v>0</v>
      </c>
      <c r="AK7810">
        <v>1</v>
      </c>
      <c r="AL7810">
        <v>0</v>
      </c>
      <c r="AM7810">
        <v>0</v>
      </c>
      <c r="AN7810">
        <v>0</v>
      </c>
      <c r="AO7810">
        <v>0</v>
      </c>
      <c r="AP7810">
        <v>0</v>
      </c>
      <c r="AQ7810">
        <v>0</v>
      </c>
      <c r="AR7810">
        <v>0</v>
      </c>
      <c r="AS7810">
        <v>0</v>
      </c>
      <c r="AT7810">
        <v>0</v>
      </c>
      <c r="AV7810">
        <v>0</v>
      </c>
      <c r="AW7810">
        <v>1</v>
      </c>
    </row>
    <row r="7811" spans="1:49" x14ac:dyDescent="0.25">
      <c r="A7811" t="str">
        <f>"7807"</f>
        <v>7807</v>
      </c>
      <c r="B7811" t="str">
        <f t="shared" si="453"/>
        <v>1</v>
      </c>
      <c r="C7811" t="str">
        <f t="shared" si="454"/>
        <v>341</v>
      </c>
      <c r="D7811" t="str">
        <f>"3"</f>
        <v>3</v>
      </c>
      <c r="E7811" t="str">
        <f>"1-341-3"</f>
        <v>1-341-3</v>
      </c>
      <c r="F7811" t="s">
        <v>83</v>
      </c>
      <c r="G7811" t="s">
        <v>84</v>
      </c>
      <c r="H7811" t="s">
        <v>85</v>
      </c>
      <c r="AC7811">
        <v>0</v>
      </c>
      <c r="AD7811">
        <v>1</v>
      </c>
      <c r="AE7811">
        <v>0</v>
      </c>
      <c r="AF7811">
        <v>0</v>
      </c>
      <c r="AG7811">
        <v>1</v>
      </c>
      <c r="AJ7811">
        <v>1</v>
      </c>
      <c r="AK7811">
        <v>0</v>
      </c>
      <c r="AL7811">
        <v>1</v>
      </c>
      <c r="AM7811">
        <v>0</v>
      </c>
      <c r="AN7811">
        <v>0</v>
      </c>
      <c r="AO7811">
        <v>0</v>
      </c>
      <c r="AP7811">
        <v>1</v>
      </c>
      <c r="AQ7811">
        <v>1</v>
      </c>
      <c r="AR7811">
        <v>1</v>
      </c>
      <c r="AS7811">
        <v>1</v>
      </c>
      <c r="AT7811">
        <v>0</v>
      </c>
      <c r="AV7811">
        <v>1</v>
      </c>
      <c r="AW7811">
        <v>0</v>
      </c>
    </row>
    <row r="7812" spans="1:49" x14ac:dyDescent="0.25">
      <c r="A7812" t="str">
        <f>"7808"</f>
        <v>7808</v>
      </c>
      <c r="B7812" t="str">
        <f t="shared" si="453"/>
        <v>1</v>
      </c>
      <c r="C7812" t="str">
        <f t="shared" si="454"/>
        <v>341</v>
      </c>
      <c r="D7812" t="str">
        <f>"25"</f>
        <v>25</v>
      </c>
      <c r="E7812" t="str">
        <f>"1-341-25"</f>
        <v>1-341-25</v>
      </c>
      <c r="F7812" t="s">
        <v>83</v>
      </c>
      <c r="G7812" t="s">
        <v>84</v>
      </c>
      <c r="H7812" t="s">
        <v>85</v>
      </c>
      <c r="AC7812">
        <v>0</v>
      </c>
      <c r="AD7812">
        <v>1</v>
      </c>
      <c r="AE7812">
        <v>0</v>
      </c>
      <c r="AF7812">
        <v>0</v>
      </c>
      <c r="AG7812">
        <v>1</v>
      </c>
      <c r="AJ7812">
        <v>0</v>
      </c>
      <c r="AK7812">
        <v>1</v>
      </c>
      <c r="AL7812">
        <v>0</v>
      </c>
      <c r="AM7812">
        <v>0</v>
      </c>
      <c r="AN7812">
        <v>1</v>
      </c>
      <c r="AO7812">
        <v>1</v>
      </c>
      <c r="AP7812">
        <v>1</v>
      </c>
      <c r="AQ7812">
        <v>1</v>
      </c>
      <c r="AR7812">
        <v>1</v>
      </c>
      <c r="AS7812">
        <v>0</v>
      </c>
      <c r="AT7812">
        <v>1</v>
      </c>
      <c r="AV7812">
        <v>1</v>
      </c>
      <c r="AW7812">
        <v>1</v>
      </c>
    </row>
    <row r="7813" spans="1:49" x14ac:dyDescent="0.25">
      <c r="A7813" t="str">
        <f>"7809"</f>
        <v>7809</v>
      </c>
      <c r="B7813" t="str">
        <f t="shared" si="453"/>
        <v>1</v>
      </c>
      <c r="C7813" t="str">
        <f t="shared" si="454"/>
        <v>341</v>
      </c>
      <c r="D7813" t="str">
        <f>"24"</f>
        <v>24</v>
      </c>
      <c r="E7813" t="str">
        <f>"1-341-24"</f>
        <v>1-341-24</v>
      </c>
      <c r="F7813" t="s">
        <v>83</v>
      </c>
      <c r="G7813" t="s">
        <v>84</v>
      </c>
      <c r="H7813" t="s">
        <v>85</v>
      </c>
      <c r="AC7813">
        <v>0</v>
      </c>
      <c r="AD7813">
        <v>1</v>
      </c>
      <c r="AE7813">
        <v>0</v>
      </c>
      <c r="AF7813">
        <v>0</v>
      </c>
      <c r="AG7813">
        <v>1</v>
      </c>
      <c r="AJ7813">
        <v>1</v>
      </c>
      <c r="AK7813">
        <v>0</v>
      </c>
      <c r="AL7813">
        <v>0</v>
      </c>
      <c r="AM7813">
        <v>0</v>
      </c>
      <c r="AN7813">
        <v>1</v>
      </c>
      <c r="AO7813">
        <v>1</v>
      </c>
      <c r="AP7813">
        <v>1</v>
      </c>
      <c r="AQ7813">
        <v>1</v>
      </c>
      <c r="AR7813">
        <v>1</v>
      </c>
      <c r="AS7813">
        <v>0</v>
      </c>
      <c r="AT7813">
        <v>1</v>
      </c>
      <c r="AV7813">
        <v>1</v>
      </c>
      <c r="AW7813">
        <v>1</v>
      </c>
    </row>
    <row r="7814" spans="1:49" x14ac:dyDescent="0.25">
      <c r="A7814" t="str">
        <f>"7810"</f>
        <v>7810</v>
      </c>
      <c r="B7814" t="str">
        <f t="shared" si="453"/>
        <v>1</v>
      </c>
      <c r="C7814" t="str">
        <f t="shared" si="454"/>
        <v>341</v>
      </c>
      <c r="D7814" t="str">
        <f>"16"</f>
        <v>16</v>
      </c>
      <c r="E7814" t="str">
        <f>"1-341-16"</f>
        <v>1-341-16</v>
      </c>
      <c r="F7814" t="s">
        <v>83</v>
      </c>
      <c r="G7814" t="s">
        <v>84</v>
      </c>
      <c r="H7814" t="s">
        <v>85</v>
      </c>
      <c r="AC7814">
        <v>0</v>
      </c>
      <c r="AD7814">
        <v>1</v>
      </c>
      <c r="AE7814">
        <v>0</v>
      </c>
      <c r="AF7814">
        <v>0</v>
      </c>
      <c r="AG7814">
        <v>1</v>
      </c>
      <c r="AJ7814">
        <v>0</v>
      </c>
      <c r="AK7814">
        <v>1</v>
      </c>
      <c r="AL7814">
        <v>1</v>
      </c>
      <c r="AM7814">
        <v>0</v>
      </c>
      <c r="AN7814">
        <v>0</v>
      </c>
      <c r="AO7814">
        <v>1</v>
      </c>
      <c r="AP7814">
        <v>1</v>
      </c>
      <c r="AQ7814">
        <v>1</v>
      </c>
      <c r="AR7814">
        <v>1</v>
      </c>
      <c r="AS7814">
        <v>0</v>
      </c>
      <c r="AT7814">
        <v>1</v>
      </c>
      <c r="AV7814">
        <v>1</v>
      </c>
      <c r="AW7814">
        <v>1</v>
      </c>
    </row>
    <row r="7815" spans="1:49" x14ac:dyDescent="0.25">
      <c r="A7815" t="str">
        <f>"7811"</f>
        <v>7811</v>
      </c>
      <c r="B7815" t="str">
        <f t="shared" si="453"/>
        <v>1</v>
      </c>
      <c r="C7815" t="str">
        <f t="shared" si="454"/>
        <v>341</v>
      </c>
      <c r="D7815" t="str">
        <f>"1"</f>
        <v>1</v>
      </c>
      <c r="E7815" t="str">
        <f>"1-341-1"</f>
        <v>1-341-1</v>
      </c>
      <c r="F7815" t="s">
        <v>83</v>
      </c>
      <c r="G7815" t="s">
        <v>84</v>
      </c>
      <c r="H7815" t="s">
        <v>85</v>
      </c>
      <c r="AC7815">
        <v>0</v>
      </c>
      <c r="AD7815">
        <v>1</v>
      </c>
      <c r="AE7815">
        <v>0</v>
      </c>
      <c r="AF7815">
        <v>0</v>
      </c>
      <c r="AG7815">
        <v>1</v>
      </c>
      <c r="AJ7815">
        <v>0</v>
      </c>
      <c r="AK7815">
        <v>1</v>
      </c>
      <c r="AL7815">
        <v>0</v>
      </c>
      <c r="AM7815">
        <v>1</v>
      </c>
      <c r="AN7815">
        <v>0</v>
      </c>
      <c r="AO7815">
        <v>1</v>
      </c>
      <c r="AP7815">
        <v>1</v>
      </c>
      <c r="AQ7815">
        <v>1</v>
      </c>
      <c r="AR7815">
        <v>0</v>
      </c>
      <c r="AS7815">
        <v>0</v>
      </c>
      <c r="AT7815">
        <v>1</v>
      </c>
      <c r="AV7815">
        <v>1</v>
      </c>
      <c r="AW7815">
        <v>1</v>
      </c>
    </row>
    <row r="7816" spans="1:49" x14ac:dyDescent="0.25">
      <c r="A7816" t="str">
        <f>"7812"</f>
        <v>7812</v>
      </c>
      <c r="B7816" t="str">
        <f t="shared" si="453"/>
        <v>1</v>
      </c>
      <c r="C7816" t="str">
        <f t="shared" si="454"/>
        <v>341</v>
      </c>
      <c r="D7816" t="str">
        <f>"17"</f>
        <v>17</v>
      </c>
      <c r="E7816" t="str">
        <f>"1-341-17"</f>
        <v>1-341-17</v>
      </c>
      <c r="F7816" t="s">
        <v>83</v>
      </c>
      <c r="G7816" t="s">
        <v>84</v>
      </c>
      <c r="H7816" t="s">
        <v>85</v>
      </c>
      <c r="AC7816">
        <v>0</v>
      </c>
      <c r="AD7816">
        <v>1</v>
      </c>
      <c r="AE7816">
        <v>0</v>
      </c>
      <c r="AF7816">
        <v>0</v>
      </c>
      <c r="AG7816">
        <v>1</v>
      </c>
      <c r="AJ7816">
        <v>0</v>
      </c>
      <c r="AK7816">
        <v>1</v>
      </c>
      <c r="AL7816">
        <v>1</v>
      </c>
      <c r="AM7816">
        <v>0</v>
      </c>
      <c r="AN7816">
        <v>0</v>
      </c>
      <c r="AO7816">
        <v>0</v>
      </c>
      <c r="AP7816">
        <v>0</v>
      </c>
      <c r="AQ7816">
        <v>0</v>
      </c>
      <c r="AR7816">
        <v>0</v>
      </c>
      <c r="AS7816">
        <v>0</v>
      </c>
      <c r="AT7816">
        <v>1</v>
      </c>
      <c r="AV7816">
        <v>1</v>
      </c>
      <c r="AW7816">
        <v>1</v>
      </c>
    </row>
    <row r="7817" spans="1:49" x14ac:dyDescent="0.25">
      <c r="A7817" t="str">
        <f>"7813"</f>
        <v>7813</v>
      </c>
      <c r="B7817" t="str">
        <f t="shared" si="453"/>
        <v>1</v>
      </c>
      <c r="C7817" t="str">
        <f t="shared" si="454"/>
        <v>341</v>
      </c>
      <c r="D7817" t="str">
        <f>"6"</f>
        <v>6</v>
      </c>
      <c r="E7817" t="str">
        <f>"1-341-6"</f>
        <v>1-341-6</v>
      </c>
      <c r="F7817" t="s">
        <v>83</v>
      </c>
      <c r="G7817" t="s">
        <v>84</v>
      </c>
      <c r="H7817" t="s">
        <v>85</v>
      </c>
      <c r="AC7817">
        <v>1</v>
      </c>
      <c r="AD7817">
        <v>0</v>
      </c>
      <c r="AE7817">
        <v>0</v>
      </c>
      <c r="AF7817">
        <v>0</v>
      </c>
      <c r="AG7817">
        <v>0</v>
      </c>
      <c r="AJ7817">
        <v>0</v>
      </c>
      <c r="AK7817">
        <v>1</v>
      </c>
      <c r="AL7817">
        <v>0</v>
      </c>
      <c r="AM7817">
        <v>0</v>
      </c>
      <c r="AN7817">
        <v>1</v>
      </c>
      <c r="AO7817">
        <v>0</v>
      </c>
      <c r="AP7817">
        <v>0</v>
      </c>
      <c r="AQ7817">
        <v>0</v>
      </c>
      <c r="AR7817">
        <v>0</v>
      </c>
      <c r="AS7817">
        <v>0</v>
      </c>
      <c r="AT7817">
        <v>1</v>
      </c>
      <c r="AV7817">
        <v>0</v>
      </c>
      <c r="AW7817">
        <v>0</v>
      </c>
    </row>
    <row r="7818" spans="1:49" x14ac:dyDescent="0.25">
      <c r="A7818" t="str">
        <f>"7814"</f>
        <v>7814</v>
      </c>
      <c r="B7818" t="str">
        <f t="shared" si="453"/>
        <v>1</v>
      </c>
      <c r="C7818" t="str">
        <f t="shared" si="454"/>
        <v>341</v>
      </c>
      <c r="D7818" t="str">
        <f>"11"</f>
        <v>11</v>
      </c>
      <c r="E7818" t="str">
        <f>"1-341-11"</f>
        <v>1-341-11</v>
      </c>
      <c r="F7818" t="s">
        <v>83</v>
      </c>
      <c r="G7818" t="s">
        <v>84</v>
      </c>
      <c r="H7818" t="s">
        <v>85</v>
      </c>
      <c r="AC7818">
        <v>1</v>
      </c>
      <c r="AD7818">
        <v>0</v>
      </c>
      <c r="AE7818">
        <v>0</v>
      </c>
      <c r="AF7818">
        <v>0</v>
      </c>
      <c r="AG7818">
        <v>1</v>
      </c>
      <c r="AJ7818">
        <v>1</v>
      </c>
      <c r="AK7818">
        <v>0</v>
      </c>
      <c r="AL7818">
        <v>1</v>
      </c>
      <c r="AM7818">
        <v>0</v>
      </c>
      <c r="AN7818">
        <v>0</v>
      </c>
      <c r="AO7818">
        <v>1</v>
      </c>
      <c r="AP7818">
        <v>1</v>
      </c>
      <c r="AQ7818">
        <v>1</v>
      </c>
      <c r="AR7818">
        <v>1</v>
      </c>
      <c r="AS7818">
        <v>1</v>
      </c>
      <c r="AT7818">
        <v>0</v>
      </c>
      <c r="AV7818">
        <v>1</v>
      </c>
      <c r="AW7818">
        <v>1</v>
      </c>
    </row>
    <row r="7819" spans="1:49" x14ac:dyDescent="0.25">
      <c r="A7819" t="str">
        <f>"7815"</f>
        <v>7815</v>
      </c>
      <c r="B7819" t="str">
        <f t="shared" si="453"/>
        <v>1</v>
      </c>
      <c r="C7819" t="str">
        <f t="shared" si="454"/>
        <v>341</v>
      </c>
      <c r="D7819" t="str">
        <f>"22"</f>
        <v>22</v>
      </c>
      <c r="E7819" t="str">
        <f>"1-341-22"</f>
        <v>1-341-22</v>
      </c>
      <c r="F7819" t="s">
        <v>83</v>
      </c>
      <c r="G7819" t="s">
        <v>84</v>
      </c>
      <c r="H7819" t="s">
        <v>85</v>
      </c>
      <c r="AC7819">
        <v>1</v>
      </c>
      <c r="AD7819">
        <v>0</v>
      </c>
      <c r="AE7819">
        <v>0</v>
      </c>
      <c r="AF7819">
        <v>0</v>
      </c>
      <c r="AG7819">
        <v>0</v>
      </c>
      <c r="AJ7819">
        <v>0</v>
      </c>
      <c r="AK7819">
        <v>1</v>
      </c>
      <c r="AL7819">
        <v>0</v>
      </c>
      <c r="AM7819">
        <v>0</v>
      </c>
      <c r="AN7819">
        <v>1</v>
      </c>
      <c r="AO7819">
        <v>0</v>
      </c>
      <c r="AP7819">
        <v>0</v>
      </c>
      <c r="AQ7819">
        <v>0</v>
      </c>
      <c r="AR7819">
        <v>0</v>
      </c>
      <c r="AS7819">
        <v>0</v>
      </c>
      <c r="AT7819">
        <v>1</v>
      </c>
      <c r="AV7819">
        <v>0</v>
      </c>
      <c r="AW7819">
        <v>0</v>
      </c>
    </row>
    <row r="7820" spans="1:49" x14ac:dyDescent="0.25">
      <c r="A7820" t="str">
        <f>"7816"</f>
        <v>7816</v>
      </c>
      <c r="B7820" t="str">
        <f t="shared" si="453"/>
        <v>1</v>
      </c>
      <c r="C7820" t="str">
        <f>"342"</f>
        <v>342</v>
      </c>
      <c r="D7820" t="str">
        <f>"2"</f>
        <v>2</v>
      </c>
      <c r="E7820" t="str">
        <f>"1-342-2"</f>
        <v>1-342-2</v>
      </c>
      <c r="F7820" t="s">
        <v>83</v>
      </c>
      <c r="G7820" t="s">
        <v>84</v>
      </c>
      <c r="H7820" t="s">
        <v>85</v>
      </c>
      <c r="AC7820">
        <v>1</v>
      </c>
      <c r="AD7820">
        <v>0</v>
      </c>
      <c r="AE7820">
        <v>0</v>
      </c>
      <c r="AF7820">
        <v>0</v>
      </c>
      <c r="AG7820">
        <v>1</v>
      </c>
      <c r="AJ7820">
        <v>1</v>
      </c>
      <c r="AK7820">
        <v>0</v>
      </c>
      <c r="AL7820">
        <v>0</v>
      </c>
      <c r="AM7820">
        <v>1</v>
      </c>
      <c r="AN7820">
        <v>0</v>
      </c>
      <c r="AO7820">
        <v>1</v>
      </c>
      <c r="AP7820">
        <v>1</v>
      </c>
      <c r="AQ7820">
        <v>1</v>
      </c>
      <c r="AR7820">
        <v>1</v>
      </c>
      <c r="AS7820">
        <v>0</v>
      </c>
      <c r="AT7820">
        <v>1</v>
      </c>
      <c r="AV7820">
        <v>1</v>
      </c>
      <c r="AW7820">
        <v>1</v>
      </c>
    </row>
    <row r="7821" spans="1:49" x14ac:dyDescent="0.25">
      <c r="A7821" t="str">
        <f>"7817"</f>
        <v>7817</v>
      </c>
      <c r="B7821" t="str">
        <f t="shared" si="453"/>
        <v>1</v>
      </c>
      <c r="C7821" t="str">
        <f>"342"</f>
        <v>342</v>
      </c>
      <c r="D7821" t="str">
        <f>"1"</f>
        <v>1</v>
      </c>
      <c r="E7821" t="str">
        <f>"1-342-1"</f>
        <v>1-342-1</v>
      </c>
      <c r="F7821" t="s">
        <v>83</v>
      </c>
      <c r="G7821" t="s">
        <v>84</v>
      </c>
      <c r="H7821" t="s">
        <v>85</v>
      </c>
      <c r="AC7821">
        <v>0</v>
      </c>
      <c r="AD7821">
        <v>1</v>
      </c>
      <c r="AE7821">
        <v>0</v>
      </c>
      <c r="AF7821">
        <v>0</v>
      </c>
      <c r="AG7821">
        <v>0</v>
      </c>
      <c r="AJ7821">
        <v>0</v>
      </c>
      <c r="AK7821">
        <v>0</v>
      </c>
      <c r="AL7821">
        <v>0</v>
      </c>
      <c r="AM7821">
        <v>0</v>
      </c>
      <c r="AN7821">
        <v>0</v>
      </c>
      <c r="AO7821">
        <v>0</v>
      </c>
      <c r="AP7821">
        <v>0</v>
      </c>
      <c r="AQ7821">
        <v>0</v>
      </c>
      <c r="AR7821">
        <v>1</v>
      </c>
      <c r="AS7821">
        <v>0</v>
      </c>
      <c r="AT7821">
        <v>1</v>
      </c>
      <c r="AV7821">
        <v>1</v>
      </c>
      <c r="AW7821">
        <v>0</v>
      </c>
    </row>
    <row r="7822" spans="1:49" x14ac:dyDescent="0.25">
      <c r="A7822" t="str">
        <f>"7818"</f>
        <v>7818</v>
      </c>
      <c r="B7822" t="str">
        <f t="shared" si="453"/>
        <v>1</v>
      </c>
      <c r="C7822" t="str">
        <f t="shared" ref="C7822:C7832" si="455">"343"</f>
        <v>343</v>
      </c>
      <c r="D7822" t="str">
        <f>"11"</f>
        <v>11</v>
      </c>
      <c r="E7822" t="str">
        <f>"1-343-11"</f>
        <v>1-343-11</v>
      </c>
      <c r="F7822" t="s">
        <v>83</v>
      </c>
      <c r="G7822" t="s">
        <v>84</v>
      </c>
      <c r="H7822" t="s">
        <v>85</v>
      </c>
      <c r="AC7822">
        <v>0</v>
      </c>
      <c r="AD7822">
        <v>1</v>
      </c>
      <c r="AE7822">
        <v>0</v>
      </c>
      <c r="AF7822">
        <v>0</v>
      </c>
      <c r="AG7822">
        <v>1</v>
      </c>
      <c r="AJ7822">
        <v>1</v>
      </c>
      <c r="AK7822">
        <v>0</v>
      </c>
      <c r="AL7822">
        <v>0</v>
      </c>
      <c r="AM7822">
        <v>1</v>
      </c>
      <c r="AN7822">
        <v>0</v>
      </c>
      <c r="AO7822">
        <v>1</v>
      </c>
      <c r="AP7822">
        <v>1</v>
      </c>
      <c r="AQ7822">
        <v>1</v>
      </c>
      <c r="AR7822">
        <v>1</v>
      </c>
      <c r="AS7822">
        <v>0</v>
      </c>
      <c r="AT7822">
        <v>1</v>
      </c>
      <c r="AV7822">
        <v>1</v>
      </c>
      <c r="AW7822">
        <v>1</v>
      </c>
    </row>
    <row r="7823" spans="1:49" x14ac:dyDescent="0.25">
      <c r="A7823" t="str">
        <f>"7819"</f>
        <v>7819</v>
      </c>
      <c r="B7823" t="str">
        <f t="shared" si="453"/>
        <v>1</v>
      </c>
      <c r="C7823" t="str">
        <f t="shared" si="455"/>
        <v>343</v>
      </c>
      <c r="D7823" t="str">
        <f>"8"</f>
        <v>8</v>
      </c>
      <c r="E7823" t="str">
        <f>"1-343-8"</f>
        <v>1-343-8</v>
      </c>
      <c r="F7823" t="s">
        <v>83</v>
      </c>
      <c r="G7823" t="s">
        <v>84</v>
      </c>
      <c r="H7823" t="s">
        <v>85</v>
      </c>
      <c r="AC7823">
        <v>0</v>
      </c>
      <c r="AD7823">
        <v>1</v>
      </c>
      <c r="AE7823">
        <v>0</v>
      </c>
      <c r="AF7823">
        <v>0</v>
      </c>
      <c r="AG7823">
        <v>1</v>
      </c>
      <c r="AJ7823">
        <v>1</v>
      </c>
      <c r="AK7823">
        <v>0</v>
      </c>
      <c r="AL7823">
        <v>0</v>
      </c>
      <c r="AM7823">
        <v>1</v>
      </c>
      <c r="AN7823">
        <v>0</v>
      </c>
      <c r="AO7823">
        <v>1</v>
      </c>
      <c r="AP7823">
        <v>1</v>
      </c>
      <c r="AQ7823">
        <v>1</v>
      </c>
      <c r="AR7823">
        <v>1</v>
      </c>
      <c r="AS7823">
        <v>0</v>
      </c>
      <c r="AT7823">
        <v>1</v>
      </c>
      <c r="AV7823">
        <v>1</v>
      </c>
      <c r="AW7823">
        <v>1</v>
      </c>
    </row>
    <row r="7824" spans="1:49" x14ac:dyDescent="0.25">
      <c r="A7824" t="str">
        <f>"7820"</f>
        <v>7820</v>
      </c>
      <c r="B7824" t="str">
        <f t="shared" si="453"/>
        <v>1</v>
      </c>
      <c r="C7824" t="str">
        <f t="shared" si="455"/>
        <v>343</v>
      </c>
      <c r="D7824" t="str">
        <f>"2"</f>
        <v>2</v>
      </c>
      <c r="E7824" t="str">
        <f>"1-343-2"</f>
        <v>1-343-2</v>
      </c>
      <c r="F7824" t="s">
        <v>83</v>
      </c>
      <c r="G7824" t="s">
        <v>88</v>
      </c>
      <c r="H7824" t="s">
        <v>89</v>
      </c>
      <c r="AC7824">
        <v>1</v>
      </c>
      <c r="AD7824">
        <v>0</v>
      </c>
      <c r="AE7824">
        <v>0</v>
      </c>
      <c r="AF7824">
        <v>0</v>
      </c>
      <c r="AH7824">
        <v>1</v>
      </c>
      <c r="AI7824">
        <v>0</v>
      </c>
      <c r="AJ7824">
        <v>1</v>
      </c>
      <c r="AK7824">
        <v>0</v>
      </c>
      <c r="AL7824">
        <v>1</v>
      </c>
      <c r="AM7824">
        <v>0</v>
      </c>
      <c r="AN7824">
        <v>0</v>
      </c>
      <c r="AO7824">
        <v>0</v>
      </c>
      <c r="AP7824">
        <v>0</v>
      </c>
      <c r="AQ7824">
        <v>0</v>
      </c>
      <c r="AR7824">
        <v>1</v>
      </c>
      <c r="AS7824">
        <v>1</v>
      </c>
      <c r="AT7824">
        <v>0</v>
      </c>
      <c r="AV7824">
        <v>1</v>
      </c>
      <c r="AW7824">
        <v>1</v>
      </c>
    </row>
    <row r="7825" spans="1:49" x14ac:dyDescent="0.25">
      <c r="A7825" t="str">
        <f>"7821"</f>
        <v>7821</v>
      </c>
      <c r="B7825" t="str">
        <f t="shared" si="453"/>
        <v>1</v>
      </c>
      <c r="C7825" t="str">
        <f t="shared" si="455"/>
        <v>343</v>
      </c>
      <c r="D7825" t="str">
        <f>"9"</f>
        <v>9</v>
      </c>
      <c r="E7825" t="str">
        <f>"1-343-9"</f>
        <v>1-343-9</v>
      </c>
      <c r="F7825" t="s">
        <v>83</v>
      </c>
      <c r="G7825" t="s">
        <v>84</v>
      </c>
      <c r="H7825" t="s">
        <v>85</v>
      </c>
      <c r="AC7825">
        <v>0</v>
      </c>
      <c r="AD7825">
        <v>1</v>
      </c>
      <c r="AE7825">
        <v>0</v>
      </c>
      <c r="AF7825">
        <v>0</v>
      </c>
      <c r="AG7825">
        <v>0</v>
      </c>
      <c r="AJ7825">
        <v>0</v>
      </c>
      <c r="AK7825">
        <v>0</v>
      </c>
      <c r="AL7825">
        <v>0</v>
      </c>
      <c r="AM7825">
        <v>0</v>
      </c>
      <c r="AN7825">
        <v>1</v>
      </c>
      <c r="AO7825">
        <v>0</v>
      </c>
      <c r="AP7825">
        <v>0</v>
      </c>
      <c r="AQ7825">
        <v>0</v>
      </c>
      <c r="AR7825">
        <v>0</v>
      </c>
      <c r="AS7825">
        <v>1</v>
      </c>
      <c r="AT7825">
        <v>0</v>
      </c>
      <c r="AV7825">
        <v>0</v>
      </c>
      <c r="AW7825">
        <v>0</v>
      </c>
    </row>
    <row r="7826" spans="1:49" x14ac:dyDescent="0.25">
      <c r="A7826" t="str">
        <f>"7822"</f>
        <v>7822</v>
      </c>
      <c r="B7826" t="str">
        <f t="shared" si="453"/>
        <v>1</v>
      </c>
      <c r="C7826" t="str">
        <f t="shared" si="455"/>
        <v>343</v>
      </c>
      <c r="D7826" t="str">
        <f>"5"</f>
        <v>5</v>
      </c>
      <c r="E7826" t="str">
        <f>"1-343-5"</f>
        <v>1-343-5</v>
      </c>
      <c r="F7826" t="s">
        <v>83</v>
      </c>
      <c r="G7826" t="s">
        <v>84</v>
      </c>
      <c r="H7826" t="s">
        <v>85</v>
      </c>
      <c r="AC7826">
        <v>0</v>
      </c>
      <c r="AD7826">
        <v>1</v>
      </c>
      <c r="AE7826">
        <v>0</v>
      </c>
      <c r="AF7826">
        <v>0</v>
      </c>
      <c r="AG7826">
        <v>0</v>
      </c>
      <c r="AJ7826">
        <v>0</v>
      </c>
      <c r="AK7826">
        <v>1</v>
      </c>
      <c r="AL7826">
        <v>1</v>
      </c>
      <c r="AM7826">
        <v>0</v>
      </c>
      <c r="AN7826">
        <v>0</v>
      </c>
      <c r="AO7826">
        <v>0</v>
      </c>
      <c r="AP7826">
        <v>0</v>
      </c>
      <c r="AQ7826">
        <v>0</v>
      </c>
      <c r="AR7826">
        <v>0</v>
      </c>
      <c r="AS7826">
        <v>0</v>
      </c>
      <c r="AT7826">
        <v>1</v>
      </c>
      <c r="AV7826">
        <v>0</v>
      </c>
      <c r="AW7826">
        <v>0</v>
      </c>
    </row>
    <row r="7827" spans="1:49" x14ac:dyDescent="0.25">
      <c r="A7827" t="str">
        <f>"7823"</f>
        <v>7823</v>
      </c>
      <c r="B7827" t="str">
        <f t="shared" si="453"/>
        <v>1</v>
      </c>
      <c r="C7827" t="str">
        <f t="shared" si="455"/>
        <v>343</v>
      </c>
      <c r="D7827" t="str">
        <f>"10"</f>
        <v>10</v>
      </c>
      <c r="E7827" t="str">
        <f>"1-343-10"</f>
        <v>1-343-10</v>
      </c>
      <c r="F7827" t="s">
        <v>83</v>
      </c>
      <c r="G7827" t="s">
        <v>84</v>
      </c>
      <c r="H7827" t="s">
        <v>85</v>
      </c>
      <c r="AC7827">
        <v>0</v>
      </c>
      <c r="AD7827">
        <v>1</v>
      </c>
      <c r="AE7827">
        <v>0</v>
      </c>
      <c r="AF7827">
        <v>0</v>
      </c>
      <c r="AG7827">
        <v>1</v>
      </c>
      <c r="AJ7827">
        <v>1</v>
      </c>
      <c r="AK7827">
        <v>0</v>
      </c>
      <c r="AL7827">
        <v>0</v>
      </c>
      <c r="AM7827">
        <v>0</v>
      </c>
      <c r="AN7827">
        <v>0</v>
      </c>
      <c r="AO7827">
        <v>1</v>
      </c>
      <c r="AP7827">
        <v>1</v>
      </c>
      <c r="AQ7827">
        <v>1</v>
      </c>
      <c r="AR7827">
        <v>1</v>
      </c>
      <c r="AS7827">
        <v>1</v>
      </c>
      <c r="AT7827">
        <v>0</v>
      </c>
      <c r="AV7827">
        <v>0</v>
      </c>
      <c r="AW7827">
        <v>1</v>
      </c>
    </row>
    <row r="7828" spans="1:49" x14ac:dyDescent="0.25">
      <c r="A7828" t="str">
        <f>"7824"</f>
        <v>7824</v>
      </c>
      <c r="B7828" t="str">
        <f t="shared" si="453"/>
        <v>1</v>
      </c>
      <c r="C7828" t="str">
        <f t="shared" si="455"/>
        <v>343</v>
      </c>
      <c r="D7828" t="str">
        <f>"3"</f>
        <v>3</v>
      </c>
      <c r="E7828" t="str">
        <f>"1-343-3"</f>
        <v>1-343-3</v>
      </c>
      <c r="F7828" t="s">
        <v>83</v>
      </c>
      <c r="G7828" t="s">
        <v>88</v>
      </c>
      <c r="H7828" t="s">
        <v>89</v>
      </c>
      <c r="AC7828">
        <v>1</v>
      </c>
      <c r="AD7828">
        <v>0</v>
      </c>
      <c r="AE7828">
        <v>0</v>
      </c>
      <c r="AF7828">
        <v>0</v>
      </c>
      <c r="AH7828">
        <v>1</v>
      </c>
      <c r="AI7828">
        <v>0</v>
      </c>
      <c r="AJ7828">
        <v>1</v>
      </c>
      <c r="AK7828">
        <v>0</v>
      </c>
      <c r="AL7828">
        <v>1</v>
      </c>
      <c r="AM7828">
        <v>0</v>
      </c>
      <c r="AN7828">
        <v>0</v>
      </c>
      <c r="AO7828">
        <v>0</v>
      </c>
      <c r="AP7828">
        <v>0</v>
      </c>
      <c r="AQ7828">
        <v>0</v>
      </c>
      <c r="AR7828">
        <v>0</v>
      </c>
      <c r="AS7828">
        <v>1</v>
      </c>
      <c r="AT7828">
        <v>0</v>
      </c>
      <c r="AV7828">
        <v>0</v>
      </c>
      <c r="AW7828">
        <v>0</v>
      </c>
    </row>
    <row r="7829" spans="1:49" x14ac:dyDescent="0.25">
      <c r="A7829" t="str">
        <f>"7825"</f>
        <v>7825</v>
      </c>
      <c r="B7829" t="str">
        <f t="shared" si="453"/>
        <v>1</v>
      </c>
      <c r="C7829" t="str">
        <f t="shared" si="455"/>
        <v>343</v>
      </c>
      <c r="D7829" t="str">
        <f>"7"</f>
        <v>7</v>
      </c>
      <c r="E7829" t="str">
        <f>"1-343-7"</f>
        <v>1-343-7</v>
      </c>
      <c r="F7829" t="s">
        <v>83</v>
      </c>
      <c r="G7829" t="s">
        <v>84</v>
      </c>
      <c r="H7829" t="s">
        <v>85</v>
      </c>
      <c r="AC7829">
        <v>0</v>
      </c>
      <c r="AD7829">
        <v>1</v>
      </c>
      <c r="AE7829">
        <v>0</v>
      </c>
      <c r="AF7829">
        <v>0</v>
      </c>
      <c r="AG7829">
        <v>0</v>
      </c>
      <c r="AJ7829">
        <v>1</v>
      </c>
      <c r="AK7829">
        <v>0</v>
      </c>
      <c r="AL7829">
        <v>0</v>
      </c>
      <c r="AM7829">
        <v>1</v>
      </c>
      <c r="AN7829">
        <v>0</v>
      </c>
      <c r="AO7829">
        <v>0</v>
      </c>
      <c r="AP7829">
        <v>0</v>
      </c>
      <c r="AQ7829">
        <v>0</v>
      </c>
      <c r="AR7829">
        <v>0</v>
      </c>
      <c r="AS7829">
        <v>0</v>
      </c>
      <c r="AT7829">
        <v>1</v>
      </c>
      <c r="AV7829">
        <v>0</v>
      </c>
      <c r="AW7829">
        <v>1</v>
      </c>
    </row>
    <row r="7830" spans="1:49" x14ac:dyDescent="0.25">
      <c r="A7830" t="str">
        <f>"7826"</f>
        <v>7826</v>
      </c>
      <c r="B7830" t="str">
        <f t="shared" si="453"/>
        <v>1</v>
      </c>
      <c r="C7830" t="str">
        <f t="shared" si="455"/>
        <v>343</v>
      </c>
      <c r="D7830" t="str">
        <f>"1"</f>
        <v>1</v>
      </c>
      <c r="E7830" t="str">
        <f>"1-343-1"</f>
        <v>1-343-1</v>
      </c>
      <c r="F7830" t="s">
        <v>83</v>
      </c>
      <c r="G7830" t="s">
        <v>88</v>
      </c>
      <c r="H7830" t="s">
        <v>89</v>
      </c>
      <c r="AC7830">
        <v>1</v>
      </c>
      <c r="AD7830">
        <v>0</v>
      </c>
      <c r="AE7830">
        <v>0</v>
      </c>
      <c r="AF7830">
        <v>0</v>
      </c>
      <c r="AH7830">
        <v>1</v>
      </c>
      <c r="AI7830">
        <v>0</v>
      </c>
      <c r="AJ7830">
        <v>1</v>
      </c>
      <c r="AK7830">
        <v>0</v>
      </c>
      <c r="AL7830">
        <v>1</v>
      </c>
      <c r="AM7830">
        <v>0</v>
      </c>
      <c r="AN7830">
        <v>0</v>
      </c>
      <c r="AO7830">
        <v>0</v>
      </c>
      <c r="AP7830">
        <v>0</v>
      </c>
      <c r="AQ7830">
        <v>0</v>
      </c>
      <c r="AR7830">
        <v>0</v>
      </c>
      <c r="AS7830">
        <v>1</v>
      </c>
      <c r="AT7830">
        <v>0</v>
      </c>
      <c r="AV7830">
        <v>0</v>
      </c>
      <c r="AW7830">
        <v>0</v>
      </c>
    </row>
    <row r="7831" spans="1:49" x14ac:dyDescent="0.25">
      <c r="A7831" t="str">
        <f>"7827"</f>
        <v>7827</v>
      </c>
      <c r="B7831" t="str">
        <f t="shared" si="453"/>
        <v>1</v>
      </c>
      <c r="C7831" t="str">
        <f t="shared" si="455"/>
        <v>343</v>
      </c>
      <c r="D7831" t="str">
        <f>"4"</f>
        <v>4</v>
      </c>
      <c r="E7831" t="str">
        <f>"1-343-4"</f>
        <v>1-343-4</v>
      </c>
      <c r="F7831" t="s">
        <v>83</v>
      </c>
      <c r="G7831" t="s">
        <v>84</v>
      </c>
      <c r="H7831" t="s">
        <v>85</v>
      </c>
      <c r="AC7831">
        <v>0</v>
      </c>
      <c r="AD7831">
        <v>1</v>
      </c>
      <c r="AE7831">
        <v>0</v>
      </c>
      <c r="AF7831">
        <v>0</v>
      </c>
      <c r="AG7831">
        <v>0</v>
      </c>
      <c r="AJ7831">
        <v>0</v>
      </c>
      <c r="AK7831">
        <v>1</v>
      </c>
      <c r="AL7831">
        <v>0</v>
      </c>
      <c r="AM7831">
        <v>0</v>
      </c>
      <c r="AN7831">
        <v>0</v>
      </c>
      <c r="AO7831">
        <v>0</v>
      </c>
      <c r="AP7831">
        <v>0</v>
      </c>
      <c r="AQ7831">
        <v>0</v>
      </c>
      <c r="AR7831">
        <v>0</v>
      </c>
      <c r="AS7831">
        <v>0</v>
      </c>
      <c r="AT7831">
        <v>1</v>
      </c>
      <c r="AV7831">
        <v>0</v>
      </c>
      <c r="AW7831">
        <v>1</v>
      </c>
    </row>
    <row r="7832" spans="1:49" x14ac:dyDescent="0.25">
      <c r="A7832" t="str">
        <f>"7828"</f>
        <v>7828</v>
      </c>
      <c r="B7832" t="str">
        <f t="shared" si="453"/>
        <v>1</v>
      </c>
      <c r="C7832" t="str">
        <f t="shared" si="455"/>
        <v>343</v>
      </c>
      <c r="D7832" t="str">
        <f>"6"</f>
        <v>6</v>
      </c>
      <c r="E7832" t="str">
        <f>"1-343-6"</f>
        <v>1-343-6</v>
      </c>
      <c r="F7832" t="s">
        <v>83</v>
      </c>
      <c r="G7832" t="s">
        <v>90</v>
      </c>
      <c r="H7832" t="s">
        <v>91</v>
      </c>
      <c r="AC7832">
        <v>1</v>
      </c>
      <c r="AD7832">
        <v>0</v>
      </c>
      <c r="AE7832">
        <v>0</v>
      </c>
      <c r="AF7832">
        <v>0</v>
      </c>
      <c r="AH7832">
        <v>1</v>
      </c>
      <c r="AI7832">
        <v>0</v>
      </c>
      <c r="AJ7832">
        <v>0</v>
      </c>
      <c r="AK7832">
        <v>1</v>
      </c>
      <c r="AL7832">
        <v>1</v>
      </c>
      <c r="AM7832">
        <v>0</v>
      </c>
      <c r="AN7832">
        <v>0</v>
      </c>
      <c r="AO7832">
        <v>1</v>
      </c>
      <c r="AP7832">
        <v>1</v>
      </c>
      <c r="AQ7832">
        <v>1</v>
      </c>
      <c r="AR7832">
        <v>1</v>
      </c>
      <c r="AU7832">
        <v>1</v>
      </c>
      <c r="AV7832">
        <v>1</v>
      </c>
      <c r="AW7832">
        <v>1</v>
      </c>
    </row>
    <row r="7833" spans="1:49" x14ac:dyDescent="0.25">
      <c r="A7833" t="str">
        <f>"7829"</f>
        <v>7829</v>
      </c>
      <c r="B7833" t="str">
        <f t="shared" si="453"/>
        <v>1</v>
      </c>
      <c r="C7833" t="str">
        <f t="shared" ref="C7833:C7857" si="456">"344"</f>
        <v>344</v>
      </c>
      <c r="D7833" t="str">
        <f>"21"</f>
        <v>21</v>
      </c>
      <c r="E7833" t="str">
        <f>"1-344-21"</f>
        <v>1-344-21</v>
      </c>
      <c r="F7833" t="s">
        <v>83</v>
      </c>
      <c r="G7833" t="s">
        <v>84</v>
      </c>
      <c r="H7833" t="s">
        <v>85</v>
      </c>
      <c r="AC7833">
        <v>0</v>
      </c>
      <c r="AD7833">
        <v>1</v>
      </c>
      <c r="AE7833">
        <v>0</v>
      </c>
      <c r="AF7833">
        <v>0</v>
      </c>
      <c r="AG7833">
        <v>1</v>
      </c>
      <c r="AJ7833">
        <v>1</v>
      </c>
      <c r="AK7833">
        <v>0</v>
      </c>
      <c r="AL7833">
        <v>0</v>
      </c>
      <c r="AM7833">
        <v>1</v>
      </c>
      <c r="AN7833">
        <v>0</v>
      </c>
      <c r="AO7833">
        <v>1</v>
      </c>
      <c r="AP7833">
        <v>1</v>
      </c>
      <c r="AQ7833">
        <v>1</v>
      </c>
      <c r="AR7833">
        <v>1</v>
      </c>
      <c r="AS7833">
        <v>0</v>
      </c>
      <c r="AT7833">
        <v>0</v>
      </c>
      <c r="AV7833">
        <v>1</v>
      </c>
      <c r="AW7833">
        <v>1</v>
      </c>
    </row>
    <row r="7834" spans="1:49" x14ac:dyDescent="0.25">
      <c r="A7834" t="str">
        <f>"7830"</f>
        <v>7830</v>
      </c>
      <c r="B7834" t="str">
        <f t="shared" si="453"/>
        <v>1</v>
      </c>
      <c r="C7834" t="str">
        <f t="shared" si="456"/>
        <v>344</v>
      </c>
      <c r="D7834" t="str">
        <f>"20"</f>
        <v>20</v>
      </c>
      <c r="E7834" t="str">
        <f>"1-344-20"</f>
        <v>1-344-20</v>
      </c>
      <c r="F7834" t="s">
        <v>83</v>
      </c>
      <c r="G7834" t="s">
        <v>84</v>
      </c>
      <c r="H7834" t="s">
        <v>85</v>
      </c>
      <c r="AC7834">
        <v>0</v>
      </c>
      <c r="AD7834">
        <v>1</v>
      </c>
      <c r="AE7834">
        <v>0</v>
      </c>
      <c r="AF7834">
        <v>0</v>
      </c>
      <c r="AG7834">
        <v>0</v>
      </c>
      <c r="AJ7834">
        <v>0</v>
      </c>
      <c r="AK7834">
        <v>1</v>
      </c>
      <c r="AL7834">
        <v>0</v>
      </c>
      <c r="AM7834">
        <v>1</v>
      </c>
      <c r="AN7834">
        <v>0</v>
      </c>
      <c r="AO7834">
        <v>0</v>
      </c>
      <c r="AP7834">
        <v>0</v>
      </c>
      <c r="AQ7834">
        <v>0</v>
      </c>
      <c r="AR7834">
        <v>0</v>
      </c>
      <c r="AS7834">
        <v>0</v>
      </c>
      <c r="AT7834">
        <v>0</v>
      </c>
      <c r="AV7834">
        <v>0</v>
      </c>
      <c r="AW7834">
        <v>1</v>
      </c>
    </row>
    <row r="7835" spans="1:49" x14ac:dyDescent="0.25">
      <c r="A7835" t="str">
        <f>"7831"</f>
        <v>7831</v>
      </c>
      <c r="B7835" t="str">
        <f t="shared" si="453"/>
        <v>1</v>
      </c>
      <c r="C7835" t="str">
        <f t="shared" si="456"/>
        <v>344</v>
      </c>
      <c r="D7835" t="str">
        <f>"13"</f>
        <v>13</v>
      </c>
      <c r="E7835" t="str">
        <f>"1-344-13"</f>
        <v>1-344-13</v>
      </c>
      <c r="F7835" t="s">
        <v>83</v>
      </c>
      <c r="G7835" t="s">
        <v>84</v>
      </c>
      <c r="H7835" t="s">
        <v>85</v>
      </c>
      <c r="AC7835">
        <v>0</v>
      </c>
      <c r="AD7835">
        <v>1</v>
      </c>
      <c r="AE7835">
        <v>0</v>
      </c>
      <c r="AF7835">
        <v>0</v>
      </c>
      <c r="AG7835">
        <v>0</v>
      </c>
      <c r="AJ7835">
        <v>0</v>
      </c>
      <c r="AK7835">
        <v>0</v>
      </c>
      <c r="AL7835">
        <v>0</v>
      </c>
      <c r="AM7835">
        <v>0</v>
      </c>
      <c r="AN7835">
        <v>1</v>
      </c>
      <c r="AO7835">
        <v>0</v>
      </c>
      <c r="AP7835">
        <v>0</v>
      </c>
      <c r="AQ7835">
        <v>0</v>
      </c>
      <c r="AR7835">
        <v>1</v>
      </c>
      <c r="AS7835">
        <v>1</v>
      </c>
      <c r="AT7835">
        <v>0</v>
      </c>
      <c r="AV7835">
        <v>0</v>
      </c>
      <c r="AW7835">
        <v>0</v>
      </c>
    </row>
    <row r="7836" spans="1:49" x14ac:dyDescent="0.25">
      <c r="A7836" t="str">
        <f>"7832"</f>
        <v>7832</v>
      </c>
      <c r="B7836" t="str">
        <f t="shared" si="453"/>
        <v>1</v>
      </c>
      <c r="C7836" t="str">
        <f t="shared" si="456"/>
        <v>344</v>
      </c>
      <c r="D7836" t="str">
        <f>"8"</f>
        <v>8</v>
      </c>
      <c r="E7836" t="str">
        <f>"1-344-8"</f>
        <v>1-344-8</v>
      </c>
      <c r="F7836" t="s">
        <v>83</v>
      </c>
      <c r="G7836" t="s">
        <v>84</v>
      </c>
      <c r="H7836" t="s">
        <v>85</v>
      </c>
      <c r="AC7836">
        <v>1</v>
      </c>
      <c r="AD7836">
        <v>0</v>
      </c>
      <c r="AE7836">
        <v>0</v>
      </c>
      <c r="AF7836">
        <v>0</v>
      </c>
      <c r="AG7836">
        <v>1</v>
      </c>
      <c r="AJ7836">
        <v>0</v>
      </c>
      <c r="AK7836">
        <v>1</v>
      </c>
      <c r="AL7836">
        <v>1</v>
      </c>
      <c r="AM7836">
        <v>0</v>
      </c>
      <c r="AN7836">
        <v>0</v>
      </c>
      <c r="AO7836">
        <v>0</v>
      </c>
      <c r="AP7836">
        <v>0</v>
      </c>
      <c r="AQ7836">
        <v>0</v>
      </c>
      <c r="AR7836">
        <v>1</v>
      </c>
      <c r="AS7836">
        <v>0</v>
      </c>
      <c r="AT7836">
        <v>0</v>
      </c>
      <c r="AV7836">
        <v>1</v>
      </c>
      <c r="AW7836">
        <v>1</v>
      </c>
    </row>
    <row r="7837" spans="1:49" x14ac:dyDescent="0.25">
      <c r="A7837" t="str">
        <f>"7833"</f>
        <v>7833</v>
      </c>
      <c r="B7837" t="str">
        <f t="shared" si="453"/>
        <v>1</v>
      </c>
      <c r="C7837" t="str">
        <f t="shared" si="456"/>
        <v>344</v>
      </c>
      <c r="D7837" t="str">
        <f>"3"</f>
        <v>3</v>
      </c>
      <c r="E7837" t="str">
        <f>"1-344-3"</f>
        <v>1-344-3</v>
      </c>
      <c r="F7837" t="s">
        <v>83</v>
      </c>
      <c r="G7837" t="s">
        <v>84</v>
      </c>
      <c r="H7837" t="s">
        <v>85</v>
      </c>
      <c r="AC7837">
        <v>0</v>
      </c>
      <c r="AD7837">
        <v>1</v>
      </c>
      <c r="AE7837">
        <v>0</v>
      </c>
      <c r="AF7837">
        <v>0</v>
      </c>
      <c r="AG7837">
        <v>1</v>
      </c>
      <c r="AJ7837">
        <v>1</v>
      </c>
      <c r="AK7837">
        <v>0</v>
      </c>
      <c r="AL7837">
        <v>1</v>
      </c>
      <c r="AM7837">
        <v>0</v>
      </c>
      <c r="AN7837">
        <v>0</v>
      </c>
      <c r="AO7837">
        <v>1</v>
      </c>
      <c r="AP7837">
        <v>1</v>
      </c>
      <c r="AQ7837">
        <v>1</v>
      </c>
      <c r="AR7837">
        <v>1</v>
      </c>
      <c r="AS7837">
        <v>1</v>
      </c>
      <c r="AT7837">
        <v>0</v>
      </c>
      <c r="AV7837">
        <v>1</v>
      </c>
      <c r="AW7837">
        <v>1</v>
      </c>
    </row>
    <row r="7838" spans="1:49" x14ac:dyDescent="0.25">
      <c r="A7838" t="str">
        <f>"7834"</f>
        <v>7834</v>
      </c>
      <c r="B7838" t="str">
        <f t="shared" ref="B7838:B7901" si="457">"1"</f>
        <v>1</v>
      </c>
      <c r="C7838" t="str">
        <f t="shared" si="456"/>
        <v>344</v>
      </c>
      <c r="D7838" t="str">
        <f>"17"</f>
        <v>17</v>
      </c>
      <c r="E7838" t="str">
        <f>"1-344-17"</f>
        <v>1-344-17</v>
      </c>
      <c r="F7838" t="s">
        <v>83</v>
      </c>
      <c r="G7838" t="s">
        <v>84</v>
      </c>
      <c r="H7838" t="s">
        <v>85</v>
      </c>
      <c r="AC7838">
        <v>1</v>
      </c>
      <c r="AD7838">
        <v>0</v>
      </c>
      <c r="AE7838">
        <v>0</v>
      </c>
      <c r="AF7838">
        <v>0</v>
      </c>
      <c r="AG7838">
        <v>0</v>
      </c>
      <c r="AJ7838">
        <v>1</v>
      </c>
      <c r="AK7838">
        <v>0</v>
      </c>
      <c r="AL7838">
        <v>1</v>
      </c>
      <c r="AM7838">
        <v>0</v>
      </c>
      <c r="AN7838">
        <v>0</v>
      </c>
      <c r="AO7838">
        <v>1</v>
      </c>
      <c r="AP7838">
        <v>1</v>
      </c>
      <c r="AQ7838">
        <v>1</v>
      </c>
      <c r="AR7838">
        <v>1</v>
      </c>
      <c r="AS7838">
        <v>1</v>
      </c>
      <c r="AT7838">
        <v>0</v>
      </c>
      <c r="AV7838">
        <v>1</v>
      </c>
      <c r="AW7838">
        <v>1</v>
      </c>
    </row>
    <row r="7839" spans="1:49" x14ac:dyDescent="0.25">
      <c r="A7839" t="str">
        <f>"7835"</f>
        <v>7835</v>
      </c>
      <c r="B7839" t="str">
        <f t="shared" si="457"/>
        <v>1</v>
      </c>
      <c r="C7839" t="str">
        <f t="shared" si="456"/>
        <v>344</v>
      </c>
      <c r="D7839" t="str">
        <f>"9"</f>
        <v>9</v>
      </c>
      <c r="E7839" t="str">
        <f>"1-344-9"</f>
        <v>1-344-9</v>
      </c>
      <c r="F7839" t="s">
        <v>83</v>
      </c>
      <c r="G7839" t="s">
        <v>88</v>
      </c>
      <c r="H7839" t="s">
        <v>89</v>
      </c>
      <c r="AC7839">
        <v>1</v>
      </c>
      <c r="AD7839">
        <v>0</v>
      </c>
      <c r="AE7839">
        <v>0</v>
      </c>
      <c r="AF7839">
        <v>0</v>
      </c>
      <c r="AH7839">
        <v>1</v>
      </c>
      <c r="AI7839">
        <v>0</v>
      </c>
      <c r="AJ7839">
        <v>1</v>
      </c>
      <c r="AK7839">
        <v>0</v>
      </c>
      <c r="AL7839">
        <v>1</v>
      </c>
      <c r="AM7839">
        <v>0</v>
      </c>
      <c r="AN7839">
        <v>0</v>
      </c>
      <c r="AO7839">
        <v>1</v>
      </c>
      <c r="AP7839">
        <v>1</v>
      </c>
      <c r="AQ7839">
        <v>1</v>
      </c>
      <c r="AR7839">
        <v>1</v>
      </c>
      <c r="AS7839">
        <v>0</v>
      </c>
      <c r="AT7839">
        <v>1</v>
      </c>
      <c r="AV7839">
        <v>0</v>
      </c>
      <c r="AW7839">
        <v>1</v>
      </c>
    </row>
    <row r="7840" spans="1:49" x14ac:dyDescent="0.25">
      <c r="A7840" t="str">
        <f>"7836"</f>
        <v>7836</v>
      </c>
      <c r="B7840" t="str">
        <f t="shared" si="457"/>
        <v>1</v>
      </c>
      <c r="C7840" t="str">
        <f t="shared" si="456"/>
        <v>344</v>
      </c>
      <c r="D7840" t="str">
        <f>"2"</f>
        <v>2</v>
      </c>
      <c r="E7840" t="str">
        <f>"1-344-2"</f>
        <v>1-344-2</v>
      </c>
      <c r="F7840" t="s">
        <v>83</v>
      </c>
      <c r="G7840" t="s">
        <v>84</v>
      </c>
      <c r="H7840" t="s">
        <v>85</v>
      </c>
      <c r="AC7840">
        <v>0</v>
      </c>
      <c r="AD7840">
        <v>1</v>
      </c>
      <c r="AE7840">
        <v>0</v>
      </c>
      <c r="AF7840">
        <v>0</v>
      </c>
      <c r="AG7840">
        <v>1</v>
      </c>
      <c r="AJ7840">
        <v>0</v>
      </c>
      <c r="AK7840">
        <v>1</v>
      </c>
      <c r="AL7840">
        <v>0</v>
      </c>
      <c r="AM7840">
        <v>0</v>
      </c>
      <c r="AN7840">
        <v>1</v>
      </c>
      <c r="AO7840">
        <v>1</v>
      </c>
      <c r="AP7840">
        <v>1</v>
      </c>
      <c r="AQ7840">
        <v>1</v>
      </c>
      <c r="AR7840">
        <v>1</v>
      </c>
      <c r="AS7840">
        <v>1</v>
      </c>
      <c r="AT7840">
        <v>0</v>
      </c>
      <c r="AV7840">
        <v>1</v>
      </c>
      <c r="AW7840">
        <v>1</v>
      </c>
    </row>
    <row r="7841" spans="1:49" x14ac:dyDescent="0.25">
      <c r="A7841" t="str">
        <f>"7837"</f>
        <v>7837</v>
      </c>
      <c r="B7841" t="str">
        <f t="shared" si="457"/>
        <v>1</v>
      </c>
      <c r="C7841" t="str">
        <f t="shared" si="456"/>
        <v>344</v>
      </c>
      <c r="D7841" t="str">
        <f>"25"</f>
        <v>25</v>
      </c>
      <c r="E7841" t="str">
        <f>"1-344-25"</f>
        <v>1-344-25</v>
      </c>
      <c r="F7841" t="s">
        <v>83</v>
      </c>
      <c r="G7841" t="s">
        <v>84</v>
      </c>
      <c r="H7841" t="s">
        <v>85</v>
      </c>
      <c r="AC7841">
        <v>0</v>
      </c>
      <c r="AD7841">
        <v>1</v>
      </c>
      <c r="AE7841">
        <v>0</v>
      </c>
      <c r="AF7841">
        <v>0</v>
      </c>
      <c r="AG7841">
        <v>1</v>
      </c>
      <c r="AJ7841">
        <v>0</v>
      </c>
      <c r="AK7841">
        <v>0</v>
      </c>
      <c r="AL7841">
        <v>0</v>
      </c>
      <c r="AM7841">
        <v>0</v>
      </c>
      <c r="AN7841">
        <v>1</v>
      </c>
      <c r="AO7841">
        <v>1</v>
      </c>
      <c r="AP7841">
        <v>1</v>
      </c>
      <c r="AQ7841">
        <v>1</v>
      </c>
      <c r="AR7841">
        <v>1</v>
      </c>
      <c r="AS7841">
        <v>1</v>
      </c>
      <c r="AT7841">
        <v>0</v>
      </c>
      <c r="AV7841">
        <v>1</v>
      </c>
      <c r="AW7841">
        <v>0</v>
      </c>
    </row>
    <row r="7842" spans="1:49" x14ac:dyDescent="0.25">
      <c r="A7842" t="str">
        <f>"7838"</f>
        <v>7838</v>
      </c>
      <c r="B7842" t="str">
        <f t="shared" si="457"/>
        <v>1</v>
      </c>
      <c r="C7842" t="str">
        <f t="shared" si="456"/>
        <v>344</v>
      </c>
      <c r="D7842" t="str">
        <f>"24"</f>
        <v>24</v>
      </c>
      <c r="E7842" t="str">
        <f>"1-344-24"</f>
        <v>1-344-24</v>
      </c>
      <c r="F7842" t="s">
        <v>83</v>
      </c>
      <c r="G7842" t="s">
        <v>84</v>
      </c>
      <c r="H7842" t="s">
        <v>85</v>
      </c>
      <c r="AC7842">
        <v>0</v>
      </c>
      <c r="AD7842">
        <v>0</v>
      </c>
      <c r="AE7842">
        <v>0</v>
      </c>
      <c r="AF7842">
        <v>0</v>
      </c>
      <c r="AG7842">
        <v>0</v>
      </c>
      <c r="AJ7842">
        <v>0</v>
      </c>
      <c r="AK7842">
        <v>0</v>
      </c>
      <c r="AL7842">
        <v>0</v>
      </c>
      <c r="AM7842">
        <v>0</v>
      </c>
      <c r="AN7842">
        <v>0</v>
      </c>
      <c r="AO7842">
        <v>0</v>
      </c>
      <c r="AP7842">
        <v>0</v>
      </c>
      <c r="AQ7842">
        <v>0</v>
      </c>
      <c r="AR7842">
        <v>1</v>
      </c>
      <c r="AS7842">
        <v>0</v>
      </c>
      <c r="AT7842">
        <v>1</v>
      </c>
      <c r="AV7842">
        <v>0</v>
      </c>
      <c r="AW7842">
        <v>0</v>
      </c>
    </row>
    <row r="7843" spans="1:49" x14ac:dyDescent="0.25">
      <c r="A7843" t="str">
        <f>"7839"</f>
        <v>7839</v>
      </c>
      <c r="B7843" t="str">
        <f t="shared" si="457"/>
        <v>1</v>
      </c>
      <c r="C7843" t="str">
        <f t="shared" si="456"/>
        <v>344</v>
      </c>
      <c r="D7843" t="str">
        <f>"15"</f>
        <v>15</v>
      </c>
      <c r="E7843" t="str">
        <f>"1-344-15"</f>
        <v>1-344-15</v>
      </c>
      <c r="F7843" t="s">
        <v>83</v>
      </c>
      <c r="G7843" t="s">
        <v>84</v>
      </c>
      <c r="H7843" t="s">
        <v>85</v>
      </c>
      <c r="AC7843">
        <v>1</v>
      </c>
      <c r="AD7843">
        <v>0</v>
      </c>
      <c r="AE7843">
        <v>0</v>
      </c>
      <c r="AF7843">
        <v>0</v>
      </c>
      <c r="AG7843">
        <v>1</v>
      </c>
      <c r="AJ7843">
        <v>1</v>
      </c>
      <c r="AK7843">
        <v>0</v>
      </c>
      <c r="AL7843">
        <v>1</v>
      </c>
      <c r="AM7843">
        <v>0</v>
      </c>
      <c r="AN7843">
        <v>0</v>
      </c>
      <c r="AO7843">
        <v>1</v>
      </c>
      <c r="AP7843">
        <v>1</v>
      </c>
      <c r="AQ7843">
        <v>1</v>
      </c>
      <c r="AR7843">
        <v>1</v>
      </c>
      <c r="AS7843">
        <v>0</v>
      </c>
      <c r="AT7843">
        <v>1</v>
      </c>
      <c r="AV7843">
        <v>1</v>
      </c>
      <c r="AW7843">
        <v>1</v>
      </c>
    </row>
    <row r="7844" spans="1:49" x14ac:dyDescent="0.25">
      <c r="A7844" t="str">
        <f>"7840"</f>
        <v>7840</v>
      </c>
      <c r="B7844" t="str">
        <f t="shared" si="457"/>
        <v>1</v>
      </c>
      <c r="C7844" t="str">
        <f t="shared" si="456"/>
        <v>344</v>
      </c>
      <c r="D7844" t="str">
        <f>"10"</f>
        <v>10</v>
      </c>
      <c r="E7844" t="str">
        <f>"1-344-10"</f>
        <v>1-344-10</v>
      </c>
      <c r="F7844" t="s">
        <v>83</v>
      </c>
      <c r="G7844" t="s">
        <v>84</v>
      </c>
      <c r="H7844" t="s">
        <v>85</v>
      </c>
      <c r="AC7844">
        <v>1</v>
      </c>
      <c r="AD7844">
        <v>0</v>
      </c>
      <c r="AE7844">
        <v>0</v>
      </c>
      <c r="AF7844">
        <v>0</v>
      </c>
      <c r="AG7844">
        <v>1</v>
      </c>
      <c r="AJ7844">
        <v>1</v>
      </c>
      <c r="AK7844">
        <v>0</v>
      </c>
      <c r="AL7844">
        <v>1</v>
      </c>
      <c r="AM7844">
        <v>0</v>
      </c>
      <c r="AN7844">
        <v>0</v>
      </c>
      <c r="AO7844">
        <v>1</v>
      </c>
      <c r="AP7844">
        <v>1</v>
      </c>
      <c r="AQ7844">
        <v>1</v>
      </c>
      <c r="AR7844">
        <v>1</v>
      </c>
      <c r="AS7844">
        <v>1</v>
      </c>
      <c r="AT7844">
        <v>0</v>
      </c>
      <c r="AV7844">
        <v>1</v>
      </c>
      <c r="AW7844">
        <v>1</v>
      </c>
    </row>
    <row r="7845" spans="1:49" x14ac:dyDescent="0.25">
      <c r="A7845" t="str">
        <f>"7841"</f>
        <v>7841</v>
      </c>
      <c r="B7845" t="str">
        <f t="shared" si="457"/>
        <v>1</v>
      </c>
      <c r="C7845" t="str">
        <f t="shared" si="456"/>
        <v>344</v>
      </c>
      <c r="D7845" t="str">
        <f>"7"</f>
        <v>7</v>
      </c>
      <c r="E7845" t="str">
        <f>"1-344-7"</f>
        <v>1-344-7</v>
      </c>
      <c r="F7845" t="s">
        <v>83</v>
      </c>
      <c r="G7845" t="s">
        <v>84</v>
      </c>
      <c r="H7845" t="s">
        <v>85</v>
      </c>
      <c r="AC7845">
        <v>1</v>
      </c>
      <c r="AD7845">
        <v>0</v>
      </c>
      <c r="AE7845">
        <v>0</v>
      </c>
      <c r="AF7845">
        <v>0</v>
      </c>
      <c r="AG7845">
        <v>0</v>
      </c>
      <c r="AJ7845">
        <v>1</v>
      </c>
      <c r="AK7845">
        <v>0</v>
      </c>
      <c r="AL7845">
        <v>1</v>
      </c>
      <c r="AM7845">
        <v>0</v>
      </c>
      <c r="AN7845">
        <v>0</v>
      </c>
      <c r="AO7845">
        <v>0</v>
      </c>
      <c r="AP7845">
        <v>0</v>
      </c>
      <c r="AQ7845">
        <v>0</v>
      </c>
      <c r="AR7845">
        <v>0</v>
      </c>
      <c r="AS7845">
        <v>1</v>
      </c>
      <c r="AT7845">
        <v>0</v>
      </c>
      <c r="AV7845">
        <v>0</v>
      </c>
      <c r="AW7845">
        <v>0</v>
      </c>
    </row>
    <row r="7846" spans="1:49" x14ac:dyDescent="0.25">
      <c r="A7846" t="str">
        <f>"7842"</f>
        <v>7842</v>
      </c>
      <c r="B7846" t="str">
        <f t="shared" si="457"/>
        <v>1</v>
      </c>
      <c r="C7846" t="str">
        <f t="shared" si="456"/>
        <v>344</v>
      </c>
      <c r="D7846" t="str">
        <f>"23"</f>
        <v>23</v>
      </c>
      <c r="E7846" t="str">
        <f>"1-344-23"</f>
        <v>1-344-23</v>
      </c>
      <c r="F7846" t="s">
        <v>83</v>
      </c>
      <c r="G7846" t="s">
        <v>84</v>
      </c>
      <c r="H7846" t="s">
        <v>85</v>
      </c>
      <c r="AC7846">
        <v>0</v>
      </c>
      <c r="AD7846">
        <v>1</v>
      </c>
      <c r="AE7846">
        <v>0</v>
      </c>
      <c r="AF7846">
        <v>0</v>
      </c>
      <c r="AG7846">
        <v>1</v>
      </c>
      <c r="AJ7846">
        <v>1</v>
      </c>
      <c r="AK7846">
        <v>0</v>
      </c>
      <c r="AL7846">
        <v>1</v>
      </c>
      <c r="AM7846">
        <v>0</v>
      </c>
      <c r="AN7846">
        <v>0</v>
      </c>
      <c r="AO7846">
        <v>1</v>
      </c>
      <c r="AP7846">
        <v>1</v>
      </c>
      <c r="AQ7846">
        <v>1</v>
      </c>
      <c r="AR7846">
        <v>1</v>
      </c>
      <c r="AS7846">
        <v>0</v>
      </c>
      <c r="AT7846">
        <v>1</v>
      </c>
      <c r="AV7846">
        <v>1</v>
      </c>
      <c r="AW7846">
        <v>1</v>
      </c>
    </row>
    <row r="7847" spans="1:49" x14ac:dyDescent="0.25">
      <c r="A7847" t="str">
        <f>"7843"</f>
        <v>7843</v>
      </c>
      <c r="B7847" t="str">
        <f t="shared" si="457"/>
        <v>1</v>
      </c>
      <c r="C7847" t="str">
        <f t="shared" si="456"/>
        <v>344</v>
      </c>
      <c r="D7847" t="str">
        <f>"22"</f>
        <v>22</v>
      </c>
      <c r="E7847" t="str">
        <f>"1-344-22"</f>
        <v>1-344-22</v>
      </c>
      <c r="F7847" t="s">
        <v>83</v>
      </c>
      <c r="G7847" t="s">
        <v>84</v>
      </c>
      <c r="H7847" t="s">
        <v>85</v>
      </c>
      <c r="AC7847">
        <v>1</v>
      </c>
      <c r="AD7847">
        <v>0</v>
      </c>
      <c r="AE7847">
        <v>0</v>
      </c>
      <c r="AF7847">
        <v>0</v>
      </c>
      <c r="AG7847">
        <v>1</v>
      </c>
      <c r="AJ7847">
        <v>1</v>
      </c>
      <c r="AK7847">
        <v>0</v>
      </c>
      <c r="AL7847">
        <v>0</v>
      </c>
      <c r="AM7847">
        <v>1</v>
      </c>
      <c r="AN7847">
        <v>0</v>
      </c>
      <c r="AO7847">
        <v>1</v>
      </c>
      <c r="AP7847">
        <v>1</v>
      </c>
      <c r="AQ7847">
        <v>1</v>
      </c>
      <c r="AR7847">
        <v>1</v>
      </c>
      <c r="AS7847">
        <v>0</v>
      </c>
      <c r="AT7847">
        <v>1</v>
      </c>
      <c r="AV7847">
        <v>1</v>
      </c>
      <c r="AW7847">
        <v>1</v>
      </c>
    </row>
    <row r="7848" spans="1:49" x14ac:dyDescent="0.25">
      <c r="A7848" t="str">
        <f>"7844"</f>
        <v>7844</v>
      </c>
      <c r="B7848" t="str">
        <f t="shared" si="457"/>
        <v>1</v>
      </c>
      <c r="C7848" t="str">
        <f t="shared" si="456"/>
        <v>344</v>
      </c>
      <c r="D7848" t="str">
        <f>"14"</f>
        <v>14</v>
      </c>
      <c r="E7848" t="str">
        <f>"1-344-14"</f>
        <v>1-344-14</v>
      </c>
      <c r="F7848" t="s">
        <v>83</v>
      </c>
      <c r="G7848" t="s">
        <v>84</v>
      </c>
      <c r="H7848" t="s">
        <v>85</v>
      </c>
      <c r="AC7848">
        <v>0</v>
      </c>
      <c r="AD7848">
        <v>1</v>
      </c>
      <c r="AE7848">
        <v>0</v>
      </c>
      <c r="AF7848">
        <v>0</v>
      </c>
      <c r="AG7848">
        <v>1</v>
      </c>
      <c r="AJ7848">
        <v>0</v>
      </c>
      <c r="AK7848">
        <v>1</v>
      </c>
      <c r="AL7848">
        <v>0</v>
      </c>
      <c r="AM7848">
        <v>1</v>
      </c>
      <c r="AN7848">
        <v>0</v>
      </c>
      <c r="AO7848">
        <v>1</v>
      </c>
      <c r="AP7848">
        <v>1</v>
      </c>
      <c r="AQ7848">
        <v>1</v>
      </c>
      <c r="AR7848">
        <v>1</v>
      </c>
      <c r="AS7848">
        <v>0</v>
      </c>
      <c r="AT7848">
        <v>1</v>
      </c>
      <c r="AV7848">
        <v>1</v>
      </c>
      <c r="AW7848">
        <v>1</v>
      </c>
    </row>
    <row r="7849" spans="1:49" x14ac:dyDescent="0.25">
      <c r="A7849" t="str">
        <f>"7845"</f>
        <v>7845</v>
      </c>
      <c r="B7849" t="str">
        <f t="shared" si="457"/>
        <v>1</v>
      </c>
      <c r="C7849" t="str">
        <f t="shared" si="456"/>
        <v>344</v>
      </c>
      <c r="D7849" t="str">
        <f>"11"</f>
        <v>11</v>
      </c>
      <c r="E7849" t="str">
        <f>"1-344-11"</f>
        <v>1-344-11</v>
      </c>
      <c r="F7849" t="s">
        <v>83</v>
      </c>
      <c r="G7849" t="s">
        <v>84</v>
      </c>
      <c r="H7849" t="s">
        <v>85</v>
      </c>
      <c r="AC7849">
        <v>0</v>
      </c>
      <c r="AD7849">
        <v>1</v>
      </c>
      <c r="AE7849">
        <v>0</v>
      </c>
      <c r="AF7849">
        <v>0</v>
      </c>
      <c r="AG7849">
        <v>0</v>
      </c>
      <c r="AJ7849">
        <v>0</v>
      </c>
      <c r="AK7849">
        <v>1</v>
      </c>
      <c r="AL7849">
        <v>0</v>
      </c>
      <c r="AM7849">
        <v>0</v>
      </c>
      <c r="AN7849">
        <v>1</v>
      </c>
      <c r="AO7849">
        <v>1</v>
      </c>
      <c r="AP7849">
        <v>1</v>
      </c>
      <c r="AQ7849">
        <v>1</v>
      </c>
      <c r="AR7849">
        <v>1</v>
      </c>
      <c r="AS7849">
        <v>0</v>
      </c>
      <c r="AT7849">
        <v>1</v>
      </c>
      <c r="AV7849">
        <v>0</v>
      </c>
      <c r="AW7849">
        <v>1</v>
      </c>
    </row>
    <row r="7850" spans="1:49" x14ac:dyDescent="0.25">
      <c r="A7850" t="str">
        <f>"7846"</f>
        <v>7846</v>
      </c>
      <c r="B7850" t="str">
        <f t="shared" si="457"/>
        <v>1</v>
      </c>
      <c r="C7850" t="str">
        <f t="shared" si="456"/>
        <v>344</v>
      </c>
      <c r="D7850" t="str">
        <f>"5"</f>
        <v>5</v>
      </c>
      <c r="E7850" t="str">
        <f>"1-344-5"</f>
        <v>1-344-5</v>
      </c>
      <c r="F7850" t="s">
        <v>83</v>
      </c>
      <c r="G7850" t="s">
        <v>84</v>
      </c>
      <c r="H7850" t="s">
        <v>85</v>
      </c>
      <c r="AC7850">
        <v>0</v>
      </c>
      <c r="AD7850">
        <v>1</v>
      </c>
      <c r="AE7850">
        <v>0</v>
      </c>
      <c r="AF7850">
        <v>0</v>
      </c>
      <c r="AG7850">
        <v>1</v>
      </c>
      <c r="AJ7850">
        <v>1</v>
      </c>
      <c r="AK7850">
        <v>0</v>
      </c>
      <c r="AL7850">
        <v>0</v>
      </c>
      <c r="AM7850">
        <v>0</v>
      </c>
      <c r="AN7850">
        <v>1</v>
      </c>
      <c r="AO7850">
        <v>1</v>
      </c>
      <c r="AP7850">
        <v>1</v>
      </c>
      <c r="AQ7850">
        <v>1</v>
      </c>
      <c r="AR7850">
        <v>1</v>
      </c>
      <c r="AS7850">
        <v>0</v>
      </c>
      <c r="AT7850">
        <v>1</v>
      </c>
      <c r="AV7850">
        <v>1</v>
      </c>
      <c r="AW7850">
        <v>1</v>
      </c>
    </row>
    <row r="7851" spans="1:49" x14ac:dyDescent="0.25">
      <c r="A7851" t="str">
        <f>"7847"</f>
        <v>7847</v>
      </c>
      <c r="B7851" t="str">
        <f t="shared" si="457"/>
        <v>1</v>
      </c>
      <c r="C7851" t="str">
        <f t="shared" si="456"/>
        <v>344</v>
      </c>
      <c r="D7851" t="str">
        <f>"19"</f>
        <v>19</v>
      </c>
      <c r="E7851" t="str">
        <f>"1-344-19"</f>
        <v>1-344-19</v>
      </c>
      <c r="F7851" t="s">
        <v>83</v>
      </c>
      <c r="G7851" t="s">
        <v>84</v>
      </c>
      <c r="H7851" t="s">
        <v>85</v>
      </c>
      <c r="AC7851">
        <v>1</v>
      </c>
      <c r="AD7851">
        <v>0</v>
      </c>
      <c r="AE7851">
        <v>0</v>
      </c>
      <c r="AF7851">
        <v>0</v>
      </c>
      <c r="AG7851">
        <v>1</v>
      </c>
      <c r="AJ7851">
        <v>1</v>
      </c>
      <c r="AK7851">
        <v>0</v>
      </c>
      <c r="AL7851">
        <v>0</v>
      </c>
      <c r="AM7851">
        <v>0</v>
      </c>
      <c r="AN7851">
        <v>1</v>
      </c>
      <c r="AO7851">
        <v>1</v>
      </c>
      <c r="AP7851">
        <v>1</v>
      </c>
      <c r="AQ7851">
        <v>1</v>
      </c>
      <c r="AR7851">
        <v>1</v>
      </c>
      <c r="AS7851">
        <v>1</v>
      </c>
      <c r="AT7851">
        <v>0</v>
      </c>
      <c r="AV7851">
        <v>1</v>
      </c>
      <c r="AW7851">
        <v>1</v>
      </c>
    </row>
    <row r="7852" spans="1:49" x14ac:dyDescent="0.25">
      <c r="A7852" t="str">
        <f>"7848"</f>
        <v>7848</v>
      </c>
      <c r="B7852" t="str">
        <f t="shared" si="457"/>
        <v>1</v>
      </c>
      <c r="C7852" t="str">
        <f t="shared" si="456"/>
        <v>344</v>
      </c>
      <c r="D7852" t="str">
        <f>"12"</f>
        <v>12</v>
      </c>
      <c r="E7852" t="str">
        <f>"1-344-12"</f>
        <v>1-344-12</v>
      </c>
      <c r="F7852" t="s">
        <v>83</v>
      </c>
      <c r="G7852" t="s">
        <v>84</v>
      </c>
      <c r="H7852" t="s">
        <v>85</v>
      </c>
      <c r="AC7852">
        <v>1</v>
      </c>
      <c r="AD7852">
        <v>0</v>
      </c>
      <c r="AE7852">
        <v>0</v>
      </c>
      <c r="AF7852">
        <v>0</v>
      </c>
      <c r="AG7852">
        <v>1</v>
      </c>
      <c r="AJ7852">
        <v>1</v>
      </c>
      <c r="AK7852">
        <v>0</v>
      </c>
      <c r="AL7852">
        <v>1</v>
      </c>
      <c r="AM7852">
        <v>0</v>
      </c>
      <c r="AN7852">
        <v>0</v>
      </c>
      <c r="AO7852">
        <v>1</v>
      </c>
      <c r="AP7852">
        <v>1</v>
      </c>
      <c r="AQ7852">
        <v>1</v>
      </c>
      <c r="AR7852">
        <v>1</v>
      </c>
      <c r="AS7852">
        <v>0</v>
      </c>
      <c r="AT7852">
        <v>1</v>
      </c>
      <c r="AV7852">
        <v>1</v>
      </c>
      <c r="AW7852">
        <v>1</v>
      </c>
    </row>
    <row r="7853" spans="1:49" x14ac:dyDescent="0.25">
      <c r="A7853" t="str">
        <f>"7849"</f>
        <v>7849</v>
      </c>
      <c r="B7853" t="str">
        <f t="shared" si="457"/>
        <v>1</v>
      </c>
      <c r="C7853" t="str">
        <f t="shared" si="456"/>
        <v>344</v>
      </c>
      <c r="D7853" t="str">
        <f>"4"</f>
        <v>4</v>
      </c>
      <c r="E7853" t="str">
        <f>"1-344-4"</f>
        <v>1-344-4</v>
      </c>
      <c r="F7853" t="s">
        <v>83</v>
      </c>
      <c r="G7853" t="s">
        <v>84</v>
      </c>
      <c r="H7853" t="s">
        <v>85</v>
      </c>
      <c r="AC7853">
        <v>1</v>
      </c>
      <c r="AD7853">
        <v>0</v>
      </c>
      <c r="AE7853">
        <v>0</v>
      </c>
      <c r="AF7853">
        <v>0</v>
      </c>
      <c r="AG7853">
        <v>1</v>
      </c>
      <c r="AJ7853">
        <v>1</v>
      </c>
      <c r="AK7853">
        <v>0</v>
      </c>
      <c r="AL7853">
        <v>1</v>
      </c>
      <c r="AM7853">
        <v>0</v>
      </c>
      <c r="AN7853">
        <v>0</v>
      </c>
      <c r="AO7853">
        <v>1</v>
      </c>
      <c r="AP7853">
        <v>1</v>
      </c>
      <c r="AQ7853">
        <v>1</v>
      </c>
      <c r="AR7853">
        <v>1</v>
      </c>
      <c r="AS7853">
        <v>1</v>
      </c>
      <c r="AT7853">
        <v>0</v>
      </c>
      <c r="AV7853">
        <v>1</v>
      </c>
      <c r="AW7853">
        <v>1</v>
      </c>
    </row>
    <row r="7854" spans="1:49" x14ac:dyDescent="0.25">
      <c r="A7854" t="str">
        <f>"7850"</f>
        <v>7850</v>
      </c>
      <c r="B7854" t="str">
        <f t="shared" si="457"/>
        <v>1</v>
      </c>
      <c r="C7854" t="str">
        <f t="shared" si="456"/>
        <v>344</v>
      </c>
      <c r="D7854" t="str">
        <f>"16"</f>
        <v>16</v>
      </c>
      <c r="E7854" t="str">
        <f>"1-344-16"</f>
        <v>1-344-16</v>
      </c>
      <c r="F7854" t="s">
        <v>83</v>
      </c>
      <c r="G7854" t="s">
        <v>84</v>
      </c>
      <c r="H7854" t="s">
        <v>85</v>
      </c>
      <c r="AC7854">
        <v>1</v>
      </c>
      <c r="AD7854">
        <v>0</v>
      </c>
      <c r="AE7854">
        <v>0</v>
      </c>
      <c r="AF7854">
        <v>0</v>
      </c>
      <c r="AG7854">
        <v>0</v>
      </c>
      <c r="AJ7854">
        <v>1</v>
      </c>
      <c r="AK7854">
        <v>0</v>
      </c>
      <c r="AL7854">
        <v>1</v>
      </c>
      <c r="AM7854">
        <v>0</v>
      </c>
      <c r="AN7854">
        <v>0</v>
      </c>
      <c r="AO7854">
        <v>0</v>
      </c>
      <c r="AP7854">
        <v>0</v>
      </c>
      <c r="AQ7854">
        <v>0</v>
      </c>
      <c r="AR7854">
        <v>0</v>
      </c>
      <c r="AS7854">
        <v>1</v>
      </c>
      <c r="AT7854">
        <v>0</v>
      </c>
      <c r="AV7854">
        <v>0</v>
      </c>
      <c r="AW7854">
        <v>0</v>
      </c>
    </row>
    <row r="7855" spans="1:49" x14ac:dyDescent="0.25">
      <c r="A7855" t="str">
        <f>"7851"</f>
        <v>7851</v>
      </c>
      <c r="B7855" t="str">
        <f t="shared" si="457"/>
        <v>1</v>
      </c>
      <c r="C7855" t="str">
        <f t="shared" si="456"/>
        <v>344</v>
      </c>
      <c r="D7855" t="str">
        <f>"1"</f>
        <v>1</v>
      </c>
      <c r="E7855" t="str">
        <f>"1-344-1"</f>
        <v>1-344-1</v>
      </c>
      <c r="F7855" t="s">
        <v>83</v>
      </c>
      <c r="G7855" t="s">
        <v>84</v>
      </c>
      <c r="H7855" t="s">
        <v>85</v>
      </c>
      <c r="AC7855">
        <v>0</v>
      </c>
      <c r="AD7855">
        <v>1</v>
      </c>
      <c r="AE7855">
        <v>0</v>
      </c>
      <c r="AF7855">
        <v>0</v>
      </c>
      <c r="AG7855">
        <v>0</v>
      </c>
      <c r="AJ7855">
        <v>0</v>
      </c>
      <c r="AK7855">
        <v>1</v>
      </c>
      <c r="AL7855">
        <v>0</v>
      </c>
      <c r="AM7855">
        <v>0</v>
      </c>
      <c r="AN7855">
        <v>0</v>
      </c>
      <c r="AO7855">
        <v>0</v>
      </c>
      <c r="AP7855">
        <v>0</v>
      </c>
      <c r="AQ7855">
        <v>0</v>
      </c>
      <c r="AR7855">
        <v>0</v>
      </c>
      <c r="AS7855">
        <v>0</v>
      </c>
      <c r="AT7855">
        <v>0</v>
      </c>
      <c r="AV7855">
        <v>0</v>
      </c>
      <c r="AW7855">
        <v>0</v>
      </c>
    </row>
    <row r="7856" spans="1:49" x14ac:dyDescent="0.25">
      <c r="A7856" t="str">
        <f>"7852"</f>
        <v>7852</v>
      </c>
      <c r="B7856" t="str">
        <f t="shared" si="457"/>
        <v>1</v>
      </c>
      <c r="C7856" t="str">
        <f t="shared" si="456"/>
        <v>344</v>
      </c>
      <c r="D7856" t="str">
        <f>"18"</f>
        <v>18</v>
      </c>
      <c r="E7856" t="str">
        <f>"1-344-18"</f>
        <v>1-344-18</v>
      </c>
      <c r="F7856" t="s">
        <v>83</v>
      </c>
      <c r="G7856" t="s">
        <v>84</v>
      </c>
      <c r="H7856" t="s">
        <v>85</v>
      </c>
      <c r="AC7856">
        <v>0</v>
      </c>
      <c r="AD7856">
        <v>1</v>
      </c>
      <c r="AE7856">
        <v>0</v>
      </c>
      <c r="AF7856">
        <v>0</v>
      </c>
      <c r="AG7856">
        <v>1</v>
      </c>
      <c r="AJ7856">
        <v>0</v>
      </c>
      <c r="AK7856">
        <v>1</v>
      </c>
      <c r="AL7856">
        <v>0</v>
      </c>
      <c r="AM7856">
        <v>0</v>
      </c>
      <c r="AN7856">
        <v>1</v>
      </c>
      <c r="AO7856">
        <v>1</v>
      </c>
      <c r="AP7856">
        <v>1</v>
      </c>
      <c r="AQ7856">
        <v>1</v>
      </c>
      <c r="AR7856">
        <v>1</v>
      </c>
      <c r="AS7856">
        <v>1</v>
      </c>
      <c r="AT7856">
        <v>0</v>
      </c>
      <c r="AV7856">
        <v>1</v>
      </c>
      <c r="AW7856">
        <v>1</v>
      </c>
    </row>
    <row r="7857" spans="1:49" x14ac:dyDescent="0.25">
      <c r="A7857" t="str">
        <f>"7853"</f>
        <v>7853</v>
      </c>
      <c r="B7857" t="str">
        <f t="shared" si="457"/>
        <v>1</v>
      </c>
      <c r="C7857" t="str">
        <f t="shared" si="456"/>
        <v>344</v>
      </c>
      <c r="D7857" t="str">
        <f>"6"</f>
        <v>6</v>
      </c>
      <c r="E7857" t="str">
        <f>"1-344-6"</f>
        <v>1-344-6</v>
      </c>
      <c r="F7857" t="s">
        <v>83</v>
      </c>
      <c r="G7857" t="s">
        <v>84</v>
      </c>
      <c r="H7857" t="s">
        <v>85</v>
      </c>
      <c r="AC7857">
        <v>0</v>
      </c>
      <c r="AD7857">
        <v>1</v>
      </c>
      <c r="AE7857">
        <v>0</v>
      </c>
      <c r="AF7857">
        <v>0</v>
      </c>
      <c r="AG7857">
        <v>0</v>
      </c>
      <c r="AJ7857">
        <v>0</v>
      </c>
      <c r="AK7857">
        <v>1</v>
      </c>
      <c r="AL7857">
        <v>0</v>
      </c>
      <c r="AM7857">
        <v>1</v>
      </c>
      <c r="AN7857">
        <v>0</v>
      </c>
      <c r="AO7857">
        <v>0</v>
      </c>
      <c r="AP7857">
        <v>0</v>
      </c>
      <c r="AQ7857">
        <v>0</v>
      </c>
      <c r="AR7857">
        <v>0</v>
      </c>
      <c r="AS7857">
        <v>0</v>
      </c>
      <c r="AT7857">
        <v>1</v>
      </c>
      <c r="AV7857">
        <v>0</v>
      </c>
      <c r="AW7857">
        <v>0</v>
      </c>
    </row>
    <row r="7858" spans="1:49" x14ac:dyDescent="0.25">
      <c r="A7858" t="str">
        <f>"7854"</f>
        <v>7854</v>
      </c>
      <c r="B7858" t="str">
        <f t="shared" si="457"/>
        <v>1</v>
      </c>
      <c r="C7858" t="str">
        <f t="shared" ref="C7858:C7878" si="458">"345"</f>
        <v>345</v>
      </c>
      <c r="D7858" t="str">
        <f>"16"</f>
        <v>16</v>
      </c>
      <c r="E7858" t="str">
        <f>"1-345-16"</f>
        <v>1-345-16</v>
      </c>
      <c r="F7858" t="s">
        <v>83</v>
      </c>
      <c r="G7858" t="s">
        <v>84</v>
      </c>
      <c r="H7858" t="s">
        <v>85</v>
      </c>
      <c r="AC7858">
        <v>0</v>
      </c>
      <c r="AD7858">
        <v>1</v>
      </c>
      <c r="AE7858">
        <v>0</v>
      </c>
      <c r="AF7858">
        <v>0</v>
      </c>
      <c r="AG7858">
        <v>1</v>
      </c>
      <c r="AJ7858">
        <v>0</v>
      </c>
      <c r="AK7858">
        <v>1</v>
      </c>
      <c r="AL7858">
        <v>1</v>
      </c>
      <c r="AM7858">
        <v>0</v>
      </c>
      <c r="AN7858">
        <v>0</v>
      </c>
      <c r="AO7858">
        <v>1</v>
      </c>
      <c r="AP7858">
        <v>1</v>
      </c>
      <c r="AQ7858">
        <v>1</v>
      </c>
      <c r="AR7858">
        <v>1</v>
      </c>
      <c r="AS7858">
        <v>1</v>
      </c>
      <c r="AT7858">
        <v>0</v>
      </c>
      <c r="AV7858">
        <v>1</v>
      </c>
      <c r="AW7858">
        <v>1</v>
      </c>
    </row>
    <row r="7859" spans="1:49" x14ac:dyDescent="0.25">
      <c r="A7859" t="str">
        <f>"7855"</f>
        <v>7855</v>
      </c>
      <c r="B7859" t="str">
        <f t="shared" si="457"/>
        <v>1</v>
      </c>
      <c r="C7859" t="str">
        <f t="shared" si="458"/>
        <v>345</v>
      </c>
      <c r="D7859" t="str">
        <f>"8"</f>
        <v>8</v>
      </c>
      <c r="E7859" t="str">
        <f>"1-345-8"</f>
        <v>1-345-8</v>
      </c>
      <c r="F7859" t="s">
        <v>83</v>
      </c>
      <c r="G7859" t="s">
        <v>84</v>
      </c>
      <c r="H7859" t="s">
        <v>85</v>
      </c>
      <c r="AC7859">
        <v>0</v>
      </c>
      <c r="AD7859">
        <v>1</v>
      </c>
      <c r="AE7859">
        <v>0</v>
      </c>
      <c r="AF7859">
        <v>0</v>
      </c>
      <c r="AG7859">
        <v>1</v>
      </c>
      <c r="AJ7859">
        <v>0</v>
      </c>
      <c r="AK7859">
        <v>1</v>
      </c>
      <c r="AL7859">
        <v>0</v>
      </c>
      <c r="AM7859">
        <v>0</v>
      </c>
      <c r="AN7859">
        <v>1</v>
      </c>
      <c r="AO7859">
        <v>1</v>
      </c>
      <c r="AP7859">
        <v>1</v>
      </c>
      <c r="AQ7859">
        <v>1</v>
      </c>
      <c r="AR7859">
        <v>0</v>
      </c>
      <c r="AS7859">
        <v>0</v>
      </c>
      <c r="AT7859">
        <v>1</v>
      </c>
      <c r="AV7859">
        <v>1</v>
      </c>
      <c r="AW7859">
        <v>1</v>
      </c>
    </row>
    <row r="7860" spans="1:49" x14ac:dyDescent="0.25">
      <c r="A7860" t="str">
        <f>"7856"</f>
        <v>7856</v>
      </c>
      <c r="B7860" t="str">
        <f t="shared" si="457"/>
        <v>1</v>
      </c>
      <c r="C7860" t="str">
        <f t="shared" si="458"/>
        <v>345</v>
      </c>
      <c r="D7860" t="str">
        <f>"2"</f>
        <v>2</v>
      </c>
      <c r="E7860" t="str">
        <f>"1-345-2"</f>
        <v>1-345-2</v>
      </c>
      <c r="F7860" t="s">
        <v>83</v>
      </c>
      <c r="G7860" t="s">
        <v>84</v>
      </c>
      <c r="H7860" t="s">
        <v>85</v>
      </c>
      <c r="AC7860">
        <v>0</v>
      </c>
      <c r="AD7860">
        <v>1</v>
      </c>
      <c r="AE7860">
        <v>0</v>
      </c>
      <c r="AF7860">
        <v>0</v>
      </c>
      <c r="AG7860">
        <v>1</v>
      </c>
      <c r="AJ7860">
        <v>1</v>
      </c>
      <c r="AK7860">
        <v>0</v>
      </c>
      <c r="AL7860">
        <v>0</v>
      </c>
      <c r="AM7860">
        <v>1</v>
      </c>
      <c r="AN7860">
        <v>0</v>
      </c>
      <c r="AO7860">
        <v>1</v>
      </c>
      <c r="AP7860">
        <v>1</v>
      </c>
      <c r="AQ7860">
        <v>1</v>
      </c>
      <c r="AR7860">
        <v>1</v>
      </c>
      <c r="AS7860">
        <v>1</v>
      </c>
      <c r="AT7860">
        <v>0</v>
      </c>
      <c r="AV7860">
        <v>1</v>
      </c>
      <c r="AW7860">
        <v>1</v>
      </c>
    </row>
    <row r="7861" spans="1:49" x14ac:dyDescent="0.25">
      <c r="A7861" t="str">
        <f>"7857"</f>
        <v>7857</v>
      </c>
      <c r="B7861" t="str">
        <f t="shared" si="457"/>
        <v>1</v>
      </c>
      <c r="C7861" t="str">
        <f t="shared" si="458"/>
        <v>345</v>
      </c>
      <c r="D7861" t="str">
        <f>"18"</f>
        <v>18</v>
      </c>
      <c r="E7861" t="str">
        <f>"1-345-18"</f>
        <v>1-345-18</v>
      </c>
      <c r="F7861" t="s">
        <v>83</v>
      </c>
      <c r="G7861" t="s">
        <v>84</v>
      </c>
      <c r="H7861" t="s">
        <v>85</v>
      </c>
      <c r="AC7861">
        <v>0</v>
      </c>
      <c r="AD7861">
        <v>1</v>
      </c>
      <c r="AE7861">
        <v>0</v>
      </c>
      <c r="AF7861">
        <v>0</v>
      </c>
      <c r="AG7861">
        <v>1</v>
      </c>
      <c r="AJ7861">
        <v>1</v>
      </c>
      <c r="AK7861">
        <v>0</v>
      </c>
      <c r="AL7861">
        <v>0</v>
      </c>
      <c r="AM7861">
        <v>1</v>
      </c>
      <c r="AN7861">
        <v>0</v>
      </c>
      <c r="AO7861">
        <v>1</v>
      </c>
      <c r="AP7861">
        <v>1</v>
      </c>
      <c r="AQ7861">
        <v>1</v>
      </c>
      <c r="AR7861">
        <v>1</v>
      </c>
      <c r="AS7861">
        <v>0</v>
      </c>
      <c r="AT7861">
        <v>1</v>
      </c>
      <c r="AV7861">
        <v>1</v>
      </c>
      <c r="AW7861">
        <v>1</v>
      </c>
    </row>
    <row r="7862" spans="1:49" x14ac:dyDescent="0.25">
      <c r="A7862" t="str">
        <f>"7858"</f>
        <v>7858</v>
      </c>
      <c r="B7862" t="str">
        <f t="shared" si="457"/>
        <v>1</v>
      </c>
      <c r="C7862" t="str">
        <f t="shared" si="458"/>
        <v>345</v>
      </c>
      <c r="D7862" t="str">
        <f>"9"</f>
        <v>9</v>
      </c>
      <c r="E7862" t="str">
        <f>"1-345-9"</f>
        <v>1-345-9</v>
      </c>
      <c r="F7862" t="s">
        <v>83</v>
      </c>
      <c r="G7862" t="s">
        <v>84</v>
      </c>
      <c r="H7862" t="s">
        <v>85</v>
      </c>
      <c r="AC7862">
        <v>0</v>
      </c>
      <c r="AD7862">
        <v>1</v>
      </c>
      <c r="AE7862">
        <v>0</v>
      </c>
      <c r="AF7862">
        <v>0</v>
      </c>
      <c r="AG7862">
        <v>1</v>
      </c>
      <c r="AJ7862">
        <v>0</v>
      </c>
      <c r="AK7862">
        <v>1</v>
      </c>
      <c r="AL7862">
        <v>0</v>
      </c>
      <c r="AM7862">
        <v>0</v>
      </c>
      <c r="AN7862">
        <v>1</v>
      </c>
      <c r="AO7862">
        <v>1</v>
      </c>
      <c r="AP7862">
        <v>1</v>
      </c>
      <c r="AQ7862">
        <v>1</v>
      </c>
      <c r="AR7862">
        <v>0</v>
      </c>
      <c r="AS7862">
        <v>0</v>
      </c>
      <c r="AT7862">
        <v>1</v>
      </c>
      <c r="AV7862">
        <v>1</v>
      </c>
      <c r="AW7862">
        <v>1</v>
      </c>
    </row>
    <row r="7863" spans="1:49" x14ac:dyDescent="0.25">
      <c r="A7863" t="str">
        <f>"7859"</f>
        <v>7859</v>
      </c>
      <c r="B7863" t="str">
        <f t="shared" si="457"/>
        <v>1</v>
      </c>
      <c r="C7863" t="str">
        <f t="shared" si="458"/>
        <v>345</v>
      </c>
      <c r="D7863" t="str">
        <f>"7"</f>
        <v>7</v>
      </c>
      <c r="E7863" t="str">
        <f>"1-345-7"</f>
        <v>1-345-7</v>
      </c>
      <c r="F7863" t="s">
        <v>83</v>
      </c>
      <c r="G7863" t="s">
        <v>84</v>
      </c>
      <c r="H7863" t="s">
        <v>85</v>
      </c>
      <c r="AC7863">
        <v>0</v>
      </c>
      <c r="AD7863">
        <v>0</v>
      </c>
      <c r="AE7863">
        <v>0</v>
      </c>
      <c r="AF7863">
        <v>0</v>
      </c>
      <c r="AG7863">
        <v>0</v>
      </c>
      <c r="AJ7863">
        <v>0</v>
      </c>
      <c r="AK7863">
        <v>0</v>
      </c>
      <c r="AL7863">
        <v>0</v>
      </c>
      <c r="AM7863">
        <v>0</v>
      </c>
      <c r="AN7863">
        <v>0</v>
      </c>
      <c r="AO7863">
        <v>0</v>
      </c>
      <c r="AP7863">
        <v>0</v>
      </c>
      <c r="AQ7863">
        <v>0</v>
      </c>
      <c r="AR7863">
        <v>0</v>
      </c>
      <c r="AS7863">
        <v>0</v>
      </c>
      <c r="AT7863">
        <v>1</v>
      </c>
      <c r="AV7863">
        <v>0</v>
      </c>
      <c r="AW7863">
        <v>0</v>
      </c>
    </row>
    <row r="7864" spans="1:49" x14ac:dyDescent="0.25">
      <c r="A7864" t="str">
        <f>"7860"</f>
        <v>7860</v>
      </c>
      <c r="B7864" t="str">
        <f t="shared" si="457"/>
        <v>1</v>
      </c>
      <c r="C7864" t="str">
        <f t="shared" si="458"/>
        <v>345</v>
      </c>
      <c r="D7864" t="str">
        <f>"21"</f>
        <v>21</v>
      </c>
      <c r="E7864" t="str">
        <f>"1-345-21"</f>
        <v>1-345-21</v>
      </c>
      <c r="F7864" t="s">
        <v>83</v>
      </c>
      <c r="G7864" t="s">
        <v>84</v>
      </c>
      <c r="H7864" t="s">
        <v>92</v>
      </c>
      <c r="I7864">
        <v>1</v>
      </c>
      <c r="J7864">
        <v>0</v>
      </c>
      <c r="N7864">
        <v>0</v>
      </c>
      <c r="O7864">
        <v>0</v>
      </c>
      <c r="P7864">
        <v>0</v>
      </c>
      <c r="Q7864">
        <v>0</v>
      </c>
      <c r="R7864">
        <v>0</v>
      </c>
      <c r="S7864">
        <v>0</v>
      </c>
      <c r="T7864">
        <v>0</v>
      </c>
      <c r="W7864">
        <v>1</v>
      </c>
      <c r="X7864">
        <v>1</v>
      </c>
      <c r="Y7864">
        <v>1</v>
      </c>
      <c r="Z7864">
        <v>1</v>
      </c>
      <c r="AA7864">
        <v>1</v>
      </c>
      <c r="AB7864">
        <v>1</v>
      </c>
    </row>
    <row r="7865" spans="1:49" x14ac:dyDescent="0.25">
      <c r="A7865" t="str">
        <f>"7861"</f>
        <v>7861</v>
      </c>
      <c r="B7865" t="str">
        <f t="shared" si="457"/>
        <v>1</v>
      </c>
      <c r="C7865" t="str">
        <f t="shared" si="458"/>
        <v>345</v>
      </c>
      <c r="D7865" t="str">
        <f>"20"</f>
        <v>20</v>
      </c>
      <c r="E7865" t="str">
        <f>"1-345-20"</f>
        <v>1-345-20</v>
      </c>
      <c r="F7865" t="s">
        <v>83</v>
      </c>
      <c r="G7865" t="s">
        <v>84</v>
      </c>
      <c r="H7865" t="s">
        <v>85</v>
      </c>
      <c r="AC7865">
        <v>1</v>
      </c>
      <c r="AD7865">
        <v>0</v>
      </c>
      <c r="AE7865">
        <v>0</v>
      </c>
      <c r="AF7865">
        <v>0</v>
      </c>
      <c r="AG7865">
        <v>1</v>
      </c>
      <c r="AJ7865">
        <v>1</v>
      </c>
      <c r="AK7865">
        <v>0</v>
      </c>
      <c r="AL7865">
        <v>1</v>
      </c>
      <c r="AM7865">
        <v>0</v>
      </c>
      <c r="AN7865">
        <v>0</v>
      </c>
      <c r="AO7865">
        <v>1</v>
      </c>
      <c r="AP7865">
        <v>1</v>
      </c>
      <c r="AQ7865">
        <v>1</v>
      </c>
      <c r="AR7865">
        <v>1</v>
      </c>
      <c r="AS7865">
        <v>1</v>
      </c>
      <c r="AT7865">
        <v>0</v>
      </c>
      <c r="AV7865">
        <v>1</v>
      </c>
      <c r="AW7865">
        <v>0</v>
      </c>
    </row>
    <row r="7866" spans="1:49" x14ac:dyDescent="0.25">
      <c r="A7866" t="str">
        <f>"7862"</f>
        <v>7862</v>
      </c>
      <c r="B7866" t="str">
        <f t="shared" si="457"/>
        <v>1</v>
      </c>
      <c r="C7866" t="str">
        <f t="shared" si="458"/>
        <v>345</v>
      </c>
      <c r="D7866" t="str">
        <f>"13"</f>
        <v>13</v>
      </c>
      <c r="E7866" t="str">
        <f>"1-345-13"</f>
        <v>1-345-13</v>
      </c>
      <c r="F7866" t="s">
        <v>83</v>
      </c>
      <c r="G7866" t="s">
        <v>84</v>
      </c>
      <c r="H7866" t="s">
        <v>85</v>
      </c>
      <c r="AC7866">
        <v>1</v>
      </c>
      <c r="AD7866">
        <v>0</v>
      </c>
      <c r="AE7866">
        <v>0</v>
      </c>
      <c r="AF7866">
        <v>0</v>
      </c>
      <c r="AG7866">
        <v>1</v>
      </c>
      <c r="AJ7866">
        <v>0</v>
      </c>
      <c r="AK7866">
        <v>1</v>
      </c>
      <c r="AL7866">
        <v>0</v>
      </c>
      <c r="AM7866">
        <v>1</v>
      </c>
      <c r="AN7866">
        <v>0</v>
      </c>
      <c r="AO7866">
        <v>1</v>
      </c>
      <c r="AP7866">
        <v>1</v>
      </c>
      <c r="AQ7866">
        <v>1</v>
      </c>
      <c r="AR7866">
        <v>1</v>
      </c>
      <c r="AS7866">
        <v>0</v>
      </c>
      <c r="AT7866">
        <v>1</v>
      </c>
      <c r="AV7866">
        <v>1</v>
      </c>
      <c r="AW7866">
        <v>1</v>
      </c>
    </row>
    <row r="7867" spans="1:49" x14ac:dyDescent="0.25">
      <c r="A7867" t="str">
        <f>"7863"</f>
        <v>7863</v>
      </c>
      <c r="B7867" t="str">
        <f t="shared" si="457"/>
        <v>1</v>
      </c>
      <c r="C7867" t="str">
        <f t="shared" si="458"/>
        <v>345</v>
      </c>
      <c r="D7867" t="str">
        <f>"10"</f>
        <v>10</v>
      </c>
      <c r="E7867" t="str">
        <f>"1-345-10"</f>
        <v>1-345-10</v>
      </c>
      <c r="F7867" t="s">
        <v>83</v>
      </c>
      <c r="G7867" t="s">
        <v>88</v>
      </c>
      <c r="H7867" t="s">
        <v>89</v>
      </c>
      <c r="AC7867">
        <v>0</v>
      </c>
      <c r="AD7867">
        <v>1</v>
      </c>
      <c r="AE7867">
        <v>0</v>
      </c>
      <c r="AF7867">
        <v>0</v>
      </c>
      <c r="AH7867">
        <v>0</v>
      </c>
      <c r="AI7867">
        <v>1</v>
      </c>
      <c r="AJ7867">
        <v>0</v>
      </c>
      <c r="AK7867">
        <v>1</v>
      </c>
      <c r="AL7867">
        <v>0</v>
      </c>
      <c r="AM7867">
        <v>0</v>
      </c>
      <c r="AN7867">
        <v>1</v>
      </c>
      <c r="AO7867">
        <v>1</v>
      </c>
      <c r="AP7867">
        <v>1</v>
      </c>
      <c r="AQ7867">
        <v>1</v>
      </c>
      <c r="AR7867">
        <v>1</v>
      </c>
      <c r="AS7867">
        <v>0</v>
      </c>
      <c r="AT7867">
        <v>1</v>
      </c>
      <c r="AV7867">
        <v>0</v>
      </c>
      <c r="AW7867">
        <v>1</v>
      </c>
    </row>
    <row r="7868" spans="1:49" x14ac:dyDescent="0.25">
      <c r="A7868" t="str">
        <f>"7864"</f>
        <v>7864</v>
      </c>
      <c r="B7868" t="str">
        <f t="shared" si="457"/>
        <v>1</v>
      </c>
      <c r="C7868" t="str">
        <f t="shared" si="458"/>
        <v>345</v>
      </c>
      <c r="D7868" t="str">
        <f>"5"</f>
        <v>5</v>
      </c>
      <c r="E7868" t="str">
        <f>"1-345-5"</f>
        <v>1-345-5</v>
      </c>
      <c r="F7868" t="s">
        <v>83</v>
      </c>
      <c r="G7868" t="s">
        <v>90</v>
      </c>
      <c r="H7868" t="s">
        <v>91</v>
      </c>
      <c r="AC7868">
        <v>1</v>
      </c>
      <c r="AD7868">
        <v>0</v>
      </c>
      <c r="AE7868">
        <v>0</v>
      </c>
      <c r="AF7868">
        <v>0</v>
      </c>
      <c r="AH7868">
        <v>0</v>
      </c>
      <c r="AI7868">
        <v>1</v>
      </c>
      <c r="AJ7868">
        <v>0</v>
      </c>
      <c r="AK7868">
        <v>1</v>
      </c>
      <c r="AL7868">
        <v>1</v>
      </c>
      <c r="AM7868">
        <v>0</v>
      </c>
      <c r="AN7868">
        <v>0</v>
      </c>
      <c r="AO7868">
        <v>1</v>
      </c>
      <c r="AP7868">
        <v>1</v>
      </c>
      <c r="AQ7868">
        <v>1</v>
      </c>
      <c r="AR7868">
        <v>1</v>
      </c>
      <c r="AU7868">
        <v>1</v>
      </c>
      <c r="AV7868">
        <v>1</v>
      </c>
      <c r="AW7868">
        <v>1</v>
      </c>
    </row>
    <row r="7869" spans="1:49" x14ac:dyDescent="0.25">
      <c r="A7869" t="str">
        <f>"7865"</f>
        <v>7865</v>
      </c>
      <c r="B7869" t="str">
        <f t="shared" si="457"/>
        <v>1</v>
      </c>
      <c r="C7869" t="str">
        <f t="shared" si="458"/>
        <v>345</v>
      </c>
      <c r="D7869" t="str">
        <f>"19"</f>
        <v>19</v>
      </c>
      <c r="E7869" t="str">
        <f>"1-345-19"</f>
        <v>1-345-19</v>
      </c>
      <c r="F7869" t="s">
        <v>83</v>
      </c>
      <c r="G7869" t="s">
        <v>84</v>
      </c>
      <c r="H7869" t="s">
        <v>92</v>
      </c>
      <c r="I7869">
        <v>1</v>
      </c>
      <c r="J7869">
        <v>1</v>
      </c>
      <c r="N7869">
        <v>1</v>
      </c>
      <c r="O7869">
        <v>1</v>
      </c>
      <c r="P7869">
        <v>1</v>
      </c>
      <c r="Q7869">
        <v>1</v>
      </c>
      <c r="R7869">
        <v>1</v>
      </c>
      <c r="S7869">
        <v>1</v>
      </c>
      <c r="T7869">
        <v>1</v>
      </c>
      <c r="W7869">
        <v>1</v>
      </c>
      <c r="X7869">
        <v>1</v>
      </c>
      <c r="Y7869">
        <v>1</v>
      </c>
      <c r="Z7869">
        <v>1</v>
      </c>
      <c r="AA7869">
        <v>1</v>
      </c>
      <c r="AB7869">
        <v>1</v>
      </c>
    </row>
    <row r="7870" spans="1:49" x14ac:dyDescent="0.25">
      <c r="A7870" t="str">
        <f>"7866"</f>
        <v>7866</v>
      </c>
      <c r="B7870" t="str">
        <f t="shared" si="457"/>
        <v>1</v>
      </c>
      <c r="C7870" t="str">
        <f t="shared" si="458"/>
        <v>345</v>
      </c>
      <c r="D7870" t="str">
        <f>"11"</f>
        <v>11</v>
      </c>
      <c r="E7870" t="str">
        <f>"1-345-11"</f>
        <v>1-345-11</v>
      </c>
      <c r="F7870" t="s">
        <v>83</v>
      </c>
      <c r="G7870" t="s">
        <v>84</v>
      </c>
      <c r="H7870" t="s">
        <v>85</v>
      </c>
      <c r="AC7870">
        <v>0</v>
      </c>
      <c r="AD7870">
        <v>1</v>
      </c>
      <c r="AE7870">
        <v>0</v>
      </c>
      <c r="AF7870">
        <v>0</v>
      </c>
      <c r="AG7870">
        <v>1</v>
      </c>
      <c r="AJ7870">
        <v>0</v>
      </c>
      <c r="AK7870">
        <v>1</v>
      </c>
      <c r="AL7870">
        <v>0</v>
      </c>
      <c r="AM7870">
        <v>0</v>
      </c>
      <c r="AN7870">
        <v>1</v>
      </c>
      <c r="AO7870">
        <v>1</v>
      </c>
      <c r="AP7870">
        <v>1</v>
      </c>
      <c r="AQ7870">
        <v>1</v>
      </c>
      <c r="AR7870">
        <v>1</v>
      </c>
      <c r="AS7870">
        <v>0</v>
      </c>
      <c r="AT7870">
        <v>1</v>
      </c>
      <c r="AV7870">
        <v>0</v>
      </c>
      <c r="AW7870">
        <v>1</v>
      </c>
    </row>
    <row r="7871" spans="1:49" x14ac:dyDescent="0.25">
      <c r="A7871" t="str">
        <f>"7867"</f>
        <v>7867</v>
      </c>
      <c r="B7871" t="str">
        <f t="shared" si="457"/>
        <v>1</v>
      </c>
      <c r="C7871" t="str">
        <f t="shared" si="458"/>
        <v>345</v>
      </c>
      <c r="D7871" t="str">
        <f>"4"</f>
        <v>4</v>
      </c>
      <c r="E7871" t="str">
        <f>"1-345-4"</f>
        <v>1-345-4</v>
      </c>
      <c r="F7871" t="s">
        <v>83</v>
      </c>
      <c r="G7871" t="s">
        <v>84</v>
      </c>
      <c r="H7871" t="s">
        <v>92</v>
      </c>
      <c r="I7871">
        <v>1</v>
      </c>
      <c r="J7871">
        <v>1</v>
      </c>
      <c r="N7871">
        <v>1</v>
      </c>
      <c r="O7871">
        <v>1</v>
      </c>
      <c r="P7871">
        <v>1</v>
      </c>
      <c r="Q7871">
        <v>1</v>
      </c>
      <c r="R7871">
        <v>1</v>
      </c>
      <c r="S7871">
        <v>1</v>
      </c>
      <c r="T7871">
        <v>1</v>
      </c>
      <c r="W7871">
        <v>1</v>
      </c>
      <c r="X7871">
        <v>1</v>
      </c>
      <c r="Y7871">
        <v>1</v>
      </c>
      <c r="Z7871">
        <v>1</v>
      </c>
      <c r="AA7871">
        <v>1</v>
      </c>
      <c r="AB7871">
        <v>1</v>
      </c>
    </row>
    <row r="7872" spans="1:49" x14ac:dyDescent="0.25">
      <c r="A7872" t="str">
        <f>"7868"</f>
        <v>7868</v>
      </c>
      <c r="B7872" t="str">
        <f t="shared" si="457"/>
        <v>1</v>
      </c>
      <c r="C7872" t="str">
        <f t="shared" si="458"/>
        <v>345</v>
      </c>
      <c r="D7872" t="str">
        <f>"15"</f>
        <v>15</v>
      </c>
      <c r="E7872" t="str">
        <f>"1-345-15"</f>
        <v>1-345-15</v>
      </c>
      <c r="F7872" t="s">
        <v>83</v>
      </c>
      <c r="G7872" t="s">
        <v>84</v>
      </c>
      <c r="H7872" t="s">
        <v>85</v>
      </c>
      <c r="AC7872">
        <v>0</v>
      </c>
      <c r="AD7872">
        <v>0</v>
      </c>
      <c r="AE7872">
        <v>0</v>
      </c>
      <c r="AF7872">
        <v>0</v>
      </c>
      <c r="AG7872">
        <v>0</v>
      </c>
      <c r="AJ7872">
        <v>0</v>
      </c>
      <c r="AK7872">
        <v>0</v>
      </c>
      <c r="AL7872">
        <v>0</v>
      </c>
      <c r="AM7872">
        <v>0</v>
      </c>
      <c r="AN7872">
        <v>0</v>
      </c>
      <c r="AO7872">
        <v>0</v>
      </c>
      <c r="AP7872">
        <v>0</v>
      </c>
      <c r="AQ7872">
        <v>0</v>
      </c>
      <c r="AR7872">
        <v>0</v>
      </c>
      <c r="AS7872">
        <v>0</v>
      </c>
      <c r="AT7872">
        <v>1</v>
      </c>
      <c r="AV7872">
        <v>0</v>
      </c>
      <c r="AW7872">
        <v>0</v>
      </c>
    </row>
    <row r="7873" spans="1:49" x14ac:dyDescent="0.25">
      <c r="A7873" t="str">
        <f>"7869"</f>
        <v>7869</v>
      </c>
      <c r="B7873" t="str">
        <f t="shared" si="457"/>
        <v>1</v>
      </c>
      <c r="C7873" t="str">
        <f t="shared" si="458"/>
        <v>345</v>
      </c>
      <c r="D7873" t="str">
        <f>"12"</f>
        <v>12</v>
      </c>
      <c r="E7873" t="str">
        <f>"1-345-12"</f>
        <v>1-345-12</v>
      </c>
      <c r="F7873" t="s">
        <v>83</v>
      </c>
      <c r="G7873" t="s">
        <v>84</v>
      </c>
      <c r="H7873" t="s">
        <v>85</v>
      </c>
      <c r="AC7873">
        <v>0</v>
      </c>
      <c r="AD7873">
        <v>1</v>
      </c>
      <c r="AE7873">
        <v>0</v>
      </c>
      <c r="AF7873">
        <v>0</v>
      </c>
      <c r="AG7873">
        <v>1</v>
      </c>
      <c r="AJ7873">
        <v>0</v>
      </c>
      <c r="AK7873">
        <v>1</v>
      </c>
      <c r="AL7873">
        <v>0</v>
      </c>
      <c r="AM7873">
        <v>0</v>
      </c>
      <c r="AN7873">
        <v>1</v>
      </c>
      <c r="AO7873">
        <v>1</v>
      </c>
      <c r="AP7873">
        <v>1</v>
      </c>
      <c r="AQ7873">
        <v>1</v>
      </c>
      <c r="AR7873">
        <v>1</v>
      </c>
      <c r="AS7873">
        <v>0</v>
      </c>
      <c r="AT7873">
        <v>1</v>
      </c>
      <c r="AV7873">
        <v>0</v>
      </c>
      <c r="AW7873">
        <v>1</v>
      </c>
    </row>
    <row r="7874" spans="1:49" x14ac:dyDescent="0.25">
      <c r="A7874" t="str">
        <f>"7870"</f>
        <v>7870</v>
      </c>
      <c r="B7874" t="str">
        <f t="shared" si="457"/>
        <v>1</v>
      </c>
      <c r="C7874" t="str">
        <f t="shared" si="458"/>
        <v>345</v>
      </c>
      <c r="D7874" t="str">
        <f>"3"</f>
        <v>3</v>
      </c>
      <c r="E7874" t="str">
        <f>"1-345-3"</f>
        <v>1-345-3</v>
      </c>
      <c r="F7874" t="s">
        <v>83</v>
      </c>
      <c r="G7874" t="s">
        <v>84</v>
      </c>
      <c r="H7874" t="s">
        <v>85</v>
      </c>
      <c r="AC7874">
        <v>1</v>
      </c>
      <c r="AD7874">
        <v>0</v>
      </c>
      <c r="AE7874">
        <v>0</v>
      </c>
      <c r="AF7874">
        <v>0</v>
      </c>
      <c r="AG7874">
        <v>0</v>
      </c>
      <c r="AJ7874">
        <v>0</v>
      </c>
      <c r="AK7874">
        <v>0</v>
      </c>
      <c r="AL7874">
        <v>1</v>
      </c>
      <c r="AM7874">
        <v>0</v>
      </c>
      <c r="AN7874">
        <v>0</v>
      </c>
      <c r="AO7874">
        <v>0</v>
      </c>
      <c r="AP7874">
        <v>0</v>
      </c>
      <c r="AQ7874">
        <v>0</v>
      </c>
      <c r="AR7874">
        <v>0</v>
      </c>
      <c r="AS7874">
        <v>1</v>
      </c>
      <c r="AT7874">
        <v>0</v>
      </c>
      <c r="AV7874">
        <v>0</v>
      </c>
      <c r="AW7874">
        <v>0</v>
      </c>
    </row>
    <row r="7875" spans="1:49" x14ac:dyDescent="0.25">
      <c r="A7875" t="str">
        <f>"7871"</f>
        <v>7871</v>
      </c>
      <c r="B7875" t="str">
        <f t="shared" si="457"/>
        <v>1</v>
      </c>
      <c r="C7875" t="str">
        <f t="shared" si="458"/>
        <v>345</v>
      </c>
      <c r="D7875" t="str">
        <f>"14"</f>
        <v>14</v>
      </c>
      <c r="E7875" t="str">
        <f>"1-345-14"</f>
        <v>1-345-14</v>
      </c>
      <c r="F7875" t="s">
        <v>83</v>
      </c>
      <c r="G7875" t="s">
        <v>84</v>
      </c>
      <c r="H7875" t="s">
        <v>85</v>
      </c>
      <c r="AC7875">
        <v>0</v>
      </c>
      <c r="AD7875">
        <v>1</v>
      </c>
      <c r="AE7875">
        <v>0</v>
      </c>
      <c r="AF7875">
        <v>0</v>
      </c>
      <c r="AG7875">
        <v>1</v>
      </c>
      <c r="AJ7875">
        <v>1</v>
      </c>
      <c r="AK7875">
        <v>0</v>
      </c>
      <c r="AL7875">
        <v>1</v>
      </c>
      <c r="AM7875">
        <v>0</v>
      </c>
      <c r="AN7875">
        <v>0</v>
      </c>
      <c r="AO7875">
        <v>1</v>
      </c>
      <c r="AP7875">
        <v>1</v>
      </c>
      <c r="AQ7875">
        <v>1</v>
      </c>
      <c r="AR7875">
        <v>1</v>
      </c>
      <c r="AS7875">
        <v>1</v>
      </c>
      <c r="AT7875">
        <v>0</v>
      </c>
      <c r="AV7875">
        <v>1</v>
      </c>
      <c r="AW7875">
        <v>1</v>
      </c>
    </row>
    <row r="7876" spans="1:49" x14ac:dyDescent="0.25">
      <c r="A7876" t="str">
        <f>"7872"</f>
        <v>7872</v>
      </c>
      <c r="B7876" t="str">
        <f t="shared" si="457"/>
        <v>1</v>
      </c>
      <c r="C7876" t="str">
        <f t="shared" si="458"/>
        <v>345</v>
      </c>
      <c r="D7876" t="str">
        <f>"6"</f>
        <v>6</v>
      </c>
      <c r="E7876" t="str">
        <f>"1-345-6"</f>
        <v>1-345-6</v>
      </c>
      <c r="F7876" t="s">
        <v>83</v>
      </c>
      <c r="G7876" t="s">
        <v>84</v>
      </c>
      <c r="H7876" t="s">
        <v>92</v>
      </c>
      <c r="I7876">
        <v>1</v>
      </c>
      <c r="J7876">
        <v>1</v>
      </c>
      <c r="N7876">
        <v>1</v>
      </c>
      <c r="O7876">
        <v>1</v>
      </c>
      <c r="P7876">
        <v>0</v>
      </c>
      <c r="Q7876">
        <v>1</v>
      </c>
      <c r="R7876">
        <v>1</v>
      </c>
      <c r="S7876">
        <v>1</v>
      </c>
      <c r="T7876">
        <v>1</v>
      </c>
      <c r="W7876">
        <v>1</v>
      </c>
      <c r="X7876">
        <v>1</v>
      </c>
      <c r="Y7876">
        <v>1</v>
      </c>
      <c r="Z7876">
        <v>1</v>
      </c>
      <c r="AA7876">
        <v>1</v>
      </c>
      <c r="AB7876">
        <v>1</v>
      </c>
    </row>
    <row r="7877" spans="1:49" x14ac:dyDescent="0.25">
      <c r="A7877" t="str">
        <f>"7873"</f>
        <v>7873</v>
      </c>
      <c r="B7877" t="str">
        <f t="shared" si="457"/>
        <v>1</v>
      </c>
      <c r="C7877" t="str">
        <f t="shared" si="458"/>
        <v>345</v>
      </c>
      <c r="D7877" t="str">
        <f>"17"</f>
        <v>17</v>
      </c>
      <c r="E7877" t="str">
        <f>"1-345-17"</f>
        <v>1-345-17</v>
      </c>
      <c r="F7877" t="s">
        <v>83</v>
      </c>
      <c r="G7877" t="s">
        <v>84</v>
      </c>
      <c r="H7877" t="s">
        <v>85</v>
      </c>
      <c r="AC7877">
        <v>0</v>
      </c>
      <c r="AD7877">
        <v>1</v>
      </c>
      <c r="AE7877">
        <v>0</v>
      </c>
      <c r="AF7877">
        <v>0</v>
      </c>
      <c r="AG7877">
        <v>1</v>
      </c>
      <c r="AJ7877">
        <v>0</v>
      </c>
      <c r="AK7877">
        <v>1</v>
      </c>
      <c r="AL7877">
        <v>1</v>
      </c>
      <c r="AM7877">
        <v>0</v>
      </c>
      <c r="AN7877">
        <v>0</v>
      </c>
      <c r="AO7877">
        <v>1</v>
      </c>
      <c r="AP7877">
        <v>1</v>
      </c>
      <c r="AQ7877">
        <v>1</v>
      </c>
      <c r="AR7877">
        <v>1</v>
      </c>
      <c r="AS7877">
        <v>1</v>
      </c>
      <c r="AT7877">
        <v>0</v>
      </c>
      <c r="AV7877">
        <v>1</v>
      </c>
      <c r="AW7877">
        <v>1</v>
      </c>
    </row>
    <row r="7878" spans="1:49" x14ac:dyDescent="0.25">
      <c r="A7878" t="str">
        <f>"7874"</f>
        <v>7874</v>
      </c>
      <c r="B7878" t="str">
        <f t="shared" si="457"/>
        <v>1</v>
      </c>
      <c r="C7878" t="str">
        <f t="shared" si="458"/>
        <v>345</v>
      </c>
      <c r="D7878" t="str">
        <f>"1"</f>
        <v>1</v>
      </c>
      <c r="E7878" t="str">
        <f>"1-345-1"</f>
        <v>1-345-1</v>
      </c>
      <c r="F7878" t="s">
        <v>83</v>
      </c>
      <c r="G7878" t="s">
        <v>84</v>
      </c>
      <c r="H7878" t="s">
        <v>85</v>
      </c>
      <c r="AC7878">
        <v>0</v>
      </c>
      <c r="AD7878">
        <v>1</v>
      </c>
      <c r="AE7878">
        <v>0</v>
      </c>
      <c r="AF7878">
        <v>0</v>
      </c>
      <c r="AG7878">
        <v>0</v>
      </c>
      <c r="AJ7878">
        <v>1</v>
      </c>
      <c r="AK7878">
        <v>0</v>
      </c>
      <c r="AL7878">
        <v>0</v>
      </c>
      <c r="AM7878">
        <v>0</v>
      </c>
      <c r="AN7878">
        <v>0</v>
      </c>
      <c r="AO7878">
        <v>0</v>
      </c>
      <c r="AP7878">
        <v>0</v>
      </c>
      <c r="AQ7878">
        <v>0</v>
      </c>
      <c r="AR7878">
        <v>0</v>
      </c>
      <c r="AS7878">
        <v>1</v>
      </c>
      <c r="AT7878">
        <v>0</v>
      </c>
      <c r="AV7878">
        <v>0</v>
      </c>
      <c r="AW7878">
        <v>0</v>
      </c>
    </row>
    <row r="7879" spans="1:49" x14ac:dyDescent="0.25">
      <c r="A7879" t="str">
        <f>"7875"</f>
        <v>7875</v>
      </c>
      <c r="B7879" t="str">
        <f t="shared" si="457"/>
        <v>1</v>
      </c>
      <c r="C7879" t="str">
        <f t="shared" ref="C7879:C7903" si="459">"346"</f>
        <v>346</v>
      </c>
      <c r="D7879" t="str">
        <f>"21"</f>
        <v>21</v>
      </c>
      <c r="E7879" t="str">
        <f>"1-346-21"</f>
        <v>1-346-21</v>
      </c>
      <c r="F7879" t="s">
        <v>83</v>
      </c>
      <c r="G7879" t="s">
        <v>84</v>
      </c>
      <c r="H7879" t="s">
        <v>92</v>
      </c>
      <c r="I7879">
        <v>1</v>
      </c>
      <c r="J7879">
        <v>1</v>
      </c>
      <c r="N7879">
        <v>1</v>
      </c>
      <c r="O7879">
        <v>0</v>
      </c>
      <c r="P7879">
        <v>0</v>
      </c>
      <c r="Q7879">
        <v>0</v>
      </c>
      <c r="R7879">
        <v>0</v>
      </c>
      <c r="S7879">
        <v>0</v>
      </c>
      <c r="T7879">
        <v>0</v>
      </c>
      <c r="W7879">
        <v>1</v>
      </c>
      <c r="X7879">
        <v>0</v>
      </c>
      <c r="Y7879">
        <v>0</v>
      </c>
      <c r="Z7879">
        <v>1</v>
      </c>
      <c r="AA7879">
        <v>1</v>
      </c>
      <c r="AB7879">
        <v>1</v>
      </c>
    </row>
    <row r="7880" spans="1:49" x14ac:dyDescent="0.25">
      <c r="A7880" t="str">
        <f>"7876"</f>
        <v>7876</v>
      </c>
      <c r="B7880" t="str">
        <f t="shared" si="457"/>
        <v>1</v>
      </c>
      <c r="C7880" t="str">
        <f t="shared" si="459"/>
        <v>346</v>
      </c>
      <c r="D7880" t="str">
        <f>"20"</f>
        <v>20</v>
      </c>
      <c r="E7880" t="str">
        <f>"1-346-20"</f>
        <v>1-346-20</v>
      </c>
      <c r="F7880" t="s">
        <v>83</v>
      </c>
      <c r="G7880" t="s">
        <v>84</v>
      </c>
      <c r="H7880" t="s">
        <v>85</v>
      </c>
      <c r="AC7880">
        <v>0</v>
      </c>
      <c r="AD7880">
        <v>1</v>
      </c>
      <c r="AE7880">
        <v>0</v>
      </c>
      <c r="AF7880">
        <v>0</v>
      </c>
      <c r="AG7880">
        <v>0</v>
      </c>
      <c r="AJ7880">
        <v>0</v>
      </c>
      <c r="AK7880">
        <v>0</v>
      </c>
      <c r="AL7880">
        <v>1</v>
      </c>
      <c r="AM7880">
        <v>0</v>
      </c>
      <c r="AN7880">
        <v>0</v>
      </c>
      <c r="AO7880">
        <v>0</v>
      </c>
      <c r="AP7880">
        <v>0</v>
      </c>
      <c r="AQ7880">
        <v>0</v>
      </c>
      <c r="AR7880">
        <v>0</v>
      </c>
      <c r="AS7880">
        <v>1</v>
      </c>
      <c r="AT7880">
        <v>0</v>
      </c>
      <c r="AV7880">
        <v>0</v>
      </c>
      <c r="AW7880">
        <v>0</v>
      </c>
    </row>
    <row r="7881" spans="1:49" x14ac:dyDescent="0.25">
      <c r="A7881" t="str">
        <f>"7877"</f>
        <v>7877</v>
      </c>
      <c r="B7881" t="str">
        <f t="shared" si="457"/>
        <v>1</v>
      </c>
      <c r="C7881" t="str">
        <f t="shared" si="459"/>
        <v>346</v>
      </c>
      <c r="D7881" t="str">
        <f>"13"</f>
        <v>13</v>
      </c>
      <c r="E7881" t="str">
        <f>"1-346-13"</f>
        <v>1-346-13</v>
      </c>
      <c r="F7881" t="s">
        <v>83</v>
      </c>
      <c r="G7881" t="s">
        <v>84</v>
      </c>
      <c r="H7881" t="s">
        <v>85</v>
      </c>
      <c r="AC7881">
        <v>1</v>
      </c>
      <c r="AD7881">
        <v>0</v>
      </c>
      <c r="AE7881">
        <v>0</v>
      </c>
      <c r="AF7881">
        <v>0</v>
      </c>
      <c r="AG7881">
        <v>0</v>
      </c>
      <c r="AJ7881">
        <v>1</v>
      </c>
      <c r="AK7881">
        <v>0</v>
      </c>
      <c r="AL7881">
        <v>1</v>
      </c>
      <c r="AM7881">
        <v>0</v>
      </c>
      <c r="AN7881">
        <v>0</v>
      </c>
      <c r="AO7881">
        <v>0</v>
      </c>
      <c r="AP7881">
        <v>0</v>
      </c>
      <c r="AQ7881">
        <v>0</v>
      </c>
      <c r="AR7881">
        <v>0</v>
      </c>
      <c r="AS7881">
        <v>0</v>
      </c>
      <c r="AT7881">
        <v>1</v>
      </c>
      <c r="AV7881">
        <v>0</v>
      </c>
      <c r="AW7881">
        <v>0</v>
      </c>
    </row>
    <row r="7882" spans="1:49" x14ac:dyDescent="0.25">
      <c r="A7882" t="str">
        <f>"7878"</f>
        <v>7878</v>
      </c>
      <c r="B7882" t="str">
        <f t="shared" si="457"/>
        <v>1</v>
      </c>
      <c r="C7882" t="str">
        <f t="shared" si="459"/>
        <v>346</v>
      </c>
      <c r="D7882" t="str">
        <f>"12"</f>
        <v>12</v>
      </c>
      <c r="E7882" t="str">
        <f>"1-346-12"</f>
        <v>1-346-12</v>
      </c>
      <c r="F7882" t="s">
        <v>83</v>
      </c>
      <c r="G7882" t="s">
        <v>84</v>
      </c>
      <c r="H7882" t="s">
        <v>92</v>
      </c>
      <c r="I7882">
        <v>1</v>
      </c>
      <c r="J7882">
        <v>1</v>
      </c>
      <c r="N7882">
        <v>1</v>
      </c>
      <c r="O7882">
        <v>1</v>
      </c>
      <c r="P7882">
        <v>1</v>
      </c>
      <c r="Q7882">
        <v>1</v>
      </c>
      <c r="R7882">
        <v>1</v>
      </c>
      <c r="S7882">
        <v>1</v>
      </c>
      <c r="T7882">
        <v>1</v>
      </c>
      <c r="W7882">
        <v>1</v>
      </c>
      <c r="X7882">
        <v>1</v>
      </c>
      <c r="Y7882">
        <v>1</v>
      </c>
      <c r="Z7882">
        <v>1</v>
      </c>
      <c r="AA7882">
        <v>1</v>
      </c>
      <c r="AB7882">
        <v>1</v>
      </c>
    </row>
    <row r="7883" spans="1:49" x14ac:dyDescent="0.25">
      <c r="A7883" t="str">
        <f>"7879"</f>
        <v>7879</v>
      </c>
      <c r="B7883" t="str">
        <f t="shared" si="457"/>
        <v>1</v>
      </c>
      <c r="C7883" t="str">
        <f t="shared" si="459"/>
        <v>346</v>
      </c>
      <c r="D7883" t="str">
        <f>"9"</f>
        <v>9</v>
      </c>
      <c r="E7883" t="str">
        <f>"1-346-9"</f>
        <v>1-346-9</v>
      </c>
      <c r="F7883" t="s">
        <v>83</v>
      </c>
      <c r="G7883" t="s">
        <v>84</v>
      </c>
      <c r="H7883" t="s">
        <v>92</v>
      </c>
      <c r="I7883">
        <v>1</v>
      </c>
      <c r="J7883">
        <v>1</v>
      </c>
      <c r="N7883">
        <v>1</v>
      </c>
      <c r="O7883">
        <v>1</v>
      </c>
      <c r="P7883">
        <v>1</v>
      </c>
      <c r="Q7883">
        <v>1</v>
      </c>
      <c r="R7883">
        <v>1</v>
      </c>
      <c r="S7883">
        <v>1</v>
      </c>
      <c r="T7883">
        <v>1</v>
      </c>
      <c r="W7883">
        <v>1</v>
      </c>
      <c r="X7883">
        <v>1</v>
      </c>
      <c r="Y7883">
        <v>1</v>
      </c>
      <c r="Z7883">
        <v>1</v>
      </c>
      <c r="AA7883">
        <v>1</v>
      </c>
      <c r="AB7883">
        <v>1</v>
      </c>
    </row>
    <row r="7884" spans="1:49" x14ac:dyDescent="0.25">
      <c r="A7884" t="str">
        <f>"7880"</f>
        <v>7880</v>
      </c>
      <c r="B7884" t="str">
        <f t="shared" si="457"/>
        <v>1</v>
      </c>
      <c r="C7884" t="str">
        <f t="shared" si="459"/>
        <v>346</v>
      </c>
      <c r="D7884" t="str">
        <f>"8"</f>
        <v>8</v>
      </c>
      <c r="E7884" t="str">
        <f>"1-346-8"</f>
        <v>1-346-8</v>
      </c>
      <c r="F7884" t="s">
        <v>83</v>
      </c>
      <c r="G7884" t="s">
        <v>84</v>
      </c>
      <c r="H7884" t="s">
        <v>85</v>
      </c>
      <c r="AC7884">
        <v>0</v>
      </c>
      <c r="AD7884">
        <v>1</v>
      </c>
      <c r="AE7884">
        <v>0</v>
      </c>
      <c r="AF7884">
        <v>0</v>
      </c>
      <c r="AG7884">
        <v>0</v>
      </c>
      <c r="AJ7884">
        <v>1</v>
      </c>
      <c r="AK7884">
        <v>0</v>
      </c>
      <c r="AL7884">
        <v>0</v>
      </c>
      <c r="AM7884">
        <v>0</v>
      </c>
      <c r="AN7884">
        <v>1</v>
      </c>
      <c r="AO7884">
        <v>0</v>
      </c>
      <c r="AP7884">
        <v>0</v>
      </c>
      <c r="AQ7884">
        <v>0</v>
      </c>
      <c r="AR7884">
        <v>0</v>
      </c>
      <c r="AS7884">
        <v>0</v>
      </c>
      <c r="AT7884">
        <v>0</v>
      </c>
      <c r="AV7884">
        <v>0</v>
      </c>
      <c r="AW7884">
        <v>0</v>
      </c>
    </row>
    <row r="7885" spans="1:49" x14ac:dyDescent="0.25">
      <c r="A7885" t="str">
        <f>"7881"</f>
        <v>7881</v>
      </c>
      <c r="B7885" t="str">
        <f t="shared" si="457"/>
        <v>1</v>
      </c>
      <c r="C7885" t="str">
        <f t="shared" si="459"/>
        <v>346</v>
      </c>
      <c r="D7885" t="str">
        <f>"3"</f>
        <v>3</v>
      </c>
      <c r="E7885" t="str">
        <f>"1-346-3"</f>
        <v>1-346-3</v>
      </c>
      <c r="F7885" t="s">
        <v>83</v>
      </c>
      <c r="G7885" t="s">
        <v>84</v>
      </c>
      <c r="H7885" t="s">
        <v>85</v>
      </c>
      <c r="AC7885">
        <v>0</v>
      </c>
      <c r="AD7885">
        <v>1</v>
      </c>
      <c r="AE7885">
        <v>0</v>
      </c>
      <c r="AF7885">
        <v>0</v>
      </c>
      <c r="AG7885">
        <v>0</v>
      </c>
      <c r="AJ7885">
        <v>0</v>
      </c>
      <c r="AK7885">
        <v>1</v>
      </c>
      <c r="AL7885">
        <v>0</v>
      </c>
      <c r="AM7885">
        <v>1</v>
      </c>
      <c r="AN7885">
        <v>0</v>
      </c>
      <c r="AO7885">
        <v>0</v>
      </c>
      <c r="AP7885">
        <v>0</v>
      </c>
      <c r="AQ7885">
        <v>0</v>
      </c>
      <c r="AR7885">
        <v>0</v>
      </c>
      <c r="AS7885">
        <v>1</v>
      </c>
      <c r="AT7885">
        <v>0</v>
      </c>
      <c r="AV7885">
        <v>0</v>
      </c>
      <c r="AW7885">
        <v>0</v>
      </c>
    </row>
    <row r="7886" spans="1:49" x14ac:dyDescent="0.25">
      <c r="A7886" t="str">
        <f>"7882"</f>
        <v>7882</v>
      </c>
      <c r="B7886" t="str">
        <f t="shared" si="457"/>
        <v>1</v>
      </c>
      <c r="C7886" t="str">
        <f t="shared" si="459"/>
        <v>346</v>
      </c>
      <c r="D7886" t="str">
        <f>"23"</f>
        <v>23</v>
      </c>
      <c r="E7886" t="str">
        <f>"1-346-23"</f>
        <v>1-346-23</v>
      </c>
      <c r="F7886" t="s">
        <v>83</v>
      </c>
      <c r="G7886" t="s">
        <v>84</v>
      </c>
      <c r="H7886" t="s">
        <v>92</v>
      </c>
      <c r="I7886">
        <v>1</v>
      </c>
      <c r="J7886">
        <v>1</v>
      </c>
      <c r="N7886">
        <v>1</v>
      </c>
      <c r="O7886">
        <v>1</v>
      </c>
      <c r="P7886">
        <v>1</v>
      </c>
      <c r="Q7886">
        <v>1</v>
      </c>
      <c r="R7886">
        <v>1</v>
      </c>
      <c r="S7886">
        <v>1</v>
      </c>
      <c r="T7886">
        <v>1</v>
      </c>
      <c r="W7886">
        <v>1</v>
      </c>
      <c r="X7886">
        <v>1</v>
      </c>
      <c r="Y7886">
        <v>1</v>
      </c>
      <c r="Z7886">
        <v>1</v>
      </c>
      <c r="AA7886">
        <v>1</v>
      </c>
      <c r="AB7886">
        <v>1</v>
      </c>
    </row>
    <row r="7887" spans="1:49" x14ac:dyDescent="0.25">
      <c r="A7887" t="str">
        <f>"7883"</f>
        <v>7883</v>
      </c>
      <c r="B7887" t="str">
        <f t="shared" si="457"/>
        <v>1</v>
      </c>
      <c r="C7887" t="str">
        <f t="shared" si="459"/>
        <v>346</v>
      </c>
      <c r="D7887" t="str">
        <f>"22"</f>
        <v>22</v>
      </c>
      <c r="E7887" t="str">
        <f>"1-346-22"</f>
        <v>1-346-22</v>
      </c>
      <c r="F7887" t="s">
        <v>83</v>
      </c>
      <c r="G7887" t="s">
        <v>84</v>
      </c>
      <c r="H7887" t="s">
        <v>85</v>
      </c>
      <c r="AC7887">
        <v>0</v>
      </c>
      <c r="AD7887">
        <v>1</v>
      </c>
      <c r="AE7887">
        <v>0</v>
      </c>
      <c r="AF7887">
        <v>0</v>
      </c>
      <c r="AG7887">
        <v>0</v>
      </c>
      <c r="AJ7887">
        <v>0</v>
      </c>
      <c r="AK7887">
        <v>1</v>
      </c>
      <c r="AL7887">
        <v>0</v>
      </c>
      <c r="AM7887">
        <v>0</v>
      </c>
      <c r="AN7887">
        <v>1</v>
      </c>
      <c r="AO7887">
        <v>0</v>
      </c>
      <c r="AP7887">
        <v>0</v>
      </c>
      <c r="AQ7887">
        <v>0</v>
      </c>
      <c r="AR7887">
        <v>0</v>
      </c>
      <c r="AS7887">
        <v>0</v>
      </c>
      <c r="AT7887">
        <v>0</v>
      </c>
      <c r="AV7887">
        <v>0</v>
      </c>
      <c r="AW7887">
        <v>0</v>
      </c>
    </row>
    <row r="7888" spans="1:49" x14ac:dyDescent="0.25">
      <c r="A7888" t="str">
        <f>"7884"</f>
        <v>7884</v>
      </c>
      <c r="B7888" t="str">
        <f t="shared" si="457"/>
        <v>1</v>
      </c>
      <c r="C7888" t="str">
        <f t="shared" si="459"/>
        <v>346</v>
      </c>
      <c r="D7888" t="str">
        <f>"17"</f>
        <v>17</v>
      </c>
      <c r="E7888" t="str">
        <f>"1-346-17"</f>
        <v>1-346-17</v>
      </c>
      <c r="F7888" t="s">
        <v>83</v>
      </c>
      <c r="G7888" t="s">
        <v>84</v>
      </c>
      <c r="H7888" t="s">
        <v>92</v>
      </c>
      <c r="I7888">
        <v>1</v>
      </c>
      <c r="J7888">
        <v>1</v>
      </c>
      <c r="N7888">
        <v>1</v>
      </c>
      <c r="O7888">
        <v>1</v>
      </c>
      <c r="P7888">
        <v>1</v>
      </c>
      <c r="Q7888">
        <v>1</v>
      </c>
      <c r="R7888">
        <v>0</v>
      </c>
      <c r="S7888">
        <v>1</v>
      </c>
      <c r="T7888">
        <v>0</v>
      </c>
      <c r="W7888">
        <v>1</v>
      </c>
      <c r="X7888">
        <v>1</v>
      </c>
      <c r="Y7888">
        <v>1</v>
      </c>
      <c r="Z7888">
        <v>1</v>
      </c>
      <c r="AA7888">
        <v>1</v>
      </c>
      <c r="AB7888">
        <v>0</v>
      </c>
    </row>
    <row r="7889" spans="1:49" x14ac:dyDescent="0.25">
      <c r="A7889" t="str">
        <f>"7885"</f>
        <v>7885</v>
      </c>
      <c r="B7889" t="str">
        <f t="shared" si="457"/>
        <v>1</v>
      </c>
      <c r="C7889" t="str">
        <f t="shared" si="459"/>
        <v>346</v>
      </c>
      <c r="D7889" t="str">
        <f>"10"</f>
        <v>10</v>
      </c>
      <c r="E7889" t="str">
        <f>"1-346-10"</f>
        <v>1-346-10</v>
      </c>
      <c r="F7889" t="s">
        <v>83</v>
      </c>
      <c r="G7889" t="s">
        <v>84</v>
      </c>
      <c r="H7889" t="s">
        <v>85</v>
      </c>
      <c r="AC7889">
        <v>0</v>
      </c>
      <c r="AD7889">
        <v>1</v>
      </c>
      <c r="AE7889">
        <v>0</v>
      </c>
      <c r="AF7889">
        <v>0</v>
      </c>
      <c r="AG7889">
        <v>1</v>
      </c>
      <c r="AJ7889">
        <v>0</v>
      </c>
      <c r="AK7889">
        <v>1</v>
      </c>
      <c r="AL7889">
        <v>0</v>
      </c>
      <c r="AM7889">
        <v>0</v>
      </c>
      <c r="AN7889">
        <v>1</v>
      </c>
      <c r="AO7889">
        <v>1</v>
      </c>
      <c r="AP7889">
        <v>1</v>
      </c>
      <c r="AQ7889">
        <v>1</v>
      </c>
      <c r="AR7889">
        <v>1</v>
      </c>
      <c r="AS7889">
        <v>0</v>
      </c>
      <c r="AT7889">
        <v>1</v>
      </c>
      <c r="AV7889">
        <v>1</v>
      </c>
      <c r="AW7889">
        <v>1</v>
      </c>
    </row>
    <row r="7890" spans="1:49" x14ac:dyDescent="0.25">
      <c r="A7890" t="str">
        <f>"7886"</f>
        <v>7886</v>
      </c>
      <c r="B7890" t="str">
        <f t="shared" si="457"/>
        <v>1</v>
      </c>
      <c r="C7890" t="str">
        <f t="shared" si="459"/>
        <v>346</v>
      </c>
      <c r="D7890" t="str">
        <f>"5"</f>
        <v>5</v>
      </c>
      <c r="E7890" t="str">
        <f>"1-346-5"</f>
        <v>1-346-5</v>
      </c>
      <c r="F7890" t="s">
        <v>83</v>
      </c>
      <c r="G7890" t="s">
        <v>84</v>
      </c>
      <c r="H7890" t="s">
        <v>85</v>
      </c>
      <c r="AC7890">
        <v>0</v>
      </c>
      <c r="AD7890">
        <v>1</v>
      </c>
      <c r="AE7890">
        <v>0</v>
      </c>
      <c r="AF7890">
        <v>0</v>
      </c>
      <c r="AG7890">
        <v>1</v>
      </c>
      <c r="AJ7890">
        <v>0</v>
      </c>
      <c r="AK7890">
        <v>1</v>
      </c>
      <c r="AL7890">
        <v>0</v>
      </c>
      <c r="AM7890">
        <v>0</v>
      </c>
      <c r="AN7890">
        <v>1</v>
      </c>
      <c r="AO7890">
        <v>1</v>
      </c>
      <c r="AP7890">
        <v>1</v>
      </c>
      <c r="AQ7890">
        <v>1</v>
      </c>
      <c r="AR7890">
        <v>1</v>
      </c>
      <c r="AS7890">
        <v>0</v>
      </c>
      <c r="AT7890">
        <v>1</v>
      </c>
      <c r="AV7890">
        <v>1</v>
      </c>
      <c r="AW7890">
        <v>1</v>
      </c>
    </row>
    <row r="7891" spans="1:49" x14ac:dyDescent="0.25">
      <c r="A7891" t="str">
        <f>"7887"</f>
        <v>7887</v>
      </c>
      <c r="B7891" t="str">
        <f t="shared" si="457"/>
        <v>1</v>
      </c>
      <c r="C7891" t="str">
        <f t="shared" si="459"/>
        <v>346</v>
      </c>
      <c r="D7891" t="str">
        <f>"25"</f>
        <v>25</v>
      </c>
      <c r="E7891" t="str">
        <f>"1-346-25"</f>
        <v>1-346-25</v>
      </c>
      <c r="F7891" t="s">
        <v>83</v>
      </c>
      <c r="G7891" t="s">
        <v>84</v>
      </c>
      <c r="H7891" t="s">
        <v>85</v>
      </c>
      <c r="AC7891">
        <v>0</v>
      </c>
      <c r="AD7891">
        <v>1</v>
      </c>
      <c r="AE7891">
        <v>0</v>
      </c>
      <c r="AF7891">
        <v>0</v>
      </c>
      <c r="AG7891">
        <v>0</v>
      </c>
      <c r="AJ7891">
        <v>0</v>
      </c>
      <c r="AK7891">
        <v>1</v>
      </c>
      <c r="AL7891">
        <v>1</v>
      </c>
      <c r="AM7891">
        <v>0</v>
      </c>
      <c r="AN7891">
        <v>0</v>
      </c>
      <c r="AO7891">
        <v>1</v>
      </c>
      <c r="AP7891">
        <v>1</v>
      </c>
      <c r="AQ7891">
        <v>1</v>
      </c>
      <c r="AR7891">
        <v>1</v>
      </c>
      <c r="AS7891">
        <v>1</v>
      </c>
      <c r="AT7891">
        <v>0</v>
      </c>
      <c r="AV7891">
        <v>1</v>
      </c>
      <c r="AW7891">
        <v>1</v>
      </c>
    </row>
    <row r="7892" spans="1:49" x14ac:dyDescent="0.25">
      <c r="A7892" t="str">
        <f>"7888"</f>
        <v>7888</v>
      </c>
      <c r="B7892" t="str">
        <f t="shared" si="457"/>
        <v>1</v>
      </c>
      <c r="C7892" t="str">
        <f t="shared" si="459"/>
        <v>346</v>
      </c>
      <c r="D7892" t="str">
        <f>"24"</f>
        <v>24</v>
      </c>
      <c r="E7892" t="str">
        <f>"1-346-24"</f>
        <v>1-346-24</v>
      </c>
      <c r="F7892" t="s">
        <v>83</v>
      </c>
      <c r="G7892" t="s">
        <v>84</v>
      </c>
      <c r="H7892" t="s">
        <v>92</v>
      </c>
      <c r="I7892">
        <v>1</v>
      </c>
      <c r="J7892">
        <v>1</v>
      </c>
      <c r="N7892">
        <v>1</v>
      </c>
      <c r="O7892">
        <v>1</v>
      </c>
      <c r="P7892">
        <v>1</v>
      </c>
      <c r="Q7892">
        <v>1</v>
      </c>
      <c r="R7892">
        <v>1</v>
      </c>
      <c r="S7892">
        <v>1</v>
      </c>
      <c r="T7892">
        <v>1</v>
      </c>
      <c r="W7892">
        <v>1</v>
      </c>
      <c r="X7892">
        <v>1</v>
      </c>
      <c r="Y7892">
        <v>1</v>
      </c>
      <c r="Z7892">
        <v>1</v>
      </c>
      <c r="AA7892">
        <v>1</v>
      </c>
      <c r="AB7892">
        <v>1</v>
      </c>
    </row>
    <row r="7893" spans="1:49" x14ac:dyDescent="0.25">
      <c r="A7893" t="str">
        <f>"7889"</f>
        <v>7889</v>
      </c>
      <c r="B7893" t="str">
        <f t="shared" si="457"/>
        <v>1</v>
      </c>
      <c r="C7893" t="str">
        <f t="shared" si="459"/>
        <v>346</v>
      </c>
      <c r="D7893" t="str">
        <f>"16"</f>
        <v>16</v>
      </c>
      <c r="E7893" t="str">
        <f>"1-346-16"</f>
        <v>1-346-16</v>
      </c>
      <c r="F7893" t="s">
        <v>83</v>
      </c>
      <c r="G7893" t="s">
        <v>84</v>
      </c>
      <c r="H7893" t="s">
        <v>92</v>
      </c>
      <c r="I7893">
        <v>1</v>
      </c>
      <c r="J7893">
        <v>1</v>
      </c>
      <c r="N7893">
        <v>1</v>
      </c>
      <c r="O7893">
        <v>1</v>
      </c>
      <c r="P7893">
        <v>1</v>
      </c>
      <c r="Q7893">
        <v>1</v>
      </c>
      <c r="R7893">
        <v>1</v>
      </c>
      <c r="S7893">
        <v>1</v>
      </c>
      <c r="T7893">
        <v>1</v>
      </c>
      <c r="W7893">
        <v>1</v>
      </c>
      <c r="X7893">
        <v>1</v>
      </c>
      <c r="Y7893">
        <v>1</v>
      </c>
      <c r="Z7893">
        <v>1</v>
      </c>
      <c r="AA7893">
        <v>1</v>
      </c>
      <c r="AB7893">
        <v>1</v>
      </c>
    </row>
    <row r="7894" spans="1:49" x14ac:dyDescent="0.25">
      <c r="A7894" t="str">
        <f>"7890"</f>
        <v>7890</v>
      </c>
      <c r="B7894" t="str">
        <f t="shared" si="457"/>
        <v>1</v>
      </c>
      <c r="C7894" t="str">
        <f t="shared" si="459"/>
        <v>346</v>
      </c>
      <c r="D7894" t="str">
        <f>"11"</f>
        <v>11</v>
      </c>
      <c r="E7894" t="str">
        <f>"1-346-11"</f>
        <v>1-346-11</v>
      </c>
      <c r="F7894" t="s">
        <v>83</v>
      </c>
      <c r="G7894" t="s">
        <v>84</v>
      </c>
      <c r="H7894" t="s">
        <v>85</v>
      </c>
      <c r="AC7894">
        <v>0</v>
      </c>
      <c r="AD7894">
        <v>0</v>
      </c>
      <c r="AE7894">
        <v>0</v>
      </c>
      <c r="AF7894">
        <v>0</v>
      </c>
      <c r="AG7894">
        <v>0</v>
      </c>
      <c r="AJ7894">
        <v>0</v>
      </c>
      <c r="AK7894">
        <v>0</v>
      </c>
      <c r="AL7894">
        <v>0</v>
      </c>
      <c r="AM7894">
        <v>0</v>
      </c>
      <c r="AN7894">
        <v>1</v>
      </c>
      <c r="AO7894">
        <v>0</v>
      </c>
      <c r="AP7894">
        <v>0</v>
      </c>
      <c r="AQ7894">
        <v>0</v>
      </c>
      <c r="AR7894">
        <v>0</v>
      </c>
      <c r="AS7894">
        <v>0</v>
      </c>
      <c r="AT7894">
        <v>0</v>
      </c>
      <c r="AV7894">
        <v>0</v>
      </c>
      <c r="AW7894">
        <v>0</v>
      </c>
    </row>
    <row r="7895" spans="1:49" x14ac:dyDescent="0.25">
      <c r="A7895" t="str">
        <f>"7891"</f>
        <v>7891</v>
      </c>
      <c r="B7895" t="str">
        <f t="shared" si="457"/>
        <v>1</v>
      </c>
      <c r="C7895" t="str">
        <f t="shared" si="459"/>
        <v>346</v>
      </c>
      <c r="D7895" t="str">
        <f>"7"</f>
        <v>7</v>
      </c>
      <c r="E7895" t="str">
        <f>"1-346-7"</f>
        <v>1-346-7</v>
      </c>
      <c r="F7895" t="s">
        <v>83</v>
      </c>
      <c r="G7895" t="s">
        <v>84</v>
      </c>
      <c r="H7895" t="s">
        <v>85</v>
      </c>
      <c r="AC7895">
        <v>1</v>
      </c>
      <c r="AD7895">
        <v>0</v>
      </c>
      <c r="AE7895">
        <v>0</v>
      </c>
      <c r="AF7895">
        <v>0</v>
      </c>
      <c r="AG7895">
        <v>0</v>
      </c>
      <c r="AJ7895">
        <v>1</v>
      </c>
      <c r="AK7895">
        <v>0</v>
      </c>
      <c r="AL7895">
        <v>1</v>
      </c>
      <c r="AM7895">
        <v>0</v>
      </c>
      <c r="AN7895">
        <v>0</v>
      </c>
      <c r="AO7895">
        <v>0</v>
      </c>
      <c r="AP7895">
        <v>0</v>
      </c>
      <c r="AQ7895">
        <v>0</v>
      </c>
      <c r="AR7895">
        <v>0</v>
      </c>
      <c r="AS7895">
        <v>1</v>
      </c>
      <c r="AT7895">
        <v>0</v>
      </c>
      <c r="AV7895">
        <v>0</v>
      </c>
      <c r="AW7895">
        <v>0</v>
      </c>
    </row>
    <row r="7896" spans="1:49" x14ac:dyDescent="0.25">
      <c r="A7896" t="str">
        <f>"7892"</f>
        <v>7892</v>
      </c>
      <c r="B7896" t="str">
        <f t="shared" si="457"/>
        <v>1</v>
      </c>
      <c r="C7896" t="str">
        <f t="shared" si="459"/>
        <v>346</v>
      </c>
      <c r="D7896" t="str">
        <f>"14"</f>
        <v>14</v>
      </c>
      <c r="E7896" t="str">
        <f>"1-346-14"</f>
        <v>1-346-14</v>
      </c>
      <c r="F7896" t="s">
        <v>83</v>
      </c>
      <c r="G7896" t="s">
        <v>84</v>
      </c>
      <c r="H7896" t="s">
        <v>92</v>
      </c>
      <c r="I7896">
        <v>1</v>
      </c>
      <c r="J7896">
        <v>1</v>
      </c>
      <c r="N7896">
        <v>1</v>
      </c>
      <c r="O7896">
        <v>0</v>
      </c>
      <c r="P7896">
        <v>0</v>
      </c>
      <c r="Q7896">
        <v>0</v>
      </c>
      <c r="R7896">
        <v>0</v>
      </c>
      <c r="S7896">
        <v>0</v>
      </c>
      <c r="T7896">
        <v>0</v>
      </c>
      <c r="W7896">
        <v>0</v>
      </c>
      <c r="X7896">
        <v>0</v>
      </c>
      <c r="Y7896">
        <v>0</v>
      </c>
      <c r="Z7896">
        <v>0</v>
      </c>
      <c r="AA7896">
        <v>0</v>
      </c>
      <c r="AB7896">
        <v>0</v>
      </c>
    </row>
    <row r="7897" spans="1:49" x14ac:dyDescent="0.25">
      <c r="A7897" t="str">
        <f>"7893"</f>
        <v>7893</v>
      </c>
      <c r="B7897" t="str">
        <f t="shared" si="457"/>
        <v>1</v>
      </c>
      <c r="C7897" t="str">
        <f t="shared" si="459"/>
        <v>346</v>
      </c>
      <c r="D7897" t="str">
        <f>"1"</f>
        <v>1</v>
      </c>
      <c r="E7897" t="str">
        <f>"1-346-1"</f>
        <v>1-346-1</v>
      </c>
      <c r="F7897" t="s">
        <v>83</v>
      </c>
      <c r="G7897" t="s">
        <v>84</v>
      </c>
      <c r="H7897" t="s">
        <v>92</v>
      </c>
      <c r="I7897">
        <v>1</v>
      </c>
      <c r="J7897">
        <v>1</v>
      </c>
      <c r="N7897">
        <v>1</v>
      </c>
      <c r="O7897">
        <v>1</v>
      </c>
      <c r="P7897">
        <v>1</v>
      </c>
      <c r="Q7897">
        <v>1</v>
      </c>
      <c r="R7897">
        <v>1</v>
      </c>
      <c r="S7897">
        <v>1</v>
      </c>
      <c r="T7897">
        <v>1</v>
      </c>
      <c r="W7897">
        <v>1</v>
      </c>
      <c r="X7897">
        <v>1</v>
      </c>
      <c r="Y7897">
        <v>1</v>
      </c>
      <c r="Z7897">
        <v>1</v>
      </c>
      <c r="AA7897">
        <v>1</v>
      </c>
      <c r="AB7897">
        <v>1</v>
      </c>
    </row>
    <row r="7898" spans="1:49" x14ac:dyDescent="0.25">
      <c r="A7898" t="str">
        <f>"7894"</f>
        <v>7894</v>
      </c>
      <c r="B7898" t="str">
        <f t="shared" si="457"/>
        <v>1</v>
      </c>
      <c r="C7898" t="str">
        <f t="shared" si="459"/>
        <v>346</v>
      </c>
      <c r="D7898" t="str">
        <f>"15"</f>
        <v>15</v>
      </c>
      <c r="E7898" t="str">
        <f>"1-346-15"</f>
        <v>1-346-15</v>
      </c>
      <c r="F7898" t="s">
        <v>83</v>
      </c>
      <c r="G7898" t="s">
        <v>84</v>
      </c>
      <c r="H7898" t="s">
        <v>85</v>
      </c>
      <c r="AC7898">
        <v>0</v>
      </c>
      <c r="AD7898">
        <v>1</v>
      </c>
      <c r="AE7898">
        <v>0</v>
      </c>
      <c r="AF7898">
        <v>0</v>
      </c>
      <c r="AG7898">
        <v>1</v>
      </c>
      <c r="AJ7898">
        <v>0</v>
      </c>
      <c r="AK7898">
        <v>1</v>
      </c>
      <c r="AL7898">
        <v>0</v>
      </c>
      <c r="AM7898">
        <v>1</v>
      </c>
      <c r="AN7898">
        <v>0</v>
      </c>
      <c r="AO7898">
        <v>1</v>
      </c>
      <c r="AP7898">
        <v>1</v>
      </c>
      <c r="AQ7898">
        <v>1</v>
      </c>
      <c r="AR7898">
        <v>1</v>
      </c>
      <c r="AS7898">
        <v>0</v>
      </c>
      <c r="AT7898">
        <v>1</v>
      </c>
      <c r="AV7898">
        <v>1</v>
      </c>
      <c r="AW7898">
        <v>1</v>
      </c>
    </row>
    <row r="7899" spans="1:49" x14ac:dyDescent="0.25">
      <c r="A7899" t="str">
        <f>"7895"</f>
        <v>7895</v>
      </c>
      <c r="B7899" t="str">
        <f t="shared" si="457"/>
        <v>1</v>
      </c>
      <c r="C7899" t="str">
        <f t="shared" si="459"/>
        <v>346</v>
      </c>
      <c r="D7899" t="str">
        <f>"4"</f>
        <v>4</v>
      </c>
      <c r="E7899" t="str">
        <f>"1-346-4"</f>
        <v>1-346-4</v>
      </c>
      <c r="F7899" t="s">
        <v>83</v>
      </c>
      <c r="G7899" t="s">
        <v>84</v>
      </c>
      <c r="H7899" t="s">
        <v>85</v>
      </c>
      <c r="AC7899">
        <v>1</v>
      </c>
      <c r="AD7899">
        <v>0</v>
      </c>
      <c r="AE7899">
        <v>0</v>
      </c>
      <c r="AF7899">
        <v>0</v>
      </c>
      <c r="AG7899">
        <v>0</v>
      </c>
      <c r="AJ7899">
        <v>1</v>
      </c>
      <c r="AK7899">
        <v>0</v>
      </c>
      <c r="AL7899">
        <v>1</v>
      </c>
      <c r="AM7899">
        <v>0</v>
      </c>
      <c r="AN7899">
        <v>0</v>
      </c>
      <c r="AO7899">
        <v>0</v>
      </c>
      <c r="AP7899">
        <v>0</v>
      </c>
      <c r="AQ7899">
        <v>0</v>
      </c>
      <c r="AR7899">
        <v>0</v>
      </c>
      <c r="AS7899">
        <v>0</v>
      </c>
      <c r="AT7899">
        <v>1</v>
      </c>
      <c r="AV7899">
        <v>0</v>
      </c>
      <c r="AW7899">
        <v>0</v>
      </c>
    </row>
    <row r="7900" spans="1:49" x14ac:dyDescent="0.25">
      <c r="A7900" t="str">
        <f>"7896"</f>
        <v>7896</v>
      </c>
      <c r="B7900" t="str">
        <f t="shared" si="457"/>
        <v>1</v>
      </c>
      <c r="C7900" t="str">
        <f t="shared" si="459"/>
        <v>346</v>
      </c>
      <c r="D7900" t="str">
        <f>"18"</f>
        <v>18</v>
      </c>
      <c r="E7900" t="str">
        <f>"1-346-18"</f>
        <v>1-346-18</v>
      </c>
      <c r="F7900" t="s">
        <v>83</v>
      </c>
      <c r="G7900" t="s">
        <v>84</v>
      </c>
      <c r="H7900" t="s">
        <v>92</v>
      </c>
      <c r="I7900">
        <v>1</v>
      </c>
      <c r="J7900">
        <v>1</v>
      </c>
      <c r="N7900">
        <v>1</v>
      </c>
      <c r="O7900">
        <v>1</v>
      </c>
      <c r="P7900">
        <v>1</v>
      </c>
      <c r="Q7900">
        <v>1</v>
      </c>
      <c r="R7900">
        <v>1</v>
      </c>
      <c r="S7900">
        <v>1</v>
      </c>
      <c r="T7900">
        <v>1</v>
      </c>
      <c r="W7900">
        <v>1</v>
      </c>
      <c r="X7900">
        <v>1</v>
      </c>
      <c r="Y7900">
        <v>1</v>
      </c>
      <c r="Z7900">
        <v>1</v>
      </c>
      <c r="AA7900">
        <v>1</v>
      </c>
      <c r="AB7900">
        <v>1</v>
      </c>
    </row>
    <row r="7901" spans="1:49" x14ac:dyDescent="0.25">
      <c r="A7901" t="str">
        <f>"7897"</f>
        <v>7897</v>
      </c>
      <c r="B7901" t="str">
        <f t="shared" si="457"/>
        <v>1</v>
      </c>
      <c r="C7901" t="str">
        <f t="shared" si="459"/>
        <v>346</v>
      </c>
      <c r="D7901" t="str">
        <f>"6"</f>
        <v>6</v>
      </c>
      <c r="E7901" t="str">
        <f>"1-346-6"</f>
        <v>1-346-6</v>
      </c>
      <c r="F7901" t="s">
        <v>83</v>
      </c>
      <c r="G7901" t="s">
        <v>84</v>
      </c>
      <c r="H7901" t="s">
        <v>85</v>
      </c>
      <c r="AC7901">
        <v>1</v>
      </c>
      <c r="AD7901">
        <v>0</v>
      </c>
      <c r="AE7901">
        <v>0</v>
      </c>
      <c r="AF7901">
        <v>0</v>
      </c>
      <c r="AG7901">
        <v>1</v>
      </c>
      <c r="AJ7901">
        <v>0</v>
      </c>
      <c r="AK7901">
        <v>1</v>
      </c>
      <c r="AL7901">
        <v>0</v>
      </c>
      <c r="AM7901">
        <v>0</v>
      </c>
      <c r="AN7901">
        <v>1</v>
      </c>
      <c r="AO7901">
        <v>1</v>
      </c>
      <c r="AP7901">
        <v>1</v>
      </c>
      <c r="AQ7901">
        <v>1</v>
      </c>
      <c r="AR7901">
        <v>1</v>
      </c>
      <c r="AS7901">
        <v>1</v>
      </c>
      <c r="AT7901">
        <v>0</v>
      </c>
      <c r="AV7901">
        <v>1</v>
      </c>
      <c r="AW7901">
        <v>1</v>
      </c>
    </row>
    <row r="7902" spans="1:49" x14ac:dyDescent="0.25">
      <c r="A7902" t="str">
        <f>"7898"</f>
        <v>7898</v>
      </c>
      <c r="B7902" t="str">
        <f t="shared" ref="B7902:B7965" si="460">"1"</f>
        <v>1</v>
      </c>
      <c r="C7902" t="str">
        <f t="shared" si="459"/>
        <v>346</v>
      </c>
      <c r="D7902" t="str">
        <f>"19"</f>
        <v>19</v>
      </c>
      <c r="E7902" t="str">
        <f>"1-346-19"</f>
        <v>1-346-19</v>
      </c>
      <c r="F7902" t="s">
        <v>83</v>
      </c>
      <c r="G7902" t="s">
        <v>84</v>
      </c>
      <c r="H7902" t="s">
        <v>92</v>
      </c>
      <c r="I7902">
        <v>1</v>
      </c>
      <c r="J7902">
        <v>1</v>
      </c>
      <c r="N7902">
        <v>1</v>
      </c>
      <c r="O7902">
        <v>1</v>
      </c>
      <c r="P7902">
        <v>1</v>
      </c>
      <c r="Q7902">
        <v>1</v>
      </c>
      <c r="R7902">
        <v>1</v>
      </c>
      <c r="S7902">
        <v>1</v>
      </c>
      <c r="T7902">
        <v>1</v>
      </c>
      <c r="W7902">
        <v>1</v>
      </c>
      <c r="X7902">
        <v>1</v>
      </c>
      <c r="Y7902">
        <v>1</v>
      </c>
      <c r="Z7902">
        <v>1</v>
      </c>
      <c r="AA7902">
        <v>1</v>
      </c>
      <c r="AB7902">
        <v>1</v>
      </c>
    </row>
    <row r="7903" spans="1:49" x14ac:dyDescent="0.25">
      <c r="A7903" t="str">
        <f>"7899"</f>
        <v>7899</v>
      </c>
      <c r="B7903" t="str">
        <f t="shared" si="460"/>
        <v>1</v>
      </c>
      <c r="C7903" t="str">
        <f t="shared" si="459"/>
        <v>346</v>
      </c>
      <c r="D7903" t="str">
        <f>"2"</f>
        <v>2</v>
      </c>
      <c r="E7903" t="str">
        <f>"1-346-2"</f>
        <v>1-346-2</v>
      </c>
      <c r="F7903" t="s">
        <v>83</v>
      </c>
      <c r="G7903" t="s">
        <v>84</v>
      </c>
      <c r="H7903" t="s">
        <v>92</v>
      </c>
      <c r="I7903">
        <v>1</v>
      </c>
      <c r="J7903">
        <v>1</v>
      </c>
      <c r="N7903">
        <v>1</v>
      </c>
      <c r="O7903">
        <v>1</v>
      </c>
      <c r="P7903">
        <v>1</v>
      </c>
      <c r="Q7903">
        <v>1</v>
      </c>
      <c r="R7903">
        <v>1</v>
      </c>
      <c r="S7903">
        <v>1</v>
      </c>
      <c r="T7903">
        <v>1</v>
      </c>
      <c r="W7903">
        <v>1</v>
      </c>
      <c r="X7903">
        <v>1</v>
      </c>
      <c r="Y7903">
        <v>1</v>
      </c>
      <c r="Z7903">
        <v>1</v>
      </c>
      <c r="AA7903">
        <v>1</v>
      </c>
      <c r="AB7903">
        <v>1</v>
      </c>
    </row>
    <row r="7904" spans="1:49" x14ac:dyDescent="0.25">
      <c r="A7904" t="str">
        <f>"7900"</f>
        <v>7900</v>
      </c>
      <c r="B7904" t="str">
        <f t="shared" si="460"/>
        <v>1</v>
      </c>
      <c r="C7904" t="str">
        <f>"347"</f>
        <v>347</v>
      </c>
      <c r="D7904" t="str">
        <f>"2"</f>
        <v>2</v>
      </c>
      <c r="E7904" t="str">
        <f>"1-347-2"</f>
        <v>1-347-2</v>
      </c>
      <c r="F7904" t="s">
        <v>83</v>
      </c>
      <c r="G7904" t="s">
        <v>84</v>
      </c>
      <c r="H7904" t="s">
        <v>92</v>
      </c>
      <c r="I7904">
        <v>1</v>
      </c>
      <c r="J7904">
        <v>1</v>
      </c>
      <c r="N7904">
        <v>1</v>
      </c>
      <c r="O7904">
        <v>1</v>
      </c>
      <c r="P7904">
        <v>1</v>
      </c>
      <c r="Q7904">
        <v>1</v>
      </c>
      <c r="R7904">
        <v>1</v>
      </c>
      <c r="S7904">
        <v>1</v>
      </c>
      <c r="T7904">
        <v>1</v>
      </c>
      <c r="W7904">
        <v>1</v>
      </c>
      <c r="X7904">
        <v>1</v>
      </c>
      <c r="Y7904">
        <v>1</v>
      </c>
      <c r="Z7904">
        <v>1</v>
      </c>
      <c r="AA7904">
        <v>1</v>
      </c>
      <c r="AB7904">
        <v>1</v>
      </c>
    </row>
    <row r="7905" spans="1:49" x14ac:dyDescent="0.25">
      <c r="A7905" t="str">
        <f>"7901"</f>
        <v>7901</v>
      </c>
      <c r="B7905" t="str">
        <f t="shared" si="460"/>
        <v>1</v>
      </c>
      <c r="C7905" t="str">
        <f>"347"</f>
        <v>347</v>
      </c>
      <c r="D7905" t="str">
        <f>"1"</f>
        <v>1</v>
      </c>
      <c r="E7905" t="str">
        <f>"1-347-1"</f>
        <v>1-347-1</v>
      </c>
      <c r="F7905" t="s">
        <v>83</v>
      </c>
      <c r="G7905" t="s">
        <v>84</v>
      </c>
      <c r="H7905" t="s">
        <v>92</v>
      </c>
      <c r="I7905">
        <v>1</v>
      </c>
      <c r="J7905">
        <v>1</v>
      </c>
      <c r="N7905">
        <v>1</v>
      </c>
      <c r="O7905">
        <v>1</v>
      </c>
      <c r="P7905">
        <v>1</v>
      </c>
      <c r="Q7905">
        <v>1</v>
      </c>
      <c r="R7905">
        <v>1</v>
      </c>
      <c r="S7905">
        <v>1</v>
      </c>
      <c r="T7905">
        <v>1</v>
      </c>
      <c r="W7905">
        <v>1</v>
      </c>
      <c r="X7905">
        <v>1</v>
      </c>
      <c r="Y7905">
        <v>1</v>
      </c>
      <c r="Z7905">
        <v>1</v>
      </c>
      <c r="AA7905">
        <v>1</v>
      </c>
      <c r="AB7905">
        <v>0</v>
      </c>
    </row>
    <row r="7906" spans="1:49" x14ac:dyDescent="0.25">
      <c r="A7906" t="str">
        <f>"7902"</f>
        <v>7902</v>
      </c>
      <c r="B7906" t="str">
        <f t="shared" si="460"/>
        <v>1</v>
      </c>
      <c r="C7906" t="str">
        <f t="shared" ref="C7906:C7930" si="461">"348"</f>
        <v>348</v>
      </c>
      <c r="D7906" t="str">
        <f>"23"</f>
        <v>23</v>
      </c>
      <c r="E7906" t="str">
        <f>"1-348-23"</f>
        <v>1-348-23</v>
      </c>
      <c r="F7906" t="s">
        <v>83</v>
      </c>
      <c r="G7906" t="s">
        <v>84</v>
      </c>
      <c r="H7906" t="s">
        <v>92</v>
      </c>
      <c r="I7906">
        <v>1</v>
      </c>
      <c r="J7906">
        <v>1</v>
      </c>
      <c r="N7906">
        <v>1</v>
      </c>
      <c r="O7906">
        <v>1</v>
      </c>
      <c r="P7906">
        <v>1</v>
      </c>
      <c r="Q7906">
        <v>1</v>
      </c>
      <c r="R7906">
        <v>1</v>
      </c>
      <c r="S7906">
        <v>1</v>
      </c>
      <c r="T7906">
        <v>1</v>
      </c>
      <c r="W7906">
        <v>1</v>
      </c>
      <c r="X7906">
        <v>1</v>
      </c>
      <c r="Y7906">
        <v>1</v>
      </c>
      <c r="Z7906">
        <v>1</v>
      </c>
      <c r="AA7906">
        <v>1</v>
      </c>
      <c r="AB7906">
        <v>1</v>
      </c>
    </row>
    <row r="7907" spans="1:49" x14ac:dyDescent="0.25">
      <c r="A7907" t="str">
        <f>"7903"</f>
        <v>7903</v>
      </c>
      <c r="B7907" t="str">
        <f t="shared" si="460"/>
        <v>1</v>
      </c>
      <c r="C7907" t="str">
        <f t="shared" si="461"/>
        <v>348</v>
      </c>
      <c r="D7907" t="str">
        <f>"22"</f>
        <v>22</v>
      </c>
      <c r="E7907" t="str">
        <f>"1-348-22"</f>
        <v>1-348-22</v>
      </c>
      <c r="F7907" t="s">
        <v>83</v>
      </c>
      <c r="G7907" t="s">
        <v>84</v>
      </c>
      <c r="H7907" t="s">
        <v>85</v>
      </c>
      <c r="AC7907">
        <v>0</v>
      </c>
      <c r="AD7907">
        <v>1</v>
      </c>
      <c r="AE7907">
        <v>0</v>
      </c>
      <c r="AF7907">
        <v>0</v>
      </c>
      <c r="AG7907">
        <v>1</v>
      </c>
      <c r="AJ7907">
        <v>0</v>
      </c>
      <c r="AK7907">
        <v>1</v>
      </c>
      <c r="AL7907">
        <v>1</v>
      </c>
      <c r="AM7907">
        <v>0</v>
      </c>
      <c r="AN7907">
        <v>0</v>
      </c>
      <c r="AO7907">
        <v>1</v>
      </c>
      <c r="AP7907">
        <v>1</v>
      </c>
      <c r="AQ7907">
        <v>1</v>
      </c>
      <c r="AR7907">
        <v>0</v>
      </c>
      <c r="AS7907">
        <v>0</v>
      </c>
      <c r="AT7907">
        <v>1</v>
      </c>
      <c r="AV7907">
        <v>1</v>
      </c>
      <c r="AW7907">
        <v>1</v>
      </c>
    </row>
    <row r="7908" spans="1:49" x14ac:dyDescent="0.25">
      <c r="A7908" t="str">
        <f>"7904"</f>
        <v>7904</v>
      </c>
      <c r="B7908" t="str">
        <f t="shared" si="460"/>
        <v>1</v>
      </c>
      <c r="C7908" t="str">
        <f t="shared" si="461"/>
        <v>348</v>
      </c>
      <c r="D7908" t="str">
        <f>"14"</f>
        <v>14</v>
      </c>
      <c r="E7908" t="str">
        <f>"1-348-14"</f>
        <v>1-348-14</v>
      </c>
      <c r="F7908" t="s">
        <v>83</v>
      </c>
      <c r="G7908" t="s">
        <v>84</v>
      </c>
      <c r="H7908" t="s">
        <v>85</v>
      </c>
      <c r="AC7908">
        <v>0</v>
      </c>
      <c r="AD7908">
        <v>1</v>
      </c>
      <c r="AE7908">
        <v>0</v>
      </c>
      <c r="AF7908">
        <v>0</v>
      </c>
      <c r="AG7908">
        <v>1</v>
      </c>
      <c r="AJ7908">
        <v>0</v>
      </c>
      <c r="AK7908">
        <v>1</v>
      </c>
      <c r="AL7908">
        <v>1</v>
      </c>
      <c r="AM7908">
        <v>0</v>
      </c>
      <c r="AN7908">
        <v>0</v>
      </c>
      <c r="AO7908">
        <v>1</v>
      </c>
      <c r="AP7908">
        <v>1</v>
      </c>
      <c r="AQ7908">
        <v>1</v>
      </c>
      <c r="AR7908">
        <v>1</v>
      </c>
      <c r="AS7908">
        <v>1</v>
      </c>
      <c r="AT7908">
        <v>0</v>
      </c>
      <c r="AV7908">
        <v>1</v>
      </c>
      <c r="AW7908">
        <v>1</v>
      </c>
    </row>
    <row r="7909" spans="1:49" x14ac:dyDescent="0.25">
      <c r="A7909" t="str">
        <f>"7905"</f>
        <v>7905</v>
      </c>
      <c r="B7909" t="str">
        <f t="shared" si="460"/>
        <v>1</v>
      </c>
      <c r="C7909" t="str">
        <f t="shared" si="461"/>
        <v>348</v>
      </c>
      <c r="D7909" t="str">
        <f>"8"</f>
        <v>8</v>
      </c>
      <c r="E7909" t="str">
        <f>"1-348-8"</f>
        <v>1-348-8</v>
      </c>
      <c r="F7909" t="s">
        <v>83</v>
      </c>
      <c r="G7909" t="s">
        <v>84</v>
      </c>
      <c r="H7909" t="s">
        <v>85</v>
      </c>
      <c r="AC7909">
        <v>0</v>
      </c>
      <c r="AD7909">
        <v>1</v>
      </c>
      <c r="AE7909">
        <v>0</v>
      </c>
      <c r="AF7909">
        <v>0</v>
      </c>
      <c r="AG7909">
        <v>1</v>
      </c>
      <c r="AJ7909">
        <v>0</v>
      </c>
      <c r="AK7909">
        <v>1</v>
      </c>
      <c r="AL7909">
        <v>0</v>
      </c>
      <c r="AM7909">
        <v>0</v>
      </c>
      <c r="AN7909">
        <v>0</v>
      </c>
      <c r="AO7909">
        <v>1</v>
      </c>
      <c r="AP7909">
        <v>1</v>
      </c>
      <c r="AQ7909">
        <v>1</v>
      </c>
      <c r="AR7909">
        <v>1</v>
      </c>
      <c r="AS7909">
        <v>0</v>
      </c>
      <c r="AT7909">
        <v>1</v>
      </c>
      <c r="AV7909">
        <v>0</v>
      </c>
      <c r="AW7909">
        <v>1</v>
      </c>
    </row>
    <row r="7910" spans="1:49" x14ac:dyDescent="0.25">
      <c r="A7910" t="str">
        <f>"7906"</f>
        <v>7906</v>
      </c>
      <c r="B7910" t="str">
        <f t="shared" si="460"/>
        <v>1</v>
      </c>
      <c r="C7910" t="str">
        <f t="shared" si="461"/>
        <v>348</v>
      </c>
      <c r="D7910" t="str">
        <f>"4"</f>
        <v>4</v>
      </c>
      <c r="E7910" t="str">
        <f>"1-348-4"</f>
        <v>1-348-4</v>
      </c>
      <c r="F7910" t="s">
        <v>83</v>
      </c>
      <c r="G7910" t="s">
        <v>84</v>
      </c>
      <c r="H7910" t="s">
        <v>85</v>
      </c>
      <c r="AC7910">
        <v>0</v>
      </c>
      <c r="AD7910">
        <v>1</v>
      </c>
      <c r="AE7910">
        <v>0</v>
      </c>
      <c r="AF7910">
        <v>0</v>
      </c>
      <c r="AG7910">
        <v>1</v>
      </c>
      <c r="AJ7910">
        <v>0</v>
      </c>
      <c r="AK7910">
        <v>1</v>
      </c>
      <c r="AL7910">
        <v>0</v>
      </c>
      <c r="AM7910">
        <v>0</v>
      </c>
      <c r="AN7910">
        <v>1</v>
      </c>
      <c r="AO7910">
        <v>1</v>
      </c>
      <c r="AP7910">
        <v>1</v>
      </c>
      <c r="AQ7910">
        <v>1</v>
      </c>
      <c r="AR7910">
        <v>1</v>
      </c>
      <c r="AS7910">
        <v>1</v>
      </c>
      <c r="AT7910">
        <v>0</v>
      </c>
      <c r="AV7910">
        <v>1</v>
      </c>
      <c r="AW7910">
        <v>1</v>
      </c>
    </row>
    <row r="7911" spans="1:49" x14ac:dyDescent="0.25">
      <c r="A7911" t="str">
        <f>"7907"</f>
        <v>7907</v>
      </c>
      <c r="B7911" t="str">
        <f t="shared" si="460"/>
        <v>1</v>
      </c>
      <c r="C7911" t="str">
        <f t="shared" si="461"/>
        <v>348</v>
      </c>
      <c r="D7911" t="str">
        <f>"21"</f>
        <v>21</v>
      </c>
      <c r="E7911" t="str">
        <f>"1-348-21"</f>
        <v>1-348-21</v>
      </c>
      <c r="F7911" t="s">
        <v>83</v>
      </c>
      <c r="G7911" t="s">
        <v>84</v>
      </c>
      <c r="H7911" t="s">
        <v>85</v>
      </c>
      <c r="AC7911">
        <v>0</v>
      </c>
      <c r="AD7911">
        <v>1</v>
      </c>
      <c r="AE7911">
        <v>0</v>
      </c>
      <c r="AF7911">
        <v>0</v>
      </c>
      <c r="AG7911">
        <v>0</v>
      </c>
      <c r="AJ7911">
        <v>0</v>
      </c>
      <c r="AK7911">
        <v>1</v>
      </c>
      <c r="AL7911">
        <v>0</v>
      </c>
      <c r="AM7911">
        <v>0</v>
      </c>
      <c r="AN7911">
        <v>1</v>
      </c>
      <c r="AO7911">
        <v>0</v>
      </c>
      <c r="AP7911">
        <v>0</v>
      </c>
      <c r="AQ7911">
        <v>0</v>
      </c>
      <c r="AR7911">
        <v>0</v>
      </c>
      <c r="AS7911">
        <v>1</v>
      </c>
      <c r="AT7911">
        <v>0</v>
      </c>
      <c r="AV7911">
        <v>0</v>
      </c>
      <c r="AW7911">
        <v>0</v>
      </c>
    </row>
    <row r="7912" spans="1:49" x14ac:dyDescent="0.25">
      <c r="A7912" t="str">
        <f>"7908"</f>
        <v>7908</v>
      </c>
      <c r="B7912" t="str">
        <f t="shared" si="460"/>
        <v>1</v>
      </c>
      <c r="C7912" t="str">
        <f t="shared" si="461"/>
        <v>348</v>
      </c>
      <c r="D7912" t="str">
        <f>"20"</f>
        <v>20</v>
      </c>
      <c r="E7912" t="str">
        <f>"1-348-20"</f>
        <v>1-348-20</v>
      </c>
      <c r="F7912" t="s">
        <v>83</v>
      </c>
      <c r="G7912" t="s">
        <v>84</v>
      </c>
      <c r="H7912" t="s">
        <v>85</v>
      </c>
      <c r="AC7912">
        <v>0</v>
      </c>
      <c r="AD7912">
        <v>1</v>
      </c>
      <c r="AE7912">
        <v>0</v>
      </c>
      <c r="AF7912">
        <v>0</v>
      </c>
      <c r="AG7912">
        <v>0</v>
      </c>
      <c r="AJ7912">
        <v>0</v>
      </c>
      <c r="AK7912">
        <v>1</v>
      </c>
      <c r="AL7912">
        <v>0</v>
      </c>
      <c r="AM7912">
        <v>0</v>
      </c>
      <c r="AN7912">
        <v>1</v>
      </c>
      <c r="AO7912">
        <v>0</v>
      </c>
      <c r="AP7912">
        <v>0</v>
      </c>
      <c r="AQ7912">
        <v>0</v>
      </c>
      <c r="AR7912">
        <v>0</v>
      </c>
      <c r="AS7912">
        <v>1</v>
      </c>
      <c r="AT7912">
        <v>0</v>
      </c>
      <c r="AV7912">
        <v>0</v>
      </c>
      <c r="AW7912">
        <v>0</v>
      </c>
    </row>
    <row r="7913" spans="1:49" x14ac:dyDescent="0.25">
      <c r="A7913" t="str">
        <f>"7909"</f>
        <v>7909</v>
      </c>
      <c r="B7913" t="str">
        <f t="shared" si="460"/>
        <v>1</v>
      </c>
      <c r="C7913" t="str">
        <f t="shared" si="461"/>
        <v>348</v>
      </c>
      <c r="D7913" t="str">
        <f>"13"</f>
        <v>13</v>
      </c>
      <c r="E7913" t="str">
        <f>"1-348-13"</f>
        <v>1-348-13</v>
      </c>
      <c r="F7913" t="s">
        <v>83</v>
      </c>
      <c r="G7913" t="s">
        <v>84</v>
      </c>
      <c r="H7913" t="s">
        <v>92</v>
      </c>
      <c r="I7913">
        <v>1</v>
      </c>
      <c r="J7913">
        <v>1</v>
      </c>
      <c r="N7913">
        <v>1</v>
      </c>
      <c r="O7913">
        <v>1</v>
      </c>
      <c r="P7913">
        <v>1</v>
      </c>
      <c r="Q7913">
        <v>1</v>
      </c>
      <c r="R7913">
        <v>1</v>
      </c>
      <c r="S7913">
        <v>1</v>
      </c>
      <c r="T7913">
        <v>1</v>
      </c>
      <c r="W7913">
        <v>1</v>
      </c>
      <c r="X7913">
        <v>1</v>
      </c>
      <c r="Y7913">
        <v>1</v>
      </c>
      <c r="Z7913">
        <v>1</v>
      </c>
      <c r="AA7913">
        <v>1</v>
      </c>
      <c r="AB7913">
        <v>1</v>
      </c>
    </row>
    <row r="7914" spans="1:49" x14ac:dyDescent="0.25">
      <c r="A7914" t="str">
        <f>"7910"</f>
        <v>7910</v>
      </c>
      <c r="B7914" t="str">
        <f t="shared" si="460"/>
        <v>1</v>
      </c>
      <c r="C7914" t="str">
        <f t="shared" si="461"/>
        <v>348</v>
      </c>
      <c r="D7914" t="str">
        <f>"9"</f>
        <v>9</v>
      </c>
      <c r="E7914" t="str">
        <f>"1-348-9"</f>
        <v>1-348-9</v>
      </c>
      <c r="F7914" t="s">
        <v>83</v>
      </c>
      <c r="G7914" t="s">
        <v>84</v>
      </c>
      <c r="H7914" t="s">
        <v>92</v>
      </c>
      <c r="I7914">
        <v>1</v>
      </c>
      <c r="J7914">
        <v>1</v>
      </c>
      <c r="N7914">
        <v>1</v>
      </c>
      <c r="O7914">
        <v>1</v>
      </c>
      <c r="P7914">
        <v>1</v>
      </c>
      <c r="Q7914">
        <v>1</v>
      </c>
      <c r="R7914">
        <v>1</v>
      </c>
      <c r="S7914">
        <v>1</v>
      </c>
      <c r="T7914">
        <v>1</v>
      </c>
      <c r="W7914">
        <v>1</v>
      </c>
      <c r="X7914">
        <v>1</v>
      </c>
      <c r="Y7914">
        <v>1</v>
      </c>
      <c r="Z7914">
        <v>1</v>
      </c>
      <c r="AA7914">
        <v>1</v>
      </c>
      <c r="AB7914">
        <v>1</v>
      </c>
    </row>
    <row r="7915" spans="1:49" x14ac:dyDescent="0.25">
      <c r="A7915" t="str">
        <f>"7911"</f>
        <v>7911</v>
      </c>
      <c r="B7915" t="str">
        <f t="shared" si="460"/>
        <v>1</v>
      </c>
      <c r="C7915" t="str">
        <f t="shared" si="461"/>
        <v>348</v>
      </c>
      <c r="D7915" t="str">
        <f>"3"</f>
        <v>3</v>
      </c>
      <c r="E7915" t="str">
        <f>"1-348-3"</f>
        <v>1-348-3</v>
      </c>
      <c r="F7915" t="s">
        <v>83</v>
      </c>
      <c r="G7915" t="s">
        <v>84</v>
      </c>
      <c r="H7915" t="s">
        <v>85</v>
      </c>
      <c r="AC7915">
        <v>1</v>
      </c>
      <c r="AD7915">
        <v>0</v>
      </c>
      <c r="AE7915">
        <v>0</v>
      </c>
      <c r="AF7915">
        <v>0</v>
      </c>
      <c r="AG7915">
        <v>1</v>
      </c>
      <c r="AJ7915">
        <v>1</v>
      </c>
      <c r="AK7915">
        <v>0</v>
      </c>
      <c r="AL7915">
        <v>0</v>
      </c>
      <c r="AM7915">
        <v>0</v>
      </c>
      <c r="AN7915">
        <v>1</v>
      </c>
      <c r="AO7915">
        <v>1</v>
      </c>
      <c r="AP7915">
        <v>1</v>
      </c>
      <c r="AQ7915">
        <v>1</v>
      </c>
      <c r="AR7915">
        <v>1</v>
      </c>
      <c r="AS7915">
        <v>0</v>
      </c>
      <c r="AT7915">
        <v>1</v>
      </c>
      <c r="AV7915">
        <v>1</v>
      </c>
      <c r="AW7915">
        <v>1</v>
      </c>
    </row>
    <row r="7916" spans="1:49" x14ac:dyDescent="0.25">
      <c r="A7916" t="str">
        <f>"7912"</f>
        <v>7912</v>
      </c>
      <c r="B7916" t="str">
        <f t="shared" si="460"/>
        <v>1</v>
      </c>
      <c r="C7916" t="str">
        <f t="shared" si="461"/>
        <v>348</v>
      </c>
      <c r="D7916" t="str">
        <f>"25"</f>
        <v>25</v>
      </c>
      <c r="E7916" t="str">
        <f>"1-348-25"</f>
        <v>1-348-25</v>
      </c>
      <c r="F7916" t="s">
        <v>83</v>
      </c>
      <c r="G7916" t="s">
        <v>84</v>
      </c>
      <c r="H7916" t="s">
        <v>92</v>
      </c>
      <c r="I7916">
        <v>1</v>
      </c>
      <c r="J7916">
        <v>1</v>
      </c>
      <c r="N7916">
        <v>1</v>
      </c>
      <c r="O7916">
        <v>1</v>
      </c>
      <c r="P7916">
        <v>1</v>
      </c>
      <c r="Q7916">
        <v>1</v>
      </c>
      <c r="R7916">
        <v>1</v>
      </c>
      <c r="S7916">
        <v>1</v>
      </c>
      <c r="T7916">
        <v>1</v>
      </c>
      <c r="W7916">
        <v>1</v>
      </c>
      <c r="X7916">
        <v>1</v>
      </c>
      <c r="Y7916">
        <v>1</v>
      </c>
      <c r="Z7916">
        <v>1</v>
      </c>
      <c r="AA7916">
        <v>1</v>
      </c>
      <c r="AB7916">
        <v>1</v>
      </c>
    </row>
    <row r="7917" spans="1:49" x14ac:dyDescent="0.25">
      <c r="A7917" t="str">
        <f>"7913"</f>
        <v>7913</v>
      </c>
      <c r="B7917" t="str">
        <f t="shared" si="460"/>
        <v>1</v>
      </c>
      <c r="C7917" t="str">
        <f t="shared" si="461"/>
        <v>348</v>
      </c>
      <c r="D7917" t="str">
        <f>"24"</f>
        <v>24</v>
      </c>
      <c r="E7917" t="str">
        <f>"1-348-24"</f>
        <v>1-348-24</v>
      </c>
      <c r="F7917" t="s">
        <v>83</v>
      </c>
      <c r="G7917" t="s">
        <v>84</v>
      </c>
      <c r="H7917" t="s">
        <v>85</v>
      </c>
      <c r="AC7917">
        <v>0</v>
      </c>
      <c r="AD7917">
        <v>1</v>
      </c>
      <c r="AE7917">
        <v>0</v>
      </c>
      <c r="AF7917">
        <v>0</v>
      </c>
      <c r="AG7917">
        <v>0</v>
      </c>
      <c r="AJ7917">
        <v>0</v>
      </c>
      <c r="AK7917">
        <v>1</v>
      </c>
      <c r="AL7917">
        <v>0</v>
      </c>
      <c r="AM7917">
        <v>1</v>
      </c>
      <c r="AN7917">
        <v>0</v>
      </c>
      <c r="AO7917">
        <v>0</v>
      </c>
      <c r="AP7917">
        <v>0</v>
      </c>
      <c r="AQ7917">
        <v>0</v>
      </c>
      <c r="AR7917">
        <v>0</v>
      </c>
      <c r="AS7917">
        <v>0</v>
      </c>
      <c r="AT7917">
        <v>1</v>
      </c>
      <c r="AV7917">
        <v>0</v>
      </c>
      <c r="AW7917">
        <v>0</v>
      </c>
    </row>
    <row r="7918" spans="1:49" x14ac:dyDescent="0.25">
      <c r="A7918" t="str">
        <f>"7914"</f>
        <v>7914</v>
      </c>
      <c r="B7918" t="str">
        <f t="shared" si="460"/>
        <v>1</v>
      </c>
      <c r="C7918" t="str">
        <f t="shared" si="461"/>
        <v>348</v>
      </c>
      <c r="D7918" t="str">
        <f>"15"</f>
        <v>15</v>
      </c>
      <c r="E7918" t="str">
        <f>"1-348-15"</f>
        <v>1-348-15</v>
      </c>
      <c r="F7918" t="s">
        <v>83</v>
      </c>
      <c r="G7918" t="s">
        <v>88</v>
      </c>
      <c r="H7918" t="s">
        <v>89</v>
      </c>
      <c r="AC7918">
        <v>0</v>
      </c>
      <c r="AD7918">
        <v>1</v>
      </c>
      <c r="AE7918">
        <v>0</v>
      </c>
      <c r="AF7918">
        <v>0</v>
      </c>
      <c r="AH7918">
        <v>0</v>
      </c>
      <c r="AI7918">
        <v>1</v>
      </c>
      <c r="AJ7918">
        <v>1</v>
      </c>
      <c r="AK7918">
        <v>0</v>
      </c>
      <c r="AL7918">
        <v>0</v>
      </c>
      <c r="AM7918">
        <v>1</v>
      </c>
      <c r="AN7918">
        <v>0</v>
      </c>
      <c r="AO7918">
        <v>0</v>
      </c>
      <c r="AP7918">
        <v>0</v>
      </c>
      <c r="AQ7918">
        <v>0</v>
      </c>
      <c r="AR7918">
        <v>0</v>
      </c>
      <c r="AS7918">
        <v>0</v>
      </c>
      <c r="AT7918">
        <v>1</v>
      </c>
      <c r="AV7918">
        <v>0</v>
      </c>
      <c r="AW7918">
        <v>0</v>
      </c>
    </row>
    <row r="7919" spans="1:49" x14ac:dyDescent="0.25">
      <c r="A7919" t="str">
        <f>"7915"</f>
        <v>7915</v>
      </c>
      <c r="B7919" t="str">
        <f t="shared" si="460"/>
        <v>1</v>
      </c>
      <c r="C7919" t="str">
        <f t="shared" si="461"/>
        <v>348</v>
      </c>
      <c r="D7919" t="str">
        <f>"10"</f>
        <v>10</v>
      </c>
      <c r="E7919" t="str">
        <f>"1-348-10"</f>
        <v>1-348-10</v>
      </c>
      <c r="F7919" t="s">
        <v>83</v>
      </c>
      <c r="G7919" t="s">
        <v>84</v>
      </c>
      <c r="H7919" t="s">
        <v>92</v>
      </c>
      <c r="I7919">
        <v>1</v>
      </c>
      <c r="J7919">
        <v>1</v>
      </c>
      <c r="N7919">
        <v>1</v>
      </c>
      <c r="O7919">
        <v>1</v>
      </c>
      <c r="P7919">
        <v>1</v>
      </c>
      <c r="Q7919">
        <v>1</v>
      </c>
      <c r="R7919">
        <v>1</v>
      </c>
      <c r="S7919">
        <v>1</v>
      </c>
      <c r="T7919">
        <v>0</v>
      </c>
      <c r="W7919">
        <v>1</v>
      </c>
      <c r="X7919">
        <v>1</v>
      </c>
      <c r="Y7919">
        <v>1</v>
      </c>
      <c r="Z7919">
        <v>1</v>
      </c>
      <c r="AA7919">
        <v>1</v>
      </c>
      <c r="AB7919">
        <v>1</v>
      </c>
    </row>
    <row r="7920" spans="1:49" x14ac:dyDescent="0.25">
      <c r="A7920" t="str">
        <f>"7916"</f>
        <v>7916</v>
      </c>
      <c r="B7920" t="str">
        <f t="shared" si="460"/>
        <v>1</v>
      </c>
      <c r="C7920" t="str">
        <f t="shared" si="461"/>
        <v>348</v>
      </c>
      <c r="D7920" t="str">
        <f>"7"</f>
        <v>7</v>
      </c>
      <c r="E7920" t="str">
        <f>"1-348-7"</f>
        <v>1-348-7</v>
      </c>
      <c r="F7920" t="s">
        <v>83</v>
      </c>
      <c r="G7920" t="s">
        <v>84</v>
      </c>
      <c r="H7920" t="s">
        <v>85</v>
      </c>
      <c r="AC7920">
        <v>0</v>
      </c>
      <c r="AD7920">
        <v>1</v>
      </c>
      <c r="AE7920">
        <v>0</v>
      </c>
      <c r="AF7920">
        <v>0</v>
      </c>
      <c r="AG7920">
        <v>1</v>
      </c>
      <c r="AJ7920">
        <v>1</v>
      </c>
      <c r="AK7920">
        <v>0</v>
      </c>
      <c r="AL7920">
        <v>0</v>
      </c>
      <c r="AM7920">
        <v>0</v>
      </c>
      <c r="AN7920">
        <v>1</v>
      </c>
      <c r="AO7920">
        <v>1</v>
      </c>
      <c r="AP7920">
        <v>1</v>
      </c>
      <c r="AQ7920">
        <v>1</v>
      </c>
      <c r="AR7920">
        <v>1</v>
      </c>
      <c r="AS7920">
        <v>0</v>
      </c>
      <c r="AT7920">
        <v>1</v>
      </c>
      <c r="AV7920">
        <v>1</v>
      </c>
      <c r="AW7920">
        <v>1</v>
      </c>
    </row>
    <row r="7921" spans="1:49" x14ac:dyDescent="0.25">
      <c r="A7921" t="str">
        <f>"7917"</f>
        <v>7917</v>
      </c>
      <c r="B7921" t="str">
        <f t="shared" si="460"/>
        <v>1</v>
      </c>
      <c r="C7921" t="str">
        <f t="shared" si="461"/>
        <v>348</v>
      </c>
      <c r="D7921" t="str">
        <f>"18"</f>
        <v>18</v>
      </c>
      <c r="E7921" t="str">
        <f>"1-348-18"</f>
        <v>1-348-18</v>
      </c>
      <c r="F7921" t="s">
        <v>83</v>
      </c>
      <c r="G7921" t="s">
        <v>84</v>
      </c>
      <c r="H7921" t="s">
        <v>92</v>
      </c>
      <c r="I7921">
        <v>1</v>
      </c>
      <c r="J7921">
        <v>1</v>
      </c>
      <c r="N7921">
        <v>1</v>
      </c>
      <c r="O7921">
        <v>1</v>
      </c>
      <c r="P7921">
        <v>1</v>
      </c>
      <c r="Q7921">
        <v>1</v>
      </c>
      <c r="R7921">
        <v>1</v>
      </c>
      <c r="S7921">
        <v>1</v>
      </c>
      <c r="T7921">
        <v>1</v>
      </c>
      <c r="W7921">
        <v>1</v>
      </c>
      <c r="X7921">
        <v>1</v>
      </c>
      <c r="Y7921">
        <v>1</v>
      </c>
      <c r="Z7921">
        <v>1</v>
      </c>
      <c r="AA7921">
        <v>1</v>
      </c>
      <c r="AB7921">
        <v>1</v>
      </c>
    </row>
    <row r="7922" spans="1:49" x14ac:dyDescent="0.25">
      <c r="A7922" t="str">
        <f>"7918"</f>
        <v>7918</v>
      </c>
      <c r="B7922" t="str">
        <f t="shared" si="460"/>
        <v>1</v>
      </c>
      <c r="C7922" t="str">
        <f t="shared" si="461"/>
        <v>348</v>
      </c>
      <c r="D7922" t="str">
        <f>"11"</f>
        <v>11</v>
      </c>
      <c r="E7922" t="str">
        <f>"1-348-11"</f>
        <v>1-348-11</v>
      </c>
      <c r="F7922" t="s">
        <v>83</v>
      </c>
      <c r="G7922" t="s">
        <v>84</v>
      </c>
      <c r="H7922" t="s">
        <v>85</v>
      </c>
      <c r="AC7922">
        <v>0</v>
      </c>
      <c r="AD7922">
        <v>1</v>
      </c>
      <c r="AE7922">
        <v>0</v>
      </c>
      <c r="AF7922">
        <v>0</v>
      </c>
      <c r="AG7922">
        <v>0</v>
      </c>
      <c r="AJ7922">
        <v>0</v>
      </c>
      <c r="AK7922">
        <v>1</v>
      </c>
      <c r="AL7922">
        <v>0</v>
      </c>
      <c r="AM7922">
        <v>0</v>
      </c>
      <c r="AN7922">
        <v>1</v>
      </c>
      <c r="AO7922">
        <v>0</v>
      </c>
      <c r="AP7922">
        <v>0</v>
      </c>
      <c r="AQ7922">
        <v>0</v>
      </c>
      <c r="AR7922">
        <v>0</v>
      </c>
      <c r="AS7922">
        <v>0</v>
      </c>
      <c r="AT7922">
        <v>1</v>
      </c>
      <c r="AV7922">
        <v>0</v>
      </c>
      <c r="AW7922">
        <v>0</v>
      </c>
    </row>
    <row r="7923" spans="1:49" x14ac:dyDescent="0.25">
      <c r="A7923" t="str">
        <f>"7919"</f>
        <v>7919</v>
      </c>
      <c r="B7923" t="str">
        <f t="shared" si="460"/>
        <v>1</v>
      </c>
      <c r="C7923" t="str">
        <f t="shared" si="461"/>
        <v>348</v>
      </c>
      <c r="D7923" t="str">
        <f>"2"</f>
        <v>2</v>
      </c>
      <c r="E7923" t="str">
        <f>"1-348-2"</f>
        <v>1-348-2</v>
      </c>
      <c r="F7923" t="s">
        <v>83</v>
      </c>
      <c r="G7923" t="s">
        <v>88</v>
      </c>
      <c r="H7923" t="s">
        <v>89</v>
      </c>
      <c r="AC7923">
        <v>1</v>
      </c>
      <c r="AD7923">
        <v>0</v>
      </c>
      <c r="AE7923">
        <v>0</v>
      </c>
      <c r="AF7923">
        <v>0</v>
      </c>
      <c r="AH7923">
        <v>0</v>
      </c>
      <c r="AI7923">
        <v>1</v>
      </c>
      <c r="AJ7923">
        <v>0</v>
      </c>
      <c r="AK7923">
        <v>1</v>
      </c>
      <c r="AL7923">
        <v>0</v>
      </c>
      <c r="AM7923">
        <v>1</v>
      </c>
      <c r="AN7923">
        <v>0</v>
      </c>
      <c r="AO7923">
        <v>0</v>
      </c>
      <c r="AP7923">
        <v>0</v>
      </c>
      <c r="AQ7923">
        <v>0</v>
      </c>
      <c r="AR7923">
        <v>0</v>
      </c>
      <c r="AS7923">
        <v>0</v>
      </c>
      <c r="AT7923">
        <v>1</v>
      </c>
      <c r="AV7923">
        <v>0</v>
      </c>
      <c r="AW7923">
        <v>0</v>
      </c>
    </row>
    <row r="7924" spans="1:49" x14ac:dyDescent="0.25">
      <c r="A7924" t="str">
        <f>"7920"</f>
        <v>7920</v>
      </c>
      <c r="B7924" t="str">
        <f t="shared" si="460"/>
        <v>1</v>
      </c>
      <c r="C7924" t="str">
        <f t="shared" si="461"/>
        <v>348</v>
      </c>
      <c r="D7924" t="str">
        <f>"19"</f>
        <v>19</v>
      </c>
      <c r="E7924" t="str">
        <f>"1-348-19"</f>
        <v>1-348-19</v>
      </c>
      <c r="F7924" t="s">
        <v>83</v>
      </c>
      <c r="G7924" t="s">
        <v>84</v>
      </c>
      <c r="H7924" t="s">
        <v>85</v>
      </c>
      <c r="AC7924">
        <v>1</v>
      </c>
      <c r="AD7924">
        <v>0</v>
      </c>
      <c r="AE7924">
        <v>0</v>
      </c>
      <c r="AF7924">
        <v>0</v>
      </c>
      <c r="AG7924">
        <v>1</v>
      </c>
      <c r="AJ7924">
        <v>1</v>
      </c>
      <c r="AK7924">
        <v>0</v>
      </c>
      <c r="AL7924">
        <v>1</v>
      </c>
      <c r="AM7924">
        <v>0</v>
      </c>
      <c r="AN7924">
        <v>0</v>
      </c>
      <c r="AO7924">
        <v>1</v>
      </c>
      <c r="AP7924">
        <v>1</v>
      </c>
      <c r="AQ7924">
        <v>1</v>
      </c>
      <c r="AR7924">
        <v>1</v>
      </c>
      <c r="AS7924">
        <v>1</v>
      </c>
      <c r="AT7924">
        <v>0</v>
      </c>
      <c r="AV7924">
        <v>1</v>
      </c>
      <c r="AW7924">
        <v>1</v>
      </c>
    </row>
    <row r="7925" spans="1:49" x14ac:dyDescent="0.25">
      <c r="A7925" t="str">
        <f>"7921"</f>
        <v>7921</v>
      </c>
      <c r="B7925" t="str">
        <f t="shared" si="460"/>
        <v>1</v>
      </c>
      <c r="C7925" t="str">
        <f t="shared" si="461"/>
        <v>348</v>
      </c>
      <c r="D7925" t="str">
        <f>"12"</f>
        <v>12</v>
      </c>
      <c r="E7925" t="str">
        <f>"1-348-12"</f>
        <v>1-348-12</v>
      </c>
      <c r="F7925" t="s">
        <v>83</v>
      </c>
      <c r="G7925" t="s">
        <v>84</v>
      </c>
      <c r="H7925" t="s">
        <v>85</v>
      </c>
      <c r="AC7925">
        <v>0</v>
      </c>
      <c r="AD7925">
        <v>1</v>
      </c>
      <c r="AE7925">
        <v>0</v>
      </c>
      <c r="AF7925">
        <v>0</v>
      </c>
      <c r="AG7925">
        <v>0</v>
      </c>
      <c r="AJ7925">
        <v>0</v>
      </c>
      <c r="AK7925">
        <v>1</v>
      </c>
      <c r="AL7925">
        <v>0</v>
      </c>
      <c r="AM7925">
        <v>0</v>
      </c>
      <c r="AN7925">
        <v>1</v>
      </c>
      <c r="AO7925">
        <v>0</v>
      </c>
      <c r="AP7925">
        <v>0</v>
      </c>
      <c r="AQ7925">
        <v>0</v>
      </c>
      <c r="AR7925">
        <v>0</v>
      </c>
      <c r="AS7925">
        <v>0</v>
      </c>
      <c r="AT7925">
        <v>1</v>
      </c>
      <c r="AV7925">
        <v>0</v>
      </c>
      <c r="AW7925">
        <v>0</v>
      </c>
    </row>
    <row r="7926" spans="1:49" x14ac:dyDescent="0.25">
      <c r="A7926" t="str">
        <f>"7922"</f>
        <v>7922</v>
      </c>
      <c r="B7926" t="str">
        <f t="shared" si="460"/>
        <v>1</v>
      </c>
      <c r="C7926" t="str">
        <f t="shared" si="461"/>
        <v>348</v>
      </c>
      <c r="D7926" t="str">
        <f>"5"</f>
        <v>5</v>
      </c>
      <c r="E7926" t="str">
        <f>"1-348-5"</f>
        <v>1-348-5</v>
      </c>
      <c r="F7926" t="s">
        <v>83</v>
      </c>
      <c r="G7926" t="s">
        <v>84</v>
      </c>
      <c r="H7926" t="s">
        <v>85</v>
      </c>
      <c r="AC7926">
        <v>0</v>
      </c>
      <c r="AD7926">
        <v>1</v>
      </c>
      <c r="AE7926">
        <v>0</v>
      </c>
      <c r="AF7926">
        <v>0</v>
      </c>
      <c r="AG7926">
        <v>0</v>
      </c>
      <c r="AJ7926">
        <v>0</v>
      </c>
      <c r="AK7926">
        <v>0</v>
      </c>
      <c r="AL7926">
        <v>0</v>
      </c>
      <c r="AM7926">
        <v>0</v>
      </c>
      <c r="AN7926">
        <v>1</v>
      </c>
      <c r="AO7926">
        <v>0</v>
      </c>
      <c r="AP7926">
        <v>0</v>
      </c>
      <c r="AQ7926">
        <v>0</v>
      </c>
      <c r="AR7926">
        <v>0</v>
      </c>
      <c r="AS7926">
        <v>0</v>
      </c>
      <c r="AT7926">
        <v>0</v>
      </c>
      <c r="AV7926">
        <v>0</v>
      </c>
      <c r="AW7926">
        <v>0</v>
      </c>
    </row>
    <row r="7927" spans="1:49" x14ac:dyDescent="0.25">
      <c r="A7927" t="str">
        <f>"7923"</f>
        <v>7923</v>
      </c>
      <c r="B7927" t="str">
        <f t="shared" si="460"/>
        <v>1</v>
      </c>
      <c r="C7927" t="str">
        <f t="shared" si="461"/>
        <v>348</v>
      </c>
      <c r="D7927" t="str">
        <f>"16"</f>
        <v>16</v>
      </c>
      <c r="E7927" t="str">
        <f>"1-348-16"</f>
        <v>1-348-16</v>
      </c>
      <c r="F7927" t="s">
        <v>83</v>
      </c>
      <c r="G7927" t="s">
        <v>84</v>
      </c>
      <c r="H7927" t="s">
        <v>92</v>
      </c>
      <c r="I7927">
        <v>1</v>
      </c>
      <c r="J7927">
        <v>1</v>
      </c>
      <c r="N7927">
        <v>1</v>
      </c>
      <c r="O7927">
        <v>1</v>
      </c>
      <c r="P7927">
        <v>0</v>
      </c>
      <c r="Q7927">
        <v>1</v>
      </c>
      <c r="R7927">
        <v>1</v>
      </c>
      <c r="S7927">
        <v>1</v>
      </c>
      <c r="T7927">
        <v>1</v>
      </c>
      <c r="W7927">
        <v>1</v>
      </c>
      <c r="X7927">
        <v>1</v>
      </c>
      <c r="Y7927">
        <v>1</v>
      </c>
      <c r="Z7927">
        <v>1</v>
      </c>
      <c r="AA7927">
        <v>1</v>
      </c>
      <c r="AB7927">
        <v>1</v>
      </c>
    </row>
    <row r="7928" spans="1:49" x14ac:dyDescent="0.25">
      <c r="A7928" t="str">
        <f>"7924"</f>
        <v>7924</v>
      </c>
      <c r="B7928" t="str">
        <f t="shared" si="460"/>
        <v>1</v>
      </c>
      <c r="C7928" t="str">
        <f t="shared" si="461"/>
        <v>348</v>
      </c>
      <c r="D7928" t="str">
        <f>"6"</f>
        <v>6</v>
      </c>
      <c r="E7928" t="str">
        <f>"1-348-6"</f>
        <v>1-348-6</v>
      </c>
      <c r="F7928" t="s">
        <v>83</v>
      </c>
      <c r="G7928" t="s">
        <v>84</v>
      </c>
      <c r="H7928" t="s">
        <v>92</v>
      </c>
      <c r="I7928">
        <v>1</v>
      </c>
      <c r="J7928">
        <v>1</v>
      </c>
      <c r="N7928">
        <v>1</v>
      </c>
      <c r="O7928">
        <v>1</v>
      </c>
      <c r="P7928">
        <v>1</v>
      </c>
      <c r="Q7928">
        <v>1</v>
      </c>
      <c r="R7928">
        <v>1</v>
      </c>
      <c r="S7928">
        <v>1</v>
      </c>
      <c r="T7928">
        <v>1</v>
      </c>
      <c r="W7928">
        <v>1</v>
      </c>
      <c r="X7928">
        <v>1</v>
      </c>
      <c r="Y7928">
        <v>1</v>
      </c>
      <c r="Z7928">
        <v>1</v>
      </c>
      <c r="AA7928">
        <v>1</v>
      </c>
      <c r="AB7928">
        <v>1</v>
      </c>
    </row>
    <row r="7929" spans="1:49" x14ac:dyDescent="0.25">
      <c r="A7929" t="str">
        <f>"7925"</f>
        <v>7925</v>
      </c>
      <c r="B7929" t="str">
        <f t="shared" si="460"/>
        <v>1</v>
      </c>
      <c r="C7929" t="str">
        <f t="shared" si="461"/>
        <v>348</v>
      </c>
      <c r="D7929" t="str">
        <f>"17"</f>
        <v>17</v>
      </c>
      <c r="E7929" t="str">
        <f>"1-348-17"</f>
        <v>1-348-17</v>
      </c>
      <c r="F7929" t="s">
        <v>83</v>
      </c>
      <c r="G7929" t="s">
        <v>84</v>
      </c>
      <c r="H7929" t="s">
        <v>85</v>
      </c>
      <c r="AC7929">
        <v>0</v>
      </c>
      <c r="AD7929">
        <v>1</v>
      </c>
      <c r="AE7929">
        <v>0</v>
      </c>
      <c r="AF7929">
        <v>0</v>
      </c>
      <c r="AG7929">
        <v>1</v>
      </c>
      <c r="AJ7929">
        <v>0</v>
      </c>
      <c r="AK7929">
        <v>1</v>
      </c>
      <c r="AL7929">
        <v>0</v>
      </c>
      <c r="AM7929">
        <v>0</v>
      </c>
      <c r="AN7929">
        <v>0</v>
      </c>
      <c r="AO7929">
        <v>1</v>
      </c>
      <c r="AP7929">
        <v>1</v>
      </c>
      <c r="AQ7929">
        <v>1</v>
      </c>
      <c r="AR7929">
        <v>1</v>
      </c>
      <c r="AS7929">
        <v>0</v>
      </c>
      <c r="AT7929">
        <v>1</v>
      </c>
      <c r="AV7929">
        <v>0</v>
      </c>
      <c r="AW7929">
        <v>1</v>
      </c>
    </row>
    <row r="7930" spans="1:49" x14ac:dyDescent="0.25">
      <c r="A7930" t="str">
        <f>"7926"</f>
        <v>7926</v>
      </c>
      <c r="B7930" t="str">
        <f t="shared" si="460"/>
        <v>1</v>
      </c>
      <c r="C7930" t="str">
        <f t="shared" si="461"/>
        <v>348</v>
      </c>
      <c r="D7930" t="str">
        <f>"1"</f>
        <v>1</v>
      </c>
      <c r="E7930" t="str">
        <f>"1-348-1"</f>
        <v>1-348-1</v>
      </c>
      <c r="F7930" t="s">
        <v>83</v>
      </c>
      <c r="G7930" t="s">
        <v>84</v>
      </c>
      <c r="H7930" t="s">
        <v>85</v>
      </c>
      <c r="AC7930">
        <v>0</v>
      </c>
      <c r="AD7930">
        <v>1</v>
      </c>
      <c r="AE7930">
        <v>0</v>
      </c>
      <c r="AF7930">
        <v>0</v>
      </c>
      <c r="AG7930">
        <v>0</v>
      </c>
      <c r="AJ7930">
        <v>0</v>
      </c>
      <c r="AK7930">
        <v>1</v>
      </c>
      <c r="AL7930">
        <v>0</v>
      </c>
      <c r="AM7930">
        <v>0</v>
      </c>
      <c r="AN7930">
        <v>1</v>
      </c>
      <c r="AO7930">
        <v>0</v>
      </c>
      <c r="AP7930">
        <v>0</v>
      </c>
      <c r="AQ7930">
        <v>0</v>
      </c>
      <c r="AR7930">
        <v>0</v>
      </c>
      <c r="AS7930">
        <v>0</v>
      </c>
      <c r="AT7930">
        <v>0</v>
      </c>
      <c r="AV7930">
        <v>0</v>
      </c>
      <c r="AW7930">
        <v>0</v>
      </c>
    </row>
    <row r="7931" spans="1:49" x14ac:dyDescent="0.25">
      <c r="A7931" t="str">
        <f>"7927"</f>
        <v>7927</v>
      </c>
      <c r="B7931" t="str">
        <f t="shared" si="460"/>
        <v>1</v>
      </c>
      <c r="C7931" t="str">
        <f t="shared" ref="C7931:C7950" si="462">"349"</f>
        <v>349</v>
      </c>
      <c r="D7931" t="str">
        <f>"20"</f>
        <v>20</v>
      </c>
      <c r="E7931" t="str">
        <f>"1-349-20"</f>
        <v>1-349-20</v>
      </c>
      <c r="F7931" t="s">
        <v>83</v>
      </c>
      <c r="G7931" t="s">
        <v>84</v>
      </c>
      <c r="H7931" t="s">
        <v>92</v>
      </c>
      <c r="I7931">
        <v>1</v>
      </c>
      <c r="J7931">
        <v>1</v>
      </c>
      <c r="N7931">
        <v>1</v>
      </c>
      <c r="O7931">
        <v>1</v>
      </c>
      <c r="P7931">
        <v>1</v>
      </c>
      <c r="Q7931">
        <v>1</v>
      </c>
      <c r="R7931">
        <v>1</v>
      </c>
      <c r="S7931">
        <v>1</v>
      </c>
      <c r="T7931">
        <v>1</v>
      </c>
      <c r="W7931">
        <v>1</v>
      </c>
      <c r="X7931">
        <v>1</v>
      </c>
      <c r="Y7931">
        <v>1</v>
      </c>
      <c r="Z7931">
        <v>1</v>
      </c>
      <c r="AA7931">
        <v>1</v>
      </c>
      <c r="AB7931">
        <v>1</v>
      </c>
    </row>
    <row r="7932" spans="1:49" x14ac:dyDescent="0.25">
      <c r="A7932" t="str">
        <f>"7928"</f>
        <v>7928</v>
      </c>
      <c r="B7932" t="str">
        <f t="shared" si="460"/>
        <v>1</v>
      </c>
      <c r="C7932" t="str">
        <f t="shared" si="462"/>
        <v>349</v>
      </c>
      <c r="D7932" t="str">
        <f>"13"</f>
        <v>13</v>
      </c>
      <c r="E7932" t="str">
        <f>"1-349-13"</f>
        <v>1-349-13</v>
      </c>
      <c r="F7932" t="s">
        <v>83</v>
      </c>
      <c r="G7932" t="s">
        <v>84</v>
      </c>
      <c r="H7932" t="s">
        <v>92</v>
      </c>
      <c r="I7932">
        <v>1</v>
      </c>
      <c r="J7932">
        <v>1</v>
      </c>
      <c r="N7932">
        <v>1</v>
      </c>
      <c r="O7932">
        <v>1</v>
      </c>
      <c r="P7932">
        <v>1</v>
      </c>
      <c r="Q7932">
        <v>1</v>
      </c>
      <c r="R7932">
        <v>1</v>
      </c>
      <c r="S7932">
        <v>1</v>
      </c>
      <c r="T7932">
        <v>1</v>
      </c>
      <c r="W7932">
        <v>1</v>
      </c>
      <c r="X7932">
        <v>1</v>
      </c>
      <c r="Y7932">
        <v>1</v>
      </c>
      <c r="Z7932">
        <v>1</v>
      </c>
      <c r="AA7932">
        <v>1</v>
      </c>
      <c r="AB7932">
        <v>1</v>
      </c>
    </row>
    <row r="7933" spans="1:49" x14ac:dyDescent="0.25">
      <c r="A7933" t="str">
        <f>"7929"</f>
        <v>7929</v>
      </c>
      <c r="B7933" t="str">
        <f t="shared" si="460"/>
        <v>1</v>
      </c>
      <c r="C7933" t="str">
        <f t="shared" si="462"/>
        <v>349</v>
      </c>
      <c r="D7933" t="str">
        <f>"12"</f>
        <v>12</v>
      </c>
      <c r="E7933" t="str">
        <f>"1-349-12"</f>
        <v>1-349-12</v>
      </c>
      <c r="F7933" t="s">
        <v>83</v>
      </c>
      <c r="G7933" t="s">
        <v>84</v>
      </c>
      <c r="H7933" t="s">
        <v>92</v>
      </c>
      <c r="I7933">
        <v>1</v>
      </c>
      <c r="J7933">
        <v>1</v>
      </c>
      <c r="N7933">
        <v>1</v>
      </c>
      <c r="O7933">
        <v>1</v>
      </c>
      <c r="P7933">
        <v>1</v>
      </c>
      <c r="Q7933">
        <v>1</v>
      </c>
      <c r="R7933">
        <v>1</v>
      </c>
      <c r="S7933">
        <v>1</v>
      </c>
      <c r="T7933">
        <v>0</v>
      </c>
      <c r="W7933">
        <v>0</v>
      </c>
      <c r="X7933">
        <v>1</v>
      </c>
      <c r="Y7933">
        <v>1</v>
      </c>
      <c r="Z7933">
        <v>1</v>
      </c>
      <c r="AA7933">
        <v>1</v>
      </c>
      <c r="AB7933">
        <v>1</v>
      </c>
    </row>
    <row r="7934" spans="1:49" x14ac:dyDescent="0.25">
      <c r="A7934" t="str">
        <f>"7930"</f>
        <v>7930</v>
      </c>
      <c r="B7934" t="str">
        <f t="shared" si="460"/>
        <v>1</v>
      </c>
      <c r="C7934" t="str">
        <f t="shared" si="462"/>
        <v>349</v>
      </c>
      <c r="D7934" t="str">
        <f>"9"</f>
        <v>9</v>
      </c>
      <c r="E7934" t="str">
        <f>"1-349-9"</f>
        <v>1-349-9</v>
      </c>
      <c r="F7934" t="s">
        <v>83</v>
      </c>
      <c r="G7934" t="s">
        <v>84</v>
      </c>
      <c r="H7934" t="s">
        <v>92</v>
      </c>
      <c r="I7934">
        <v>1</v>
      </c>
      <c r="J7934">
        <v>1</v>
      </c>
      <c r="N7934">
        <v>1</v>
      </c>
      <c r="O7934">
        <v>1</v>
      </c>
      <c r="P7934">
        <v>1</v>
      </c>
      <c r="Q7934">
        <v>1</v>
      </c>
      <c r="R7934">
        <v>1</v>
      </c>
      <c r="S7934">
        <v>1</v>
      </c>
      <c r="T7934">
        <v>1</v>
      </c>
      <c r="W7934">
        <v>1</v>
      </c>
      <c r="X7934">
        <v>1</v>
      </c>
      <c r="Y7934">
        <v>1</v>
      </c>
      <c r="Z7934">
        <v>1</v>
      </c>
      <c r="AA7934">
        <v>1</v>
      </c>
      <c r="AB7934">
        <v>1</v>
      </c>
    </row>
    <row r="7935" spans="1:49" x14ac:dyDescent="0.25">
      <c r="A7935" t="str">
        <f>"7931"</f>
        <v>7931</v>
      </c>
      <c r="B7935" t="str">
        <f t="shared" si="460"/>
        <v>1</v>
      </c>
      <c r="C7935" t="str">
        <f t="shared" si="462"/>
        <v>349</v>
      </c>
      <c r="D7935" t="str">
        <f>"8"</f>
        <v>8</v>
      </c>
      <c r="E7935" t="str">
        <f>"1-349-8"</f>
        <v>1-349-8</v>
      </c>
      <c r="F7935" t="s">
        <v>83</v>
      </c>
      <c r="G7935" t="s">
        <v>84</v>
      </c>
      <c r="H7935" t="s">
        <v>92</v>
      </c>
      <c r="I7935">
        <v>1</v>
      </c>
      <c r="J7935">
        <v>1</v>
      </c>
      <c r="N7935">
        <v>1</v>
      </c>
      <c r="O7935">
        <v>1</v>
      </c>
      <c r="P7935">
        <v>1</v>
      </c>
      <c r="Q7935">
        <v>1</v>
      </c>
      <c r="R7935">
        <v>1</v>
      </c>
      <c r="S7935">
        <v>1</v>
      </c>
      <c r="T7935">
        <v>1</v>
      </c>
      <c r="W7935">
        <v>1</v>
      </c>
      <c r="X7935">
        <v>1</v>
      </c>
      <c r="Y7935">
        <v>1</v>
      </c>
      <c r="Z7935">
        <v>1</v>
      </c>
      <c r="AA7935">
        <v>1</v>
      </c>
      <c r="AB7935">
        <v>1</v>
      </c>
    </row>
    <row r="7936" spans="1:49" x14ac:dyDescent="0.25">
      <c r="A7936" t="str">
        <f>"7932"</f>
        <v>7932</v>
      </c>
      <c r="B7936" t="str">
        <f t="shared" si="460"/>
        <v>1</v>
      </c>
      <c r="C7936" t="str">
        <f t="shared" si="462"/>
        <v>349</v>
      </c>
      <c r="D7936" t="str">
        <f>"2"</f>
        <v>2</v>
      </c>
      <c r="E7936" t="str">
        <f>"1-349-2"</f>
        <v>1-349-2</v>
      </c>
      <c r="F7936" t="s">
        <v>83</v>
      </c>
      <c r="G7936" t="s">
        <v>84</v>
      </c>
      <c r="H7936" t="s">
        <v>92</v>
      </c>
      <c r="I7936">
        <v>1</v>
      </c>
      <c r="J7936">
        <v>1</v>
      </c>
      <c r="N7936">
        <v>1</v>
      </c>
      <c r="O7936">
        <v>1</v>
      </c>
      <c r="P7936">
        <v>1</v>
      </c>
      <c r="Q7936">
        <v>1</v>
      </c>
      <c r="R7936">
        <v>1</v>
      </c>
      <c r="S7936">
        <v>1</v>
      </c>
      <c r="T7936">
        <v>1</v>
      </c>
      <c r="W7936">
        <v>1</v>
      </c>
      <c r="X7936">
        <v>1</v>
      </c>
      <c r="Y7936">
        <v>1</v>
      </c>
      <c r="Z7936">
        <v>1</v>
      </c>
      <c r="AA7936">
        <v>1</v>
      </c>
      <c r="AB7936">
        <v>1</v>
      </c>
    </row>
    <row r="7937" spans="1:28" x14ac:dyDescent="0.25">
      <c r="A7937" t="str">
        <f>"7933"</f>
        <v>7933</v>
      </c>
      <c r="B7937" t="str">
        <f t="shared" si="460"/>
        <v>1</v>
      </c>
      <c r="C7937" t="str">
        <f t="shared" si="462"/>
        <v>349</v>
      </c>
      <c r="D7937" t="str">
        <f>"15"</f>
        <v>15</v>
      </c>
      <c r="E7937" t="str">
        <f>"1-349-15"</f>
        <v>1-349-15</v>
      </c>
      <c r="F7937" t="s">
        <v>83</v>
      </c>
      <c r="G7937" t="s">
        <v>84</v>
      </c>
      <c r="H7937" t="s">
        <v>92</v>
      </c>
      <c r="I7937">
        <v>1</v>
      </c>
      <c r="J7937">
        <v>1</v>
      </c>
      <c r="N7937">
        <v>1</v>
      </c>
      <c r="O7937">
        <v>1</v>
      </c>
      <c r="P7937">
        <v>1</v>
      </c>
      <c r="Q7937">
        <v>1</v>
      </c>
      <c r="R7937">
        <v>1</v>
      </c>
      <c r="S7937">
        <v>1</v>
      </c>
      <c r="T7937">
        <v>1</v>
      </c>
      <c r="W7937">
        <v>1</v>
      </c>
      <c r="X7937">
        <v>1</v>
      </c>
      <c r="Y7937">
        <v>1</v>
      </c>
      <c r="Z7937">
        <v>1</v>
      </c>
      <c r="AA7937">
        <v>1</v>
      </c>
      <c r="AB7937">
        <v>1</v>
      </c>
    </row>
    <row r="7938" spans="1:28" x14ac:dyDescent="0.25">
      <c r="A7938" t="str">
        <f>"7934"</f>
        <v>7934</v>
      </c>
      <c r="B7938" t="str">
        <f t="shared" si="460"/>
        <v>1</v>
      </c>
      <c r="C7938" t="str">
        <f t="shared" si="462"/>
        <v>349</v>
      </c>
      <c r="D7938" t="str">
        <f>"10"</f>
        <v>10</v>
      </c>
      <c r="E7938" t="str">
        <f>"1-349-10"</f>
        <v>1-349-10</v>
      </c>
      <c r="F7938" t="s">
        <v>83</v>
      </c>
      <c r="G7938" t="s">
        <v>84</v>
      </c>
      <c r="H7938" t="s">
        <v>92</v>
      </c>
      <c r="I7938">
        <v>1</v>
      </c>
      <c r="J7938">
        <v>1</v>
      </c>
      <c r="N7938">
        <v>1</v>
      </c>
      <c r="O7938">
        <v>1</v>
      </c>
      <c r="P7938">
        <v>1</v>
      </c>
      <c r="Q7938">
        <v>1</v>
      </c>
      <c r="R7938">
        <v>1</v>
      </c>
      <c r="S7938">
        <v>1</v>
      </c>
      <c r="T7938">
        <v>1</v>
      </c>
      <c r="W7938">
        <v>1</v>
      </c>
      <c r="X7938">
        <v>1</v>
      </c>
      <c r="Y7938">
        <v>1</v>
      </c>
      <c r="Z7938">
        <v>1</v>
      </c>
      <c r="AA7938">
        <v>1</v>
      </c>
      <c r="AB7938">
        <v>1</v>
      </c>
    </row>
    <row r="7939" spans="1:28" x14ac:dyDescent="0.25">
      <c r="A7939" t="str">
        <f>"7935"</f>
        <v>7935</v>
      </c>
      <c r="B7939" t="str">
        <f t="shared" si="460"/>
        <v>1</v>
      </c>
      <c r="C7939" t="str">
        <f t="shared" si="462"/>
        <v>349</v>
      </c>
      <c r="D7939" t="str">
        <f>"6"</f>
        <v>6</v>
      </c>
      <c r="E7939" t="str">
        <f>"1-349-6"</f>
        <v>1-349-6</v>
      </c>
      <c r="F7939" t="s">
        <v>83</v>
      </c>
      <c r="G7939" t="s">
        <v>84</v>
      </c>
      <c r="H7939" t="s">
        <v>92</v>
      </c>
      <c r="I7939">
        <v>1</v>
      </c>
      <c r="J7939">
        <v>1</v>
      </c>
      <c r="N7939">
        <v>1</v>
      </c>
      <c r="O7939">
        <v>1</v>
      </c>
      <c r="P7939">
        <v>1</v>
      </c>
      <c r="Q7939">
        <v>1</v>
      </c>
      <c r="R7939">
        <v>1</v>
      </c>
      <c r="S7939">
        <v>1</v>
      </c>
      <c r="T7939">
        <v>1</v>
      </c>
      <c r="W7939">
        <v>1</v>
      </c>
      <c r="X7939">
        <v>1</v>
      </c>
      <c r="Y7939">
        <v>1</v>
      </c>
      <c r="Z7939">
        <v>1</v>
      </c>
      <c r="AA7939">
        <v>1</v>
      </c>
      <c r="AB7939">
        <v>1</v>
      </c>
    </row>
    <row r="7940" spans="1:28" x14ac:dyDescent="0.25">
      <c r="A7940" t="str">
        <f>"7936"</f>
        <v>7936</v>
      </c>
      <c r="B7940" t="str">
        <f t="shared" si="460"/>
        <v>1</v>
      </c>
      <c r="C7940" t="str">
        <f t="shared" si="462"/>
        <v>349</v>
      </c>
      <c r="D7940" t="str">
        <f>"16"</f>
        <v>16</v>
      </c>
      <c r="E7940" t="str">
        <f>"1-349-16"</f>
        <v>1-349-16</v>
      </c>
      <c r="F7940" t="s">
        <v>83</v>
      </c>
      <c r="G7940" t="s">
        <v>84</v>
      </c>
      <c r="H7940" t="s">
        <v>92</v>
      </c>
      <c r="I7940">
        <v>1</v>
      </c>
      <c r="J7940">
        <v>1</v>
      </c>
      <c r="N7940">
        <v>1</v>
      </c>
      <c r="O7940">
        <v>1</v>
      </c>
      <c r="P7940">
        <v>1</v>
      </c>
      <c r="Q7940">
        <v>1</v>
      </c>
      <c r="R7940">
        <v>1</v>
      </c>
      <c r="S7940">
        <v>1</v>
      </c>
      <c r="T7940">
        <v>1</v>
      </c>
      <c r="W7940">
        <v>1</v>
      </c>
      <c r="X7940">
        <v>1</v>
      </c>
      <c r="Y7940">
        <v>1</v>
      </c>
      <c r="Z7940">
        <v>1</v>
      </c>
      <c r="AA7940">
        <v>1</v>
      </c>
      <c r="AB7940">
        <v>1</v>
      </c>
    </row>
    <row r="7941" spans="1:28" x14ac:dyDescent="0.25">
      <c r="A7941" t="str">
        <f>"7937"</f>
        <v>7937</v>
      </c>
      <c r="B7941" t="str">
        <f t="shared" si="460"/>
        <v>1</v>
      </c>
      <c r="C7941" t="str">
        <f t="shared" si="462"/>
        <v>349</v>
      </c>
      <c r="D7941" t="str">
        <f>"11"</f>
        <v>11</v>
      </c>
      <c r="E7941" t="str">
        <f>"1-349-11"</f>
        <v>1-349-11</v>
      </c>
      <c r="F7941" t="s">
        <v>83</v>
      </c>
      <c r="G7941" t="s">
        <v>84</v>
      </c>
      <c r="H7941" t="s">
        <v>92</v>
      </c>
      <c r="I7941">
        <v>0</v>
      </c>
      <c r="J7941">
        <v>0</v>
      </c>
      <c r="N7941">
        <v>0</v>
      </c>
      <c r="O7941">
        <v>1</v>
      </c>
      <c r="P7941">
        <v>1</v>
      </c>
      <c r="Q7941">
        <v>0</v>
      </c>
      <c r="R7941">
        <v>0</v>
      </c>
      <c r="S7941">
        <v>0</v>
      </c>
      <c r="T7941">
        <v>0</v>
      </c>
      <c r="W7941">
        <v>1</v>
      </c>
      <c r="X7941">
        <v>1</v>
      </c>
      <c r="Y7941">
        <v>0</v>
      </c>
      <c r="Z7941">
        <v>0</v>
      </c>
      <c r="AA7941">
        <v>0</v>
      </c>
      <c r="AB7941">
        <v>0</v>
      </c>
    </row>
    <row r="7942" spans="1:28" x14ac:dyDescent="0.25">
      <c r="A7942" t="str">
        <f>"7938"</f>
        <v>7938</v>
      </c>
      <c r="B7942" t="str">
        <f t="shared" si="460"/>
        <v>1</v>
      </c>
      <c r="C7942" t="str">
        <f t="shared" si="462"/>
        <v>349</v>
      </c>
      <c r="D7942" t="str">
        <f>"5"</f>
        <v>5</v>
      </c>
      <c r="E7942" t="str">
        <f>"1-349-5"</f>
        <v>1-349-5</v>
      </c>
      <c r="F7942" t="s">
        <v>83</v>
      </c>
      <c r="G7942" t="s">
        <v>84</v>
      </c>
      <c r="H7942" t="s">
        <v>92</v>
      </c>
      <c r="I7942">
        <v>1</v>
      </c>
      <c r="J7942">
        <v>1</v>
      </c>
      <c r="N7942">
        <v>1</v>
      </c>
      <c r="O7942">
        <v>1</v>
      </c>
      <c r="P7942">
        <v>1</v>
      </c>
      <c r="Q7942">
        <v>1</v>
      </c>
      <c r="R7942">
        <v>1</v>
      </c>
      <c r="S7942">
        <v>1</v>
      </c>
      <c r="T7942">
        <v>1</v>
      </c>
      <c r="W7942">
        <v>1</v>
      </c>
      <c r="X7942">
        <v>1</v>
      </c>
      <c r="Y7942">
        <v>1</v>
      </c>
      <c r="Z7942">
        <v>1</v>
      </c>
      <c r="AA7942">
        <v>1</v>
      </c>
      <c r="AB7942">
        <v>1</v>
      </c>
    </row>
    <row r="7943" spans="1:28" x14ac:dyDescent="0.25">
      <c r="A7943" t="str">
        <f>"7939"</f>
        <v>7939</v>
      </c>
      <c r="B7943" t="str">
        <f t="shared" si="460"/>
        <v>1</v>
      </c>
      <c r="C7943" t="str">
        <f t="shared" si="462"/>
        <v>349</v>
      </c>
      <c r="D7943" t="str">
        <f>"14"</f>
        <v>14</v>
      </c>
      <c r="E7943" t="str">
        <f>"1-349-14"</f>
        <v>1-349-14</v>
      </c>
      <c r="F7943" t="s">
        <v>83</v>
      </c>
      <c r="G7943" t="s">
        <v>84</v>
      </c>
      <c r="H7943" t="s">
        <v>92</v>
      </c>
      <c r="I7943">
        <v>1</v>
      </c>
      <c r="J7943">
        <v>1</v>
      </c>
      <c r="N7943">
        <v>1</v>
      </c>
      <c r="O7943">
        <v>1</v>
      </c>
      <c r="P7943">
        <v>1</v>
      </c>
      <c r="Q7943">
        <v>1</v>
      </c>
      <c r="R7943">
        <v>1</v>
      </c>
      <c r="S7943">
        <v>1</v>
      </c>
      <c r="T7943">
        <v>1</v>
      </c>
      <c r="W7943">
        <v>1</v>
      </c>
      <c r="X7943">
        <v>1</v>
      </c>
      <c r="Y7943">
        <v>1</v>
      </c>
      <c r="Z7943">
        <v>1</v>
      </c>
      <c r="AA7943">
        <v>1</v>
      </c>
      <c r="AB7943">
        <v>1</v>
      </c>
    </row>
    <row r="7944" spans="1:28" x14ac:dyDescent="0.25">
      <c r="A7944" t="str">
        <f>"7940"</f>
        <v>7940</v>
      </c>
      <c r="B7944" t="str">
        <f t="shared" si="460"/>
        <v>1</v>
      </c>
      <c r="C7944" t="str">
        <f t="shared" si="462"/>
        <v>349</v>
      </c>
      <c r="D7944" t="str">
        <f>"7"</f>
        <v>7</v>
      </c>
      <c r="E7944" t="str">
        <f>"1-349-7"</f>
        <v>1-349-7</v>
      </c>
      <c r="F7944" t="s">
        <v>83</v>
      </c>
      <c r="G7944" t="s">
        <v>84</v>
      </c>
      <c r="H7944" t="s">
        <v>92</v>
      </c>
      <c r="I7944">
        <v>1</v>
      </c>
      <c r="J7944">
        <v>1</v>
      </c>
      <c r="N7944">
        <v>1</v>
      </c>
      <c r="O7944">
        <v>1</v>
      </c>
      <c r="P7944">
        <v>1</v>
      </c>
      <c r="Q7944">
        <v>1</v>
      </c>
      <c r="R7944">
        <v>1</v>
      </c>
      <c r="S7944">
        <v>1</v>
      </c>
      <c r="T7944">
        <v>1</v>
      </c>
      <c r="W7944">
        <v>1</v>
      </c>
      <c r="X7944">
        <v>1</v>
      </c>
      <c r="Y7944">
        <v>1</v>
      </c>
      <c r="Z7944">
        <v>1</v>
      </c>
      <c r="AA7944">
        <v>1</v>
      </c>
      <c r="AB7944">
        <v>1</v>
      </c>
    </row>
    <row r="7945" spans="1:28" x14ac:dyDescent="0.25">
      <c r="A7945" t="str">
        <f>"7941"</f>
        <v>7941</v>
      </c>
      <c r="B7945" t="str">
        <f t="shared" si="460"/>
        <v>1</v>
      </c>
      <c r="C7945" t="str">
        <f t="shared" si="462"/>
        <v>349</v>
      </c>
      <c r="D7945" t="str">
        <f>"1"</f>
        <v>1</v>
      </c>
      <c r="E7945" t="str">
        <f>"1-349-1"</f>
        <v>1-349-1</v>
      </c>
      <c r="F7945" t="s">
        <v>83</v>
      </c>
      <c r="G7945" t="s">
        <v>84</v>
      </c>
      <c r="H7945" t="s">
        <v>92</v>
      </c>
      <c r="I7945">
        <v>1</v>
      </c>
      <c r="J7945">
        <v>1</v>
      </c>
      <c r="N7945">
        <v>1</v>
      </c>
      <c r="O7945">
        <v>1</v>
      </c>
      <c r="P7945">
        <v>1</v>
      </c>
      <c r="Q7945">
        <v>1</v>
      </c>
      <c r="R7945">
        <v>0</v>
      </c>
      <c r="S7945">
        <v>1</v>
      </c>
      <c r="T7945">
        <v>0</v>
      </c>
      <c r="W7945">
        <v>1</v>
      </c>
      <c r="X7945">
        <v>0</v>
      </c>
      <c r="Y7945">
        <v>1</v>
      </c>
      <c r="Z7945">
        <v>0</v>
      </c>
      <c r="AA7945">
        <v>0</v>
      </c>
      <c r="AB7945">
        <v>0</v>
      </c>
    </row>
    <row r="7946" spans="1:28" x14ac:dyDescent="0.25">
      <c r="A7946" t="str">
        <f>"7942"</f>
        <v>7942</v>
      </c>
      <c r="B7946" t="str">
        <f t="shared" si="460"/>
        <v>1</v>
      </c>
      <c r="C7946" t="str">
        <f t="shared" si="462"/>
        <v>349</v>
      </c>
      <c r="D7946" t="str">
        <f>"18"</f>
        <v>18</v>
      </c>
      <c r="E7946" t="str">
        <f>"1-349-18"</f>
        <v>1-349-18</v>
      </c>
      <c r="F7946" t="s">
        <v>83</v>
      </c>
      <c r="G7946" t="s">
        <v>84</v>
      </c>
      <c r="H7946" t="s">
        <v>92</v>
      </c>
      <c r="I7946">
        <v>1</v>
      </c>
      <c r="J7946">
        <v>1</v>
      </c>
      <c r="N7946">
        <v>1</v>
      </c>
      <c r="O7946">
        <v>1</v>
      </c>
      <c r="P7946">
        <v>1</v>
      </c>
      <c r="Q7946">
        <v>1</v>
      </c>
      <c r="R7946">
        <v>1</v>
      </c>
      <c r="S7946">
        <v>1</v>
      </c>
      <c r="T7946">
        <v>1</v>
      </c>
      <c r="W7946">
        <v>1</v>
      </c>
      <c r="X7946">
        <v>1</v>
      </c>
      <c r="Y7946">
        <v>1</v>
      </c>
      <c r="Z7946">
        <v>1</v>
      </c>
      <c r="AA7946">
        <v>1</v>
      </c>
      <c r="AB7946">
        <v>1</v>
      </c>
    </row>
    <row r="7947" spans="1:28" x14ac:dyDescent="0.25">
      <c r="A7947" t="str">
        <f>"7943"</f>
        <v>7943</v>
      </c>
      <c r="B7947" t="str">
        <f t="shared" si="460"/>
        <v>1</v>
      </c>
      <c r="C7947" t="str">
        <f t="shared" si="462"/>
        <v>349</v>
      </c>
      <c r="D7947" t="str">
        <f>"3"</f>
        <v>3</v>
      </c>
      <c r="E7947" t="str">
        <f>"1-349-3"</f>
        <v>1-349-3</v>
      </c>
      <c r="F7947" t="s">
        <v>83</v>
      </c>
      <c r="G7947" t="s">
        <v>84</v>
      </c>
      <c r="H7947" t="s">
        <v>92</v>
      </c>
      <c r="I7947">
        <v>1</v>
      </c>
      <c r="J7947">
        <v>1</v>
      </c>
      <c r="N7947">
        <v>1</v>
      </c>
      <c r="O7947">
        <v>1</v>
      </c>
      <c r="P7947">
        <v>1</v>
      </c>
      <c r="Q7947">
        <v>1</v>
      </c>
      <c r="R7947">
        <v>1</v>
      </c>
      <c r="S7947">
        <v>1</v>
      </c>
      <c r="T7947">
        <v>1</v>
      </c>
      <c r="W7947">
        <v>1</v>
      </c>
      <c r="X7947">
        <v>1</v>
      </c>
      <c r="Y7947">
        <v>1</v>
      </c>
      <c r="Z7947">
        <v>1</v>
      </c>
      <c r="AA7947">
        <v>1</v>
      </c>
      <c r="AB7947">
        <v>1</v>
      </c>
    </row>
    <row r="7948" spans="1:28" x14ac:dyDescent="0.25">
      <c r="A7948" t="str">
        <f>"7944"</f>
        <v>7944</v>
      </c>
      <c r="B7948" t="str">
        <f t="shared" si="460"/>
        <v>1</v>
      </c>
      <c r="C7948" t="str">
        <f t="shared" si="462"/>
        <v>349</v>
      </c>
      <c r="D7948" t="str">
        <f>"19"</f>
        <v>19</v>
      </c>
      <c r="E7948" t="str">
        <f>"1-349-19"</f>
        <v>1-349-19</v>
      </c>
      <c r="F7948" t="s">
        <v>83</v>
      </c>
      <c r="G7948" t="s">
        <v>84</v>
      </c>
      <c r="H7948" t="s">
        <v>92</v>
      </c>
      <c r="I7948">
        <v>1</v>
      </c>
      <c r="J7948">
        <v>1</v>
      </c>
      <c r="N7948">
        <v>1</v>
      </c>
      <c r="O7948">
        <v>1</v>
      </c>
      <c r="P7948">
        <v>1</v>
      </c>
      <c r="Q7948">
        <v>1</v>
      </c>
      <c r="R7948">
        <v>1</v>
      </c>
      <c r="S7948">
        <v>1</v>
      </c>
      <c r="T7948">
        <v>1</v>
      </c>
      <c r="W7948">
        <v>1</v>
      </c>
      <c r="X7948">
        <v>1</v>
      </c>
      <c r="Y7948">
        <v>1</v>
      </c>
      <c r="Z7948">
        <v>1</v>
      </c>
      <c r="AA7948">
        <v>1</v>
      </c>
      <c r="AB7948">
        <v>1</v>
      </c>
    </row>
    <row r="7949" spans="1:28" x14ac:dyDescent="0.25">
      <c r="A7949" t="str">
        <f>"7945"</f>
        <v>7945</v>
      </c>
      <c r="B7949" t="str">
        <f t="shared" si="460"/>
        <v>1</v>
      </c>
      <c r="C7949" t="str">
        <f t="shared" si="462"/>
        <v>349</v>
      </c>
      <c r="D7949" t="str">
        <f>"4"</f>
        <v>4</v>
      </c>
      <c r="E7949" t="str">
        <f>"1-349-4"</f>
        <v>1-349-4</v>
      </c>
      <c r="F7949" t="s">
        <v>83</v>
      </c>
      <c r="G7949" t="s">
        <v>84</v>
      </c>
      <c r="H7949" t="s">
        <v>92</v>
      </c>
      <c r="I7949">
        <v>1</v>
      </c>
      <c r="J7949">
        <v>1</v>
      </c>
      <c r="N7949">
        <v>1</v>
      </c>
      <c r="O7949">
        <v>1</v>
      </c>
      <c r="P7949">
        <v>1</v>
      </c>
      <c r="Q7949">
        <v>1</v>
      </c>
      <c r="R7949">
        <v>0</v>
      </c>
      <c r="S7949">
        <v>1</v>
      </c>
      <c r="T7949">
        <v>0</v>
      </c>
      <c r="W7949">
        <v>1</v>
      </c>
      <c r="X7949">
        <v>0</v>
      </c>
      <c r="Y7949">
        <v>1</v>
      </c>
      <c r="Z7949">
        <v>0</v>
      </c>
      <c r="AA7949">
        <v>0</v>
      </c>
      <c r="AB7949">
        <v>0</v>
      </c>
    </row>
    <row r="7950" spans="1:28" x14ac:dyDescent="0.25">
      <c r="A7950" t="str">
        <f>"7946"</f>
        <v>7946</v>
      </c>
      <c r="B7950" t="str">
        <f t="shared" si="460"/>
        <v>1</v>
      </c>
      <c r="C7950" t="str">
        <f t="shared" si="462"/>
        <v>349</v>
      </c>
      <c r="D7950" t="str">
        <f>"17"</f>
        <v>17</v>
      </c>
      <c r="E7950" t="str">
        <f>"1-349-17"</f>
        <v>1-349-17</v>
      </c>
      <c r="F7950" t="s">
        <v>83</v>
      </c>
      <c r="G7950" t="s">
        <v>84</v>
      </c>
      <c r="H7950" t="s">
        <v>92</v>
      </c>
      <c r="I7950">
        <v>1</v>
      </c>
      <c r="J7950">
        <v>1</v>
      </c>
      <c r="N7950">
        <v>1</v>
      </c>
      <c r="O7950">
        <v>1</v>
      </c>
      <c r="P7950">
        <v>1</v>
      </c>
      <c r="Q7950">
        <v>1</v>
      </c>
      <c r="R7950">
        <v>1</v>
      </c>
      <c r="S7950">
        <v>1</v>
      </c>
      <c r="T7950">
        <v>1</v>
      </c>
      <c r="W7950">
        <v>1</v>
      </c>
      <c r="X7950">
        <v>1</v>
      </c>
      <c r="Y7950">
        <v>1</v>
      </c>
      <c r="Z7950">
        <v>1</v>
      </c>
      <c r="AA7950">
        <v>1</v>
      </c>
      <c r="AB7950">
        <v>0</v>
      </c>
    </row>
    <row r="7951" spans="1:28" x14ac:dyDescent="0.25">
      <c r="A7951" t="str">
        <f>"7947"</f>
        <v>7947</v>
      </c>
      <c r="B7951" t="str">
        <f t="shared" si="460"/>
        <v>1</v>
      </c>
      <c r="C7951" t="str">
        <f t="shared" ref="C7951:C7974" si="463">"350"</f>
        <v>350</v>
      </c>
      <c r="D7951" t="str">
        <f>"21"</f>
        <v>21</v>
      </c>
      <c r="E7951" t="str">
        <f>"1-350-21"</f>
        <v>1-350-21</v>
      </c>
      <c r="F7951" t="s">
        <v>83</v>
      </c>
      <c r="G7951" t="s">
        <v>86</v>
      </c>
      <c r="H7951" t="s">
        <v>93</v>
      </c>
      <c r="I7951">
        <v>1</v>
      </c>
      <c r="K7951">
        <v>0</v>
      </c>
      <c r="L7951">
        <v>0</v>
      </c>
      <c r="M7951">
        <v>1</v>
      </c>
      <c r="N7951">
        <v>1</v>
      </c>
      <c r="O7951">
        <v>1</v>
      </c>
      <c r="P7951">
        <v>1</v>
      </c>
      <c r="Q7951">
        <v>1</v>
      </c>
      <c r="R7951">
        <v>1</v>
      </c>
      <c r="U7951">
        <v>0</v>
      </c>
      <c r="V7951">
        <v>1</v>
      </c>
      <c r="W7951">
        <v>1</v>
      </c>
      <c r="X7951">
        <v>1</v>
      </c>
      <c r="Y7951">
        <v>1</v>
      </c>
      <c r="Z7951">
        <v>1</v>
      </c>
      <c r="AA7951">
        <v>1</v>
      </c>
      <c r="AB7951">
        <v>1</v>
      </c>
    </row>
    <row r="7952" spans="1:28" x14ac:dyDescent="0.25">
      <c r="A7952" t="str">
        <f>"7948"</f>
        <v>7948</v>
      </c>
      <c r="B7952" t="str">
        <f t="shared" si="460"/>
        <v>1</v>
      </c>
      <c r="C7952" t="str">
        <f t="shared" si="463"/>
        <v>350</v>
      </c>
      <c r="D7952" t="str">
        <f>"20"</f>
        <v>20</v>
      </c>
      <c r="E7952" t="str">
        <f>"1-350-20"</f>
        <v>1-350-20</v>
      </c>
      <c r="F7952" t="s">
        <v>83</v>
      </c>
      <c r="G7952" t="s">
        <v>86</v>
      </c>
      <c r="H7952" t="s">
        <v>93</v>
      </c>
      <c r="I7952">
        <v>1</v>
      </c>
      <c r="K7952">
        <v>0</v>
      </c>
      <c r="L7952">
        <v>1</v>
      </c>
      <c r="M7952">
        <v>0</v>
      </c>
      <c r="N7952">
        <v>1</v>
      </c>
      <c r="O7952">
        <v>1</v>
      </c>
      <c r="P7952">
        <v>1</v>
      </c>
      <c r="Q7952">
        <v>1</v>
      </c>
      <c r="R7952">
        <v>1</v>
      </c>
      <c r="U7952">
        <v>0</v>
      </c>
      <c r="V7952">
        <v>1</v>
      </c>
      <c r="W7952">
        <v>1</v>
      </c>
      <c r="X7952">
        <v>1</v>
      </c>
      <c r="Y7952">
        <v>1</v>
      </c>
      <c r="Z7952">
        <v>1</v>
      </c>
      <c r="AA7952">
        <v>1</v>
      </c>
      <c r="AB7952">
        <v>1</v>
      </c>
    </row>
    <row r="7953" spans="1:28" x14ac:dyDescent="0.25">
      <c r="A7953" t="str">
        <f>"7949"</f>
        <v>7949</v>
      </c>
      <c r="B7953" t="str">
        <f t="shared" si="460"/>
        <v>1</v>
      </c>
      <c r="C7953" t="str">
        <f t="shared" si="463"/>
        <v>350</v>
      </c>
      <c r="D7953" t="str">
        <f>"13"</f>
        <v>13</v>
      </c>
      <c r="E7953" t="str">
        <f>"1-350-13"</f>
        <v>1-350-13</v>
      </c>
      <c r="F7953" t="s">
        <v>83</v>
      </c>
      <c r="G7953" t="s">
        <v>86</v>
      </c>
      <c r="H7953" t="s">
        <v>93</v>
      </c>
      <c r="I7953">
        <v>1</v>
      </c>
      <c r="K7953">
        <v>1</v>
      </c>
      <c r="L7953">
        <v>0</v>
      </c>
      <c r="M7953">
        <v>0</v>
      </c>
      <c r="N7953">
        <v>1</v>
      </c>
      <c r="O7953">
        <v>1</v>
      </c>
      <c r="P7953">
        <v>1</v>
      </c>
      <c r="Q7953">
        <v>1</v>
      </c>
      <c r="R7953">
        <v>1</v>
      </c>
      <c r="U7953">
        <v>0</v>
      </c>
      <c r="V7953">
        <v>1</v>
      </c>
      <c r="W7953">
        <v>1</v>
      </c>
      <c r="X7953">
        <v>1</v>
      </c>
      <c r="Y7953">
        <v>1</v>
      </c>
      <c r="Z7953">
        <v>1</v>
      </c>
      <c r="AA7953">
        <v>1</v>
      </c>
      <c r="AB7953">
        <v>1</v>
      </c>
    </row>
    <row r="7954" spans="1:28" x14ac:dyDescent="0.25">
      <c r="A7954" t="str">
        <f>"7950"</f>
        <v>7950</v>
      </c>
      <c r="B7954" t="str">
        <f t="shared" si="460"/>
        <v>1</v>
      </c>
      <c r="C7954" t="str">
        <f t="shared" si="463"/>
        <v>350</v>
      </c>
      <c r="D7954" t="str">
        <f>"12"</f>
        <v>12</v>
      </c>
      <c r="E7954" t="str">
        <f>"1-350-12"</f>
        <v>1-350-12</v>
      </c>
      <c r="F7954" t="s">
        <v>83</v>
      </c>
      <c r="G7954" t="s">
        <v>86</v>
      </c>
      <c r="H7954" t="s">
        <v>93</v>
      </c>
      <c r="I7954">
        <v>1</v>
      </c>
      <c r="K7954">
        <v>1</v>
      </c>
      <c r="L7954">
        <v>0</v>
      </c>
      <c r="M7954">
        <v>0</v>
      </c>
      <c r="N7954">
        <v>1</v>
      </c>
      <c r="O7954">
        <v>1</v>
      </c>
      <c r="P7954">
        <v>1</v>
      </c>
      <c r="Q7954">
        <v>1</v>
      </c>
      <c r="R7954">
        <v>1</v>
      </c>
      <c r="U7954">
        <v>0</v>
      </c>
      <c r="V7954">
        <v>1</v>
      </c>
      <c r="W7954">
        <v>1</v>
      </c>
      <c r="X7954">
        <v>1</v>
      </c>
      <c r="Y7954">
        <v>1</v>
      </c>
      <c r="Z7954">
        <v>1</v>
      </c>
      <c r="AA7954">
        <v>1</v>
      </c>
      <c r="AB7954">
        <v>1</v>
      </c>
    </row>
    <row r="7955" spans="1:28" x14ac:dyDescent="0.25">
      <c r="A7955" t="str">
        <f>"7951"</f>
        <v>7951</v>
      </c>
      <c r="B7955" t="str">
        <f t="shared" si="460"/>
        <v>1</v>
      </c>
      <c r="C7955" t="str">
        <f t="shared" si="463"/>
        <v>350</v>
      </c>
      <c r="D7955" t="str">
        <f>"11"</f>
        <v>11</v>
      </c>
      <c r="E7955" t="str">
        <f>"1-350-11"</f>
        <v>1-350-11</v>
      </c>
      <c r="F7955" t="s">
        <v>83</v>
      </c>
      <c r="G7955" t="s">
        <v>86</v>
      </c>
      <c r="H7955" t="s">
        <v>93</v>
      </c>
      <c r="I7955">
        <v>1</v>
      </c>
      <c r="K7955">
        <v>0</v>
      </c>
      <c r="L7955">
        <v>1</v>
      </c>
      <c r="M7955">
        <v>0</v>
      </c>
      <c r="N7955">
        <v>1</v>
      </c>
      <c r="O7955">
        <v>1</v>
      </c>
      <c r="P7955">
        <v>1</v>
      </c>
      <c r="Q7955">
        <v>1</v>
      </c>
      <c r="R7955">
        <v>1</v>
      </c>
      <c r="U7955">
        <v>1</v>
      </c>
      <c r="V7955">
        <v>0</v>
      </c>
      <c r="W7955">
        <v>1</v>
      </c>
      <c r="X7955">
        <v>1</v>
      </c>
      <c r="Y7955">
        <v>1</v>
      </c>
      <c r="Z7955">
        <v>1</v>
      </c>
      <c r="AA7955">
        <v>1</v>
      </c>
      <c r="AB7955">
        <v>1</v>
      </c>
    </row>
    <row r="7956" spans="1:28" x14ac:dyDescent="0.25">
      <c r="A7956" t="str">
        <f>"7952"</f>
        <v>7952</v>
      </c>
      <c r="B7956" t="str">
        <f t="shared" si="460"/>
        <v>1</v>
      </c>
      <c r="C7956" t="str">
        <f t="shared" si="463"/>
        <v>350</v>
      </c>
      <c r="D7956" t="str">
        <f>"8"</f>
        <v>8</v>
      </c>
      <c r="E7956" t="str">
        <f>"1-350-8"</f>
        <v>1-350-8</v>
      </c>
      <c r="F7956" t="s">
        <v>83</v>
      </c>
      <c r="G7956" t="s">
        <v>86</v>
      </c>
      <c r="H7956" t="s">
        <v>93</v>
      </c>
      <c r="I7956">
        <v>1</v>
      </c>
      <c r="K7956">
        <v>1</v>
      </c>
      <c r="L7956">
        <v>0</v>
      </c>
      <c r="M7956">
        <v>0</v>
      </c>
      <c r="N7956">
        <v>1</v>
      </c>
      <c r="O7956">
        <v>1</v>
      </c>
      <c r="P7956">
        <v>1</v>
      </c>
      <c r="Q7956">
        <v>1</v>
      </c>
      <c r="R7956">
        <v>1</v>
      </c>
      <c r="U7956">
        <v>0</v>
      </c>
      <c r="V7956">
        <v>1</v>
      </c>
      <c r="W7956">
        <v>0</v>
      </c>
      <c r="X7956">
        <v>0</v>
      </c>
      <c r="Y7956">
        <v>0</v>
      </c>
      <c r="Z7956">
        <v>0</v>
      </c>
      <c r="AA7956">
        <v>0</v>
      </c>
      <c r="AB7956">
        <v>0</v>
      </c>
    </row>
    <row r="7957" spans="1:28" x14ac:dyDescent="0.25">
      <c r="A7957" t="str">
        <f>"7953"</f>
        <v>7953</v>
      </c>
      <c r="B7957" t="str">
        <f t="shared" si="460"/>
        <v>1</v>
      </c>
      <c r="C7957" t="str">
        <f t="shared" si="463"/>
        <v>350</v>
      </c>
      <c r="D7957" t="str">
        <f>"3"</f>
        <v>3</v>
      </c>
      <c r="E7957" t="str">
        <f>"1-350-3"</f>
        <v>1-350-3</v>
      </c>
      <c r="F7957" t="s">
        <v>83</v>
      </c>
      <c r="G7957" t="s">
        <v>86</v>
      </c>
      <c r="H7957" t="s">
        <v>93</v>
      </c>
      <c r="I7957">
        <v>0</v>
      </c>
      <c r="K7957">
        <v>1</v>
      </c>
      <c r="L7957">
        <v>0</v>
      </c>
      <c r="M7957">
        <v>0</v>
      </c>
      <c r="N7957">
        <v>1</v>
      </c>
      <c r="O7957">
        <v>1</v>
      </c>
      <c r="P7957">
        <v>0</v>
      </c>
      <c r="Q7957">
        <v>0</v>
      </c>
      <c r="R7957">
        <v>0</v>
      </c>
      <c r="U7957">
        <v>0</v>
      </c>
      <c r="V7957">
        <v>1</v>
      </c>
      <c r="W7957">
        <v>0</v>
      </c>
      <c r="X7957">
        <v>0</v>
      </c>
      <c r="Y7957">
        <v>1</v>
      </c>
      <c r="Z7957">
        <v>0</v>
      </c>
      <c r="AA7957">
        <v>0</v>
      </c>
      <c r="AB7957">
        <v>0</v>
      </c>
    </row>
    <row r="7958" spans="1:28" x14ac:dyDescent="0.25">
      <c r="A7958" t="str">
        <f>"7954"</f>
        <v>7954</v>
      </c>
      <c r="B7958" t="str">
        <f t="shared" si="460"/>
        <v>1</v>
      </c>
      <c r="C7958" t="str">
        <f t="shared" si="463"/>
        <v>350</v>
      </c>
      <c r="D7958" t="str">
        <f>"23"</f>
        <v>23</v>
      </c>
      <c r="E7958" t="str">
        <f>"1-350-23"</f>
        <v>1-350-23</v>
      </c>
      <c r="F7958" t="s">
        <v>83</v>
      </c>
      <c r="G7958" t="s">
        <v>86</v>
      </c>
      <c r="H7958" t="s">
        <v>93</v>
      </c>
      <c r="I7958">
        <v>1</v>
      </c>
      <c r="K7958">
        <v>0</v>
      </c>
      <c r="L7958">
        <v>1</v>
      </c>
      <c r="M7958">
        <v>0</v>
      </c>
      <c r="N7958">
        <v>1</v>
      </c>
      <c r="O7958">
        <v>1</v>
      </c>
      <c r="P7958">
        <v>1</v>
      </c>
      <c r="Q7958">
        <v>1</v>
      </c>
      <c r="R7958">
        <v>1</v>
      </c>
      <c r="U7958">
        <v>0</v>
      </c>
      <c r="V7958">
        <v>1</v>
      </c>
      <c r="W7958">
        <v>1</v>
      </c>
      <c r="X7958">
        <v>1</v>
      </c>
      <c r="Y7958">
        <v>1</v>
      </c>
      <c r="Z7958">
        <v>1</v>
      </c>
      <c r="AA7958">
        <v>1</v>
      </c>
      <c r="AB7958">
        <v>1</v>
      </c>
    </row>
    <row r="7959" spans="1:28" x14ac:dyDescent="0.25">
      <c r="A7959" t="str">
        <f>"7955"</f>
        <v>7955</v>
      </c>
      <c r="B7959" t="str">
        <f t="shared" si="460"/>
        <v>1</v>
      </c>
      <c r="C7959" t="str">
        <f t="shared" si="463"/>
        <v>350</v>
      </c>
      <c r="D7959" t="str">
        <f>"22"</f>
        <v>22</v>
      </c>
      <c r="E7959" t="str">
        <f>"1-350-22"</f>
        <v>1-350-22</v>
      </c>
      <c r="F7959" t="s">
        <v>83</v>
      </c>
      <c r="G7959" t="s">
        <v>86</v>
      </c>
      <c r="H7959" t="s">
        <v>93</v>
      </c>
      <c r="I7959">
        <v>0</v>
      </c>
      <c r="K7959">
        <v>1</v>
      </c>
      <c r="L7959">
        <v>0</v>
      </c>
      <c r="M7959">
        <v>0</v>
      </c>
      <c r="N7959">
        <v>1</v>
      </c>
      <c r="O7959">
        <v>1</v>
      </c>
      <c r="P7959">
        <v>0</v>
      </c>
      <c r="Q7959">
        <v>0</v>
      </c>
      <c r="R7959">
        <v>0</v>
      </c>
      <c r="U7959">
        <v>0</v>
      </c>
      <c r="V7959">
        <v>1</v>
      </c>
      <c r="W7959">
        <v>0</v>
      </c>
      <c r="X7959">
        <v>0</v>
      </c>
      <c r="Y7959">
        <v>1</v>
      </c>
      <c r="Z7959">
        <v>0</v>
      </c>
      <c r="AA7959">
        <v>0</v>
      </c>
      <c r="AB7959">
        <v>0</v>
      </c>
    </row>
    <row r="7960" spans="1:28" x14ac:dyDescent="0.25">
      <c r="A7960" t="str">
        <f>"7956"</f>
        <v>7956</v>
      </c>
      <c r="B7960" t="str">
        <f t="shared" si="460"/>
        <v>1</v>
      </c>
      <c r="C7960" t="str">
        <f t="shared" si="463"/>
        <v>350</v>
      </c>
      <c r="D7960" t="str">
        <f>"14"</f>
        <v>14</v>
      </c>
      <c r="E7960" t="str">
        <f>"1-350-14"</f>
        <v>1-350-14</v>
      </c>
      <c r="F7960" t="s">
        <v>83</v>
      </c>
      <c r="G7960" t="s">
        <v>86</v>
      </c>
      <c r="H7960" t="s">
        <v>93</v>
      </c>
      <c r="I7960">
        <v>1</v>
      </c>
      <c r="K7960">
        <v>0</v>
      </c>
      <c r="L7960">
        <v>0</v>
      </c>
      <c r="M7960">
        <v>1</v>
      </c>
      <c r="N7960">
        <v>1</v>
      </c>
      <c r="O7960">
        <v>1</v>
      </c>
      <c r="P7960">
        <v>1</v>
      </c>
      <c r="Q7960">
        <v>1</v>
      </c>
      <c r="R7960">
        <v>1</v>
      </c>
      <c r="U7960">
        <v>1</v>
      </c>
      <c r="V7960">
        <v>0</v>
      </c>
      <c r="W7960">
        <v>1</v>
      </c>
      <c r="X7960">
        <v>1</v>
      </c>
      <c r="Y7960">
        <v>1</v>
      </c>
      <c r="Z7960">
        <v>1</v>
      </c>
      <c r="AA7960">
        <v>1</v>
      </c>
      <c r="AB7960">
        <v>1</v>
      </c>
    </row>
    <row r="7961" spans="1:28" x14ac:dyDescent="0.25">
      <c r="A7961" t="str">
        <f>"7957"</f>
        <v>7957</v>
      </c>
      <c r="B7961" t="str">
        <f t="shared" si="460"/>
        <v>1</v>
      </c>
      <c r="C7961" t="str">
        <f t="shared" si="463"/>
        <v>350</v>
      </c>
      <c r="D7961" t="str">
        <f>"9"</f>
        <v>9</v>
      </c>
      <c r="E7961" t="str">
        <f>"1-350-9"</f>
        <v>1-350-9</v>
      </c>
      <c r="F7961" t="s">
        <v>83</v>
      </c>
      <c r="G7961" t="s">
        <v>86</v>
      </c>
      <c r="H7961" t="s">
        <v>93</v>
      </c>
      <c r="I7961">
        <v>1</v>
      </c>
      <c r="K7961">
        <v>0</v>
      </c>
      <c r="L7961">
        <v>0</v>
      </c>
      <c r="M7961">
        <v>1</v>
      </c>
      <c r="N7961">
        <v>1</v>
      </c>
      <c r="O7961">
        <v>1</v>
      </c>
      <c r="P7961">
        <v>1</v>
      </c>
      <c r="Q7961">
        <v>1</v>
      </c>
      <c r="R7961">
        <v>1</v>
      </c>
      <c r="U7961">
        <v>0</v>
      </c>
      <c r="V7961">
        <v>1</v>
      </c>
      <c r="W7961">
        <v>1</v>
      </c>
      <c r="X7961">
        <v>1</v>
      </c>
      <c r="Y7961">
        <v>1</v>
      </c>
      <c r="Z7961">
        <v>1</v>
      </c>
      <c r="AA7961">
        <v>1</v>
      </c>
      <c r="AB7961">
        <v>1</v>
      </c>
    </row>
    <row r="7962" spans="1:28" x14ac:dyDescent="0.25">
      <c r="A7962" t="str">
        <f>"7958"</f>
        <v>7958</v>
      </c>
      <c r="B7962" t="str">
        <f t="shared" si="460"/>
        <v>1</v>
      </c>
      <c r="C7962" t="str">
        <f t="shared" si="463"/>
        <v>350</v>
      </c>
      <c r="D7962" t="str">
        <f>"4"</f>
        <v>4</v>
      </c>
      <c r="E7962" t="str">
        <f>"1-350-4"</f>
        <v>1-350-4</v>
      </c>
      <c r="F7962" t="s">
        <v>83</v>
      </c>
      <c r="G7962" t="s">
        <v>86</v>
      </c>
      <c r="H7962" t="s">
        <v>93</v>
      </c>
      <c r="I7962">
        <v>1</v>
      </c>
      <c r="K7962">
        <v>0</v>
      </c>
      <c r="L7962">
        <v>0</v>
      </c>
      <c r="M7962">
        <v>1</v>
      </c>
      <c r="N7962">
        <v>1</v>
      </c>
      <c r="O7962">
        <v>1</v>
      </c>
      <c r="P7962">
        <v>1</v>
      </c>
      <c r="Q7962">
        <v>1</v>
      </c>
      <c r="R7962">
        <v>1</v>
      </c>
      <c r="U7962">
        <v>0</v>
      </c>
      <c r="V7962">
        <v>1</v>
      </c>
      <c r="W7962">
        <v>1</v>
      </c>
      <c r="X7962">
        <v>1</v>
      </c>
      <c r="Y7962">
        <v>1</v>
      </c>
      <c r="Z7962">
        <v>1</v>
      </c>
      <c r="AA7962">
        <v>1</v>
      </c>
      <c r="AB7962">
        <v>1</v>
      </c>
    </row>
    <row r="7963" spans="1:28" x14ac:dyDescent="0.25">
      <c r="A7963" t="str">
        <f>"7959"</f>
        <v>7959</v>
      </c>
      <c r="B7963" t="str">
        <f t="shared" si="460"/>
        <v>1</v>
      </c>
      <c r="C7963" t="str">
        <f t="shared" si="463"/>
        <v>350</v>
      </c>
      <c r="D7963" t="str">
        <f>"24"</f>
        <v>24</v>
      </c>
      <c r="E7963" t="str">
        <f>"1-350-24"</f>
        <v>1-350-24</v>
      </c>
      <c r="F7963" t="s">
        <v>83</v>
      </c>
      <c r="G7963" t="s">
        <v>86</v>
      </c>
      <c r="H7963" t="s">
        <v>93</v>
      </c>
      <c r="I7963">
        <v>1</v>
      </c>
      <c r="K7963">
        <v>0</v>
      </c>
      <c r="L7963">
        <v>0</v>
      </c>
      <c r="M7963">
        <v>1</v>
      </c>
      <c r="N7963">
        <v>1</v>
      </c>
      <c r="O7963">
        <v>1</v>
      </c>
      <c r="P7963">
        <v>1</v>
      </c>
      <c r="Q7963">
        <v>1</v>
      </c>
      <c r="R7963">
        <v>1</v>
      </c>
      <c r="U7963">
        <v>1</v>
      </c>
      <c r="V7963">
        <v>0</v>
      </c>
      <c r="W7963">
        <v>1</v>
      </c>
      <c r="X7963">
        <v>1</v>
      </c>
      <c r="Y7963">
        <v>1</v>
      </c>
      <c r="Z7963">
        <v>1</v>
      </c>
      <c r="AA7963">
        <v>1</v>
      </c>
      <c r="AB7963">
        <v>1</v>
      </c>
    </row>
    <row r="7964" spans="1:28" x14ac:dyDescent="0.25">
      <c r="A7964" t="str">
        <f>"7960"</f>
        <v>7960</v>
      </c>
      <c r="B7964" t="str">
        <f t="shared" si="460"/>
        <v>1</v>
      </c>
      <c r="C7964" t="str">
        <f t="shared" si="463"/>
        <v>350</v>
      </c>
      <c r="D7964" t="str">
        <f>"18"</f>
        <v>18</v>
      </c>
      <c r="E7964" t="str">
        <f>"1-350-18"</f>
        <v>1-350-18</v>
      </c>
      <c r="F7964" t="s">
        <v>83</v>
      </c>
      <c r="G7964" t="s">
        <v>86</v>
      </c>
      <c r="H7964" t="s">
        <v>93</v>
      </c>
      <c r="I7964">
        <v>0</v>
      </c>
      <c r="K7964">
        <v>0</v>
      </c>
      <c r="L7964">
        <v>1</v>
      </c>
      <c r="M7964">
        <v>0</v>
      </c>
      <c r="N7964">
        <v>0</v>
      </c>
      <c r="O7964">
        <v>0</v>
      </c>
      <c r="P7964">
        <v>0</v>
      </c>
      <c r="Q7964">
        <v>0</v>
      </c>
      <c r="R7964">
        <v>0</v>
      </c>
      <c r="U7964">
        <v>1</v>
      </c>
      <c r="V7964">
        <v>0</v>
      </c>
      <c r="W7964">
        <v>0</v>
      </c>
      <c r="X7964">
        <v>0</v>
      </c>
      <c r="Y7964">
        <v>0</v>
      </c>
      <c r="Z7964">
        <v>0</v>
      </c>
      <c r="AA7964">
        <v>0</v>
      </c>
      <c r="AB7964">
        <v>0</v>
      </c>
    </row>
    <row r="7965" spans="1:28" x14ac:dyDescent="0.25">
      <c r="A7965" t="str">
        <f>"7961"</f>
        <v>7961</v>
      </c>
      <c r="B7965" t="str">
        <f t="shared" si="460"/>
        <v>1</v>
      </c>
      <c r="C7965" t="str">
        <f t="shared" si="463"/>
        <v>350</v>
      </c>
      <c r="D7965" t="str">
        <f>"10"</f>
        <v>10</v>
      </c>
      <c r="E7965" t="str">
        <f>"1-350-10"</f>
        <v>1-350-10</v>
      </c>
      <c r="F7965" t="s">
        <v>83</v>
      </c>
      <c r="G7965" t="s">
        <v>86</v>
      </c>
      <c r="H7965" t="s">
        <v>93</v>
      </c>
      <c r="I7965">
        <v>0</v>
      </c>
      <c r="K7965">
        <v>0</v>
      </c>
      <c r="L7965">
        <v>0</v>
      </c>
      <c r="M7965">
        <v>1</v>
      </c>
      <c r="N7965">
        <v>0</v>
      </c>
      <c r="O7965">
        <v>0</v>
      </c>
      <c r="P7965">
        <v>0</v>
      </c>
      <c r="Q7965">
        <v>0</v>
      </c>
      <c r="R7965">
        <v>0</v>
      </c>
      <c r="U7965">
        <v>0</v>
      </c>
      <c r="V7965">
        <v>1</v>
      </c>
      <c r="W7965">
        <v>0</v>
      </c>
      <c r="X7965">
        <v>0</v>
      </c>
      <c r="Y7965">
        <v>0</v>
      </c>
      <c r="Z7965">
        <v>0</v>
      </c>
      <c r="AA7965">
        <v>0</v>
      </c>
      <c r="AB7965">
        <v>1</v>
      </c>
    </row>
    <row r="7966" spans="1:28" x14ac:dyDescent="0.25">
      <c r="A7966" t="str">
        <f>"7962"</f>
        <v>7962</v>
      </c>
      <c r="B7966" t="str">
        <f t="shared" ref="B7966:B8029" si="464">"1"</f>
        <v>1</v>
      </c>
      <c r="C7966" t="str">
        <f t="shared" si="463"/>
        <v>350</v>
      </c>
      <c r="D7966" t="str">
        <f>"7"</f>
        <v>7</v>
      </c>
      <c r="E7966" t="str">
        <f>"1-350-7"</f>
        <v>1-350-7</v>
      </c>
      <c r="F7966" t="s">
        <v>83</v>
      </c>
      <c r="G7966" t="s">
        <v>86</v>
      </c>
      <c r="H7966" t="s">
        <v>93</v>
      </c>
      <c r="I7966">
        <v>1</v>
      </c>
      <c r="K7966">
        <v>1</v>
      </c>
      <c r="L7966">
        <v>0</v>
      </c>
      <c r="M7966">
        <v>0</v>
      </c>
      <c r="N7966">
        <v>1</v>
      </c>
      <c r="O7966">
        <v>1</v>
      </c>
      <c r="P7966">
        <v>1</v>
      </c>
      <c r="Q7966">
        <v>1</v>
      </c>
      <c r="R7966">
        <v>1</v>
      </c>
      <c r="U7966">
        <v>0</v>
      </c>
      <c r="V7966">
        <v>1</v>
      </c>
      <c r="W7966">
        <v>1</v>
      </c>
      <c r="X7966">
        <v>1</v>
      </c>
      <c r="Y7966">
        <v>1</v>
      </c>
      <c r="Z7966">
        <v>1</v>
      </c>
      <c r="AA7966">
        <v>1</v>
      </c>
      <c r="AB7966">
        <v>1</v>
      </c>
    </row>
    <row r="7967" spans="1:28" x14ac:dyDescent="0.25">
      <c r="A7967" t="str">
        <f>"7963"</f>
        <v>7963</v>
      </c>
      <c r="B7967" t="str">
        <f t="shared" si="464"/>
        <v>1</v>
      </c>
      <c r="C7967" t="str">
        <f t="shared" si="463"/>
        <v>350</v>
      </c>
      <c r="D7967" t="str">
        <f>"15"</f>
        <v>15</v>
      </c>
      <c r="E7967" t="str">
        <f>"1-350-15"</f>
        <v>1-350-15</v>
      </c>
      <c r="F7967" t="s">
        <v>83</v>
      </c>
      <c r="G7967" t="s">
        <v>86</v>
      </c>
      <c r="H7967" t="s">
        <v>93</v>
      </c>
      <c r="I7967">
        <v>0</v>
      </c>
      <c r="K7967">
        <v>0</v>
      </c>
      <c r="L7967">
        <v>0</v>
      </c>
      <c r="M7967">
        <v>1</v>
      </c>
      <c r="N7967">
        <v>0</v>
      </c>
      <c r="O7967">
        <v>0</v>
      </c>
      <c r="P7967">
        <v>0</v>
      </c>
      <c r="Q7967">
        <v>0</v>
      </c>
      <c r="R7967">
        <v>0</v>
      </c>
      <c r="U7967">
        <v>1</v>
      </c>
      <c r="V7967">
        <v>0</v>
      </c>
      <c r="W7967">
        <v>0</v>
      </c>
      <c r="X7967">
        <v>0</v>
      </c>
      <c r="Y7967">
        <v>0</v>
      </c>
      <c r="Z7967">
        <v>0</v>
      </c>
      <c r="AA7967">
        <v>0</v>
      </c>
      <c r="AB7967">
        <v>0</v>
      </c>
    </row>
    <row r="7968" spans="1:28" x14ac:dyDescent="0.25">
      <c r="A7968" t="str">
        <f>"7964"</f>
        <v>7964</v>
      </c>
      <c r="B7968" t="str">
        <f t="shared" si="464"/>
        <v>1</v>
      </c>
      <c r="C7968" t="str">
        <f t="shared" si="463"/>
        <v>350</v>
      </c>
      <c r="D7968" t="str">
        <f>"1"</f>
        <v>1</v>
      </c>
      <c r="E7968" t="str">
        <f>"1-350-1"</f>
        <v>1-350-1</v>
      </c>
      <c r="F7968" t="s">
        <v>83</v>
      </c>
      <c r="G7968" t="s">
        <v>86</v>
      </c>
      <c r="H7968" t="s">
        <v>93</v>
      </c>
      <c r="I7968">
        <v>1</v>
      </c>
      <c r="K7968">
        <v>0</v>
      </c>
      <c r="L7968">
        <v>0</v>
      </c>
      <c r="M7968">
        <v>1</v>
      </c>
      <c r="N7968">
        <v>1</v>
      </c>
      <c r="O7968">
        <v>1</v>
      </c>
      <c r="P7968">
        <v>1</v>
      </c>
      <c r="Q7968">
        <v>1</v>
      </c>
      <c r="R7968">
        <v>1</v>
      </c>
      <c r="U7968">
        <v>1</v>
      </c>
      <c r="V7968">
        <v>0</v>
      </c>
      <c r="W7968">
        <v>1</v>
      </c>
      <c r="X7968">
        <v>1</v>
      </c>
      <c r="Y7968">
        <v>1</v>
      </c>
      <c r="Z7968">
        <v>1</v>
      </c>
      <c r="AA7968">
        <v>1</v>
      </c>
      <c r="AB7968">
        <v>1</v>
      </c>
    </row>
    <row r="7969" spans="1:28" x14ac:dyDescent="0.25">
      <c r="A7969" t="str">
        <f>"7965"</f>
        <v>7965</v>
      </c>
      <c r="B7969" t="str">
        <f t="shared" si="464"/>
        <v>1</v>
      </c>
      <c r="C7969" t="str">
        <f t="shared" si="463"/>
        <v>350</v>
      </c>
      <c r="D7969" t="str">
        <f>"16"</f>
        <v>16</v>
      </c>
      <c r="E7969" t="str">
        <f>"1-350-16"</f>
        <v>1-350-16</v>
      </c>
      <c r="F7969" t="s">
        <v>83</v>
      </c>
      <c r="G7969" t="s">
        <v>86</v>
      </c>
      <c r="H7969" t="s">
        <v>93</v>
      </c>
      <c r="I7969">
        <v>1</v>
      </c>
      <c r="K7969">
        <v>1</v>
      </c>
      <c r="L7969">
        <v>0</v>
      </c>
      <c r="M7969">
        <v>0</v>
      </c>
      <c r="N7969">
        <v>1</v>
      </c>
      <c r="O7969">
        <v>1</v>
      </c>
      <c r="P7969">
        <v>1</v>
      </c>
      <c r="Q7969">
        <v>1</v>
      </c>
      <c r="R7969">
        <v>1</v>
      </c>
      <c r="U7969">
        <v>0</v>
      </c>
      <c r="V7969">
        <v>1</v>
      </c>
      <c r="W7969">
        <v>1</v>
      </c>
      <c r="X7969">
        <v>1</v>
      </c>
      <c r="Y7969">
        <v>1</v>
      </c>
      <c r="Z7969">
        <v>1</v>
      </c>
      <c r="AA7969">
        <v>1</v>
      </c>
      <c r="AB7969">
        <v>1</v>
      </c>
    </row>
    <row r="7970" spans="1:28" x14ac:dyDescent="0.25">
      <c r="A7970" t="str">
        <f>"7966"</f>
        <v>7966</v>
      </c>
      <c r="B7970" t="str">
        <f t="shared" si="464"/>
        <v>1</v>
      </c>
      <c r="C7970" t="str">
        <f t="shared" si="463"/>
        <v>350</v>
      </c>
      <c r="D7970" t="str">
        <f>"2"</f>
        <v>2</v>
      </c>
      <c r="E7970" t="str">
        <f>"1-350-2"</f>
        <v>1-350-2</v>
      </c>
      <c r="F7970" t="s">
        <v>83</v>
      </c>
      <c r="G7970" t="s">
        <v>86</v>
      </c>
      <c r="H7970" t="s">
        <v>93</v>
      </c>
      <c r="I7970">
        <v>1</v>
      </c>
      <c r="K7970">
        <v>0</v>
      </c>
      <c r="L7970">
        <v>0</v>
      </c>
      <c r="M7970">
        <v>1</v>
      </c>
      <c r="N7970">
        <v>1</v>
      </c>
      <c r="O7970">
        <v>1</v>
      </c>
      <c r="P7970">
        <v>1</v>
      </c>
      <c r="Q7970">
        <v>1</v>
      </c>
      <c r="R7970">
        <v>1</v>
      </c>
      <c r="U7970">
        <v>1</v>
      </c>
      <c r="V7970">
        <v>0</v>
      </c>
      <c r="W7970">
        <v>1</v>
      </c>
      <c r="X7970">
        <v>1</v>
      </c>
      <c r="Y7970">
        <v>1</v>
      </c>
      <c r="Z7970">
        <v>1</v>
      </c>
      <c r="AA7970">
        <v>1</v>
      </c>
      <c r="AB7970">
        <v>1</v>
      </c>
    </row>
    <row r="7971" spans="1:28" x14ac:dyDescent="0.25">
      <c r="A7971" t="str">
        <f>"7967"</f>
        <v>7967</v>
      </c>
      <c r="B7971" t="str">
        <f t="shared" si="464"/>
        <v>1</v>
      </c>
      <c r="C7971" t="str">
        <f t="shared" si="463"/>
        <v>350</v>
      </c>
      <c r="D7971" t="str">
        <f>"17"</f>
        <v>17</v>
      </c>
      <c r="E7971" t="str">
        <f>"1-350-17"</f>
        <v>1-350-17</v>
      </c>
      <c r="F7971" t="s">
        <v>83</v>
      </c>
      <c r="G7971" t="s">
        <v>86</v>
      </c>
      <c r="H7971" t="s">
        <v>93</v>
      </c>
      <c r="I7971">
        <v>1</v>
      </c>
      <c r="K7971">
        <v>0</v>
      </c>
      <c r="L7971">
        <v>0</v>
      </c>
      <c r="M7971">
        <v>1</v>
      </c>
      <c r="N7971">
        <v>1</v>
      </c>
      <c r="O7971">
        <v>1</v>
      </c>
      <c r="P7971">
        <v>1</v>
      </c>
      <c r="Q7971">
        <v>1</v>
      </c>
      <c r="R7971">
        <v>1</v>
      </c>
      <c r="U7971">
        <v>0</v>
      </c>
      <c r="V7971">
        <v>1</v>
      </c>
      <c r="W7971">
        <v>1</v>
      </c>
      <c r="X7971">
        <v>1</v>
      </c>
      <c r="Y7971">
        <v>1</v>
      </c>
      <c r="Z7971">
        <v>1</v>
      </c>
      <c r="AA7971">
        <v>1</v>
      </c>
      <c r="AB7971">
        <v>1</v>
      </c>
    </row>
    <row r="7972" spans="1:28" x14ac:dyDescent="0.25">
      <c r="A7972" t="str">
        <f>"7968"</f>
        <v>7968</v>
      </c>
      <c r="B7972" t="str">
        <f t="shared" si="464"/>
        <v>1</v>
      </c>
      <c r="C7972" t="str">
        <f t="shared" si="463"/>
        <v>350</v>
      </c>
      <c r="D7972" t="str">
        <f>"6"</f>
        <v>6</v>
      </c>
      <c r="E7972" t="str">
        <f>"1-350-6"</f>
        <v>1-350-6</v>
      </c>
      <c r="F7972" t="s">
        <v>83</v>
      </c>
      <c r="G7972" t="s">
        <v>86</v>
      </c>
      <c r="H7972" t="s">
        <v>93</v>
      </c>
      <c r="I7972">
        <v>1</v>
      </c>
      <c r="K7972">
        <v>0</v>
      </c>
      <c r="L7972">
        <v>0</v>
      </c>
      <c r="M7972">
        <v>1</v>
      </c>
      <c r="N7972">
        <v>1</v>
      </c>
      <c r="O7972">
        <v>1</v>
      </c>
      <c r="P7972">
        <v>1</v>
      </c>
      <c r="Q7972">
        <v>1</v>
      </c>
      <c r="R7972">
        <v>1</v>
      </c>
      <c r="U7972">
        <v>1</v>
      </c>
      <c r="V7972">
        <v>0</v>
      </c>
      <c r="W7972">
        <v>1</v>
      </c>
      <c r="X7972">
        <v>1</v>
      </c>
      <c r="Y7972">
        <v>1</v>
      </c>
      <c r="Z7972">
        <v>1</v>
      </c>
      <c r="AA7972">
        <v>1</v>
      </c>
      <c r="AB7972">
        <v>1</v>
      </c>
    </row>
    <row r="7973" spans="1:28" x14ac:dyDescent="0.25">
      <c r="A7973" t="str">
        <f>"7969"</f>
        <v>7969</v>
      </c>
      <c r="B7973" t="str">
        <f t="shared" si="464"/>
        <v>1</v>
      </c>
      <c r="C7973" t="str">
        <f t="shared" si="463"/>
        <v>350</v>
      </c>
      <c r="D7973" t="str">
        <f>"19"</f>
        <v>19</v>
      </c>
      <c r="E7973" t="str">
        <f>"1-350-19"</f>
        <v>1-350-19</v>
      </c>
      <c r="F7973" t="s">
        <v>83</v>
      </c>
      <c r="G7973" t="s">
        <v>86</v>
      </c>
      <c r="H7973" t="s">
        <v>93</v>
      </c>
      <c r="I7973">
        <v>1</v>
      </c>
      <c r="K7973">
        <v>0</v>
      </c>
      <c r="L7973">
        <v>0</v>
      </c>
      <c r="M7973">
        <v>1</v>
      </c>
      <c r="N7973">
        <v>1</v>
      </c>
      <c r="O7973">
        <v>1</v>
      </c>
      <c r="P7973">
        <v>1</v>
      </c>
      <c r="Q7973">
        <v>1</v>
      </c>
      <c r="R7973">
        <v>1</v>
      </c>
      <c r="U7973">
        <v>1</v>
      </c>
      <c r="V7973">
        <v>0</v>
      </c>
      <c r="W7973">
        <v>1</v>
      </c>
      <c r="X7973">
        <v>1</v>
      </c>
      <c r="Y7973">
        <v>1</v>
      </c>
      <c r="Z7973">
        <v>1</v>
      </c>
      <c r="AA7973">
        <v>1</v>
      </c>
      <c r="AB7973">
        <v>1</v>
      </c>
    </row>
    <row r="7974" spans="1:28" x14ac:dyDescent="0.25">
      <c r="A7974" t="str">
        <f>"7970"</f>
        <v>7970</v>
      </c>
      <c r="B7974" t="str">
        <f t="shared" si="464"/>
        <v>1</v>
      </c>
      <c r="C7974" t="str">
        <f t="shared" si="463"/>
        <v>350</v>
      </c>
      <c r="D7974" t="str">
        <f>"5"</f>
        <v>5</v>
      </c>
      <c r="E7974" t="str">
        <f>"1-350-5"</f>
        <v>1-350-5</v>
      </c>
      <c r="F7974" t="s">
        <v>83</v>
      </c>
      <c r="G7974" t="s">
        <v>86</v>
      </c>
      <c r="H7974" t="s">
        <v>93</v>
      </c>
      <c r="I7974">
        <v>1</v>
      </c>
      <c r="K7974">
        <v>0</v>
      </c>
      <c r="L7974">
        <v>0</v>
      </c>
      <c r="M7974">
        <v>1</v>
      </c>
      <c r="N7974">
        <v>1</v>
      </c>
      <c r="O7974">
        <v>1</v>
      </c>
      <c r="P7974">
        <v>1</v>
      </c>
      <c r="Q7974">
        <v>1</v>
      </c>
      <c r="R7974">
        <v>1</v>
      </c>
      <c r="U7974">
        <v>1</v>
      </c>
      <c r="V7974">
        <v>0</v>
      </c>
      <c r="W7974">
        <v>1</v>
      </c>
      <c r="X7974">
        <v>1</v>
      </c>
      <c r="Y7974">
        <v>1</v>
      </c>
      <c r="Z7974">
        <v>1</v>
      </c>
      <c r="AA7974">
        <v>1</v>
      </c>
      <c r="AB7974">
        <v>1</v>
      </c>
    </row>
    <row r="7975" spans="1:28" x14ac:dyDescent="0.25">
      <c r="A7975" t="str">
        <f>"7971"</f>
        <v>7971</v>
      </c>
      <c r="B7975" t="str">
        <f t="shared" si="464"/>
        <v>1</v>
      </c>
      <c r="C7975" t="str">
        <f t="shared" ref="C7975:C7999" si="465">"351"</f>
        <v>351</v>
      </c>
      <c r="D7975" t="str">
        <f>"23"</f>
        <v>23</v>
      </c>
      <c r="E7975" t="str">
        <f>"1-351-23"</f>
        <v>1-351-23</v>
      </c>
      <c r="F7975" t="s">
        <v>83</v>
      </c>
      <c r="G7975" t="s">
        <v>86</v>
      </c>
      <c r="H7975" t="s">
        <v>93</v>
      </c>
      <c r="I7975">
        <v>1</v>
      </c>
      <c r="K7975">
        <v>1</v>
      </c>
      <c r="L7975">
        <v>0</v>
      </c>
      <c r="M7975">
        <v>0</v>
      </c>
      <c r="N7975">
        <v>1</v>
      </c>
      <c r="O7975">
        <v>1</v>
      </c>
      <c r="P7975">
        <v>1</v>
      </c>
      <c r="Q7975">
        <v>1</v>
      </c>
      <c r="R7975">
        <v>1</v>
      </c>
      <c r="U7975">
        <v>0</v>
      </c>
      <c r="V7975">
        <v>1</v>
      </c>
      <c r="W7975">
        <v>1</v>
      </c>
      <c r="X7975">
        <v>1</v>
      </c>
      <c r="Y7975">
        <v>1</v>
      </c>
      <c r="Z7975">
        <v>1</v>
      </c>
      <c r="AA7975">
        <v>1</v>
      </c>
      <c r="AB7975">
        <v>1</v>
      </c>
    </row>
    <row r="7976" spans="1:28" x14ac:dyDescent="0.25">
      <c r="A7976" t="str">
        <f>"7972"</f>
        <v>7972</v>
      </c>
      <c r="B7976" t="str">
        <f t="shared" si="464"/>
        <v>1</v>
      </c>
      <c r="C7976" t="str">
        <f t="shared" si="465"/>
        <v>351</v>
      </c>
      <c r="D7976" t="str">
        <f>"22"</f>
        <v>22</v>
      </c>
      <c r="E7976" t="str">
        <f>"1-351-22"</f>
        <v>1-351-22</v>
      </c>
      <c r="F7976" t="s">
        <v>83</v>
      </c>
      <c r="G7976" t="s">
        <v>86</v>
      </c>
      <c r="H7976" t="s">
        <v>93</v>
      </c>
      <c r="I7976">
        <v>1</v>
      </c>
      <c r="K7976">
        <v>1</v>
      </c>
      <c r="L7976">
        <v>0</v>
      </c>
      <c r="M7976">
        <v>0</v>
      </c>
      <c r="N7976">
        <v>1</v>
      </c>
      <c r="O7976">
        <v>1</v>
      </c>
      <c r="P7976">
        <v>1</v>
      </c>
      <c r="Q7976">
        <v>1</v>
      </c>
      <c r="R7976">
        <v>1</v>
      </c>
      <c r="U7976">
        <v>0</v>
      </c>
      <c r="V7976">
        <v>1</v>
      </c>
      <c r="W7976">
        <v>1</v>
      </c>
      <c r="X7976">
        <v>1</v>
      </c>
      <c r="Y7976">
        <v>1</v>
      </c>
      <c r="Z7976">
        <v>1</v>
      </c>
      <c r="AA7976">
        <v>1</v>
      </c>
      <c r="AB7976">
        <v>1</v>
      </c>
    </row>
    <row r="7977" spans="1:28" x14ac:dyDescent="0.25">
      <c r="A7977" t="str">
        <f>"7973"</f>
        <v>7973</v>
      </c>
      <c r="B7977" t="str">
        <f t="shared" si="464"/>
        <v>1</v>
      </c>
      <c r="C7977" t="str">
        <f t="shared" si="465"/>
        <v>351</v>
      </c>
      <c r="D7977" t="str">
        <f>"17"</f>
        <v>17</v>
      </c>
      <c r="E7977" t="str">
        <f>"1-351-17"</f>
        <v>1-351-17</v>
      </c>
      <c r="F7977" t="s">
        <v>83</v>
      </c>
      <c r="G7977" t="s">
        <v>86</v>
      </c>
      <c r="H7977" t="s">
        <v>93</v>
      </c>
      <c r="I7977">
        <v>1</v>
      </c>
      <c r="K7977">
        <v>1</v>
      </c>
      <c r="L7977">
        <v>0</v>
      </c>
      <c r="M7977">
        <v>0</v>
      </c>
      <c r="N7977">
        <v>1</v>
      </c>
      <c r="O7977">
        <v>1</v>
      </c>
      <c r="P7977">
        <v>1</v>
      </c>
      <c r="Q7977">
        <v>1</v>
      </c>
      <c r="R7977">
        <v>1</v>
      </c>
      <c r="U7977">
        <v>0</v>
      </c>
      <c r="V7977">
        <v>1</v>
      </c>
      <c r="W7977">
        <v>1</v>
      </c>
      <c r="X7977">
        <v>1</v>
      </c>
      <c r="Y7977">
        <v>1</v>
      </c>
      <c r="Z7977">
        <v>1</v>
      </c>
      <c r="AA7977">
        <v>1</v>
      </c>
      <c r="AB7977">
        <v>1</v>
      </c>
    </row>
    <row r="7978" spans="1:28" x14ac:dyDescent="0.25">
      <c r="A7978" t="str">
        <f>"7974"</f>
        <v>7974</v>
      </c>
      <c r="B7978" t="str">
        <f t="shared" si="464"/>
        <v>1</v>
      </c>
      <c r="C7978" t="str">
        <f t="shared" si="465"/>
        <v>351</v>
      </c>
      <c r="D7978" t="str">
        <f>"8"</f>
        <v>8</v>
      </c>
      <c r="E7978" t="str">
        <f>"1-351-8"</f>
        <v>1-351-8</v>
      </c>
      <c r="F7978" t="s">
        <v>83</v>
      </c>
      <c r="G7978" t="s">
        <v>84</v>
      </c>
      <c r="H7978" t="s">
        <v>92</v>
      </c>
      <c r="I7978">
        <v>1</v>
      </c>
      <c r="J7978">
        <v>0</v>
      </c>
      <c r="N7978">
        <v>1</v>
      </c>
      <c r="O7978">
        <v>0</v>
      </c>
      <c r="P7978">
        <v>0</v>
      </c>
      <c r="Q7978">
        <v>0</v>
      </c>
      <c r="R7978">
        <v>0</v>
      </c>
      <c r="S7978">
        <v>1</v>
      </c>
      <c r="T7978">
        <v>0</v>
      </c>
      <c r="W7978">
        <v>1</v>
      </c>
      <c r="X7978">
        <v>0</v>
      </c>
      <c r="Y7978">
        <v>0</v>
      </c>
      <c r="Z7978">
        <v>0</v>
      </c>
      <c r="AA7978">
        <v>0</v>
      </c>
      <c r="AB7978">
        <v>0</v>
      </c>
    </row>
    <row r="7979" spans="1:28" x14ac:dyDescent="0.25">
      <c r="A7979" t="str">
        <f>"7975"</f>
        <v>7975</v>
      </c>
      <c r="B7979" t="str">
        <f t="shared" si="464"/>
        <v>1</v>
      </c>
      <c r="C7979" t="str">
        <f t="shared" si="465"/>
        <v>351</v>
      </c>
      <c r="D7979" t="str">
        <f>"7"</f>
        <v>7</v>
      </c>
      <c r="E7979" t="str">
        <f>"1-351-7"</f>
        <v>1-351-7</v>
      </c>
      <c r="F7979" t="s">
        <v>83</v>
      </c>
      <c r="G7979" t="s">
        <v>84</v>
      </c>
      <c r="H7979" t="s">
        <v>92</v>
      </c>
      <c r="I7979">
        <v>1</v>
      </c>
      <c r="J7979">
        <v>1</v>
      </c>
      <c r="N7979">
        <v>1</v>
      </c>
      <c r="O7979">
        <v>1</v>
      </c>
      <c r="P7979">
        <v>1</v>
      </c>
      <c r="Q7979">
        <v>1</v>
      </c>
      <c r="R7979">
        <v>1</v>
      </c>
      <c r="S7979">
        <v>1</v>
      </c>
      <c r="T7979">
        <v>1</v>
      </c>
      <c r="W7979">
        <v>1</v>
      </c>
      <c r="X7979">
        <v>1</v>
      </c>
      <c r="Y7979">
        <v>1</v>
      </c>
      <c r="Z7979">
        <v>1</v>
      </c>
      <c r="AA7979">
        <v>1</v>
      </c>
      <c r="AB7979">
        <v>1</v>
      </c>
    </row>
    <row r="7980" spans="1:28" x14ac:dyDescent="0.25">
      <c r="A7980" t="str">
        <f>"7976"</f>
        <v>7976</v>
      </c>
      <c r="B7980" t="str">
        <f t="shared" si="464"/>
        <v>1</v>
      </c>
      <c r="C7980" t="str">
        <f t="shared" si="465"/>
        <v>351</v>
      </c>
      <c r="D7980" t="str">
        <f>"21"</f>
        <v>21</v>
      </c>
      <c r="E7980" t="str">
        <f>"1-351-21"</f>
        <v>1-351-21</v>
      </c>
      <c r="F7980" t="s">
        <v>83</v>
      </c>
      <c r="G7980" t="s">
        <v>86</v>
      </c>
      <c r="H7980" t="s">
        <v>93</v>
      </c>
      <c r="I7980">
        <v>1</v>
      </c>
      <c r="K7980">
        <v>0</v>
      </c>
      <c r="L7980">
        <v>0</v>
      </c>
      <c r="M7980">
        <v>1</v>
      </c>
      <c r="N7980">
        <v>1</v>
      </c>
      <c r="O7980">
        <v>1</v>
      </c>
      <c r="P7980">
        <v>1</v>
      </c>
      <c r="Q7980">
        <v>1</v>
      </c>
      <c r="R7980">
        <v>1</v>
      </c>
      <c r="U7980">
        <v>1</v>
      </c>
      <c r="V7980">
        <v>0</v>
      </c>
      <c r="W7980">
        <v>1</v>
      </c>
      <c r="X7980">
        <v>1</v>
      </c>
      <c r="Y7980">
        <v>1</v>
      </c>
      <c r="Z7980">
        <v>1</v>
      </c>
      <c r="AA7980">
        <v>1</v>
      </c>
      <c r="AB7980">
        <v>1</v>
      </c>
    </row>
    <row r="7981" spans="1:28" x14ac:dyDescent="0.25">
      <c r="A7981" t="str">
        <f>"7977"</f>
        <v>7977</v>
      </c>
      <c r="B7981" t="str">
        <f t="shared" si="464"/>
        <v>1</v>
      </c>
      <c r="C7981" t="str">
        <f t="shared" si="465"/>
        <v>351</v>
      </c>
      <c r="D7981" t="str">
        <f>"20"</f>
        <v>20</v>
      </c>
      <c r="E7981" t="str">
        <f>"1-351-20"</f>
        <v>1-351-20</v>
      </c>
      <c r="F7981" t="s">
        <v>83</v>
      </c>
      <c r="G7981" t="s">
        <v>86</v>
      </c>
      <c r="H7981" t="s">
        <v>93</v>
      </c>
      <c r="I7981">
        <v>1</v>
      </c>
      <c r="K7981">
        <v>0</v>
      </c>
      <c r="L7981">
        <v>0</v>
      </c>
      <c r="M7981">
        <v>1</v>
      </c>
      <c r="N7981">
        <v>1</v>
      </c>
      <c r="O7981">
        <v>1</v>
      </c>
      <c r="P7981">
        <v>1</v>
      </c>
      <c r="Q7981">
        <v>1</v>
      </c>
      <c r="R7981">
        <v>1</v>
      </c>
      <c r="U7981">
        <v>1</v>
      </c>
      <c r="V7981">
        <v>0</v>
      </c>
      <c r="W7981">
        <v>1</v>
      </c>
      <c r="X7981">
        <v>1</v>
      </c>
      <c r="Y7981">
        <v>1</v>
      </c>
      <c r="Z7981">
        <v>1</v>
      </c>
      <c r="AA7981">
        <v>1</v>
      </c>
      <c r="AB7981">
        <v>1</v>
      </c>
    </row>
    <row r="7982" spans="1:28" x14ac:dyDescent="0.25">
      <c r="A7982" t="str">
        <f>"7978"</f>
        <v>7978</v>
      </c>
      <c r="B7982" t="str">
        <f t="shared" si="464"/>
        <v>1</v>
      </c>
      <c r="C7982" t="str">
        <f t="shared" si="465"/>
        <v>351</v>
      </c>
      <c r="D7982" t="str">
        <f>"13"</f>
        <v>13</v>
      </c>
      <c r="E7982" t="str">
        <f>"1-351-13"</f>
        <v>1-351-13</v>
      </c>
      <c r="F7982" t="s">
        <v>83</v>
      </c>
      <c r="G7982" t="s">
        <v>86</v>
      </c>
      <c r="H7982" t="s">
        <v>93</v>
      </c>
      <c r="I7982">
        <v>1</v>
      </c>
      <c r="K7982">
        <v>0</v>
      </c>
      <c r="L7982">
        <v>0</v>
      </c>
      <c r="M7982">
        <v>1</v>
      </c>
      <c r="N7982">
        <v>1</v>
      </c>
      <c r="O7982">
        <v>1</v>
      </c>
      <c r="P7982">
        <v>1</v>
      </c>
      <c r="Q7982">
        <v>1</v>
      </c>
      <c r="R7982">
        <v>1</v>
      </c>
      <c r="U7982">
        <v>0</v>
      </c>
      <c r="V7982">
        <v>1</v>
      </c>
      <c r="W7982">
        <v>1</v>
      </c>
      <c r="X7982">
        <v>1</v>
      </c>
      <c r="Y7982">
        <v>1</v>
      </c>
      <c r="Z7982">
        <v>1</v>
      </c>
      <c r="AA7982">
        <v>1</v>
      </c>
      <c r="AB7982">
        <v>1</v>
      </c>
    </row>
    <row r="7983" spans="1:28" x14ac:dyDescent="0.25">
      <c r="A7983" t="str">
        <f>"7979"</f>
        <v>7979</v>
      </c>
      <c r="B7983" t="str">
        <f t="shared" si="464"/>
        <v>1</v>
      </c>
      <c r="C7983" t="str">
        <f t="shared" si="465"/>
        <v>351</v>
      </c>
      <c r="D7983" t="str">
        <f>"9"</f>
        <v>9</v>
      </c>
      <c r="E7983" t="str">
        <f>"1-351-9"</f>
        <v>1-351-9</v>
      </c>
      <c r="F7983" t="s">
        <v>83</v>
      </c>
      <c r="G7983" t="s">
        <v>86</v>
      </c>
      <c r="H7983" t="s">
        <v>93</v>
      </c>
      <c r="I7983">
        <v>1</v>
      </c>
      <c r="K7983">
        <v>1</v>
      </c>
      <c r="L7983">
        <v>0</v>
      </c>
      <c r="M7983">
        <v>0</v>
      </c>
      <c r="N7983">
        <v>1</v>
      </c>
      <c r="O7983">
        <v>1</v>
      </c>
      <c r="P7983">
        <v>1</v>
      </c>
      <c r="Q7983">
        <v>1</v>
      </c>
      <c r="R7983">
        <v>1</v>
      </c>
      <c r="U7983">
        <v>0</v>
      </c>
      <c r="V7983">
        <v>1</v>
      </c>
      <c r="W7983">
        <v>1</v>
      </c>
      <c r="X7983">
        <v>1</v>
      </c>
      <c r="Y7983">
        <v>1</v>
      </c>
      <c r="Z7983">
        <v>1</v>
      </c>
      <c r="AA7983">
        <v>1</v>
      </c>
      <c r="AB7983">
        <v>1</v>
      </c>
    </row>
    <row r="7984" spans="1:28" x14ac:dyDescent="0.25">
      <c r="A7984" t="str">
        <f>"7980"</f>
        <v>7980</v>
      </c>
      <c r="B7984" t="str">
        <f t="shared" si="464"/>
        <v>1</v>
      </c>
      <c r="C7984" t="str">
        <f t="shared" si="465"/>
        <v>351</v>
      </c>
      <c r="D7984" t="str">
        <f>"2"</f>
        <v>2</v>
      </c>
      <c r="E7984" t="str">
        <f>"1-351-2"</f>
        <v>1-351-2</v>
      </c>
      <c r="F7984" t="s">
        <v>83</v>
      </c>
      <c r="G7984" t="s">
        <v>86</v>
      </c>
      <c r="H7984" t="s">
        <v>93</v>
      </c>
      <c r="I7984">
        <v>1</v>
      </c>
      <c r="K7984">
        <v>0</v>
      </c>
      <c r="L7984">
        <v>0</v>
      </c>
      <c r="M7984">
        <v>1</v>
      </c>
      <c r="N7984">
        <v>1</v>
      </c>
      <c r="O7984">
        <v>0</v>
      </c>
      <c r="P7984">
        <v>0</v>
      </c>
      <c r="Q7984">
        <v>0</v>
      </c>
      <c r="R7984">
        <v>0</v>
      </c>
      <c r="U7984">
        <v>1</v>
      </c>
      <c r="V7984">
        <v>0</v>
      </c>
      <c r="W7984">
        <v>0</v>
      </c>
      <c r="X7984">
        <v>0</v>
      </c>
      <c r="Y7984">
        <v>0</v>
      </c>
      <c r="Z7984">
        <v>0</v>
      </c>
      <c r="AA7984">
        <v>0</v>
      </c>
      <c r="AB7984">
        <v>0</v>
      </c>
    </row>
    <row r="7985" spans="1:28" x14ac:dyDescent="0.25">
      <c r="A7985" t="str">
        <f>"7981"</f>
        <v>7981</v>
      </c>
      <c r="B7985" t="str">
        <f t="shared" si="464"/>
        <v>1</v>
      </c>
      <c r="C7985" t="str">
        <f t="shared" si="465"/>
        <v>351</v>
      </c>
      <c r="D7985" t="str">
        <f>"15"</f>
        <v>15</v>
      </c>
      <c r="E7985" t="str">
        <f>"1-351-15"</f>
        <v>1-351-15</v>
      </c>
      <c r="F7985" t="s">
        <v>83</v>
      </c>
      <c r="G7985" t="s">
        <v>86</v>
      </c>
      <c r="H7985" t="s">
        <v>93</v>
      </c>
      <c r="I7985">
        <v>1</v>
      </c>
      <c r="K7985">
        <v>1</v>
      </c>
      <c r="L7985">
        <v>0</v>
      </c>
      <c r="M7985">
        <v>0</v>
      </c>
      <c r="N7985">
        <v>1</v>
      </c>
      <c r="O7985">
        <v>1</v>
      </c>
      <c r="P7985">
        <v>1</v>
      </c>
      <c r="Q7985">
        <v>1</v>
      </c>
      <c r="R7985">
        <v>1</v>
      </c>
      <c r="U7985">
        <v>0</v>
      </c>
      <c r="V7985">
        <v>1</v>
      </c>
      <c r="W7985">
        <v>1</v>
      </c>
      <c r="X7985">
        <v>1</v>
      </c>
      <c r="Y7985">
        <v>1</v>
      </c>
      <c r="Z7985">
        <v>1</v>
      </c>
      <c r="AA7985">
        <v>1</v>
      </c>
      <c r="AB7985">
        <v>1</v>
      </c>
    </row>
    <row r="7986" spans="1:28" x14ac:dyDescent="0.25">
      <c r="A7986" t="str">
        <f>"7982"</f>
        <v>7982</v>
      </c>
      <c r="B7986" t="str">
        <f t="shared" si="464"/>
        <v>1</v>
      </c>
      <c r="C7986" t="str">
        <f t="shared" si="465"/>
        <v>351</v>
      </c>
      <c r="D7986" t="str">
        <f>"10"</f>
        <v>10</v>
      </c>
      <c r="E7986" t="str">
        <f>"1-351-10"</f>
        <v>1-351-10</v>
      </c>
      <c r="F7986" t="s">
        <v>83</v>
      </c>
      <c r="G7986" t="s">
        <v>86</v>
      </c>
      <c r="H7986" t="s">
        <v>93</v>
      </c>
      <c r="I7986">
        <v>0</v>
      </c>
      <c r="K7986">
        <v>0</v>
      </c>
      <c r="L7986">
        <v>0</v>
      </c>
      <c r="M7986">
        <v>1</v>
      </c>
      <c r="N7986">
        <v>0</v>
      </c>
      <c r="O7986">
        <v>0</v>
      </c>
      <c r="P7986">
        <v>0</v>
      </c>
      <c r="Q7986">
        <v>0</v>
      </c>
      <c r="R7986">
        <v>0</v>
      </c>
      <c r="U7986">
        <v>0</v>
      </c>
      <c r="V7986">
        <v>1</v>
      </c>
      <c r="W7986">
        <v>0</v>
      </c>
      <c r="X7986">
        <v>0</v>
      </c>
      <c r="Y7986">
        <v>0</v>
      </c>
      <c r="Z7986">
        <v>0</v>
      </c>
      <c r="AA7986">
        <v>0</v>
      </c>
      <c r="AB7986">
        <v>0</v>
      </c>
    </row>
    <row r="7987" spans="1:28" x14ac:dyDescent="0.25">
      <c r="A7987" t="str">
        <f>"7983"</f>
        <v>7983</v>
      </c>
      <c r="B7987" t="str">
        <f t="shared" si="464"/>
        <v>1</v>
      </c>
      <c r="C7987" t="str">
        <f t="shared" si="465"/>
        <v>351</v>
      </c>
      <c r="D7987" t="str">
        <f>"5"</f>
        <v>5</v>
      </c>
      <c r="E7987" t="str">
        <f>"1-351-5"</f>
        <v>1-351-5</v>
      </c>
      <c r="F7987" t="s">
        <v>83</v>
      </c>
      <c r="G7987" t="s">
        <v>84</v>
      </c>
      <c r="H7987" t="s">
        <v>92</v>
      </c>
      <c r="I7987">
        <v>1</v>
      </c>
      <c r="J7987">
        <v>1</v>
      </c>
      <c r="N7987">
        <v>1</v>
      </c>
      <c r="O7987">
        <v>1</v>
      </c>
      <c r="P7987">
        <v>1</v>
      </c>
      <c r="Q7987">
        <v>1</v>
      </c>
      <c r="R7987">
        <v>1</v>
      </c>
      <c r="S7987">
        <v>1</v>
      </c>
      <c r="T7987">
        <v>1</v>
      </c>
      <c r="W7987">
        <v>1</v>
      </c>
      <c r="X7987">
        <v>1</v>
      </c>
      <c r="Y7987">
        <v>1</v>
      </c>
      <c r="Z7987">
        <v>1</v>
      </c>
      <c r="AA7987">
        <v>1</v>
      </c>
      <c r="AB7987">
        <v>1</v>
      </c>
    </row>
    <row r="7988" spans="1:28" x14ac:dyDescent="0.25">
      <c r="A7988" t="str">
        <f>"7984"</f>
        <v>7984</v>
      </c>
      <c r="B7988" t="str">
        <f t="shared" si="464"/>
        <v>1</v>
      </c>
      <c r="C7988" t="str">
        <f t="shared" si="465"/>
        <v>351</v>
      </c>
      <c r="D7988" t="str">
        <f>"25"</f>
        <v>25</v>
      </c>
      <c r="E7988" t="str">
        <f>"1-351-25"</f>
        <v>1-351-25</v>
      </c>
      <c r="F7988" t="s">
        <v>83</v>
      </c>
      <c r="G7988" t="s">
        <v>86</v>
      </c>
      <c r="H7988" t="s">
        <v>93</v>
      </c>
      <c r="I7988">
        <v>1</v>
      </c>
      <c r="K7988">
        <v>0</v>
      </c>
      <c r="L7988">
        <v>1</v>
      </c>
      <c r="M7988">
        <v>0</v>
      </c>
      <c r="N7988">
        <v>1</v>
      </c>
      <c r="O7988">
        <v>1</v>
      </c>
      <c r="P7988">
        <v>1</v>
      </c>
      <c r="Q7988">
        <v>1</v>
      </c>
      <c r="R7988">
        <v>1</v>
      </c>
      <c r="U7988">
        <v>0</v>
      </c>
      <c r="V7988">
        <v>1</v>
      </c>
      <c r="W7988">
        <v>1</v>
      </c>
      <c r="X7988">
        <v>1</v>
      </c>
      <c r="Y7988">
        <v>1</v>
      </c>
      <c r="Z7988">
        <v>1</v>
      </c>
      <c r="AA7988">
        <v>1</v>
      </c>
      <c r="AB7988">
        <v>1</v>
      </c>
    </row>
    <row r="7989" spans="1:28" x14ac:dyDescent="0.25">
      <c r="A7989" t="str">
        <f>"7985"</f>
        <v>7985</v>
      </c>
      <c r="B7989" t="str">
        <f t="shared" si="464"/>
        <v>1</v>
      </c>
      <c r="C7989" t="str">
        <f t="shared" si="465"/>
        <v>351</v>
      </c>
      <c r="D7989" t="str">
        <f>"24"</f>
        <v>24</v>
      </c>
      <c r="E7989" t="str">
        <f>"1-351-24"</f>
        <v>1-351-24</v>
      </c>
      <c r="F7989" t="s">
        <v>83</v>
      </c>
      <c r="G7989" t="s">
        <v>86</v>
      </c>
      <c r="H7989" t="s">
        <v>93</v>
      </c>
      <c r="I7989">
        <v>1</v>
      </c>
      <c r="K7989">
        <v>0</v>
      </c>
      <c r="L7989">
        <v>0</v>
      </c>
      <c r="M7989">
        <v>1</v>
      </c>
      <c r="N7989">
        <v>1</v>
      </c>
      <c r="O7989">
        <v>1</v>
      </c>
      <c r="P7989">
        <v>1</v>
      </c>
      <c r="Q7989">
        <v>1</v>
      </c>
      <c r="R7989">
        <v>1</v>
      </c>
      <c r="U7989">
        <v>0</v>
      </c>
      <c r="V7989">
        <v>1</v>
      </c>
      <c r="W7989">
        <v>1</v>
      </c>
      <c r="X7989">
        <v>1</v>
      </c>
      <c r="Y7989">
        <v>1</v>
      </c>
      <c r="Z7989">
        <v>1</v>
      </c>
      <c r="AA7989">
        <v>1</v>
      </c>
      <c r="AB7989">
        <v>1</v>
      </c>
    </row>
    <row r="7990" spans="1:28" x14ac:dyDescent="0.25">
      <c r="A7990" t="str">
        <f>"7986"</f>
        <v>7986</v>
      </c>
      <c r="B7990" t="str">
        <f t="shared" si="464"/>
        <v>1</v>
      </c>
      <c r="C7990" t="str">
        <f t="shared" si="465"/>
        <v>351</v>
      </c>
      <c r="D7990" t="str">
        <f>"14"</f>
        <v>14</v>
      </c>
      <c r="E7990" t="str">
        <f>"1-351-14"</f>
        <v>1-351-14</v>
      </c>
      <c r="F7990" t="s">
        <v>83</v>
      </c>
      <c r="G7990" t="s">
        <v>86</v>
      </c>
      <c r="H7990" t="s">
        <v>93</v>
      </c>
      <c r="I7990">
        <v>1</v>
      </c>
      <c r="K7990">
        <v>0</v>
      </c>
      <c r="L7990">
        <v>0</v>
      </c>
      <c r="M7990">
        <v>1</v>
      </c>
      <c r="N7990">
        <v>1</v>
      </c>
      <c r="O7990">
        <v>1</v>
      </c>
      <c r="P7990">
        <v>0</v>
      </c>
      <c r="Q7990">
        <v>0</v>
      </c>
      <c r="R7990">
        <v>0</v>
      </c>
      <c r="U7990">
        <v>0</v>
      </c>
      <c r="V7990">
        <v>1</v>
      </c>
      <c r="W7990">
        <v>0</v>
      </c>
      <c r="X7990">
        <v>0</v>
      </c>
      <c r="Y7990">
        <v>0</v>
      </c>
      <c r="Z7990">
        <v>0</v>
      </c>
      <c r="AA7990">
        <v>0</v>
      </c>
      <c r="AB7990">
        <v>0</v>
      </c>
    </row>
    <row r="7991" spans="1:28" x14ac:dyDescent="0.25">
      <c r="A7991" t="str">
        <f>"7987"</f>
        <v>7987</v>
      </c>
      <c r="B7991" t="str">
        <f t="shared" si="464"/>
        <v>1</v>
      </c>
      <c r="C7991" t="str">
        <f t="shared" si="465"/>
        <v>351</v>
      </c>
      <c r="D7991" t="str">
        <f>"11"</f>
        <v>11</v>
      </c>
      <c r="E7991" t="str">
        <f>"1-351-11"</f>
        <v>1-351-11</v>
      </c>
      <c r="F7991" t="s">
        <v>83</v>
      </c>
      <c r="G7991" t="s">
        <v>86</v>
      </c>
      <c r="H7991" t="s">
        <v>93</v>
      </c>
      <c r="I7991">
        <v>0</v>
      </c>
      <c r="K7991">
        <v>0</v>
      </c>
      <c r="L7991">
        <v>0</v>
      </c>
      <c r="M7991">
        <v>0</v>
      </c>
      <c r="N7991">
        <v>1</v>
      </c>
      <c r="O7991">
        <v>0</v>
      </c>
      <c r="P7991">
        <v>0</v>
      </c>
      <c r="Q7991">
        <v>0</v>
      </c>
      <c r="R7991">
        <v>0</v>
      </c>
      <c r="U7991">
        <v>0</v>
      </c>
      <c r="V7991">
        <v>0</v>
      </c>
      <c r="W7991">
        <v>0</v>
      </c>
      <c r="X7991">
        <v>1</v>
      </c>
      <c r="Y7991">
        <v>1</v>
      </c>
      <c r="Z7991">
        <v>0</v>
      </c>
      <c r="AA7991">
        <v>0</v>
      </c>
      <c r="AB7991">
        <v>0</v>
      </c>
    </row>
    <row r="7992" spans="1:28" x14ac:dyDescent="0.25">
      <c r="A7992" t="str">
        <f>"7988"</f>
        <v>7988</v>
      </c>
      <c r="B7992" t="str">
        <f t="shared" si="464"/>
        <v>1</v>
      </c>
      <c r="C7992" t="str">
        <f t="shared" si="465"/>
        <v>351</v>
      </c>
      <c r="D7992" t="str">
        <f>"4"</f>
        <v>4</v>
      </c>
      <c r="E7992" t="str">
        <f>"1-351-4"</f>
        <v>1-351-4</v>
      </c>
      <c r="F7992" t="s">
        <v>83</v>
      </c>
      <c r="G7992" t="s">
        <v>86</v>
      </c>
      <c r="H7992" t="s">
        <v>93</v>
      </c>
      <c r="I7992">
        <v>1</v>
      </c>
      <c r="K7992">
        <v>0</v>
      </c>
      <c r="L7992">
        <v>0</v>
      </c>
      <c r="M7992">
        <v>1</v>
      </c>
      <c r="N7992">
        <v>1</v>
      </c>
      <c r="O7992">
        <v>0</v>
      </c>
      <c r="P7992">
        <v>0</v>
      </c>
      <c r="Q7992">
        <v>0</v>
      </c>
      <c r="R7992">
        <v>0</v>
      </c>
      <c r="U7992">
        <v>0</v>
      </c>
      <c r="V7992">
        <v>1</v>
      </c>
      <c r="W7992">
        <v>1</v>
      </c>
      <c r="X7992">
        <v>1</v>
      </c>
      <c r="Y7992">
        <v>1</v>
      </c>
      <c r="Z7992">
        <v>1</v>
      </c>
      <c r="AA7992">
        <v>1</v>
      </c>
      <c r="AB7992">
        <v>1</v>
      </c>
    </row>
    <row r="7993" spans="1:28" x14ac:dyDescent="0.25">
      <c r="A7993" t="str">
        <f>"7989"</f>
        <v>7989</v>
      </c>
      <c r="B7993" t="str">
        <f t="shared" si="464"/>
        <v>1</v>
      </c>
      <c r="C7993" t="str">
        <f t="shared" si="465"/>
        <v>351</v>
      </c>
      <c r="D7993" t="str">
        <f>"19"</f>
        <v>19</v>
      </c>
      <c r="E7993" t="str">
        <f>"1-351-19"</f>
        <v>1-351-19</v>
      </c>
      <c r="F7993" t="s">
        <v>83</v>
      </c>
      <c r="G7993" t="s">
        <v>86</v>
      </c>
      <c r="H7993" t="s">
        <v>93</v>
      </c>
      <c r="I7993">
        <v>1</v>
      </c>
      <c r="K7993">
        <v>0</v>
      </c>
      <c r="L7993">
        <v>0</v>
      </c>
      <c r="M7993">
        <v>1</v>
      </c>
      <c r="N7993">
        <v>1</v>
      </c>
      <c r="O7993">
        <v>1</v>
      </c>
      <c r="P7993">
        <v>1</v>
      </c>
      <c r="Q7993">
        <v>1</v>
      </c>
      <c r="R7993">
        <v>1</v>
      </c>
      <c r="U7993">
        <v>0</v>
      </c>
      <c r="V7993">
        <v>0</v>
      </c>
      <c r="W7993">
        <v>1</v>
      </c>
      <c r="X7993">
        <v>1</v>
      </c>
      <c r="Y7993">
        <v>1</v>
      </c>
      <c r="Z7993">
        <v>1</v>
      </c>
      <c r="AA7993">
        <v>1</v>
      </c>
      <c r="AB7993">
        <v>1</v>
      </c>
    </row>
    <row r="7994" spans="1:28" x14ac:dyDescent="0.25">
      <c r="A7994" t="str">
        <f>"7990"</f>
        <v>7990</v>
      </c>
      <c r="B7994" t="str">
        <f t="shared" si="464"/>
        <v>1</v>
      </c>
      <c r="C7994" t="str">
        <f t="shared" si="465"/>
        <v>351</v>
      </c>
      <c r="D7994" t="str">
        <f>"12"</f>
        <v>12</v>
      </c>
      <c r="E7994" t="str">
        <f>"1-351-12"</f>
        <v>1-351-12</v>
      </c>
      <c r="F7994" t="s">
        <v>83</v>
      </c>
      <c r="G7994" t="s">
        <v>86</v>
      </c>
      <c r="H7994" t="s">
        <v>93</v>
      </c>
      <c r="I7994">
        <v>1</v>
      </c>
      <c r="K7994">
        <v>0</v>
      </c>
      <c r="L7994">
        <v>0</v>
      </c>
      <c r="M7994">
        <v>1</v>
      </c>
      <c r="N7994">
        <v>1</v>
      </c>
      <c r="O7994">
        <v>1</v>
      </c>
      <c r="P7994">
        <v>1</v>
      </c>
      <c r="Q7994">
        <v>1</v>
      </c>
      <c r="R7994">
        <v>1</v>
      </c>
      <c r="U7994">
        <v>0</v>
      </c>
      <c r="V7994">
        <v>1</v>
      </c>
      <c r="W7994">
        <v>1</v>
      </c>
      <c r="X7994">
        <v>1</v>
      </c>
      <c r="Y7994">
        <v>1</v>
      </c>
      <c r="Z7994">
        <v>1</v>
      </c>
      <c r="AA7994">
        <v>1</v>
      </c>
      <c r="AB7994">
        <v>1</v>
      </c>
    </row>
    <row r="7995" spans="1:28" x14ac:dyDescent="0.25">
      <c r="A7995" t="str">
        <f>"7991"</f>
        <v>7991</v>
      </c>
      <c r="B7995" t="str">
        <f t="shared" si="464"/>
        <v>1</v>
      </c>
      <c r="C7995" t="str">
        <f t="shared" si="465"/>
        <v>351</v>
      </c>
      <c r="D7995" t="str">
        <f>"3"</f>
        <v>3</v>
      </c>
      <c r="E7995" t="str">
        <f>"1-351-3"</f>
        <v>1-351-3</v>
      </c>
      <c r="F7995" t="s">
        <v>83</v>
      </c>
      <c r="G7995" t="s">
        <v>86</v>
      </c>
      <c r="H7995" t="s">
        <v>93</v>
      </c>
      <c r="I7995">
        <v>1</v>
      </c>
      <c r="K7995">
        <v>0</v>
      </c>
      <c r="L7995">
        <v>0</v>
      </c>
      <c r="M7995">
        <v>1</v>
      </c>
      <c r="N7995">
        <v>1</v>
      </c>
      <c r="O7995">
        <v>1</v>
      </c>
      <c r="P7995">
        <v>1</v>
      </c>
      <c r="Q7995">
        <v>1</v>
      </c>
      <c r="R7995">
        <v>1</v>
      </c>
      <c r="U7995">
        <v>0</v>
      </c>
      <c r="V7995">
        <v>1</v>
      </c>
      <c r="W7995">
        <v>1</v>
      </c>
      <c r="X7995">
        <v>1</v>
      </c>
      <c r="Y7995">
        <v>1</v>
      </c>
      <c r="Z7995">
        <v>1</v>
      </c>
      <c r="AA7995">
        <v>1</v>
      </c>
      <c r="AB7995">
        <v>1</v>
      </c>
    </row>
    <row r="7996" spans="1:28" x14ac:dyDescent="0.25">
      <c r="A7996" t="str">
        <f>"7992"</f>
        <v>7992</v>
      </c>
      <c r="B7996" t="str">
        <f t="shared" si="464"/>
        <v>1</v>
      </c>
      <c r="C7996" t="str">
        <f t="shared" si="465"/>
        <v>351</v>
      </c>
      <c r="D7996" t="str">
        <f>"16"</f>
        <v>16</v>
      </c>
      <c r="E7996" t="str">
        <f>"1-351-16"</f>
        <v>1-351-16</v>
      </c>
      <c r="F7996" t="s">
        <v>83</v>
      </c>
      <c r="G7996" t="s">
        <v>86</v>
      </c>
      <c r="H7996" t="s">
        <v>93</v>
      </c>
      <c r="I7996">
        <v>1</v>
      </c>
      <c r="K7996">
        <v>0</v>
      </c>
      <c r="L7996">
        <v>0</v>
      </c>
      <c r="M7996">
        <v>1</v>
      </c>
      <c r="N7996">
        <v>1</v>
      </c>
      <c r="O7996">
        <v>1</v>
      </c>
      <c r="P7996">
        <v>1</v>
      </c>
      <c r="Q7996">
        <v>1</v>
      </c>
      <c r="R7996">
        <v>1</v>
      </c>
      <c r="U7996">
        <v>0</v>
      </c>
      <c r="V7996">
        <v>1</v>
      </c>
      <c r="W7996">
        <v>1</v>
      </c>
      <c r="X7996">
        <v>1</v>
      </c>
      <c r="Y7996">
        <v>1</v>
      </c>
      <c r="Z7996">
        <v>1</v>
      </c>
      <c r="AA7996">
        <v>1</v>
      </c>
      <c r="AB7996">
        <v>1</v>
      </c>
    </row>
    <row r="7997" spans="1:28" x14ac:dyDescent="0.25">
      <c r="A7997" t="str">
        <f>"7993"</f>
        <v>7993</v>
      </c>
      <c r="B7997" t="str">
        <f t="shared" si="464"/>
        <v>1</v>
      </c>
      <c r="C7997" t="str">
        <f t="shared" si="465"/>
        <v>351</v>
      </c>
      <c r="D7997" t="str">
        <f>"6"</f>
        <v>6</v>
      </c>
      <c r="E7997" t="str">
        <f>"1-351-6"</f>
        <v>1-351-6</v>
      </c>
      <c r="F7997" t="s">
        <v>83</v>
      </c>
      <c r="G7997" t="s">
        <v>84</v>
      </c>
      <c r="H7997" t="s">
        <v>92</v>
      </c>
      <c r="I7997">
        <v>1</v>
      </c>
      <c r="J7997">
        <v>1</v>
      </c>
      <c r="N7997">
        <v>1</v>
      </c>
      <c r="O7997">
        <v>1</v>
      </c>
      <c r="P7997">
        <v>1</v>
      </c>
      <c r="Q7997">
        <v>1</v>
      </c>
      <c r="R7997">
        <v>1</v>
      </c>
      <c r="S7997">
        <v>1</v>
      </c>
      <c r="T7997">
        <v>1</v>
      </c>
      <c r="W7997">
        <v>1</v>
      </c>
      <c r="X7997">
        <v>1</v>
      </c>
      <c r="Y7997">
        <v>1</v>
      </c>
      <c r="Z7997">
        <v>1</v>
      </c>
      <c r="AA7997">
        <v>1</v>
      </c>
      <c r="AB7997">
        <v>1</v>
      </c>
    </row>
    <row r="7998" spans="1:28" x14ac:dyDescent="0.25">
      <c r="A7998" t="str">
        <f>"7994"</f>
        <v>7994</v>
      </c>
      <c r="B7998" t="str">
        <f t="shared" si="464"/>
        <v>1</v>
      </c>
      <c r="C7998" t="str">
        <f t="shared" si="465"/>
        <v>351</v>
      </c>
      <c r="D7998" t="str">
        <f>"18"</f>
        <v>18</v>
      </c>
      <c r="E7998" t="str">
        <f>"1-351-18"</f>
        <v>1-351-18</v>
      </c>
      <c r="F7998" t="s">
        <v>83</v>
      </c>
      <c r="G7998" t="s">
        <v>86</v>
      </c>
      <c r="H7998" t="s">
        <v>93</v>
      </c>
      <c r="I7998">
        <v>1</v>
      </c>
      <c r="K7998">
        <v>0</v>
      </c>
      <c r="L7998">
        <v>1</v>
      </c>
      <c r="M7998">
        <v>0</v>
      </c>
      <c r="N7998">
        <v>1</v>
      </c>
      <c r="O7998">
        <v>1</v>
      </c>
      <c r="P7998">
        <v>1</v>
      </c>
      <c r="Q7998">
        <v>1</v>
      </c>
      <c r="R7998">
        <v>1</v>
      </c>
      <c r="U7998">
        <v>0</v>
      </c>
      <c r="V7998">
        <v>1</v>
      </c>
      <c r="W7998">
        <v>1</v>
      </c>
      <c r="X7998">
        <v>1</v>
      </c>
      <c r="Y7998">
        <v>1</v>
      </c>
      <c r="Z7998">
        <v>1</v>
      </c>
      <c r="AA7998">
        <v>1</v>
      </c>
      <c r="AB7998">
        <v>1</v>
      </c>
    </row>
    <row r="7999" spans="1:28" x14ac:dyDescent="0.25">
      <c r="A7999" t="str">
        <f>"7995"</f>
        <v>7995</v>
      </c>
      <c r="B7999" t="str">
        <f t="shared" si="464"/>
        <v>1</v>
      </c>
      <c r="C7999" t="str">
        <f t="shared" si="465"/>
        <v>351</v>
      </c>
      <c r="D7999" t="str">
        <f>"1"</f>
        <v>1</v>
      </c>
      <c r="E7999" t="str">
        <f>"1-351-1"</f>
        <v>1-351-1</v>
      </c>
      <c r="F7999" t="s">
        <v>83</v>
      </c>
      <c r="G7999" t="s">
        <v>86</v>
      </c>
      <c r="H7999" t="s">
        <v>93</v>
      </c>
      <c r="I7999">
        <v>1</v>
      </c>
      <c r="K7999">
        <v>0</v>
      </c>
      <c r="L7999">
        <v>0</v>
      </c>
      <c r="M7999">
        <v>1</v>
      </c>
      <c r="N7999">
        <v>1</v>
      </c>
      <c r="O7999">
        <v>1</v>
      </c>
      <c r="P7999">
        <v>1</v>
      </c>
      <c r="Q7999">
        <v>1</v>
      </c>
      <c r="R7999">
        <v>1</v>
      </c>
      <c r="U7999">
        <v>0</v>
      </c>
      <c r="V7999">
        <v>1</v>
      </c>
      <c r="W7999">
        <v>1</v>
      </c>
      <c r="X7999">
        <v>1</v>
      </c>
      <c r="Y7999">
        <v>1</v>
      </c>
      <c r="Z7999">
        <v>1</v>
      </c>
      <c r="AA7999">
        <v>1</v>
      </c>
      <c r="AB7999">
        <v>1</v>
      </c>
    </row>
    <row r="8000" spans="1:28" x14ac:dyDescent="0.25">
      <c r="A8000" t="str">
        <f>"7996"</f>
        <v>7996</v>
      </c>
      <c r="B8000" t="str">
        <f t="shared" si="464"/>
        <v>1</v>
      </c>
      <c r="C8000" t="str">
        <f t="shared" ref="C8000:C8018" si="466">"352"</f>
        <v>352</v>
      </c>
      <c r="D8000" t="str">
        <f>"13"</f>
        <v>13</v>
      </c>
      <c r="E8000" t="str">
        <f>"1-352-13"</f>
        <v>1-352-13</v>
      </c>
      <c r="F8000" t="s">
        <v>83</v>
      </c>
      <c r="G8000" t="s">
        <v>86</v>
      </c>
      <c r="H8000" t="s">
        <v>93</v>
      </c>
      <c r="I8000">
        <v>1</v>
      </c>
      <c r="K8000">
        <v>0</v>
      </c>
      <c r="L8000">
        <v>1</v>
      </c>
      <c r="M8000">
        <v>0</v>
      </c>
      <c r="N8000">
        <v>1</v>
      </c>
      <c r="O8000">
        <v>1</v>
      </c>
      <c r="P8000">
        <v>1</v>
      </c>
      <c r="Q8000">
        <v>1</v>
      </c>
      <c r="R8000">
        <v>0</v>
      </c>
      <c r="U8000">
        <v>0</v>
      </c>
      <c r="V8000">
        <v>1</v>
      </c>
      <c r="W8000">
        <v>1</v>
      </c>
      <c r="X8000">
        <v>1</v>
      </c>
      <c r="Y8000">
        <v>1</v>
      </c>
      <c r="Z8000">
        <v>1</v>
      </c>
      <c r="AA8000">
        <v>1</v>
      </c>
      <c r="AB8000">
        <v>1</v>
      </c>
    </row>
    <row r="8001" spans="1:49" x14ac:dyDescent="0.25">
      <c r="A8001" t="str">
        <f>"7997"</f>
        <v>7997</v>
      </c>
      <c r="B8001" t="str">
        <f t="shared" si="464"/>
        <v>1</v>
      </c>
      <c r="C8001" t="str">
        <f t="shared" si="466"/>
        <v>352</v>
      </c>
      <c r="D8001" t="str">
        <f>"8"</f>
        <v>8</v>
      </c>
      <c r="E8001" t="str">
        <f>"1-352-8"</f>
        <v>1-352-8</v>
      </c>
      <c r="F8001" t="s">
        <v>83</v>
      </c>
      <c r="G8001" t="s">
        <v>86</v>
      </c>
      <c r="H8001" t="s">
        <v>87</v>
      </c>
      <c r="AC8001">
        <v>0</v>
      </c>
      <c r="AD8001">
        <v>1</v>
      </c>
      <c r="AE8001">
        <v>0</v>
      </c>
      <c r="AF8001">
        <v>0</v>
      </c>
      <c r="AH8001">
        <v>0</v>
      </c>
      <c r="AI8001">
        <v>1</v>
      </c>
      <c r="AJ8001">
        <v>0</v>
      </c>
      <c r="AK8001">
        <v>1</v>
      </c>
      <c r="AL8001">
        <v>0</v>
      </c>
      <c r="AM8001">
        <v>0</v>
      </c>
      <c r="AN8001">
        <v>1</v>
      </c>
      <c r="AO8001">
        <v>1</v>
      </c>
      <c r="AP8001">
        <v>1</v>
      </c>
      <c r="AQ8001">
        <v>1</v>
      </c>
      <c r="AU8001">
        <v>1</v>
      </c>
      <c r="AV8001">
        <v>0</v>
      </c>
      <c r="AW8001">
        <v>1</v>
      </c>
    </row>
    <row r="8002" spans="1:49" x14ac:dyDescent="0.25">
      <c r="A8002" t="str">
        <f>"7998"</f>
        <v>7998</v>
      </c>
      <c r="B8002" t="str">
        <f t="shared" si="464"/>
        <v>1</v>
      </c>
      <c r="C8002" t="str">
        <f t="shared" si="466"/>
        <v>352</v>
      </c>
      <c r="D8002" t="str">
        <f>"4"</f>
        <v>4</v>
      </c>
      <c r="E8002" t="str">
        <f>"1-352-4"</f>
        <v>1-352-4</v>
      </c>
      <c r="F8002" t="s">
        <v>83</v>
      </c>
      <c r="G8002" t="s">
        <v>86</v>
      </c>
      <c r="H8002" t="s">
        <v>87</v>
      </c>
      <c r="AC8002">
        <v>0</v>
      </c>
      <c r="AD8002">
        <v>1</v>
      </c>
      <c r="AE8002">
        <v>0</v>
      </c>
      <c r="AF8002">
        <v>0</v>
      </c>
      <c r="AH8002">
        <v>0</v>
      </c>
      <c r="AI8002">
        <v>1</v>
      </c>
      <c r="AJ8002">
        <v>0</v>
      </c>
      <c r="AK8002">
        <v>1</v>
      </c>
      <c r="AL8002">
        <v>0</v>
      </c>
      <c r="AM8002">
        <v>0</v>
      </c>
      <c r="AN8002">
        <v>1</v>
      </c>
      <c r="AO8002">
        <v>1</v>
      </c>
      <c r="AP8002">
        <v>1</v>
      </c>
      <c r="AQ8002">
        <v>1</v>
      </c>
      <c r="AU8002">
        <v>1</v>
      </c>
      <c r="AV8002">
        <v>1</v>
      </c>
      <c r="AW8002">
        <v>1</v>
      </c>
    </row>
    <row r="8003" spans="1:49" x14ac:dyDescent="0.25">
      <c r="A8003" t="str">
        <f>"7999"</f>
        <v>7999</v>
      </c>
      <c r="B8003" t="str">
        <f t="shared" si="464"/>
        <v>1</v>
      </c>
      <c r="C8003" t="str">
        <f t="shared" si="466"/>
        <v>352</v>
      </c>
      <c r="D8003" t="str">
        <f>"16"</f>
        <v>16</v>
      </c>
      <c r="E8003" t="str">
        <f>"1-352-16"</f>
        <v>1-352-16</v>
      </c>
      <c r="F8003" t="s">
        <v>83</v>
      </c>
      <c r="G8003" t="s">
        <v>86</v>
      </c>
      <c r="H8003" t="s">
        <v>87</v>
      </c>
      <c r="AC8003">
        <v>0</v>
      </c>
      <c r="AD8003">
        <v>1</v>
      </c>
      <c r="AE8003">
        <v>0</v>
      </c>
      <c r="AF8003">
        <v>0</v>
      </c>
      <c r="AH8003">
        <v>1</v>
      </c>
      <c r="AI8003">
        <v>0</v>
      </c>
      <c r="AJ8003">
        <v>0</v>
      </c>
      <c r="AK8003">
        <v>1</v>
      </c>
      <c r="AL8003">
        <v>0</v>
      </c>
      <c r="AM8003">
        <v>1</v>
      </c>
      <c r="AN8003">
        <v>0</v>
      </c>
      <c r="AO8003">
        <v>1</v>
      </c>
      <c r="AP8003">
        <v>1</v>
      </c>
      <c r="AQ8003">
        <v>1</v>
      </c>
      <c r="AU8003">
        <v>1</v>
      </c>
      <c r="AV8003">
        <v>1</v>
      </c>
      <c r="AW8003">
        <v>1</v>
      </c>
    </row>
    <row r="8004" spans="1:49" x14ac:dyDescent="0.25">
      <c r="A8004" t="str">
        <f>"8000"</f>
        <v>8000</v>
      </c>
      <c r="B8004" t="str">
        <f t="shared" si="464"/>
        <v>1</v>
      </c>
      <c r="C8004" t="str">
        <f t="shared" si="466"/>
        <v>352</v>
      </c>
      <c r="D8004" t="str">
        <f>"10"</f>
        <v>10</v>
      </c>
      <c r="E8004" t="str">
        <f>"1-352-10"</f>
        <v>1-352-10</v>
      </c>
      <c r="F8004" t="s">
        <v>83</v>
      </c>
      <c r="G8004" t="s">
        <v>86</v>
      </c>
      <c r="H8004" t="s">
        <v>87</v>
      </c>
      <c r="AC8004">
        <v>0</v>
      </c>
      <c r="AD8004">
        <v>1</v>
      </c>
      <c r="AE8004">
        <v>0</v>
      </c>
      <c r="AF8004">
        <v>0</v>
      </c>
      <c r="AH8004">
        <v>0</v>
      </c>
      <c r="AI8004">
        <v>1</v>
      </c>
      <c r="AJ8004">
        <v>0</v>
      </c>
      <c r="AK8004">
        <v>1</v>
      </c>
      <c r="AL8004">
        <v>0</v>
      </c>
      <c r="AM8004">
        <v>0</v>
      </c>
      <c r="AN8004">
        <v>1</v>
      </c>
      <c r="AO8004">
        <v>0</v>
      </c>
      <c r="AP8004">
        <v>0</v>
      </c>
      <c r="AQ8004">
        <v>0</v>
      </c>
      <c r="AU8004">
        <v>0</v>
      </c>
      <c r="AV8004">
        <v>0</v>
      </c>
      <c r="AW8004">
        <v>0</v>
      </c>
    </row>
    <row r="8005" spans="1:49" x14ac:dyDescent="0.25">
      <c r="A8005" t="str">
        <f>"8001"</f>
        <v>8001</v>
      </c>
      <c r="B8005" t="str">
        <f t="shared" si="464"/>
        <v>1</v>
      </c>
      <c r="C8005" t="str">
        <f t="shared" si="466"/>
        <v>352</v>
      </c>
      <c r="D8005" t="str">
        <f>"5"</f>
        <v>5</v>
      </c>
      <c r="E8005" t="str">
        <f>"1-352-5"</f>
        <v>1-352-5</v>
      </c>
      <c r="F8005" t="s">
        <v>83</v>
      </c>
      <c r="G8005" t="s">
        <v>86</v>
      </c>
      <c r="H8005" t="s">
        <v>87</v>
      </c>
      <c r="AC8005">
        <v>0</v>
      </c>
      <c r="AD8005">
        <v>1</v>
      </c>
      <c r="AE8005">
        <v>0</v>
      </c>
      <c r="AF8005">
        <v>0</v>
      </c>
      <c r="AH8005">
        <v>0</v>
      </c>
      <c r="AI8005">
        <v>1</v>
      </c>
      <c r="AJ8005">
        <v>0</v>
      </c>
      <c r="AK8005">
        <v>1</v>
      </c>
      <c r="AL8005">
        <v>0</v>
      </c>
      <c r="AM8005">
        <v>0</v>
      </c>
      <c r="AN8005">
        <v>1</v>
      </c>
      <c r="AO8005">
        <v>0</v>
      </c>
      <c r="AP8005">
        <v>0</v>
      </c>
      <c r="AQ8005">
        <v>0</v>
      </c>
      <c r="AU8005">
        <v>0</v>
      </c>
      <c r="AV8005">
        <v>0</v>
      </c>
      <c r="AW8005">
        <v>0</v>
      </c>
    </row>
    <row r="8006" spans="1:49" x14ac:dyDescent="0.25">
      <c r="A8006" t="str">
        <f>"8002"</f>
        <v>8002</v>
      </c>
      <c r="B8006" t="str">
        <f t="shared" si="464"/>
        <v>1</v>
      </c>
      <c r="C8006" t="str">
        <f t="shared" si="466"/>
        <v>352</v>
      </c>
      <c r="D8006" t="str">
        <f>"15"</f>
        <v>15</v>
      </c>
      <c r="E8006" t="str">
        <f>"1-352-15"</f>
        <v>1-352-15</v>
      </c>
      <c r="F8006" t="s">
        <v>83</v>
      </c>
      <c r="G8006" t="s">
        <v>86</v>
      </c>
      <c r="H8006" t="s">
        <v>87</v>
      </c>
      <c r="AC8006">
        <v>0</v>
      </c>
      <c r="AD8006">
        <v>0</v>
      </c>
      <c r="AE8006">
        <v>0</v>
      </c>
      <c r="AF8006">
        <v>0</v>
      </c>
      <c r="AH8006">
        <v>0</v>
      </c>
      <c r="AI8006">
        <v>1</v>
      </c>
      <c r="AJ8006">
        <v>0</v>
      </c>
      <c r="AK8006">
        <v>0</v>
      </c>
      <c r="AL8006">
        <v>0</v>
      </c>
      <c r="AM8006">
        <v>0</v>
      </c>
      <c r="AN8006">
        <v>0</v>
      </c>
      <c r="AO8006">
        <v>0</v>
      </c>
      <c r="AP8006">
        <v>0</v>
      </c>
      <c r="AQ8006">
        <v>0</v>
      </c>
      <c r="AU8006">
        <v>0</v>
      </c>
      <c r="AV8006">
        <v>0</v>
      </c>
      <c r="AW8006">
        <v>0</v>
      </c>
    </row>
    <row r="8007" spans="1:49" x14ac:dyDescent="0.25">
      <c r="A8007" t="str">
        <f>"8003"</f>
        <v>8003</v>
      </c>
      <c r="B8007" t="str">
        <f t="shared" si="464"/>
        <v>1</v>
      </c>
      <c r="C8007" t="str">
        <f t="shared" si="466"/>
        <v>352</v>
      </c>
      <c r="D8007" t="str">
        <f>"9"</f>
        <v>9</v>
      </c>
      <c r="E8007" t="str">
        <f>"1-352-9"</f>
        <v>1-352-9</v>
      </c>
      <c r="F8007" t="s">
        <v>83</v>
      </c>
      <c r="G8007" t="s">
        <v>86</v>
      </c>
      <c r="H8007" t="s">
        <v>87</v>
      </c>
      <c r="AC8007">
        <v>0</v>
      </c>
      <c r="AD8007">
        <v>1</v>
      </c>
      <c r="AE8007">
        <v>0</v>
      </c>
      <c r="AF8007">
        <v>0</v>
      </c>
      <c r="AH8007">
        <v>0</v>
      </c>
      <c r="AI8007">
        <v>1</v>
      </c>
      <c r="AJ8007">
        <v>0</v>
      </c>
      <c r="AK8007">
        <v>1</v>
      </c>
      <c r="AL8007">
        <v>0</v>
      </c>
      <c r="AM8007">
        <v>0</v>
      </c>
      <c r="AN8007">
        <v>1</v>
      </c>
      <c r="AO8007">
        <v>0</v>
      </c>
      <c r="AP8007">
        <v>0</v>
      </c>
      <c r="AQ8007">
        <v>0</v>
      </c>
      <c r="AU8007">
        <v>0</v>
      </c>
      <c r="AV8007">
        <v>0</v>
      </c>
      <c r="AW8007">
        <v>0</v>
      </c>
    </row>
    <row r="8008" spans="1:49" x14ac:dyDescent="0.25">
      <c r="A8008" t="str">
        <f>"8004"</f>
        <v>8004</v>
      </c>
      <c r="B8008" t="str">
        <f t="shared" si="464"/>
        <v>1</v>
      </c>
      <c r="C8008" t="str">
        <f t="shared" si="466"/>
        <v>352</v>
      </c>
      <c r="D8008" t="str">
        <f>"3"</f>
        <v>3</v>
      </c>
      <c r="E8008" t="str">
        <f>"1-352-3"</f>
        <v>1-352-3</v>
      </c>
      <c r="F8008" t="s">
        <v>83</v>
      </c>
      <c r="G8008" t="s">
        <v>86</v>
      </c>
      <c r="H8008" t="s">
        <v>87</v>
      </c>
      <c r="AC8008">
        <v>1</v>
      </c>
      <c r="AD8008">
        <v>0</v>
      </c>
      <c r="AE8008">
        <v>0</v>
      </c>
      <c r="AF8008">
        <v>0</v>
      </c>
      <c r="AH8008">
        <v>0</v>
      </c>
      <c r="AI8008">
        <v>1</v>
      </c>
      <c r="AJ8008">
        <v>1</v>
      </c>
      <c r="AK8008">
        <v>0</v>
      </c>
      <c r="AL8008">
        <v>0</v>
      </c>
      <c r="AM8008">
        <v>1</v>
      </c>
      <c r="AN8008">
        <v>0</v>
      </c>
      <c r="AO8008">
        <v>1</v>
      </c>
      <c r="AP8008">
        <v>1</v>
      </c>
      <c r="AQ8008">
        <v>1</v>
      </c>
      <c r="AU8008">
        <v>1</v>
      </c>
      <c r="AV8008">
        <v>1</v>
      </c>
      <c r="AW8008">
        <v>1</v>
      </c>
    </row>
    <row r="8009" spans="1:49" x14ac:dyDescent="0.25">
      <c r="A8009" t="str">
        <f>"8005"</f>
        <v>8005</v>
      </c>
      <c r="B8009" t="str">
        <f t="shared" si="464"/>
        <v>1</v>
      </c>
      <c r="C8009" t="str">
        <f t="shared" si="466"/>
        <v>352</v>
      </c>
      <c r="D8009" t="str">
        <f>"14"</f>
        <v>14</v>
      </c>
      <c r="E8009" t="str">
        <f>"1-352-14"</f>
        <v>1-352-14</v>
      </c>
      <c r="F8009" t="s">
        <v>83</v>
      </c>
      <c r="G8009" t="s">
        <v>86</v>
      </c>
      <c r="H8009" t="s">
        <v>87</v>
      </c>
      <c r="AC8009">
        <v>0</v>
      </c>
      <c r="AD8009">
        <v>0</v>
      </c>
      <c r="AE8009">
        <v>0</v>
      </c>
      <c r="AF8009">
        <v>0</v>
      </c>
      <c r="AH8009">
        <v>0</v>
      </c>
      <c r="AI8009">
        <v>1</v>
      </c>
      <c r="AJ8009">
        <v>0</v>
      </c>
      <c r="AK8009">
        <v>0</v>
      </c>
      <c r="AL8009">
        <v>0</v>
      </c>
      <c r="AM8009">
        <v>0</v>
      </c>
      <c r="AN8009">
        <v>0</v>
      </c>
      <c r="AO8009">
        <v>0</v>
      </c>
      <c r="AP8009">
        <v>0</v>
      </c>
      <c r="AQ8009">
        <v>0</v>
      </c>
      <c r="AU8009">
        <v>0</v>
      </c>
      <c r="AV8009">
        <v>0</v>
      </c>
      <c r="AW8009">
        <v>0</v>
      </c>
    </row>
    <row r="8010" spans="1:49" x14ac:dyDescent="0.25">
      <c r="A8010" t="str">
        <f>"8006"</f>
        <v>8006</v>
      </c>
      <c r="B8010" t="str">
        <f t="shared" si="464"/>
        <v>1</v>
      </c>
      <c r="C8010" t="str">
        <f t="shared" si="466"/>
        <v>352</v>
      </c>
      <c r="D8010" t="str">
        <f>"11"</f>
        <v>11</v>
      </c>
      <c r="E8010" t="str">
        <f>"1-352-11"</f>
        <v>1-352-11</v>
      </c>
      <c r="F8010" t="s">
        <v>83</v>
      </c>
      <c r="G8010" t="s">
        <v>86</v>
      </c>
      <c r="H8010" t="s">
        <v>93</v>
      </c>
      <c r="I8010">
        <v>0</v>
      </c>
      <c r="K8010">
        <v>0</v>
      </c>
      <c r="L8010">
        <v>1</v>
      </c>
      <c r="M8010">
        <v>0</v>
      </c>
      <c r="N8010">
        <v>0</v>
      </c>
      <c r="O8010">
        <v>0</v>
      </c>
      <c r="P8010">
        <v>0</v>
      </c>
      <c r="Q8010">
        <v>1</v>
      </c>
      <c r="R8010">
        <v>0</v>
      </c>
      <c r="U8010">
        <v>0</v>
      </c>
      <c r="V8010">
        <v>0</v>
      </c>
      <c r="W8010">
        <v>0</v>
      </c>
      <c r="X8010">
        <v>0</v>
      </c>
      <c r="Y8010">
        <v>0</v>
      </c>
      <c r="Z8010">
        <v>0</v>
      </c>
      <c r="AA8010">
        <v>0</v>
      </c>
      <c r="AB8010">
        <v>0</v>
      </c>
    </row>
    <row r="8011" spans="1:49" x14ac:dyDescent="0.25">
      <c r="A8011" t="str">
        <f>"8007"</f>
        <v>8007</v>
      </c>
      <c r="B8011" t="str">
        <f t="shared" si="464"/>
        <v>1</v>
      </c>
      <c r="C8011" t="str">
        <f t="shared" si="466"/>
        <v>352</v>
      </c>
      <c r="D8011" t="str">
        <f>"7"</f>
        <v>7</v>
      </c>
      <c r="E8011" t="str">
        <f>"1-352-7"</f>
        <v>1-352-7</v>
      </c>
      <c r="F8011" t="s">
        <v>83</v>
      </c>
      <c r="G8011" t="s">
        <v>86</v>
      </c>
      <c r="H8011" t="s">
        <v>87</v>
      </c>
      <c r="AC8011">
        <v>0</v>
      </c>
      <c r="AD8011">
        <v>0</v>
      </c>
      <c r="AE8011">
        <v>0</v>
      </c>
      <c r="AF8011">
        <v>0</v>
      </c>
      <c r="AH8011">
        <v>0</v>
      </c>
      <c r="AI8011">
        <v>1</v>
      </c>
      <c r="AJ8011">
        <v>0</v>
      </c>
      <c r="AK8011">
        <v>0</v>
      </c>
      <c r="AL8011">
        <v>0</v>
      </c>
      <c r="AM8011">
        <v>0</v>
      </c>
      <c r="AN8011">
        <v>0</v>
      </c>
      <c r="AO8011">
        <v>0</v>
      </c>
      <c r="AP8011">
        <v>0</v>
      </c>
      <c r="AQ8011">
        <v>0</v>
      </c>
      <c r="AU8011">
        <v>0</v>
      </c>
      <c r="AV8011">
        <v>0</v>
      </c>
      <c r="AW8011">
        <v>0</v>
      </c>
    </row>
    <row r="8012" spans="1:49" x14ac:dyDescent="0.25">
      <c r="A8012" t="str">
        <f>"8008"</f>
        <v>8008</v>
      </c>
      <c r="B8012" t="str">
        <f t="shared" si="464"/>
        <v>1</v>
      </c>
      <c r="C8012" t="str">
        <f t="shared" si="466"/>
        <v>352</v>
      </c>
      <c r="D8012" t="str">
        <f>"19"</f>
        <v>19</v>
      </c>
      <c r="E8012" t="str">
        <f>"1-352-19"</f>
        <v>1-352-19</v>
      </c>
      <c r="F8012" t="s">
        <v>83</v>
      </c>
      <c r="G8012" t="s">
        <v>86</v>
      </c>
      <c r="H8012" t="s">
        <v>93</v>
      </c>
      <c r="I8012">
        <v>1</v>
      </c>
      <c r="K8012">
        <v>0</v>
      </c>
      <c r="L8012">
        <v>1</v>
      </c>
      <c r="M8012">
        <v>0</v>
      </c>
      <c r="N8012">
        <v>1</v>
      </c>
      <c r="O8012">
        <v>1</v>
      </c>
      <c r="P8012">
        <v>1</v>
      </c>
      <c r="Q8012">
        <v>1</v>
      </c>
      <c r="R8012">
        <v>1</v>
      </c>
      <c r="U8012">
        <v>0</v>
      </c>
      <c r="V8012">
        <v>1</v>
      </c>
      <c r="W8012">
        <v>1</v>
      </c>
      <c r="X8012">
        <v>1</v>
      </c>
      <c r="Y8012">
        <v>1</v>
      </c>
      <c r="Z8012">
        <v>1</v>
      </c>
      <c r="AA8012">
        <v>1</v>
      </c>
      <c r="AB8012">
        <v>1</v>
      </c>
    </row>
    <row r="8013" spans="1:49" x14ac:dyDescent="0.25">
      <c r="A8013" t="str">
        <f>"8009"</f>
        <v>8009</v>
      </c>
      <c r="B8013" t="str">
        <f t="shared" si="464"/>
        <v>1</v>
      </c>
      <c r="C8013" t="str">
        <f t="shared" si="466"/>
        <v>352</v>
      </c>
      <c r="D8013" t="str">
        <f>"12"</f>
        <v>12</v>
      </c>
      <c r="E8013" t="str">
        <f>"1-352-12"</f>
        <v>1-352-12</v>
      </c>
      <c r="F8013" t="s">
        <v>83</v>
      </c>
      <c r="G8013" t="s">
        <v>86</v>
      </c>
      <c r="H8013" t="s">
        <v>87</v>
      </c>
      <c r="AC8013">
        <v>0</v>
      </c>
      <c r="AD8013">
        <v>1</v>
      </c>
      <c r="AE8013">
        <v>0</v>
      </c>
      <c r="AF8013">
        <v>0</v>
      </c>
      <c r="AH8013">
        <v>1</v>
      </c>
      <c r="AI8013">
        <v>0</v>
      </c>
      <c r="AJ8013">
        <v>0</v>
      </c>
      <c r="AK8013">
        <v>1</v>
      </c>
      <c r="AL8013">
        <v>0</v>
      </c>
      <c r="AM8013">
        <v>1</v>
      </c>
      <c r="AN8013">
        <v>0</v>
      </c>
      <c r="AO8013">
        <v>1</v>
      </c>
      <c r="AP8013">
        <v>1</v>
      </c>
      <c r="AQ8013">
        <v>1</v>
      </c>
      <c r="AU8013">
        <v>1</v>
      </c>
      <c r="AV8013">
        <v>1</v>
      </c>
      <c r="AW8013">
        <v>1</v>
      </c>
    </row>
    <row r="8014" spans="1:49" x14ac:dyDescent="0.25">
      <c r="A8014" t="str">
        <f>"8010"</f>
        <v>8010</v>
      </c>
      <c r="B8014" t="str">
        <f t="shared" si="464"/>
        <v>1</v>
      </c>
      <c r="C8014" t="str">
        <f t="shared" si="466"/>
        <v>352</v>
      </c>
      <c r="D8014" t="str">
        <f>"1"</f>
        <v>1</v>
      </c>
      <c r="E8014" t="str">
        <f>"1-352-1"</f>
        <v>1-352-1</v>
      </c>
      <c r="F8014" t="s">
        <v>83</v>
      </c>
      <c r="G8014" t="s">
        <v>86</v>
      </c>
      <c r="H8014" t="s">
        <v>87</v>
      </c>
      <c r="AC8014">
        <v>0</v>
      </c>
      <c r="AD8014">
        <v>0</v>
      </c>
      <c r="AE8014">
        <v>0</v>
      </c>
      <c r="AF8014">
        <v>0</v>
      </c>
      <c r="AH8014">
        <v>0</v>
      </c>
      <c r="AI8014">
        <v>1</v>
      </c>
      <c r="AJ8014">
        <v>0</v>
      </c>
      <c r="AK8014">
        <v>0</v>
      </c>
      <c r="AL8014">
        <v>0</v>
      </c>
      <c r="AM8014">
        <v>0</v>
      </c>
      <c r="AN8014">
        <v>0</v>
      </c>
      <c r="AO8014">
        <v>0</v>
      </c>
      <c r="AP8014">
        <v>0</v>
      </c>
      <c r="AQ8014">
        <v>0</v>
      </c>
      <c r="AU8014">
        <v>0</v>
      </c>
      <c r="AV8014">
        <v>0</v>
      </c>
      <c r="AW8014">
        <v>0</v>
      </c>
    </row>
    <row r="8015" spans="1:49" x14ac:dyDescent="0.25">
      <c r="A8015" t="str">
        <f>"8011"</f>
        <v>8011</v>
      </c>
      <c r="B8015" t="str">
        <f t="shared" si="464"/>
        <v>1</v>
      </c>
      <c r="C8015" t="str">
        <f t="shared" si="466"/>
        <v>352</v>
      </c>
      <c r="D8015" t="str">
        <f>"17"</f>
        <v>17</v>
      </c>
      <c r="E8015" t="str">
        <f>"1-352-17"</f>
        <v>1-352-17</v>
      </c>
      <c r="F8015" t="s">
        <v>83</v>
      </c>
      <c r="G8015" t="s">
        <v>86</v>
      </c>
      <c r="H8015" t="s">
        <v>87</v>
      </c>
      <c r="AC8015">
        <v>0</v>
      </c>
      <c r="AD8015">
        <v>1</v>
      </c>
      <c r="AE8015">
        <v>0</v>
      </c>
      <c r="AF8015">
        <v>0</v>
      </c>
      <c r="AH8015">
        <v>0</v>
      </c>
      <c r="AI8015">
        <v>1</v>
      </c>
      <c r="AJ8015">
        <v>0</v>
      </c>
      <c r="AK8015">
        <v>1</v>
      </c>
      <c r="AL8015">
        <v>0</v>
      </c>
      <c r="AM8015">
        <v>1</v>
      </c>
      <c r="AN8015">
        <v>0</v>
      </c>
      <c r="AO8015">
        <v>1</v>
      </c>
      <c r="AP8015">
        <v>1</v>
      </c>
      <c r="AQ8015">
        <v>1</v>
      </c>
      <c r="AU8015">
        <v>1</v>
      </c>
      <c r="AV8015">
        <v>1</v>
      </c>
      <c r="AW8015">
        <v>1</v>
      </c>
    </row>
    <row r="8016" spans="1:49" x14ac:dyDescent="0.25">
      <c r="A8016" t="str">
        <f>"8012"</f>
        <v>8012</v>
      </c>
      <c r="B8016" t="str">
        <f t="shared" si="464"/>
        <v>1</v>
      </c>
      <c r="C8016" t="str">
        <f t="shared" si="466"/>
        <v>352</v>
      </c>
      <c r="D8016" t="str">
        <f>"6"</f>
        <v>6</v>
      </c>
      <c r="E8016" t="str">
        <f>"1-352-6"</f>
        <v>1-352-6</v>
      </c>
      <c r="F8016" t="s">
        <v>83</v>
      </c>
      <c r="G8016" t="s">
        <v>86</v>
      </c>
      <c r="H8016" t="s">
        <v>87</v>
      </c>
      <c r="AC8016">
        <v>1</v>
      </c>
      <c r="AD8016">
        <v>0</v>
      </c>
      <c r="AE8016">
        <v>0</v>
      </c>
      <c r="AF8016">
        <v>0</v>
      </c>
      <c r="AH8016">
        <v>0</v>
      </c>
      <c r="AI8016">
        <v>1</v>
      </c>
      <c r="AJ8016">
        <v>0</v>
      </c>
      <c r="AK8016">
        <v>1</v>
      </c>
      <c r="AL8016">
        <v>0</v>
      </c>
      <c r="AM8016">
        <v>0</v>
      </c>
      <c r="AN8016">
        <v>1</v>
      </c>
      <c r="AO8016">
        <v>1</v>
      </c>
      <c r="AP8016">
        <v>1</v>
      </c>
      <c r="AQ8016">
        <v>1</v>
      </c>
      <c r="AU8016">
        <v>1</v>
      </c>
      <c r="AV8016">
        <v>1</v>
      </c>
      <c r="AW8016">
        <v>1</v>
      </c>
    </row>
    <row r="8017" spans="1:49" x14ac:dyDescent="0.25">
      <c r="A8017" t="str">
        <f>"8013"</f>
        <v>8013</v>
      </c>
      <c r="B8017" t="str">
        <f t="shared" si="464"/>
        <v>1</v>
      </c>
      <c r="C8017" t="str">
        <f t="shared" si="466"/>
        <v>352</v>
      </c>
      <c r="D8017" t="str">
        <f>"18"</f>
        <v>18</v>
      </c>
      <c r="E8017" t="str">
        <f>"1-352-18"</f>
        <v>1-352-18</v>
      </c>
      <c r="F8017" t="s">
        <v>83</v>
      </c>
      <c r="G8017" t="s">
        <v>86</v>
      </c>
      <c r="H8017" t="s">
        <v>93</v>
      </c>
      <c r="I8017">
        <v>1</v>
      </c>
      <c r="K8017">
        <v>0</v>
      </c>
      <c r="L8017">
        <v>0</v>
      </c>
      <c r="M8017">
        <v>1</v>
      </c>
      <c r="N8017">
        <v>1</v>
      </c>
      <c r="O8017">
        <v>0</v>
      </c>
      <c r="P8017">
        <v>0</v>
      </c>
      <c r="Q8017">
        <v>0</v>
      </c>
      <c r="R8017">
        <v>0</v>
      </c>
      <c r="U8017">
        <v>0</v>
      </c>
      <c r="V8017">
        <v>0</v>
      </c>
      <c r="W8017">
        <v>0</v>
      </c>
      <c r="X8017">
        <v>0</v>
      </c>
      <c r="Y8017">
        <v>0</v>
      </c>
      <c r="Z8017">
        <v>0</v>
      </c>
      <c r="AA8017">
        <v>0</v>
      </c>
      <c r="AB8017">
        <v>0</v>
      </c>
    </row>
    <row r="8018" spans="1:49" x14ac:dyDescent="0.25">
      <c r="A8018" t="str">
        <f>"8014"</f>
        <v>8014</v>
      </c>
      <c r="B8018" t="str">
        <f t="shared" si="464"/>
        <v>1</v>
      </c>
      <c r="C8018" t="str">
        <f t="shared" si="466"/>
        <v>352</v>
      </c>
      <c r="D8018" t="str">
        <f>"2"</f>
        <v>2</v>
      </c>
      <c r="E8018" t="str">
        <f>"1-352-2"</f>
        <v>1-352-2</v>
      </c>
      <c r="F8018" t="s">
        <v>83</v>
      </c>
      <c r="G8018" t="s">
        <v>86</v>
      </c>
      <c r="H8018" t="s">
        <v>87</v>
      </c>
      <c r="AC8018">
        <v>0</v>
      </c>
      <c r="AD8018">
        <v>0</v>
      </c>
      <c r="AE8018">
        <v>0</v>
      </c>
      <c r="AF8018">
        <v>0</v>
      </c>
      <c r="AH8018">
        <v>0</v>
      </c>
      <c r="AI8018">
        <v>1</v>
      </c>
      <c r="AJ8018">
        <v>0</v>
      </c>
      <c r="AK8018">
        <v>0</v>
      </c>
      <c r="AL8018">
        <v>0</v>
      </c>
      <c r="AM8018">
        <v>0</v>
      </c>
      <c r="AN8018">
        <v>0</v>
      </c>
      <c r="AO8018">
        <v>0</v>
      </c>
      <c r="AP8018">
        <v>0</v>
      </c>
      <c r="AQ8018">
        <v>0</v>
      </c>
      <c r="AU8018">
        <v>1</v>
      </c>
      <c r="AV8018">
        <v>0</v>
      </c>
      <c r="AW8018">
        <v>0</v>
      </c>
    </row>
    <row r="8019" spans="1:49" x14ac:dyDescent="0.25">
      <c r="A8019" t="str">
        <f>"8015"</f>
        <v>8015</v>
      </c>
      <c r="B8019" t="str">
        <f t="shared" si="464"/>
        <v>1</v>
      </c>
      <c r="C8019" t="str">
        <f t="shared" ref="C8019:C8043" si="467">"353"</f>
        <v>353</v>
      </c>
      <c r="D8019" t="str">
        <f>"21"</f>
        <v>21</v>
      </c>
      <c r="E8019" t="str">
        <f>"1-353-21"</f>
        <v>1-353-21</v>
      </c>
      <c r="F8019" t="s">
        <v>83</v>
      </c>
      <c r="G8019" t="s">
        <v>84</v>
      </c>
      <c r="H8019" t="s">
        <v>85</v>
      </c>
      <c r="AC8019">
        <v>0</v>
      </c>
      <c r="AD8019">
        <v>1</v>
      </c>
      <c r="AE8019">
        <v>0</v>
      </c>
      <c r="AF8019">
        <v>0</v>
      </c>
      <c r="AG8019">
        <v>0</v>
      </c>
      <c r="AJ8019">
        <v>0</v>
      </c>
      <c r="AK8019">
        <v>0</v>
      </c>
      <c r="AL8019">
        <v>0</v>
      </c>
      <c r="AM8019">
        <v>0</v>
      </c>
      <c r="AN8019">
        <v>1</v>
      </c>
      <c r="AO8019">
        <v>0</v>
      </c>
      <c r="AP8019">
        <v>0</v>
      </c>
      <c r="AQ8019">
        <v>0</v>
      </c>
      <c r="AR8019">
        <v>0</v>
      </c>
      <c r="AS8019">
        <v>0</v>
      </c>
      <c r="AT8019">
        <v>0</v>
      </c>
      <c r="AV8019">
        <v>0</v>
      </c>
      <c r="AW8019">
        <v>0</v>
      </c>
    </row>
    <row r="8020" spans="1:49" x14ac:dyDescent="0.25">
      <c r="A8020" t="str">
        <f>"8016"</f>
        <v>8016</v>
      </c>
      <c r="B8020" t="str">
        <f t="shared" si="464"/>
        <v>1</v>
      </c>
      <c r="C8020" t="str">
        <f t="shared" si="467"/>
        <v>353</v>
      </c>
      <c r="D8020" t="str">
        <f>"20"</f>
        <v>20</v>
      </c>
      <c r="E8020" t="str">
        <f>"1-353-20"</f>
        <v>1-353-20</v>
      </c>
      <c r="F8020" t="s">
        <v>83</v>
      </c>
      <c r="G8020" t="s">
        <v>84</v>
      </c>
      <c r="H8020" t="s">
        <v>92</v>
      </c>
      <c r="I8020">
        <v>1</v>
      </c>
      <c r="J8020">
        <v>1</v>
      </c>
      <c r="N8020">
        <v>1</v>
      </c>
      <c r="O8020">
        <v>1</v>
      </c>
      <c r="P8020">
        <v>1</v>
      </c>
      <c r="Q8020">
        <v>1</v>
      </c>
      <c r="R8020">
        <v>1</v>
      </c>
      <c r="S8020">
        <v>1</v>
      </c>
      <c r="T8020">
        <v>1</v>
      </c>
      <c r="W8020">
        <v>1</v>
      </c>
      <c r="X8020">
        <v>1</v>
      </c>
      <c r="Y8020">
        <v>1</v>
      </c>
      <c r="Z8020">
        <v>1</v>
      </c>
      <c r="AA8020">
        <v>1</v>
      </c>
      <c r="AB8020">
        <v>1</v>
      </c>
    </row>
    <row r="8021" spans="1:49" x14ac:dyDescent="0.25">
      <c r="A8021" t="str">
        <f>"8017"</f>
        <v>8017</v>
      </c>
      <c r="B8021" t="str">
        <f t="shared" si="464"/>
        <v>1</v>
      </c>
      <c r="C8021" t="str">
        <f t="shared" si="467"/>
        <v>353</v>
      </c>
      <c r="D8021" t="str">
        <f>"14"</f>
        <v>14</v>
      </c>
      <c r="E8021" t="str">
        <f>"1-353-14"</f>
        <v>1-353-14</v>
      </c>
      <c r="F8021" t="s">
        <v>83</v>
      </c>
      <c r="G8021" t="s">
        <v>84</v>
      </c>
      <c r="H8021" t="s">
        <v>92</v>
      </c>
      <c r="I8021">
        <v>1</v>
      </c>
      <c r="J8021">
        <v>1</v>
      </c>
      <c r="N8021">
        <v>1</v>
      </c>
      <c r="O8021">
        <v>1</v>
      </c>
      <c r="P8021">
        <v>1</v>
      </c>
      <c r="Q8021">
        <v>1</v>
      </c>
      <c r="R8021">
        <v>1</v>
      </c>
      <c r="S8021">
        <v>1</v>
      </c>
      <c r="T8021">
        <v>1</v>
      </c>
      <c r="W8021">
        <v>1</v>
      </c>
      <c r="X8021">
        <v>1</v>
      </c>
      <c r="Y8021">
        <v>1</v>
      </c>
      <c r="Z8021">
        <v>1</v>
      </c>
      <c r="AA8021">
        <v>1</v>
      </c>
      <c r="AB8021">
        <v>1</v>
      </c>
    </row>
    <row r="8022" spans="1:49" x14ac:dyDescent="0.25">
      <c r="A8022" t="str">
        <f>"8018"</f>
        <v>8018</v>
      </c>
      <c r="B8022" t="str">
        <f t="shared" si="464"/>
        <v>1</v>
      </c>
      <c r="C8022" t="str">
        <f t="shared" si="467"/>
        <v>353</v>
      </c>
      <c r="D8022" t="str">
        <f>"8"</f>
        <v>8</v>
      </c>
      <c r="E8022" t="str">
        <f>"1-353-8"</f>
        <v>1-353-8</v>
      </c>
      <c r="F8022" t="s">
        <v>83</v>
      </c>
      <c r="G8022" t="s">
        <v>84</v>
      </c>
      <c r="H8022" t="s">
        <v>85</v>
      </c>
      <c r="AC8022">
        <v>0</v>
      </c>
      <c r="AD8022">
        <v>1</v>
      </c>
      <c r="AE8022">
        <v>0</v>
      </c>
      <c r="AF8022">
        <v>0</v>
      </c>
      <c r="AG8022">
        <v>1</v>
      </c>
      <c r="AJ8022">
        <v>0</v>
      </c>
      <c r="AK8022">
        <v>1</v>
      </c>
      <c r="AL8022">
        <v>0</v>
      </c>
      <c r="AM8022">
        <v>0</v>
      </c>
      <c r="AN8022">
        <v>1</v>
      </c>
      <c r="AO8022">
        <v>1</v>
      </c>
      <c r="AP8022">
        <v>1</v>
      </c>
      <c r="AQ8022">
        <v>1</v>
      </c>
      <c r="AR8022">
        <v>1</v>
      </c>
      <c r="AS8022">
        <v>0</v>
      </c>
      <c r="AT8022">
        <v>1</v>
      </c>
      <c r="AV8022">
        <v>1</v>
      </c>
      <c r="AW8022">
        <v>1</v>
      </c>
    </row>
    <row r="8023" spans="1:49" x14ac:dyDescent="0.25">
      <c r="A8023" t="str">
        <f>"8019"</f>
        <v>8019</v>
      </c>
      <c r="B8023" t="str">
        <f t="shared" si="464"/>
        <v>1</v>
      </c>
      <c r="C8023" t="str">
        <f t="shared" si="467"/>
        <v>353</v>
      </c>
      <c r="D8023" t="str">
        <f>"4"</f>
        <v>4</v>
      </c>
      <c r="E8023" t="str">
        <f>"1-353-4"</f>
        <v>1-353-4</v>
      </c>
      <c r="F8023" t="s">
        <v>83</v>
      </c>
      <c r="G8023" t="s">
        <v>86</v>
      </c>
      <c r="H8023" t="s">
        <v>87</v>
      </c>
      <c r="AC8023">
        <v>0</v>
      </c>
      <c r="AD8023">
        <v>0</v>
      </c>
      <c r="AE8023">
        <v>0</v>
      </c>
      <c r="AF8023">
        <v>0</v>
      </c>
      <c r="AH8023">
        <v>0</v>
      </c>
      <c r="AI8023">
        <v>1</v>
      </c>
      <c r="AJ8023">
        <v>0</v>
      </c>
      <c r="AK8023">
        <v>0</v>
      </c>
      <c r="AL8023">
        <v>0</v>
      </c>
      <c r="AM8023">
        <v>0</v>
      </c>
      <c r="AN8023">
        <v>1</v>
      </c>
      <c r="AO8023">
        <v>0</v>
      </c>
      <c r="AP8023">
        <v>0</v>
      </c>
      <c r="AQ8023">
        <v>0</v>
      </c>
      <c r="AU8023">
        <v>0</v>
      </c>
      <c r="AV8023">
        <v>0</v>
      </c>
      <c r="AW8023">
        <v>0</v>
      </c>
    </row>
    <row r="8024" spans="1:49" x14ac:dyDescent="0.25">
      <c r="A8024" t="str">
        <f>"8020"</f>
        <v>8020</v>
      </c>
      <c r="B8024" t="str">
        <f t="shared" si="464"/>
        <v>1</v>
      </c>
      <c r="C8024" t="str">
        <f t="shared" si="467"/>
        <v>353</v>
      </c>
      <c r="D8024" t="str">
        <f>"23"</f>
        <v>23</v>
      </c>
      <c r="E8024" t="str">
        <f>"1-353-23"</f>
        <v>1-353-23</v>
      </c>
      <c r="F8024" t="s">
        <v>83</v>
      </c>
      <c r="G8024" t="s">
        <v>84</v>
      </c>
      <c r="H8024" t="s">
        <v>85</v>
      </c>
      <c r="AC8024">
        <v>0</v>
      </c>
      <c r="AD8024">
        <v>1</v>
      </c>
      <c r="AE8024">
        <v>0</v>
      </c>
      <c r="AF8024">
        <v>0</v>
      </c>
      <c r="AG8024">
        <v>1</v>
      </c>
      <c r="AJ8024">
        <v>0</v>
      </c>
      <c r="AK8024">
        <v>1</v>
      </c>
      <c r="AL8024">
        <v>0</v>
      </c>
      <c r="AM8024">
        <v>0</v>
      </c>
      <c r="AN8024">
        <v>1</v>
      </c>
      <c r="AO8024">
        <v>1</v>
      </c>
      <c r="AP8024">
        <v>0</v>
      </c>
      <c r="AQ8024">
        <v>0</v>
      </c>
      <c r="AR8024">
        <v>0</v>
      </c>
      <c r="AS8024">
        <v>0</v>
      </c>
      <c r="AT8024">
        <v>1</v>
      </c>
      <c r="AV8024">
        <v>0</v>
      </c>
      <c r="AW8024">
        <v>0</v>
      </c>
    </row>
    <row r="8025" spans="1:49" x14ac:dyDescent="0.25">
      <c r="A8025" t="str">
        <f>"8021"</f>
        <v>8021</v>
      </c>
      <c r="B8025" t="str">
        <f t="shared" si="464"/>
        <v>1</v>
      </c>
      <c r="C8025" t="str">
        <f t="shared" si="467"/>
        <v>353</v>
      </c>
      <c r="D8025" t="str">
        <f>"22"</f>
        <v>22</v>
      </c>
      <c r="E8025" t="str">
        <f>"1-353-22"</f>
        <v>1-353-22</v>
      </c>
      <c r="F8025" t="s">
        <v>83</v>
      </c>
      <c r="G8025" t="s">
        <v>84</v>
      </c>
      <c r="H8025" t="s">
        <v>92</v>
      </c>
      <c r="I8025">
        <v>1</v>
      </c>
      <c r="J8025">
        <v>1</v>
      </c>
      <c r="N8025">
        <v>1</v>
      </c>
      <c r="O8025">
        <v>1</v>
      </c>
      <c r="P8025">
        <v>1</v>
      </c>
      <c r="Q8025">
        <v>1</v>
      </c>
      <c r="R8025">
        <v>1</v>
      </c>
      <c r="S8025">
        <v>1</v>
      </c>
      <c r="T8025">
        <v>1</v>
      </c>
      <c r="W8025">
        <v>1</v>
      </c>
      <c r="X8025">
        <v>1</v>
      </c>
      <c r="Y8025">
        <v>1</v>
      </c>
      <c r="Z8025">
        <v>1</v>
      </c>
      <c r="AA8025">
        <v>1</v>
      </c>
      <c r="AB8025">
        <v>1</v>
      </c>
    </row>
    <row r="8026" spans="1:49" x14ac:dyDescent="0.25">
      <c r="A8026" t="str">
        <f>"8022"</f>
        <v>8022</v>
      </c>
      <c r="B8026" t="str">
        <f t="shared" si="464"/>
        <v>1</v>
      </c>
      <c r="C8026" t="str">
        <f t="shared" si="467"/>
        <v>353</v>
      </c>
      <c r="D8026" t="str">
        <f>"13"</f>
        <v>13</v>
      </c>
      <c r="E8026" t="str">
        <f>"1-353-13"</f>
        <v>1-353-13</v>
      </c>
      <c r="F8026" t="s">
        <v>83</v>
      </c>
      <c r="G8026" t="s">
        <v>84</v>
      </c>
      <c r="H8026" t="s">
        <v>85</v>
      </c>
      <c r="AC8026">
        <v>0</v>
      </c>
      <c r="AD8026">
        <v>1</v>
      </c>
      <c r="AE8026">
        <v>0</v>
      </c>
      <c r="AF8026">
        <v>0</v>
      </c>
      <c r="AG8026">
        <v>1</v>
      </c>
      <c r="AJ8026">
        <v>1</v>
      </c>
      <c r="AK8026">
        <v>0</v>
      </c>
      <c r="AL8026">
        <v>0</v>
      </c>
      <c r="AM8026">
        <v>1</v>
      </c>
      <c r="AN8026">
        <v>0</v>
      </c>
      <c r="AO8026">
        <v>1</v>
      </c>
      <c r="AP8026">
        <v>1</v>
      </c>
      <c r="AQ8026">
        <v>1</v>
      </c>
      <c r="AR8026">
        <v>1</v>
      </c>
      <c r="AS8026">
        <v>1</v>
      </c>
      <c r="AT8026">
        <v>0</v>
      </c>
      <c r="AV8026">
        <v>1</v>
      </c>
      <c r="AW8026">
        <v>1</v>
      </c>
    </row>
    <row r="8027" spans="1:49" x14ac:dyDescent="0.25">
      <c r="A8027" t="str">
        <f>"8023"</f>
        <v>8023</v>
      </c>
      <c r="B8027" t="str">
        <f t="shared" si="464"/>
        <v>1</v>
      </c>
      <c r="C8027" t="str">
        <f t="shared" si="467"/>
        <v>353</v>
      </c>
      <c r="D8027" t="str">
        <f>"9"</f>
        <v>9</v>
      </c>
      <c r="E8027" t="str">
        <f>"1-353-9"</f>
        <v>1-353-9</v>
      </c>
      <c r="F8027" t="s">
        <v>83</v>
      </c>
      <c r="G8027" t="s">
        <v>84</v>
      </c>
      <c r="H8027" t="s">
        <v>85</v>
      </c>
      <c r="AC8027">
        <v>0</v>
      </c>
      <c r="AD8027">
        <v>1</v>
      </c>
      <c r="AE8027">
        <v>0</v>
      </c>
      <c r="AF8027">
        <v>0</v>
      </c>
      <c r="AG8027">
        <v>0</v>
      </c>
      <c r="AJ8027">
        <v>1</v>
      </c>
      <c r="AK8027">
        <v>0</v>
      </c>
      <c r="AL8027">
        <v>0</v>
      </c>
      <c r="AM8027">
        <v>0</v>
      </c>
      <c r="AN8027">
        <v>0</v>
      </c>
      <c r="AO8027">
        <v>0</v>
      </c>
      <c r="AP8027">
        <v>0</v>
      </c>
      <c r="AQ8027">
        <v>0</v>
      </c>
      <c r="AR8027">
        <v>0</v>
      </c>
      <c r="AS8027">
        <v>1</v>
      </c>
      <c r="AT8027">
        <v>0</v>
      </c>
      <c r="AV8027">
        <v>0</v>
      </c>
      <c r="AW8027">
        <v>0</v>
      </c>
    </row>
    <row r="8028" spans="1:49" x14ac:dyDescent="0.25">
      <c r="A8028" t="str">
        <f>"8024"</f>
        <v>8024</v>
      </c>
      <c r="B8028" t="str">
        <f t="shared" si="464"/>
        <v>1</v>
      </c>
      <c r="C8028" t="str">
        <f t="shared" si="467"/>
        <v>353</v>
      </c>
      <c r="D8028" t="str">
        <f>"3"</f>
        <v>3</v>
      </c>
      <c r="E8028" t="str">
        <f>"1-353-3"</f>
        <v>1-353-3</v>
      </c>
      <c r="F8028" t="s">
        <v>83</v>
      </c>
      <c r="G8028" t="s">
        <v>86</v>
      </c>
      <c r="H8028" t="s">
        <v>87</v>
      </c>
      <c r="AC8028">
        <v>0</v>
      </c>
      <c r="AD8028">
        <v>1</v>
      </c>
      <c r="AE8028">
        <v>0</v>
      </c>
      <c r="AF8028">
        <v>0</v>
      </c>
      <c r="AH8028">
        <v>0</v>
      </c>
      <c r="AI8028">
        <v>1</v>
      </c>
      <c r="AJ8028">
        <v>0</v>
      </c>
      <c r="AK8028">
        <v>1</v>
      </c>
      <c r="AL8028">
        <v>0</v>
      </c>
      <c r="AM8028">
        <v>0</v>
      </c>
      <c r="AN8028">
        <v>0</v>
      </c>
      <c r="AO8028">
        <v>0</v>
      </c>
      <c r="AP8028">
        <v>0</v>
      </c>
      <c r="AQ8028">
        <v>0</v>
      </c>
      <c r="AU8028">
        <v>0</v>
      </c>
      <c r="AV8028">
        <v>0</v>
      </c>
      <c r="AW8028">
        <v>0</v>
      </c>
    </row>
    <row r="8029" spans="1:49" x14ac:dyDescent="0.25">
      <c r="A8029" t="str">
        <f>"8025"</f>
        <v>8025</v>
      </c>
      <c r="B8029" t="str">
        <f t="shared" si="464"/>
        <v>1</v>
      </c>
      <c r="C8029" t="str">
        <f t="shared" si="467"/>
        <v>353</v>
      </c>
      <c r="D8029" t="str">
        <f>"25"</f>
        <v>25</v>
      </c>
      <c r="E8029" t="str">
        <f>"1-353-25"</f>
        <v>1-353-25</v>
      </c>
      <c r="F8029" t="s">
        <v>83</v>
      </c>
      <c r="G8029" t="s">
        <v>86</v>
      </c>
      <c r="H8029" t="s">
        <v>87</v>
      </c>
      <c r="AC8029">
        <v>0</v>
      </c>
      <c r="AD8029">
        <v>0</v>
      </c>
      <c r="AE8029">
        <v>0</v>
      </c>
      <c r="AF8029">
        <v>0</v>
      </c>
      <c r="AH8029">
        <v>0</v>
      </c>
      <c r="AI8029">
        <v>1</v>
      </c>
      <c r="AJ8029">
        <v>0</v>
      </c>
      <c r="AK8029">
        <v>0</v>
      </c>
      <c r="AL8029">
        <v>0</v>
      </c>
      <c r="AM8029">
        <v>0</v>
      </c>
      <c r="AN8029">
        <v>0</v>
      </c>
      <c r="AO8029">
        <v>0</v>
      </c>
      <c r="AP8029">
        <v>0</v>
      </c>
      <c r="AQ8029">
        <v>0</v>
      </c>
      <c r="AU8029">
        <v>0</v>
      </c>
      <c r="AV8029">
        <v>0</v>
      </c>
      <c r="AW8029">
        <v>0</v>
      </c>
    </row>
    <row r="8030" spans="1:49" x14ac:dyDescent="0.25">
      <c r="A8030" t="str">
        <f>"8026"</f>
        <v>8026</v>
      </c>
      <c r="B8030" t="str">
        <f t="shared" ref="B8030:B8093" si="468">"1"</f>
        <v>1</v>
      </c>
      <c r="C8030" t="str">
        <f t="shared" si="467"/>
        <v>353</v>
      </c>
      <c r="D8030" t="str">
        <f>"24"</f>
        <v>24</v>
      </c>
      <c r="E8030" t="str">
        <f>"1-353-24"</f>
        <v>1-353-24</v>
      </c>
      <c r="F8030" t="s">
        <v>83</v>
      </c>
      <c r="G8030" t="s">
        <v>86</v>
      </c>
      <c r="H8030" t="s">
        <v>87</v>
      </c>
      <c r="AC8030">
        <v>0</v>
      </c>
      <c r="AD8030">
        <v>0</v>
      </c>
      <c r="AE8030">
        <v>0</v>
      </c>
      <c r="AF8030">
        <v>0</v>
      </c>
      <c r="AH8030">
        <v>0</v>
      </c>
      <c r="AI8030">
        <v>1</v>
      </c>
      <c r="AJ8030">
        <v>0</v>
      </c>
      <c r="AK8030">
        <v>0</v>
      </c>
      <c r="AL8030">
        <v>0</v>
      </c>
      <c r="AM8030">
        <v>0</v>
      </c>
      <c r="AN8030">
        <v>0</v>
      </c>
      <c r="AO8030">
        <v>0</v>
      </c>
      <c r="AP8030">
        <v>0</v>
      </c>
      <c r="AQ8030">
        <v>0</v>
      </c>
      <c r="AU8030">
        <v>0</v>
      </c>
      <c r="AV8030">
        <v>0</v>
      </c>
      <c r="AW8030">
        <v>0</v>
      </c>
    </row>
    <row r="8031" spans="1:49" x14ac:dyDescent="0.25">
      <c r="A8031" t="str">
        <f>"8027"</f>
        <v>8027</v>
      </c>
      <c r="B8031" t="str">
        <f t="shared" si="468"/>
        <v>1</v>
      </c>
      <c r="C8031" t="str">
        <f t="shared" si="467"/>
        <v>353</v>
      </c>
      <c r="D8031" t="str">
        <f>"15"</f>
        <v>15</v>
      </c>
      <c r="E8031" t="str">
        <f>"1-353-15"</f>
        <v>1-353-15</v>
      </c>
      <c r="F8031" t="s">
        <v>83</v>
      </c>
      <c r="G8031" t="s">
        <v>84</v>
      </c>
      <c r="H8031" t="s">
        <v>85</v>
      </c>
      <c r="AC8031">
        <v>0</v>
      </c>
      <c r="AD8031">
        <v>1</v>
      </c>
      <c r="AE8031">
        <v>0</v>
      </c>
      <c r="AF8031">
        <v>0</v>
      </c>
      <c r="AG8031">
        <v>1</v>
      </c>
      <c r="AJ8031">
        <v>1</v>
      </c>
      <c r="AK8031">
        <v>0</v>
      </c>
      <c r="AL8031">
        <v>0</v>
      </c>
      <c r="AM8031">
        <v>0</v>
      </c>
      <c r="AN8031">
        <v>1</v>
      </c>
      <c r="AO8031">
        <v>1</v>
      </c>
      <c r="AP8031">
        <v>1</v>
      </c>
      <c r="AQ8031">
        <v>1</v>
      </c>
      <c r="AR8031">
        <v>1</v>
      </c>
      <c r="AS8031">
        <v>0</v>
      </c>
      <c r="AT8031">
        <v>1</v>
      </c>
      <c r="AV8031">
        <v>1</v>
      </c>
      <c r="AW8031">
        <v>1</v>
      </c>
    </row>
    <row r="8032" spans="1:49" x14ac:dyDescent="0.25">
      <c r="A8032" t="str">
        <f>"8028"</f>
        <v>8028</v>
      </c>
      <c r="B8032" t="str">
        <f t="shared" si="468"/>
        <v>1</v>
      </c>
      <c r="C8032" t="str">
        <f t="shared" si="467"/>
        <v>353</v>
      </c>
      <c r="D8032" t="str">
        <f>"10"</f>
        <v>10</v>
      </c>
      <c r="E8032" t="str">
        <f>"1-353-10"</f>
        <v>1-353-10</v>
      </c>
      <c r="F8032" t="s">
        <v>83</v>
      </c>
      <c r="G8032" t="s">
        <v>84</v>
      </c>
      <c r="H8032" t="s">
        <v>85</v>
      </c>
      <c r="AC8032">
        <v>0</v>
      </c>
      <c r="AD8032">
        <v>1</v>
      </c>
      <c r="AE8032">
        <v>0</v>
      </c>
      <c r="AF8032">
        <v>0</v>
      </c>
      <c r="AG8032">
        <v>1</v>
      </c>
      <c r="AJ8032">
        <v>0</v>
      </c>
      <c r="AK8032">
        <v>1</v>
      </c>
      <c r="AL8032">
        <v>0</v>
      </c>
      <c r="AM8032">
        <v>0</v>
      </c>
      <c r="AN8032">
        <v>1</v>
      </c>
      <c r="AO8032">
        <v>1</v>
      </c>
      <c r="AP8032">
        <v>1</v>
      </c>
      <c r="AQ8032">
        <v>1</v>
      </c>
      <c r="AR8032">
        <v>1</v>
      </c>
      <c r="AS8032">
        <v>1</v>
      </c>
      <c r="AT8032">
        <v>0</v>
      </c>
      <c r="AV8032">
        <v>1</v>
      </c>
      <c r="AW8032">
        <v>1</v>
      </c>
    </row>
    <row r="8033" spans="1:49" x14ac:dyDescent="0.25">
      <c r="A8033" t="str">
        <f>"8029"</f>
        <v>8029</v>
      </c>
      <c r="B8033" t="str">
        <f t="shared" si="468"/>
        <v>1</v>
      </c>
      <c r="C8033" t="str">
        <f t="shared" si="467"/>
        <v>353</v>
      </c>
      <c r="D8033" t="str">
        <f>"5"</f>
        <v>5</v>
      </c>
      <c r="E8033" t="str">
        <f>"1-353-5"</f>
        <v>1-353-5</v>
      </c>
      <c r="F8033" t="s">
        <v>83</v>
      </c>
      <c r="G8033" t="s">
        <v>84</v>
      </c>
      <c r="H8033" t="s">
        <v>85</v>
      </c>
      <c r="AC8033">
        <v>0</v>
      </c>
      <c r="AD8033">
        <v>1</v>
      </c>
      <c r="AE8033">
        <v>0</v>
      </c>
      <c r="AF8033">
        <v>0</v>
      </c>
      <c r="AG8033">
        <v>0</v>
      </c>
      <c r="AJ8033">
        <v>0</v>
      </c>
      <c r="AK8033">
        <v>1</v>
      </c>
      <c r="AL8033">
        <v>1</v>
      </c>
      <c r="AM8033">
        <v>0</v>
      </c>
      <c r="AN8033">
        <v>0</v>
      </c>
      <c r="AO8033">
        <v>0</v>
      </c>
      <c r="AP8033">
        <v>0</v>
      </c>
      <c r="AQ8033">
        <v>0</v>
      </c>
      <c r="AR8033">
        <v>0</v>
      </c>
      <c r="AS8033">
        <v>1</v>
      </c>
      <c r="AT8033">
        <v>0</v>
      </c>
      <c r="AV8033">
        <v>0</v>
      </c>
      <c r="AW8033">
        <v>0</v>
      </c>
    </row>
    <row r="8034" spans="1:49" x14ac:dyDescent="0.25">
      <c r="A8034" t="str">
        <f>"8030"</f>
        <v>8030</v>
      </c>
      <c r="B8034" t="str">
        <f t="shared" si="468"/>
        <v>1</v>
      </c>
      <c r="C8034" t="str">
        <f t="shared" si="467"/>
        <v>353</v>
      </c>
      <c r="D8034" t="str">
        <f>"11"</f>
        <v>11</v>
      </c>
      <c r="E8034" t="str">
        <f>"1-353-11"</f>
        <v>1-353-11</v>
      </c>
      <c r="F8034" t="s">
        <v>83</v>
      </c>
      <c r="G8034" t="s">
        <v>84</v>
      </c>
      <c r="H8034" t="s">
        <v>92</v>
      </c>
      <c r="I8034">
        <v>1</v>
      </c>
      <c r="J8034">
        <v>1</v>
      </c>
      <c r="N8034">
        <v>1</v>
      </c>
      <c r="O8034">
        <v>1</v>
      </c>
      <c r="P8034">
        <v>1</v>
      </c>
      <c r="Q8034">
        <v>1</v>
      </c>
      <c r="R8034">
        <v>1</v>
      </c>
      <c r="S8034">
        <v>1</v>
      </c>
      <c r="T8034">
        <v>1</v>
      </c>
      <c r="W8034">
        <v>1</v>
      </c>
      <c r="X8034">
        <v>1</v>
      </c>
      <c r="Y8034">
        <v>1</v>
      </c>
      <c r="Z8034">
        <v>1</v>
      </c>
      <c r="AA8034">
        <v>1</v>
      </c>
      <c r="AB8034">
        <v>1</v>
      </c>
    </row>
    <row r="8035" spans="1:49" x14ac:dyDescent="0.25">
      <c r="A8035" t="str">
        <f>"8031"</f>
        <v>8031</v>
      </c>
      <c r="B8035" t="str">
        <f t="shared" si="468"/>
        <v>1</v>
      </c>
      <c r="C8035" t="str">
        <f t="shared" si="467"/>
        <v>353</v>
      </c>
      <c r="D8035" t="str">
        <f>"6"</f>
        <v>6</v>
      </c>
      <c r="E8035" t="str">
        <f>"1-353-6"</f>
        <v>1-353-6</v>
      </c>
      <c r="F8035" t="s">
        <v>83</v>
      </c>
      <c r="G8035" t="s">
        <v>84</v>
      </c>
      <c r="H8035" t="s">
        <v>85</v>
      </c>
      <c r="AC8035">
        <v>0</v>
      </c>
      <c r="AD8035">
        <v>1</v>
      </c>
      <c r="AE8035">
        <v>0</v>
      </c>
      <c r="AF8035">
        <v>0</v>
      </c>
      <c r="AG8035">
        <v>1</v>
      </c>
      <c r="AJ8035">
        <v>1</v>
      </c>
      <c r="AK8035">
        <v>0</v>
      </c>
      <c r="AL8035">
        <v>0</v>
      </c>
      <c r="AM8035">
        <v>1</v>
      </c>
      <c r="AN8035">
        <v>0</v>
      </c>
      <c r="AO8035">
        <v>1</v>
      </c>
      <c r="AP8035">
        <v>1</v>
      </c>
      <c r="AQ8035">
        <v>1</v>
      </c>
      <c r="AR8035">
        <v>1</v>
      </c>
      <c r="AS8035">
        <v>1</v>
      </c>
      <c r="AT8035">
        <v>0</v>
      </c>
      <c r="AV8035">
        <v>1</v>
      </c>
      <c r="AW8035">
        <v>1</v>
      </c>
    </row>
    <row r="8036" spans="1:49" x14ac:dyDescent="0.25">
      <c r="A8036" t="str">
        <f>"8032"</f>
        <v>8032</v>
      </c>
      <c r="B8036" t="str">
        <f t="shared" si="468"/>
        <v>1</v>
      </c>
      <c r="C8036" t="str">
        <f t="shared" si="467"/>
        <v>353</v>
      </c>
      <c r="D8036" t="str">
        <f>"16"</f>
        <v>16</v>
      </c>
      <c r="E8036" t="str">
        <f>"1-353-16"</f>
        <v>1-353-16</v>
      </c>
      <c r="F8036" t="s">
        <v>83</v>
      </c>
      <c r="G8036" t="s">
        <v>84</v>
      </c>
      <c r="H8036" t="s">
        <v>85</v>
      </c>
      <c r="AC8036">
        <v>0</v>
      </c>
      <c r="AD8036">
        <v>1</v>
      </c>
      <c r="AE8036">
        <v>0</v>
      </c>
      <c r="AF8036">
        <v>0</v>
      </c>
      <c r="AG8036">
        <v>1</v>
      </c>
      <c r="AJ8036">
        <v>0</v>
      </c>
      <c r="AK8036">
        <v>1</v>
      </c>
      <c r="AL8036">
        <v>0</v>
      </c>
      <c r="AM8036">
        <v>0</v>
      </c>
      <c r="AN8036">
        <v>1</v>
      </c>
      <c r="AO8036">
        <v>1</v>
      </c>
      <c r="AP8036">
        <v>1</v>
      </c>
      <c r="AQ8036">
        <v>1</v>
      </c>
      <c r="AR8036">
        <v>1</v>
      </c>
      <c r="AS8036">
        <v>0</v>
      </c>
      <c r="AT8036">
        <v>1</v>
      </c>
      <c r="AV8036">
        <v>1</v>
      </c>
      <c r="AW8036">
        <v>1</v>
      </c>
    </row>
    <row r="8037" spans="1:49" x14ac:dyDescent="0.25">
      <c r="A8037" t="str">
        <f>"8033"</f>
        <v>8033</v>
      </c>
      <c r="B8037" t="str">
        <f t="shared" si="468"/>
        <v>1</v>
      </c>
      <c r="C8037" t="str">
        <f t="shared" si="467"/>
        <v>353</v>
      </c>
      <c r="D8037" t="str">
        <f>"12"</f>
        <v>12</v>
      </c>
      <c r="E8037" t="str">
        <f>"1-353-12"</f>
        <v>1-353-12</v>
      </c>
      <c r="F8037" t="s">
        <v>83</v>
      </c>
      <c r="G8037" t="s">
        <v>84</v>
      </c>
      <c r="H8037" t="s">
        <v>85</v>
      </c>
      <c r="AC8037">
        <v>0</v>
      </c>
      <c r="AD8037">
        <v>1</v>
      </c>
      <c r="AE8037">
        <v>0</v>
      </c>
      <c r="AF8037">
        <v>0</v>
      </c>
      <c r="AG8037">
        <v>1</v>
      </c>
      <c r="AJ8037">
        <v>0</v>
      </c>
      <c r="AK8037">
        <v>1</v>
      </c>
      <c r="AL8037">
        <v>0</v>
      </c>
      <c r="AM8037">
        <v>0</v>
      </c>
      <c r="AN8037">
        <v>1</v>
      </c>
      <c r="AO8037">
        <v>1</v>
      </c>
      <c r="AP8037">
        <v>1</v>
      </c>
      <c r="AQ8037">
        <v>1</v>
      </c>
      <c r="AR8037">
        <v>1</v>
      </c>
      <c r="AS8037">
        <v>0</v>
      </c>
      <c r="AT8037">
        <v>1</v>
      </c>
      <c r="AV8037">
        <v>1</v>
      </c>
      <c r="AW8037">
        <v>1</v>
      </c>
    </row>
    <row r="8038" spans="1:49" x14ac:dyDescent="0.25">
      <c r="A8038" t="str">
        <f>"8034"</f>
        <v>8034</v>
      </c>
      <c r="B8038" t="str">
        <f t="shared" si="468"/>
        <v>1</v>
      </c>
      <c r="C8038" t="str">
        <f t="shared" si="467"/>
        <v>353</v>
      </c>
      <c r="D8038" t="str">
        <f>"1"</f>
        <v>1</v>
      </c>
      <c r="E8038" t="str">
        <f>"1-353-1"</f>
        <v>1-353-1</v>
      </c>
      <c r="F8038" t="s">
        <v>83</v>
      </c>
      <c r="G8038" t="s">
        <v>86</v>
      </c>
      <c r="H8038" t="s">
        <v>93</v>
      </c>
      <c r="I8038">
        <v>1</v>
      </c>
      <c r="K8038">
        <v>1</v>
      </c>
      <c r="L8038">
        <v>0</v>
      </c>
      <c r="M8038">
        <v>0</v>
      </c>
      <c r="N8038">
        <v>1</v>
      </c>
      <c r="O8038">
        <v>1</v>
      </c>
      <c r="P8038">
        <v>1</v>
      </c>
      <c r="Q8038">
        <v>1</v>
      </c>
      <c r="R8038">
        <v>1</v>
      </c>
      <c r="U8038">
        <v>0</v>
      </c>
      <c r="V8038">
        <v>1</v>
      </c>
      <c r="W8038">
        <v>1</v>
      </c>
      <c r="X8038">
        <v>1</v>
      </c>
      <c r="Y8038">
        <v>1</v>
      </c>
      <c r="Z8038">
        <v>1</v>
      </c>
      <c r="AA8038">
        <v>1</v>
      </c>
      <c r="AB8038">
        <v>1</v>
      </c>
    </row>
    <row r="8039" spans="1:49" x14ac:dyDescent="0.25">
      <c r="A8039" t="str">
        <f>"8035"</f>
        <v>8035</v>
      </c>
      <c r="B8039" t="str">
        <f t="shared" si="468"/>
        <v>1</v>
      </c>
      <c r="C8039" t="str">
        <f t="shared" si="467"/>
        <v>353</v>
      </c>
      <c r="D8039" t="str">
        <f>"7"</f>
        <v>7</v>
      </c>
      <c r="E8039" t="str">
        <f>"1-353-7"</f>
        <v>1-353-7</v>
      </c>
      <c r="F8039" t="s">
        <v>83</v>
      </c>
      <c r="G8039" t="s">
        <v>84</v>
      </c>
      <c r="H8039" t="s">
        <v>92</v>
      </c>
      <c r="I8039">
        <v>1</v>
      </c>
      <c r="J8039">
        <v>1</v>
      </c>
      <c r="N8039">
        <v>1</v>
      </c>
      <c r="O8039">
        <v>1</v>
      </c>
      <c r="P8039">
        <v>1</v>
      </c>
      <c r="Q8039">
        <v>1</v>
      </c>
      <c r="R8039">
        <v>1</v>
      </c>
      <c r="S8039">
        <v>1</v>
      </c>
      <c r="T8039">
        <v>1</v>
      </c>
      <c r="W8039">
        <v>1</v>
      </c>
      <c r="X8039">
        <v>1</v>
      </c>
      <c r="Y8039">
        <v>1</v>
      </c>
      <c r="Z8039">
        <v>1</v>
      </c>
      <c r="AA8039">
        <v>1</v>
      </c>
      <c r="AB8039">
        <v>1</v>
      </c>
    </row>
    <row r="8040" spans="1:49" x14ac:dyDescent="0.25">
      <c r="A8040" t="str">
        <f>"8036"</f>
        <v>8036</v>
      </c>
      <c r="B8040" t="str">
        <f t="shared" si="468"/>
        <v>1</v>
      </c>
      <c r="C8040" t="str">
        <f t="shared" si="467"/>
        <v>353</v>
      </c>
      <c r="D8040" t="str">
        <f>"19"</f>
        <v>19</v>
      </c>
      <c r="E8040" t="str">
        <f>"1-353-19"</f>
        <v>1-353-19</v>
      </c>
      <c r="F8040" t="s">
        <v>83</v>
      </c>
      <c r="G8040" t="s">
        <v>84</v>
      </c>
      <c r="H8040" t="s">
        <v>85</v>
      </c>
      <c r="AC8040">
        <v>0</v>
      </c>
      <c r="AD8040">
        <v>1</v>
      </c>
      <c r="AE8040">
        <v>0</v>
      </c>
      <c r="AF8040">
        <v>0</v>
      </c>
      <c r="AG8040">
        <v>0</v>
      </c>
      <c r="AJ8040">
        <v>0</v>
      </c>
      <c r="AK8040">
        <v>1</v>
      </c>
      <c r="AL8040">
        <v>0</v>
      </c>
      <c r="AM8040">
        <v>0</v>
      </c>
      <c r="AN8040">
        <v>1</v>
      </c>
      <c r="AO8040">
        <v>0</v>
      </c>
      <c r="AP8040">
        <v>0</v>
      </c>
      <c r="AQ8040">
        <v>0</v>
      </c>
      <c r="AR8040">
        <v>0</v>
      </c>
      <c r="AS8040">
        <v>0</v>
      </c>
      <c r="AT8040">
        <v>1</v>
      </c>
      <c r="AV8040">
        <v>0</v>
      </c>
      <c r="AW8040">
        <v>0</v>
      </c>
    </row>
    <row r="8041" spans="1:49" x14ac:dyDescent="0.25">
      <c r="A8041" t="str">
        <f>"8037"</f>
        <v>8037</v>
      </c>
      <c r="B8041" t="str">
        <f t="shared" si="468"/>
        <v>1</v>
      </c>
      <c r="C8041" t="str">
        <f t="shared" si="467"/>
        <v>353</v>
      </c>
      <c r="D8041" t="str">
        <f>"2"</f>
        <v>2</v>
      </c>
      <c r="E8041" t="str">
        <f>"1-353-2"</f>
        <v>1-353-2</v>
      </c>
      <c r="F8041" t="s">
        <v>83</v>
      </c>
      <c r="G8041" t="s">
        <v>86</v>
      </c>
      <c r="H8041" t="s">
        <v>87</v>
      </c>
      <c r="AC8041">
        <v>0</v>
      </c>
      <c r="AD8041">
        <v>1</v>
      </c>
      <c r="AE8041">
        <v>0</v>
      </c>
      <c r="AF8041">
        <v>0</v>
      </c>
      <c r="AH8041">
        <v>1</v>
      </c>
      <c r="AI8041">
        <v>0</v>
      </c>
      <c r="AJ8041">
        <v>1</v>
      </c>
      <c r="AK8041">
        <v>0</v>
      </c>
      <c r="AL8041">
        <v>0</v>
      </c>
      <c r="AM8041">
        <v>1</v>
      </c>
      <c r="AN8041">
        <v>0</v>
      </c>
      <c r="AO8041">
        <v>0</v>
      </c>
      <c r="AP8041">
        <v>0</v>
      </c>
      <c r="AQ8041">
        <v>0</v>
      </c>
      <c r="AU8041">
        <v>1</v>
      </c>
      <c r="AV8041">
        <v>0</v>
      </c>
      <c r="AW8041">
        <v>0</v>
      </c>
    </row>
    <row r="8042" spans="1:49" x14ac:dyDescent="0.25">
      <c r="A8042" t="str">
        <f>"8038"</f>
        <v>8038</v>
      </c>
      <c r="B8042" t="str">
        <f t="shared" si="468"/>
        <v>1</v>
      </c>
      <c r="C8042" t="str">
        <f t="shared" si="467"/>
        <v>353</v>
      </c>
      <c r="D8042" t="str">
        <f>"18"</f>
        <v>18</v>
      </c>
      <c r="E8042" t="str">
        <f>"1-353-18"</f>
        <v>1-353-18</v>
      </c>
      <c r="F8042" t="s">
        <v>83</v>
      </c>
      <c r="G8042" t="s">
        <v>84</v>
      </c>
      <c r="H8042" t="s">
        <v>85</v>
      </c>
      <c r="AC8042">
        <v>1</v>
      </c>
      <c r="AD8042">
        <v>0</v>
      </c>
      <c r="AE8042">
        <v>0</v>
      </c>
      <c r="AF8042">
        <v>0</v>
      </c>
      <c r="AG8042">
        <v>0</v>
      </c>
      <c r="AJ8042">
        <v>0</v>
      </c>
      <c r="AK8042">
        <v>1</v>
      </c>
      <c r="AL8042">
        <v>1</v>
      </c>
      <c r="AM8042">
        <v>0</v>
      </c>
      <c r="AN8042">
        <v>0</v>
      </c>
      <c r="AO8042">
        <v>0</v>
      </c>
      <c r="AP8042">
        <v>0</v>
      </c>
      <c r="AQ8042">
        <v>0</v>
      </c>
      <c r="AR8042">
        <v>0</v>
      </c>
      <c r="AS8042">
        <v>1</v>
      </c>
      <c r="AT8042">
        <v>0</v>
      </c>
      <c r="AV8042">
        <v>0</v>
      </c>
      <c r="AW8042">
        <v>0</v>
      </c>
    </row>
    <row r="8043" spans="1:49" x14ac:dyDescent="0.25">
      <c r="A8043" t="str">
        <f>"8039"</f>
        <v>8039</v>
      </c>
      <c r="B8043" t="str">
        <f t="shared" si="468"/>
        <v>1</v>
      </c>
      <c r="C8043" t="str">
        <f t="shared" si="467"/>
        <v>353</v>
      </c>
      <c r="D8043" t="str">
        <f>"17"</f>
        <v>17</v>
      </c>
      <c r="E8043" t="str">
        <f>"1-353-17"</f>
        <v>1-353-17</v>
      </c>
      <c r="F8043" t="s">
        <v>83</v>
      </c>
      <c r="G8043" t="s">
        <v>84</v>
      </c>
      <c r="H8043" t="s">
        <v>85</v>
      </c>
      <c r="AC8043">
        <v>1</v>
      </c>
      <c r="AD8043">
        <v>0</v>
      </c>
      <c r="AE8043">
        <v>0</v>
      </c>
      <c r="AF8043">
        <v>0</v>
      </c>
      <c r="AG8043">
        <v>1</v>
      </c>
      <c r="AJ8043">
        <v>0</v>
      </c>
      <c r="AK8043">
        <v>1</v>
      </c>
      <c r="AL8043">
        <v>1</v>
      </c>
      <c r="AM8043">
        <v>0</v>
      </c>
      <c r="AN8043">
        <v>0</v>
      </c>
      <c r="AO8043">
        <v>0</v>
      </c>
      <c r="AP8043">
        <v>0</v>
      </c>
      <c r="AQ8043">
        <v>0</v>
      </c>
      <c r="AR8043">
        <v>0</v>
      </c>
      <c r="AS8043">
        <v>1</v>
      </c>
      <c r="AT8043">
        <v>0</v>
      </c>
      <c r="AV8043">
        <v>0</v>
      </c>
      <c r="AW8043">
        <v>0</v>
      </c>
    </row>
    <row r="8044" spans="1:49" x14ac:dyDescent="0.25">
      <c r="A8044" t="str">
        <f>"8040"</f>
        <v>8040</v>
      </c>
      <c r="B8044" t="str">
        <f t="shared" si="468"/>
        <v>1</v>
      </c>
      <c r="C8044" t="str">
        <f t="shared" ref="C8044:C8065" si="469">"354"</f>
        <v>354</v>
      </c>
      <c r="D8044" t="str">
        <f>"21"</f>
        <v>21</v>
      </c>
      <c r="E8044" t="str">
        <f>"1-354-21"</f>
        <v>1-354-21</v>
      </c>
      <c r="F8044" t="s">
        <v>83</v>
      </c>
      <c r="G8044" t="s">
        <v>84</v>
      </c>
      <c r="H8044" t="s">
        <v>92</v>
      </c>
      <c r="I8044">
        <v>1</v>
      </c>
      <c r="J8044">
        <v>1</v>
      </c>
      <c r="N8044">
        <v>1</v>
      </c>
      <c r="O8044">
        <v>1</v>
      </c>
      <c r="P8044">
        <v>1</v>
      </c>
      <c r="Q8044">
        <v>1</v>
      </c>
      <c r="R8044">
        <v>1</v>
      </c>
      <c r="S8044">
        <v>1</v>
      </c>
      <c r="T8044">
        <v>1</v>
      </c>
      <c r="W8044">
        <v>1</v>
      </c>
      <c r="X8044">
        <v>1</v>
      </c>
      <c r="Y8044">
        <v>1</v>
      </c>
      <c r="Z8044">
        <v>1</v>
      </c>
      <c r="AA8044">
        <v>1</v>
      </c>
      <c r="AB8044">
        <v>1</v>
      </c>
    </row>
    <row r="8045" spans="1:49" x14ac:dyDescent="0.25">
      <c r="A8045" t="str">
        <f>"8041"</f>
        <v>8041</v>
      </c>
      <c r="B8045" t="str">
        <f t="shared" si="468"/>
        <v>1</v>
      </c>
      <c r="C8045" t="str">
        <f t="shared" si="469"/>
        <v>354</v>
      </c>
      <c r="D8045" t="str">
        <f>"20"</f>
        <v>20</v>
      </c>
      <c r="E8045" t="str">
        <f>"1-354-20"</f>
        <v>1-354-20</v>
      </c>
      <c r="F8045" t="s">
        <v>83</v>
      </c>
      <c r="G8045" t="s">
        <v>84</v>
      </c>
      <c r="H8045" t="s">
        <v>92</v>
      </c>
      <c r="I8045">
        <v>1</v>
      </c>
      <c r="J8045">
        <v>1</v>
      </c>
      <c r="N8045">
        <v>1</v>
      </c>
      <c r="O8045">
        <v>1</v>
      </c>
      <c r="P8045">
        <v>1</v>
      </c>
      <c r="Q8045">
        <v>1</v>
      </c>
      <c r="R8045">
        <v>1</v>
      </c>
      <c r="S8045">
        <v>1</v>
      </c>
      <c r="T8045">
        <v>1</v>
      </c>
      <c r="W8045">
        <v>1</v>
      </c>
      <c r="X8045">
        <v>1</v>
      </c>
      <c r="Y8045">
        <v>1</v>
      </c>
      <c r="Z8045">
        <v>1</v>
      </c>
      <c r="AA8045">
        <v>1</v>
      </c>
      <c r="AB8045">
        <v>1</v>
      </c>
    </row>
    <row r="8046" spans="1:49" x14ac:dyDescent="0.25">
      <c r="A8046" t="str">
        <f>"8042"</f>
        <v>8042</v>
      </c>
      <c r="B8046" t="str">
        <f t="shared" si="468"/>
        <v>1</v>
      </c>
      <c r="C8046" t="str">
        <f t="shared" si="469"/>
        <v>354</v>
      </c>
      <c r="D8046" t="str">
        <f>"13"</f>
        <v>13</v>
      </c>
      <c r="E8046" t="str">
        <f>"1-354-13"</f>
        <v>1-354-13</v>
      </c>
      <c r="F8046" t="s">
        <v>83</v>
      </c>
      <c r="G8046" t="s">
        <v>84</v>
      </c>
      <c r="H8046" t="s">
        <v>92</v>
      </c>
      <c r="I8046">
        <v>1</v>
      </c>
      <c r="J8046">
        <v>1</v>
      </c>
      <c r="N8046">
        <v>1</v>
      </c>
      <c r="O8046">
        <v>1</v>
      </c>
      <c r="P8046">
        <v>1</v>
      </c>
      <c r="Q8046">
        <v>1</v>
      </c>
      <c r="R8046">
        <v>1</v>
      </c>
      <c r="S8046">
        <v>1</v>
      </c>
      <c r="T8046">
        <v>1</v>
      </c>
      <c r="W8046">
        <v>1</v>
      </c>
      <c r="X8046">
        <v>1</v>
      </c>
      <c r="Y8046">
        <v>1</v>
      </c>
      <c r="Z8046">
        <v>1</v>
      </c>
      <c r="AA8046">
        <v>1</v>
      </c>
      <c r="AB8046">
        <v>1</v>
      </c>
    </row>
    <row r="8047" spans="1:49" x14ac:dyDescent="0.25">
      <c r="A8047" t="str">
        <f>"8043"</f>
        <v>8043</v>
      </c>
      <c r="B8047" t="str">
        <f t="shared" si="468"/>
        <v>1</v>
      </c>
      <c r="C8047" t="str">
        <f t="shared" si="469"/>
        <v>354</v>
      </c>
      <c r="D8047" t="str">
        <f>"8"</f>
        <v>8</v>
      </c>
      <c r="E8047" t="str">
        <f>"1-354-8"</f>
        <v>1-354-8</v>
      </c>
      <c r="F8047" t="s">
        <v>83</v>
      </c>
      <c r="G8047" t="s">
        <v>84</v>
      </c>
      <c r="H8047" t="s">
        <v>92</v>
      </c>
      <c r="I8047">
        <v>1</v>
      </c>
      <c r="J8047">
        <v>1</v>
      </c>
      <c r="N8047">
        <v>1</v>
      </c>
      <c r="O8047">
        <v>1</v>
      </c>
      <c r="P8047">
        <v>1</v>
      </c>
      <c r="Q8047">
        <v>1</v>
      </c>
      <c r="R8047">
        <v>1</v>
      </c>
      <c r="S8047">
        <v>1</v>
      </c>
      <c r="T8047">
        <v>1</v>
      </c>
      <c r="W8047">
        <v>1</v>
      </c>
      <c r="X8047">
        <v>1</v>
      </c>
      <c r="Y8047">
        <v>1</v>
      </c>
      <c r="Z8047">
        <v>1</v>
      </c>
      <c r="AA8047">
        <v>1</v>
      </c>
      <c r="AB8047">
        <v>1</v>
      </c>
    </row>
    <row r="8048" spans="1:49" x14ac:dyDescent="0.25">
      <c r="A8048" t="str">
        <f>"8044"</f>
        <v>8044</v>
      </c>
      <c r="B8048" t="str">
        <f t="shared" si="468"/>
        <v>1</v>
      </c>
      <c r="C8048" t="str">
        <f t="shared" si="469"/>
        <v>354</v>
      </c>
      <c r="D8048" t="str">
        <f>"5"</f>
        <v>5</v>
      </c>
      <c r="E8048" t="str">
        <f>"1-354-5"</f>
        <v>1-354-5</v>
      </c>
      <c r="F8048" t="s">
        <v>83</v>
      </c>
      <c r="G8048" t="s">
        <v>84</v>
      </c>
      <c r="H8048" t="s">
        <v>92</v>
      </c>
      <c r="I8048">
        <v>0</v>
      </c>
      <c r="J8048">
        <v>1</v>
      </c>
      <c r="N8048">
        <v>1</v>
      </c>
      <c r="O8048">
        <v>1</v>
      </c>
      <c r="P8048">
        <v>0</v>
      </c>
      <c r="Q8048">
        <v>0</v>
      </c>
      <c r="R8048">
        <v>0</v>
      </c>
      <c r="S8048">
        <v>0</v>
      </c>
      <c r="T8048">
        <v>0</v>
      </c>
      <c r="W8048">
        <v>0</v>
      </c>
      <c r="X8048">
        <v>0</v>
      </c>
      <c r="Y8048">
        <v>0</v>
      </c>
      <c r="Z8048">
        <v>0</v>
      </c>
      <c r="AA8048">
        <v>0</v>
      </c>
      <c r="AB8048">
        <v>0</v>
      </c>
    </row>
    <row r="8049" spans="1:28" x14ac:dyDescent="0.25">
      <c r="A8049" t="str">
        <f>"8045"</f>
        <v>8045</v>
      </c>
      <c r="B8049" t="str">
        <f t="shared" si="468"/>
        <v>1</v>
      </c>
      <c r="C8049" t="str">
        <f t="shared" si="469"/>
        <v>354</v>
      </c>
      <c r="D8049" t="str">
        <f>"22"</f>
        <v>22</v>
      </c>
      <c r="E8049" t="str">
        <f>"1-354-22"</f>
        <v>1-354-22</v>
      </c>
      <c r="F8049" t="s">
        <v>83</v>
      </c>
      <c r="G8049" t="s">
        <v>84</v>
      </c>
      <c r="H8049" t="s">
        <v>92</v>
      </c>
      <c r="I8049">
        <v>1</v>
      </c>
      <c r="J8049">
        <v>1</v>
      </c>
      <c r="N8049">
        <v>1</v>
      </c>
      <c r="O8049">
        <v>1</v>
      </c>
      <c r="P8049">
        <v>1</v>
      </c>
      <c r="Q8049">
        <v>1</v>
      </c>
      <c r="R8049">
        <v>1</v>
      </c>
      <c r="S8049">
        <v>1</v>
      </c>
      <c r="T8049">
        <v>1</v>
      </c>
      <c r="W8049">
        <v>1</v>
      </c>
      <c r="X8049">
        <v>1</v>
      </c>
      <c r="Y8049">
        <v>1</v>
      </c>
      <c r="Z8049">
        <v>1</v>
      </c>
      <c r="AA8049">
        <v>1</v>
      </c>
      <c r="AB8049">
        <v>1</v>
      </c>
    </row>
    <row r="8050" spans="1:28" x14ac:dyDescent="0.25">
      <c r="A8050" t="str">
        <f>"8046"</f>
        <v>8046</v>
      </c>
      <c r="B8050" t="str">
        <f t="shared" si="468"/>
        <v>1</v>
      </c>
      <c r="C8050" t="str">
        <f t="shared" si="469"/>
        <v>354</v>
      </c>
      <c r="D8050" t="str">
        <f>"14"</f>
        <v>14</v>
      </c>
      <c r="E8050" t="str">
        <f>"1-354-14"</f>
        <v>1-354-14</v>
      </c>
      <c r="F8050" t="s">
        <v>83</v>
      </c>
      <c r="G8050" t="s">
        <v>84</v>
      </c>
      <c r="H8050" t="s">
        <v>92</v>
      </c>
      <c r="I8050">
        <v>1</v>
      </c>
      <c r="J8050">
        <v>1</v>
      </c>
      <c r="N8050">
        <v>1</v>
      </c>
      <c r="O8050">
        <v>1</v>
      </c>
      <c r="P8050">
        <v>1</v>
      </c>
      <c r="Q8050">
        <v>1</v>
      </c>
      <c r="R8050">
        <v>1</v>
      </c>
      <c r="S8050">
        <v>1</v>
      </c>
      <c r="T8050">
        <v>1</v>
      </c>
      <c r="W8050">
        <v>1</v>
      </c>
      <c r="X8050">
        <v>1</v>
      </c>
      <c r="Y8050">
        <v>1</v>
      </c>
      <c r="Z8050">
        <v>1</v>
      </c>
      <c r="AA8050">
        <v>1</v>
      </c>
      <c r="AB8050">
        <v>1</v>
      </c>
    </row>
    <row r="8051" spans="1:28" x14ac:dyDescent="0.25">
      <c r="A8051" t="str">
        <f>"8047"</f>
        <v>8047</v>
      </c>
      <c r="B8051" t="str">
        <f t="shared" si="468"/>
        <v>1</v>
      </c>
      <c r="C8051" t="str">
        <f t="shared" si="469"/>
        <v>354</v>
      </c>
      <c r="D8051" t="str">
        <f>"9"</f>
        <v>9</v>
      </c>
      <c r="E8051" t="str">
        <f>"1-354-9"</f>
        <v>1-354-9</v>
      </c>
      <c r="F8051" t="s">
        <v>83</v>
      </c>
      <c r="G8051" t="s">
        <v>84</v>
      </c>
      <c r="H8051" t="s">
        <v>92</v>
      </c>
      <c r="I8051">
        <v>1</v>
      </c>
      <c r="J8051">
        <v>1</v>
      </c>
      <c r="N8051">
        <v>1</v>
      </c>
      <c r="O8051">
        <v>1</v>
      </c>
      <c r="P8051">
        <v>1</v>
      </c>
      <c r="Q8051">
        <v>1</v>
      </c>
      <c r="R8051">
        <v>1</v>
      </c>
      <c r="S8051">
        <v>1</v>
      </c>
      <c r="T8051">
        <v>1</v>
      </c>
      <c r="W8051">
        <v>1</v>
      </c>
      <c r="X8051">
        <v>1</v>
      </c>
      <c r="Y8051">
        <v>1</v>
      </c>
      <c r="Z8051">
        <v>1</v>
      </c>
      <c r="AA8051">
        <v>1</v>
      </c>
      <c r="AB8051">
        <v>1</v>
      </c>
    </row>
    <row r="8052" spans="1:28" x14ac:dyDescent="0.25">
      <c r="A8052" t="str">
        <f>"8048"</f>
        <v>8048</v>
      </c>
      <c r="B8052" t="str">
        <f t="shared" si="468"/>
        <v>1</v>
      </c>
      <c r="C8052" t="str">
        <f t="shared" si="469"/>
        <v>354</v>
      </c>
      <c r="D8052" t="str">
        <f>"4"</f>
        <v>4</v>
      </c>
      <c r="E8052" t="str">
        <f>"1-354-4"</f>
        <v>1-354-4</v>
      </c>
      <c r="F8052" t="s">
        <v>83</v>
      </c>
      <c r="G8052" t="s">
        <v>84</v>
      </c>
      <c r="H8052" t="s">
        <v>92</v>
      </c>
      <c r="I8052">
        <v>1</v>
      </c>
      <c r="J8052">
        <v>1</v>
      </c>
      <c r="N8052">
        <v>1</v>
      </c>
      <c r="O8052">
        <v>1</v>
      </c>
      <c r="P8052">
        <v>1</v>
      </c>
      <c r="Q8052">
        <v>1</v>
      </c>
      <c r="R8052">
        <v>1</v>
      </c>
      <c r="S8052">
        <v>1</v>
      </c>
      <c r="T8052">
        <v>1</v>
      </c>
      <c r="W8052">
        <v>1</v>
      </c>
      <c r="X8052">
        <v>1</v>
      </c>
      <c r="Y8052">
        <v>1</v>
      </c>
      <c r="Z8052">
        <v>1</v>
      </c>
      <c r="AA8052">
        <v>1</v>
      </c>
      <c r="AB8052">
        <v>1</v>
      </c>
    </row>
    <row r="8053" spans="1:28" x14ac:dyDescent="0.25">
      <c r="A8053" t="str">
        <f>"8049"</f>
        <v>8049</v>
      </c>
      <c r="B8053" t="str">
        <f t="shared" si="468"/>
        <v>1</v>
      </c>
      <c r="C8053" t="str">
        <f t="shared" si="469"/>
        <v>354</v>
      </c>
      <c r="D8053" t="str">
        <f>"15"</f>
        <v>15</v>
      </c>
      <c r="E8053" t="str">
        <f>"1-354-15"</f>
        <v>1-354-15</v>
      </c>
      <c r="F8053" t="s">
        <v>83</v>
      </c>
      <c r="G8053" t="s">
        <v>84</v>
      </c>
      <c r="H8053" t="s">
        <v>92</v>
      </c>
      <c r="I8053">
        <v>1</v>
      </c>
      <c r="J8053">
        <v>1</v>
      </c>
      <c r="N8053">
        <v>1</v>
      </c>
      <c r="O8053">
        <v>1</v>
      </c>
      <c r="P8053">
        <v>1</v>
      </c>
      <c r="Q8053">
        <v>1</v>
      </c>
      <c r="R8053">
        <v>1</v>
      </c>
      <c r="S8053">
        <v>1</v>
      </c>
      <c r="T8053">
        <v>1</v>
      </c>
      <c r="W8053">
        <v>1</v>
      </c>
      <c r="X8053">
        <v>1</v>
      </c>
      <c r="Y8053">
        <v>1</v>
      </c>
      <c r="Z8053">
        <v>1</v>
      </c>
      <c r="AA8053">
        <v>1</v>
      </c>
      <c r="AB8053">
        <v>1</v>
      </c>
    </row>
    <row r="8054" spans="1:28" x14ac:dyDescent="0.25">
      <c r="A8054" t="str">
        <f>"8050"</f>
        <v>8050</v>
      </c>
      <c r="B8054" t="str">
        <f t="shared" si="468"/>
        <v>1</v>
      </c>
      <c r="C8054" t="str">
        <f t="shared" si="469"/>
        <v>354</v>
      </c>
      <c r="D8054" t="str">
        <f>"10"</f>
        <v>10</v>
      </c>
      <c r="E8054" t="str">
        <f>"1-354-10"</f>
        <v>1-354-10</v>
      </c>
      <c r="F8054" t="s">
        <v>83</v>
      </c>
      <c r="G8054" t="s">
        <v>84</v>
      </c>
      <c r="H8054" t="s">
        <v>92</v>
      </c>
      <c r="I8054">
        <v>1</v>
      </c>
      <c r="J8054">
        <v>1</v>
      </c>
      <c r="N8054">
        <v>1</v>
      </c>
      <c r="O8054">
        <v>1</v>
      </c>
      <c r="P8054">
        <v>1</v>
      </c>
      <c r="Q8054">
        <v>1</v>
      </c>
      <c r="R8054">
        <v>1</v>
      </c>
      <c r="S8054">
        <v>1</v>
      </c>
      <c r="T8054">
        <v>1</v>
      </c>
      <c r="W8054">
        <v>1</v>
      </c>
      <c r="X8054">
        <v>1</v>
      </c>
      <c r="Y8054">
        <v>1</v>
      </c>
      <c r="Z8054">
        <v>1</v>
      </c>
      <c r="AA8054">
        <v>1</v>
      </c>
      <c r="AB8054">
        <v>1</v>
      </c>
    </row>
    <row r="8055" spans="1:28" x14ac:dyDescent="0.25">
      <c r="A8055" t="str">
        <f>"8051"</f>
        <v>8051</v>
      </c>
      <c r="B8055" t="str">
        <f t="shared" si="468"/>
        <v>1</v>
      </c>
      <c r="C8055" t="str">
        <f t="shared" si="469"/>
        <v>354</v>
      </c>
      <c r="D8055" t="str">
        <f>"2"</f>
        <v>2</v>
      </c>
      <c r="E8055" t="str">
        <f>"1-354-2"</f>
        <v>1-354-2</v>
      </c>
      <c r="F8055" t="s">
        <v>83</v>
      </c>
      <c r="G8055" t="s">
        <v>84</v>
      </c>
      <c r="H8055" t="s">
        <v>92</v>
      </c>
      <c r="I8055">
        <v>1</v>
      </c>
      <c r="J8055">
        <v>1</v>
      </c>
      <c r="N8055">
        <v>1</v>
      </c>
      <c r="O8055">
        <v>1</v>
      </c>
      <c r="P8055">
        <v>1</v>
      </c>
      <c r="Q8055">
        <v>1</v>
      </c>
      <c r="R8055">
        <v>1</v>
      </c>
      <c r="S8055">
        <v>1</v>
      </c>
      <c r="T8055">
        <v>1</v>
      </c>
      <c r="W8055">
        <v>1</v>
      </c>
      <c r="X8055">
        <v>1</v>
      </c>
      <c r="Y8055">
        <v>1</v>
      </c>
      <c r="Z8055">
        <v>1</v>
      </c>
      <c r="AA8055">
        <v>1</v>
      </c>
      <c r="AB8055">
        <v>1</v>
      </c>
    </row>
    <row r="8056" spans="1:28" x14ac:dyDescent="0.25">
      <c r="A8056" t="str">
        <f>"8052"</f>
        <v>8052</v>
      </c>
      <c r="B8056" t="str">
        <f t="shared" si="468"/>
        <v>1</v>
      </c>
      <c r="C8056" t="str">
        <f t="shared" si="469"/>
        <v>354</v>
      </c>
      <c r="D8056" t="str">
        <f>"19"</f>
        <v>19</v>
      </c>
      <c r="E8056" t="str">
        <f>"1-354-19"</f>
        <v>1-354-19</v>
      </c>
      <c r="F8056" t="s">
        <v>83</v>
      </c>
      <c r="G8056" t="s">
        <v>84</v>
      </c>
      <c r="H8056" t="s">
        <v>92</v>
      </c>
      <c r="I8056">
        <v>1</v>
      </c>
      <c r="J8056">
        <v>1</v>
      </c>
      <c r="N8056">
        <v>1</v>
      </c>
      <c r="O8056">
        <v>1</v>
      </c>
      <c r="P8056">
        <v>1</v>
      </c>
      <c r="Q8056">
        <v>1</v>
      </c>
      <c r="R8056">
        <v>1</v>
      </c>
      <c r="S8056">
        <v>1</v>
      </c>
      <c r="T8056">
        <v>0</v>
      </c>
      <c r="W8056">
        <v>1</v>
      </c>
      <c r="X8056">
        <v>1</v>
      </c>
      <c r="Y8056">
        <v>1</v>
      </c>
      <c r="Z8056">
        <v>1</v>
      </c>
      <c r="AA8056">
        <v>1</v>
      </c>
      <c r="AB8056">
        <v>1</v>
      </c>
    </row>
    <row r="8057" spans="1:28" x14ac:dyDescent="0.25">
      <c r="A8057" t="str">
        <f>"8053"</f>
        <v>8053</v>
      </c>
      <c r="B8057" t="str">
        <f t="shared" si="468"/>
        <v>1</v>
      </c>
      <c r="C8057" t="str">
        <f t="shared" si="469"/>
        <v>354</v>
      </c>
      <c r="D8057" t="str">
        <f>"11"</f>
        <v>11</v>
      </c>
      <c r="E8057" t="str">
        <f>"1-354-11"</f>
        <v>1-354-11</v>
      </c>
      <c r="F8057" t="s">
        <v>83</v>
      </c>
      <c r="G8057" t="s">
        <v>84</v>
      </c>
      <c r="H8057" t="s">
        <v>92</v>
      </c>
      <c r="I8057">
        <v>1</v>
      </c>
      <c r="J8057">
        <v>1</v>
      </c>
      <c r="N8057">
        <v>1</v>
      </c>
      <c r="O8057">
        <v>1</v>
      </c>
      <c r="P8057">
        <v>1</v>
      </c>
      <c r="Q8057">
        <v>1</v>
      </c>
      <c r="R8057">
        <v>1</v>
      </c>
      <c r="S8057">
        <v>1</v>
      </c>
      <c r="T8057">
        <v>1</v>
      </c>
      <c r="W8057">
        <v>1</v>
      </c>
      <c r="X8057">
        <v>1</v>
      </c>
      <c r="Y8057">
        <v>1</v>
      </c>
      <c r="Z8057">
        <v>1</v>
      </c>
      <c r="AA8057">
        <v>1</v>
      </c>
      <c r="AB8057">
        <v>1</v>
      </c>
    </row>
    <row r="8058" spans="1:28" x14ac:dyDescent="0.25">
      <c r="A8058" t="str">
        <f>"8054"</f>
        <v>8054</v>
      </c>
      <c r="B8058" t="str">
        <f t="shared" si="468"/>
        <v>1</v>
      </c>
      <c r="C8058" t="str">
        <f t="shared" si="469"/>
        <v>354</v>
      </c>
      <c r="D8058" t="str">
        <f>"1"</f>
        <v>1</v>
      </c>
      <c r="E8058" t="str">
        <f>"1-354-1"</f>
        <v>1-354-1</v>
      </c>
      <c r="F8058" t="s">
        <v>83</v>
      </c>
      <c r="G8058" t="s">
        <v>84</v>
      </c>
      <c r="H8058" t="s">
        <v>92</v>
      </c>
      <c r="I8058">
        <v>1</v>
      </c>
      <c r="J8058">
        <v>1</v>
      </c>
      <c r="N8058">
        <v>1</v>
      </c>
      <c r="O8058">
        <v>1</v>
      </c>
      <c r="P8058">
        <v>1</v>
      </c>
      <c r="Q8058">
        <v>1</v>
      </c>
      <c r="R8058">
        <v>1</v>
      </c>
      <c r="S8058">
        <v>1</v>
      </c>
      <c r="T8058">
        <v>1</v>
      </c>
      <c r="W8058">
        <v>1</v>
      </c>
      <c r="X8058">
        <v>1</v>
      </c>
      <c r="Y8058">
        <v>1</v>
      </c>
      <c r="Z8058">
        <v>1</v>
      </c>
      <c r="AA8058">
        <v>1</v>
      </c>
      <c r="AB8058">
        <v>1</v>
      </c>
    </row>
    <row r="8059" spans="1:28" x14ac:dyDescent="0.25">
      <c r="A8059" t="str">
        <f>"8055"</f>
        <v>8055</v>
      </c>
      <c r="B8059" t="str">
        <f t="shared" si="468"/>
        <v>1</v>
      </c>
      <c r="C8059" t="str">
        <f t="shared" si="469"/>
        <v>354</v>
      </c>
      <c r="D8059" t="str">
        <f>"17"</f>
        <v>17</v>
      </c>
      <c r="E8059" t="str">
        <f>"1-354-17"</f>
        <v>1-354-17</v>
      </c>
      <c r="F8059" t="s">
        <v>83</v>
      </c>
      <c r="G8059" t="s">
        <v>84</v>
      </c>
      <c r="H8059" t="s">
        <v>92</v>
      </c>
      <c r="I8059">
        <v>1</v>
      </c>
      <c r="J8059">
        <v>1</v>
      </c>
      <c r="N8059">
        <v>1</v>
      </c>
      <c r="O8059">
        <v>1</v>
      </c>
      <c r="P8059">
        <v>1</v>
      </c>
      <c r="Q8059">
        <v>1</v>
      </c>
      <c r="R8059">
        <v>0</v>
      </c>
      <c r="S8059">
        <v>1</v>
      </c>
      <c r="T8059">
        <v>1</v>
      </c>
      <c r="W8059">
        <v>1</v>
      </c>
      <c r="X8059">
        <v>1</v>
      </c>
      <c r="Y8059">
        <v>1</v>
      </c>
      <c r="Z8059">
        <v>1</v>
      </c>
      <c r="AA8059">
        <v>1</v>
      </c>
      <c r="AB8059">
        <v>1</v>
      </c>
    </row>
    <row r="8060" spans="1:28" x14ac:dyDescent="0.25">
      <c r="A8060" t="str">
        <f>"8056"</f>
        <v>8056</v>
      </c>
      <c r="B8060" t="str">
        <f t="shared" si="468"/>
        <v>1</v>
      </c>
      <c r="C8060" t="str">
        <f t="shared" si="469"/>
        <v>354</v>
      </c>
      <c r="D8060" t="str">
        <f>"12"</f>
        <v>12</v>
      </c>
      <c r="E8060" t="str">
        <f>"1-354-12"</f>
        <v>1-354-12</v>
      </c>
      <c r="F8060" t="s">
        <v>83</v>
      </c>
      <c r="G8060" t="s">
        <v>84</v>
      </c>
      <c r="H8060" t="s">
        <v>92</v>
      </c>
      <c r="I8060">
        <v>1</v>
      </c>
      <c r="J8060">
        <v>1</v>
      </c>
      <c r="N8060">
        <v>1</v>
      </c>
      <c r="O8060">
        <v>1</v>
      </c>
      <c r="P8060">
        <v>1</v>
      </c>
      <c r="Q8060">
        <v>1</v>
      </c>
      <c r="R8060">
        <v>1</v>
      </c>
      <c r="S8060">
        <v>1</v>
      </c>
      <c r="T8060">
        <v>1</v>
      </c>
      <c r="W8060">
        <v>1</v>
      </c>
      <c r="X8060">
        <v>1</v>
      </c>
      <c r="Y8060">
        <v>1</v>
      </c>
      <c r="Z8060">
        <v>1</v>
      </c>
      <c r="AA8060">
        <v>1</v>
      </c>
      <c r="AB8060">
        <v>1</v>
      </c>
    </row>
    <row r="8061" spans="1:28" x14ac:dyDescent="0.25">
      <c r="A8061" t="str">
        <f>"8057"</f>
        <v>8057</v>
      </c>
      <c r="B8061" t="str">
        <f t="shared" si="468"/>
        <v>1</v>
      </c>
      <c r="C8061" t="str">
        <f t="shared" si="469"/>
        <v>354</v>
      </c>
      <c r="D8061" t="str">
        <f>"6"</f>
        <v>6</v>
      </c>
      <c r="E8061" t="str">
        <f>"1-354-6"</f>
        <v>1-354-6</v>
      </c>
      <c r="F8061" t="s">
        <v>83</v>
      </c>
      <c r="G8061" t="s">
        <v>84</v>
      </c>
      <c r="H8061" t="s">
        <v>92</v>
      </c>
      <c r="I8061">
        <v>1</v>
      </c>
      <c r="J8061">
        <v>1</v>
      </c>
      <c r="N8061">
        <v>1</v>
      </c>
      <c r="O8061">
        <v>1</v>
      </c>
      <c r="P8061">
        <v>1</v>
      </c>
      <c r="Q8061">
        <v>1</v>
      </c>
      <c r="R8061">
        <v>1</v>
      </c>
      <c r="S8061">
        <v>1</v>
      </c>
      <c r="T8061">
        <v>1</v>
      </c>
      <c r="W8061">
        <v>1</v>
      </c>
      <c r="X8061">
        <v>1</v>
      </c>
      <c r="Y8061">
        <v>1</v>
      </c>
      <c r="Z8061">
        <v>1</v>
      </c>
      <c r="AA8061">
        <v>1</v>
      </c>
      <c r="AB8061">
        <v>1</v>
      </c>
    </row>
    <row r="8062" spans="1:28" x14ac:dyDescent="0.25">
      <c r="A8062" t="str">
        <f>"8058"</f>
        <v>8058</v>
      </c>
      <c r="B8062" t="str">
        <f t="shared" si="468"/>
        <v>1</v>
      </c>
      <c r="C8062" t="str">
        <f t="shared" si="469"/>
        <v>354</v>
      </c>
      <c r="D8062" t="str">
        <f>"16"</f>
        <v>16</v>
      </c>
      <c r="E8062" t="str">
        <f>"1-354-16"</f>
        <v>1-354-16</v>
      </c>
      <c r="F8062" t="s">
        <v>83</v>
      </c>
      <c r="G8062" t="s">
        <v>84</v>
      </c>
      <c r="H8062" t="s">
        <v>92</v>
      </c>
      <c r="I8062">
        <v>1</v>
      </c>
      <c r="J8062">
        <v>1</v>
      </c>
      <c r="N8062">
        <v>1</v>
      </c>
      <c r="O8062">
        <v>1</v>
      </c>
      <c r="P8062">
        <v>1</v>
      </c>
      <c r="Q8062">
        <v>1</v>
      </c>
      <c r="R8062">
        <v>1</v>
      </c>
      <c r="S8062">
        <v>1</v>
      </c>
      <c r="T8062">
        <v>1</v>
      </c>
      <c r="W8062">
        <v>1</v>
      </c>
      <c r="X8062">
        <v>1</v>
      </c>
      <c r="Y8062">
        <v>1</v>
      </c>
      <c r="Z8062">
        <v>1</v>
      </c>
      <c r="AA8062">
        <v>1</v>
      </c>
      <c r="AB8062">
        <v>1</v>
      </c>
    </row>
    <row r="8063" spans="1:28" x14ac:dyDescent="0.25">
      <c r="A8063" t="str">
        <f>"8059"</f>
        <v>8059</v>
      </c>
      <c r="B8063" t="str">
        <f t="shared" si="468"/>
        <v>1</v>
      </c>
      <c r="C8063" t="str">
        <f t="shared" si="469"/>
        <v>354</v>
      </c>
      <c r="D8063" t="str">
        <f>"3"</f>
        <v>3</v>
      </c>
      <c r="E8063" t="str">
        <f>"1-354-3"</f>
        <v>1-354-3</v>
      </c>
      <c r="F8063" t="s">
        <v>83</v>
      </c>
      <c r="G8063" t="s">
        <v>84</v>
      </c>
      <c r="H8063" t="s">
        <v>92</v>
      </c>
      <c r="I8063">
        <v>1</v>
      </c>
      <c r="J8063">
        <v>1</v>
      </c>
      <c r="N8063">
        <v>1</v>
      </c>
      <c r="O8063">
        <v>1</v>
      </c>
      <c r="P8063">
        <v>1</v>
      </c>
      <c r="Q8063">
        <v>1</v>
      </c>
      <c r="R8063">
        <v>1</v>
      </c>
      <c r="S8063">
        <v>1</v>
      </c>
      <c r="T8063">
        <v>1</v>
      </c>
      <c r="W8063">
        <v>1</v>
      </c>
      <c r="X8063">
        <v>1</v>
      </c>
      <c r="Y8063">
        <v>1</v>
      </c>
      <c r="Z8063">
        <v>1</v>
      </c>
      <c r="AA8063">
        <v>1</v>
      </c>
      <c r="AB8063">
        <v>1</v>
      </c>
    </row>
    <row r="8064" spans="1:28" x14ac:dyDescent="0.25">
      <c r="A8064" t="str">
        <f>"8060"</f>
        <v>8060</v>
      </c>
      <c r="B8064" t="str">
        <f t="shared" si="468"/>
        <v>1</v>
      </c>
      <c r="C8064" t="str">
        <f t="shared" si="469"/>
        <v>354</v>
      </c>
      <c r="D8064" t="str">
        <f>"18"</f>
        <v>18</v>
      </c>
      <c r="E8064" t="str">
        <f>"1-354-18"</f>
        <v>1-354-18</v>
      </c>
      <c r="F8064" t="s">
        <v>83</v>
      </c>
      <c r="G8064" t="s">
        <v>84</v>
      </c>
      <c r="H8064" t="s">
        <v>92</v>
      </c>
      <c r="I8064">
        <v>1</v>
      </c>
      <c r="J8064">
        <v>1</v>
      </c>
      <c r="N8064">
        <v>1</v>
      </c>
      <c r="O8064">
        <v>1</v>
      </c>
      <c r="P8064">
        <v>1</v>
      </c>
      <c r="Q8064">
        <v>1</v>
      </c>
      <c r="R8064">
        <v>1</v>
      </c>
      <c r="S8064">
        <v>1</v>
      </c>
      <c r="T8064">
        <v>1</v>
      </c>
      <c r="W8064">
        <v>1</v>
      </c>
      <c r="X8064">
        <v>1</v>
      </c>
      <c r="Y8064">
        <v>1</v>
      </c>
      <c r="Z8064">
        <v>1</v>
      </c>
      <c r="AA8064">
        <v>1</v>
      </c>
      <c r="AB8064">
        <v>1</v>
      </c>
    </row>
    <row r="8065" spans="1:28" x14ac:dyDescent="0.25">
      <c r="A8065" t="str">
        <f>"8061"</f>
        <v>8061</v>
      </c>
      <c r="B8065" t="str">
        <f t="shared" si="468"/>
        <v>1</v>
      </c>
      <c r="C8065" t="str">
        <f t="shared" si="469"/>
        <v>354</v>
      </c>
      <c r="D8065" t="str">
        <f>"7"</f>
        <v>7</v>
      </c>
      <c r="E8065" t="str">
        <f>"1-354-7"</f>
        <v>1-354-7</v>
      </c>
      <c r="F8065" t="s">
        <v>83</v>
      </c>
      <c r="G8065" t="s">
        <v>84</v>
      </c>
      <c r="H8065" t="s">
        <v>92</v>
      </c>
      <c r="I8065">
        <v>1</v>
      </c>
      <c r="J8065">
        <v>1</v>
      </c>
      <c r="N8065">
        <v>1</v>
      </c>
      <c r="O8065">
        <v>1</v>
      </c>
      <c r="P8065">
        <v>1</v>
      </c>
      <c r="Q8065">
        <v>1</v>
      </c>
      <c r="R8065">
        <v>1</v>
      </c>
      <c r="S8065">
        <v>1</v>
      </c>
      <c r="T8065">
        <v>1</v>
      </c>
      <c r="W8065">
        <v>1</v>
      </c>
      <c r="X8065">
        <v>1</v>
      </c>
      <c r="Y8065">
        <v>1</v>
      </c>
      <c r="Z8065">
        <v>1</v>
      </c>
      <c r="AA8065">
        <v>1</v>
      </c>
      <c r="AB8065">
        <v>1</v>
      </c>
    </row>
    <row r="8066" spans="1:28" x14ac:dyDescent="0.25">
      <c r="A8066" t="str">
        <f>"8062"</f>
        <v>8062</v>
      </c>
      <c r="B8066" t="str">
        <f t="shared" si="468"/>
        <v>1</v>
      </c>
      <c r="C8066" t="str">
        <f t="shared" ref="C8066:C8090" si="470">"355"</f>
        <v>355</v>
      </c>
      <c r="D8066" t="str">
        <f>"23"</f>
        <v>23</v>
      </c>
      <c r="E8066" t="str">
        <f>"1-355-23"</f>
        <v>1-355-23</v>
      </c>
      <c r="F8066" t="s">
        <v>83</v>
      </c>
      <c r="G8066" t="s">
        <v>86</v>
      </c>
      <c r="H8066" t="s">
        <v>93</v>
      </c>
      <c r="I8066">
        <v>1</v>
      </c>
      <c r="K8066">
        <v>1</v>
      </c>
      <c r="L8066">
        <v>0</v>
      </c>
      <c r="M8066">
        <v>0</v>
      </c>
      <c r="N8066">
        <v>1</v>
      </c>
      <c r="O8066">
        <v>1</v>
      </c>
      <c r="P8066">
        <v>1</v>
      </c>
      <c r="Q8066">
        <v>1</v>
      </c>
      <c r="R8066">
        <v>1</v>
      </c>
      <c r="U8066">
        <v>0</v>
      </c>
      <c r="V8066">
        <v>1</v>
      </c>
      <c r="W8066">
        <v>1</v>
      </c>
      <c r="X8066">
        <v>1</v>
      </c>
      <c r="Y8066">
        <v>1</v>
      </c>
      <c r="Z8066">
        <v>1</v>
      </c>
      <c r="AA8066">
        <v>1</v>
      </c>
      <c r="AB8066">
        <v>1</v>
      </c>
    </row>
    <row r="8067" spans="1:28" x14ac:dyDescent="0.25">
      <c r="A8067" t="str">
        <f>"8063"</f>
        <v>8063</v>
      </c>
      <c r="B8067" t="str">
        <f t="shared" si="468"/>
        <v>1</v>
      </c>
      <c r="C8067" t="str">
        <f t="shared" si="470"/>
        <v>355</v>
      </c>
      <c r="D8067" t="str">
        <f>"22"</f>
        <v>22</v>
      </c>
      <c r="E8067" t="str">
        <f>"1-355-22"</f>
        <v>1-355-22</v>
      </c>
      <c r="F8067" t="s">
        <v>83</v>
      </c>
      <c r="G8067" t="s">
        <v>86</v>
      </c>
      <c r="H8067" t="s">
        <v>93</v>
      </c>
      <c r="I8067">
        <v>1</v>
      </c>
      <c r="K8067">
        <v>0</v>
      </c>
      <c r="L8067">
        <v>0</v>
      </c>
      <c r="M8067">
        <v>1</v>
      </c>
      <c r="N8067">
        <v>1</v>
      </c>
      <c r="O8067">
        <v>1</v>
      </c>
      <c r="P8067">
        <v>1</v>
      </c>
      <c r="Q8067">
        <v>1</v>
      </c>
      <c r="R8067">
        <v>1</v>
      </c>
      <c r="U8067">
        <v>1</v>
      </c>
      <c r="V8067">
        <v>0</v>
      </c>
      <c r="W8067">
        <v>1</v>
      </c>
      <c r="X8067">
        <v>1</v>
      </c>
      <c r="Y8067">
        <v>1</v>
      </c>
      <c r="Z8067">
        <v>1</v>
      </c>
      <c r="AA8067">
        <v>1</v>
      </c>
      <c r="AB8067">
        <v>1</v>
      </c>
    </row>
    <row r="8068" spans="1:28" x14ac:dyDescent="0.25">
      <c r="A8068" t="str">
        <f>"8064"</f>
        <v>8064</v>
      </c>
      <c r="B8068" t="str">
        <f t="shared" si="468"/>
        <v>1</v>
      </c>
      <c r="C8068" t="str">
        <f t="shared" si="470"/>
        <v>355</v>
      </c>
      <c r="D8068" t="str">
        <f>"14"</f>
        <v>14</v>
      </c>
      <c r="E8068" t="str">
        <f>"1-355-14"</f>
        <v>1-355-14</v>
      </c>
      <c r="F8068" t="s">
        <v>83</v>
      </c>
      <c r="G8068" t="s">
        <v>86</v>
      </c>
      <c r="H8068" t="s">
        <v>93</v>
      </c>
      <c r="I8068">
        <v>1</v>
      </c>
      <c r="K8068">
        <v>0</v>
      </c>
      <c r="L8068">
        <v>0</v>
      </c>
      <c r="M8068">
        <v>1</v>
      </c>
      <c r="N8068">
        <v>1</v>
      </c>
      <c r="O8068">
        <v>1</v>
      </c>
      <c r="P8068">
        <v>1</v>
      </c>
      <c r="Q8068">
        <v>1</v>
      </c>
      <c r="R8068">
        <v>1</v>
      </c>
      <c r="U8068">
        <v>0</v>
      </c>
      <c r="V8068">
        <v>1</v>
      </c>
      <c r="W8068">
        <v>1</v>
      </c>
      <c r="X8068">
        <v>1</v>
      </c>
      <c r="Y8068">
        <v>1</v>
      </c>
      <c r="Z8068">
        <v>1</v>
      </c>
      <c r="AA8068">
        <v>1</v>
      </c>
      <c r="AB8068">
        <v>1</v>
      </c>
    </row>
    <row r="8069" spans="1:28" x14ac:dyDescent="0.25">
      <c r="A8069" t="str">
        <f>"8065"</f>
        <v>8065</v>
      </c>
      <c r="B8069" t="str">
        <f t="shared" si="468"/>
        <v>1</v>
      </c>
      <c r="C8069" t="str">
        <f t="shared" si="470"/>
        <v>355</v>
      </c>
      <c r="D8069" t="str">
        <f>"8"</f>
        <v>8</v>
      </c>
      <c r="E8069" t="str">
        <f>"1-355-8"</f>
        <v>1-355-8</v>
      </c>
      <c r="F8069" t="s">
        <v>83</v>
      </c>
      <c r="G8069" t="s">
        <v>86</v>
      </c>
      <c r="H8069" t="s">
        <v>93</v>
      </c>
      <c r="I8069">
        <v>1</v>
      </c>
      <c r="K8069">
        <v>0</v>
      </c>
      <c r="L8069">
        <v>1</v>
      </c>
      <c r="M8069">
        <v>0</v>
      </c>
      <c r="N8069">
        <v>1</v>
      </c>
      <c r="O8069">
        <v>0</v>
      </c>
      <c r="P8069">
        <v>0</v>
      </c>
      <c r="Q8069">
        <v>0</v>
      </c>
      <c r="R8069">
        <v>0</v>
      </c>
      <c r="U8069">
        <v>0</v>
      </c>
      <c r="V8069">
        <v>1</v>
      </c>
      <c r="W8069">
        <v>0</v>
      </c>
      <c r="X8069">
        <v>0</v>
      </c>
      <c r="Y8069">
        <v>0</v>
      </c>
      <c r="Z8069">
        <v>0</v>
      </c>
      <c r="AA8069">
        <v>0</v>
      </c>
      <c r="AB8069">
        <v>0</v>
      </c>
    </row>
    <row r="8070" spans="1:28" x14ac:dyDescent="0.25">
      <c r="A8070" t="str">
        <f>"8066"</f>
        <v>8066</v>
      </c>
      <c r="B8070" t="str">
        <f t="shared" si="468"/>
        <v>1</v>
      </c>
      <c r="C8070" t="str">
        <f t="shared" si="470"/>
        <v>355</v>
      </c>
      <c r="D8070" t="str">
        <f>"7"</f>
        <v>7</v>
      </c>
      <c r="E8070" t="str">
        <f>"1-355-7"</f>
        <v>1-355-7</v>
      </c>
      <c r="F8070" t="s">
        <v>83</v>
      </c>
      <c r="G8070" t="s">
        <v>86</v>
      </c>
      <c r="H8070" t="s">
        <v>93</v>
      </c>
      <c r="I8070">
        <v>1</v>
      </c>
      <c r="K8070">
        <v>0</v>
      </c>
      <c r="L8070">
        <v>0</v>
      </c>
      <c r="M8070">
        <v>1</v>
      </c>
      <c r="N8070">
        <v>1</v>
      </c>
      <c r="O8070">
        <v>1</v>
      </c>
      <c r="P8070">
        <v>1</v>
      </c>
      <c r="Q8070">
        <v>1</v>
      </c>
      <c r="R8070">
        <v>1</v>
      </c>
      <c r="U8070">
        <v>0</v>
      </c>
      <c r="V8070">
        <v>1</v>
      </c>
      <c r="W8070">
        <v>1</v>
      </c>
      <c r="X8070">
        <v>1</v>
      </c>
      <c r="Y8070">
        <v>1</v>
      </c>
      <c r="Z8070">
        <v>1</v>
      </c>
      <c r="AA8070">
        <v>1</v>
      </c>
      <c r="AB8070">
        <v>1</v>
      </c>
    </row>
    <row r="8071" spans="1:28" x14ac:dyDescent="0.25">
      <c r="A8071" t="str">
        <f>"8067"</f>
        <v>8067</v>
      </c>
      <c r="B8071" t="str">
        <f t="shared" si="468"/>
        <v>1</v>
      </c>
      <c r="C8071" t="str">
        <f t="shared" si="470"/>
        <v>355</v>
      </c>
      <c r="D8071" t="str">
        <f>"21"</f>
        <v>21</v>
      </c>
      <c r="E8071" t="str">
        <f>"1-355-21"</f>
        <v>1-355-21</v>
      </c>
      <c r="F8071" t="s">
        <v>83</v>
      </c>
      <c r="G8071" t="s">
        <v>86</v>
      </c>
      <c r="H8071" t="s">
        <v>93</v>
      </c>
      <c r="I8071">
        <v>1</v>
      </c>
      <c r="K8071">
        <v>0</v>
      </c>
      <c r="L8071">
        <v>0</v>
      </c>
      <c r="M8071">
        <v>1</v>
      </c>
      <c r="N8071">
        <v>1</v>
      </c>
      <c r="O8071">
        <v>1</v>
      </c>
      <c r="P8071">
        <v>1</v>
      </c>
      <c r="Q8071">
        <v>1</v>
      </c>
      <c r="R8071">
        <v>1</v>
      </c>
      <c r="U8071">
        <v>0</v>
      </c>
      <c r="V8071">
        <v>1</v>
      </c>
      <c r="W8071">
        <v>1</v>
      </c>
      <c r="X8071">
        <v>1</v>
      </c>
      <c r="Y8071">
        <v>1</v>
      </c>
      <c r="Z8071">
        <v>1</v>
      </c>
      <c r="AA8071">
        <v>1</v>
      </c>
      <c r="AB8071">
        <v>1</v>
      </c>
    </row>
    <row r="8072" spans="1:28" x14ac:dyDescent="0.25">
      <c r="A8072" t="str">
        <f>"8068"</f>
        <v>8068</v>
      </c>
      <c r="B8072" t="str">
        <f t="shared" si="468"/>
        <v>1</v>
      </c>
      <c r="C8072" t="str">
        <f t="shared" si="470"/>
        <v>355</v>
      </c>
      <c r="D8072" t="str">
        <f>"20"</f>
        <v>20</v>
      </c>
      <c r="E8072" t="str">
        <f>"1-355-20"</f>
        <v>1-355-20</v>
      </c>
      <c r="F8072" t="s">
        <v>83</v>
      </c>
      <c r="G8072" t="s">
        <v>84</v>
      </c>
      <c r="H8072" t="s">
        <v>92</v>
      </c>
      <c r="I8072">
        <v>1</v>
      </c>
      <c r="J8072">
        <v>1</v>
      </c>
      <c r="N8072">
        <v>1</v>
      </c>
      <c r="O8072">
        <v>1</v>
      </c>
      <c r="P8072">
        <v>1</v>
      </c>
      <c r="Q8072">
        <v>1</v>
      </c>
      <c r="R8072">
        <v>1</v>
      </c>
      <c r="S8072">
        <v>1</v>
      </c>
      <c r="T8072">
        <v>1</v>
      </c>
      <c r="W8072">
        <v>1</v>
      </c>
      <c r="X8072">
        <v>1</v>
      </c>
      <c r="Y8072">
        <v>1</v>
      </c>
      <c r="Z8072">
        <v>1</v>
      </c>
      <c r="AA8072">
        <v>1</v>
      </c>
      <c r="AB8072">
        <v>1</v>
      </c>
    </row>
    <row r="8073" spans="1:28" x14ac:dyDescent="0.25">
      <c r="A8073" t="str">
        <f>"8069"</f>
        <v>8069</v>
      </c>
      <c r="B8073" t="str">
        <f t="shared" si="468"/>
        <v>1</v>
      </c>
      <c r="C8073" t="str">
        <f t="shared" si="470"/>
        <v>355</v>
      </c>
      <c r="D8073" t="str">
        <f>"13"</f>
        <v>13</v>
      </c>
      <c r="E8073" t="str">
        <f>"1-355-13"</f>
        <v>1-355-13</v>
      </c>
      <c r="F8073" t="s">
        <v>83</v>
      </c>
      <c r="G8073" t="s">
        <v>86</v>
      </c>
      <c r="H8073" t="s">
        <v>93</v>
      </c>
      <c r="I8073">
        <v>1</v>
      </c>
      <c r="K8073">
        <v>0</v>
      </c>
      <c r="L8073">
        <v>0</v>
      </c>
      <c r="M8073">
        <v>1</v>
      </c>
      <c r="N8073">
        <v>1</v>
      </c>
      <c r="O8073">
        <v>1</v>
      </c>
      <c r="P8073">
        <v>1</v>
      </c>
      <c r="Q8073">
        <v>1</v>
      </c>
      <c r="R8073">
        <v>1</v>
      </c>
      <c r="U8073">
        <v>0</v>
      </c>
      <c r="V8073">
        <v>1</v>
      </c>
      <c r="W8073">
        <v>1</v>
      </c>
      <c r="X8073">
        <v>1</v>
      </c>
      <c r="Y8073">
        <v>1</v>
      </c>
      <c r="Z8073">
        <v>1</v>
      </c>
      <c r="AA8073">
        <v>1</v>
      </c>
      <c r="AB8073">
        <v>1</v>
      </c>
    </row>
    <row r="8074" spans="1:28" x14ac:dyDescent="0.25">
      <c r="A8074" t="str">
        <f>"8070"</f>
        <v>8070</v>
      </c>
      <c r="B8074" t="str">
        <f t="shared" si="468"/>
        <v>1</v>
      </c>
      <c r="C8074" t="str">
        <f t="shared" si="470"/>
        <v>355</v>
      </c>
      <c r="D8074" t="str">
        <f>"9"</f>
        <v>9</v>
      </c>
      <c r="E8074" t="str">
        <f>"1-355-9"</f>
        <v>1-355-9</v>
      </c>
      <c r="F8074" t="s">
        <v>83</v>
      </c>
      <c r="G8074" t="s">
        <v>86</v>
      </c>
      <c r="H8074" t="s">
        <v>93</v>
      </c>
      <c r="I8074">
        <v>1</v>
      </c>
      <c r="K8074">
        <v>0</v>
      </c>
      <c r="L8074">
        <v>0</v>
      </c>
      <c r="M8074">
        <v>1</v>
      </c>
      <c r="N8074">
        <v>1</v>
      </c>
      <c r="O8074">
        <v>1</v>
      </c>
      <c r="P8074">
        <v>1</v>
      </c>
      <c r="Q8074">
        <v>1</v>
      </c>
      <c r="R8074">
        <v>1</v>
      </c>
      <c r="U8074">
        <v>0</v>
      </c>
      <c r="V8074">
        <v>1</v>
      </c>
      <c r="W8074">
        <v>1</v>
      </c>
      <c r="X8074">
        <v>1</v>
      </c>
      <c r="Y8074">
        <v>1</v>
      </c>
      <c r="Z8074">
        <v>1</v>
      </c>
      <c r="AA8074">
        <v>1</v>
      </c>
      <c r="AB8074">
        <v>1</v>
      </c>
    </row>
    <row r="8075" spans="1:28" x14ac:dyDescent="0.25">
      <c r="A8075" t="str">
        <f>"8071"</f>
        <v>8071</v>
      </c>
      <c r="B8075" t="str">
        <f t="shared" si="468"/>
        <v>1</v>
      </c>
      <c r="C8075" t="str">
        <f t="shared" si="470"/>
        <v>355</v>
      </c>
      <c r="D8075" t="str">
        <f>"3"</f>
        <v>3</v>
      </c>
      <c r="E8075" t="str">
        <f>"1-355-3"</f>
        <v>1-355-3</v>
      </c>
      <c r="F8075" t="s">
        <v>83</v>
      </c>
      <c r="G8075" t="s">
        <v>84</v>
      </c>
      <c r="H8075" t="s">
        <v>92</v>
      </c>
      <c r="I8075">
        <v>1</v>
      </c>
      <c r="J8075">
        <v>1</v>
      </c>
      <c r="N8075">
        <v>1</v>
      </c>
      <c r="O8075">
        <v>1</v>
      </c>
      <c r="P8075">
        <v>1</v>
      </c>
      <c r="Q8075">
        <v>1</v>
      </c>
      <c r="R8075">
        <v>1</v>
      </c>
      <c r="S8075">
        <v>1</v>
      </c>
      <c r="T8075">
        <v>1</v>
      </c>
      <c r="W8075">
        <v>1</v>
      </c>
      <c r="X8075">
        <v>1</v>
      </c>
      <c r="Y8075">
        <v>1</v>
      </c>
      <c r="Z8075">
        <v>1</v>
      </c>
      <c r="AA8075">
        <v>1</v>
      </c>
      <c r="AB8075">
        <v>1</v>
      </c>
    </row>
    <row r="8076" spans="1:28" x14ac:dyDescent="0.25">
      <c r="A8076" t="str">
        <f>"8072"</f>
        <v>8072</v>
      </c>
      <c r="B8076" t="str">
        <f t="shared" si="468"/>
        <v>1</v>
      </c>
      <c r="C8076" t="str">
        <f t="shared" si="470"/>
        <v>355</v>
      </c>
      <c r="D8076" t="str">
        <f>"16"</f>
        <v>16</v>
      </c>
      <c r="E8076" t="str">
        <f>"1-355-16"</f>
        <v>1-355-16</v>
      </c>
      <c r="F8076" t="s">
        <v>83</v>
      </c>
      <c r="G8076" t="s">
        <v>86</v>
      </c>
      <c r="H8076" t="s">
        <v>93</v>
      </c>
      <c r="I8076">
        <v>1</v>
      </c>
      <c r="K8076">
        <v>0</v>
      </c>
      <c r="L8076">
        <v>0</v>
      </c>
      <c r="M8076">
        <v>1</v>
      </c>
      <c r="N8076">
        <v>1</v>
      </c>
      <c r="O8076">
        <v>1</v>
      </c>
      <c r="P8076">
        <v>1</v>
      </c>
      <c r="Q8076">
        <v>1</v>
      </c>
      <c r="R8076">
        <v>1</v>
      </c>
      <c r="U8076">
        <v>1</v>
      </c>
      <c r="V8076">
        <v>0</v>
      </c>
      <c r="W8076">
        <v>0</v>
      </c>
      <c r="X8076">
        <v>1</v>
      </c>
      <c r="Y8076">
        <v>1</v>
      </c>
      <c r="Z8076">
        <v>1</v>
      </c>
      <c r="AA8076">
        <v>1</v>
      </c>
      <c r="AB8076">
        <v>1</v>
      </c>
    </row>
    <row r="8077" spans="1:28" x14ac:dyDescent="0.25">
      <c r="A8077" t="str">
        <f>"8073"</f>
        <v>8073</v>
      </c>
      <c r="B8077" t="str">
        <f t="shared" si="468"/>
        <v>1</v>
      </c>
      <c r="C8077" t="str">
        <f t="shared" si="470"/>
        <v>355</v>
      </c>
      <c r="D8077" t="str">
        <f>"10"</f>
        <v>10</v>
      </c>
      <c r="E8077" t="str">
        <f>"1-355-10"</f>
        <v>1-355-10</v>
      </c>
      <c r="F8077" t="s">
        <v>83</v>
      </c>
      <c r="G8077" t="s">
        <v>86</v>
      </c>
      <c r="H8077" t="s">
        <v>93</v>
      </c>
      <c r="I8077">
        <v>1</v>
      </c>
      <c r="K8077">
        <v>0</v>
      </c>
      <c r="L8077">
        <v>0</v>
      </c>
      <c r="M8077">
        <v>1</v>
      </c>
      <c r="N8077">
        <v>0</v>
      </c>
      <c r="O8077">
        <v>0</v>
      </c>
      <c r="P8077">
        <v>0</v>
      </c>
      <c r="Q8077">
        <v>0</v>
      </c>
      <c r="R8077">
        <v>0</v>
      </c>
      <c r="U8077">
        <v>0</v>
      </c>
      <c r="V8077">
        <v>1</v>
      </c>
      <c r="W8077">
        <v>0</v>
      </c>
      <c r="X8077">
        <v>0</v>
      </c>
      <c r="Y8077">
        <v>0</v>
      </c>
      <c r="Z8077">
        <v>0</v>
      </c>
      <c r="AA8077">
        <v>0</v>
      </c>
      <c r="AB8077">
        <v>0</v>
      </c>
    </row>
    <row r="8078" spans="1:28" x14ac:dyDescent="0.25">
      <c r="A8078" t="str">
        <f>"8074"</f>
        <v>8074</v>
      </c>
      <c r="B8078" t="str">
        <f t="shared" si="468"/>
        <v>1</v>
      </c>
      <c r="C8078" t="str">
        <f t="shared" si="470"/>
        <v>355</v>
      </c>
      <c r="D8078" t="str">
        <f>"4"</f>
        <v>4</v>
      </c>
      <c r="E8078" t="str">
        <f>"1-355-4"</f>
        <v>1-355-4</v>
      </c>
      <c r="F8078" t="s">
        <v>83</v>
      </c>
      <c r="G8078" t="s">
        <v>84</v>
      </c>
      <c r="H8078" t="s">
        <v>92</v>
      </c>
      <c r="I8078">
        <v>1</v>
      </c>
      <c r="J8078">
        <v>0</v>
      </c>
      <c r="N8078">
        <v>1</v>
      </c>
      <c r="O8078">
        <v>0</v>
      </c>
      <c r="P8078">
        <v>0</v>
      </c>
      <c r="Q8078">
        <v>0</v>
      </c>
      <c r="R8078">
        <v>0</v>
      </c>
      <c r="S8078">
        <v>0</v>
      </c>
      <c r="T8078">
        <v>0</v>
      </c>
      <c r="W8078">
        <v>0</v>
      </c>
      <c r="X8078">
        <v>1</v>
      </c>
      <c r="Y8078">
        <v>0</v>
      </c>
      <c r="Z8078">
        <v>0</v>
      </c>
      <c r="AA8078">
        <v>0</v>
      </c>
      <c r="AB8078">
        <v>1</v>
      </c>
    </row>
    <row r="8079" spans="1:28" x14ac:dyDescent="0.25">
      <c r="A8079" t="str">
        <f>"8075"</f>
        <v>8075</v>
      </c>
      <c r="B8079" t="str">
        <f t="shared" si="468"/>
        <v>1</v>
      </c>
      <c r="C8079" t="str">
        <f t="shared" si="470"/>
        <v>355</v>
      </c>
      <c r="D8079" t="str">
        <f>"25"</f>
        <v>25</v>
      </c>
      <c r="E8079" t="str">
        <f>"1-355-25"</f>
        <v>1-355-25</v>
      </c>
      <c r="F8079" t="s">
        <v>83</v>
      </c>
      <c r="G8079" t="s">
        <v>84</v>
      </c>
      <c r="H8079" t="s">
        <v>92</v>
      </c>
      <c r="I8079">
        <v>1</v>
      </c>
      <c r="J8079">
        <v>1</v>
      </c>
      <c r="N8079">
        <v>1</v>
      </c>
      <c r="O8079">
        <v>1</v>
      </c>
      <c r="P8079">
        <v>1</v>
      </c>
      <c r="Q8079">
        <v>1</v>
      </c>
      <c r="R8079">
        <v>1</v>
      </c>
      <c r="S8079">
        <v>1</v>
      </c>
      <c r="T8079">
        <v>1</v>
      </c>
      <c r="W8079">
        <v>1</v>
      </c>
      <c r="X8079">
        <v>1</v>
      </c>
      <c r="Y8079">
        <v>1</v>
      </c>
      <c r="Z8079">
        <v>1</v>
      </c>
      <c r="AA8079">
        <v>1</v>
      </c>
      <c r="AB8079">
        <v>1</v>
      </c>
    </row>
    <row r="8080" spans="1:28" x14ac:dyDescent="0.25">
      <c r="A8080" t="str">
        <f>"8076"</f>
        <v>8076</v>
      </c>
      <c r="B8080" t="str">
        <f t="shared" si="468"/>
        <v>1</v>
      </c>
      <c r="C8080" t="str">
        <f t="shared" si="470"/>
        <v>355</v>
      </c>
      <c r="D8080" t="str">
        <f>"24"</f>
        <v>24</v>
      </c>
      <c r="E8080" t="str">
        <f>"1-355-24"</f>
        <v>1-355-24</v>
      </c>
      <c r="F8080" t="s">
        <v>83</v>
      </c>
      <c r="G8080" t="s">
        <v>84</v>
      </c>
      <c r="H8080" t="s">
        <v>92</v>
      </c>
      <c r="I8080">
        <v>1</v>
      </c>
      <c r="J8080">
        <v>1</v>
      </c>
      <c r="N8080">
        <v>1</v>
      </c>
      <c r="O8080">
        <v>1</v>
      </c>
      <c r="P8080">
        <v>1</v>
      </c>
      <c r="Q8080">
        <v>1</v>
      </c>
      <c r="R8080">
        <v>1</v>
      </c>
      <c r="S8080">
        <v>1</v>
      </c>
      <c r="T8080">
        <v>1</v>
      </c>
      <c r="W8080">
        <v>1</v>
      </c>
      <c r="X8080">
        <v>1</v>
      </c>
      <c r="Y8080">
        <v>1</v>
      </c>
      <c r="Z8080">
        <v>1</v>
      </c>
      <c r="AA8080">
        <v>1</v>
      </c>
      <c r="AB8080">
        <v>1</v>
      </c>
    </row>
    <row r="8081" spans="1:49" x14ac:dyDescent="0.25">
      <c r="A8081" t="str">
        <f>"8077"</f>
        <v>8077</v>
      </c>
      <c r="B8081" t="str">
        <f t="shared" si="468"/>
        <v>1</v>
      </c>
      <c r="C8081" t="str">
        <f t="shared" si="470"/>
        <v>355</v>
      </c>
      <c r="D8081" t="str">
        <f>"15"</f>
        <v>15</v>
      </c>
      <c r="E8081" t="str">
        <f>"1-355-15"</f>
        <v>1-355-15</v>
      </c>
      <c r="F8081" t="s">
        <v>83</v>
      </c>
      <c r="G8081" t="s">
        <v>86</v>
      </c>
      <c r="H8081" t="s">
        <v>93</v>
      </c>
      <c r="I8081">
        <v>1</v>
      </c>
      <c r="K8081">
        <v>0</v>
      </c>
      <c r="L8081">
        <v>0</v>
      </c>
      <c r="M8081">
        <v>1</v>
      </c>
      <c r="N8081">
        <v>1</v>
      </c>
      <c r="O8081">
        <v>1</v>
      </c>
      <c r="P8081">
        <v>0</v>
      </c>
      <c r="Q8081">
        <v>1</v>
      </c>
      <c r="R8081">
        <v>0</v>
      </c>
      <c r="U8081">
        <v>1</v>
      </c>
      <c r="V8081">
        <v>0</v>
      </c>
      <c r="W8081">
        <v>0</v>
      </c>
      <c r="X8081">
        <v>0</v>
      </c>
      <c r="Y8081">
        <v>0</v>
      </c>
      <c r="Z8081">
        <v>0</v>
      </c>
      <c r="AA8081">
        <v>0</v>
      </c>
      <c r="AB8081">
        <v>0</v>
      </c>
    </row>
    <row r="8082" spans="1:49" x14ac:dyDescent="0.25">
      <c r="A8082" t="str">
        <f>"8078"</f>
        <v>8078</v>
      </c>
      <c r="B8082" t="str">
        <f t="shared" si="468"/>
        <v>1</v>
      </c>
      <c r="C8082" t="str">
        <f t="shared" si="470"/>
        <v>355</v>
      </c>
      <c r="D8082" t="str">
        <f>"11"</f>
        <v>11</v>
      </c>
      <c r="E8082" t="str">
        <f>"1-355-11"</f>
        <v>1-355-11</v>
      </c>
      <c r="F8082" t="s">
        <v>83</v>
      </c>
      <c r="G8082" t="s">
        <v>86</v>
      </c>
      <c r="H8082" t="s">
        <v>93</v>
      </c>
      <c r="I8082">
        <v>1</v>
      </c>
      <c r="K8082">
        <v>0</v>
      </c>
      <c r="L8082">
        <v>0</v>
      </c>
      <c r="M8082">
        <v>1</v>
      </c>
      <c r="N8082">
        <v>1</v>
      </c>
      <c r="O8082">
        <v>1</v>
      </c>
      <c r="P8082">
        <v>1</v>
      </c>
      <c r="Q8082">
        <v>1</v>
      </c>
      <c r="R8082">
        <v>1</v>
      </c>
      <c r="U8082">
        <v>1</v>
      </c>
      <c r="V8082">
        <v>0</v>
      </c>
      <c r="W8082">
        <v>1</v>
      </c>
      <c r="X8082">
        <v>1</v>
      </c>
      <c r="Y8082">
        <v>1</v>
      </c>
      <c r="Z8082">
        <v>1</v>
      </c>
      <c r="AA8082">
        <v>1</v>
      </c>
      <c r="AB8082">
        <v>1</v>
      </c>
    </row>
    <row r="8083" spans="1:49" x14ac:dyDescent="0.25">
      <c r="A8083" t="str">
        <f>"8079"</f>
        <v>8079</v>
      </c>
      <c r="B8083" t="str">
        <f t="shared" si="468"/>
        <v>1</v>
      </c>
      <c r="C8083" t="str">
        <f t="shared" si="470"/>
        <v>355</v>
      </c>
      <c r="D8083" t="str">
        <f>"5"</f>
        <v>5</v>
      </c>
      <c r="E8083" t="str">
        <f>"1-355-5"</f>
        <v>1-355-5</v>
      </c>
      <c r="F8083" t="s">
        <v>83</v>
      </c>
      <c r="G8083" t="s">
        <v>84</v>
      </c>
      <c r="H8083" t="s">
        <v>92</v>
      </c>
      <c r="I8083">
        <v>1</v>
      </c>
      <c r="J8083">
        <v>0</v>
      </c>
      <c r="N8083">
        <v>1</v>
      </c>
      <c r="O8083">
        <v>0</v>
      </c>
      <c r="P8083">
        <v>0</v>
      </c>
      <c r="Q8083">
        <v>0</v>
      </c>
      <c r="R8083">
        <v>0</v>
      </c>
      <c r="S8083">
        <v>0</v>
      </c>
      <c r="T8083">
        <v>0</v>
      </c>
      <c r="W8083">
        <v>0</v>
      </c>
      <c r="X8083">
        <v>1</v>
      </c>
      <c r="Y8083">
        <v>0</v>
      </c>
      <c r="Z8083">
        <v>0</v>
      </c>
      <c r="AA8083">
        <v>0</v>
      </c>
      <c r="AB8083">
        <v>1</v>
      </c>
    </row>
    <row r="8084" spans="1:49" x14ac:dyDescent="0.25">
      <c r="A8084" t="str">
        <f>"8080"</f>
        <v>8080</v>
      </c>
      <c r="B8084" t="str">
        <f t="shared" si="468"/>
        <v>1</v>
      </c>
      <c r="C8084" t="str">
        <f t="shared" si="470"/>
        <v>355</v>
      </c>
      <c r="D8084" t="str">
        <f>"19"</f>
        <v>19</v>
      </c>
      <c r="E8084" t="str">
        <f>"1-355-19"</f>
        <v>1-355-19</v>
      </c>
      <c r="F8084" t="s">
        <v>83</v>
      </c>
      <c r="G8084" t="s">
        <v>84</v>
      </c>
      <c r="H8084" t="s">
        <v>92</v>
      </c>
      <c r="I8084">
        <v>1</v>
      </c>
      <c r="J8084">
        <v>1</v>
      </c>
      <c r="N8084">
        <v>1</v>
      </c>
      <c r="O8084">
        <v>1</v>
      </c>
      <c r="P8084">
        <v>1</v>
      </c>
      <c r="Q8084">
        <v>1</v>
      </c>
      <c r="R8084">
        <v>1</v>
      </c>
      <c r="S8084">
        <v>1</v>
      </c>
      <c r="T8084">
        <v>1</v>
      </c>
      <c r="W8084">
        <v>1</v>
      </c>
      <c r="X8084">
        <v>1</v>
      </c>
      <c r="Y8084">
        <v>1</v>
      </c>
      <c r="Z8084">
        <v>1</v>
      </c>
      <c r="AA8084">
        <v>1</v>
      </c>
      <c r="AB8084">
        <v>1</v>
      </c>
    </row>
    <row r="8085" spans="1:49" x14ac:dyDescent="0.25">
      <c r="A8085" t="str">
        <f>"8081"</f>
        <v>8081</v>
      </c>
      <c r="B8085" t="str">
        <f t="shared" si="468"/>
        <v>1</v>
      </c>
      <c r="C8085" t="str">
        <f t="shared" si="470"/>
        <v>355</v>
      </c>
      <c r="D8085" t="str">
        <f>"12"</f>
        <v>12</v>
      </c>
      <c r="E8085" t="str">
        <f>"1-355-12"</f>
        <v>1-355-12</v>
      </c>
      <c r="F8085" t="s">
        <v>83</v>
      </c>
      <c r="G8085" t="s">
        <v>86</v>
      </c>
      <c r="H8085" t="s">
        <v>93</v>
      </c>
      <c r="I8085">
        <v>0</v>
      </c>
      <c r="K8085">
        <v>0</v>
      </c>
      <c r="L8085">
        <v>0</v>
      </c>
      <c r="M8085">
        <v>1</v>
      </c>
      <c r="N8085">
        <v>1</v>
      </c>
      <c r="O8085">
        <v>1</v>
      </c>
      <c r="P8085">
        <v>1</v>
      </c>
      <c r="Q8085">
        <v>1</v>
      </c>
      <c r="R8085">
        <v>1</v>
      </c>
      <c r="U8085">
        <v>0</v>
      </c>
      <c r="V8085">
        <v>1</v>
      </c>
      <c r="W8085">
        <v>1</v>
      </c>
      <c r="X8085">
        <v>1</v>
      </c>
      <c r="Y8085">
        <v>1</v>
      </c>
      <c r="Z8085">
        <v>1</v>
      </c>
      <c r="AA8085">
        <v>1</v>
      </c>
      <c r="AB8085">
        <v>1</v>
      </c>
    </row>
    <row r="8086" spans="1:49" x14ac:dyDescent="0.25">
      <c r="A8086" t="str">
        <f>"8082"</f>
        <v>8082</v>
      </c>
      <c r="B8086" t="str">
        <f t="shared" si="468"/>
        <v>1</v>
      </c>
      <c r="C8086" t="str">
        <f t="shared" si="470"/>
        <v>355</v>
      </c>
      <c r="D8086" t="str">
        <f>"1"</f>
        <v>1</v>
      </c>
      <c r="E8086" t="str">
        <f>"1-355-1"</f>
        <v>1-355-1</v>
      </c>
      <c r="F8086" t="s">
        <v>83</v>
      </c>
      <c r="G8086" t="s">
        <v>90</v>
      </c>
      <c r="H8086" t="s">
        <v>94</v>
      </c>
      <c r="I8086">
        <v>1</v>
      </c>
      <c r="K8086">
        <v>0</v>
      </c>
      <c r="L8086">
        <v>0</v>
      </c>
      <c r="M8086">
        <v>1</v>
      </c>
      <c r="N8086">
        <v>1</v>
      </c>
      <c r="O8086">
        <v>1</v>
      </c>
      <c r="P8086">
        <v>1</v>
      </c>
      <c r="Q8086">
        <v>1</v>
      </c>
      <c r="R8086">
        <v>1</v>
      </c>
      <c r="S8086">
        <v>1</v>
      </c>
      <c r="U8086">
        <v>1</v>
      </c>
      <c r="V8086">
        <v>0</v>
      </c>
      <c r="W8086">
        <v>1</v>
      </c>
      <c r="X8086">
        <v>1</v>
      </c>
      <c r="Y8086">
        <v>1</v>
      </c>
      <c r="Z8086">
        <v>1</v>
      </c>
      <c r="AA8086">
        <v>1</v>
      </c>
      <c r="AB8086">
        <v>1</v>
      </c>
    </row>
    <row r="8087" spans="1:49" x14ac:dyDescent="0.25">
      <c r="A8087" t="str">
        <f>"8083"</f>
        <v>8083</v>
      </c>
      <c r="B8087" t="str">
        <f t="shared" si="468"/>
        <v>1</v>
      </c>
      <c r="C8087" t="str">
        <f t="shared" si="470"/>
        <v>355</v>
      </c>
      <c r="D8087" t="str">
        <f>"17"</f>
        <v>17</v>
      </c>
      <c r="E8087" t="str">
        <f>"1-355-17"</f>
        <v>1-355-17</v>
      </c>
      <c r="F8087" t="s">
        <v>83</v>
      </c>
      <c r="G8087" t="s">
        <v>86</v>
      </c>
      <c r="H8087" t="s">
        <v>93</v>
      </c>
      <c r="I8087">
        <v>1</v>
      </c>
      <c r="K8087">
        <v>0</v>
      </c>
      <c r="L8087">
        <v>0</v>
      </c>
      <c r="M8087">
        <v>1</v>
      </c>
      <c r="N8087">
        <v>0</v>
      </c>
      <c r="O8087">
        <v>0</v>
      </c>
      <c r="P8087">
        <v>1</v>
      </c>
      <c r="Q8087">
        <v>0</v>
      </c>
      <c r="R8087">
        <v>0</v>
      </c>
      <c r="U8087">
        <v>0</v>
      </c>
      <c r="V8087">
        <v>1</v>
      </c>
      <c r="W8087">
        <v>1</v>
      </c>
      <c r="X8087">
        <v>0</v>
      </c>
      <c r="Y8087">
        <v>0</v>
      </c>
      <c r="Z8087">
        <v>0</v>
      </c>
      <c r="AA8087">
        <v>0</v>
      </c>
      <c r="AB8087">
        <v>0</v>
      </c>
    </row>
    <row r="8088" spans="1:49" x14ac:dyDescent="0.25">
      <c r="A8088" t="str">
        <f>"8084"</f>
        <v>8084</v>
      </c>
      <c r="B8088" t="str">
        <f t="shared" si="468"/>
        <v>1</v>
      </c>
      <c r="C8088" t="str">
        <f t="shared" si="470"/>
        <v>355</v>
      </c>
      <c r="D8088" t="str">
        <f>"6"</f>
        <v>6</v>
      </c>
      <c r="E8088" t="str">
        <f>"1-355-6"</f>
        <v>1-355-6</v>
      </c>
      <c r="F8088" t="s">
        <v>83</v>
      </c>
      <c r="G8088" t="s">
        <v>84</v>
      </c>
      <c r="H8088" t="s">
        <v>92</v>
      </c>
      <c r="I8088">
        <v>1</v>
      </c>
      <c r="J8088">
        <v>0</v>
      </c>
      <c r="N8088">
        <v>1</v>
      </c>
      <c r="O8088">
        <v>1</v>
      </c>
      <c r="P8088">
        <v>1</v>
      </c>
      <c r="Q8088">
        <v>1</v>
      </c>
      <c r="R8088">
        <v>1</v>
      </c>
      <c r="S8088">
        <v>1</v>
      </c>
      <c r="T8088">
        <v>1</v>
      </c>
      <c r="W8088">
        <v>1</v>
      </c>
      <c r="X8088">
        <v>1</v>
      </c>
      <c r="Y8088">
        <v>1</v>
      </c>
      <c r="Z8088">
        <v>1</v>
      </c>
      <c r="AA8088">
        <v>1</v>
      </c>
      <c r="AB8088">
        <v>1</v>
      </c>
    </row>
    <row r="8089" spans="1:49" x14ac:dyDescent="0.25">
      <c r="A8089" t="str">
        <f>"8085"</f>
        <v>8085</v>
      </c>
      <c r="B8089" t="str">
        <f t="shared" si="468"/>
        <v>1</v>
      </c>
      <c r="C8089" t="str">
        <f t="shared" si="470"/>
        <v>355</v>
      </c>
      <c r="D8089" t="str">
        <f>"18"</f>
        <v>18</v>
      </c>
      <c r="E8089" t="str">
        <f>"1-355-18"</f>
        <v>1-355-18</v>
      </c>
      <c r="F8089" t="s">
        <v>83</v>
      </c>
      <c r="G8089" t="s">
        <v>84</v>
      </c>
      <c r="H8089" t="s">
        <v>92</v>
      </c>
      <c r="I8089">
        <v>1</v>
      </c>
      <c r="J8089">
        <v>1</v>
      </c>
      <c r="N8089">
        <v>1</v>
      </c>
      <c r="O8089">
        <v>1</v>
      </c>
      <c r="P8089">
        <v>1</v>
      </c>
      <c r="Q8089">
        <v>1</v>
      </c>
      <c r="R8089">
        <v>1</v>
      </c>
      <c r="S8089">
        <v>1</v>
      </c>
      <c r="T8089">
        <v>1</v>
      </c>
      <c r="W8089">
        <v>1</v>
      </c>
      <c r="X8089">
        <v>1</v>
      </c>
      <c r="Y8089">
        <v>1</v>
      </c>
      <c r="Z8089">
        <v>1</v>
      </c>
      <c r="AA8089">
        <v>1</v>
      </c>
      <c r="AB8089">
        <v>1</v>
      </c>
    </row>
    <row r="8090" spans="1:49" x14ac:dyDescent="0.25">
      <c r="A8090" t="str">
        <f>"8086"</f>
        <v>8086</v>
      </c>
      <c r="B8090" t="str">
        <f t="shared" si="468"/>
        <v>1</v>
      </c>
      <c r="C8090" t="str">
        <f t="shared" si="470"/>
        <v>355</v>
      </c>
      <c r="D8090" t="str">
        <f>"2"</f>
        <v>2</v>
      </c>
      <c r="E8090" t="str">
        <f>"1-355-2"</f>
        <v>1-355-2</v>
      </c>
      <c r="F8090" t="s">
        <v>83</v>
      </c>
      <c r="G8090" t="s">
        <v>84</v>
      </c>
      <c r="H8090" t="s">
        <v>92</v>
      </c>
      <c r="I8090">
        <v>1</v>
      </c>
      <c r="J8090">
        <v>1</v>
      </c>
      <c r="N8090">
        <v>1</v>
      </c>
      <c r="O8090">
        <v>1</v>
      </c>
      <c r="P8090">
        <v>1</v>
      </c>
      <c r="Q8090">
        <v>1</v>
      </c>
      <c r="R8090">
        <v>1</v>
      </c>
      <c r="S8090">
        <v>1</v>
      </c>
      <c r="T8090">
        <v>1</v>
      </c>
      <c r="W8090">
        <v>1</v>
      </c>
      <c r="X8090">
        <v>1</v>
      </c>
      <c r="Y8090">
        <v>1</v>
      </c>
      <c r="Z8090">
        <v>1</v>
      </c>
      <c r="AA8090">
        <v>1</v>
      </c>
      <c r="AB8090">
        <v>1</v>
      </c>
    </row>
    <row r="8091" spans="1:49" x14ac:dyDescent="0.25">
      <c r="A8091" t="str">
        <f>"8087"</f>
        <v>8087</v>
      </c>
      <c r="B8091" t="str">
        <f t="shared" si="468"/>
        <v>1</v>
      </c>
      <c r="C8091" t="str">
        <f t="shared" ref="C8091:C8115" si="471">"356"</f>
        <v>356</v>
      </c>
      <c r="D8091" t="str">
        <f>"20"</f>
        <v>20</v>
      </c>
      <c r="E8091" t="str">
        <f>"1-356-20"</f>
        <v>1-356-20</v>
      </c>
      <c r="F8091" t="s">
        <v>83</v>
      </c>
      <c r="G8091" t="s">
        <v>86</v>
      </c>
      <c r="H8091" t="s">
        <v>87</v>
      </c>
      <c r="AC8091">
        <v>0</v>
      </c>
      <c r="AD8091">
        <v>1</v>
      </c>
      <c r="AE8091">
        <v>0</v>
      </c>
      <c r="AF8091">
        <v>0</v>
      </c>
      <c r="AH8091">
        <v>1</v>
      </c>
      <c r="AI8091">
        <v>0</v>
      </c>
      <c r="AJ8091">
        <v>0</v>
      </c>
      <c r="AK8091">
        <v>1</v>
      </c>
      <c r="AL8091">
        <v>1</v>
      </c>
      <c r="AM8091">
        <v>0</v>
      </c>
      <c r="AN8091">
        <v>0</v>
      </c>
      <c r="AO8091">
        <v>1</v>
      </c>
      <c r="AP8091">
        <v>1</v>
      </c>
      <c r="AQ8091">
        <v>1</v>
      </c>
      <c r="AU8091">
        <v>1</v>
      </c>
      <c r="AV8091">
        <v>1</v>
      </c>
      <c r="AW8091">
        <v>1</v>
      </c>
    </row>
    <row r="8092" spans="1:49" x14ac:dyDescent="0.25">
      <c r="A8092" t="str">
        <f>"8088"</f>
        <v>8088</v>
      </c>
      <c r="B8092" t="str">
        <f t="shared" si="468"/>
        <v>1</v>
      </c>
      <c r="C8092" t="str">
        <f t="shared" si="471"/>
        <v>356</v>
      </c>
      <c r="D8092" t="str">
        <f>"14"</f>
        <v>14</v>
      </c>
      <c r="E8092" t="str">
        <f>"1-356-14"</f>
        <v>1-356-14</v>
      </c>
      <c r="F8092" t="s">
        <v>83</v>
      </c>
      <c r="G8092" t="s">
        <v>86</v>
      </c>
      <c r="H8092" t="s">
        <v>87</v>
      </c>
      <c r="AC8092">
        <v>0</v>
      </c>
      <c r="AD8092">
        <v>1</v>
      </c>
      <c r="AE8092">
        <v>0</v>
      </c>
      <c r="AF8092">
        <v>0</v>
      </c>
      <c r="AH8092">
        <v>1</v>
      </c>
      <c r="AI8092">
        <v>0</v>
      </c>
      <c r="AJ8092">
        <v>1</v>
      </c>
      <c r="AK8092">
        <v>0</v>
      </c>
      <c r="AL8092">
        <v>0</v>
      </c>
      <c r="AM8092">
        <v>1</v>
      </c>
      <c r="AN8092">
        <v>0</v>
      </c>
      <c r="AO8092">
        <v>1</v>
      </c>
      <c r="AP8092">
        <v>1</v>
      </c>
      <c r="AQ8092">
        <v>1</v>
      </c>
      <c r="AU8092">
        <v>1</v>
      </c>
      <c r="AV8092">
        <v>1</v>
      </c>
      <c r="AW8092">
        <v>1</v>
      </c>
    </row>
    <row r="8093" spans="1:49" x14ac:dyDescent="0.25">
      <c r="A8093" t="str">
        <f>"8089"</f>
        <v>8089</v>
      </c>
      <c r="B8093" t="str">
        <f t="shared" si="468"/>
        <v>1</v>
      </c>
      <c r="C8093" t="str">
        <f t="shared" si="471"/>
        <v>356</v>
      </c>
      <c r="D8093" t="str">
        <f>"8"</f>
        <v>8</v>
      </c>
      <c r="E8093" t="str">
        <f>"1-356-8"</f>
        <v>1-356-8</v>
      </c>
      <c r="F8093" t="s">
        <v>83</v>
      </c>
      <c r="G8093" t="s">
        <v>84</v>
      </c>
      <c r="H8093" t="s">
        <v>85</v>
      </c>
      <c r="AC8093">
        <v>0</v>
      </c>
      <c r="AD8093">
        <v>1</v>
      </c>
      <c r="AE8093">
        <v>0</v>
      </c>
      <c r="AF8093">
        <v>0</v>
      </c>
      <c r="AG8093">
        <v>1</v>
      </c>
      <c r="AJ8093">
        <v>1</v>
      </c>
      <c r="AK8093">
        <v>0</v>
      </c>
      <c r="AL8093">
        <v>1</v>
      </c>
      <c r="AM8093">
        <v>0</v>
      </c>
      <c r="AN8093">
        <v>0</v>
      </c>
      <c r="AO8093">
        <v>1</v>
      </c>
      <c r="AP8093">
        <v>1</v>
      </c>
      <c r="AQ8093">
        <v>1</v>
      </c>
      <c r="AR8093">
        <v>1</v>
      </c>
      <c r="AS8093">
        <v>0</v>
      </c>
      <c r="AT8093">
        <v>1</v>
      </c>
      <c r="AV8093">
        <v>1</v>
      </c>
      <c r="AW8093">
        <v>1</v>
      </c>
    </row>
    <row r="8094" spans="1:49" x14ac:dyDescent="0.25">
      <c r="A8094" t="str">
        <f>"8090"</f>
        <v>8090</v>
      </c>
      <c r="B8094" t="str">
        <f t="shared" ref="B8094:B8157" si="472">"1"</f>
        <v>1</v>
      </c>
      <c r="C8094" t="str">
        <f t="shared" si="471"/>
        <v>356</v>
      </c>
      <c r="D8094" t="str">
        <f>"5"</f>
        <v>5</v>
      </c>
      <c r="E8094" t="str">
        <f>"1-356-5"</f>
        <v>1-356-5</v>
      </c>
      <c r="F8094" t="s">
        <v>83</v>
      </c>
      <c r="G8094" t="s">
        <v>86</v>
      </c>
      <c r="H8094" t="s">
        <v>87</v>
      </c>
      <c r="AC8094">
        <v>0</v>
      </c>
      <c r="AD8094">
        <v>1</v>
      </c>
      <c r="AE8094">
        <v>0</v>
      </c>
      <c r="AF8094">
        <v>0</v>
      </c>
      <c r="AH8094">
        <v>0</v>
      </c>
      <c r="AI8094">
        <v>1</v>
      </c>
      <c r="AJ8094">
        <v>0</v>
      </c>
      <c r="AK8094">
        <v>1</v>
      </c>
      <c r="AL8094">
        <v>0</v>
      </c>
      <c r="AM8094">
        <v>0</v>
      </c>
      <c r="AN8094">
        <v>1</v>
      </c>
      <c r="AO8094">
        <v>0</v>
      </c>
      <c r="AP8094">
        <v>0</v>
      </c>
      <c r="AQ8094">
        <v>0</v>
      </c>
      <c r="AU8094">
        <v>0</v>
      </c>
      <c r="AV8094">
        <v>0</v>
      </c>
      <c r="AW8094">
        <v>0</v>
      </c>
    </row>
    <row r="8095" spans="1:49" x14ac:dyDescent="0.25">
      <c r="A8095" t="str">
        <f>"8091"</f>
        <v>8091</v>
      </c>
      <c r="B8095" t="str">
        <f t="shared" si="472"/>
        <v>1</v>
      </c>
      <c r="C8095" t="str">
        <f t="shared" si="471"/>
        <v>356</v>
      </c>
      <c r="D8095" t="str">
        <f>"23"</f>
        <v>23</v>
      </c>
      <c r="E8095" t="str">
        <f>"1-356-23"</f>
        <v>1-356-23</v>
      </c>
      <c r="F8095" t="s">
        <v>83</v>
      </c>
      <c r="G8095" t="s">
        <v>86</v>
      </c>
      <c r="H8095" t="s">
        <v>87</v>
      </c>
      <c r="AC8095">
        <v>0</v>
      </c>
      <c r="AD8095">
        <v>0</v>
      </c>
      <c r="AE8095">
        <v>0</v>
      </c>
      <c r="AF8095">
        <v>0</v>
      </c>
      <c r="AH8095">
        <v>1</v>
      </c>
      <c r="AI8095">
        <v>0</v>
      </c>
      <c r="AJ8095">
        <v>1</v>
      </c>
      <c r="AK8095">
        <v>0</v>
      </c>
      <c r="AL8095">
        <v>1</v>
      </c>
      <c r="AM8095">
        <v>0</v>
      </c>
      <c r="AN8095">
        <v>0</v>
      </c>
      <c r="AO8095">
        <v>0</v>
      </c>
      <c r="AP8095">
        <v>0</v>
      </c>
      <c r="AQ8095">
        <v>0</v>
      </c>
      <c r="AU8095">
        <v>0</v>
      </c>
      <c r="AV8095">
        <v>0</v>
      </c>
      <c r="AW8095">
        <v>0</v>
      </c>
    </row>
    <row r="8096" spans="1:49" x14ac:dyDescent="0.25">
      <c r="A8096" t="str">
        <f>"8092"</f>
        <v>8092</v>
      </c>
      <c r="B8096" t="str">
        <f t="shared" si="472"/>
        <v>1</v>
      </c>
      <c r="C8096" t="str">
        <f t="shared" si="471"/>
        <v>356</v>
      </c>
      <c r="D8096" t="str">
        <f>"13"</f>
        <v>13</v>
      </c>
      <c r="E8096" t="str">
        <f>"1-356-13"</f>
        <v>1-356-13</v>
      </c>
      <c r="F8096" t="s">
        <v>83</v>
      </c>
      <c r="G8096" t="s">
        <v>86</v>
      </c>
      <c r="H8096" t="s">
        <v>87</v>
      </c>
      <c r="AC8096">
        <v>0</v>
      </c>
      <c r="AD8096">
        <v>1</v>
      </c>
      <c r="AE8096">
        <v>0</v>
      </c>
      <c r="AF8096">
        <v>0</v>
      </c>
      <c r="AH8096">
        <v>0</v>
      </c>
      <c r="AI8096">
        <v>1</v>
      </c>
      <c r="AJ8096">
        <v>0</v>
      </c>
      <c r="AK8096">
        <v>1</v>
      </c>
      <c r="AL8096">
        <v>0</v>
      </c>
      <c r="AM8096">
        <v>1</v>
      </c>
      <c r="AN8096">
        <v>0</v>
      </c>
      <c r="AO8096">
        <v>1</v>
      </c>
      <c r="AP8096">
        <v>1</v>
      </c>
      <c r="AQ8096">
        <v>1</v>
      </c>
      <c r="AU8096">
        <v>1</v>
      </c>
      <c r="AV8096">
        <v>1</v>
      </c>
      <c r="AW8096">
        <v>1</v>
      </c>
    </row>
    <row r="8097" spans="1:49" x14ac:dyDescent="0.25">
      <c r="A8097" t="str">
        <f>"8093"</f>
        <v>8093</v>
      </c>
      <c r="B8097" t="str">
        <f t="shared" si="472"/>
        <v>1</v>
      </c>
      <c r="C8097" t="str">
        <f t="shared" si="471"/>
        <v>356</v>
      </c>
      <c r="D8097" t="str">
        <f>"9"</f>
        <v>9</v>
      </c>
      <c r="E8097" t="str">
        <f>"1-356-9"</f>
        <v>1-356-9</v>
      </c>
      <c r="F8097" t="s">
        <v>83</v>
      </c>
      <c r="G8097" t="s">
        <v>84</v>
      </c>
      <c r="H8097" t="s">
        <v>85</v>
      </c>
      <c r="AC8097">
        <v>0</v>
      </c>
      <c r="AD8097">
        <v>1</v>
      </c>
      <c r="AE8097">
        <v>0</v>
      </c>
      <c r="AF8097">
        <v>0</v>
      </c>
      <c r="AG8097">
        <v>1</v>
      </c>
      <c r="AJ8097">
        <v>1</v>
      </c>
      <c r="AK8097">
        <v>0</v>
      </c>
      <c r="AL8097">
        <v>0</v>
      </c>
      <c r="AM8097">
        <v>1</v>
      </c>
      <c r="AN8097">
        <v>0</v>
      </c>
      <c r="AO8097">
        <v>1</v>
      </c>
      <c r="AP8097">
        <v>1</v>
      </c>
      <c r="AQ8097">
        <v>1</v>
      </c>
      <c r="AR8097">
        <v>1</v>
      </c>
      <c r="AS8097">
        <v>1</v>
      </c>
      <c r="AT8097">
        <v>0</v>
      </c>
      <c r="AV8097">
        <v>1</v>
      </c>
      <c r="AW8097">
        <v>1</v>
      </c>
    </row>
    <row r="8098" spans="1:49" x14ac:dyDescent="0.25">
      <c r="A8098" t="str">
        <f>"8094"</f>
        <v>8094</v>
      </c>
      <c r="B8098" t="str">
        <f t="shared" si="472"/>
        <v>1</v>
      </c>
      <c r="C8098" t="str">
        <f t="shared" si="471"/>
        <v>356</v>
      </c>
      <c r="D8098" t="str">
        <f>"6"</f>
        <v>6</v>
      </c>
      <c r="E8098" t="str">
        <f>"1-356-6"</f>
        <v>1-356-6</v>
      </c>
      <c r="F8098" t="s">
        <v>83</v>
      </c>
      <c r="G8098" t="s">
        <v>86</v>
      </c>
      <c r="H8098" t="s">
        <v>87</v>
      </c>
      <c r="AC8098">
        <v>1</v>
      </c>
      <c r="AD8098">
        <v>0</v>
      </c>
      <c r="AE8098">
        <v>0</v>
      </c>
      <c r="AF8098">
        <v>0</v>
      </c>
      <c r="AH8098">
        <v>1</v>
      </c>
      <c r="AI8098">
        <v>0</v>
      </c>
      <c r="AJ8098">
        <v>1</v>
      </c>
      <c r="AK8098">
        <v>0</v>
      </c>
      <c r="AL8098">
        <v>0</v>
      </c>
      <c r="AM8098">
        <v>1</v>
      </c>
      <c r="AN8098">
        <v>0</v>
      </c>
      <c r="AO8098">
        <v>0</v>
      </c>
      <c r="AP8098">
        <v>0</v>
      </c>
      <c r="AQ8098">
        <v>0</v>
      </c>
      <c r="AU8098">
        <v>0</v>
      </c>
      <c r="AV8098">
        <v>0</v>
      </c>
      <c r="AW8098">
        <v>0</v>
      </c>
    </row>
    <row r="8099" spans="1:49" x14ac:dyDescent="0.25">
      <c r="A8099" t="str">
        <f>"8095"</f>
        <v>8095</v>
      </c>
      <c r="B8099" t="str">
        <f t="shared" si="472"/>
        <v>1</v>
      </c>
      <c r="C8099" t="str">
        <f t="shared" si="471"/>
        <v>356</v>
      </c>
      <c r="D8099" t="str">
        <f>"16"</f>
        <v>16</v>
      </c>
      <c r="E8099" t="str">
        <f>"1-356-16"</f>
        <v>1-356-16</v>
      </c>
      <c r="F8099" t="s">
        <v>83</v>
      </c>
      <c r="G8099" t="s">
        <v>86</v>
      </c>
      <c r="H8099" t="s">
        <v>87</v>
      </c>
      <c r="AC8099">
        <v>0</v>
      </c>
      <c r="AD8099">
        <v>1</v>
      </c>
      <c r="AE8099">
        <v>0</v>
      </c>
      <c r="AF8099">
        <v>0</v>
      </c>
      <c r="AH8099">
        <v>0</v>
      </c>
      <c r="AI8099">
        <v>1</v>
      </c>
      <c r="AJ8099">
        <v>0</v>
      </c>
      <c r="AK8099">
        <v>1</v>
      </c>
      <c r="AL8099">
        <v>0</v>
      </c>
      <c r="AM8099">
        <v>1</v>
      </c>
      <c r="AN8099">
        <v>0</v>
      </c>
      <c r="AO8099">
        <v>1</v>
      </c>
      <c r="AP8099">
        <v>1</v>
      </c>
      <c r="AQ8099">
        <v>1</v>
      </c>
      <c r="AU8099">
        <v>1</v>
      </c>
      <c r="AV8099">
        <v>1</v>
      </c>
      <c r="AW8099">
        <v>1</v>
      </c>
    </row>
    <row r="8100" spans="1:49" x14ac:dyDescent="0.25">
      <c r="A8100" t="str">
        <f>"8096"</f>
        <v>8096</v>
      </c>
      <c r="B8100" t="str">
        <f t="shared" si="472"/>
        <v>1</v>
      </c>
      <c r="C8100" t="str">
        <f t="shared" si="471"/>
        <v>356</v>
      </c>
      <c r="D8100" t="str">
        <f>"10"</f>
        <v>10</v>
      </c>
      <c r="E8100" t="str">
        <f>"1-356-10"</f>
        <v>1-356-10</v>
      </c>
      <c r="F8100" t="s">
        <v>83</v>
      </c>
      <c r="G8100" t="s">
        <v>84</v>
      </c>
      <c r="H8100" t="s">
        <v>85</v>
      </c>
      <c r="AC8100">
        <v>1</v>
      </c>
      <c r="AD8100">
        <v>0</v>
      </c>
      <c r="AE8100">
        <v>0</v>
      </c>
      <c r="AF8100">
        <v>0</v>
      </c>
      <c r="AG8100">
        <v>0</v>
      </c>
      <c r="AJ8100">
        <v>1</v>
      </c>
      <c r="AK8100">
        <v>0</v>
      </c>
      <c r="AL8100">
        <v>1</v>
      </c>
      <c r="AM8100">
        <v>0</v>
      </c>
      <c r="AN8100">
        <v>0</v>
      </c>
      <c r="AO8100">
        <v>0</v>
      </c>
      <c r="AP8100">
        <v>0</v>
      </c>
      <c r="AQ8100">
        <v>0</v>
      </c>
      <c r="AR8100">
        <v>0</v>
      </c>
      <c r="AS8100">
        <v>1</v>
      </c>
      <c r="AT8100">
        <v>0</v>
      </c>
      <c r="AV8100">
        <v>0</v>
      </c>
      <c r="AW8100">
        <v>1</v>
      </c>
    </row>
    <row r="8101" spans="1:49" x14ac:dyDescent="0.25">
      <c r="A8101" t="str">
        <f>"8097"</f>
        <v>8097</v>
      </c>
      <c r="B8101" t="str">
        <f t="shared" si="472"/>
        <v>1</v>
      </c>
      <c r="C8101" t="str">
        <f t="shared" si="471"/>
        <v>356</v>
      </c>
      <c r="D8101" t="str">
        <f>"4"</f>
        <v>4</v>
      </c>
      <c r="E8101" t="str">
        <f>"1-356-4"</f>
        <v>1-356-4</v>
      </c>
      <c r="F8101" t="s">
        <v>83</v>
      </c>
      <c r="G8101" t="s">
        <v>84</v>
      </c>
      <c r="H8101" t="s">
        <v>85</v>
      </c>
      <c r="AC8101">
        <v>0</v>
      </c>
      <c r="AD8101">
        <v>1</v>
      </c>
      <c r="AE8101">
        <v>0</v>
      </c>
      <c r="AF8101">
        <v>0</v>
      </c>
      <c r="AG8101">
        <v>0</v>
      </c>
      <c r="AJ8101">
        <v>0</v>
      </c>
      <c r="AK8101">
        <v>0</v>
      </c>
      <c r="AL8101">
        <v>0</v>
      </c>
      <c r="AM8101">
        <v>0</v>
      </c>
      <c r="AN8101">
        <v>1</v>
      </c>
      <c r="AO8101">
        <v>0</v>
      </c>
      <c r="AP8101">
        <v>0</v>
      </c>
      <c r="AQ8101">
        <v>0</v>
      </c>
      <c r="AR8101">
        <v>0</v>
      </c>
      <c r="AS8101">
        <v>0</v>
      </c>
      <c r="AT8101">
        <v>1</v>
      </c>
      <c r="AV8101">
        <v>0</v>
      </c>
      <c r="AW8101">
        <v>0</v>
      </c>
    </row>
    <row r="8102" spans="1:49" x14ac:dyDescent="0.25">
      <c r="A8102" t="str">
        <f>"8098"</f>
        <v>8098</v>
      </c>
      <c r="B8102" t="str">
        <f t="shared" si="472"/>
        <v>1</v>
      </c>
      <c r="C8102" t="str">
        <f t="shared" si="471"/>
        <v>356</v>
      </c>
      <c r="D8102" t="str">
        <f>"25"</f>
        <v>25</v>
      </c>
      <c r="E8102" t="str">
        <f>"1-356-25"</f>
        <v>1-356-25</v>
      </c>
      <c r="F8102" t="s">
        <v>83</v>
      </c>
      <c r="G8102" t="s">
        <v>86</v>
      </c>
      <c r="H8102" t="s">
        <v>87</v>
      </c>
      <c r="AC8102">
        <v>0</v>
      </c>
      <c r="AD8102">
        <v>1</v>
      </c>
      <c r="AE8102">
        <v>0</v>
      </c>
      <c r="AF8102">
        <v>0</v>
      </c>
      <c r="AH8102">
        <v>0</v>
      </c>
      <c r="AI8102">
        <v>1</v>
      </c>
      <c r="AJ8102">
        <v>0</v>
      </c>
      <c r="AK8102">
        <v>1</v>
      </c>
      <c r="AL8102">
        <v>0</v>
      </c>
      <c r="AM8102">
        <v>0</v>
      </c>
      <c r="AN8102">
        <v>1</v>
      </c>
      <c r="AO8102">
        <v>0</v>
      </c>
      <c r="AP8102">
        <v>0</v>
      </c>
      <c r="AQ8102">
        <v>0</v>
      </c>
      <c r="AU8102">
        <v>0</v>
      </c>
      <c r="AV8102">
        <v>0</v>
      </c>
      <c r="AW8102">
        <v>0</v>
      </c>
    </row>
    <row r="8103" spans="1:49" s="2" customFormat="1" x14ac:dyDescent="0.25">
      <c r="A8103" s="3" t="str">
        <f>"8099"</f>
        <v>8099</v>
      </c>
      <c r="B8103" s="3" t="str">
        <f t="shared" si="472"/>
        <v>1</v>
      </c>
      <c r="C8103" s="3" t="str">
        <f t="shared" si="471"/>
        <v>356</v>
      </c>
      <c r="D8103" s="3" t="str">
        <f>"24"</f>
        <v>24</v>
      </c>
      <c r="E8103" s="3" t="str">
        <f>"1-356-24"</f>
        <v>1-356-24</v>
      </c>
      <c r="F8103" s="3" t="s">
        <v>83</v>
      </c>
      <c r="G8103" s="4" t="s">
        <v>96</v>
      </c>
      <c r="I8103" s="4"/>
    </row>
    <row r="8104" spans="1:49" x14ac:dyDescent="0.25">
      <c r="A8104" t="str">
        <f>"8100"</f>
        <v>8100</v>
      </c>
      <c r="B8104" t="str">
        <f t="shared" si="472"/>
        <v>1</v>
      </c>
      <c r="C8104" t="str">
        <f t="shared" si="471"/>
        <v>356</v>
      </c>
      <c r="D8104" t="str">
        <f>"15"</f>
        <v>15</v>
      </c>
      <c r="E8104" t="str">
        <f>"1-356-15"</f>
        <v>1-356-15</v>
      </c>
      <c r="F8104" t="s">
        <v>83</v>
      </c>
      <c r="G8104" t="s">
        <v>86</v>
      </c>
      <c r="H8104" t="s">
        <v>87</v>
      </c>
      <c r="AC8104">
        <v>0</v>
      </c>
      <c r="AD8104">
        <v>1</v>
      </c>
      <c r="AE8104">
        <v>0</v>
      </c>
      <c r="AF8104">
        <v>0</v>
      </c>
      <c r="AH8104">
        <v>0</v>
      </c>
      <c r="AI8104">
        <v>1</v>
      </c>
      <c r="AJ8104">
        <v>0</v>
      </c>
      <c r="AK8104">
        <v>1</v>
      </c>
      <c r="AL8104">
        <v>0</v>
      </c>
      <c r="AM8104">
        <v>1</v>
      </c>
      <c r="AN8104">
        <v>0</v>
      </c>
      <c r="AO8104">
        <v>1</v>
      </c>
      <c r="AP8104">
        <v>1</v>
      </c>
      <c r="AQ8104">
        <v>1</v>
      </c>
      <c r="AU8104">
        <v>1</v>
      </c>
      <c r="AV8104">
        <v>1</v>
      </c>
      <c r="AW8104">
        <v>1</v>
      </c>
    </row>
    <row r="8105" spans="1:49" x14ac:dyDescent="0.25">
      <c r="A8105" t="str">
        <f>"8101"</f>
        <v>8101</v>
      </c>
      <c r="B8105" t="str">
        <f t="shared" si="472"/>
        <v>1</v>
      </c>
      <c r="C8105" t="str">
        <f t="shared" si="471"/>
        <v>356</v>
      </c>
      <c r="D8105" t="str">
        <f>"11"</f>
        <v>11</v>
      </c>
      <c r="E8105" t="str">
        <f>"1-356-11"</f>
        <v>1-356-11</v>
      </c>
      <c r="F8105" t="s">
        <v>83</v>
      </c>
      <c r="G8105" t="s">
        <v>84</v>
      </c>
      <c r="H8105" t="s">
        <v>85</v>
      </c>
      <c r="AC8105">
        <v>1</v>
      </c>
      <c r="AD8105">
        <v>0</v>
      </c>
      <c r="AE8105">
        <v>0</v>
      </c>
      <c r="AF8105">
        <v>0</v>
      </c>
      <c r="AG8105">
        <v>1</v>
      </c>
      <c r="AJ8105">
        <v>1</v>
      </c>
      <c r="AK8105">
        <v>0</v>
      </c>
      <c r="AL8105">
        <v>0</v>
      </c>
      <c r="AM8105">
        <v>1</v>
      </c>
      <c r="AN8105">
        <v>0</v>
      </c>
      <c r="AO8105">
        <v>1</v>
      </c>
      <c r="AP8105">
        <v>1</v>
      </c>
      <c r="AQ8105">
        <v>1</v>
      </c>
      <c r="AR8105">
        <v>1</v>
      </c>
      <c r="AS8105">
        <v>0</v>
      </c>
      <c r="AT8105">
        <v>0</v>
      </c>
      <c r="AV8105">
        <v>1</v>
      </c>
      <c r="AW8105">
        <v>1</v>
      </c>
    </row>
    <row r="8106" spans="1:49" x14ac:dyDescent="0.25">
      <c r="A8106" t="str">
        <f>"8102"</f>
        <v>8102</v>
      </c>
      <c r="B8106" t="str">
        <f t="shared" si="472"/>
        <v>1</v>
      </c>
      <c r="C8106" t="str">
        <f t="shared" si="471"/>
        <v>356</v>
      </c>
      <c r="D8106" t="str">
        <f>"2"</f>
        <v>2</v>
      </c>
      <c r="E8106" t="str">
        <f>"1-356-2"</f>
        <v>1-356-2</v>
      </c>
      <c r="F8106" t="s">
        <v>83</v>
      </c>
      <c r="G8106" t="s">
        <v>90</v>
      </c>
      <c r="H8106" t="s">
        <v>91</v>
      </c>
      <c r="AC8106">
        <v>1</v>
      </c>
      <c r="AD8106">
        <v>0</v>
      </c>
      <c r="AE8106">
        <v>0</v>
      </c>
      <c r="AF8106">
        <v>0</v>
      </c>
      <c r="AH8106">
        <v>1</v>
      </c>
      <c r="AI8106">
        <v>0</v>
      </c>
      <c r="AJ8106">
        <v>1</v>
      </c>
      <c r="AK8106">
        <v>0</v>
      </c>
      <c r="AL8106">
        <v>1</v>
      </c>
      <c r="AM8106">
        <v>0</v>
      </c>
      <c r="AN8106">
        <v>0</v>
      </c>
      <c r="AO8106">
        <v>1</v>
      </c>
      <c r="AP8106">
        <v>1</v>
      </c>
      <c r="AQ8106">
        <v>1</v>
      </c>
      <c r="AR8106">
        <v>1</v>
      </c>
      <c r="AU8106">
        <v>1</v>
      </c>
      <c r="AV8106">
        <v>1</v>
      </c>
      <c r="AW8106">
        <v>1</v>
      </c>
    </row>
    <row r="8107" spans="1:49" x14ac:dyDescent="0.25">
      <c r="A8107" t="str">
        <f>"8103"</f>
        <v>8103</v>
      </c>
      <c r="B8107" t="str">
        <f t="shared" si="472"/>
        <v>1</v>
      </c>
      <c r="C8107" t="str">
        <f t="shared" si="471"/>
        <v>356</v>
      </c>
      <c r="D8107" t="str">
        <f>"17"</f>
        <v>17</v>
      </c>
      <c r="E8107" t="str">
        <f>"1-356-17"</f>
        <v>1-356-17</v>
      </c>
      <c r="F8107" t="s">
        <v>83</v>
      </c>
      <c r="G8107" t="s">
        <v>86</v>
      </c>
      <c r="H8107" t="s">
        <v>87</v>
      </c>
      <c r="AC8107">
        <v>1</v>
      </c>
      <c r="AD8107">
        <v>0</v>
      </c>
      <c r="AE8107">
        <v>0</v>
      </c>
      <c r="AF8107">
        <v>0</v>
      </c>
      <c r="AH8107">
        <v>1</v>
      </c>
      <c r="AI8107">
        <v>0</v>
      </c>
      <c r="AJ8107">
        <v>1</v>
      </c>
      <c r="AK8107">
        <v>0</v>
      </c>
      <c r="AL8107">
        <v>1</v>
      </c>
      <c r="AM8107">
        <v>0</v>
      </c>
      <c r="AN8107">
        <v>0</v>
      </c>
      <c r="AO8107">
        <v>1</v>
      </c>
      <c r="AP8107">
        <v>1</v>
      </c>
      <c r="AQ8107">
        <v>1</v>
      </c>
      <c r="AU8107">
        <v>1</v>
      </c>
      <c r="AV8107">
        <v>1</v>
      </c>
      <c r="AW8107">
        <v>1</v>
      </c>
    </row>
    <row r="8108" spans="1:49" x14ac:dyDescent="0.25">
      <c r="A8108" t="str">
        <f>"8104"</f>
        <v>8104</v>
      </c>
      <c r="B8108" t="str">
        <f t="shared" si="472"/>
        <v>1</v>
      </c>
      <c r="C8108" t="str">
        <f t="shared" si="471"/>
        <v>356</v>
      </c>
      <c r="D8108" t="str">
        <f>"12"</f>
        <v>12</v>
      </c>
      <c r="E8108" t="str">
        <f>"1-356-12"</f>
        <v>1-356-12</v>
      </c>
      <c r="F8108" t="s">
        <v>83</v>
      </c>
      <c r="G8108" t="s">
        <v>84</v>
      </c>
      <c r="H8108" t="s">
        <v>85</v>
      </c>
      <c r="AC8108">
        <v>1</v>
      </c>
      <c r="AD8108">
        <v>0</v>
      </c>
      <c r="AE8108">
        <v>0</v>
      </c>
      <c r="AF8108">
        <v>0</v>
      </c>
      <c r="AG8108">
        <v>1</v>
      </c>
      <c r="AJ8108">
        <v>1</v>
      </c>
      <c r="AK8108">
        <v>0</v>
      </c>
      <c r="AL8108">
        <v>1</v>
      </c>
      <c r="AM8108">
        <v>0</v>
      </c>
      <c r="AN8108">
        <v>0</v>
      </c>
      <c r="AO8108">
        <v>1</v>
      </c>
      <c r="AP8108">
        <v>1</v>
      </c>
      <c r="AQ8108">
        <v>1</v>
      </c>
      <c r="AR8108">
        <v>1</v>
      </c>
      <c r="AS8108">
        <v>0</v>
      </c>
      <c r="AT8108">
        <v>1</v>
      </c>
      <c r="AV8108">
        <v>1</v>
      </c>
      <c r="AW8108">
        <v>1</v>
      </c>
    </row>
    <row r="8109" spans="1:49" x14ac:dyDescent="0.25">
      <c r="A8109" t="str">
        <f>"8105"</f>
        <v>8105</v>
      </c>
      <c r="B8109" t="str">
        <f t="shared" si="472"/>
        <v>1</v>
      </c>
      <c r="C8109" t="str">
        <f t="shared" si="471"/>
        <v>356</v>
      </c>
      <c r="D8109" t="str">
        <f>"18"</f>
        <v>18</v>
      </c>
      <c r="E8109" t="str">
        <f>"1-356-18"</f>
        <v>1-356-18</v>
      </c>
      <c r="F8109" t="s">
        <v>83</v>
      </c>
      <c r="G8109" t="s">
        <v>86</v>
      </c>
      <c r="H8109" t="s">
        <v>87</v>
      </c>
      <c r="AC8109">
        <v>1</v>
      </c>
      <c r="AD8109">
        <v>0</v>
      </c>
      <c r="AE8109">
        <v>0</v>
      </c>
      <c r="AF8109">
        <v>0</v>
      </c>
      <c r="AH8109">
        <v>0</v>
      </c>
      <c r="AI8109">
        <v>1</v>
      </c>
      <c r="AJ8109">
        <v>1</v>
      </c>
      <c r="AK8109">
        <v>0</v>
      </c>
      <c r="AL8109">
        <v>1</v>
      </c>
      <c r="AM8109">
        <v>0</v>
      </c>
      <c r="AN8109">
        <v>0</v>
      </c>
      <c r="AO8109">
        <v>0</v>
      </c>
      <c r="AP8109">
        <v>0</v>
      </c>
      <c r="AQ8109">
        <v>0</v>
      </c>
      <c r="AU8109">
        <v>0</v>
      </c>
      <c r="AV8109">
        <v>0</v>
      </c>
      <c r="AW8109">
        <v>0</v>
      </c>
    </row>
    <row r="8110" spans="1:49" x14ac:dyDescent="0.25">
      <c r="A8110" t="str">
        <f>"8106"</f>
        <v>8106</v>
      </c>
      <c r="B8110" t="str">
        <f t="shared" si="472"/>
        <v>1</v>
      </c>
      <c r="C8110" t="str">
        <f t="shared" si="471"/>
        <v>356</v>
      </c>
      <c r="D8110" t="str">
        <f>"3"</f>
        <v>3</v>
      </c>
      <c r="E8110" t="str">
        <f>"1-356-3"</f>
        <v>1-356-3</v>
      </c>
      <c r="F8110" t="s">
        <v>83</v>
      </c>
      <c r="G8110" t="s">
        <v>84</v>
      </c>
      <c r="H8110" t="s">
        <v>85</v>
      </c>
      <c r="AC8110">
        <v>1</v>
      </c>
      <c r="AD8110">
        <v>0</v>
      </c>
      <c r="AE8110">
        <v>0</v>
      </c>
      <c r="AF8110">
        <v>0</v>
      </c>
      <c r="AG8110">
        <v>1</v>
      </c>
      <c r="AJ8110">
        <v>0</v>
      </c>
      <c r="AK8110">
        <v>1</v>
      </c>
      <c r="AL8110">
        <v>0</v>
      </c>
      <c r="AM8110">
        <v>0</v>
      </c>
      <c r="AN8110">
        <v>0</v>
      </c>
      <c r="AO8110">
        <v>1</v>
      </c>
      <c r="AP8110">
        <v>1</v>
      </c>
      <c r="AQ8110">
        <v>1</v>
      </c>
      <c r="AR8110">
        <v>1</v>
      </c>
      <c r="AS8110">
        <v>1</v>
      </c>
      <c r="AT8110">
        <v>0</v>
      </c>
      <c r="AV8110">
        <v>1</v>
      </c>
      <c r="AW8110">
        <v>1</v>
      </c>
    </row>
    <row r="8111" spans="1:49" x14ac:dyDescent="0.25">
      <c r="A8111" t="str">
        <f>"8107"</f>
        <v>8107</v>
      </c>
      <c r="B8111" t="str">
        <f t="shared" si="472"/>
        <v>1</v>
      </c>
      <c r="C8111" t="str">
        <f t="shared" si="471"/>
        <v>356</v>
      </c>
      <c r="D8111" t="str">
        <f>"19"</f>
        <v>19</v>
      </c>
      <c r="E8111" t="str">
        <f>"1-356-19"</f>
        <v>1-356-19</v>
      </c>
      <c r="F8111" t="s">
        <v>83</v>
      </c>
      <c r="G8111" t="s">
        <v>86</v>
      </c>
      <c r="H8111" t="s">
        <v>87</v>
      </c>
      <c r="AC8111">
        <v>1</v>
      </c>
      <c r="AD8111">
        <v>0</v>
      </c>
      <c r="AE8111">
        <v>0</v>
      </c>
      <c r="AF8111">
        <v>0</v>
      </c>
      <c r="AH8111">
        <v>0</v>
      </c>
      <c r="AI8111">
        <v>1</v>
      </c>
      <c r="AJ8111">
        <v>0</v>
      </c>
      <c r="AK8111">
        <v>1</v>
      </c>
      <c r="AL8111">
        <v>0</v>
      </c>
      <c r="AM8111">
        <v>0</v>
      </c>
      <c r="AN8111">
        <v>0</v>
      </c>
      <c r="AO8111">
        <v>0</v>
      </c>
      <c r="AP8111">
        <v>0</v>
      </c>
      <c r="AQ8111">
        <v>0</v>
      </c>
      <c r="AU8111">
        <v>0</v>
      </c>
      <c r="AV8111">
        <v>0</v>
      </c>
      <c r="AW8111">
        <v>0</v>
      </c>
    </row>
    <row r="8112" spans="1:49" x14ac:dyDescent="0.25">
      <c r="A8112" t="str">
        <f>"8108"</f>
        <v>8108</v>
      </c>
      <c r="B8112" t="str">
        <f t="shared" si="472"/>
        <v>1</v>
      </c>
      <c r="C8112" t="str">
        <f t="shared" si="471"/>
        <v>356</v>
      </c>
      <c r="D8112" t="str">
        <f>"7"</f>
        <v>7</v>
      </c>
      <c r="E8112" t="str">
        <f>"1-356-7"</f>
        <v>1-356-7</v>
      </c>
      <c r="F8112" t="s">
        <v>83</v>
      </c>
      <c r="G8112" t="s">
        <v>86</v>
      </c>
      <c r="H8112" t="s">
        <v>87</v>
      </c>
      <c r="AC8112">
        <v>1</v>
      </c>
      <c r="AD8112">
        <v>0</v>
      </c>
      <c r="AE8112">
        <v>0</v>
      </c>
      <c r="AF8112">
        <v>0</v>
      </c>
      <c r="AH8112">
        <v>1</v>
      </c>
      <c r="AI8112">
        <v>0</v>
      </c>
      <c r="AJ8112">
        <v>1</v>
      </c>
      <c r="AK8112">
        <v>0</v>
      </c>
      <c r="AL8112">
        <v>0</v>
      </c>
      <c r="AM8112">
        <v>1</v>
      </c>
      <c r="AN8112">
        <v>0</v>
      </c>
      <c r="AO8112">
        <v>1</v>
      </c>
      <c r="AP8112">
        <v>1</v>
      </c>
      <c r="AQ8112">
        <v>1</v>
      </c>
      <c r="AU8112">
        <v>1</v>
      </c>
      <c r="AV8112">
        <v>1</v>
      </c>
      <c r="AW8112">
        <v>1</v>
      </c>
    </row>
    <row r="8113" spans="1:49" x14ac:dyDescent="0.25">
      <c r="A8113" t="str">
        <f>"8109"</f>
        <v>8109</v>
      </c>
      <c r="B8113" t="str">
        <f t="shared" si="472"/>
        <v>1</v>
      </c>
      <c r="C8113" t="str">
        <f t="shared" si="471"/>
        <v>356</v>
      </c>
      <c r="D8113" t="str">
        <f>"21"</f>
        <v>21</v>
      </c>
      <c r="E8113" t="str">
        <f>"1-356-21"</f>
        <v>1-356-21</v>
      </c>
      <c r="F8113" t="s">
        <v>83</v>
      </c>
      <c r="G8113" t="s">
        <v>86</v>
      </c>
      <c r="H8113" t="s">
        <v>87</v>
      </c>
      <c r="AC8113">
        <v>0</v>
      </c>
      <c r="AD8113">
        <v>1</v>
      </c>
      <c r="AE8113">
        <v>0</v>
      </c>
      <c r="AF8113">
        <v>0</v>
      </c>
      <c r="AH8113">
        <v>1</v>
      </c>
      <c r="AI8113">
        <v>0</v>
      </c>
      <c r="AJ8113">
        <v>0</v>
      </c>
      <c r="AK8113">
        <v>1</v>
      </c>
      <c r="AL8113">
        <v>0</v>
      </c>
      <c r="AM8113">
        <v>1</v>
      </c>
      <c r="AN8113">
        <v>0</v>
      </c>
      <c r="AO8113">
        <v>1</v>
      </c>
      <c r="AP8113">
        <v>1</v>
      </c>
      <c r="AQ8113">
        <v>1</v>
      </c>
      <c r="AU8113">
        <v>1</v>
      </c>
      <c r="AV8113">
        <v>0</v>
      </c>
      <c r="AW8113">
        <v>1</v>
      </c>
    </row>
    <row r="8114" spans="1:49" x14ac:dyDescent="0.25">
      <c r="A8114" t="str">
        <f>"8110"</f>
        <v>8110</v>
      </c>
      <c r="B8114" t="str">
        <f t="shared" si="472"/>
        <v>1</v>
      </c>
      <c r="C8114" t="str">
        <f t="shared" si="471"/>
        <v>356</v>
      </c>
      <c r="D8114" t="str">
        <f>"1"</f>
        <v>1</v>
      </c>
      <c r="E8114" t="str">
        <f>"1-356-1"</f>
        <v>1-356-1</v>
      </c>
      <c r="F8114" t="s">
        <v>83</v>
      </c>
      <c r="G8114" t="s">
        <v>90</v>
      </c>
      <c r="H8114" t="s">
        <v>91</v>
      </c>
      <c r="AC8114">
        <v>0</v>
      </c>
      <c r="AD8114">
        <v>0</v>
      </c>
      <c r="AE8114">
        <v>0</v>
      </c>
      <c r="AF8114">
        <v>0</v>
      </c>
      <c r="AH8114">
        <v>1</v>
      </c>
      <c r="AI8114">
        <v>0</v>
      </c>
      <c r="AJ8114">
        <v>1</v>
      </c>
      <c r="AK8114">
        <v>0</v>
      </c>
      <c r="AL8114">
        <v>1</v>
      </c>
      <c r="AM8114">
        <v>0</v>
      </c>
      <c r="AN8114">
        <v>0</v>
      </c>
      <c r="AO8114">
        <v>1</v>
      </c>
      <c r="AP8114">
        <v>1</v>
      </c>
      <c r="AQ8114">
        <v>1</v>
      </c>
      <c r="AR8114">
        <v>1</v>
      </c>
      <c r="AU8114">
        <v>1</v>
      </c>
      <c r="AV8114">
        <v>1</v>
      </c>
      <c r="AW8114">
        <v>1</v>
      </c>
    </row>
    <row r="8115" spans="1:49" x14ac:dyDescent="0.25">
      <c r="A8115" t="str">
        <f>"8111"</f>
        <v>8111</v>
      </c>
      <c r="B8115" t="str">
        <f t="shared" si="472"/>
        <v>1</v>
      </c>
      <c r="C8115" t="str">
        <f t="shared" si="471"/>
        <v>356</v>
      </c>
      <c r="D8115" t="str">
        <f>"22"</f>
        <v>22</v>
      </c>
      <c r="E8115" t="str">
        <f>"1-356-22"</f>
        <v>1-356-22</v>
      </c>
      <c r="F8115" t="s">
        <v>83</v>
      </c>
      <c r="G8115" t="s">
        <v>86</v>
      </c>
      <c r="H8115" t="s">
        <v>87</v>
      </c>
      <c r="AC8115">
        <v>0</v>
      </c>
      <c r="AD8115">
        <v>1</v>
      </c>
      <c r="AE8115">
        <v>0</v>
      </c>
      <c r="AF8115">
        <v>0</v>
      </c>
      <c r="AH8115">
        <v>1</v>
      </c>
      <c r="AI8115">
        <v>0</v>
      </c>
      <c r="AJ8115">
        <v>0</v>
      </c>
      <c r="AK8115">
        <v>1</v>
      </c>
      <c r="AL8115">
        <v>0</v>
      </c>
      <c r="AM8115">
        <v>0</v>
      </c>
      <c r="AN8115">
        <v>1</v>
      </c>
      <c r="AO8115">
        <v>0</v>
      </c>
      <c r="AP8115">
        <v>0</v>
      </c>
      <c r="AQ8115">
        <v>0</v>
      </c>
      <c r="AU8115">
        <v>1</v>
      </c>
      <c r="AV8115">
        <v>0</v>
      </c>
      <c r="AW8115">
        <v>0</v>
      </c>
    </row>
    <row r="8116" spans="1:49" x14ac:dyDescent="0.25">
      <c r="A8116" t="str">
        <f>"8112"</f>
        <v>8112</v>
      </c>
      <c r="B8116" t="str">
        <f t="shared" si="472"/>
        <v>1</v>
      </c>
      <c r="C8116" t="str">
        <f t="shared" ref="C8116:C8140" si="473">"357"</f>
        <v>357</v>
      </c>
      <c r="D8116" t="str">
        <f>"21"</f>
        <v>21</v>
      </c>
      <c r="E8116" t="str">
        <f>"1-357-21"</f>
        <v>1-357-21</v>
      </c>
      <c r="F8116" t="s">
        <v>83</v>
      </c>
      <c r="G8116" t="s">
        <v>84</v>
      </c>
      <c r="H8116" t="s">
        <v>85</v>
      </c>
      <c r="AC8116">
        <v>0</v>
      </c>
      <c r="AD8116">
        <v>1</v>
      </c>
      <c r="AE8116">
        <v>0</v>
      </c>
      <c r="AF8116">
        <v>0</v>
      </c>
      <c r="AG8116">
        <v>1</v>
      </c>
      <c r="AJ8116">
        <v>0</v>
      </c>
      <c r="AK8116">
        <v>1</v>
      </c>
      <c r="AL8116">
        <v>1</v>
      </c>
      <c r="AM8116">
        <v>0</v>
      </c>
      <c r="AN8116">
        <v>0</v>
      </c>
      <c r="AO8116">
        <v>1</v>
      </c>
      <c r="AP8116">
        <v>1</v>
      </c>
      <c r="AQ8116">
        <v>1</v>
      </c>
      <c r="AR8116">
        <v>1</v>
      </c>
      <c r="AS8116">
        <v>0</v>
      </c>
      <c r="AT8116">
        <v>1</v>
      </c>
      <c r="AV8116">
        <v>1</v>
      </c>
      <c r="AW8116">
        <v>1</v>
      </c>
    </row>
    <row r="8117" spans="1:49" x14ac:dyDescent="0.25">
      <c r="A8117" t="str">
        <f>"8113"</f>
        <v>8113</v>
      </c>
      <c r="B8117" t="str">
        <f t="shared" si="472"/>
        <v>1</v>
      </c>
      <c r="C8117" t="str">
        <f t="shared" si="473"/>
        <v>357</v>
      </c>
      <c r="D8117" t="str">
        <f>"20"</f>
        <v>20</v>
      </c>
      <c r="E8117" t="str">
        <f>"1-357-20"</f>
        <v>1-357-20</v>
      </c>
      <c r="F8117" t="s">
        <v>83</v>
      </c>
      <c r="G8117" t="s">
        <v>84</v>
      </c>
      <c r="H8117" t="s">
        <v>85</v>
      </c>
      <c r="AC8117">
        <v>0</v>
      </c>
      <c r="AD8117">
        <v>1</v>
      </c>
      <c r="AE8117">
        <v>0</v>
      </c>
      <c r="AF8117">
        <v>0</v>
      </c>
      <c r="AG8117">
        <v>1</v>
      </c>
      <c r="AJ8117">
        <v>0</v>
      </c>
      <c r="AK8117">
        <v>1</v>
      </c>
      <c r="AL8117">
        <v>0</v>
      </c>
      <c r="AM8117">
        <v>0</v>
      </c>
      <c r="AN8117">
        <v>1</v>
      </c>
      <c r="AO8117">
        <v>1</v>
      </c>
      <c r="AP8117">
        <v>1</v>
      </c>
      <c r="AQ8117">
        <v>1</v>
      </c>
      <c r="AR8117">
        <v>1</v>
      </c>
      <c r="AS8117">
        <v>0</v>
      </c>
      <c r="AT8117">
        <v>1</v>
      </c>
      <c r="AV8117">
        <v>1</v>
      </c>
      <c r="AW8117">
        <v>1</v>
      </c>
    </row>
    <row r="8118" spans="1:49" x14ac:dyDescent="0.25">
      <c r="A8118" t="str">
        <f>"8114"</f>
        <v>8114</v>
      </c>
      <c r="B8118" t="str">
        <f t="shared" si="472"/>
        <v>1</v>
      </c>
      <c r="C8118" t="str">
        <f t="shared" si="473"/>
        <v>357</v>
      </c>
      <c r="D8118" t="str">
        <f>"14"</f>
        <v>14</v>
      </c>
      <c r="E8118" t="str">
        <f>"1-357-14"</f>
        <v>1-357-14</v>
      </c>
      <c r="F8118" t="s">
        <v>83</v>
      </c>
      <c r="G8118" t="s">
        <v>84</v>
      </c>
      <c r="H8118" t="s">
        <v>85</v>
      </c>
      <c r="AC8118">
        <v>1</v>
      </c>
      <c r="AD8118">
        <v>0</v>
      </c>
      <c r="AE8118">
        <v>0</v>
      </c>
      <c r="AF8118">
        <v>0</v>
      </c>
      <c r="AG8118">
        <v>0</v>
      </c>
      <c r="AJ8118">
        <v>1</v>
      </c>
      <c r="AK8118">
        <v>0</v>
      </c>
      <c r="AL8118">
        <v>1</v>
      </c>
      <c r="AM8118">
        <v>0</v>
      </c>
      <c r="AN8118">
        <v>0</v>
      </c>
      <c r="AO8118">
        <v>0</v>
      </c>
      <c r="AP8118">
        <v>0</v>
      </c>
      <c r="AQ8118">
        <v>0</v>
      </c>
      <c r="AR8118">
        <v>1</v>
      </c>
      <c r="AS8118">
        <v>0</v>
      </c>
      <c r="AT8118">
        <v>1</v>
      </c>
      <c r="AV8118">
        <v>1</v>
      </c>
      <c r="AW8118">
        <v>0</v>
      </c>
    </row>
    <row r="8119" spans="1:49" x14ac:dyDescent="0.25">
      <c r="A8119" t="str">
        <f>"8115"</f>
        <v>8115</v>
      </c>
      <c r="B8119" t="str">
        <f t="shared" si="472"/>
        <v>1</v>
      </c>
      <c r="C8119" t="str">
        <f t="shared" si="473"/>
        <v>357</v>
      </c>
      <c r="D8119" t="str">
        <f>"9"</f>
        <v>9</v>
      </c>
      <c r="E8119" t="str">
        <f>"1-357-9"</f>
        <v>1-357-9</v>
      </c>
      <c r="F8119" t="s">
        <v>83</v>
      </c>
      <c r="G8119" t="s">
        <v>84</v>
      </c>
      <c r="H8119" t="s">
        <v>85</v>
      </c>
      <c r="AC8119">
        <v>1</v>
      </c>
      <c r="AD8119">
        <v>0</v>
      </c>
      <c r="AE8119">
        <v>0</v>
      </c>
      <c r="AF8119">
        <v>0</v>
      </c>
      <c r="AG8119">
        <v>0</v>
      </c>
      <c r="AJ8119">
        <v>0</v>
      </c>
      <c r="AK8119">
        <v>1</v>
      </c>
      <c r="AL8119">
        <v>0</v>
      </c>
      <c r="AM8119">
        <v>0</v>
      </c>
      <c r="AN8119">
        <v>1</v>
      </c>
      <c r="AO8119">
        <v>0</v>
      </c>
      <c r="AP8119">
        <v>0</v>
      </c>
      <c r="AQ8119">
        <v>0</v>
      </c>
      <c r="AR8119">
        <v>0</v>
      </c>
      <c r="AS8119">
        <v>0</v>
      </c>
      <c r="AT8119">
        <v>1</v>
      </c>
      <c r="AV8119">
        <v>0</v>
      </c>
      <c r="AW8119">
        <v>0</v>
      </c>
    </row>
    <row r="8120" spans="1:49" x14ac:dyDescent="0.25">
      <c r="A8120" t="str">
        <f>"8116"</f>
        <v>8116</v>
      </c>
      <c r="B8120" t="str">
        <f t="shared" si="472"/>
        <v>1</v>
      </c>
      <c r="C8120" t="str">
        <f t="shared" si="473"/>
        <v>357</v>
      </c>
      <c r="D8120" t="str">
        <f>"3"</f>
        <v>3</v>
      </c>
      <c r="E8120" t="str">
        <f>"1-357-3"</f>
        <v>1-357-3</v>
      </c>
      <c r="F8120" t="s">
        <v>83</v>
      </c>
      <c r="G8120" t="s">
        <v>84</v>
      </c>
      <c r="H8120" t="s">
        <v>85</v>
      </c>
      <c r="AC8120">
        <v>0</v>
      </c>
      <c r="AD8120">
        <v>1</v>
      </c>
      <c r="AE8120">
        <v>0</v>
      </c>
      <c r="AF8120">
        <v>0</v>
      </c>
      <c r="AG8120">
        <v>1</v>
      </c>
      <c r="AJ8120">
        <v>0</v>
      </c>
      <c r="AK8120">
        <v>1</v>
      </c>
      <c r="AL8120">
        <v>1</v>
      </c>
      <c r="AM8120">
        <v>0</v>
      </c>
      <c r="AN8120">
        <v>0</v>
      </c>
      <c r="AO8120">
        <v>1</v>
      </c>
      <c r="AP8120">
        <v>1</v>
      </c>
      <c r="AQ8120">
        <v>1</v>
      </c>
      <c r="AR8120">
        <v>1</v>
      </c>
      <c r="AS8120">
        <v>0</v>
      </c>
      <c r="AT8120">
        <v>1</v>
      </c>
      <c r="AV8120">
        <v>1</v>
      </c>
      <c r="AW8120">
        <v>1</v>
      </c>
    </row>
    <row r="8121" spans="1:49" x14ac:dyDescent="0.25">
      <c r="A8121" t="str">
        <f>"8117"</f>
        <v>8117</v>
      </c>
      <c r="B8121" t="str">
        <f t="shared" si="472"/>
        <v>1</v>
      </c>
      <c r="C8121" t="str">
        <f t="shared" si="473"/>
        <v>357</v>
      </c>
      <c r="D8121" t="str">
        <f>"23"</f>
        <v>23</v>
      </c>
      <c r="E8121" t="str">
        <f>"1-357-23"</f>
        <v>1-357-23</v>
      </c>
      <c r="F8121" t="s">
        <v>83</v>
      </c>
      <c r="G8121" t="s">
        <v>84</v>
      </c>
      <c r="H8121" t="s">
        <v>85</v>
      </c>
      <c r="AC8121">
        <v>1</v>
      </c>
      <c r="AD8121">
        <v>0</v>
      </c>
      <c r="AE8121">
        <v>0</v>
      </c>
      <c r="AF8121">
        <v>0</v>
      </c>
      <c r="AG8121">
        <v>1</v>
      </c>
      <c r="AJ8121">
        <v>1</v>
      </c>
      <c r="AK8121">
        <v>0</v>
      </c>
      <c r="AL8121">
        <v>1</v>
      </c>
      <c r="AM8121">
        <v>0</v>
      </c>
      <c r="AN8121">
        <v>0</v>
      </c>
      <c r="AO8121">
        <v>1</v>
      </c>
      <c r="AP8121">
        <v>1</v>
      </c>
      <c r="AQ8121">
        <v>1</v>
      </c>
      <c r="AR8121">
        <v>1</v>
      </c>
      <c r="AS8121">
        <v>1</v>
      </c>
      <c r="AT8121">
        <v>0</v>
      </c>
      <c r="AV8121">
        <v>1</v>
      </c>
      <c r="AW8121">
        <v>1</v>
      </c>
    </row>
    <row r="8122" spans="1:49" x14ac:dyDescent="0.25">
      <c r="A8122" t="str">
        <f>"8118"</f>
        <v>8118</v>
      </c>
      <c r="B8122" t="str">
        <f t="shared" si="472"/>
        <v>1</v>
      </c>
      <c r="C8122" t="str">
        <f t="shared" si="473"/>
        <v>357</v>
      </c>
      <c r="D8122" t="str">
        <f>"22"</f>
        <v>22</v>
      </c>
      <c r="E8122" t="str">
        <f>"1-357-22"</f>
        <v>1-357-22</v>
      </c>
      <c r="F8122" t="s">
        <v>83</v>
      </c>
      <c r="G8122" t="s">
        <v>84</v>
      </c>
      <c r="H8122" t="s">
        <v>85</v>
      </c>
      <c r="AC8122">
        <v>0</v>
      </c>
      <c r="AD8122">
        <v>1</v>
      </c>
      <c r="AE8122">
        <v>0</v>
      </c>
      <c r="AF8122">
        <v>0</v>
      </c>
      <c r="AG8122">
        <v>1</v>
      </c>
      <c r="AJ8122">
        <v>0</v>
      </c>
      <c r="AK8122">
        <v>1</v>
      </c>
      <c r="AL8122">
        <v>1</v>
      </c>
      <c r="AM8122">
        <v>0</v>
      </c>
      <c r="AN8122">
        <v>0</v>
      </c>
      <c r="AO8122">
        <v>1</v>
      </c>
      <c r="AP8122">
        <v>1</v>
      </c>
      <c r="AQ8122">
        <v>1</v>
      </c>
      <c r="AR8122">
        <v>1</v>
      </c>
      <c r="AS8122">
        <v>0</v>
      </c>
      <c r="AT8122">
        <v>1</v>
      </c>
      <c r="AV8122">
        <v>1</v>
      </c>
      <c r="AW8122">
        <v>1</v>
      </c>
    </row>
    <row r="8123" spans="1:49" x14ac:dyDescent="0.25">
      <c r="A8123" t="str">
        <f>"8119"</f>
        <v>8119</v>
      </c>
      <c r="B8123" t="str">
        <f t="shared" si="472"/>
        <v>1</v>
      </c>
      <c r="C8123" t="str">
        <f t="shared" si="473"/>
        <v>357</v>
      </c>
      <c r="D8123" t="str">
        <f>"13"</f>
        <v>13</v>
      </c>
      <c r="E8123" t="str">
        <f>"1-357-13"</f>
        <v>1-357-13</v>
      </c>
      <c r="F8123" t="s">
        <v>83</v>
      </c>
      <c r="G8123" t="s">
        <v>84</v>
      </c>
      <c r="H8123" t="s">
        <v>85</v>
      </c>
      <c r="AC8123">
        <v>1</v>
      </c>
      <c r="AD8123">
        <v>0</v>
      </c>
      <c r="AE8123">
        <v>0</v>
      </c>
      <c r="AF8123">
        <v>0</v>
      </c>
      <c r="AG8123">
        <v>1</v>
      </c>
      <c r="AJ8123">
        <v>1</v>
      </c>
      <c r="AK8123">
        <v>0</v>
      </c>
      <c r="AL8123">
        <v>0</v>
      </c>
      <c r="AM8123">
        <v>1</v>
      </c>
      <c r="AN8123">
        <v>0</v>
      </c>
      <c r="AO8123">
        <v>1</v>
      </c>
      <c r="AP8123">
        <v>1</v>
      </c>
      <c r="AQ8123">
        <v>1</v>
      </c>
      <c r="AR8123">
        <v>1</v>
      </c>
      <c r="AS8123">
        <v>0</v>
      </c>
      <c r="AT8123">
        <v>1</v>
      </c>
      <c r="AV8123">
        <v>1</v>
      </c>
      <c r="AW8123">
        <v>1</v>
      </c>
    </row>
    <row r="8124" spans="1:49" x14ac:dyDescent="0.25">
      <c r="A8124" t="str">
        <f>"8120"</f>
        <v>8120</v>
      </c>
      <c r="B8124" t="str">
        <f t="shared" si="472"/>
        <v>1</v>
      </c>
      <c r="C8124" t="str">
        <f t="shared" si="473"/>
        <v>357</v>
      </c>
      <c r="D8124" t="str">
        <f>"8"</f>
        <v>8</v>
      </c>
      <c r="E8124" t="str">
        <f>"1-357-8"</f>
        <v>1-357-8</v>
      </c>
      <c r="F8124" t="s">
        <v>83</v>
      </c>
      <c r="G8124" t="s">
        <v>84</v>
      </c>
      <c r="H8124" t="s">
        <v>85</v>
      </c>
      <c r="AC8124">
        <v>1</v>
      </c>
      <c r="AD8124">
        <v>0</v>
      </c>
      <c r="AE8124">
        <v>0</v>
      </c>
      <c r="AF8124">
        <v>0</v>
      </c>
      <c r="AG8124">
        <v>0</v>
      </c>
      <c r="AJ8124">
        <v>0</v>
      </c>
      <c r="AK8124">
        <v>1</v>
      </c>
      <c r="AL8124">
        <v>0</v>
      </c>
      <c r="AM8124">
        <v>0</v>
      </c>
      <c r="AN8124">
        <v>1</v>
      </c>
      <c r="AO8124">
        <v>0</v>
      </c>
      <c r="AP8124">
        <v>0</v>
      </c>
      <c r="AQ8124">
        <v>0</v>
      </c>
      <c r="AR8124">
        <v>0</v>
      </c>
      <c r="AS8124">
        <v>0</v>
      </c>
      <c r="AT8124">
        <v>1</v>
      </c>
      <c r="AV8124">
        <v>0</v>
      </c>
      <c r="AW8124">
        <v>0</v>
      </c>
    </row>
    <row r="8125" spans="1:49" x14ac:dyDescent="0.25">
      <c r="A8125" t="str">
        <f>"8121"</f>
        <v>8121</v>
      </c>
      <c r="B8125" t="str">
        <f t="shared" si="472"/>
        <v>1</v>
      </c>
      <c r="C8125" t="str">
        <f t="shared" si="473"/>
        <v>357</v>
      </c>
      <c r="D8125" t="str">
        <f>"7"</f>
        <v>7</v>
      </c>
      <c r="E8125" t="str">
        <f>"1-357-7"</f>
        <v>1-357-7</v>
      </c>
      <c r="F8125" t="s">
        <v>83</v>
      </c>
      <c r="G8125" t="s">
        <v>84</v>
      </c>
      <c r="H8125" t="s">
        <v>85</v>
      </c>
      <c r="AC8125">
        <v>0</v>
      </c>
      <c r="AD8125">
        <v>1</v>
      </c>
      <c r="AE8125">
        <v>0</v>
      </c>
      <c r="AF8125">
        <v>0</v>
      </c>
      <c r="AG8125">
        <v>1</v>
      </c>
      <c r="AJ8125">
        <v>1</v>
      </c>
      <c r="AK8125">
        <v>0</v>
      </c>
      <c r="AL8125">
        <v>0</v>
      </c>
      <c r="AM8125">
        <v>1</v>
      </c>
      <c r="AN8125">
        <v>0</v>
      </c>
      <c r="AO8125">
        <v>0</v>
      </c>
      <c r="AP8125">
        <v>1</v>
      </c>
      <c r="AQ8125">
        <v>1</v>
      </c>
      <c r="AR8125">
        <v>1</v>
      </c>
      <c r="AS8125">
        <v>1</v>
      </c>
      <c r="AT8125">
        <v>0</v>
      </c>
      <c r="AV8125">
        <v>1</v>
      </c>
      <c r="AW8125">
        <v>1</v>
      </c>
    </row>
    <row r="8126" spans="1:49" x14ac:dyDescent="0.25">
      <c r="A8126" t="str">
        <f>"8122"</f>
        <v>8122</v>
      </c>
      <c r="B8126" t="str">
        <f t="shared" si="472"/>
        <v>1</v>
      </c>
      <c r="C8126" t="str">
        <f t="shared" si="473"/>
        <v>357</v>
      </c>
      <c r="D8126" t="str">
        <f>"25"</f>
        <v>25</v>
      </c>
      <c r="E8126" t="str">
        <f>"1-357-25"</f>
        <v>1-357-25</v>
      </c>
      <c r="F8126" t="s">
        <v>83</v>
      </c>
      <c r="G8126" t="s">
        <v>84</v>
      </c>
      <c r="H8126" t="s">
        <v>85</v>
      </c>
      <c r="AC8126">
        <v>0</v>
      </c>
      <c r="AD8126">
        <v>1</v>
      </c>
      <c r="AE8126">
        <v>0</v>
      </c>
      <c r="AF8126">
        <v>0</v>
      </c>
      <c r="AG8126">
        <v>1</v>
      </c>
      <c r="AJ8126">
        <v>0</v>
      </c>
      <c r="AK8126">
        <v>1</v>
      </c>
      <c r="AL8126">
        <v>1</v>
      </c>
      <c r="AM8126">
        <v>0</v>
      </c>
      <c r="AN8126">
        <v>0</v>
      </c>
      <c r="AO8126">
        <v>1</v>
      </c>
      <c r="AP8126">
        <v>1</v>
      </c>
      <c r="AQ8126">
        <v>1</v>
      </c>
      <c r="AR8126">
        <v>1</v>
      </c>
      <c r="AS8126">
        <v>0</v>
      </c>
      <c r="AT8126">
        <v>1</v>
      </c>
      <c r="AV8126">
        <v>1</v>
      </c>
      <c r="AW8126">
        <v>1</v>
      </c>
    </row>
    <row r="8127" spans="1:49" x14ac:dyDescent="0.25">
      <c r="A8127" t="str">
        <f>"8123"</f>
        <v>8123</v>
      </c>
      <c r="B8127" t="str">
        <f t="shared" si="472"/>
        <v>1</v>
      </c>
      <c r="C8127" t="str">
        <f t="shared" si="473"/>
        <v>357</v>
      </c>
      <c r="D8127" t="str">
        <f>"24"</f>
        <v>24</v>
      </c>
      <c r="E8127" t="str">
        <f>"1-357-24"</f>
        <v>1-357-24</v>
      </c>
      <c r="F8127" t="s">
        <v>83</v>
      </c>
      <c r="G8127" t="s">
        <v>84</v>
      </c>
      <c r="H8127" t="s">
        <v>85</v>
      </c>
      <c r="AC8127">
        <v>1</v>
      </c>
      <c r="AD8127">
        <v>0</v>
      </c>
      <c r="AE8127">
        <v>0</v>
      </c>
      <c r="AF8127">
        <v>0</v>
      </c>
      <c r="AG8127">
        <v>1</v>
      </c>
      <c r="AJ8127">
        <v>1</v>
      </c>
      <c r="AK8127">
        <v>0</v>
      </c>
      <c r="AL8127">
        <v>1</v>
      </c>
      <c r="AM8127">
        <v>0</v>
      </c>
      <c r="AN8127">
        <v>0</v>
      </c>
      <c r="AO8127">
        <v>1</v>
      </c>
      <c r="AP8127">
        <v>1</v>
      </c>
      <c r="AQ8127">
        <v>1</v>
      </c>
      <c r="AR8127">
        <v>1</v>
      </c>
      <c r="AS8127">
        <v>1</v>
      </c>
      <c r="AT8127">
        <v>0</v>
      </c>
      <c r="AV8127">
        <v>1</v>
      </c>
      <c r="AW8127">
        <v>1</v>
      </c>
    </row>
    <row r="8128" spans="1:49" x14ac:dyDescent="0.25">
      <c r="A8128" t="str">
        <f>"8124"</f>
        <v>8124</v>
      </c>
      <c r="B8128" t="str">
        <f t="shared" si="472"/>
        <v>1</v>
      </c>
      <c r="C8128" t="str">
        <f t="shared" si="473"/>
        <v>357</v>
      </c>
      <c r="D8128" t="str">
        <f>"10"</f>
        <v>10</v>
      </c>
      <c r="E8128" t="str">
        <f>"1-357-10"</f>
        <v>1-357-10</v>
      </c>
      <c r="F8128" t="s">
        <v>83</v>
      </c>
      <c r="G8128" t="s">
        <v>84</v>
      </c>
      <c r="H8128" t="s">
        <v>85</v>
      </c>
      <c r="AC8128">
        <v>1</v>
      </c>
      <c r="AD8128">
        <v>0</v>
      </c>
      <c r="AE8128">
        <v>0</v>
      </c>
      <c r="AF8128">
        <v>0</v>
      </c>
      <c r="AG8128">
        <v>0</v>
      </c>
      <c r="AJ8128">
        <v>0</v>
      </c>
      <c r="AK8128">
        <v>1</v>
      </c>
      <c r="AL8128">
        <v>0</v>
      </c>
      <c r="AM8128">
        <v>0</v>
      </c>
      <c r="AN8128">
        <v>1</v>
      </c>
      <c r="AO8128">
        <v>0</v>
      </c>
      <c r="AP8128">
        <v>0</v>
      </c>
      <c r="AQ8128">
        <v>0</v>
      </c>
      <c r="AR8128">
        <v>0</v>
      </c>
      <c r="AS8128">
        <v>0</v>
      </c>
      <c r="AT8128">
        <v>1</v>
      </c>
      <c r="AV8128">
        <v>0</v>
      </c>
      <c r="AW8128">
        <v>0</v>
      </c>
    </row>
    <row r="8129" spans="1:49" x14ac:dyDescent="0.25">
      <c r="A8129" t="str">
        <f>"8125"</f>
        <v>8125</v>
      </c>
      <c r="B8129" t="str">
        <f t="shared" si="472"/>
        <v>1</v>
      </c>
      <c r="C8129" t="str">
        <f t="shared" si="473"/>
        <v>357</v>
      </c>
      <c r="D8129" t="str">
        <f>"4"</f>
        <v>4</v>
      </c>
      <c r="E8129" t="str">
        <f>"1-357-4"</f>
        <v>1-357-4</v>
      </c>
      <c r="F8129" t="s">
        <v>83</v>
      </c>
      <c r="G8129" t="s">
        <v>84</v>
      </c>
      <c r="H8129" t="s">
        <v>85</v>
      </c>
      <c r="AC8129">
        <v>0</v>
      </c>
      <c r="AD8129">
        <v>0</v>
      </c>
      <c r="AE8129">
        <v>0</v>
      </c>
      <c r="AF8129">
        <v>0</v>
      </c>
      <c r="AG8129">
        <v>0</v>
      </c>
      <c r="AJ8129">
        <v>0</v>
      </c>
      <c r="AK8129">
        <v>0</v>
      </c>
      <c r="AL8129">
        <v>0</v>
      </c>
      <c r="AM8129">
        <v>0</v>
      </c>
      <c r="AN8129">
        <v>1</v>
      </c>
      <c r="AO8129">
        <v>0</v>
      </c>
      <c r="AP8129">
        <v>0</v>
      </c>
      <c r="AQ8129">
        <v>0</v>
      </c>
      <c r="AR8129">
        <v>0</v>
      </c>
      <c r="AS8129">
        <v>0</v>
      </c>
      <c r="AT8129">
        <v>1</v>
      </c>
      <c r="AV8129">
        <v>0</v>
      </c>
      <c r="AW8129">
        <v>0</v>
      </c>
    </row>
    <row r="8130" spans="1:49" x14ac:dyDescent="0.25">
      <c r="A8130" t="str">
        <f>"8126"</f>
        <v>8126</v>
      </c>
      <c r="B8130" t="str">
        <f t="shared" si="472"/>
        <v>1</v>
      </c>
      <c r="C8130" t="str">
        <f t="shared" si="473"/>
        <v>357</v>
      </c>
      <c r="D8130" t="str">
        <f>"16"</f>
        <v>16</v>
      </c>
      <c r="E8130" t="str">
        <f>"1-357-16"</f>
        <v>1-357-16</v>
      </c>
      <c r="F8130" t="s">
        <v>83</v>
      </c>
      <c r="G8130" t="s">
        <v>84</v>
      </c>
      <c r="H8130" t="s">
        <v>85</v>
      </c>
      <c r="AC8130">
        <v>1</v>
      </c>
      <c r="AD8130">
        <v>0</v>
      </c>
      <c r="AE8130">
        <v>0</v>
      </c>
      <c r="AF8130">
        <v>0</v>
      </c>
      <c r="AG8130">
        <v>1</v>
      </c>
      <c r="AJ8130">
        <v>0</v>
      </c>
      <c r="AK8130">
        <v>1</v>
      </c>
      <c r="AL8130">
        <v>0</v>
      </c>
      <c r="AM8130">
        <v>1</v>
      </c>
      <c r="AN8130">
        <v>0</v>
      </c>
      <c r="AO8130">
        <v>1</v>
      </c>
      <c r="AP8130">
        <v>1</v>
      </c>
      <c r="AQ8130">
        <v>1</v>
      </c>
      <c r="AR8130">
        <v>1</v>
      </c>
      <c r="AS8130">
        <v>1</v>
      </c>
      <c r="AT8130">
        <v>0</v>
      </c>
      <c r="AV8130">
        <v>1</v>
      </c>
      <c r="AW8130">
        <v>1</v>
      </c>
    </row>
    <row r="8131" spans="1:49" x14ac:dyDescent="0.25">
      <c r="A8131" t="str">
        <f>"8127"</f>
        <v>8127</v>
      </c>
      <c r="B8131" t="str">
        <f t="shared" si="472"/>
        <v>1</v>
      </c>
      <c r="C8131" t="str">
        <f t="shared" si="473"/>
        <v>357</v>
      </c>
      <c r="D8131" t="str">
        <f>"11"</f>
        <v>11</v>
      </c>
      <c r="E8131" t="str">
        <f>"1-357-11"</f>
        <v>1-357-11</v>
      </c>
      <c r="F8131" t="s">
        <v>83</v>
      </c>
      <c r="G8131" t="s">
        <v>84</v>
      </c>
      <c r="H8131" t="s">
        <v>85</v>
      </c>
      <c r="AC8131">
        <v>0</v>
      </c>
      <c r="AD8131">
        <v>1</v>
      </c>
      <c r="AE8131">
        <v>0</v>
      </c>
      <c r="AF8131">
        <v>0</v>
      </c>
      <c r="AG8131">
        <v>1</v>
      </c>
      <c r="AJ8131">
        <v>0</v>
      </c>
      <c r="AK8131">
        <v>1</v>
      </c>
      <c r="AL8131">
        <v>0</v>
      </c>
      <c r="AM8131">
        <v>0</v>
      </c>
      <c r="AN8131">
        <v>1</v>
      </c>
      <c r="AO8131">
        <v>1</v>
      </c>
      <c r="AP8131">
        <v>1</v>
      </c>
      <c r="AQ8131">
        <v>1</v>
      </c>
      <c r="AR8131">
        <v>1</v>
      </c>
      <c r="AS8131">
        <v>0</v>
      </c>
      <c r="AT8131">
        <v>0</v>
      </c>
      <c r="AV8131">
        <v>1</v>
      </c>
      <c r="AW8131">
        <v>1</v>
      </c>
    </row>
    <row r="8132" spans="1:49" x14ac:dyDescent="0.25">
      <c r="A8132" t="str">
        <f>"8128"</f>
        <v>8128</v>
      </c>
      <c r="B8132" t="str">
        <f t="shared" si="472"/>
        <v>1</v>
      </c>
      <c r="C8132" t="str">
        <f t="shared" si="473"/>
        <v>357</v>
      </c>
      <c r="D8132" t="str">
        <f>"1"</f>
        <v>1</v>
      </c>
      <c r="E8132" t="str">
        <f>"1-357-1"</f>
        <v>1-357-1</v>
      </c>
      <c r="F8132" t="s">
        <v>83</v>
      </c>
      <c r="G8132" t="s">
        <v>86</v>
      </c>
      <c r="H8132" t="s">
        <v>87</v>
      </c>
      <c r="AC8132">
        <v>0</v>
      </c>
      <c r="AD8132">
        <v>0</v>
      </c>
      <c r="AE8132">
        <v>0</v>
      </c>
      <c r="AF8132">
        <v>0</v>
      </c>
      <c r="AH8132">
        <v>0</v>
      </c>
      <c r="AI8132">
        <v>1</v>
      </c>
      <c r="AJ8132">
        <v>0</v>
      </c>
      <c r="AK8132">
        <v>0</v>
      </c>
      <c r="AL8132">
        <v>0</v>
      </c>
      <c r="AM8132">
        <v>0</v>
      </c>
      <c r="AN8132">
        <v>1</v>
      </c>
      <c r="AO8132">
        <v>0</v>
      </c>
      <c r="AP8132">
        <v>0</v>
      </c>
      <c r="AQ8132">
        <v>0</v>
      </c>
      <c r="AU8132">
        <v>0</v>
      </c>
      <c r="AV8132">
        <v>0</v>
      </c>
      <c r="AW8132">
        <v>0</v>
      </c>
    </row>
    <row r="8133" spans="1:49" x14ac:dyDescent="0.25">
      <c r="A8133" t="str">
        <f>"8129"</f>
        <v>8129</v>
      </c>
      <c r="B8133" t="str">
        <f t="shared" si="472"/>
        <v>1</v>
      </c>
      <c r="C8133" t="str">
        <f t="shared" si="473"/>
        <v>357</v>
      </c>
      <c r="D8133" t="str">
        <f>"19"</f>
        <v>19</v>
      </c>
      <c r="E8133" t="str">
        <f>"1-357-19"</f>
        <v>1-357-19</v>
      </c>
      <c r="F8133" t="s">
        <v>83</v>
      </c>
      <c r="G8133" t="s">
        <v>84</v>
      </c>
      <c r="H8133" t="s">
        <v>85</v>
      </c>
      <c r="AC8133">
        <v>1</v>
      </c>
      <c r="AD8133">
        <v>0</v>
      </c>
      <c r="AE8133">
        <v>0</v>
      </c>
      <c r="AF8133">
        <v>0</v>
      </c>
      <c r="AG8133">
        <v>1</v>
      </c>
      <c r="AJ8133">
        <v>1</v>
      </c>
      <c r="AK8133">
        <v>0</v>
      </c>
      <c r="AL8133">
        <v>1</v>
      </c>
      <c r="AM8133">
        <v>0</v>
      </c>
      <c r="AN8133">
        <v>0</v>
      </c>
      <c r="AO8133">
        <v>1</v>
      </c>
      <c r="AP8133">
        <v>1</v>
      </c>
      <c r="AQ8133">
        <v>1</v>
      </c>
      <c r="AR8133">
        <v>1</v>
      </c>
      <c r="AS8133">
        <v>1</v>
      </c>
      <c r="AT8133">
        <v>0</v>
      </c>
      <c r="AV8133">
        <v>1</v>
      </c>
      <c r="AW8133">
        <v>1</v>
      </c>
    </row>
    <row r="8134" spans="1:49" x14ac:dyDescent="0.25">
      <c r="A8134" t="str">
        <f>"8130"</f>
        <v>8130</v>
      </c>
      <c r="B8134" t="str">
        <f t="shared" si="472"/>
        <v>1</v>
      </c>
      <c r="C8134" t="str">
        <f t="shared" si="473"/>
        <v>357</v>
      </c>
      <c r="D8134" t="str">
        <f>"12"</f>
        <v>12</v>
      </c>
      <c r="E8134" t="str">
        <f>"1-357-12"</f>
        <v>1-357-12</v>
      </c>
      <c r="F8134" t="s">
        <v>83</v>
      </c>
      <c r="G8134" t="s">
        <v>84</v>
      </c>
      <c r="H8134" t="s">
        <v>85</v>
      </c>
      <c r="AC8134">
        <v>1</v>
      </c>
      <c r="AD8134">
        <v>0</v>
      </c>
      <c r="AE8134">
        <v>0</v>
      </c>
      <c r="AF8134">
        <v>0</v>
      </c>
      <c r="AG8134">
        <v>1</v>
      </c>
      <c r="AJ8134">
        <v>1</v>
      </c>
      <c r="AK8134">
        <v>0</v>
      </c>
      <c r="AL8134">
        <v>0</v>
      </c>
      <c r="AM8134">
        <v>1</v>
      </c>
      <c r="AN8134">
        <v>0</v>
      </c>
      <c r="AO8134">
        <v>1</v>
      </c>
      <c r="AP8134">
        <v>1</v>
      </c>
      <c r="AQ8134">
        <v>1</v>
      </c>
      <c r="AR8134">
        <v>1</v>
      </c>
      <c r="AS8134">
        <v>0</v>
      </c>
      <c r="AT8134">
        <v>1</v>
      </c>
      <c r="AV8134">
        <v>1</v>
      </c>
      <c r="AW8134">
        <v>1</v>
      </c>
    </row>
    <row r="8135" spans="1:49" x14ac:dyDescent="0.25">
      <c r="A8135" t="str">
        <f>"8131"</f>
        <v>8131</v>
      </c>
      <c r="B8135" t="str">
        <f t="shared" si="472"/>
        <v>1</v>
      </c>
      <c r="C8135" t="str">
        <f t="shared" si="473"/>
        <v>357</v>
      </c>
      <c r="D8135" t="str">
        <f>"5"</f>
        <v>5</v>
      </c>
      <c r="E8135" t="str">
        <f>"1-357-5"</f>
        <v>1-357-5</v>
      </c>
      <c r="F8135" t="s">
        <v>83</v>
      </c>
      <c r="G8135" t="s">
        <v>84</v>
      </c>
      <c r="H8135" t="s">
        <v>85</v>
      </c>
      <c r="AC8135">
        <v>1</v>
      </c>
      <c r="AD8135">
        <v>0</v>
      </c>
      <c r="AE8135">
        <v>0</v>
      </c>
      <c r="AF8135">
        <v>0</v>
      </c>
      <c r="AG8135">
        <v>1</v>
      </c>
      <c r="AJ8135">
        <v>0</v>
      </c>
      <c r="AK8135">
        <v>1</v>
      </c>
      <c r="AL8135">
        <v>0</v>
      </c>
      <c r="AM8135">
        <v>0</v>
      </c>
      <c r="AN8135">
        <v>1</v>
      </c>
      <c r="AO8135">
        <v>1</v>
      </c>
      <c r="AP8135">
        <v>1</v>
      </c>
      <c r="AQ8135">
        <v>1</v>
      </c>
      <c r="AR8135">
        <v>1</v>
      </c>
      <c r="AS8135">
        <v>0</v>
      </c>
      <c r="AT8135">
        <v>1</v>
      </c>
      <c r="AV8135">
        <v>1</v>
      </c>
      <c r="AW8135">
        <v>1</v>
      </c>
    </row>
    <row r="8136" spans="1:49" x14ac:dyDescent="0.25">
      <c r="A8136" t="str">
        <f>"8132"</f>
        <v>8132</v>
      </c>
      <c r="B8136" t="str">
        <f t="shared" si="472"/>
        <v>1</v>
      </c>
      <c r="C8136" t="str">
        <f t="shared" si="473"/>
        <v>357</v>
      </c>
      <c r="D8136" t="str">
        <f>"17"</f>
        <v>17</v>
      </c>
      <c r="E8136" t="str">
        <f>"1-357-17"</f>
        <v>1-357-17</v>
      </c>
      <c r="F8136" t="s">
        <v>83</v>
      </c>
      <c r="G8136" t="s">
        <v>84</v>
      </c>
      <c r="H8136" t="s">
        <v>85</v>
      </c>
      <c r="AC8136">
        <v>1</v>
      </c>
      <c r="AD8136">
        <v>0</v>
      </c>
      <c r="AE8136">
        <v>0</v>
      </c>
      <c r="AF8136">
        <v>0</v>
      </c>
      <c r="AG8136">
        <v>1</v>
      </c>
      <c r="AJ8136">
        <v>0</v>
      </c>
      <c r="AK8136">
        <v>1</v>
      </c>
      <c r="AL8136">
        <v>0</v>
      </c>
      <c r="AM8136">
        <v>1</v>
      </c>
      <c r="AN8136">
        <v>0</v>
      </c>
      <c r="AO8136">
        <v>1</v>
      </c>
      <c r="AP8136">
        <v>1</v>
      </c>
      <c r="AQ8136">
        <v>1</v>
      </c>
      <c r="AR8136">
        <v>1</v>
      </c>
      <c r="AS8136">
        <v>1</v>
      </c>
      <c r="AT8136">
        <v>0</v>
      </c>
      <c r="AV8136">
        <v>1</v>
      </c>
      <c r="AW8136">
        <v>1</v>
      </c>
    </row>
    <row r="8137" spans="1:49" x14ac:dyDescent="0.25">
      <c r="A8137" t="str">
        <f>"8133"</f>
        <v>8133</v>
      </c>
      <c r="B8137" t="str">
        <f t="shared" si="472"/>
        <v>1</v>
      </c>
      <c r="C8137" t="str">
        <f t="shared" si="473"/>
        <v>357</v>
      </c>
      <c r="D8137" t="str">
        <f>"6"</f>
        <v>6</v>
      </c>
      <c r="E8137" t="str">
        <f>"1-357-6"</f>
        <v>1-357-6</v>
      </c>
      <c r="F8137" t="s">
        <v>83</v>
      </c>
      <c r="G8137" t="s">
        <v>84</v>
      </c>
      <c r="H8137" t="s">
        <v>85</v>
      </c>
      <c r="AC8137">
        <v>1</v>
      </c>
      <c r="AD8137">
        <v>0</v>
      </c>
      <c r="AE8137">
        <v>0</v>
      </c>
      <c r="AF8137">
        <v>0</v>
      </c>
      <c r="AG8137">
        <v>1</v>
      </c>
      <c r="AJ8137">
        <v>0</v>
      </c>
      <c r="AK8137">
        <v>1</v>
      </c>
      <c r="AL8137">
        <v>0</v>
      </c>
      <c r="AM8137">
        <v>0</v>
      </c>
      <c r="AN8137">
        <v>1</v>
      </c>
      <c r="AO8137">
        <v>1</v>
      </c>
      <c r="AP8137">
        <v>1</v>
      </c>
      <c r="AQ8137">
        <v>1</v>
      </c>
      <c r="AR8137">
        <v>1</v>
      </c>
      <c r="AS8137">
        <v>0</v>
      </c>
      <c r="AT8137">
        <v>1</v>
      </c>
      <c r="AV8137">
        <v>1</v>
      </c>
      <c r="AW8137">
        <v>1</v>
      </c>
    </row>
    <row r="8138" spans="1:49" x14ac:dyDescent="0.25">
      <c r="A8138" t="str">
        <f>"8134"</f>
        <v>8134</v>
      </c>
      <c r="B8138" t="str">
        <f t="shared" si="472"/>
        <v>1</v>
      </c>
      <c r="C8138" t="str">
        <f t="shared" si="473"/>
        <v>357</v>
      </c>
      <c r="D8138" t="str">
        <f>"18"</f>
        <v>18</v>
      </c>
      <c r="E8138" t="str">
        <f>"1-357-18"</f>
        <v>1-357-18</v>
      </c>
      <c r="F8138" t="s">
        <v>83</v>
      </c>
      <c r="G8138" t="s">
        <v>84</v>
      </c>
      <c r="H8138" t="s">
        <v>85</v>
      </c>
      <c r="AC8138">
        <v>1</v>
      </c>
      <c r="AD8138">
        <v>0</v>
      </c>
      <c r="AE8138">
        <v>0</v>
      </c>
      <c r="AF8138">
        <v>0</v>
      </c>
      <c r="AG8138">
        <v>1</v>
      </c>
      <c r="AJ8138">
        <v>1</v>
      </c>
      <c r="AK8138">
        <v>0</v>
      </c>
      <c r="AL8138">
        <v>1</v>
      </c>
      <c r="AM8138">
        <v>0</v>
      </c>
      <c r="AN8138">
        <v>0</v>
      </c>
      <c r="AO8138">
        <v>1</v>
      </c>
      <c r="AP8138">
        <v>1</v>
      </c>
      <c r="AQ8138">
        <v>1</v>
      </c>
      <c r="AR8138">
        <v>1</v>
      </c>
      <c r="AS8138">
        <v>1</v>
      </c>
      <c r="AT8138">
        <v>0</v>
      </c>
      <c r="AV8138">
        <v>1</v>
      </c>
      <c r="AW8138">
        <v>1</v>
      </c>
    </row>
    <row r="8139" spans="1:49" x14ac:dyDescent="0.25">
      <c r="A8139" t="str">
        <f>"8135"</f>
        <v>8135</v>
      </c>
      <c r="B8139" t="str">
        <f t="shared" si="472"/>
        <v>1</v>
      </c>
      <c r="C8139" t="str">
        <f t="shared" si="473"/>
        <v>357</v>
      </c>
      <c r="D8139" t="str">
        <f>"2"</f>
        <v>2</v>
      </c>
      <c r="E8139" t="str">
        <f>"1-357-2"</f>
        <v>1-357-2</v>
      </c>
      <c r="F8139" t="s">
        <v>83</v>
      </c>
      <c r="G8139" t="s">
        <v>86</v>
      </c>
      <c r="H8139" t="s">
        <v>87</v>
      </c>
      <c r="AC8139">
        <v>1</v>
      </c>
      <c r="AD8139">
        <v>0</v>
      </c>
      <c r="AE8139">
        <v>0</v>
      </c>
      <c r="AF8139">
        <v>0</v>
      </c>
      <c r="AH8139">
        <v>0</v>
      </c>
      <c r="AI8139">
        <v>1</v>
      </c>
      <c r="AJ8139">
        <v>0</v>
      </c>
      <c r="AK8139">
        <v>1</v>
      </c>
      <c r="AL8139">
        <v>0</v>
      </c>
      <c r="AM8139">
        <v>0</v>
      </c>
      <c r="AN8139">
        <v>1</v>
      </c>
      <c r="AO8139">
        <v>1</v>
      </c>
      <c r="AP8139">
        <v>1</v>
      </c>
      <c r="AQ8139">
        <v>1</v>
      </c>
      <c r="AU8139">
        <v>1</v>
      </c>
      <c r="AV8139">
        <v>1</v>
      </c>
      <c r="AW8139">
        <v>1</v>
      </c>
    </row>
    <row r="8140" spans="1:49" x14ac:dyDescent="0.25">
      <c r="A8140" t="str">
        <f>"8136"</f>
        <v>8136</v>
      </c>
      <c r="B8140" t="str">
        <f t="shared" si="472"/>
        <v>1</v>
      </c>
      <c r="C8140" t="str">
        <f t="shared" si="473"/>
        <v>357</v>
      </c>
      <c r="D8140" t="str">
        <f>"15"</f>
        <v>15</v>
      </c>
      <c r="E8140" t="str">
        <f>"1-357-15"</f>
        <v>1-357-15</v>
      </c>
      <c r="F8140" t="s">
        <v>83</v>
      </c>
      <c r="G8140" t="s">
        <v>84</v>
      </c>
      <c r="H8140" t="s">
        <v>85</v>
      </c>
      <c r="AC8140">
        <v>1</v>
      </c>
      <c r="AD8140">
        <v>0</v>
      </c>
      <c r="AE8140">
        <v>0</v>
      </c>
      <c r="AF8140">
        <v>0</v>
      </c>
      <c r="AG8140">
        <v>0</v>
      </c>
      <c r="AJ8140">
        <v>0</v>
      </c>
      <c r="AK8140">
        <v>1</v>
      </c>
      <c r="AL8140">
        <v>1</v>
      </c>
      <c r="AM8140">
        <v>0</v>
      </c>
      <c r="AN8140">
        <v>0</v>
      </c>
      <c r="AO8140">
        <v>0</v>
      </c>
      <c r="AP8140">
        <v>0</v>
      </c>
      <c r="AQ8140">
        <v>0</v>
      </c>
      <c r="AR8140">
        <v>0</v>
      </c>
      <c r="AS8140">
        <v>0</v>
      </c>
      <c r="AT8140">
        <v>1</v>
      </c>
      <c r="AV8140">
        <v>1</v>
      </c>
      <c r="AW8140">
        <v>0</v>
      </c>
    </row>
    <row r="8141" spans="1:49" x14ac:dyDescent="0.25">
      <c r="A8141" t="str">
        <f>"8137"</f>
        <v>8137</v>
      </c>
      <c r="B8141" t="str">
        <f t="shared" si="472"/>
        <v>1</v>
      </c>
      <c r="C8141" t="str">
        <f t="shared" ref="C8141:C8154" si="474">"358"</f>
        <v>358</v>
      </c>
      <c r="D8141" t="str">
        <f>"13"</f>
        <v>13</v>
      </c>
      <c r="E8141" t="str">
        <f>"1-358-13"</f>
        <v>1-358-13</v>
      </c>
      <c r="F8141" t="s">
        <v>83</v>
      </c>
      <c r="G8141" t="s">
        <v>84</v>
      </c>
      <c r="H8141" t="s">
        <v>92</v>
      </c>
      <c r="I8141">
        <v>1</v>
      </c>
      <c r="J8141">
        <v>1</v>
      </c>
      <c r="N8141">
        <v>1</v>
      </c>
      <c r="O8141">
        <v>1</v>
      </c>
      <c r="P8141">
        <v>1</v>
      </c>
      <c r="Q8141">
        <v>1</v>
      </c>
      <c r="R8141">
        <v>1</v>
      </c>
      <c r="S8141">
        <v>1</v>
      </c>
      <c r="T8141">
        <v>1</v>
      </c>
      <c r="W8141">
        <v>1</v>
      </c>
      <c r="X8141">
        <v>1</v>
      </c>
      <c r="Y8141">
        <v>1</v>
      </c>
      <c r="Z8141">
        <v>1</v>
      </c>
      <c r="AA8141">
        <v>1</v>
      </c>
      <c r="AB8141">
        <v>1</v>
      </c>
    </row>
    <row r="8142" spans="1:49" x14ac:dyDescent="0.25">
      <c r="A8142" t="str">
        <f>"8138"</f>
        <v>8138</v>
      </c>
      <c r="B8142" t="str">
        <f t="shared" si="472"/>
        <v>1</v>
      </c>
      <c r="C8142" t="str">
        <f t="shared" si="474"/>
        <v>358</v>
      </c>
      <c r="D8142" t="str">
        <f>"12"</f>
        <v>12</v>
      </c>
      <c r="E8142" t="str">
        <f>"1-358-12"</f>
        <v>1-358-12</v>
      </c>
      <c r="F8142" t="s">
        <v>83</v>
      </c>
      <c r="G8142" t="s">
        <v>84</v>
      </c>
      <c r="H8142" t="s">
        <v>92</v>
      </c>
      <c r="I8142">
        <v>1</v>
      </c>
      <c r="J8142">
        <v>1</v>
      </c>
      <c r="N8142">
        <v>1</v>
      </c>
      <c r="O8142">
        <v>1</v>
      </c>
      <c r="P8142">
        <v>1</v>
      </c>
      <c r="Q8142">
        <v>1</v>
      </c>
      <c r="R8142">
        <v>1</v>
      </c>
      <c r="S8142">
        <v>1</v>
      </c>
      <c r="T8142">
        <v>1</v>
      </c>
      <c r="W8142">
        <v>1</v>
      </c>
      <c r="X8142">
        <v>1</v>
      </c>
      <c r="Y8142">
        <v>1</v>
      </c>
      <c r="Z8142">
        <v>1</v>
      </c>
      <c r="AA8142">
        <v>1</v>
      </c>
      <c r="AB8142">
        <v>1</v>
      </c>
    </row>
    <row r="8143" spans="1:49" x14ac:dyDescent="0.25">
      <c r="A8143" t="str">
        <f>"8139"</f>
        <v>8139</v>
      </c>
      <c r="B8143" t="str">
        <f t="shared" si="472"/>
        <v>1</v>
      </c>
      <c r="C8143" t="str">
        <f t="shared" si="474"/>
        <v>358</v>
      </c>
      <c r="D8143" t="str">
        <f>"11"</f>
        <v>11</v>
      </c>
      <c r="E8143" t="str">
        <f>"1-358-11"</f>
        <v>1-358-11</v>
      </c>
      <c r="F8143" t="s">
        <v>83</v>
      </c>
      <c r="G8143" t="s">
        <v>84</v>
      </c>
      <c r="H8143" t="s">
        <v>92</v>
      </c>
      <c r="I8143">
        <v>1</v>
      </c>
      <c r="J8143">
        <v>1</v>
      </c>
      <c r="N8143">
        <v>1</v>
      </c>
      <c r="O8143">
        <v>1</v>
      </c>
      <c r="P8143">
        <v>1</v>
      </c>
      <c r="Q8143">
        <v>1</v>
      </c>
      <c r="R8143">
        <v>1</v>
      </c>
      <c r="S8143">
        <v>1</v>
      </c>
      <c r="T8143">
        <v>1</v>
      </c>
      <c r="W8143">
        <v>1</v>
      </c>
      <c r="X8143">
        <v>1</v>
      </c>
      <c r="Y8143">
        <v>1</v>
      </c>
      <c r="Z8143">
        <v>1</v>
      </c>
      <c r="AA8143">
        <v>1</v>
      </c>
      <c r="AB8143">
        <v>1</v>
      </c>
    </row>
    <row r="8144" spans="1:49" x14ac:dyDescent="0.25">
      <c r="A8144" t="str">
        <f>"8140"</f>
        <v>8140</v>
      </c>
      <c r="B8144" t="str">
        <f t="shared" si="472"/>
        <v>1</v>
      </c>
      <c r="C8144" t="str">
        <f t="shared" si="474"/>
        <v>358</v>
      </c>
      <c r="D8144" t="str">
        <f>"8"</f>
        <v>8</v>
      </c>
      <c r="E8144" t="str">
        <f>"1-358-8"</f>
        <v>1-358-8</v>
      </c>
      <c r="F8144" t="s">
        <v>83</v>
      </c>
      <c r="G8144" t="s">
        <v>84</v>
      </c>
      <c r="H8144" t="s">
        <v>92</v>
      </c>
      <c r="I8144">
        <v>1</v>
      </c>
      <c r="J8144">
        <v>1</v>
      </c>
      <c r="N8144">
        <v>1</v>
      </c>
      <c r="O8144">
        <v>1</v>
      </c>
      <c r="P8144">
        <v>1</v>
      </c>
      <c r="Q8144">
        <v>1</v>
      </c>
      <c r="R8144">
        <v>1</v>
      </c>
      <c r="S8144">
        <v>1</v>
      </c>
      <c r="T8144">
        <v>1</v>
      </c>
      <c r="W8144">
        <v>1</v>
      </c>
      <c r="X8144">
        <v>1</v>
      </c>
      <c r="Y8144">
        <v>1</v>
      </c>
      <c r="Z8144">
        <v>1</v>
      </c>
      <c r="AA8144">
        <v>1</v>
      </c>
      <c r="AB8144">
        <v>1</v>
      </c>
    </row>
    <row r="8145" spans="1:49" x14ac:dyDescent="0.25">
      <c r="A8145" t="str">
        <f>"8141"</f>
        <v>8141</v>
      </c>
      <c r="B8145" t="str">
        <f t="shared" si="472"/>
        <v>1</v>
      </c>
      <c r="C8145" t="str">
        <f t="shared" si="474"/>
        <v>358</v>
      </c>
      <c r="D8145" t="str">
        <f>"5"</f>
        <v>5</v>
      </c>
      <c r="E8145" t="str">
        <f>"1-358-5"</f>
        <v>1-358-5</v>
      </c>
      <c r="F8145" t="s">
        <v>83</v>
      </c>
      <c r="G8145" t="s">
        <v>84</v>
      </c>
      <c r="H8145" t="s">
        <v>92</v>
      </c>
      <c r="I8145">
        <v>1</v>
      </c>
      <c r="J8145">
        <v>1</v>
      </c>
      <c r="N8145">
        <v>1</v>
      </c>
      <c r="O8145">
        <v>1</v>
      </c>
      <c r="P8145">
        <v>1</v>
      </c>
      <c r="Q8145">
        <v>1</v>
      </c>
      <c r="R8145">
        <v>1</v>
      </c>
      <c r="S8145">
        <v>1</v>
      </c>
      <c r="T8145">
        <v>1</v>
      </c>
      <c r="W8145">
        <v>1</v>
      </c>
      <c r="X8145">
        <v>1</v>
      </c>
      <c r="Y8145">
        <v>1</v>
      </c>
      <c r="Z8145">
        <v>1</v>
      </c>
      <c r="AA8145">
        <v>1</v>
      </c>
      <c r="AB8145">
        <v>1</v>
      </c>
    </row>
    <row r="8146" spans="1:49" x14ac:dyDescent="0.25">
      <c r="A8146" t="str">
        <f>"8142"</f>
        <v>8142</v>
      </c>
      <c r="B8146" t="str">
        <f t="shared" si="472"/>
        <v>1</v>
      </c>
      <c r="C8146" t="str">
        <f t="shared" si="474"/>
        <v>358</v>
      </c>
      <c r="D8146" t="str">
        <f>"14"</f>
        <v>14</v>
      </c>
      <c r="E8146" t="str">
        <f>"1-358-14"</f>
        <v>1-358-14</v>
      </c>
      <c r="F8146" t="s">
        <v>83</v>
      </c>
      <c r="G8146" t="s">
        <v>86</v>
      </c>
      <c r="H8146" t="s">
        <v>93</v>
      </c>
      <c r="I8146">
        <v>1</v>
      </c>
      <c r="K8146">
        <v>1</v>
      </c>
      <c r="L8146">
        <v>0</v>
      </c>
      <c r="M8146">
        <v>0</v>
      </c>
      <c r="N8146">
        <v>1</v>
      </c>
      <c r="O8146">
        <v>1</v>
      </c>
      <c r="P8146">
        <v>0</v>
      </c>
      <c r="Q8146">
        <v>0</v>
      </c>
      <c r="R8146">
        <v>0</v>
      </c>
      <c r="U8146">
        <v>0</v>
      </c>
      <c r="V8146">
        <v>1</v>
      </c>
      <c r="W8146">
        <v>0</v>
      </c>
      <c r="X8146">
        <v>0</v>
      </c>
      <c r="Y8146">
        <v>0</v>
      </c>
      <c r="Z8146">
        <v>0</v>
      </c>
      <c r="AA8146">
        <v>0</v>
      </c>
      <c r="AB8146">
        <v>1</v>
      </c>
    </row>
    <row r="8147" spans="1:49" x14ac:dyDescent="0.25">
      <c r="A8147" t="str">
        <f>"8143"</f>
        <v>8143</v>
      </c>
      <c r="B8147" t="str">
        <f t="shared" si="472"/>
        <v>1</v>
      </c>
      <c r="C8147" t="str">
        <f t="shared" si="474"/>
        <v>358</v>
      </c>
      <c r="D8147" t="str">
        <f>"9"</f>
        <v>9</v>
      </c>
      <c r="E8147" t="str">
        <f>"1-358-9"</f>
        <v>1-358-9</v>
      </c>
      <c r="F8147" t="s">
        <v>83</v>
      </c>
      <c r="G8147" t="s">
        <v>84</v>
      </c>
      <c r="H8147" t="s">
        <v>92</v>
      </c>
      <c r="I8147">
        <v>1</v>
      </c>
      <c r="J8147">
        <v>1</v>
      </c>
      <c r="N8147">
        <v>1</v>
      </c>
      <c r="O8147">
        <v>1</v>
      </c>
      <c r="P8147">
        <v>1</v>
      </c>
      <c r="Q8147">
        <v>1</v>
      </c>
      <c r="R8147">
        <v>1</v>
      </c>
      <c r="S8147">
        <v>1</v>
      </c>
      <c r="T8147">
        <v>1</v>
      </c>
      <c r="W8147">
        <v>1</v>
      </c>
      <c r="X8147">
        <v>1</v>
      </c>
      <c r="Y8147">
        <v>1</v>
      </c>
      <c r="Z8147">
        <v>1</v>
      </c>
      <c r="AA8147">
        <v>1</v>
      </c>
      <c r="AB8147">
        <v>1</v>
      </c>
    </row>
    <row r="8148" spans="1:49" x14ac:dyDescent="0.25">
      <c r="A8148" t="str">
        <f>"8144"</f>
        <v>8144</v>
      </c>
      <c r="B8148" t="str">
        <f t="shared" si="472"/>
        <v>1</v>
      </c>
      <c r="C8148" t="str">
        <f t="shared" si="474"/>
        <v>358</v>
      </c>
      <c r="D8148" t="str">
        <f>"6"</f>
        <v>6</v>
      </c>
      <c r="E8148" t="str">
        <f>"1-358-6"</f>
        <v>1-358-6</v>
      </c>
      <c r="F8148" t="s">
        <v>83</v>
      </c>
      <c r="G8148" t="s">
        <v>86</v>
      </c>
      <c r="H8148" t="s">
        <v>93</v>
      </c>
      <c r="I8148">
        <v>1</v>
      </c>
      <c r="K8148">
        <v>0</v>
      </c>
      <c r="L8148">
        <v>0</v>
      </c>
      <c r="M8148">
        <v>1</v>
      </c>
      <c r="N8148">
        <v>1</v>
      </c>
      <c r="O8148">
        <v>0</v>
      </c>
      <c r="P8148">
        <v>0</v>
      </c>
      <c r="Q8148">
        <v>0</v>
      </c>
      <c r="R8148">
        <v>0</v>
      </c>
      <c r="U8148">
        <v>1</v>
      </c>
      <c r="V8148">
        <v>0</v>
      </c>
      <c r="W8148">
        <v>0</v>
      </c>
      <c r="X8148">
        <v>0</v>
      </c>
      <c r="Y8148">
        <v>0</v>
      </c>
      <c r="Z8148">
        <v>0</v>
      </c>
      <c r="AA8148">
        <v>0</v>
      </c>
      <c r="AB8148">
        <v>0</v>
      </c>
    </row>
    <row r="8149" spans="1:49" x14ac:dyDescent="0.25">
      <c r="A8149" t="str">
        <f>"8145"</f>
        <v>8145</v>
      </c>
      <c r="B8149" t="str">
        <f t="shared" si="472"/>
        <v>1</v>
      </c>
      <c r="C8149" t="str">
        <f t="shared" si="474"/>
        <v>358</v>
      </c>
      <c r="D8149" t="str">
        <f>"10"</f>
        <v>10</v>
      </c>
      <c r="E8149" t="str">
        <f>"1-358-10"</f>
        <v>1-358-10</v>
      </c>
      <c r="F8149" t="s">
        <v>83</v>
      </c>
      <c r="G8149" t="s">
        <v>84</v>
      </c>
      <c r="H8149" t="s">
        <v>92</v>
      </c>
      <c r="I8149">
        <v>1</v>
      </c>
      <c r="J8149">
        <v>1</v>
      </c>
      <c r="N8149">
        <v>1</v>
      </c>
      <c r="O8149">
        <v>1</v>
      </c>
      <c r="P8149">
        <v>1</v>
      </c>
      <c r="Q8149">
        <v>1</v>
      </c>
      <c r="R8149">
        <v>1</v>
      </c>
      <c r="S8149">
        <v>1</v>
      </c>
      <c r="T8149">
        <v>1</v>
      </c>
      <c r="W8149">
        <v>1</v>
      </c>
      <c r="X8149">
        <v>1</v>
      </c>
      <c r="Y8149">
        <v>1</v>
      </c>
      <c r="Z8149">
        <v>1</v>
      </c>
      <c r="AA8149">
        <v>1</v>
      </c>
      <c r="AB8149">
        <v>1</v>
      </c>
    </row>
    <row r="8150" spans="1:49" x14ac:dyDescent="0.25">
      <c r="A8150" t="str">
        <f>"8146"</f>
        <v>8146</v>
      </c>
      <c r="B8150" t="str">
        <f t="shared" si="472"/>
        <v>1</v>
      </c>
      <c r="C8150" t="str">
        <f t="shared" si="474"/>
        <v>358</v>
      </c>
      <c r="D8150" t="str">
        <f>"2"</f>
        <v>2</v>
      </c>
      <c r="E8150" t="str">
        <f>"1-358-2"</f>
        <v>1-358-2</v>
      </c>
      <c r="F8150" t="s">
        <v>83</v>
      </c>
      <c r="G8150" t="s">
        <v>90</v>
      </c>
      <c r="H8150" t="s">
        <v>94</v>
      </c>
      <c r="I8150">
        <v>1</v>
      </c>
      <c r="K8150">
        <v>0</v>
      </c>
      <c r="L8150">
        <v>0</v>
      </c>
      <c r="M8150">
        <v>1</v>
      </c>
      <c r="N8150">
        <v>1</v>
      </c>
      <c r="O8150">
        <v>1</v>
      </c>
      <c r="P8150">
        <v>1</v>
      </c>
      <c r="Q8150">
        <v>1</v>
      </c>
      <c r="R8150">
        <v>1</v>
      </c>
      <c r="S8150">
        <v>1</v>
      </c>
      <c r="U8150">
        <v>1</v>
      </c>
      <c r="V8150">
        <v>0</v>
      </c>
      <c r="W8150">
        <v>1</v>
      </c>
      <c r="X8150">
        <v>1</v>
      </c>
      <c r="Y8150">
        <v>1</v>
      </c>
      <c r="Z8150">
        <v>1</v>
      </c>
      <c r="AA8150">
        <v>1</v>
      </c>
      <c r="AB8150">
        <v>1</v>
      </c>
    </row>
    <row r="8151" spans="1:49" x14ac:dyDescent="0.25">
      <c r="A8151" t="str">
        <f>"8147"</f>
        <v>8147</v>
      </c>
      <c r="B8151" t="str">
        <f t="shared" si="472"/>
        <v>1</v>
      </c>
      <c r="C8151" t="str">
        <f t="shared" si="474"/>
        <v>358</v>
      </c>
      <c r="D8151" t="str">
        <f>"7"</f>
        <v>7</v>
      </c>
      <c r="E8151" t="str">
        <f>"1-358-7"</f>
        <v>1-358-7</v>
      </c>
      <c r="F8151" t="s">
        <v>83</v>
      </c>
      <c r="G8151" t="s">
        <v>84</v>
      </c>
      <c r="H8151" t="s">
        <v>92</v>
      </c>
      <c r="I8151">
        <v>1</v>
      </c>
      <c r="J8151">
        <v>1</v>
      </c>
      <c r="N8151">
        <v>1</v>
      </c>
      <c r="O8151">
        <v>1</v>
      </c>
      <c r="P8151">
        <v>1</v>
      </c>
      <c r="Q8151">
        <v>1</v>
      </c>
      <c r="R8151">
        <v>1</v>
      </c>
      <c r="S8151">
        <v>1</v>
      </c>
      <c r="T8151">
        <v>1</v>
      </c>
      <c r="W8151">
        <v>1</v>
      </c>
      <c r="X8151">
        <v>1</v>
      </c>
      <c r="Y8151">
        <v>1</v>
      </c>
      <c r="Z8151">
        <v>1</v>
      </c>
      <c r="AA8151">
        <v>1</v>
      </c>
      <c r="AB8151">
        <v>1</v>
      </c>
    </row>
    <row r="8152" spans="1:49" x14ac:dyDescent="0.25">
      <c r="A8152" t="str">
        <f>"8148"</f>
        <v>8148</v>
      </c>
      <c r="B8152" t="str">
        <f t="shared" si="472"/>
        <v>1</v>
      </c>
      <c r="C8152" t="str">
        <f t="shared" si="474"/>
        <v>358</v>
      </c>
      <c r="D8152" t="str">
        <f>"1"</f>
        <v>1</v>
      </c>
      <c r="E8152" t="str">
        <f>"1-358-1"</f>
        <v>1-358-1</v>
      </c>
      <c r="F8152" t="s">
        <v>83</v>
      </c>
      <c r="G8152" t="s">
        <v>90</v>
      </c>
      <c r="H8152" t="s">
        <v>94</v>
      </c>
      <c r="I8152">
        <v>1</v>
      </c>
      <c r="K8152">
        <v>0</v>
      </c>
      <c r="L8152">
        <v>0</v>
      </c>
      <c r="M8152">
        <v>1</v>
      </c>
      <c r="N8152">
        <v>1</v>
      </c>
      <c r="O8152">
        <v>1</v>
      </c>
      <c r="P8152">
        <v>1</v>
      </c>
      <c r="Q8152">
        <v>1</v>
      </c>
      <c r="R8152">
        <v>1</v>
      </c>
      <c r="S8152">
        <v>1</v>
      </c>
      <c r="U8152">
        <v>1</v>
      </c>
      <c r="V8152">
        <v>0</v>
      </c>
      <c r="W8152">
        <v>1</v>
      </c>
      <c r="X8152">
        <v>1</v>
      </c>
      <c r="Y8152">
        <v>1</v>
      </c>
      <c r="Z8152">
        <v>1</v>
      </c>
      <c r="AA8152">
        <v>1</v>
      </c>
      <c r="AB8152">
        <v>1</v>
      </c>
    </row>
    <row r="8153" spans="1:49" x14ac:dyDescent="0.25">
      <c r="A8153" t="str">
        <f>"8149"</f>
        <v>8149</v>
      </c>
      <c r="B8153" t="str">
        <f t="shared" si="472"/>
        <v>1</v>
      </c>
      <c r="C8153" t="str">
        <f t="shared" si="474"/>
        <v>358</v>
      </c>
      <c r="D8153" t="str">
        <f>"3"</f>
        <v>3</v>
      </c>
      <c r="E8153" t="str">
        <f>"1-358-3"</f>
        <v>1-358-3</v>
      </c>
      <c r="F8153" t="s">
        <v>83</v>
      </c>
      <c r="G8153" t="s">
        <v>84</v>
      </c>
      <c r="H8153" t="s">
        <v>92</v>
      </c>
      <c r="I8153">
        <v>1</v>
      </c>
      <c r="J8153">
        <v>1</v>
      </c>
      <c r="N8153">
        <v>1</v>
      </c>
      <c r="O8153">
        <v>1</v>
      </c>
      <c r="P8153">
        <v>1</v>
      </c>
      <c r="Q8153">
        <v>1</v>
      </c>
      <c r="R8153">
        <v>1</v>
      </c>
      <c r="S8153">
        <v>1</v>
      </c>
      <c r="T8153">
        <v>1</v>
      </c>
      <c r="W8153">
        <v>1</v>
      </c>
      <c r="X8153">
        <v>1</v>
      </c>
      <c r="Y8153">
        <v>1</v>
      </c>
      <c r="Z8153">
        <v>1</v>
      </c>
      <c r="AA8153">
        <v>1</v>
      </c>
      <c r="AB8153">
        <v>1</v>
      </c>
    </row>
    <row r="8154" spans="1:49" x14ac:dyDescent="0.25">
      <c r="A8154" t="str">
        <f>"8150"</f>
        <v>8150</v>
      </c>
      <c r="B8154" t="str">
        <f t="shared" si="472"/>
        <v>1</v>
      </c>
      <c r="C8154" t="str">
        <f t="shared" si="474"/>
        <v>358</v>
      </c>
      <c r="D8154" t="str">
        <f>"4"</f>
        <v>4</v>
      </c>
      <c r="E8154" t="str">
        <f>"1-358-4"</f>
        <v>1-358-4</v>
      </c>
      <c r="F8154" t="s">
        <v>83</v>
      </c>
      <c r="G8154" t="s">
        <v>86</v>
      </c>
      <c r="H8154" t="s">
        <v>93</v>
      </c>
      <c r="I8154">
        <v>1</v>
      </c>
      <c r="K8154">
        <v>0</v>
      </c>
      <c r="L8154">
        <v>0</v>
      </c>
      <c r="M8154">
        <v>1</v>
      </c>
      <c r="N8154">
        <v>1</v>
      </c>
      <c r="O8154">
        <v>1</v>
      </c>
      <c r="P8154">
        <v>1</v>
      </c>
      <c r="Q8154">
        <v>1</v>
      </c>
      <c r="R8154">
        <v>1</v>
      </c>
      <c r="U8154">
        <v>0</v>
      </c>
      <c r="V8154">
        <v>1</v>
      </c>
      <c r="W8154">
        <v>1</v>
      </c>
      <c r="X8154">
        <v>1</v>
      </c>
      <c r="Y8154">
        <v>1</v>
      </c>
      <c r="Z8154">
        <v>1</v>
      </c>
      <c r="AA8154">
        <v>1</v>
      </c>
      <c r="AB8154">
        <v>1</v>
      </c>
    </row>
    <row r="8155" spans="1:49" x14ac:dyDescent="0.25">
      <c r="A8155" t="str">
        <f>"8151"</f>
        <v>8151</v>
      </c>
      <c r="B8155" t="str">
        <f t="shared" si="472"/>
        <v>1</v>
      </c>
      <c r="C8155" t="str">
        <f t="shared" ref="C8155:C8171" si="475">"359"</f>
        <v>359</v>
      </c>
      <c r="D8155" t="str">
        <f>"13"</f>
        <v>13</v>
      </c>
      <c r="E8155" t="str">
        <f>"1-359-13"</f>
        <v>1-359-13</v>
      </c>
      <c r="F8155" t="s">
        <v>83</v>
      </c>
      <c r="G8155" t="s">
        <v>86</v>
      </c>
      <c r="H8155" t="s">
        <v>93</v>
      </c>
      <c r="I8155">
        <v>1</v>
      </c>
      <c r="K8155">
        <v>0</v>
      </c>
      <c r="L8155">
        <v>0</v>
      </c>
      <c r="M8155">
        <v>1</v>
      </c>
      <c r="N8155">
        <v>1</v>
      </c>
      <c r="O8155">
        <v>1</v>
      </c>
      <c r="P8155">
        <v>1</v>
      </c>
      <c r="Q8155">
        <v>1</v>
      </c>
      <c r="R8155">
        <v>1</v>
      </c>
      <c r="U8155">
        <v>0</v>
      </c>
      <c r="V8155">
        <v>1</v>
      </c>
      <c r="W8155">
        <v>1</v>
      </c>
      <c r="X8155">
        <v>1</v>
      </c>
      <c r="Y8155">
        <v>1</v>
      </c>
      <c r="Z8155">
        <v>1</v>
      </c>
      <c r="AA8155">
        <v>1</v>
      </c>
      <c r="AB8155">
        <v>1</v>
      </c>
    </row>
    <row r="8156" spans="1:49" x14ac:dyDescent="0.25">
      <c r="A8156" t="str">
        <f>"8152"</f>
        <v>8152</v>
      </c>
      <c r="B8156" t="str">
        <f t="shared" si="472"/>
        <v>1</v>
      </c>
      <c r="C8156" t="str">
        <f t="shared" si="475"/>
        <v>359</v>
      </c>
      <c r="D8156" t="str">
        <f>"8"</f>
        <v>8</v>
      </c>
      <c r="E8156" t="str">
        <f>"1-359-8"</f>
        <v>1-359-8</v>
      </c>
      <c r="F8156" t="s">
        <v>83</v>
      </c>
      <c r="G8156" t="s">
        <v>86</v>
      </c>
      <c r="H8156" t="s">
        <v>93</v>
      </c>
      <c r="I8156">
        <v>1</v>
      </c>
      <c r="K8156">
        <v>0</v>
      </c>
      <c r="L8156">
        <v>0</v>
      </c>
      <c r="M8156">
        <v>1</v>
      </c>
      <c r="N8156">
        <v>1</v>
      </c>
      <c r="O8156">
        <v>1</v>
      </c>
      <c r="P8156">
        <v>1</v>
      </c>
      <c r="Q8156">
        <v>1</v>
      </c>
      <c r="R8156">
        <v>1</v>
      </c>
      <c r="U8156">
        <v>0</v>
      </c>
      <c r="V8156">
        <v>1</v>
      </c>
      <c r="W8156">
        <v>0</v>
      </c>
      <c r="X8156">
        <v>0</v>
      </c>
      <c r="Y8156">
        <v>1</v>
      </c>
      <c r="Z8156">
        <v>1</v>
      </c>
      <c r="AA8156">
        <v>1</v>
      </c>
      <c r="AB8156">
        <v>1</v>
      </c>
    </row>
    <row r="8157" spans="1:49" x14ac:dyDescent="0.25">
      <c r="A8157" t="str">
        <f>"8153"</f>
        <v>8153</v>
      </c>
      <c r="B8157" t="str">
        <f t="shared" si="472"/>
        <v>1</v>
      </c>
      <c r="C8157" t="str">
        <f t="shared" si="475"/>
        <v>359</v>
      </c>
      <c r="D8157" t="str">
        <f>"6"</f>
        <v>6</v>
      </c>
      <c r="E8157" t="str">
        <f>"1-359-6"</f>
        <v>1-359-6</v>
      </c>
      <c r="F8157" t="s">
        <v>83</v>
      </c>
      <c r="G8157" t="s">
        <v>86</v>
      </c>
      <c r="H8157" t="s">
        <v>87</v>
      </c>
      <c r="AC8157">
        <v>0</v>
      </c>
      <c r="AD8157">
        <v>0</v>
      </c>
      <c r="AE8157">
        <v>0</v>
      </c>
      <c r="AF8157">
        <v>0</v>
      </c>
      <c r="AH8157">
        <v>0</v>
      </c>
      <c r="AI8157">
        <v>1</v>
      </c>
      <c r="AJ8157">
        <v>0</v>
      </c>
      <c r="AK8157">
        <v>0</v>
      </c>
      <c r="AL8157">
        <v>0</v>
      </c>
      <c r="AM8157">
        <v>0</v>
      </c>
      <c r="AN8157">
        <v>0</v>
      </c>
      <c r="AO8157">
        <v>0</v>
      </c>
      <c r="AP8157">
        <v>0</v>
      </c>
      <c r="AQ8157">
        <v>0</v>
      </c>
      <c r="AU8157">
        <v>0</v>
      </c>
      <c r="AV8157">
        <v>0</v>
      </c>
      <c r="AW8157">
        <v>0</v>
      </c>
    </row>
    <row r="8158" spans="1:49" x14ac:dyDescent="0.25">
      <c r="A8158" t="str">
        <f>"8154"</f>
        <v>8154</v>
      </c>
      <c r="B8158" t="str">
        <f t="shared" ref="B8158:B8221" si="476">"1"</f>
        <v>1</v>
      </c>
      <c r="C8158" t="str">
        <f t="shared" si="475"/>
        <v>359</v>
      </c>
      <c r="D8158" t="str">
        <f>"14"</f>
        <v>14</v>
      </c>
      <c r="E8158" t="str">
        <f>"1-359-14"</f>
        <v>1-359-14</v>
      </c>
      <c r="F8158" t="s">
        <v>83</v>
      </c>
      <c r="G8158" t="s">
        <v>86</v>
      </c>
      <c r="H8158" t="s">
        <v>93</v>
      </c>
      <c r="I8158">
        <v>1</v>
      </c>
      <c r="K8158">
        <v>0</v>
      </c>
      <c r="L8158">
        <v>0</v>
      </c>
      <c r="M8158">
        <v>1</v>
      </c>
      <c r="N8158">
        <v>1</v>
      </c>
      <c r="O8158">
        <v>1</v>
      </c>
      <c r="P8158">
        <v>1</v>
      </c>
      <c r="Q8158">
        <v>1</v>
      </c>
      <c r="R8158">
        <v>1</v>
      </c>
      <c r="U8158">
        <v>0</v>
      </c>
      <c r="V8158">
        <v>1</v>
      </c>
      <c r="W8158">
        <v>1</v>
      </c>
      <c r="X8158">
        <v>1</v>
      </c>
      <c r="Y8158">
        <v>1</v>
      </c>
      <c r="Z8158">
        <v>1</v>
      </c>
      <c r="AA8158">
        <v>1</v>
      </c>
      <c r="AB8158">
        <v>1</v>
      </c>
    </row>
    <row r="8159" spans="1:49" x14ac:dyDescent="0.25">
      <c r="A8159" t="str">
        <f>"8155"</f>
        <v>8155</v>
      </c>
      <c r="B8159" t="str">
        <f t="shared" si="476"/>
        <v>1</v>
      </c>
      <c r="C8159" t="str">
        <f t="shared" si="475"/>
        <v>359</v>
      </c>
      <c r="D8159" t="str">
        <f>"9"</f>
        <v>9</v>
      </c>
      <c r="E8159" t="str">
        <f>"1-359-9"</f>
        <v>1-359-9</v>
      </c>
      <c r="F8159" t="s">
        <v>83</v>
      </c>
      <c r="G8159" t="s">
        <v>86</v>
      </c>
      <c r="H8159" t="s">
        <v>93</v>
      </c>
      <c r="I8159">
        <v>1</v>
      </c>
      <c r="K8159">
        <v>0</v>
      </c>
      <c r="L8159">
        <v>0</v>
      </c>
      <c r="M8159">
        <v>1</v>
      </c>
      <c r="N8159">
        <v>1</v>
      </c>
      <c r="O8159">
        <v>1</v>
      </c>
      <c r="P8159">
        <v>1</v>
      </c>
      <c r="Q8159">
        <v>1</v>
      </c>
      <c r="R8159">
        <v>1</v>
      </c>
      <c r="U8159">
        <v>1</v>
      </c>
      <c r="V8159">
        <v>0</v>
      </c>
      <c r="W8159">
        <v>1</v>
      </c>
      <c r="X8159">
        <v>1</v>
      </c>
      <c r="Y8159">
        <v>1</v>
      </c>
      <c r="Z8159">
        <v>1</v>
      </c>
      <c r="AA8159">
        <v>1</v>
      </c>
      <c r="AB8159">
        <v>1</v>
      </c>
    </row>
    <row r="8160" spans="1:49" x14ac:dyDescent="0.25">
      <c r="A8160" t="str">
        <f>"8156"</f>
        <v>8156</v>
      </c>
      <c r="B8160" t="str">
        <f t="shared" si="476"/>
        <v>1</v>
      </c>
      <c r="C8160" t="str">
        <f t="shared" si="475"/>
        <v>359</v>
      </c>
      <c r="D8160" t="str">
        <f>"4"</f>
        <v>4</v>
      </c>
      <c r="E8160" t="str">
        <f>"1-359-4"</f>
        <v>1-359-4</v>
      </c>
      <c r="F8160" t="s">
        <v>83</v>
      </c>
      <c r="G8160" t="s">
        <v>86</v>
      </c>
      <c r="H8160" t="s">
        <v>93</v>
      </c>
      <c r="I8160">
        <v>1</v>
      </c>
      <c r="K8160">
        <v>0</v>
      </c>
      <c r="L8160">
        <v>1</v>
      </c>
      <c r="M8160">
        <v>0</v>
      </c>
      <c r="N8160">
        <v>1</v>
      </c>
      <c r="O8160">
        <v>1</v>
      </c>
      <c r="P8160">
        <v>1</v>
      </c>
      <c r="Q8160">
        <v>1</v>
      </c>
      <c r="R8160">
        <v>1</v>
      </c>
      <c r="U8160">
        <v>0</v>
      </c>
      <c r="V8160">
        <v>1</v>
      </c>
      <c r="W8160">
        <v>1</v>
      </c>
      <c r="X8160">
        <v>1</v>
      </c>
      <c r="Y8160">
        <v>1</v>
      </c>
      <c r="Z8160">
        <v>1</v>
      </c>
      <c r="AA8160">
        <v>1</v>
      </c>
      <c r="AB8160">
        <v>1</v>
      </c>
    </row>
    <row r="8161" spans="1:49" x14ac:dyDescent="0.25">
      <c r="A8161" t="str">
        <f>"8157"</f>
        <v>8157</v>
      </c>
      <c r="B8161" t="str">
        <f t="shared" si="476"/>
        <v>1</v>
      </c>
      <c r="C8161" t="str">
        <f t="shared" si="475"/>
        <v>359</v>
      </c>
      <c r="D8161" t="str">
        <f>"15"</f>
        <v>15</v>
      </c>
      <c r="E8161" t="str">
        <f>"1-359-15"</f>
        <v>1-359-15</v>
      </c>
      <c r="F8161" t="s">
        <v>83</v>
      </c>
      <c r="G8161" t="s">
        <v>86</v>
      </c>
      <c r="H8161" t="s">
        <v>87</v>
      </c>
      <c r="AC8161">
        <v>0</v>
      </c>
      <c r="AD8161">
        <v>1</v>
      </c>
      <c r="AE8161">
        <v>0</v>
      </c>
      <c r="AF8161">
        <v>0</v>
      </c>
      <c r="AH8161">
        <v>1</v>
      </c>
      <c r="AI8161">
        <v>0</v>
      </c>
      <c r="AJ8161">
        <v>1</v>
      </c>
      <c r="AK8161">
        <v>0</v>
      </c>
      <c r="AL8161">
        <v>0</v>
      </c>
      <c r="AM8161">
        <v>1</v>
      </c>
      <c r="AN8161">
        <v>0</v>
      </c>
      <c r="AO8161">
        <v>1</v>
      </c>
      <c r="AP8161">
        <v>1</v>
      </c>
      <c r="AQ8161">
        <v>1</v>
      </c>
      <c r="AU8161">
        <v>1</v>
      </c>
      <c r="AV8161">
        <v>1</v>
      </c>
      <c r="AW8161">
        <v>0</v>
      </c>
    </row>
    <row r="8162" spans="1:49" x14ac:dyDescent="0.25">
      <c r="A8162" t="str">
        <f>"8158"</f>
        <v>8158</v>
      </c>
      <c r="B8162" t="str">
        <f t="shared" si="476"/>
        <v>1</v>
      </c>
      <c r="C8162" t="str">
        <f t="shared" si="475"/>
        <v>359</v>
      </c>
      <c r="D8162" t="str">
        <f>"10"</f>
        <v>10</v>
      </c>
      <c r="E8162" t="str">
        <f>"1-359-10"</f>
        <v>1-359-10</v>
      </c>
      <c r="F8162" t="s">
        <v>83</v>
      </c>
      <c r="G8162" t="s">
        <v>86</v>
      </c>
      <c r="H8162" t="s">
        <v>87</v>
      </c>
      <c r="AC8162">
        <v>0</v>
      </c>
      <c r="AD8162">
        <v>1</v>
      </c>
      <c r="AE8162">
        <v>0</v>
      </c>
      <c r="AF8162">
        <v>0</v>
      </c>
      <c r="AH8162">
        <v>0</v>
      </c>
      <c r="AI8162">
        <v>1</v>
      </c>
      <c r="AJ8162">
        <v>0</v>
      </c>
      <c r="AK8162">
        <v>1</v>
      </c>
      <c r="AL8162">
        <v>0</v>
      </c>
      <c r="AM8162">
        <v>1</v>
      </c>
      <c r="AN8162">
        <v>0</v>
      </c>
      <c r="AO8162">
        <v>1</v>
      </c>
      <c r="AP8162">
        <v>1</v>
      </c>
      <c r="AQ8162">
        <v>1</v>
      </c>
      <c r="AU8162">
        <v>1</v>
      </c>
      <c r="AV8162">
        <v>1</v>
      </c>
      <c r="AW8162">
        <v>0</v>
      </c>
    </row>
    <row r="8163" spans="1:49" x14ac:dyDescent="0.25">
      <c r="A8163" t="str">
        <f>"8159"</f>
        <v>8159</v>
      </c>
      <c r="B8163" t="str">
        <f t="shared" si="476"/>
        <v>1</v>
      </c>
      <c r="C8163" t="str">
        <f t="shared" si="475"/>
        <v>359</v>
      </c>
      <c r="D8163" t="str">
        <f>"7"</f>
        <v>7</v>
      </c>
      <c r="E8163" t="str">
        <f>"1-359-7"</f>
        <v>1-359-7</v>
      </c>
      <c r="F8163" t="s">
        <v>83</v>
      </c>
      <c r="G8163" t="s">
        <v>86</v>
      </c>
      <c r="H8163" t="s">
        <v>87</v>
      </c>
      <c r="AC8163">
        <v>0</v>
      </c>
      <c r="AD8163">
        <v>1</v>
      </c>
      <c r="AE8163">
        <v>0</v>
      </c>
      <c r="AF8163">
        <v>0</v>
      </c>
      <c r="AH8163">
        <v>0</v>
      </c>
      <c r="AI8163">
        <v>1</v>
      </c>
      <c r="AJ8163">
        <v>0</v>
      </c>
      <c r="AK8163">
        <v>1</v>
      </c>
      <c r="AL8163">
        <v>0</v>
      </c>
      <c r="AM8163">
        <v>0</v>
      </c>
      <c r="AN8163">
        <v>1</v>
      </c>
      <c r="AO8163">
        <v>0</v>
      </c>
      <c r="AP8163">
        <v>0</v>
      </c>
      <c r="AQ8163">
        <v>0</v>
      </c>
      <c r="AU8163">
        <v>0</v>
      </c>
      <c r="AV8163">
        <v>0</v>
      </c>
      <c r="AW8163">
        <v>0</v>
      </c>
    </row>
    <row r="8164" spans="1:49" x14ac:dyDescent="0.25">
      <c r="A8164" t="str">
        <f>"8160"</f>
        <v>8160</v>
      </c>
      <c r="B8164" t="str">
        <f t="shared" si="476"/>
        <v>1</v>
      </c>
      <c r="C8164" t="str">
        <f t="shared" si="475"/>
        <v>359</v>
      </c>
      <c r="D8164" t="str">
        <f>"16"</f>
        <v>16</v>
      </c>
      <c r="E8164" t="str">
        <f>"1-359-16"</f>
        <v>1-359-16</v>
      </c>
      <c r="F8164" t="s">
        <v>83</v>
      </c>
      <c r="G8164" t="s">
        <v>86</v>
      </c>
      <c r="H8164" t="s">
        <v>93</v>
      </c>
      <c r="I8164">
        <v>1</v>
      </c>
      <c r="K8164">
        <v>0</v>
      </c>
      <c r="L8164">
        <v>0</v>
      </c>
      <c r="M8164">
        <v>1</v>
      </c>
      <c r="N8164">
        <v>1</v>
      </c>
      <c r="O8164">
        <v>1</v>
      </c>
      <c r="P8164">
        <v>1</v>
      </c>
      <c r="Q8164">
        <v>1</v>
      </c>
      <c r="R8164">
        <v>1</v>
      </c>
      <c r="U8164">
        <v>1</v>
      </c>
      <c r="V8164">
        <v>0</v>
      </c>
      <c r="W8164">
        <v>1</v>
      </c>
      <c r="X8164">
        <v>1</v>
      </c>
      <c r="Y8164">
        <v>1</v>
      </c>
      <c r="Z8164">
        <v>1</v>
      </c>
      <c r="AA8164">
        <v>1</v>
      </c>
      <c r="AB8164">
        <v>1</v>
      </c>
    </row>
    <row r="8165" spans="1:49" x14ac:dyDescent="0.25">
      <c r="A8165" t="str">
        <f>"8161"</f>
        <v>8161</v>
      </c>
      <c r="B8165" t="str">
        <f t="shared" si="476"/>
        <v>1</v>
      </c>
      <c r="C8165" t="str">
        <f t="shared" si="475"/>
        <v>359</v>
      </c>
      <c r="D8165" t="str">
        <f>"11"</f>
        <v>11</v>
      </c>
      <c r="E8165" t="str">
        <f>"1-359-11"</f>
        <v>1-359-11</v>
      </c>
      <c r="F8165" t="s">
        <v>83</v>
      </c>
      <c r="G8165" t="s">
        <v>86</v>
      </c>
      <c r="H8165" t="s">
        <v>93</v>
      </c>
      <c r="I8165">
        <v>1</v>
      </c>
      <c r="K8165">
        <v>0</v>
      </c>
      <c r="L8165">
        <v>0</v>
      </c>
      <c r="M8165">
        <v>1</v>
      </c>
      <c r="N8165">
        <v>1</v>
      </c>
      <c r="O8165">
        <v>1</v>
      </c>
      <c r="P8165">
        <v>1</v>
      </c>
      <c r="Q8165">
        <v>1</v>
      </c>
      <c r="R8165">
        <v>1</v>
      </c>
      <c r="U8165">
        <v>1</v>
      </c>
      <c r="V8165">
        <v>0</v>
      </c>
      <c r="W8165">
        <v>1</v>
      </c>
      <c r="X8165">
        <v>1</v>
      </c>
      <c r="Y8165">
        <v>1</v>
      </c>
      <c r="Z8165">
        <v>1</v>
      </c>
      <c r="AA8165">
        <v>1</v>
      </c>
      <c r="AB8165">
        <v>1</v>
      </c>
    </row>
    <row r="8166" spans="1:49" x14ac:dyDescent="0.25">
      <c r="A8166" t="str">
        <f>"8162"</f>
        <v>8162</v>
      </c>
      <c r="B8166" t="str">
        <f t="shared" si="476"/>
        <v>1</v>
      </c>
      <c r="C8166" t="str">
        <f t="shared" si="475"/>
        <v>359</v>
      </c>
      <c r="D8166" t="str">
        <f>"2"</f>
        <v>2</v>
      </c>
      <c r="E8166" t="str">
        <f>"1-359-2"</f>
        <v>1-359-2</v>
      </c>
      <c r="F8166" t="s">
        <v>83</v>
      </c>
      <c r="G8166" t="s">
        <v>86</v>
      </c>
      <c r="H8166" t="s">
        <v>87</v>
      </c>
      <c r="AC8166">
        <v>0</v>
      </c>
      <c r="AD8166">
        <v>1</v>
      </c>
      <c r="AE8166">
        <v>0</v>
      </c>
      <c r="AF8166">
        <v>0</v>
      </c>
      <c r="AH8166">
        <v>0</v>
      </c>
      <c r="AI8166">
        <v>1</v>
      </c>
      <c r="AJ8166">
        <v>0</v>
      </c>
      <c r="AK8166">
        <v>1</v>
      </c>
      <c r="AL8166">
        <v>0</v>
      </c>
      <c r="AM8166">
        <v>1</v>
      </c>
      <c r="AN8166">
        <v>0</v>
      </c>
      <c r="AO8166">
        <v>0</v>
      </c>
      <c r="AP8166">
        <v>0</v>
      </c>
      <c r="AQ8166">
        <v>0</v>
      </c>
      <c r="AU8166">
        <v>0</v>
      </c>
      <c r="AV8166">
        <v>0</v>
      </c>
      <c r="AW8166">
        <v>0</v>
      </c>
    </row>
    <row r="8167" spans="1:49" x14ac:dyDescent="0.25">
      <c r="A8167" t="str">
        <f>"8163"</f>
        <v>8163</v>
      </c>
      <c r="B8167" t="str">
        <f t="shared" si="476"/>
        <v>1</v>
      </c>
      <c r="C8167" t="str">
        <f t="shared" si="475"/>
        <v>359</v>
      </c>
      <c r="D8167" t="str">
        <f>"12"</f>
        <v>12</v>
      </c>
      <c r="E8167" t="str">
        <f>"1-359-12"</f>
        <v>1-359-12</v>
      </c>
      <c r="F8167" t="s">
        <v>83</v>
      </c>
      <c r="G8167" t="s">
        <v>86</v>
      </c>
      <c r="H8167" t="s">
        <v>87</v>
      </c>
      <c r="AC8167">
        <v>0</v>
      </c>
      <c r="AD8167">
        <v>1</v>
      </c>
      <c r="AE8167">
        <v>0</v>
      </c>
      <c r="AF8167">
        <v>0</v>
      </c>
      <c r="AH8167">
        <v>0</v>
      </c>
      <c r="AI8167">
        <v>1</v>
      </c>
      <c r="AJ8167">
        <v>1</v>
      </c>
      <c r="AK8167">
        <v>0</v>
      </c>
      <c r="AL8167">
        <v>0</v>
      </c>
      <c r="AM8167">
        <v>1</v>
      </c>
      <c r="AN8167">
        <v>0</v>
      </c>
      <c r="AO8167">
        <v>1</v>
      </c>
      <c r="AP8167">
        <v>1</v>
      </c>
      <c r="AQ8167">
        <v>1</v>
      </c>
      <c r="AU8167">
        <v>1</v>
      </c>
      <c r="AV8167">
        <v>1</v>
      </c>
      <c r="AW8167">
        <v>1</v>
      </c>
    </row>
    <row r="8168" spans="1:49" x14ac:dyDescent="0.25">
      <c r="A8168" t="str">
        <f>"8164"</f>
        <v>8164</v>
      </c>
      <c r="B8168" t="str">
        <f t="shared" si="476"/>
        <v>1</v>
      </c>
      <c r="C8168" t="str">
        <f t="shared" si="475"/>
        <v>359</v>
      </c>
      <c r="D8168" t="str">
        <f>"1"</f>
        <v>1</v>
      </c>
      <c r="E8168" t="str">
        <f>"1-359-1"</f>
        <v>1-359-1</v>
      </c>
      <c r="F8168" t="s">
        <v>83</v>
      </c>
      <c r="G8168" t="s">
        <v>86</v>
      </c>
      <c r="H8168" t="s">
        <v>93</v>
      </c>
      <c r="I8168">
        <v>1</v>
      </c>
      <c r="K8168">
        <v>0</v>
      </c>
      <c r="L8168">
        <v>0</v>
      </c>
      <c r="M8168">
        <v>1</v>
      </c>
      <c r="N8168">
        <v>1</v>
      </c>
      <c r="O8168">
        <v>1</v>
      </c>
      <c r="P8168">
        <v>1</v>
      </c>
      <c r="Q8168">
        <v>1</v>
      </c>
      <c r="R8168">
        <v>1</v>
      </c>
      <c r="U8168">
        <v>0</v>
      </c>
      <c r="V8168">
        <v>1</v>
      </c>
      <c r="W8168">
        <v>1</v>
      </c>
      <c r="X8168">
        <v>1</v>
      </c>
      <c r="Y8168">
        <v>1</v>
      </c>
      <c r="Z8168">
        <v>1</v>
      </c>
      <c r="AA8168">
        <v>1</v>
      </c>
      <c r="AB8168">
        <v>1</v>
      </c>
    </row>
    <row r="8169" spans="1:49" x14ac:dyDescent="0.25">
      <c r="A8169" t="str">
        <f>"8165"</f>
        <v>8165</v>
      </c>
      <c r="B8169" t="str">
        <f t="shared" si="476"/>
        <v>1</v>
      </c>
      <c r="C8169" t="str">
        <f t="shared" si="475"/>
        <v>359</v>
      </c>
      <c r="D8169" t="str">
        <f>"17"</f>
        <v>17</v>
      </c>
      <c r="E8169" t="str">
        <f>"1-359-17"</f>
        <v>1-359-17</v>
      </c>
      <c r="F8169" t="s">
        <v>83</v>
      </c>
      <c r="G8169" t="s">
        <v>86</v>
      </c>
      <c r="H8169" t="s">
        <v>87</v>
      </c>
      <c r="AC8169">
        <v>0</v>
      </c>
      <c r="AD8169">
        <v>1</v>
      </c>
      <c r="AE8169">
        <v>0</v>
      </c>
      <c r="AF8169">
        <v>0</v>
      </c>
      <c r="AH8169">
        <v>1</v>
      </c>
      <c r="AI8169">
        <v>0</v>
      </c>
      <c r="AJ8169">
        <v>1</v>
      </c>
      <c r="AK8169">
        <v>0</v>
      </c>
      <c r="AL8169">
        <v>1</v>
      </c>
      <c r="AM8169">
        <v>0</v>
      </c>
      <c r="AN8169">
        <v>0</v>
      </c>
      <c r="AO8169">
        <v>0</v>
      </c>
      <c r="AP8169">
        <v>0</v>
      </c>
      <c r="AQ8169">
        <v>0</v>
      </c>
      <c r="AU8169">
        <v>0</v>
      </c>
      <c r="AV8169">
        <v>0</v>
      </c>
      <c r="AW8169">
        <v>0</v>
      </c>
    </row>
    <row r="8170" spans="1:49" x14ac:dyDescent="0.25">
      <c r="A8170" t="str">
        <f>"8166"</f>
        <v>8166</v>
      </c>
      <c r="B8170" t="str">
        <f t="shared" si="476"/>
        <v>1</v>
      </c>
      <c r="C8170" t="str">
        <f t="shared" si="475"/>
        <v>359</v>
      </c>
      <c r="D8170" t="str">
        <f>"3"</f>
        <v>3</v>
      </c>
      <c r="E8170" t="str">
        <f>"1-359-3"</f>
        <v>1-359-3</v>
      </c>
      <c r="F8170" t="s">
        <v>83</v>
      </c>
      <c r="G8170" t="s">
        <v>86</v>
      </c>
      <c r="H8170" t="s">
        <v>87</v>
      </c>
      <c r="AC8170">
        <v>0</v>
      </c>
      <c r="AD8170">
        <v>0</v>
      </c>
      <c r="AE8170">
        <v>0</v>
      </c>
      <c r="AF8170">
        <v>0</v>
      </c>
      <c r="AH8170">
        <v>0</v>
      </c>
      <c r="AI8170">
        <v>1</v>
      </c>
      <c r="AJ8170">
        <v>0</v>
      </c>
      <c r="AK8170">
        <v>0</v>
      </c>
      <c r="AL8170">
        <v>0</v>
      </c>
      <c r="AM8170">
        <v>1</v>
      </c>
      <c r="AN8170">
        <v>0</v>
      </c>
      <c r="AO8170">
        <v>0</v>
      </c>
      <c r="AP8170">
        <v>0</v>
      </c>
      <c r="AQ8170">
        <v>0</v>
      </c>
      <c r="AU8170">
        <v>0</v>
      </c>
      <c r="AV8170">
        <v>0</v>
      </c>
      <c r="AW8170">
        <v>0</v>
      </c>
    </row>
    <row r="8171" spans="1:49" x14ac:dyDescent="0.25">
      <c r="A8171" t="str">
        <f>"8167"</f>
        <v>8167</v>
      </c>
      <c r="B8171" t="str">
        <f t="shared" si="476"/>
        <v>1</v>
      </c>
      <c r="C8171" t="str">
        <f t="shared" si="475"/>
        <v>359</v>
      </c>
      <c r="D8171" t="str">
        <f>"5"</f>
        <v>5</v>
      </c>
      <c r="E8171" t="str">
        <f>"1-359-5"</f>
        <v>1-359-5</v>
      </c>
      <c r="F8171" t="s">
        <v>83</v>
      </c>
      <c r="G8171" t="s">
        <v>86</v>
      </c>
      <c r="H8171" t="s">
        <v>93</v>
      </c>
      <c r="I8171">
        <v>0</v>
      </c>
      <c r="K8171">
        <v>0</v>
      </c>
      <c r="L8171">
        <v>0</v>
      </c>
      <c r="M8171">
        <v>0</v>
      </c>
      <c r="N8171">
        <v>0</v>
      </c>
      <c r="O8171">
        <v>0</v>
      </c>
      <c r="P8171">
        <v>0</v>
      </c>
      <c r="Q8171">
        <v>0</v>
      </c>
      <c r="R8171">
        <v>0</v>
      </c>
      <c r="U8171">
        <v>1</v>
      </c>
      <c r="V8171">
        <v>0</v>
      </c>
      <c r="W8171">
        <v>0</v>
      </c>
      <c r="X8171">
        <v>0</v>
      </c>
      <c r="Y8171">
        <v>0</v>
      </c>
      <c r="Z8171">
        <v>0</v>
      </c>
      <c r="AA8171">
        <v>0</v>
      </c>
      <c r="AB8171">
        <v>0</v>
      </c>
    </row>
    <row r="8172" spans="1:49" x14ac:dyDescent="0.25">
      <c r="A8172" t="str">
        <f>"8168"</f>
        <v>8168</v>
      </c>
      <c r="B8172" t="str">
        <f t="shared" si="476"/>
        <v>1</v>
      </c>
      <c r="C8172" t="str">
        <f t="shared" ref="C8172:C8196" si="477">"360"</f>
        <v>360</v>
      </c>
      <c r="D8172" t="str">
        <f>"23"</f>
        <v>23</v>
      </c>
      <c r="E8172" t="str">
        <f>"1-360-23"</f>
        <v>1-360-23</v>
      </c>
      <c r="F8172" t="s">
        <v>83</v>
      </c>
      <c r="G8172" t="s">
        <v>86</v>
      </c>
      <c r="H8172" t="s">
        <v>87</v>
      </c>
      <c r="AC8172">
        <v>0</v>
      </c>
      <c r="AD8172">
        <v>1</v>
      </c>
      <c r="AE8172">
        <v>0</v>
      </c>
      <c r="AF8172">
        <v>0</v>
      </c>
      <c r="AH8172">
        <v>1</v>
      </c>
      <c r="AI8172">
        <v>0</v>
      </c>
      <c r="AJ8172">
        <v>0</v>
      </c>
      <c r="AK8172">
        <v>0</v>
      </c>
      <c r="AL8172">
        <v>0</v>
      </c>
      <c r="AM8172">
        <v>0</v>
      </c>
      <c r="AN8172">
        <v>1</v>
      </c>
      <c r="AO8172">
        <v>1</v>
      </c>
      <c r="AP8172">
        <v>1</v>
      </c>
      <c r="AQ8172">
        <v>1</v>
      </c>
      <c r="AU8172">
        <v>1</v>
      </c>
      <c r="AV8172">
        <v>1</v>
      </c>
      <c r="AW8172">
        <v>1</v>
      </c>
    </row>
    <row r="8173" spans="1:49" x14ac:dyDescent="0.25">
      <c r="A8173" t="str">
        <f>"8169"</f>
        <v>8169</v>
      </c>
      <c r="B8173" t="str">
        <f t="shared" si="476"/>
        <v>1</v>
      </c>
      <c r="C8173" t="str">
        <f t="shared" si="477"/>
        <v>360</v>
      </c>
      <c r="D8173" t="str">
        <f>"22"</f>
        <v>22</v>
      </c>
      <c r="E8173" t="str">
        <f>"1-360-22"</f>
        <v>1-360-22</v>
      </c>
      <c r="F8173" t="s">
        <v>83</v>
      </c>
      <c r="G8173" t="s">
        <v>86</v>
      </c>
      <c r="H8173" t="s">
        <v>93</v>
      </c>
      <c r="I8173">
        <v>1</v>
      </c>
      <c r="K8173">
        <v>0</v>
      </c>
      <c r="L8173">
        <v>0</v>
      </c>
      <c r="M8173">
        <v>1</v>
      </c>
      <c r="N8173">
        <v>1</v>
      </c>
      <c r="O8173">
        <v>1</v>
      </c>
      <c r="P8173">
        <v>1</v>
      </c>
      <c r="Q8173">
        <v>1</v>
      </c>
      <c r="R8173">
        <v>1</v>
      </c>
      <c r="U8173">
        <v>1</v>
      </c>
      <c r="V8173">
        <v>0</v>
      </c>
      <c r="W8173">
        <v>1</v>
      </c>
      <c r="X8173">
        <v>1</v>
      </c>
      <c r="Y8173">
        <v>1</v>
      </c>
      <c r="Z8173">
        <v>1</v>
      </c>
      <c r="AA8173">
        <v>1</v>
      </c>
      <c r="AB8173">
        <v>1</v>
      </c>
    </row>
    <row r="8174" spans="1:49" x14ac:dyDescent="0.25">
      <c r="A8174" t="str">
        <f>"8170"</f>
        <v>8170</v>
      </c>
      <c r="B8174" t="str">
        <f t="shared" si="476"/>
        <v>1</v>
      </c>
      <c r="C8174" t="str">
        <f t="shared" si="477"/>
        <v>360</v>
      </c>
      <c r="D8174" t="str">
        <f>"14"</f>
        <v>14</v>
      </c>
      <c r="E8174" t="str">
        <f>"1-360-14"</f>
        <v>1-360-14</v>
      </c>
      <c r="F8174" t="s">
        <v>83</v>
      </c>
      <c r="G8174" t="s">
        <v>86</v>
      </c>
      <c r="H8174" t="s">
        <v>87</v>
      </c>
      <c r="AC8174">
        <v>0</v>
      </c>
      <c r="AD8174">
        <v>1</v>
      </c>
      <c r="AE8174">
        <v>0</v>
      </c>
      <c r="AF8174">
        <v>0</v>
      </c>
      <c r="AH8174">
        <v>1</v>
      </c>
      <c r="AI8174">
        <v>0</v>
      </c>
      <c r="AJ8174">
        <v>1</v>
      </c>
      <c r="AK8174">
        <v>0</v>
      </c>
      <c r="AL8174">
        <v>0</v>
      </c>
      <c r="AM8174">
        <v>0</v>
      </c>
      <c r="AN8174">
        <v>1</v>
      </c>
      <c r="AO8174">
        <v>1</v>
      </c>
      <c r="AP8174">
        <v>1</v>
      </c>
      <c r="AQ8174">
        <v>1</v>
      </c>
      <c r="AU8174">
        <v>1</v>
      </c>
      <c r="AV8174">
        <v>1</v>
      </c>
      <c r="AW8174">
        <v>1</v>
      </c>
    </row>
    <row r="8175" spans="1:49" x14ac:dyDescent="0.25">
      <c r="A8175" t="str">
        <f>"8171"</f>
        <v>8171</v>
      </c>
      <c r="B8175" t="str">
        <f t="shared" si="476"/>
        <v>1</v>
      </c>
      <c r="C8175" t="str">
        <f t="shared" si="477"/>
        <v>360</v>
      </c>
      <c r="D8175" t="str">
        <f>"8"</f>
        <v>8</v>
      </c>
      <c r="E8175" t="str">
        <f>"1-360-8"</f>
        <v>1-360-8</v>
      </c>
      <c r="F8175" t="s">
        <v>83</v>
      </c>
      <c r="G8175" t="s">
        <v>86</v>
      </c>
      <c r="H8175" t="s">
        <v>93</v>
      </c>
      <c r="I8175">
        <v>1</v>
      </c>
      <c r="K8175">
        <v>0</v>
      </c>
      <c r="L8175">
        <v>0</v>
      </c>
      <c r="M8175">
        <v>1</v>
      </c>
      <c r="N8175">
        <v>1</v>
      </c>
      <c r="O8175">
        <v>1</v>
      </c>
      <c r="P8175">
        <v>1</v>
      </c>
      <c r="Q8175">
        <v>1</v>
      </c>
      <c r="R8175">
        <v>1</v>
      </c>
      <c r="U8175">
        <v>1</v>
      </c>
      <c r="V8175">
        <v>0</v>
      </c>
      <c r="W8175">
        <v>1</v>
      </c>
      <c r="X8175">
        <v>1</v>
      </c>
      <c r="Y8175">
        <v>1</v>
      </c>
      <c r="Z8175">
        <v>1</v>
      </c>
      <c r="AA8175">
        <v>1</v>
      </c>
      <c r="AB8175">
        <v>1</v>
      </c>
    </row>
    <row r="8176" spans="1:49" x14ac:dyDescent="0.25">
      <c r="A8176" t="str">
        <f>"8172"</f>
        <v>8172</v>
      </c>
      <c r="B8176" t="str">
        <f t="shared" si="476"/>
        <v>1</v>
      </c>
      <c r="C8176" t="str">
        <f t="shared" si="477"/>
        <v>360</v>
      </c>
      <c r="D8176" t="str">
        <f>"6"</f>
        <v>6</v>
      </c>
      <c r="E8176" t="str">
        <f>"1-360-6"</f>
        <v>1-360-6</v>
      </c>
      <c r="F8176" t="s">
        <v>83</v>
      </c>
      <c r="G8176" t="s">
        <v>86</v>
      </c>
      <c r="H8176" t="s">
        <v>87</v>
      </c>
      <c r="AC8176">
        <v>1</v>
      </c>
      <c r="AD8176">
        <v>0</v>
      </c>
      <c r="AE8176">
        <v>0</v>
      </c>
      <c r="AF8176">
        <v>0</v>
      </c>
      <c r="AH8176">
        <v>1</v>
      </c>
      <c r="AI8176">
        <v>0</v>
      </c>
      <c r="AJ8176">
        <v>1</v>
      </c>
      <c r="AK8176">
        <v>0</v>
      </c>
      <c r="AL8176">
        <v>0</v>
      </c>
      <c r="AM8176">
        <v>0</v>
      </c>
      <c r="AN8176">
        <v>1</v>
      </c>
      <c r="AO8176">
        <v>1</v>
      </c>
      <c r="AP8176">
        <v>1</v>
      </c>
      <c r="AQ8176">
        <v>1</v>
      </c>
      <c r="AU8176">
        <v>1</v>
      </c>
      <c r="AV8176">
        <v>1</v>
      </c>
      <c r="AW8176">
        <v>1</v>
      </c>
    </row>
    <row r="8177" spans="1:49" x14ac:dyDescent="0.25">
      <c r="A8177" t="str">
        <f>"8173"</f>
        <v>8173</v>
      </c>
      <c r="B8177" t="str">
        <f t="shared" si="476"/>
        <v>1</v>
      </c>
      <c r="C8177" t="str">
        <f t="shared" si="477"/>
        <v>360</v>
      </c>
      <c r="D8177" t="str">
        <f>"21"</f>
        <v>21</v>
      </c>
      <c r="E8177" t="str">
        <f>"1-360-21"</f>
        <v>1-360-21</v>
      </c>
      <c r="F8177" t="s">
        <v>83</v>
      </c>
      <c r="G8177" t="s">
        <v>86</v>
      </c>
      <c r="H8177" t="s">
        <v>87</v>
      </c>
      <c r="AC8177">
        <v>1</v>
      </c>
      <c r="AD8177">
        <v>0</v>
      </c>
      <c r="AE8177">
        <v>0</v>
      </c>
      <c r="AF8177">
        <v>0</v>
      </c>
      <c r="AH8177">
        <v>0</v>
      </c>
      <c r="AI8177">
        <v>1</v>
      </c>
      <c r="AJ8177">
        <v>1</v>
      </c>
      <c r="AK8177">
        <v>0</v>
      </c>
      <c r="AL8177">
        <v>1</v>
      </c>
      <c r="AM8177">
        <v>0</v>
      </c>
      <c r="AN8177">
        <v>0</v>
      </c>
      <c r="AO8177">
        <v>0</v>
      </c>
      <c r="AP8177">
        <v>0</v>
      </c>
      <c r="AQ8177">
        <v>0</v>
      </c>
      <c r="AU8177">
        <v>0</v>
      </c>
      <c r="AV8177">
        <v>0</v>
      </c>
      <c r="AW8177">
        <v>0</v>
      </c>
    </row>
    <row r="8178" spans="1:49" x14ac:dyDescent="0.25">
      <c r="A8178" t="str">
        <f>"8174"</f>
        <v>8174</v>
      </c>
      <c r="B8178" t="str">
        <f t="shared" si="476"/>
        <v>1</v>
      </c>
      <c r="C8178" t="str">
        <f t="shared" si="477"/>
        <v>360</v>
      </c>
      <c r="D8178" t="str">
        <f>"20"</f>
        <v>20</v>
      </c>
      <c r="E8178" t="str">
        <f>"1-360-20"</f>
        <v>1-360-20</v>
      </c>
      <c r="F8178" t="s">
        <v>83</v>
      </c>
      <c r="G8178" t="s">
        <v>86</v>
      </c>
      <c r="H8178" t="s">
        <v>87</v>
      </c>
      <c r="AC8178">
        <v>1</v>
      </c>
      <c r="AD8178">
        <v>0</v>
      </c>
      <c r="AE8178">
        <v>0</v>
      </c>
      <c r="AF8178">
        <v>0</v>
      </c>
      <c r="AH8178">
        <v>1</v>
      </c>
      <c r="AI8178">
        <v>0</v>
      </c>
      <c r="AJ8178">
        <v>0</v>
      </c>
      <c r="AK8178">
        <v>1</v>
      </c>
      <c r="AL8178">
        <v>1</v>
      </c>
      <c r="AM8178">
        <v>0</v>
      </c>
      <c r="AN8178">
        <v>0</v>
      </c>
      <c r="AO8178">
        <v>1</v>
      </c>
      <c r="AP8178">
        <v>1</v>
      </c>
      <c r="AQ8178">
        <v>1</v>
      </c>
      <c r="AU8178">
        <v>1</v>
      </c>
      <c r="AV8178">
        <v>1</v>
      </c>
      <c r="AW8178">
        <v>0</v>
      </c>
    </row>
    <row r="8179" spans="1:49" x14ac:dyDescent="0.25">
      <c r="A8179" t="str">
        <f>"8175"</f>
        <v>8175</v>
      </c>
      <c r="B8179" t="str">
        <f t="shared" si="476"/>
        <v>1</v>
      </c>
      <c r="C8179" t="str">
        <f t="shared" si="477"/>
        <v>360</v>
      </c>
      <c r="D8179" t="str">
        <f>"13"</f>
        <v>13</v>
      </c>
      <c r="E8179" t="str">
        <f>"1-360-13"</f>
        <v>1-360-13</v>
      </c>
      <c r="F8179" t="s">
        <v>83</v>
      </c>
      <c r="G8179" t="s">
        <v>86</v>
      </c>
      <c r="H8179" t="s">
        <v>87</v>
      </c>
      <c r="AC8179">
        <v>0</v>
      </c>
      <c r="AD8179">
        <v>0</v>
      </c>
      <c r="AE8179">
        <v>0</v>
      </c>
      <c r="AF8179">
        <v>0</v>
      </c>
      <c r="AH8179">
        <v>1</v>
      </c>
      <c r="AI8179">
        <v>0</v>
      </c>
      <c r="AJ8179">
        <v>0</v>
      </c>
      <c r="AK8179">
        <v>1</v>
      </c>
      <c r="AL8179">
        <v>0</v>
      </c>
      <c r="AM8179">
        <v>0</v>
      </c>
      <c r="AN8179">
        <v>1</v>
      </c>
      <c r="AO8179">
        <v>0</v>
      </c>
      <c r="AP8179">
        <v>0</v>
      </c>
      <c r="AQ8179">
        <v>0</v>
      </c>
      <c r="AU8179">
        <v>0</v>
      </c>
      <c r="AV8179">
        <v>0</v>
      </c>
      <c r="AW8179">
        <v>0</v>
      </c>
    </row>
    <row r="8180" spans="1:49" x14ac:dyDescent="0.25">
      <c r="A8180" t="str">
        <f>"8176"</f>
        <v>8176</v>
      </c>
      <c r="B8180" t="str">
        <f t="shared" si="476"/>
        <v>1</v>
      </c>
      <c r="C8180" t="str">
        <f t="shared" si="477"/>
        <v>360</v>
      </c>
      <c r="D8180" t="str">
        <f>"9"</f>
        <v>9</v>
      </c>
      <c r="E8180" t="str">
        <f>"1-360-9"</f>
        <v>1-360-9</v>
      </c>
      <c r="F8180" t="s">
        <v>83</v>
      </c>
      <c r="G8180" t="s">
        <v>86</v>
      </c>
      <c r="H8180" t="s">
        <v>87</v>
      </c>
      <c r="AC8180">
        <v>1</v>
      </c>
      <c r="AD8180">
        <v>0</v>
      </c>
      <c r="AE8180">
        <v>0</v>
      </c>
      <c r="AF8180">
        <v>0</v>
      </c>
      <c r="AH8180">
        <v>0</v>
      </c>
      <c r="AI8180">
        <v>1</v>
      </c>
      <c r="AJ8180">
        <v>0</v>
      </c>
      <c r="AK8180">
        <v>0</v>
      </c>
      <c r="AL8180">
        <v>0</v>
      </c>
      <c r="AM8180">
        <v>0</v>
      </c>
      <c r="AN8180">
        <v>0</v>
      </c>
      <c r="AO8180">
        <v>0</v>
      </c>
      <c r="AP8180">
        <v>0</v>
      </c>
      <c r="AQ8180">
        <v>0</v>
      </c>
      <c r="AU8180">
        <v>0</v>
      </c>
      <c r="AV8180">
        <v>0</v>
      </c>
      <c r="AW8180">
        <v>0</v>
      </c>
    </row>
    <row r="8181" spans="1:49" x14ac:dyDescent="0.25">
      <c r="A8181" t="str">
        <f>"8177"</f>
        <v>8177</v>
      </c>
      <c r="B8181" t="str">
        <f t="shared" si="476"/>
        <v>1</v>
      </c>
      <c r="C8181" t="str">
        <f t="shared" si="477"/>
        <v>360</v>
      </c>
      <c r="D8181" t="str">
        <f>"4"</f>
        <v>4</v>
      </c>
      <c r="E8181" t="str">
        <f>"1-360-4"</f>
        <v>1-360-4</v>
      </c>
      <c r="F8181" t="s">
        <v>83</v>
      </c>
      <c r="G8181" t="s">
        <v>86</v>
      </c>
      <c r="H8181" t="s">
        <v>87</v>
      </c>
      <c r="AC8181">
        <v>0</v>
      </c>
      <c r="AD8181">
        <v>0</v>
      </c>
      <c r="AE8181">
        <v>0</v>
      </c>
      <c r="AF8181">
        <v>0</v>
      </c>
      <c r="AH8181">
        <v>0</v>
      </c>
      <c r="AI8181">
        <v>1</v>
      </c>
      <c r="AJ8181">
        <v>0</v>
      </c>
      <c r="AK8181">
        <v>0</v>
      </c>
      <c r="AL8181">
        <v>0</v>
      </c>
      <c r="AM8181">
        <v>0</v>
      </c>
      <c r="AN8181">
        <v>0</v>
      </c>
      <c r="AO8181">
        <v>0</v>
      </c>
      <c r="AP8181">
        <v>0</v>
      </c>
      <c r="AQ8181">
        <v>0</v>
      </c>
      <c r="AU8181">
        <v>0</v>
      </c>
      <c r="AV8181">
        <v>0</v>
      </c>
      <c r="AW8181">
        <v>0</v>
      </c>
    </row>
    <row r="8182" spans="1:49" x14ac:dyDescent="0.25">
      <c r="A8182" t="str">
        <f>"8178"</f>
        <v>8178</v>
      </c>
      <c r="B8182" t="str">
        <f t="shared" si="476"/>
        <v>1</v>
      </c>
      <c r="C8182" t="str">
        <f t="shared" si="477"/>
        <v>360</v>
      </c>
      <c r="D8182" t="str">
        <f>"16"</f>
        <v>16</v>
      </c>
      <c r="E8182" t="str">
        <f>"1-360-16"</f>
        <v>1-360-16</v>
      </c>
      <c r="F8182" t="s">
        <v>83</v>
      </c>
      <c r="G8182" t="s">
        <v>86</v>
      </c>
      <c r="H8182" t="s">
        <v>87</v>
      </c>
      <c r="AC8182">
        <v>0</v>
      </c>
      <c r="AD8182">
        <v>0</v>
      </c>
      <c r="AE8182">
        <v>0</v>
      </c>
      <c r="AF8182">
        <v>0</v>
      </c>
      <c r="AH8182">
        <v>0</v>
      </c>
      <c r="AI8182">
        <v>1</v>
      </c>
      <c r="AJ8182">
        <v>0</v>
      </c>
      <c r="AK8182">
        <v>0</v>
      </c>
      <c r="AL8182">
        <v>0</v>
      </c>
      <c r="AM8182">
        <v>0</v>
      </c>
      <c r="AN8182">
        <v>0</v>
      </c>
      <c r="AO8182">
        <v>0</v>
      </c>
      <c r="AP8182">
        <v>0</v>
      </c>
      <c r="AQ8182">
        <v>0</v>
      </c>
      <c r="AU8182">
        <v>0</v>
      </c>
      <c r="AV8182">
        <v>0</v>
      </c>
      <c r="AW8182">
        <v>0</v>
      </c>
    </row>
    <row r="8183" spans="1:49" x14ac:dyDescent="0.25">
      <c r="A8183" t="str">
        <f>"8179"</f>
        <v>8179</v>
      </c>
      <c r="B8183" t="str">
        <f t="shared" si="476"/>
        <v>1</v>
      </c>
      <c r="C8183" t="str">
        <f t="shared" si="477"/>
        <v>360</v>
      </c>
      <c r="D8183" t="str">
        <f>"10"</f>
        <v>10</v>
      </c>
      <c r="E8183" t="str">
        <f>"1-360-10"</f>
        <v>1-360-10</v>
      </c>
      <c r="F8183" t="s">
        <v>83</v>
      </c>
      <c r="G8183" t="s">
        <v>86</v>
      </c>
      <c r="H8183" t="s">
        <v>93</v>
      </c>
      <c r="I8183">
        <v>1</v>
      </c>
      <c r="K8183">
        <v>1</v>
      </c>
      <c r="L8183">
        <v>0</v>
      </c>
      <c r="M8183">
        <v>0</v>
      </c>
      <c r="N8183">
        <v>1</v>
      </c>
      <c r="O8183">
        <v>1</v>
      </c>
      <c r="P8183">
        <v>1</v>
      </c>
      <c r="Q8183">
        <v>1</v>
      </c>
      <c r="R8183">
        <v>1</v>
      </c>
      <c r="U8183">
        <v>0</v>
      </c>
      <c r="V8183">
        <v>1</v>
      </c>
      <c r="W8183">
        <v>1</v>
      </c>
      <c r="X8183">
        <v>1</v>
      </c>
      <c r="Y8183">
        <v>1</v>
      </c>
      <c r="Z8183">
        <v>1</v>
      </c>
      <c r="AA8183">
        <v>1</v>
      </c>
      <c r="AB8183">
        <v>1</v>
      </c>
    </row>
    <row r="8184" spans="1:49" x14ac:dyDescent="0.25">
      <c r="A8184" t="str">
        <f>"8180"</f>
        <v>8180</v>
      </c>
      <c r="B8184" t="str">
        <f t="shared" si="476"/>
        <v>1</v>
      </c>
      <c r="C8184" t="str">
        <f t="shared" si="477"/>
        <v>360</v>
      </c>
      <c r="D8184" t="str">
        <f>"7"</f>
        <v>7</v>
      </c>
      <c r="E8184" t="str">
        <f>"1-360-7"</f>
        <v>1-360-7</v>
      </c>
      <c r="F8184" t="s">
        <v>83</v>
      </c>
      <c r="G8184" t="s">
        <v>86</v>
      </c>
      <c r="H8184" t="s">
        <v>93</v>
      </c>
      <c r="I8184">
        <v>1</v>
      </c>
      <c r="K8184">
        <v>0</v>
      </c>
      <c r="L8184">
        <v>0</v>
      </c>
      <c r="M8184">
        <v>1</v>
      </c>
      <c r="N8184">
        <v>1</v>
      </c>
      <c r="O8184">
        <v>1</v>
      </c>
      <c r="P8184">
        <v>1</v>
      </c>
      <c r="Q8184">
        <v>1</v>
      </c>
      <c r="R8184">
        <v>1</v>
      </c>
      <c r="U8184">
        <v>0</v>
      </c>
      <c r="V8184">
        <v>0</v>
      </c>
      <c r="W8184">
        <v>1</v>
      </c>
      <c r="X8184">
        <v>1</v>
      </c>
      <c r="Y8184">
        <v>1</v>
      </c>
      <c r="Z8184">
        <v>1</v>
      </c>
      <c r="AA8184">
        <v>1</v>
      </c>
      <c r="AB8184">
        <v>1</v>
      </c>
    </row>
    <row r="8185" spans="1:49" x14ac:dyDescent="0.25">
      <c r="A8185" t="str">
        <f>"8181"</f>
        <v>8181</v>
      </c>
      <c r="B8185" t="str">
        <f t="shared" si="476"/>
        <v>1</v>
      </c>
      <c r="C8185" t="str">
        <f t="shared" si="477"/>
        <v>360</v>
      </c>
      <c r="D8185" t="str">
        <f>"25"</f>
        <v>25</v>
      </c>
      <c r="E8185" t="str">
        <f>"1-360-25"</f>
        <v>1-360-25</v>
      </c>
      <c r="F8185" t="s">
        <v>83</v>
      </c>
      <c r="G8185" t="s">
        <v>86</v>
      </c>
      <c r="H8185" t="s">
        <v>87</v>
      </c>
      <c r="AC8185">
        <v>0</v>
      </c>
      <c r="AD8185">
        <v>0</v>
      </c>
      <c r="AE8185">
        <v>0</v>
      </c>
      <c r="AF8185">
        <v>0</v>
      </c>
      <c r="AH8185">
        <v>0</v>
      </c>
      <c r="AI8185">
        <v>1</v>
      </c>
      <c r="AJ8185">
        <v>0</v>
      </c>
      <c r="AK8185">
        <v>0</v>
      </c>
      <c r="AL8185">
        <v>0</v>
      </c>
      <c r="AM8185">
        <v>0</v>
      </c>
      <c r="AN8185">
        <v>0</v>
      </c>
      <c r="AO8185">
        <v>0</v>
      </c>
      <c r="AP8185">
        <v>0</v>
      </c>
      <c r="AQ8185">
        <v>0</v>
      </c>
      <c r="AU8185">
        <v>0</v>
      </c>
      <c r="AV8185">
        <v>0</v>
      </c>
      <c r="AW8185">
        <v>0</v>
      </c>
    </row>
    <row r="8186" spans="1:49" x14ac:dyDescent="0.25">
      <c r="A8186" t="str">
        <f>"8182"</f>
        <v>8182</v>
      </c>
      <c r="B8186" t="str">
        <f t="shared" si="476"/>
        <v>1</v>
      </c>
      <c r="C8186" t="str">
        <f t="shared" si="477"/>
        <v>360</v>
      </c>
      <c r="D8186" t="str">
        <f>"24"</f>
        <v>24</v>
      </c>
      <c r="E8186" t="str">
        <f>"1-360-24"</f>
        <v>1-360-24</v>
      </c>
      <c r="F8186" t="s">
        <v>83</v>
      </c>
      <c r="G8186" t="s">
        <v>84</v>
      </c>
      <c r="H8186" t="s">
        <v>85</v>
      </c>
      <c r="AC8186">
        <v>0</v>
      </c>
      <c r="AD8186">
        <v>1</v>
      </c>
      <c r="AE8186">
        <v>0</v>
      </c>
      <c r="AF8186">
        <v>0</v>
      </c>
      <c r="AG8186">
        <v>1</v>
      </c>
      <c r="AJ8186">
        <v>0</v>
      </c>
      <c r="AK8186">
        <v>1</v>
      </c>
      <c r="AL8186">
        <v>0</v>
      </c>
      <c r="AM8186">
        <v>0</v>
      </c>
      <c r="AN8186">
        <v>1</v>
      </c>
      <c r="AO8186">
        <v>1</v>
      </c>
      <c r="AP8186">
        <v>1</v>
      </c>
      <c r="AQ8186">
        <v>1</v>
      </c>
      <c r="AR8186">
        <v>1</v>
      </c>
      <c r="AS8186">
        <v>0</v>
      </c>
      <c r="AT8186">
        <v>1</v>
      </c>
      <c r="AV8186">
        <v>0</v>
      </c>
      <c r="AW8186">
        <v>1</v>
      </c>
    </row>
    <row r="8187" spans="1:49" x14ac:dyDescent="0.25">
      <c r="A8187" t="str">
        <f>"8183"</f>
        <v>8183</v>
      </c>
      <c r="B8187" t="str">
        <f t="shared" si="476"/>
        <v>1</v>
      </c>
      <c r="C8187" t="str">
        <f t="shared" si="477"/>
        <v>360</v>
      </c>
      <c r="D8187" t="str">
        <f>"15"</f>
        <v>15</v>
      </c>
      <c r="E8187" t="str">
        <f>"1-360-15"</f>
        <v>1-360-15</v>
      </c>
      <c r="F8187" t="s">
        <v>83</v>
      </c>
      <c r="G8187" t="s">
        <v>86</v>
      </c>
      <c r="H8187" t="s">
        <v>87</v>
      </c>
      <c r="AC8187">
        <v>0</v>
      </c>
      <c r="AD8187">
        <v>0</v>
      </c>
      <c r="AE8187">
        <v>0</v>
      </c>
      <c r="AF8187">
        <v>0</v>
      </c>
      <c r="AH8187">
        <v>0</v>
      </c>
      <c r="AI8187">
        <v>1</v>
      </c>
      <c r="AJ8187">
        <v>0</v>
      </c>
      <c r="AK8187">
        <v>0</v>
      </c>
      <c r="AL8187">
        <v>0</v>
      </c>
      <c r="AM8187">
        <v>0</v>
      </c>
      <c r="AN8187">
        <v>0</v>
      </c>
      <c r="AO8187">
        <v>0</v>
      </c>
      <c r="AP8187">
        <v>0</v>
      </c>
      <c r="AQ8187">
        <v>0</v>
      </c>
      <c r="AU8187">
        <v>0</v>
      </c>
      <c r="AV8187">
        <v>0</v>
      </c>
      <c r="AW8187">
        <v>0</v>
      </c>
    </row>
    <row r="8188" spans="1:49" x14ac:dyDescent="0.25">
      <c r="A8188" t="str">
        <f>"8184"</f>
        <v>8184</v>
      </c>
      <c r="B8188" t="str">
        <f t="shared" si="476"/>
        <v>1</v>
      </c>
      <c r="C8188" t="str">
        <f t="shared" si="477"/>
        <v>360</v>
      </c>
      <c r="D8188" t="str">
        <f>"11"</f>
        <v>11</v>
      </c>
      <c r="E8188" t="str">
        <f>"1-360-11"</f>
        <v>1-360-11</v>
      </c>
      <c r="F8188" t="s">
        <v>83</v>
      </c>
      <c r="G8188" t="s">
        <v>86</v>
      </c>
      <c r="H8188" t="s">
        <v>87</v>
      </c>
      <c r="AC8188">
        <v>1</v>
      </c>
      <c r="AD8188">
        <v>0</v>
      </c>
      <c r="AE8188">
        <v>0</v>
      </c>
      <c r="AF8188">
        <v>0</v>
      </c>
      <c r="AH8188">
        <v>1</v>
      </c>
      <c r="AI8188">
        <v>0</v>
      </c>
      <c r="AJ8188">
        <v>0</v>
      </c>
      <c r="AK8188">
        <v>0</v>
      </c>
      <c r="AL8188">
        <v>1</v>
      </c>
      <c r="AM8188">
        <v>0</v>
      </c>
      <c r="AN8188">
        <v>0</v>
      </c>
      <c r="AO8188">
        <v>0</v>
      </c>
      <c r="AP8188">
        <v>0</v>
      </c>
      <c r="AQ8188">
        <v>0</v>
      </c>
      <c r="AU8188">
        <v>0</v>
      </c>
      <c r="AV8188">
        <v>0</v>
      </c>
      <c r="AW8188">
        <v>1</v>
      </c>
    </row>
    <row r="8189" spans="1:49" x14ac:dyDescent="0.25">
      <c r="A8189" t="str">
        <f>"8185"</f>
        <v>8185</v>
      </c>
      <c r="B8189" t="str">
        <f t="shared" si="476"/>
        <v>1</v>
      </c>
      <c r="C8189" t="str">
        <f t="shared" si="477"/>
        <v>360</v>
      </c>
      <c r="D8189" t="str">
        <f>"2"</f>
        <v>2</v>
      </c>
      <c r="E8189" t="str">
        <f>"1-360-2"</f>
        <v>1-360-2</v>
      </c>
      <c r="F8189" t="s">
        <v>83</v>
      </c>
      <c r="G8189" t="s">
        <v>86</v>
      </c>
      <c r="H8189" t="s">
        <v>87</v>
      </c>
      <c r="AC8189">
        <v>0</v>
      </c>
      <c r="AD8189">
        <v>1</v>
      </c>
      <c r="AE8189">
        <v>0</v>
      </c>
      <c r="AF8189">
        <v>0</v>
      </c>
      <c r="AH8189">
        <v>0</v>
      </c>
      <c r="AI8189">
        <v>1</v>
      </c>
      <c r="AJ8189">
        <v>0</v>
      </c>
      <c r="AK8189">
        <v>1</v>
      </c>
      <c r="AL8189">
        <v>0</v>
      </c>
      <c r="AM8189">
        <v>0</v>
      </c>
      <c r="AN8189">
        <v>1</v>
      </c>
      <c r="AO8189">
        <v>0</v>
      </c>
      <c r="AP8189">
        <v>0</v>
      </c>
      <c r="AQ8189">
        <v>0</v>
      </c>
      <c r="AU8189">
        <v>0</v>
      </c>
      <c r="AV8189">
        <v>0</v>
      </c>
      <c r="AW8189">
        <v>0</v>
      </c>
    </row>
    <row r="8190" spans="1:49" x14ac:dyDescent="0.25">
      <c r="A8190" t="str">
        <f>"8186"</f>
        <v>8186</v>
      </c>
      <c r="B8190" t="str">
        <f t="shared" si="476"/>
        <v>1</v>
      </c>
      <c r="C8190" t="str">
        <f t="shared" si="477"/>
        <v>360</v>
      </c>
      <c r="D8190" t="str">
        <f>"19"</f>
        <v>19</v>
      </c>
      <c r="E8190" t="str">
        <f>"1-360-19"</f>
        <v>1-360-19</v>
      </c>
      <c r="F8190" t="s">
        <v>83</v>
      </c>
      <c r="G8190" t="s">
        <v>86</v>
      </c>
      <c r="H8190" t="s">
        <v>87</v>
      </c>
      <c r="AC8190">
        <v>0</v>
      </c>
      <c r="AD8190">
        <v>0</v>
      </c>
      <c r="AE8190">
        <v>0</v>
      </c>
      <c r="AF8190">
        <v>0</v>
      </c>
      <c r="AH8190">
        <v>0</v>
      </c>
      <c r="AI8190">
        <v>1</v>
      </c>
      <c r="AJ8190">
        <v>0</v>
      </c>
      <c r="AK8190">
        <v>0</v>
      </c>
      <c r="AL8190">
        <v>0</v>
      </c>
      <c r="AM8190">
        <v>0</v>
      </c>
      <c r="AN8190">
        <v>0</v>
      </c>
      <c r="AO8190">
        <v>0</v>
      </c>
      <c r="AP8190">
        <v>0</v>
      </c>
      <c r="AQ8190">
        <v>0</v>
      </c>
      <c r="AU8190">
        <v>0</v>
      </c>
      <c r="AV8190">
        <v>0</v>
      </c>
      <c r="AW8190">
        <v>0</v>
      </c>
    </row>
    <row r="8191" spans="1:49" x14ac:dyDescent="0.25">
      <c r="A8191" t="str">
        <f>"8187"</f>
        <v>8187</v>
      </c>
      <c r="B8191" t="str">
        <f t="shared" si="476"/>
        <v>1</v>
      </c>
      <c r="C8191" t="str">
        <f t="shared" si="477"/>
        <v>360</v>
      </c>
      <c r="D8191" t="str">
        <f>"12"</f>
        <v>12</v>
      </c>
      <c r="E8191" t="str">
        <f>"1-360-12"</f>
        <v>1-360-12</v>
      </c>
      <c r="F8191" t="s">
        <v>83</v>
      </c>
      <c r="G8191" t="s">
        <v>86</v>
      </c>
      <c r="H8191" t="s">
        <v>87</v>
      </c>
      <c r="AC8191">
        <v>0</v>
      </c>
      <c r="AD8191">
        <v>0</v>
      </c>
      <c r="AE8191">
        <v>0</v>
      </c>
      <c r="AF8191">
        <v>0</v>
      </c>
      <c r="AH8191">
        <v>0</v>
      </c>
      <c r="AI8191">
        <v>1</v>
      </c>
      <c r="AJ8191">
        <v>0</v>
      </c>
      <c r="AK8191">
        <v>0</v>
      </c>
      <c r="AL8191">
        <v>0</v>
      </c>
      <c r="AM8191">
        <v>0</v>
      </c>
      <c r="AN8191">
        <v>0</v>
      </c>
      <c r="AO8191">
        <v>0</v>
      </c>
      <c r="AP8191">
        <v>0</v>
      </c>
      <c r="AQ8191">
        <v>0</v>
      </c>
      <c r="AU8191">
        <v>0</v>
      </c>
      <c r="AV8191">
        <v>0</v>
      </c>
      <c r="AW8191">
        <v>0</v>
      </c>
    </row>
    <row r="8192" spans="1:49" x14ac:dyDescent="0.25">
      <c r="A8192" t="str">
        <f>"8188"</f>
        <v>8188</v>
      </c>
      <c r="B8192" t="str">
        <f t="shared" si="476"/>
        <v>1</v>
      </c>
      <c r="C8192" t="str">
        <f t="shared" si="477"/>
        <v>360</v>
      </c>
      <c r="D8192" t="str">
        <f>"1"</f>
        <v>1</v>
      </c>
      <c r="E8192" t="str">
        <f>"1-360-1"</f>
        <v>1-360-1</v>
      </c>
      <c r="F8192" t="s">
        <v>83</v>
      </c>
      <c r="G8192" t="s">
        <v>86</v>
      </c>
      <c r="H8192" t="s">
        <v>87</v>
      </c>
      <c r="AC8192">
        <v>0</v>
      </c>
      <c r="AD8192">
        <v>0</v>
      </c>
      <c r="AE8192">
        <v>0</v>
      </c>
      <c r="AF8192">
        <v>0</v>
      </c>
      <c r="AH8192">
        <v>0</v>
      </c>
      <c r="AI8192">
        <v>1</v>
      </c>
      <c r="AJ8192">
        <v>0</v>
      </c>
      <c r="AK8192">
        <v>0</v>
      </c>
      <c r="AL8192">
        <v>0</v>
      </c>
      <c r="AM8192">
        <v>0</v>
      </c>
      <c r="AN8192">
        <v>0</v>
      </c>
      <c r="AO8192">
        <v>0</v>
      </c>
      <c r="AP8192">
        <v>0</v>
      </c>
      <c r="AQ8192">
        <v>0</v>
      </c>
      <c r="AU8192">
        <v>0</v>
      </c>
      <c r="AV8192">
        <v>0</v>
      </c>
      <c r="AW8192">
        <v>0</v>
      </c>
    </row>
    <row r="8193" spans="1:49" x14ac:dyDescent="0.25">
      <c r="A8193" t="str">
        <f>"8189"</f>
        <v>8189</v>
      </c>
      <c r="B8193" t="str">
        <f t="shared" si="476"/>
        <v>1</v>
      </c>
      <c r="C8193" t="str">
        <f t="shared" si="477"/>
        <v>360</v>
      </c>
      <c r="D8193" t="str">
        <f>"17"</f>
        <v>17</v>
      </c>
      <c r="E8193" t="str">
        <f>"1-360-17"</f>
        <v>1-360-17</v>
      </c>
      <c r="F8193" t="s">
        <v>83</v>
      </c>
      <c r="G8193" t="s">
        <v>86</v>
      </c>
      <c r="H8193" t="s">
        <v>87</v>
      </c>
      <c r="AC8193">
        <v>0</v>
      </c>
      <c r="AD8193">
        <v>1</v>
      </c>
      <c r="AE8193">
        <v>0</v>
      </c>
      <c r="AF8193">
        <v>0</v>
      </c>
      <c r="AH8193">
        <v>1</v>
      </c>
      <c r="AI8193">
        <v>0</v>
      </c>
      <c r="AJ8193">
        <v>1</v>
      </c>
      <c r="AK8193">
        <v>0</v>
      </c>
      <c r="AL8193">
        <v>0</v>
      </c>
      <c r="AM8193">
        <v>1</v>
      </c>
      <c r="AN8193">
        <v>0</v>
      </c>
      <c r="AO8193">
        <v>1</v>
      </c>
      <c r="AP8193">
        <v>1</v>
      </c>
      <c r="AQ8193">
        <v>1</v>
      </c>
      <c r="AU8193">
        <v>1</v>
      </c>
      <c r="AV8193">
        <v>1</v>
      </c>
      <c r="AW8193">
        <v>1</v>
      </c>
    </row>
    <row r="8194" spans="1:49" x14ac:dyDescent="0.25">
      <c r="A8194" t="str">
        <f>"8190"</f>
        <v>8190</v>
      </c>
      <c r="B8194" t="str">
        <f t="shared" si="476"/>
        <v>1</v>
      </c>
      <c r="C8194" t="str">
        <f t="shared" si="477"/>
        <v>360</v>
      </c>
      <c r="D8194" t="str">
        <f>"3"</f>
        <v>3</v>
      </c>
      <c r="E8194" t="str">
        <f>"1-360-3"</f>
        <v>1-360-3</v>
      </c>
      <c r="F8194" t="s">
        <v>83</v>
      </c>
      <c r="G8194" t="s">
        <v>86</v>
      </c>
      <c r="H8194" t="s">
        <v>87</v>
      </c>
      <c r="AC8194">
        <v>1</v>
      </c>
      <c r="AD8194">
        <v>0</v>
      </c>
      <c r="AE8194">
        <v>0</v>
      </c>
      <c r="AF8194">
        <v>0</v>
      </c>
      <c r="AH8194">
        <v>1</v>
      </c>
      <c r="AI8194">
        <v>0</v>
      </c>
      <c r="AJ8194">
        <v>0</v>
      </c>
      <c r="AK8194">
        <v>1</v>
      </c>
      <c r="AL8194">
        <v>1</v>
      </c>
      <c r="AM8194">
        <v>0</v>
      </c>
      <c r="AN8194">
        <v>0</v>
      </c>
      <c r="AO8194">
        <v>0</v>
      </c>
      <c r="AP8194">
        <v>0</v>
      </c>
      <c r="AQ8194">
        <v>0</v>
      </c>
      <c r="AU8194">
        <v>0</v>
      </c>
      <c r="AV8194">
        <v>0</v>
      </c>
      <c r="AW8194">
        <v>0</v>
      </c>
    </row>
    <row r="8195" spans="1:49" x14ac:dyDescent="0.25">
      <c r="A8195" t="str">
        <f>"8191"</f>
        <v>8191</v>
      </c>
      <c r="B8195" t="str">
        <f t="shared" si="476"/>
        <v>1</v>
      </c>
      <c r="C8195" t="str">
        <f t="shared" si="477"/>
        <v>360</v>
      </c>
      <c r="D8195" t="str">
        <f>"18"</f>
        <v>18</v>
      </c>
      <c r="E8195" t="str">
        <f>"1-360-18"</f>
        <v>1-360-18</v>
      </c>
      <c r="F8195" t="s">
        <v>83</v>
      </c>
      <c r="G8195" t="s">
        <v>86</v>
      </c>
      <c r="H8195" t="s">
        <v>87</v>
      </c>
      <c r="AC8195">
        <v>1</v>
      </c>
      <c r="AD8195">
        <v>0</v>
      </c>
      <c r="AE8195">
        <v>0</v>
      </c>
      <c r="AF8195">
        <v>0</v>
      </c>
      <c r="AH8195">
        <v>0</v>
      </c>
      <c r="AI8195">
        <v>1</v>
      </c>
      <c r="AJ8195">
        <v>0</v>
      </c>
      <c r="AK8195">
        <v>1</v>
      </c>
      <c r="AL8195">
        <v>0</v>
      </c>
      <c r="AM8195">
        <v>0</v>
      </c>
      <c r="AN8195">
        <v>0</v>
      </c>
      <c r="AO8195">
        <v>1</v>
      </c>
      <c r="AP8195">
        <v>1</v>
      </c>
      <c r="AQ8195">
        <v>1</v>
      </c>
      <c r="AU8195">
        <v>1</v>
      </c>
      <c r="AV8195">
        <v>1</v>
      </c>
      <c r="AW8195">
        <v>1</v>
      </c>
    </row>
    <row r="8196" spans="1:49" x14ac:dyDescent="0.25">
      <c r="A8196" t="str">
        <f>"8192"</f>
        <v>8192</v>
      </c>
      <c r="B8196" t="str">
        <f t="shared" si="476"/>
        <v>1</v>
      </c>
      <c r="C8196" t="str">
        <f t="shared" si="477"/>
        <v>360</v>
      </c>
      <c r="D8196" t="str">
        <f>"5"</f>
        <v>5</v>
      </c>
      <c r="E8196" t="str">
        <f>"1-360-5"</f>
        <v>1-360-5</v>
      </c>
      <c r="F8196" t="s">
        <v>83</v>
      </c>
      <c r="G8196" t="s">
        <v>86</v>
      </c>
      <c r="H8196" t="s">
        <v>93</v>
      </c>
      <c r="I8196">
        <v>1</v>
      </c>
      <c r="K8196">
        <v>0</v>
      </c>
      <c r="L8196">
        <v>0</v>
      </c>
      <c r="M8196">
        <v>1</v>
      </c>
      <c r="N8196">
        <v>1</v>
      </c>
      <c r="O8196">
        <v>1</v>
      </c>
      <c r="P8196">
        <v>1</v>
      </c>
      <c r="Q8196">
        <v>1</v>
      </c>
      <c r="R8196">
        <v>1</v>
      </c>
      <c r="U8196">
        <v>0</v>
      </c>
      <c r="V8196">
        <v>1</v>
      </c>
      <c r="W8196">
        <v>1</v>
      </c>
      <c r="X8196">
        <v>1</v>
      </c>
      <c r="Y8196">
        <v>1</v>
      </c>
      <c r="Z8196">
        <v>1</v>
      </c>
      <c r="AA8196">
        <v>1</v>
      </c>
      <c r="AB8196">
        <v>1</v>
      </c>
    </row>
    <row r="8197" spans="1:49" x14ac:dyDescent="0.25">
      <c r="A8197" t="str">
        <f>"8193"</f>
        <v>8193</v>
      </c>
      <c r="B8197" t="str">
        <f t="shared" si="476"/>
        <v>1</v>
      </c>
      <c r="C8197" t="str">
        <f t="shared" ref="C8197:C8205" si="478">"361"</f>
        <v>361</v>
      </c>
      <c r="D8197" t="str">
        <f>"8"</f>
        <v>8</v>
      </c>
      <c r="E8197" t="str">
        <f>"1-361-8"</f>
        <v>1-361-8</v>
      </c>
      <c r="F8197" t="s">
        <v>83</v>
      </c>
      <c r="G8197" t="s">
        <v>84</v>
      </c>
      <c r="H8197" t="s">
        <v>92</v>
      </c>
      <c r="I8197">
        <v>1</v>
      </c>
      <c r="J8197">
        <v>1</v>
      </c>
      <c r="N8197">
        <v>1</v>
      </c>
      <c r="O8197">
        <v>1</v>
      </c>
      <c r="P8197">
        <v>0</v>
      </c>
      <c r="Q8197">
        <v>1</v>
      </c>
      <c r="R8197">
        <v>0</v>
      </c>
      <c r="S8197">
        <v>1</v>
      </c>
      <c r="T8197">
        <v>0</v>
      </c>
      <c r="W8197">
        <v>0</v>
      </c>
      <c r="X8197">
        <v>0</v>
      </c>
      <c r="Y8197">
        <v>0</v>
      </c>
      <c r="Z8197">
        <v>0</v>
      </c>
      <c r="AA8197">
        <v>0</v>
      </c>
      <c r="AB8197">
        <v>0</v>
      </c>
    </row>
    <row r="8198" spans="1:49" x14ac:dyDescent="0.25">
      <c r="A8198" t="str">
        <f>"8194"</f>
        <v>8194</v>
      </c>
      <c r="B8198" t="str">
        <f t="shared" si="476"/>
        <v>1</v>
      </c>
      <c r="C8198" t="str">
        <f t="shared" si="478"/>
        <v>361</v>
      </c>
      <c r="D8198" t="str">
        <f>"5"</f>
        <v>5</v>
      </c>
      <c r="E8198" t="str">
        <f>"1-361-5"</f>
        <v>1-361-5</v>
      </c>
      <c r="F8198" t="s">
        <v>83</v>
      </c>
      <c r="G8198" t="s">
        <v>84</v>
      </c>
      <c r="H8198" t="s">
        <v>92</v>
      </c>
      <c r="I8198">
        <v>1</v>
      </c>
      <c r="J8198">
        <v>1</v>
      </c>
      <c r="N8198">
        <v>1</v>
      </c>
      <c r="O8198">
        <v>1</v>
      </c>
      <c r="P8198">
        <v>1</v>
      </c>
      <c r="Q8198">
        <v>1</v>
      </c>
      <c r="R8198">
        <v>1</v>
      </c>
      <c r="S8198">
        <v>1</v>
      </c>
      <c r="T8198">
        <v>1</v>
      </c>
      <c r="W8198">
        <v>1</v>
      </c>
      <c r="X8198">
        <v>1</v>
      </c>
      <c r="Y8198">
        <v>1</v>
      </c>
      <c r="Z8198">
        <v>1</v>
      </c>
      <c r="AA8198">
        <v>1</v>
      </c>
      <c r="AB8198">
        <v>1</v>
      </c>
    </row>
    <row r="8199" spans="1:49" x14ac:dyDescent="0.25">
      <c r="A8199" t="str">
        <f>"8195"</f>
        <v>8195</v>
      </c>
      <c r="B8199" t="str">
        <f t="shared" si="476"/>
        <v>1</v>
      </c>
      <c r="C8199" t="str">
        <f t="shared" si="478"/>
        <v>361</v>
      </c>
      <c r="D8199" t="str">
        <f>"9"</f>
        <v>9</v>
      </c>
      <c r="E8199" t="str">
        <f>"1-361-9"</f>
        <v>1-361-9</v>
      </c>
      <c r="F8199" t="s">
        <v>83</v>
      </c>
      <c r="G8199" t="s">
        <v>84</v>
      </c>
      <c r="H8199" t="s">
        <v>92</v>
      </c>
      <c r="I8199">
        <v>1</v>
      </c>
      <c r="J8199">
        <v>1</v>
      </c>
      <c r="N8199">
        <v>1</v>
      </c>
      <c r="O8199">
        <v>1</v>
      </c>
      <c r="P8199">
        <v>1</v>
      </c>
      <c r="Q8199">
        <v>1</v>
      </c>
      <c r="R8199">
        <v>1</v>
      </c>
      <c r="S8199">
        <v>1</v>
      </c>
      <c r="T8199">
        <v>1</v>
      </c>
      <c r="W8199">
        <v>1</v>
      </c>
      <c r="X8199">
        <v>1</v>
      </c>
      <c r="Y8199">
        <v>1</v>
      </c>
      <c r="Z8199">
        <v>1</v>
      </c>
      <c r="AA8199">
        <v>1</v>
      </c>
      <c r="AB8199">
        <v>1</v>
      </c>
    </row>
    <row r="8200" spans="1:49" x14ac:dyDescent="0.25">
      <c r="A8200" t="str">
        <f>"8196"</f>
        <v>8196</v>
      </c>
      <c r="B8200" t="str">
        <f t="shared" si="476"/>
        <v>1</v>
      </c>
      <c r="C8200" t="str">
        <f t="shared" si="478"/>
        <v>361</v>
      </c>
      <c r="D8200" t="str">
        <f>"2"</f>
        <v>2</v>
      </c>
      <c r="E8200" t="str">
        <f>"1-361-2"</f>
        <v>1-361-2</v>
      </c>
      <c r="F8200" t="s">
        <v>83</v>
      </c>
      <c r="G8200" t="s">
        <v>84</v>
      </c>
      <c r="H8200" t="s">
        <v>92</v>
      </c>
      <c r="I8200">
        <v>1</v>
      </c>
      <c r="J8200">
        <v>1</v>
      </c>
      <c r="N8200">
        <v>1</v>
      </c>
      <c r="O8200">
        <v>1</v>
      </c>
      <c r="P8200">
        <v>1</v>
      </c>
      <c r="Q8200">
        <v>1</v>
      </c>
      <c r="R8200">
        <v>1</v>
      </c>
      <c r="S8200">
        <v>1</v>
      </c>
      <c r="T8200">
        <v>1</v>
      </c>
      <c r="W8200">
        <v>1</v>
      </c>
      <c r="X8200">
        <v>1</v>
      </c>
      <c r="Y8200">
        <v>1</v>
      </c>
      <c r="Z8200">
        <v>1</v>
      </c>
      <c r="AA8200">
        <v>1</v>
      </c>
      <c r="AB8200">
        <v>1</v>
      </c>
    </row>
    <row r="8201" spans="1:49" x14ac:dyDescent="0.25">
      <c r="A8201" t="str">
        <f>"8197"</f>
        <v>8197</v>
      </c>
      <c r="B8201" t="str">
        <f t="shared" si="476"/>
        <v>1</v>
      </c>
      <c r="C8201" t="str">
        <f t="shared" si="478"/>
        <v>361</v>
      </c>
      <c r="D8201" t="str">
        <f>"4"</f>
        <v>4</v>
      </c>
      <c r="E8201" t="str">
        <f>"1-361-4"</f>
        <v>1-361-4</v>
      </c>
      <c r="F8201" t="s">
        <v>83</v>
      </c>
      <c r="G8201" t="s">
        <v>84</v>
      </c>
      <c r="H8201" t="s">
        <v>92</v>
      </c>
      <c r="I8201">
        <v>1</v>
      </c>
      <c r="J8201">
        <v>1</v>
      </c>
      <c r="N8201">
        <v>1</v>
      </c>
      <c r="O8201">
        <v>1</v>
      </c>
      <c r="P8201">
        <v>1</v>
      </c>
      <c r="Q8201">
        <v>1</v>
      </c>
      <c r="R8201">
        <v>1</v>
      </c>
      <c r="S8201">
        <v>1</v>
      </c>
      <c r="T8201">
        <v>1</v>
      </c>
      <c r="W8201">
        <v>1</v>
      </c>
      <c r="X8201">
        <v>1</v>
      </c>
      <c r="Y8201">
        <v>0</v>
      </c>
      <c r="Z8201">
        <v>1</v>
      </c>
      <c r="AA8201">
        <v>1</v>
      </c>
      <c r="AB8201">
        <v>1</v>
      </c>
    </row>
    <row r="8202" spans="1:49" x14ac:dyDescent="0.25">
      <c r="A8202" t="str">
        <f>"8198"</f>
        <v>8198</v>
      </c>
      <c r="B8202" t="str">
        <f t="shared" si="476"/>
        <v>1</v>
      </c>
      <c r="C8202" t="str">
        <f t="shared" si="478"/>
        <v>361</v>
      </c>
      <c r="D8202" t="str">
        <f>"6"</f>
        <v>6</v>
      </c>
      <c r="E8202" t="str">
        <f>"1-361-6"</f>
        <v>1-361-6</v>
      </c>
      <c r="F8202" t="s">
        <v>83</v>
      </c>
      <c r="G8202" t="s">
        <v>84</v>
      </c>
      <c r="H8202" t="s">
        <v>92</v>
      </c>
      <c r="I8202">
        <v>1</v>
      </c>
      <c r="J8202">
        <v>1</v>
      </c>
      <c r="N8202">
        <v>1</v>
      </c>
      <c r="O8202">
        <v>1</v>
      </c>
      <c r="P8202">
        <v>1</v>
      </c>
      <c r="Q8202">
        <v>1</v>
      </c>
      <c r="R8202">
        <v>1</v>
      </c>
      <c r="S8202">
        <v>1</v>
      </c>
      <c r="T8202">
        <v>1</v>
      </c>
      <c r="W8202">
        <v>1</v>
      </c>
      <c r="X8202">
        <v>1</v>
      </c>
      <c r="Y8202">
        <v>1</v>
      </c>
      <c r="Z8202">
        <v>1</v>
      </c>
      <c r="AA8202">
        <v>1</v>
      </c>
      <c r="AB8202">
        <v>1</v>
      </c>
    </row>
    <row r="8203" spans="1:49" x14ac:dyDescent="0.25">
      <c r="A8203" t="str">
        <f>"8199"</f>
        <v>8199</v>
      </c>
      <c r="B8203" t="str">
        <f t="shared" si="476"/>
        <v>1</v>
      </c>
      <c r="C8203" t="str">
        <f t="shared" si="478"/>
        <v>361</v>
      </c>
      <c r="D8203" t="str">
        <f>"1"</f>
        <v>1</v>
      </c>
      <c r="E8203" t="str">
        <f>"1-361-1"</f>
        <v>1-361-1</v>
      </c>
      <c r="F8203" t="s">
        <v>83</v>
      </c>
      <c r="G8203" t="s">
        <v>84</v>
      </c>
      <c r="H8203" t="s">
        <v>92</v>
      </c>
      <c r="I8203">
        <v>1</v>
      </c>
      <c r="J8203">
        <v>1</v>
      </c>
      <c r="N8203">
        <v>1</v>
      </c>
      <c r="O8203">
        <v>1</v>
      </c>
      <c r="P8203">
        <v>1</v>
      </c>
      <c r="Q8203">
        <v>1</v>
      </c>
      <c r="R8203">
        <v>1</v>
      </c>
      <c r="S8203">
        <v>1</v>
      </c>
      <c r="T8203">
        <v>1</v>
      </c>
      <c r="W8203">
        <v>1</v>
      </c>
      <c r="X8203">
        <v>1</v>
      </c>
      <c r="Y8203">
        <v>1</v>
      </c>
      <c r="Z8203">
        <v>1</v>
      </c>
      <c r="AA8203">
        <v>1</v>
      </c>
      <c r="AB8203">
        <v>1</v>
      </c>
    </row>
    <row r="8204" spans="1:49" x14ac:dyDescent="0.25">
      <c r="A8204" t="str">
        <f>"8200"</f>
        <v>8200</v>
      </c>
      <c r="B8204" t="str">
        <f t="shared" si="476"/>
        <v>1</v>
      </c>
      <c r="C8204" t="str">
        <f t="shared" si="478"/>
        <v>361</v>
      </c>
      <c r="D8204" t="str">
        <f>"7"</f>
        <v>7</v>
      </c>
      <c r="E8204" t="str">
        <f>"1-361-7"</f>
        <v>1-361-7</v>
      </c>
      <c r="F8204" t="s">
        <v>83</v>
      </c>
      <c r="G8204" t="s">
        <v>84</v>
      </c>
      <c r="H8204" t="s">
        <v>92</v>
      </c>
      <c r="I8204">
        <v>1</v>
      </c>
      <c r="J8204">
        <v>0</v>
      </c>
      <c r="N8204">
        <v>1</v>
      </c>
      <c r="O8204">
        <v>1</v>
      </c>
      <c r="P8204">
        <v>1</v>
      </c>
      <c r="Q8204">
        <v>1</v>
      </c>
      <c r="R8204">
        <v>1</v>
      </c>
      <c r="S8204">
        <v>1</v>
      </c>
      <c r="T8204">
        <v>1</v>
      </c>
      <c r="W8204">
        <v>1</v>
      </c>
      <c r="X8204">
        <v>1</v>
      </c>
      <c r="Y8204">
        <v>1</v>
      </c>
      <c r="Z8204">
        <v>1</v>
      </c>
      <c r="AA8204">
        <v>1</v>
      </c>
      <c r="AB8204">
        <v>1</v>
      </c>
    </row>
    <row r="8205" spans="1:49" x14ac:dyDescent="0.25">
      <c r="A8205" t="str">
        <f>"8201"</f>
        <v>8201</v>
      </c>
      <c r="B8205" t="str">
        <f t="shared" si="476"/>
        <v>1</v>
      </c>
      <c r="C8205" t="str">
        <f t="shared" si="478"/>
        <v>361</v>
      </c>
      <c r="D8205" t="str">
        <f>"3"</f>
        <v>3</v>
      </c>
      <c r="E8205" t="str">
        <f>"1-361-3"</f>
        <v>1-361-3</v>
      </c>
      <c r="F8205" t="s">
        <v>83</v>
      </c>
      <c r="G8205" t="s">
        <v>84</v>
      </c>
      <c r="H8205" t="s">
        <v>92</v>
      </c>
      <c r="I8205">
        <v>1</v>
      </c>
      <c r="J8205">
        <v>1</v>
      </c>
      <c r="N8205">
        <v>1</v>
      </c>
      <c r="O8205">
        <v>1</v>
      </c>
      <c r="P8205">
        <v>1</v>
      </c>
      <c r="Q8205">
        <v>1</v>
      </c>
      <c r="R8205">
        <v>1</v>
      </c>
      <c r="S8205">
        <v>1</v>
      </c>
      <c r="T8205">
        <v>1</v>
      </c>
      <c r="W8205">
        <v>1</v>
      </c>
      <c r="X8205">
        <v>1</v>
      </c>
      <c r="Y8205">
        <v>1</v>
      </c>
      <c r="Z8205">
        <v>1</v>
      </c>
      <c r="AA8205">
        <v>1</v>
      </c>
      <c r="AB8205">
        <v>1</v>
      </c>
    </row>
    <row r="8206" spans="1:49" x14ac:dyDescent="0.25">
      <c r="A8206" t="str">
        <f>"8202"</f>
        <v>8202</v>
      </c>
      <c r="B8206" t="str">
        <f t="shared" si="476"/>
        <v>1</v>
      </c>
      <c r="C8206" t="str">
        <f t="shared" ref="C8206:C8230" si="479">"362"</f>
        <v>362</v>
      </c>
      <c r="D8206" t="str">
        <f>"21"</f>
        <v>21</v>
      </c>
      <c r="E8206" t="str">
        <f>"1-362-21"</f>
        <v>1-362-21</v>
      </c>
      <c r="F8206" t="s">
        <v>83</v>
      </c>
      <c r="G8206" t="s">
        <v>84</v>
      </c>
      <c r="H8206" t="s">
        <v>92</v>
      </c>
      <c r="I8206">
        <v>1</v>
      </c>
      <c r="J8206">
        <v>1</v>
      </c>
      <c r="N8206">
        <v>1</v>
      </c>
      <c r="O8206">
        <v>1</v>
      </c>
      <c r="P8206">
        <v>1</v>
      </c>
      <c r="Q8206">
        <v>1</v>
      </c>
      <c r="R8206">
        <v>1</v>
      </c>
      <c r="S8206">
        <v>1</v>
      </c>
      <c r="T8206">
        <v>1</v>
      </c>
      <c r="W8206">
        <v>1</v>
      </c>
      <c r="X8206">
        <v>1</v>
      </c>
      <c r="Y8206">
        <v>1</v>
      </c>
      <c r="Z8206">
        <v>1</v>
      </c>
      <c r="AA8206">
        <v>1</v>
      </c>
      <c r="AB8206">
        <v>1</v>
      </c>
    </row>
    <row r="8207" spans="1:49" x14ac:dyDescent="0.25">
      <c r="A8207" t="str">
        <f>"8203"</f>
        <v>8203</v>
      </c>
      <c r="B8207" t="str">
        <f t="shared" si="476"/>
        <v>1</v>
      </c>
      <c r="C8207" t="str">
        <f t="shared" si="479"/>
        <v>362</v>
      </c>
      <c r="D8207" t="str">
        <f>"20"</f>
        <v>20</v>
      </c>
      <c r="E8207" t="str">
        <f>"1-362-20"</f>
        <v>1-362-20</v>
      </c>
      <c r="F8207" t="s">
        <v>83</v>
      </c>
      <c r="G8207" t="s">
        <v>84</v>
      </c>
      <c r="H8207" t="s">
        <v>92</v>
      </c>
      <c r="I8207">
        <v>1</v>
      </c>
      <c r="J8207">
        <v>1</v>
      </c>
      <c r="N8207">
        <v>1</v>
      </c>
      <c r="O8207">
        <v>0</v>
      </c>
      <c r="P8207">
        <v>0</v>
      </c>
      <c r="Q8207">
        <v>0</v>
      </c>
      <c r="R8207">
        <v>1</v>
      </c>
      <c r="S8207">
        <v>1</v>
      </c>
      <c r="T8207">
        <v>1</v>
      </c>
      <c r="W8207">
        <v>1</v>
      </c>
      <c r="X8207">
        <v>1</v>
      </c>
      <c r="Y8207">
        <v>1</v>
      </c>
      <c r="Z8207">
        <v>1</v>
      </c>
      <c r="AA8207">
        <v>1</v>
      </c>
      <c r="AB8207">
        <v>1</v>
      </c>
    </row>
    <row r="8208" spans="1:49" x14ac:dyDescent="0.25">
      <c r="A8208" t="str">
        <f>"8204"</f>
        <v>8204</v>
      </c>
      <c r="B8208" t="str">
        <f t="shared" si="476"/>
        <v>1</v>
      </c>
      <c r="C8208" t="str">
        <f t="shared" si="479"/>
        <v>362</v>
      </c>
      <c r="D8208" t="str">
        <f>"14"</f>
        <v>14</v>
      </c>
      <c r="E8208" t="str">
        <f>"1-362-14"</f>
        <v>1-362-14</v>
      </c>
      <c r="F8208" t="s">
        <v>83</v>
      </c>
      <c r="G8208" t="s">
        <v>84</v>
      </c>
      <c r="H8208" t="s">
        <v>92</v>
      </c>
      <c r="I8208">
        <v>1</v>
      </c>
      <c r="J8208">
        <v>1</v>
      </c>
      <c r="N8208">
        <v>1</v>
      </c>
      <c r="O8208">
        <v>1</v>
      </c>
      <c r="P8208">
        <v>1</v>
      </c>
      <c r="Q8208">
        <v>1</v>
      </c>
      <c r="R8208">
        <v>1</v>
      </c>
      <c r="S8208">
        <v>1</v>
      </c>
      <c r="T8208">
        <v>1</v>
      </c>
      <c r="W8208">
        <v>1</v>
      </c>
      <c r="X8208">
        <v>1</v>
      </c>
      <c r="Y8208">
        <v>1</v>
      </c>
      <c r="Z8208">
        <v>1</v>
      </c>
      <c r="AA8208">
        <v>1</v>
      </c>
      <c r="AB8208">
        <v>1</v>
      </c>
    </row>
    <row r="8209" spans="1:28" x14ac:dyDescent="0.25">
      <c r="A8209" t="str">
        <f>"8205"</f>
        <v>8205</v>
      </c>
      <c r="B8209" t="str">
        <f t="shared" si="476"/>
        <v>1</v>
      </c>
      <c r="C8209" t="str">
        <f t="shared" si="479"/>
        <v>362</v>
      </c>
      <c r="D8209" t="str">
        <f>"8"</f>
        <v>8</v>
      </c>
      <c r="E8209" t="str">
        <f>"1-362-8"</f>
        <v>1-362-8</v>
      </c>
      <c r="F8209" t="s">
        <v>83</v>
      </c>
      <c r="G8209" t="s">
        <v>84</v>
      </c>
      <c r="H8209" t="s">
        <v>92</v>
      </c>
      <c r="I8209">
        <v>1</v>
      </c>
      <c r="J8209">
        <v>1</v>
      </c>
      <c r="N8209">
        <v>1</v>
      </c>
      <c r="O8209">
        <v>1</v>
      </c>
      <c r="P8209">
        <v>1</v>
      </c>
      <c r="Q8209">
        <v>1</v>
      </c>
      <c r="R8209">
        <v>1</v>
      </c>
      <c r="S8209">
        <v>1</v>
      </c>
      <c r="T8209">
        <v>1</v>
      </c>
      <c r="W8209">
        <v>1</v>
      </c>
      <c r="X8209">
        <v>1</v>
      </c>
      <c r="Y8209">
        <v>1</v>
      </c>
      <c r="Z8209">
        <v>1</v>
      </c>
      <c r="AA8209">
        <v>1</v>
      </c>
      <c r="AB8209">
        <v>1</v>
      </c>
    </row>
    <row r="8210" spans="1:28" x14ac:dyDescent="0.25">
      <c r="A8210" t="str">
        <f>"8206"</f>
        <v>8206</v>
      </c>
      <c r="B8210" t="str">
        <f t="shared" si="476"/>
        <v>1</v>
      </c>
      <c r="C8210" t="str">
        <f t="shared" si="479"/>
        <v>362</v>
      </c>
      <c r="D8210" t="str">
        <f>"4"</f>
        <v>4</v>
      </c>
      <c r="E8210" t="str">
        <f>"1-362-4"</f>
        <v>1-362-4</v>
      </c>
      <c r="F8210" t="s">
        <v>83</v>
      </c>
      <c r="G8210" t="s">
        <v>84</v>
      </c>
      <c r="H8210" t="s">
        <v>92</v>
      </c>
      <c r="I8210">
        <v>1</v>
      </c>
      <c r="J8210">
        <v>1</v>
      </c>
      <c r="N8210">
        <v>1</v>
      </c>
      <c r="O8210">
        <v>1</v>
      </c>
      <c r="P8210">
        <v>1</v>
      </c>
      <c r="Q8210">
        <v>1</v>
      </c>
      <c r="R8210">
        <v>1</v>
      </c>
      <c r="S8210">
        <v>1</v>
      </c>
      <c r="T8210">
        <v>1</v>
      </c>
      <c r="W8210">
        <v>1</v>
      </c>
      <c r="X8210">
        <v>1</v>
      </c>
      <c r="Y8210">
        <v>1</v>
      </c>
      <c r="Z8210">
        <v>1</v>
      </c>
      <c r="AA8210">
        <v>1</v>
      </c>
      <c r="AB8210">
        <v>1</v>
      </c>
    </row>
    <row r="8211" spans="1:28" x14ac:dyDescent="0.25">
      <c r="A8211" t="str">
        <f>"8207"</f>
        <v>8207</v>
      </c>
      <c r="B8211" t="str">
        <f t="shared" si="476"/>
        <v>1</v>
      </c>
      <c r="C8211" t="str">
        <f t="shared" si="479"/>
        <v>362</v>
      </c>
      <c r="D8211" t="str">
        <f>"23"</f>
        <v>23</v>
      </c>
      <c r="E8211" t="str">
        <f>"1-362-23"</f>
        <v>1-362-23</v>
      </c>
      <c r="F8211" t="s">
        <v>83</v>
      </c>
      <c r="G8211" t="s">
        <v>84</v>
      </c>
      <c r="H8211" t="s">
        <v>92</v>
      </c>
      <c r="I8211">
        <v>1</v>
      </c>
      <c r="J8211">
        <v>1</v>
      </c>
      <c r="N8211">
        <v>1</v>
      </c>
      <c r="O8211">
        <v>1</v>
      </c>
      <c r="P8211">
        <v>1</v>
      </c>
      <c r="Q8211">
        <v>1</v>
      </c>
      <c r="R8211">
        <v>1</v>
      </c>
      <c r="S8211">
        <v>1</v>
      </c>
      <c r="T8211">
        <v>1</v>
      </c>
      <c r="W8211">
        <v>1</v>
      </c>
      <c r="X8211">
        <v>1</v>
      </c>
      <c r="Y8211">
        <v>1</v>
      </c>
      <c r="Z8211">
        <v>1</v>
      </c>
      <c r="AA8211">
        <v>1</v>
      </c>
      <c r="AB8211">
        <v>1</v>
      </c>
    </row>
    <row r="8212" spans="1:28" x14ac:dyDescent="0.25">
      <c r="A8212" t="str">
        <f>"8208"</f>
        <v>8208</v>
      </c>
      <c r="B8212" t="str">
        <f t="shared" si="476"/>
        <v>1</v>
      </c>
      <c r="C8212" t="str">
        <f t="shared" si="479"/>
        <v>362</v>
      </c>
      <c r="D8212" t="str">
        <f>"22"</f>
        <v>22</v>
      </c>
      <c r="E8212" t="str">
        <f>"1-362-22"</f>
        <v>1-362-22</v>
      </c>
      <c r="F8212" t="s">
        <v>83</v>
      </c>
      <c r="G8212" t="s">
        <v>84</v>
      </c>
      <c r="H8212" t="s">
        <v>92</v>
      </c>
      <c r="I8212">
        <v>1</v>
      </c>
      <c r="J8212">
        <v>1</v>
      </c>
      <c r="N8212">
        <v>1</v>
      </c>
      <c r="O8212">
        <v>1</v>
      </c>
      <c r="P8212">
        <v>1</v>
      </c>
      <c r="Q8212">
        <v>1</v>
      </c>
      <c r="R8212">
        <v>1</v>
      </c>
      <c r="S8212">
        <v>1</v>
      </c>
      <c r="T8212">
        <v>1</v>
      </c>
      <c r="W8212">
        <v>1</v>
      </c>
      <c r="X8212">
        <v>1</v>
      </c>
      <c r="Y8212">
        <v>1</v>
      </c>
      <c r="Z8212">
        <v>1</v>
      </c>
      <c r="AA8212">
        <v>1</v>
      </c>
      <c r="AB8212">
        <v>1</v>
      </c>
    </row>
    <row r="8213" spans="1:28" x14ac:dyDescent="0.25">
      <c r="A8213" t="str">
        <f>"8209"</f>
        <v>8209</v>
      </c>
      <c r="B8213" t="str">
        <f t="shared" si="476"/>
        <v>1</v>
      </c>
      <c r="C8213" t="str">
        <f t="shared" si="479"/>
        <v>362</v>
      </c>
      <c r="D8213" t="str">
        <f>"13"</f>
        <v>13</v>
      </c>
      <c r="E8213" t="str">
        <f>"1-362-13"</f>
        <v>1-362-13</v>
      </c>
      <c r="F8213" t="s">
        <v>83</v>
      </c>
      <c r="G8213" t="s">
        <v>84</v>
      </c>
      <c r="H8213" t="s">
        <v>92</v>
      </c>
      <c r="I8213">
        <v>1</v>
      </c>
      <c r="J8213">
        <v>1</v>
      </c>
      <c r="N8213">
        <v>1</v>
      </c>
      <c r="O8213">
        <v>1</v>
      </c>
      <c r="P8213">
        <v>1</v>
      </c>
      <c r="Q8213">
        <v>1</v>
      </c>
      <c r="R8213">
        <v>1</v>
      </c>
      <c r="S8213">
        <v>1</v>
      </c>
      <c r="T8213">
        <v>1</v>
      </c>
      <c r="W8213">
        <v>1</v>
      </c>
      <c r="X8213">
        <v>1</v>
      </c>
      <c r="Y8213">
        <v>1</v>
      </c>
      <c r="Z8213">
        <v>1</v>
      </c>
      <c r="AA8213">
        <v>1</v>
      </c>
      <c r="AB8213">
        <v>1</v>
      </c>
    </row>
    <row r="8214" spans="1:28" x14ac:dyDescent="0.25">
      <c r="A8214" t="str">
        <f>"8210"</f>
        <v>8210</v>
      </c>
      <c r="B8214" t="str">
        <f t="shared" si="476"/>
        <v>1</v>
      </c>
      <c r="C8214" t="str">
        <f t="shared" si="479"/>
        <v>362</v>
      </c>
      <c r="D8214" t="str">
        <f>"9"</f>
        <v>9</v>
      </c>
      <c r="E8214" t="str">
        <f>"1-362-9"</f>
        <v>1-362-9</v>
      </c>
      <c r="F8214" t="s">
        <v>83</v>
      </c>
      <c r="G8214" t="s">
        <v>84</v>
      </c>
      <c r="H8214" t="s">
        <v>92</v>
      </c>
      <c r="I8214">
        <v>1</v>
      </c>
      <c r="J8214">
        <v>1</v>
      </c>
      <c r="N8214">
        <v>1</v>
      </c>
      <c r="O8214">
        <v>1</v>
      </c>
      <c r="P8214">
        <v>1</v>
      </c>
      <c r="Q8214">
        <v>1</v>
      </c>
      <c r="R8214">
        <v>1</v>
      </c>
      <c r="S8214">
        <v>1</v>
      </c>
      <c r="T8214">
        <v>1</v>
      </c>
      <c r="W8214">
        <v>1</v>
      </c>
      <c r="X8214">
        <v>1</v>
      </c>
      <c r="Y8214">
        <v>1</v>
      </c>
      <c r="Z8214">
        <v>1</v>
      </c>
      <c r="AA8214">
        <v>1</v>
      </c>
      <c r="AB8214">
        <v>1</v>
      </c>
    </row>
    <row r="8215" spans="1:28" x14ac:dyDescent="0.25">
      <c r="A8215" t="str">
        <f>"8211"</f>
        <v>8211</v>
      </c>
      <c r="B8215" t="str">
        <f t="shared" si="476"/>
        <v>1</v>
      </c>
      <c r="C8215" t="str">
        <f t="shared" si="479"/>
        <v>362</v>
      </c>
      <c r="D8215" t="str">
        <f>"2"</f>
        <v>2</v>
      </c>
      <c r="E8215" t="str">
        <f>"1-362-2"</f>
        <v>1-362-2</v>
      </c>
      <c r="F8215" t="s">
        <v>83</v>
      </c>
      <c r="G8215" t="s">
        <v>84</v>
      </c>
      <c r="H8215" t="s">
        <v>92</v>
      </c>
      <c r="I8215">
        <v>1</v>
      </c>
      <c r="J8215">
        <v>1</v>
      </c>
      <c r="N8215">
        <v>1</v>
      </c>
      <c r="O8215">
        <v>1</v>
      </c>
      <c r="P8215">
        <v>0</v>
      </c>
      <c r="Q8215">
        <v>0</v>
      </c>
      <c r="R8215">
        <v>1</v>
      </c>
      <c r="S8215">
        <v>1</v>
      </c>
      <c r="T8215">
        <v>1</v>
      </c>
      <c r="W8215">
        <v>1</v>
      </c>
      <c r="X8215">
        <v>1</v>
      </c>
      <c r="Y8215">
        <v>1</v>
      </c>
      <c r="Z8215">
        <v>0</v>
      </c>
      <c r="AA8215">
        <v>0</v>
      </c>
      <c r="AB8215">
        <v>0</v>
      </c>
    </row>
    <row r="8216" spans="1:28" x14ac:dyDescent="0.25">
      <c r="A8216" t="str">
        <f>"8212"</f>
        <v>8212</v>
      </c>
      <c r="B8216" t="str">
        <f t="shared" si="476"/>
        <v>1</v>
      </c>
      <c r="C8216" t="str">
        <f t="shared" si="479"/>
        <v>362</v>
      </c>
      <c r="D8216" t="str">
        <f>"18"</f>
        <v>18</v>
      </c>
      <c r="E8216" t="str">
        <f>"1-362-18"</f>
        <v>1-362-18</v>
      </c>
      <c r="F8216" t="s">
        <v>83</v>
      </c>
      <c r="G8216" t="s">
        <v>84</v>
      </c>
      <c r="H8216" t="s">
        <v>92</v>
      </c>
      <c r="I8216">
        <v>1</v>
      </c>
      <c r="J8216">
        <v>1</v>
      </c>
      <c r="N8216">
        <v>1</v>
      </c>
      <c r="O8216">
        <v>1</v>
      </c>
      <c r="P8216">
        <v>1</v>
      </c>
      <c r="Q8216">
        <v>1</v>
      </c>
      <c r="R8216">
        <v>1</v>
      </c>
      <c r="S8216">
        <v>1</v>
      </c>
      <c r="T8216">
        <v>1</v>
      </c>
      <c r="W8216">
        <v>1</v>
      </c>
      <c r="X8216">
        <v>1</v>
      </c>
      <c r="Y8216">
        <v>1</v>
      </c>
      <c r="Z8216">
        <v>1</v>
      </c>
      <c r="AA8216">
        <v>1</v>
      </c>
      <c r="AB8216">
        <v>1</v>
      </c>
    </row>
    <row r="8217" spans="1:28" x14ac:dyDescent="0.25">
      <c r="A8217" t="str">
        <f>"8213"</f>
        <v>8213</v>
      </c>
      <c r="B8217" t="str">
        <f t="shared" si="476"/>
        <v>1</v>
      </c>
      <c r="C8217" t="str">
        <f t="shared" si="479"/>
        <v>362</v>
      </c>
      <c r="D8217" t="str">
        <f>"10"</f>
        <v>10</v>
      </c>
      <c r="E8217" t="str">
        <f>"1-362-10"</f>
        <v>1-362-10</v>
      </c>
      <c r="F8217" t="s">
        <v>83</v>
      </c>
      <c r="G8217" t="s">
        <v>84</v>
      </c>
      <c r="H8217" t="s">
        <v>92</v>
      </c>
      <c r="I8217">
        <v>1</v>
      </c>
      <c r="J8217">
        <v>1</v>
      </c>
      <c r="N8217">
        <v>1</v>
      </c>
      <c r="O8217">
        <v>1</v>
      </c>
      <c r="P8217">
        <v>1</v>
      </c>
      <c r="Q8217">
        <v>1</v>
      </c>
      <c r="R8217">
        <v>1</v>
      </c>
      <c r="S8217">
        <v>1</v>
      </c>
      <c r="T8217">
        <v>1</v>
      </c>
      <c r="W8217">
        <v>1</v>
      </c>
      <c r="X8217">
        <v>1</v>
      </c>
      <c r="Y8217">
        <v>1</v>
      </c>
      <c r="Z8217">
        <v>1</v>
      </c>
      <c r="AA8217">
        <v>1</v>
      </c>
      <c r="AB8217">
        <v>1</v>
      </c>
    </row>
    <row r="8218" spans="1:28" x14ac:dyDescent="0.25">
      <c r="A8218" t="str">
        <f>"8214"</f>
        <v>8214</v>
      </c>
      <c r="B8218" t="str">
        <f t="shared" si="476"/>
        <v>1</v>
      </c>
      <c r="C8218" t="str">
        <f t="shared" si="479"/>
        <v>362</v>
      </c>
      <c r="D8218" t="str">
        <f>"5"</f>
        <v>5</v>
      </c>
      <c r="E8218" t="str">
        <f>"1-362-5"</f>
        <v>1-362-5</v>
      </c>
      <c r="F8218" t="s">
        <v>83</v>
      </c>
      <c r="G8218" t="s">
        <v>84</v>
      </c>
      <c r="H8218" t="s">
        <v>92</v>
      </c>
      <c r="I8218">
        <v>1</v>
      </c>
      <c r="J8218">
        <v>1</v>
      </c>
      <c r="N8218">
        <v>1</v>
      </c>
      <c r="O8218">
        <v>1</v>
      </c>
      <c r="P8218">
        <v>1</v>
      </c>
      <c r="Q8218">
        <v>1</v>
      </c>
      <c r="R8218">
        <v>1</v>
      </c>
      <c r="S8218">
        <v>1</v>
      </c>
      <c r="T8218">
        <v>1</v>
      </c>
      <c r="W8218">
        <v>1</v>
      </c>
      <c r="X8218">
        <v>1</v>
      </c>
      <c r="Y8218">
        <v>1</v>
      </c>
      <c r="Z8218">
        <v>1</v>
      </c>
      <c r="AA8218">
        <v>1</v>
      </c>
      <c r="AB8218">
        <v>1</v>
      </c>
    </row>
    <row r="8219" spans="1:28" x14ac:dyDescent="0.25">
      <c r="A8219" t="str">
        <f>"8215"</f>
        <v>8215</v>
      </c>
      <c r="B8219" t="str">
        <f t="shared" si="476"/>
        <v>1</v>
      </c>
      <c r="C8219" t="str">
        <f t="shared" si="479"/>
        <v>362</v>
      </c>
      <c r="D8219" t="str">
        <f>"25"</f>
        <v>25</v>
      </c>
      <c r="E8219" t="str">
        <f>"1-362-25"</f>
        <v>1-362-25</v>
      </c>
      <c r="F8219" t="s">
        <v>83</v>
      </c>
      <c r="G8219" t="s">
        <v>84</v>
      </c>
      <c r="H8219" t="s">
        <v>92</v>
      </c>
      <c r="I8219">
        <v>1</v>
      </c>
      <c r="J8219">
        <v>1</v>
      </c>
      <c r="N8219">
        <v>1</v>
      </c>
      <c r="O8219">
        <v>1</v>
      </c>
      <c r="P8219">
        <v>1</v>
      </c>
      <c r="Q8219">
        <v>1</v>
      </c>
      <c r="R8219">
        <v>1</v>
      </c>
      <c r="S8219">
        <v>1</v>
      </c>
      <c r="T8219">
        <v>1</v>
      </c>
      <c r="W8219">
        <v>1</v>
      </c>
      <c r="X8219">
        <v>1</v>
      </c>
      <c r="Y8219">
        <v>1</v>
      </c>
      <c r="Z8219">
        <v>1</v>
      </c>
      <c r="AA8219">
        <v>1</v>
      </c>
      <c r="AB8219">
        <v>1</v>
      </c>
    </row>
    <row r="8220" spans="1:28" x14ac:dyDescent="0.25">
      <c r="A8220" t="str">
        <f>"8216"</f>
        <v>8216</v>
      </c>
      <c r="B8220" t="str">
        <f t="shared" si="476"/>
        <v>1</v>
      </c>
      <c r="C8220" t="str">
        <f t="shared" si="479"/>
        <v>362</v>
      </c>
      <c r="D8220" t="str">
        <f>"24"</f>
        <v>24</v>
      </c>
      <c r="E8220" t="str">
        <f>"1-362-24"</f>
        <v>1-362-24</v>
      </c>
      <c r="F8220" t="s">
        <v>83</v>
      </c>
      <c r="G8220" t="s">
        <v>84</v>
      </c>
      <c r="H8220" t="s">
        <v>92</v>
      </c>
      <c r="I8220">
        <v>1</v>
      </c>
      <c r="J8220">
        <v>1</v>
      </c>
      <c r="N8220">
        <v>1</v>
      </c>
      <c r="O8220">
        <v>1</v>
      </c>
      <c r="P8220">
        <v>1</v>
      </c>
      <c r="Q8220">
        <v>1</v>
      </c>
      <c r="R8220">
        <v>1</v>
      </c>
      <c r="S8220">
        <v>1</v>
      </c>
      <c r="T8220">
        <v>1</v>
      </c>
      <c r="W8220">
        <v>1</v>
      </c>
      <c r="X8220">
        <v>1</v>
      </c>
      <c r="Y8220">
        <v>1</v>
      </c>
      <c r="Z8220">
        <v>1</v>
      </c>
      <c r="AA8220">
        <v>1</v>
      </c>
      <c r="AB8220">
        <v>1</v>
      </c>
    </row>
    <row r="8221" spans="1:28" x14ac:dyDescent="0.25">
      <c r="A8221" t="str">
        <f>"8217"</f>
        <v>8217</v>
      </c>
      <c r="B8221" t="str">
        <f t="shared" si="476"/>
        <v>1</v>
      </c>
      <c r="C8221" t="str">
        <f t="shared" si="479"/>
        <v>362</v>
      </c>
      <c r="D8221" t="str">
        <f>"15"</f>
        <v>15</v>
      </c>
      <c r="E8221" t="str">
        <f>"1-362-15"</f>
        <v>1-362-15</v>
      </c>
      <c r="F8221" t="s">
        <v>83</v>
      </c>
      <c r="G8221" t="s">
        <v>84</v>
      </c>
      <c r="H8221" t="s">
        <v>92</v>
      </c>
      <c r="I8221">
        <v>1</v>
      </c>
      <c r="J8221">
        <v>1</v>
      </c>
      <c r="N8221">
        <v>1</v>
      </c>
      <c r="O8221">
        <v>1</v>
      </c>
      <c r="P8221">
        <v>1</v>
      </c>
      <c r="Q8221">
        <v>1</v>
      </c>
      <c r="R8221">
        <v>1</v>
      </c>
      <c r="S8221">
        <v>1</v>
      </c>
      <c r="T8221">
        <v>1</v>
      </c>
      <c r="W8221">
        <v>1</v>
      </c>
      <c r="X8221">
        <v>1</v>
      </c>
      <c r="Y8221">
        <v>1</v>
      </c>
      <c r="Z8221">
        <v>1</v>
      </c>
      <c r="AA8221">
        <v>1</v>
      </c>
      <c r="AB8221">
        <v>1</v>
      </c>
    </row>
    <row r="8222" spans="1:28" x14ac:dyDescent="0.25">
      <c r="A8222" t="str">
        <f>"8218"</f>
        <v>8218</v>
      </c>
      <c r="B8222" t="str">
        <f t="shared" ref="B8222:B8285" si="480">"1"</f>
        <v>1</v>
      </c>
      <c r="C8222" t="str">
        <f t="shared" si="479"/>
        <v>362</v>
      </c>
      <c r="D8222" t="str">
        <f>"11"</f>
        <v>11</v>
      </c>
      <c r="E8222" t="str">
        <f>"1-362-11"</f>
        <v>1-362-11</v>
      </c>
      <c r="F8222" t="s">
        <v>83</v>
      </c>
      <c r="G8222" t="s">
        <v>84</v>
      </c>
      <c r="H8222" t="s">
        <v>92</v>
      </c>
      <c r="I8222">
        <v>1</v>
      </c>
      <c r="J8222">
        <v>1</v>
      </c>
      <c r="N8222">
        <v>1</v>
      </c>
      <c r="O8222">
        <v>1</v>
      </c>
      <c r="P8222">
        <v>1</v>
      </c>
      <c r="Q8222">
        <v>1</v>
      </c>
      <c r="R8222">
        <v>1</v>
      </c>
      <c r="S8222">
        <v>1</v>
      </c>
      <c r="T8222">
        <v>1</v>
      </c>
      <c r="W8222">
        <v>1</v>
      </c>
      <c r="X8222">
        <v>1</v>
      </c>
      <c r="Y8222">
        <v>1</v>
      </c>
      <c r="Z8222">
        <v>1</v>
      </c>
      <c r="AA8222">
        <v>1</v>
      </c>
      <c r="AB8222">
        <v>1</v>
      </c>
    </row>
    <row r="8223" spans="1:28" x14ac:dyDescent="0.25">
      <c r="A8223" t="str">
        <f>"8219"</f>
        <v>8219</v>
      </c>
      <c r="B8223" t="str">
        <f t="shared" si="480"/>
        <v>1</v>
      </c>
      <c r="C8223" t="str">
        <f t="shared" si="479"/>
        <v>362</v>
      </c>
      <c r="D8223" t="str">
        <f>"7"</f>
        <v>7</v>
      </c>
      <c r="E8223" t="str">
        <f>"1-362-7"</f>
        <v>1-362-7</v>
      </c>
      <c r="F8223" t="s">
        <v>83</v>
      </c>
      <c r="G8223" t="s">
        <v>84</v>
      </c>
      <c r="H8223" t="s">
        <v>92</v>
      </c>
      <c r="I8223">
        <v>1</v>
      </c>
      <c r="J8223">
        <v>1</v>
      </c>
      <c r="N8223">
        <v>1</v>
      </c>
      <c r="O8223">
        <v>1</v>
      </c>
      <c r="P8223">
        <v>1</v>
      </c>
      <c r="Q8223">
        <v>1</v>
      </c>
      <c r="R8223">
        <v>1</v>
      </c>
      <c r="S8223">
        <v>1</v>
      </c>
      <c r="T8223">
        <v>1</v>
      </c>
      <c r="W8223">
        <v>1</v>
      </c>
      <c r="X8223">
        <v>1</v>
      </c>
      <c r="Y8223">
        <v>1</v>
      </c>
      <c r="Z8223">
        <v>1</v>
      </c>
      <c r="AA8223">
        <v>1</v>
      </c>
      <c r="AB8223">
        <v>1</v>
      </c>
    </row>
    <row r="8224" spans="1:28" x14ac:dyDescent="0.25">
      <c r="A8224" t="str">
        <f>"8220"</f>
        <v>8220</v>
      </c>
      <c r="B8224" t="str">
        <f t="shared" si="480"/>
        <v>1</v>
      </c>
      <c r="C8224" t="str">
        <f t="shared" si="479"/>
        <v>362</v>
      </c>
      <c r="D8224" t="str">
        <f>"19"</f>
        <v>19</v>
      </c>
      <c r="E8224" t="str">
        <f>"1-362-19"</f>
        <v>1-362-19</v>
      </c>
      <c r="F8224" t="s">
        <v>83</v>
      </c>
      <c r="G8224" t="s">
        <v>84</v>
      </c>
      <c r="H8224" t="s">
        <v>92</v>
      </c>
      <c r="I8224">
        <v>1</v>
      </c>
      <c r="J8224">
        <v>1</v>
      </c>
      <c r="N8224">
        <v>1</v>
      </c>
      <c r="O8224">
        <v>1</v>
      </c>
      <c r="P8224">
        <v>1</v>
      </c>
      <c r="Q8224">
        <v>1</v>
      </c>
      <c r="R8224">
        <v>1</v>
      </c>
      <c r="S8224">
        <v>1</v>
      </c>
      <c r="T8224">
        <v>1</v>
      </c>
      <c r="W8224">
        <v>1</v>
      </c>
      <c r="X8224">
        <v>1</v>
      </c>
      <c r="Y8224">
        <v>1</v>
      </c>
      <c r="Z8224">
        <v>1</v>
      </c>
      <c r="AA8224">
        <v>1</v>
      </c>
      <c r="AB8224">
        <v>1</v>
      </c>
    </row>
    <row r="8225" spans="1:49" x14ac:dyDescent="0.25">
      <c r="A8225" t="str">
        <f>"8221"</f>
        <v>8221</v>
      </c>
      <c r="B8225" t="str">
        <f t="shared" si="480"/>
        <v>1</v>
      </c>
      <c r="C8225" t="str">
        <f t="shared" si="479"/>
        <v>362</v>
      </c>
      <c r="D8225" t="str">
        <f>"12"</f>
        <v>12</v>
      </c>
      <c r="E8225" t="str">
        <f>"1-362-12"</f>
        <v>1-362-12</v>
      </c>
      <c r="F8225" t="s">
        <v>83</v>
      </c>
      <c r="G8225" t="s">
        <v>84</v>
      </c>
      <c r="H8225" t="s">
        <v>92</v>
      </c>
      <c r="I8225">
        <v>1</v>
      </c>
      <c r="J8225">
        <v>1</v>
      </c>
      <c r="N8225">
        <v>1</v>
      </c>
      <c r="O8225">
        <v>1</v>
      </c>
      <c r="P8225">
        <v>1</v>
      </c>
      <c r="Q8225">
        <v>1</v>
      </c>
      <c r="R8225">
        <v>1</v>
      </c>
      <c r="S8225">
        <v>1</v>
      </c>
      <c r="T8225">
        <v>1</v>
      </c>
      <c r="W8225">
        <v>1</v>
      </c>
      <c r="X8225">
        <v>1</v>
      </c>
      <c r="Y8225">
        <v>1</v>
      </c>
      <c r="Z8225">
        <v>1</v>
      </c>
      <c r="AA8225">
        <v>1</v>
      </c>
      <c r="AB8225">
        <v>1</v>
      </c>
    </row>
    <row r="8226" spans="1:49" x14ac:dyDescent="0.25">
      <c r="A8226" t="str">
        <f>"8222"</f>
        <v>8222</v>
      </c>
      <c r="B8226" t="str">
        <f t="shared" si="480"/>
        <v>1</v>
      </c>
      <c r="C8226" t="str">
        <f t="shared" si="479"/>
        <v>362</v>
      </c>
      <c r="D8226" t="str">
        <f>"3"</f>
        <v>3</v>
      </c>
      <c r="E8226" t="str">
        <f>"1-362-3"</f>
        <v>1-362-3</v>
      </c>
      <c r="F8226" t="s">
        <v>83</v>
      </c>
      <c r="G8226" t="s">
        <v>84</v>
      </c>
      <c r="H8226" t="s">
        <v>92</v>
      </c>
      <c r="I8226">
        <v>1</v>
      </c>
      <c r="J8226">
        <v>1</v>
      </c>
      <c r="N8226">
        <v>1</v>
      </c>
      <c r="O8226">
        <v>1</v>
      </c>
      <c r="P8226">
        <v>1</v>
      </c>
      <c r="Q8226">
        <v>1</v>
      </c>
      <c r="R8226">
        <v>1</v>
      </c>
      <c r="S8226">
        <v>1</v>
      </c>
      <c r="T8226">
        <v>1</v>
      </c>
      <c r="W8226">
        <v>1</v>
      </c>
      <c r="X8226">
        <v>1</v>
      </c>
      <c r="Y8226">
        <v>1</v>
      </c>
      <c r="Z8226">
        <v>1</v>
      </c>
      <c r="AA8226">
        <v>1</v>
      </c>
      <c r="AB8226">
        <v>1</v>
      </c>
    </row>
    <row r="8227" spans="1:49" x14ac:dyDescent="0.25">
      <c r="A8227" t="str">
        <f>"8223"</f>
        <v>8223</v>
      </c>
      <c r="B8227" t="str">
        <f t="shared" si="480"/>
        <v>1</v>
      </c>
      <c r="C8227" t="str">
        <f t="shared" si="479"/>
        <v>362</v>
      </c>
      <c r="D8227" t="str">
        <f>"16"</f>
        <v>16</v>
      </c>
      <c r="E8227" t="str">
        <f>"1-362-16"</f>
        <v>1-362-16</v>
      </c>
      <c r="F8227" t="s">
        <v>83</v>
      </c>
      <c r="G8227" t="s">
        <v>84</v>
      </c>
      <c r="H8227" t="s">
        <v>92</v>
      </c>
      <c r="I8227">
        <v>1</v>
      </c>
      <c r="J8227">
        <v>1</v>
      </c>
      <c r="N8227">
        <v>1</v>
      </c>
      <c r="O8227">
        <v>1</v>
      </c>
      <c r="P8227">
        <v>1</v>
      </c>
      <c r="Q8227">
        <v>1</v>
      </c>
      <c r="R8227">
        <v>1</v>
      </c>
      <c r="S8227">
        <v>1</v>
      </c>
      <c r="T8227">
        <v>1</v>
      </c>
      <c r="W8227">
        <v>1</v>
      </c>
      <c r="X8227">
        <v>1</v>
      </c>
      <c r="Y8227">
        <v>1</v>
      </c>
      <c r="Z8227">
        <v>1</v>
      </c>
      <c r="AA8227">
        <v>1</v>
      </c>
      <c r="AB8227">
        <v>1</v>
      </c>
    </row>
    <row r="8228" spans="1:49" x14ac:dyDescent="0.25">
      <c r="A8228" t="str">
        <f>"8224"</f>
        <v>8224</v>
      </c>
      <c r="B8228" t="str">
        <f t="shared" si="480"/>
        <v>1</v>
      </c>
      <c r="C8228" t="str">
        <f t="shared" si="479"/>
        <v>362</v>
      </c>
      <c r="D8228" t="str">
        <f>"1"</f>
        <v>1</v>
      </c>
      <c r="E8228" t="str">
        <f>"1-362-1"</f>
        <v>1-362-1</v>
      </c>
      <c r="F8228" t="s">
        <v>83</v>
      </c>
      <c r="G8228" t="s">
        <v>84</v>
      </c>
      <c r="H8228" t="s">
        <v>92</v>
      </c>
      <c r="I8228">
        <v>1</v>
      </c>
      <c r="J8228">
        <v>1</v>
      </c>
      <c r="N8228">
        <v>1</v>
      </c>
      <c r="O8228">
        <v>1</v>
      </c>
      <c r="P8228">
        <v>1</v>
      </c>
      <c r="Q8228">
        <v>1</v>
      </c>
      <c r="R8228">
        <v>1</v>
      </c>
      <c r="S8228">
        <v>1</v>
      </c>
      <c r="T8228">
        <v>1</v>
      </c>
      <c r="W8228">
        <v>1</v>
      </c>
      <c r="X8228">
        <v>1</v>
      </c>
      <c r="Y8228">
        <v>1</v>
      </c>
      <c r="Z8228">
        <v>1</v>
      </c>
      <c r="AA8228">
        <v>1</v>
      </c>
      <c r="AB8228">
        <v>1</v>
      </c>
    </row>
    <row r="8229" spans="1:49" x14ac:dyDescent="0.25">
      <c r="A8229" t="str">
        <f>"8225"</f>
        <v>8225</v>
      </c>
      <c r="B8229" t="str">
        <f t="shared" si="480"/>
        <v>1</v>
      </c>
      <c r="C8229" t="str">
        <f t="shared" si="479"/>
        <v>362</v>
      </c>
      <c r="D8229" t="str">
        <f>"17"</f>
        <v>17</v>
      </c>
      <c r="E8229" t="str">
        <f>"1-362-17"</f>
        <v>1-362-17</v>
      </c>
      <c r="F8229" t="s">
        <v>83</v>
      </c>
      <c r="G8229" t="s">
        <v>84</v>
      </c>
      <c r="H8229" t="s">
        <v>92</v>
      </c>
      <c r="I8229">
        <v>1</v>
      </c>
      <c r="J8229">
        <v>0</v>
      </c>
      <c r="N8229">
        <v>1</v>
      </c>
      <c r="O8229">
        <v>1</v>
      </c>
      <c r="P8229">
        <v>0</v>
      </c>
      <c r="Q8229">
        <v>0</v>
      </c>
      <c r="R8229">
        <v>0</v>
      </c>
      <c r="S8229">
        <v>0</v>
      </c>
      <c r="T8229">
        <v>0</v>
      </c>
      <c r="W8229">
        <v>0</v>
      </c>
      <c r="X8229">
        <v>0</v>
      </c>
      <c r="Y8229">
        <v>0</v>
      </c>
      <c r="Z8229">
        <v>0</v>
      </c>
      <c r="AA8229">
        <v>0</v>
      </c>
      <c r="AB8229">
        <v>0</v>
      </c>
    </row>
    <row r="8230" spans="1:49" x14ac:dyDescent="0.25">
      <c r="A8230" t="str">
        <f>"8226"</f>
        <v>8226</v>
      </c>
      <c r="B8230" t="str">
        <f t="shared" si="480"/>
        <v>1</v>
      </c>
      <c r="C8230" t="str">
        <f t="shared" si="479"/>
        <v>362</v>
      </c>
      <c r="D8230" t="str">
        <f>"6"</f>
        <v>6</v>
      </c>
      <c r="E8230" t="str">
        <f>"1-362-6"</f>
        <v>1-362-6</v>
      </c>
      <c r="F8230" t="s">
        <v>83</v>
      </c>
      <c r="G8230" t="s">
        <v>84</v>
      </c>
      <c r="H8230" t="s">
        <v>92</v>
      </c>
      <c r="I8230">
        <v>1</v>
      </c>
      <c r="J8230">
        <v>1</v>
      </c>
      <c r="N8230">
        <v>1</v>
      </c>
      <c r="O8230">
        <v>1</v>
      </c>
      <c r="P8230">
        <v>1</v>
      </c>
      <c r="Q8230">
        <v>1</v>
      </c>
      <c r="R8230">
        <v>1</v>
      </c>
      <c r="S8230">
        <v>1</v>
      </c>
      <c r="T8230">
        <v>1</v>
      </c>
      <c r="W8230">
        <v>1</v>
      </c>
      <c r="X8230">
        <v>1</v>
      </c>
      <c r="Y8230">
        <v>1</v>
      </c>
      <c r="Z8230">
        <v>1</v>
      </c>
      <c r="AA8230">
        <v>1</v>
      </c>
      <c r="AB8230">
        <v>1</v>
      </c>
    </row>
    <row r="8231" spans="1:49" x14ac:dyDescent="0.25">
      <c r="A8231" t="str">
        <f>"8227"</f>
        <v>8227</v>
      </c>
      <c r="B8231" t="str">
        <f t="shared" si="480"/>
        <v>1</v>
      </c>
      <c r="C8231" t="str">
        <f t="shared" ref="C8231:C8250" si="481">"363"</f>
        <v>363</v>
      </c>
      <c r="D8231" t="str">
        <f>"13"</f>
        <v>13</v>
      </c>
      <c r="E8231" t="str">
        <f>"1-363-13"</f>
        <v>1-363-13</v>
      </c>
      <c r="F8231" t="s">
        <v>83</v>
      </c>
      <c r="G8231" t="s">
        <v>84</v>
      </c>
      <c r="H8231" t="s">
        <v>85</v>
      </c>
      <c r="AC8231">
        <v>1</v>
      </c>
      <c r="AD8231">
        <v>0</v>
      </c>
      <c r="AE8231">
        <v>0</v>
      </c>
      <c r="AF8231">
        <v>0</v>
      </c>
      <c r="AG8231">
        <v>0</v>
      </c>
      <c r="AJ8231">
        <v>0</v>
      </c>
      <c r="AK8231">
        <v>1</v>
      </c>
      <c r="AL8231">
        <v>0</v>
      </c>
      <c r="AM8231">
        <v>0</v>
      </c>
      <c r="AN8231">
        <v>1</v>
      </c>
      <c r="AO8231">
        <v>0</v>
      </c>
      <c r="AP8231">
        <v>0</v>
      </c>
      <c r="AQ8231">
        <v>0</v>
      </c>
      <c r="AR8231">
        <v>0</v>
      </c>
      <c r="AS8231">
        <v>1</v>
      </c>
      <c r="AT8231">
        <v>0</v>
      </c>
      <c r="AV8231">
        <v>0</v>
      </c>
      <c r="AW8231">
        <v>1</v>
      </c>
    </row>
    <row r="8232" spans="1:49" x14ac:dyDescent="0.25">
      <c r="A8232" t="str">
        <f>"8228"</f>
        <v>8228</v>
      </c>
      <c r="B8232" t="str">
        <f t="shared" si="480"/>
        <v>1</v>
      </c>
      <c r="C8232" t="str">
        <f t="shared" si="481"/>
        <v>363</v>
      </c>
      <c r="D8232" t="str">
        <f>"8"</f>
        <v>8</v>
      </c>
      <c r="E8232" t="str">
        <f>"1-363-8"</f>
        <v>1-363-8</v>
      </c>
      <c r="F8232" t="s">
        <v>83</v>
      </c>
      <c r="G8232" t="s">
        <v>84</v>
      </c>
      <c r="H8232" t="s">
        <v>85</v>
      </c>
      <c r="AC8232">
        <v>1</v>
      </c>
      <c r="AD8232">
        <v>0</v>
      </c>
      <c r="AE8232">
        <v>0</v>
      </c>
      <c r="AF8232">
        <v>0</v>
      </c>
      <c r="AG8232">
        <v>0</v>
      </c>
      <c r="AJ8232">
        <v>0</v>
      </c>
      <c r="AK8232">
        <v>1</v>
      </c>
      <c r="AL8232">
        <v>1</v>
      </c>
      <c r="AM8232">
        <v>0</v>
      </c>
      <c r="AN8232">
        <v>0</v>
      </c>
      <c r="AO8232">
        <v>1</v>
      </c>
      <c r="AP8232">
        <v>0</v>
      </c>
      <c r="AQ8232">
        <v>1</v>
      </c>
      <c r="AR8232">
        <v>1</v>
      </c>
      <c r="AS8232">
        <v>1</v>
      </c>
      <c r="AT8232">
        <v>0</v>
      </c>
      <c r="AV8232">
        <v>1</v>
      </c>
      <c r="AW8232">
        <v>1</v>
      </c>
    </row>
    <row r="8233" spans="1:49" x14ac:dyDescent="0.25">
      <c r="A8233" t="str">
        <f>"8229"</f>
        <v>8229</v>
      </c>
      <c r="B8233" t="str">
        <f t="shared" si="480"/>
        <v>1</v>
      </c>
      <c r="C8233" t="str">
        <f t="shared" si="481"/>
        <v>363</v>
      </c>
      <c r="D8233" t="str">
        <f>"5"</f>
        <v>5</v>
      </c>
      <c r="E8233" t="str">
        <f>"1-363-5"</f>
        <v>1-363-5</v>
      </c>
      <c r="F8233" t="s">
        <v>83</v>
      </c>
      <c r="G8233" t="s">
        <v>86</v>
      </c>
      <c r="H8233" t="s">
        <v>87</v>
      </c>
      <c r="AC8233">
        <v>1</v>
      </c>
      <c r="AD8233">
        <v>0</v>
      </c>
      <c r="AE8233">
        <v>0</v>
      </c>
      <c r="AF8233">
        <v>0</v>
      </c>
      <c r="AH8233">
        <v>1</v>
      </c>
      <c r="AI8233">
        <v>0</v>
      </c>
      <c r="AJ8233">
        <v>1</v>
      </c>
      <c r="AK8233">
        <v>0</v>
      </c>
      <c r="AL8233">
        <v>1</v>
      </c>
      <c r="AM8233">
        <v>0</v>
      </c>
      <c r="AN8233">
        <v>0</v>
      </c>
      <c r="AO8233">
        <v>1</v>
      </c>
      <c r="AP8233">
        <v>1</v>
      </c>
      <c r="AQ8233">
        <v>1</v>
      </c>
      <c r="AU8233">
        <v>1</v>
      </c>
      <c r="AV8233">
        <v>1</v>
      </c>
      <c r="AW8233">
        <v>1</v>
      </c>
    </row>
    <row r="8234" spans="1:49" x14ac:dyDescent="0.25">
      <c r="A8234" t="str">
        <f>"8230"</f>
        <v>8230</v>
      </c>
      <c r="B8234" t="str">
        <f t="shared" si="480"/>
        <v>1</v>
      </c>
      <c r="C8234" t="str">
        <f t="shared" si="481"/>
        <v>363</v>
      </c>
      <c r="D8234" t="str">
        <f>"20"</f>
        <v>20</v>
      </c>
      <c r="E8234" t="str">
        <f>"1-363-20"</f>
        <v>1-363-20</v>
      </c>
      <c r="F8234" t="s">
        <v>83</v>
      </c>
      <c r="G8234" t="s">
        <v>86</v>
      </c>
      <c r="H8234" t="s">
        <v>87</v>
      </c>
      <c r="AC8234">
        <v>0</v>
      </c>
      <c r="AD8234">
        <v>0</v>
      </c>
      <c r="AE8234">
        <v>0</v>
      </c>
      <c r="AF8234">
        <v>0</v>
      </c>
      <c r="AH8234">
        <v>0</v>
      </c>
      <c r="AI8234">
        <v>1</v>
      </c>
      <c r="AJ8234">
        <v>0</v>
      </c>
      <c r="AK8234">
        <v>1</v>
      </c>
      <c r="AL8234">
        <v>0</v>
      </c>
      <c r="AM8234">
        <v>0</v>
      </c>
      <c r="AN8234">
        <v>0</v>
      </c>
      <c r="AO8234">
        <v>1</v>
      </c>
      <c r="AP8234">
        <v>1</v>
      </c>
      <c r="AQ8234">
        <v>1</v>
      </c>
      <c r="AU8234">
        <v>1</v>
      </c>
      <c r="AV8234">
        <v>1</v>
      </c>
      <c r="AW8234">
        <v>1</v>
      </c>
    </row>
    <row r="8235" spans="1:49" x14ac:dyDescent="0.25">
      <c r="A8235" t="str">
        <f>"8231"</f>
        <v>8231</v>
      </c>
      <c r="B8235" t="str">
        <f t="shared" si="480"/>
        <v>1</v>
      </c>
      <c r="C8235" t="str">
        <f t="shared" si="481"/>
        <v>363</v>
      </c>
      <c r="D8235" t="str">
        <f>"14"</f>
        <v>14</v>
      </c>
      <c r="E8235" t="str">
        <f>"1-363-14"</f>
        <v>1-363-14</v>
      </c>
      <c r="F8235" t="s">
        <v>83</v>
      </c>
      <c r="G8235" t="s">
        <v>84</v>
      </c>
      <c r="H8235" t="s">
        <v>85</v>
      </c>
      <c r="AC8235">
        <v>1</v>
      </c>
      <c r="AD8235">
        <v>0</v>
      </c>
      <c r="AE8235">
        <v>0</v>
      </c>
      <c r="AF8235">
        <v>0</v>
      </c>
      <c r="AG8235">
        <v>1</v>
      </c>
      <c r="AJ8235">
        <v>1</v>
      </c>
      <c r="AK8235">
        <v>0</v>
      </c>
      <c r="AL8235">
        <v>1</v>
      </c>
      <c r="AM8235">
        <v>0</v>
      </c>
      <c r="AN8235">
        <v>0</v>
      </c>
      <c r="AO8235">
        <v>1</v>
      </c>
      <c r="AP8235">
        <v>1</v>
      </c>
      <c r="AQ8235">
        <v>1</v>
      </c>
      <c r="AR8235">
        <v>1</v>
      </c>
      <c r="AS8235">
        <v>0</v>
      </c>
      <c r="AT8235">
        <v>1</v>
      </c>
      <c r="AV8235">
        <v>1</v>
      </c>
      <c r="AW8235">
        <v>1</v>
      </c>
    </row>
    <row r="8236" spans="1:49" x14ac:dyDescent="0.25">
      <c r="A8236" t="str">
        <f>"8232"</f>
        <v>8232</v>
      </c>
      <c r="B8236" t="str">
        <f t="shared" si="480"/>
        <v>1</v>
      </c>
      <c r="C8236" t="str">
        <f t="shared" si="481"/>
        <v>363</v>
      </c>
      <c r="D8236" t="str">
        <f>"9"</f>
        <v>9</v>
      </c>
      <c r="E8236" t="str">
        <f>"1-363-9"</f>
        <v>1-363-9</v>
      </c>
      <c r="F8236" t="s">
        <v>83</v>
      </c>
      <c r="G8236" t="s">
        <v>84</v>
      </c>
      <c r="H8236" t="s">
        <v>85</v>
      </c>
      <c r="AC8236">
        <v>1</v>
      </c>
      <c r="AD8236">
        <v>0</v>
      </c>
      <c r="AE8236">
        <v>0</v>
      </c>
      <c r="AF8236">
        <v>0</v>
      </c>
      <c r="AG8236">
        <v>1</v>
      </c>
      <c r="AJ8236">
        <v>1</v>
      </c>
      <c r="AK8236">
        <v>0</v>
      </c>
      <c r="AL8236">
        <v>1</v>
      </c>
      <c r="AM8236">
        <v>0</v>
      </c>
      <c r="AN8236">
        <v>0</v>
      </c>
      <c r="AO8236">
        <v>1</v>
      </c>
      <c r="AP8236">
        <v>1</v>
      </c>
      <c r="AQ8236">
        <v>1</v>
      </c>
      <c r="AR8236">
        <v>1</v>
      </c>
      <c r="AS8236">
        <v>1</v>
      </c>
      <c r="AT8236">
        <v>0</v>
      </c>
      <c r="AV8236">
        <v>1</v>
      </c>
      <c r="AW8236">
        <v>1</v>
      </c>
    </row>
    <row r="8237" spans="1:49" x14ac:dyDescent="0.25">
      <c r="A8237" t="str">
        <f>"8233"</f>
        <v>8233</v>
      </c>
      <c r="B8237" t="str">
        <f t="shared" si="480"/>
        <v>1</v>
      </c>
      <c r="C8237" t="str">
        <f t="shared" si="481"/>
        <v>363</v>
      </c>
      <c r="D8237" t="str">
        <f>"4"</f>
        <v>4</v>
      </c>
      <c r="E8237" t="str">
        <f>"1-363-4"</f>
        <v>1-363-4</v>
      </c>
      <c r="F8237" t="s">
        <v>83</v>
      </c>
      <c r="G8237" t="s">
        <v>86</v>
      </c>
      <c r="H8237" t="s">
        <v>87</v>
      </c>
      <c r="AC8237">
        <v>0</v>
      </c>
      <c r="AD8237">
        <v>0</v>
      </c>
      <c r="AE8237">
        <v>0</v>
      </c>
      <c r="AF8237">
        <v>0</v>
      </c>
      <c r="AH8237">
        <v>0</v>
      </c>
      <c r="AI8237">
        <v>1</v>
      </c>
      <c r="AJ8237">
        <v>0</v>
      </c>
      <c r="AK8237">
        <v>0</v>
      </c>
      <c r="AL8237">
        <v>0</v>
      </c>
      <c r="AM8237">
        <v>0</v>
      </c>
      <c r="AN8237">
        <v>1</v>
      </c>
      <c r="AO8237">
        <v>0</v>
      </c>
      <c r="AP8237">
        <v>0</v>
      </c>
      <c r="AQ8237">
        <v>0</v>
      </c>
      <c r="AU8237">
        <v>0</v>
      </c>
      <c r="AV8237">
        <v>0</v>
      </c>
      <c r="AW8237">
        <v>0</v>
      </c>
    </row>
    <row r="8238" spans="1:49" x14ac:dyDescent="0.25">
      <c r="A8238" t="str">
        <f>"8234"</f>
        <v>8234</v>
      </c>
      <c r="B8238" t="str">
        <f t="shared" si="480"/>
        <v>1</v>
      </c>
      <c r="C8238" t="str">
        <f t="shared" si="481"/>
        <v>363</v>
      </c>
      <c r="D8238" t="str">
        <f>"15"</f>
        <v>15</v>
      </c>
      <c r="E8238" t="str">
        <f>"1-363-15"</f>
        <v>1-363-15</v>
      </c>
      <c r="F8238" t="s">
        <v>83</v>
      </c>
      <c r="G8238" t="s">
        <v>86</v>
      </c>
      <c r="H8238" t="s">
        <v>87</v>
      </c>
      <c r="AC8238">
        <v>1</v>
      </c>
      <c r="AD8238">
        <v>0</v>
      </c>
      <c r="AE8238">
        <v>0</v>
      </c>
      <c r="AF8238">
        <v>0</v>
      </c>
      <c r="AH8238">
        <v>1</v>
      </c>
      <c r="AI8238">
        <v>0</v>
      </c>
      <c r="AJ8238">
        <v>1</v>
      </c>
      <c r="AK8238">
        <v>0</v>
      </c>
      <c r="AL8238">
        <v>1</v>
      </c>
      <c r="AM8238">
        <v>0</v>
      </c>
      <c r="AN8238">
        <v>0</v>
      </c>
      <c r="AO8238">
        <v>1</v>
      </c>
      <c r="AP8238">
        <v>0</v>
      </c>
      <c r="AQ8238">
        <v>1</v>
      </c>
      <c r="AU8238">
        <v>1</v>
      </c>
      <c r="AV8238">
        <v>1</v>
      </c>
      <c r="AW8238">
        <v>1</v>
      </c>
    </row>
    <row r="8239" spans="1:49" x14ac:dyDescent="0.25">
      <c r="A8239" t="str">
        <f>"8235"</f>
        <v>8235</v>
      </c>
      <c r="B8239" t="str">
        <f t="shared" si="480"/>
        <v>1</v>
      </c>
      <c r="C8239" t="str">
        <f t="shared" si="481"/>
        <v>363</v>
      </c>
      <c r="D8239" t="str">
        <f>"10"</f>
        <v>10</v>
      </c>
      <c r="E8239" t="str">
        <f>"1-363-10"</f>
        <v>1-363-10</v>
      </c>
      <c r="F8239" t="s">
        <v>83</v>
      </c>
      <c r="G8239" t="s">
        <v>84</v>
      </c>
      <c r="H8239" t="s">
        <v>85</v>
      </c>
      <c r="AC8239">
        <v>1</v>
      </c>
      <c r="AD8239">
        <v>0</v>
      </c>
      <c r="AE8239">
        <v>0</v>
      </c>
      <c r="AF8239">
        <v>0</v>
      </c>
      <c r="AG8239">
        <v>1</v>
      </c>
      <c r="AJ8239">
        <v>1</v>
      </c>
      <c r="AK8239">
        <v>0</v>
      </c>
      <c r="AL8239">
        <v>1</v>
      </c>
      <c r="AM8239">
        <v>0</v>
      </c>
      <c r="AN8239">
        <v>0</v>
      </c>
      <c r="AO8239">
        <v>1</v>
      </c>
      <c r="AP8239">
        <v>1</v>
      </c>
      <c r="AQ8239">
        <v>1</v>
      </c>
      <c r="AR8239">
        <v>1</v>
      </c>
      <c r="AS8239">
        <v>0</v>
      </c>
      <c r="AT8239">
        <v>1</v>
      </c>
      <c r="AV8239">
        <v>1</v>
      </c>
      <c r="AW8239">
        <v>1</v>
      </c>
    </row>
    <row r="8240" spans="1:49" s="2" customFormat="1" x14ac:dyDescent="0.25">
      <c r="A8240" s="3" t="str">
        <f>"8236"</f>
        <v>8236</v>
      </c>
      <c r="B8240" s="3" t="str">
        <f t="shared" si="480"/>
        <v>1</v>
      </c>
      <c r="C8240" s="3" t="str">
        <f t="shared" si="481"/>
        <v>363</v>
      </c>
      <c r="D8240" s="3" t="str">
        <f>"6"</f>
        <v>6</v>
      </c>
      <c r="E8240" s="3" t="str">
        <f>"1-363-6"</f>
        <v>1-363-6</v>
      </c>
      <c r="F8240" s="3" t="s">
        <v>83</v>
      </c>
      <c r="G8240" s="4" t="s">
        <v>96</v>
      </c>
      <c r="I8240" s="4"/>
    </row>
    <row r="8241" spans="1:49" x14ac:dyDescent="0.25">
      <c r="A8241" t="str">
        <f>"8237"</f>
        <v>8237</v>
      </c>
      <c r="B8241" t="str">
        <f t="shared" si="480"/>
        <v>1</v>
      </c>
      <c r="C8241" t="str">
        <f t="shared" si="481"/>
        <v>363</v>
      </c>
      <c r="D8241" t="str">
        <f>"18"</f>
        <v>18</v>
      </c>
      <c r="E8241" t="str">
        <f>"1-363-18"</f>
        <v>1-363-18</v>
      </c>
      <c r="F8241" t="s">
        <v>83</v>
      </c>
      <c r="G8241" t="s">
        <v>84</v>
      </c>
      <c r="H8241" t="s">
        <v>85</v>
      </c>
      <c r="AC8241">
        <v>1</v>
      </c>
      <c r="AD8241">
        <v>0</v>
      </c>
      <c r="AE8241">
        <v>0</v>
      </c>
      <c r="AF8241">
        <v>0</v>
      </c>
      <c r="AG8241">
        <v>0</v>
      </c>
      <c r="AJ8241">
        <v>0</v>
      </c>
      <c r="AK8241">
        <v>1</v>
      </c>
      <c r="AL8241">
        <v>1</v>
      </c>
      <c r="AM8241">
        <v>0</v>
      </c>
      <c r="AN8241">
        <v>0</v>
      </c>
      <c r="AO8241">
        <v>0</v>
      </c>
      <c r="AP8241">
        <v>0</v>
      </c>
      <c r="AQ8241">
        <v>0</v>
      </c>
      <c r="AR8241">
        <v>1</v>
      </c>
      <c r="AS8241">
        <v>0</v>
      </c>
      <c r="AT8241">
        <v>1</v>
      </c>
      <c r="AV8241">
        <v>0</v>
      </c>
      <c r="AW8241">
        <v>0</v>
      </c>
    </row>
    <row r="8242" spans="1:49" x14ac:dyDescent="0.25">
      <c r="A8242" t="str">
        <f>"8238"</f>
        <v>8238</v>
      </c>
      <c r="B8242" t="str">
        <f t="shared" si="480"/>
        <v>1</v>
      </c>
      <c r="C8242" t="str">
        <f t="shared" si="481"/>
        <v>363</v>
      </c>
      <c r="D8242" t="str">
        <f>"11"</f>
        <v>11</v>
      </c>
      <c r="E8242" t="str">
        <f>"1-363-11"</f>
        <v>1-363-11</v>
      </c>
      <c r="F8242" t="s">
        <v>83</v>
      </c>
      <c r="G8242" t="s">
        <v>84</v>
      </c>
      <c r="H8242" t="s">
        <v>85</v>
      </c>
      <c r="AC8242">
        <v>0</v>
      </c>
      <c r="AD8242">
        <v>1</v>
      </c>
      <c r="AE8242">
        <v>0</v>
      </c>
      <c r="AF8242">
        <v>0</v>
      </c>
      <c r="AG8242">
        <v>0</v>
      </c>
      <c r="AJ8242">
        <v>0</v>
      </c>
      <c r="AK8242">
        <v>1</v>
      </c>
      <c r="AL8242">
        <v>0</v>
      </c>
      <c r="AM8242">
        <v>0</v>
      </c>
      <c r="AN8242">
        <v>1</v>
      </c>
      <c r="AO8242">
        <v>0</v>
      </c>
      <c r="AP8242">
        <v>0</v>
      </c>
      <c r="AQ8242">
        <v>0</v>
      </c>
      <c r="AR8242">
        <v>0</v>
      </c>
      <c r="AS8242">
        <v>0</v>
      </c>
      <c r="AT8242">
        <v>0</v>
      </c>
      <c r="AV8242">
        <v>0</v>
      </c>
      <c r="AW8242">
        <v>0</v>
      </c>
    </row>
    <row r="8243" spans="1:49" x14ac:dyDescent="0.25">
      <c r="A8243" t="str">
        <f>"8239"</f>
        <v>8239</v>
      </c>
      <c r="B8243" t="str">
        <f t="shared" si="480"/>
        <v>1</v>
      </c>
      <c r="C8243" t="str">
        <f t="shared" si="481"/>
        <v>363</v>
      </c>
      <c r="D8243" t="str">
        <f>"3"</f>
        <v>3</v>
      </c>
      <c r="E8243" t="str">
        <f>"1-363-3"</f>
        <v>1-363-3</v>
      </c>
      <c r="F8243" t="s">
        <v>83</v>
      </c>
      <c r="G8243" t="s">
        <v>86</v>
      </c>
      <c r="H8243" t="s">
        <v>87</v>
      </c>
      <c r="AC8243">
        <v>0</v>
      </c>
      <c r="AD8243">
        <v>1</v>
      </c>
      <c r="AE8243">
        <v>0</v>
      </c>
      <c r="AF8243">
        <v>0</v>
      </c>
      <c r="AH8243">
        <v>1</v>
      </c>
      <c r="AI8243">
        <v>0</v>
      </c>
      <c r="AJ8243">
        <v>0</v>
      </c>
      <c r="AK8243">
        <v>1</v>
      </c>
      <c r="AL8243">
        <v>0</v>
      </c>
      <c r="AM8243">
        <v>0</v>
      </c>
      <c r="AN8243">
        <v>0</v>
      </c>
      <c r="AO8243">
        <v>0</v>
      </c>
      <c r="AP8243">
        <v>0</v>
      </c>
      <c r="AQ8243">
        <v>0</v>
      </c>
      <c r="AU8243">
        <v>0</v>
      </c>
      <c r="AV8243">
        <v>0</v>
      </c>
      <c r="AW8243">
        <v>0</v>
      </c>
    </row>
    <row r="8244" spans="1:49" x14ac:dyDescent="0.25">
      <c r="A8244" t="str">
        <f>"8240"</f>
        <v>8240</v>
      </c>
      <c r="B8244" t="str">
        <f t="shared" si="480"/>
        <v>1</v>
      </c>
      <c r="C8244" t="str">
        <f t="shared" si="481"/>
        <v>363</v>
      </c>
      <c r="D8244" t="str">
        <f>"19"</f>
        <v>19</v>
      </c>
      <c r="E8244" t="str">
        <f>"1-363-19"</f>
        <v>1-363-19</v>
      </c>
      <c r="F8244" t="s">
        <v>83</v>
      </c>
      <c r="G8244" t="s">
        <v>84</v>
      </c>
      <c r="H8244" t="s">
        <v>85</v>
      </c>
      <c r="AC8244">
        <v>0</v>
      </c>
      <c r="AD8244">
        <v>1</v>
      </c>
      <c r="AE8244">
        <v>0</v>
      </c>
      <c r="AF8244">
        <v>0</v>
      </c>
      <c r="AG8244">
        <v>0</v>
      </c>
      <c r="AJ8244">
        <v>0</v>
      </c>
      <c r="AK8244">
        <v>1</v>
      </c>
      <c r="AL8244">
        <v>0</v>
      </c>
      <c r="AM8244">
        <v>0</v>
      </c>
      <c r="AN8244">
        <v>1</v>
      </c>
      <c r="AO8244">
        <v>0</v>
      </c>
      <c r="AP8244">
        <v>0</v>
      </c>
      <c r="AQ8244">
        <v>0</v>
      </c>
      <c r="AR8244">
        <v>0</v>
      </c>
      <c r="AS8244">
        <v>0</v>
      </c>
      <c r="AT8244">
        <v>0</v>
      </c>
      <c r="AV8244">
        <v>0</v>
      </c>
      <c r="AW8244">
        <v>0</v>
      </c>
    </row>
    <row r="8245" spans="1:49" x14ac:dyDescent="0.25">
      <c r="A8245" t="str">
        <f>"8241"</f>
        <v>8241</v>
      </c>
      <c r="B8245" t="str">
        <f t="shared" si="480"/>
        <v>1</v>
      </c>
      <c r="C8245" t="str">
        <f t="shared" si="481"/>
        <v>363</v>
      </c>
      <c r="D8245" t="str">
        <f>"12"</f>
        <v>12</v>
      </c>
      <c r="E8245" t="str">
        <f>"1-363-12"</f>
        <v>1-363-12</v>
      </c>
      <c r="F8245" t="s">
        <v>83</v>
      </c>
      <c r="G8245" t="s">
        <v>84</v>
      </c>
      <c r="H8245" t="s">
        <v>85</v>
      </c>
      <c r="AC8245">
        <v>1</v>
      </c>
      <c r="AD8245">
        <v>0</v>
      </c>
      <c r="AE8245">
        <v>0</v>
      </c>
      <c r="AF8245">
        <v>0</v>
      </c>
      <c r="AG8245">
        <v>1</v>
      </c>
      <c r="AJ8245">
        <v>0</v>
      </c>
      <c r="AK8245">
        <v>1</v>
      </c>
      <c r="AL8245">
        <v>1</v>
      </c>
      <c r="AM8245">
        <v>0</v>
      </c>
      <c r="AN8245">
        <v>0</v>
      </c>
      <c r="AO8245">
        <v>1</v>
      </c>
      <c r="AP8245">
        <v>1</v>
      </c>
      <c r="AQ8245">
        <v>1</v>
      </c>
      <c r="AR8245">
        <v>1</v>
      </c>
      <c r="AS8245">
        <v>0</v>
      </c>
      <c r="AT8245">
        <v>1</v>
      </c>
      <c r="AV8245">
        <v>1</v>
      </c>
      <c r="AW8245">
        <v>1</v>
      </c>
    </row>
    <row r="8246" spans="1:49" x14ac:dyDescent="0.25">
      <c r="A8246" t="str">
        <f>"8242"</f>
        <v>8242</v>
      </c>
      <c r="B8246" t="str">
        <f t="shared" si="480"/>
        <v>1</v>
      </c>
      <c r="C8246" t="str">
        <f t="shared" si="481"/>
        <v>363</v>
      </c>
      <c r="D8246" t="str">
        <f>"2"</f>
        <v>2</v>
      </c>
      <c r="E8246" t="str">
        <f>"1-363-2"</f>
        <v>1-363-2</v>
      </c>
      <c r="F8246" t="s">
        <v>83</v>
      </c>
      <c r="G8246" t="s">
        <v>86</v>
      </c>
      <c r="H8246" t="s">
        <v>87</v>
      </c>
      <c r="AC8246">
        <v>1</v>
      </c>
      <c r="AD8246">
        <v>0</v>
      </c>
      <c r="AE8246">
        <v>0</v>
      </c>
      <c r="AF8246">
        <v>0</v>
      </c>
      <c r="AH8246">
        <v>1</v>
      </c>
      <c r="AI8246">
        <v>0</v>
      </c>
      <c r="AJ8246">
        <v>1</v>
      </c>
      <c r="AK8246">
        <v>0</v>
      </c>
      <c r="AL8246">
        <v>1</v>
      </c>
      <c r="AM8246">
        <v>0</v>
      </c>
      <c r="AN8246">
        <v>0</v>
      </c>
      <c r="AO8246">
        <v>1</v>
      </c>
      <c r="AP8246">
        <v>1</v>
      </c>
      <c r="AQ8246">
        <v>1</v>
      </c>
      <c r="AU8246">
        <v>1</v>
      </c>
      <c r="AV8246">
        <v>1</v>
      </c>
      <c r="AW8246">
        <v>1</v>
      </c>
    </row>
    <row r="8247" spans="1:49" x14ac:dyDescent="0.25">
      <c r="A8247" t="str">
        <f>"8243"</f>
        <v>8243</v>
      </c>
      <c r="B8247" t="str">
        <f t="shared" si="480"/>
        <v>1</v>
      </c>
      <c r="C8247" t="str">
        <f t="shared" si="481"/>
        <v>363</v>
      </c>
      <c r="D8247" t="str">
        <f>"16"</f>
        <v>16</v>
      </c>
      <c r="E8247" t="str">
        <f>"1-363-16"</f>
        <v>1-363-16</v>
      </c>
      <c r="F8247" t="s">
        <v>83</v>
      </c>
      <c r="G8247" t="s">
        <v>84</v>
      </c>
      <c r="H8247" t="s">
        <v>85</v>
      </c>
      <c r="AC8247">
        <v>1</v>
      </c>
      <c r="AD8247">
        <v>0</v>
      </c>
      <c r="AE8247">
        <v>0</v>
      </c>
      <c r="AF8247">
        <v>0</v>
      </c>
      <c r="AG8247">
        <v>0</v>
      </c>
      <c r="AJ8247">
        <v>0</v>
      </c>
      <c r="AK8247">
        <v>1</v>
      </c>
      <c r="AL8247">
        <v>0</v>
      </c>
      <c r="AM8247">
        <v>0</v>
      </c>
      <c r="AN8247">
        <v>1</v>
      </c>
      <c r="AO8247">
        <v>0</v>
      </c>
      <c r="AP8247">
        <v>0</v>
      </c>
      <c r="AQ8247">
        <v>0</v>
      </c>
      <c r="AR8247">
        <v>0</v>
      </c>
      <c r="AS8247">
        <v>1</v>
      </c>
      <c r="AT8247">
        <v>0</v>
      </c>
      <c r="AV8247">
        <v>0</v>
      </c>
      <c r="AW8247">
        <v>0</v>
      </c>
    </row>
    <row r="8248" spans="1:49" x14ac:dyDescent="0.25">
      <c r="A8248" t="str">
        <f>"8244"</f>
        <v>8244</v>
      </c>
      <c r="B8248" t="str">
        <f t="shared" si="480"/>
        <v>1</v>
      </c>
      <c r="C8248" t="str">
        <f t="shared" si="481"/>
        <v>363</v>
      </c>
      <c r="D8248" t="str">
        <f>"7"</f>
        <v>7</v>
      </c>
      <c r="E8248" t="str">
        <f>"1-363-7"</f>
        <v>1-363-7</v>
      </c>
      <c r="F8248" t="s">
        <v>83</v>
      </c>
      <c r="G8248" t="s">
        <v>84</v>
      </c>
      <c r="H8248" t="s">
        <v>85</v>
      </c>
      <c r="AC8248">
        <v>0</v>
      </c>
      <c r="AD8248">
        <v>1</v>
      </c>
      <c r="AE8248">
        <v>0</v>
      </c>
      <c r="AF8248">
        <v>0</v>
      </c>
      <c r="AG8248">
        <v>1</v>
      </c>
      <c r="AJ8248">
        <v>1</v>
      </c>
      <c r="AK8248">
        <v>0</v>
      </c>
      <c r="AL8248">
        <v>1</v>
      </c>
      <c r="AM8248">
        <v>0</v>
      </c>
      <c r="AN8248">
        <v>0</v>
      </c>
      <c r="AO8248">
        <v>1</v>
      </c>
      <c r="AP8248">
        <v>1</v>
      </c>
      <c r="AQ8248">
        <v>1</v>
      </c>
      <c r="AR8248">
        <v>1</v>
      </c>
      <c r="AS8248">
        <v>1</v>
      </c>
      <c r="AT8248">
        <v>0</v>
      </c>
      <c r="AV8248">
        <v>1</v>
      </c>
      <c r="AW8248">
        <v>1</v>
      </c>
    </row>
    <row r="8249" spans="1:49" x14ac:dyDescent="0.25">
      <c r="A8249" t="str">
        <f>"8245"</f>
        <v>8245</v>
      </c>
      <c r="B8249" t="str">
        <f t="shared" si="480"/>
        <v>1</v>
      </c>
      <c r="C8249" t="str">
        <f t="shared" si="481"/>
        <v>363</v>
      </c>
      <c r="D8249" t="str">
        <f>"17"</f>
        <v>17</v>
      </c>
      <c r="E8249" t="str">
        <f>"1-363-17"</f>
        <v>1-363-17</v>
      </c>
      <c r="F8249" t="s">
        <v>83</v>
      </c>
      <c r="G8249" t="s">
        <v>86</v>
      </c>
      <c r="H8249" t="s">
        <v>87</v>
      </c>
      <c r="AC8249">
        <v>0</v>
      </c>
      <c r="AD8249">
        <v>1</v>
      </c>
      <c r="AE8249">
        <v>0</v>
      </c>
      <c r="AF8249">
        <v>0</v>
      </c>
      <c r="AH8249">
        <v>0</v>
      </c>
      <c r="AI8249">
        <v>1</v>
      </c>
      <c r="AJ8249">
        <v>0</v>
      </c>
      <c r="AK8249">
        <v>1</v>
      </c>
      <c r="AL8249">
        <v>0</v>
      </c>
      <c r="AM8249">
        <v>1</v>
      </c>
      <c r="AN8249">
        <v>0</v>
      </c>
      <c r="AO8249">
        <v>1</v>
      </c>
      <c r="AP8249">
        <v>0</v>
      </c>
      <c r="AQ8249">
        <v>0</v>
      </c>
      <c r="AU8249">
        <v>0</v>
      </c>
      <c r="AV8249">
        <v>0</v>
      </c>
      <c r="AW8249">
        <v>0</v>
      </c>
    </row>
    <row r="8250" spans="1:49" x14ac:dyDescent="0.25">
      <c r="A8250" t="str">
        <f>"8246"</f>
        <v>8246</v>
      </c>
      <c r="B8250" t="str">
        <f t="shared" si="480"/>
        <v>1</v>
      </c>
      <c r="C8250" t="str">
        <f t="shared" si="481"/>
        <v>363</v>
      </c>
      <c r="D8250" t="str">
        <f>"1"</f>
        <v>1</v>
      </c>
      <c r="E8250" t="str">
        <f>"1-363-1"</f>
        <v>1-363-1</v>
      </c>
      <c r="F8250" t="s">
        <v>83</v>
      </c>
      <c r="G8250" t="s">
        <v>84</v>
      </c>
      <c r="H8250" t="s">
        <v>85</v>
      </c>
      <c r="AC8250">
        <v>1</v>
      </c>
      <c r="AD8250">
        <v>0</v>
      </c>
      <c r="AE8250">
        <v>0</v>
      </c>
      <c r="AF8250">
        <v>0</v>
      </c>
      <c r="AG8250">
        <v>0</v>
      </c>
      <c r="AJ8250">
        <v>1</v>
      </c>
      <c r="AK8250">
        <v>0</v>
      </c>
      <c r="AL8250">
        <v>1</v>
      </c>
      <c r="AM8250">
        <v>0</v>
      </c>
      <c r="AN8250">
        <v>0</v>
      </c>
      <c r="AO8250">
        <v>1</v>
      </c>
      <c r="AP8250">
        <v>0</v>
      </c>
      <c r="AQ8250">
        <v>0</v>
      </c>
      <c r="AR8250">
        <v>1</v>
      </c>
      <c r="AS8250">
        <v>0</v>
      </c>
      <c r="AT8250">
        <v>1</v>
      </c>
      <c r="AV8250">
        <v>1</v>
      </c>
      <c r="AW8250">
        <v>1</v>
      </c>
    </row>
    <row r="8251" spans="1:49" x14ac:dyDescent="0.25">
      <c r="A8251" t="str">
        <f>"8247"</f>
        <v>8247</v>
      </c>
      <c r="B8251" t="str">
        <f t="shared" si="480"/>
        <v>1</v>
      </c>
      <c r="C8251" t="str">
        <f t="shared" ref="C8251:C8275" si="482">"364"</f>
        <v>364</v>
      </c>
      <c r="D8251" t="str">
        <f>"23"</f>
        <v>23</v>
      </c>
      <c r="E8251" t="str">
        <f>"1-364-23"</f>
        <v>1-364-23</v>
      </c>
      <c r="F8251" t="s">
        <v>83</v>
      </c>
      <c r="G8251" t="s">
        <v>84</v>
      </c>
      <c r="H8251" t="s">
        <v>85</v>
      </c>
      <c r="AC8251">
        <v>0</v>
      </c>
      <c r="AD8251">
        <v>1</v>
      </c>
      <c r="AE8251">
        <v>0</v>
      </c>
      <c r="AF8251">
        <v>0</v>
      </c>
      <c r="AG8251">
        <v>1</v>
      </c>
      <c r="AJ8251">
        <v>0</v>
      </c>
      <c r="AK8251">
        <v>1</v>
      </c>
      <c r="AL8251">
        <v>0</v>
      </c>
      <c r="AM8251">
        <v>0</v>
      </c>
      <c r="AN8251">
        <v>1</v>
      </c>
      <c r="AO8251">
        <v>1</v>
      </c>
      <c r="AP8251">
        <v>1</v>
      </c>
      <c r="AQ8251">
        <v>1</v>
      </c>
      <c r="AR8251">
        <v>1</v>
      </c>
      <c r="AS8251">
        <v>1</v>
      </c>
      <c r="AT8251">
        <v>0</v>
      </c>
      <c r="AV8251">
        <v>1</v>
      </c>
      <c r="AW8251">
        <v>1</v>
      </c>
    </row>
    <row r="8252" spans="1:49" x14ac:dyDescent="0.25">
      <c r="A8252" t="str">
        <f>"8248"</f>
        <v>8248</v>
      </c>
      <c r="B8252" t="str">
        <f t="shared" si="480"/>
        <v>1</v>
      </c>
      <c r="C8252" t="str">
        <f t="shared" si="482"/>
        <v>364</v>
      </c>
      <c r="D8252" t="str">
        <f>"22"</f>
        <v>22</v>
      </c>
      <c r="E8252" t="str">
        <f>"1-364-22"</f>
        <v>1-364-22</v>
      </c>
      <c r="F8252" t="s">
        <v>83</v>
      </c>
      <c r="G8252" t="s">
        <v>84</v>
      </c>
      <c r="H8252" t="s">
        <v>85</v>
      </c>
      <c r="AC8252">
        <v>1</v>
      </c>
      <c r="AD8252">
        <v>0</v>
      </c>
      <c r="AE8252">
        <v>0</v>
      </c>
      <c r="AF8252">
        <v>0</v>
      </c>
      <c r="AG8252">
        <v>0</v>
      </c>
      <c r="AJ8252">
        <v>1</v>
      </c>
      <c r="AK8252">
        <v>0</v>
      </c>
      <c r="AL8252">
        <v>0</v>
      </c>
      <c r="AM8252">
        <v>1</v>
      </c>
      <c r="AN8252">
        <v>0</v>
      </c>
      <c r="AO8252">
        <v>0</v>
      </c>
      <c r="AP8252">
        <v>0</v>
      </c>
      <c r="AQ8252">
        <v>0</v>
      </c>
      <c r="AR8252">
        <v>0</v>
      </c>
      <c r="AS8252">
        <v>0</v>
      </c>
      <c r="AT8252">
        <v>1</v>
      </c>
      <c r="AV8252">
        <v>0</v>
      </c>
      <c r="AW8252">
        <v>0</v>
      </c>
    </row>
    <row r="8253" spans="1:49" x14ac:dyDescent="0.25">
      <c r="A8253" t="str">
        <f>"8249"</f>
        <v>8249</v>
      </c>
      <c r="B8253" t="str">
        <f t="shared" si="480"/>
        <v>1</v>
      </c>
      <c r="C8253" t="str">
        <f t="shared" si="482"/>
        <v>364</v>
      </c>
      <c r="D8253" t="str">
        <f>"15"</f>
        <v>15</v>
      </c>
      <c r="E8253" t="str">
        <f>"1-364-15"</f>
        <v>1-364-15</v>
      </c>
      <c r="F8253" t="s">
        <v>83</v>
      </c>
      <c r="G8253" t="s">
        <v>84</v>
      </c>
      <c r="H8253" t="s">
        <v>85</v>
      </c>
      <c r="AC8253">
        <v>1</v>
      </c>
      <c r="AD8253">
        <v>0</v>
      </c>
      <c r="AE8253">
        <v>0</v>
      </c>
      <c r="AF8253">
        <v>0</v>
      </c>
      <c r="AG8253">
        <v>0</v>
      </c>
      <c r="AJ8253">
        <v>0</v>
      </c>
      <c r="AK8253">
        <v>1</v>
      </c>
      <c r="AL8253">
        <v>0</v>
      </c>
      <c r="AM8253">
        <v>1</v>
      </c>
      <c r="AN8253">
        <v>0</v>
      </c>
      <c r="AO8253">
        <v>0</v>
      </c>
      <c r="AP8253">
        <v>0</v>
      </c>
      <c r="AQ8253">
        <v>0</v>
      </c>
      <c r="AR8253">
        <v>0</v>
      </c>
      <c r="AS8253">
        <v>0</v>
      </c>
      <c r="AT8253">
        <v>1</v>
      </c>
      <c r="AV8253">
        <v>0</v>
      </c>
      <c r="AW8253">
        <v>0</v>
      </c>
    </row>
    <row r="8254" spans="1:49" x14ac:dyDescent="0.25">
      <c r="A8254" t="str">
        <f>"8250"</f>
        <v>8250</v>
      </c>
      <c r="B8254" t="str">
        <f t="shared" si="480"/>
        <v>1</v>
      </c>
      <c r="C8254" t="str">
        <f t="shared" si="482"/>
        <v>364</v>
      </c>
      <c r="D8254" t="str">
        <f>"14"</f>
        <v>14</v>
      </c>
      <c r="E8254" t="str">
        <f>"1-364-14"</f>
        <v>1-364-14</v>
      </c>
      <c r="F8254" t="s">
        <v>83</v>
      </c>
      <c r="G8254" t="s">
        <v>84</v>
      </c>
      <c r="H8254" t="s">
        <v>85</v>
      </c>
      <c r="AC8254">
        <v>1</v>
      </c>
      <c r="AD8254">
        <v>0</v>
      </c>
      <c r="AE8254">
        <v>0</v>
      </c>
      <c r="AF8254">
        <v>0</v>
      </c>
      <c r="AG8254">
        <v>0</v>
      </c>
      <c r="AJ8254">
        <v>0</v>
      </c>
      <c r="AK8254">
        <v>1</v>
      </c>
      <c r="AL8254">
        <v>0</v>
      </c>
      <c r="AM8254">
        <v>1</v>
      </c>
      <c r="AN8254">
        <v>0</v>
      </c>
      <c r="AO8254">
        <v>0</v>
      </c>
      <c r="AP8254">
        <v>0</v>
      </c>
      <c r="AQ8254">
        <v>0</v>
      </c>
      <c r="AR8254">
        <v>0</v>
      </c>
      <c r="AS8254">
        <v>0</v>
      </c>
      <c r="AT8254">
        <v>1</v>
      </c>
      <c r="AV8254">
        <v>0</v>
      </c>
      <c r="AW8254">
        <v>0</v>
      </c>
    </row>
    <row r="8255" spans="1:49" x14ac:dyDescent="0.25">
      <c r="A8255" t="str">
        <f>"8251"</f>
        <v>8251</v>
      </c>
      <c r="B8255" t="str">
        <f t="shared" si="480"/>
        <v>1</v>
      </c>
      <c r="C8255" t="str">
        <f t="shared" si="482"/>
        <v>364</v>
      </c>
      <c r="D8255" t="str">
        <f>"9"</f>
        <v>9</v>
      </c>
      <c r="E8255" t="str">
        <f>"1-364-9"</f>
        <v>1-364-9</v>
      </c>
      <c r="F8255" t="s">
        <v>83</v>
      </c>
      <c r="G8255" t="s">
        <v>84</v>
      </c>
      <c r="H8255" t="s">
        <v>85</v>
      </c>
      <c r="AC8255">
        <v>0</v>
      </c>
      <c r="AD8255">
        <v>1</v>
      </c>
      <c r="AE8255">
        <v>0</v>
      </c>
      <c r="AF8255">
        <v>0</v>
      </c>
      <c r="AG8255">
        <v>0</v>
      </c>
      <c r="AJ8255">
        <v>0</v>
      </c>
      <c r="AK8255">
        <v>1</v>
      </c>
      <c r="AL8255">
        <v>0</v>
      </c>
      <c r="AM8255">
        <v>0</v>
      </c>
      <c r="AN8255">
        <v>1</v>
      </c>
      <c r="AO8255">
        <v>0</v>
      </c>
      <c r="AP8255">
        <v>0</v>
      </c>
      <c r="AQ8255">
        <v>0</v>
      </c>
      <c r="AR8255">
        <v>0</v>
      </c>
      <c r="AS8255">
        <v>0</v>
      </c>
      <c r="AT8255">
        <v>0</v>
      </c>
      <c r="AV8255">
        <v>0</v>
      </c>
      <c r="AW8255">
        <v>0</v>
      </c>
    </row>
    <row r="8256" spans="1:49" x14ac:dyDescent="0.25">
      <c r="A8256" t="str">
        <f>"8252"</f>
        <v>8252</v>
      </c>
      <c r="B8256" t="str">
        <f t="shared" si="480"/>
        <v>1</v>
      </c>
      <c r="C8256" t="str">
        <f t="shared" si="482"/>
        <v>364</v>
      </c>
      <c r="D8256" t="str">
        <f>"8"</f>
        <v>8</v>
      </c>
      <c r="E8256" t="str">
        <f>"1-364-8"</f>
        <v>1-364-8</v>
      </c>
      <c r="F8256" t="s">
        <v>83</v>
      </c>
      <c r="G8256" t="s">
        <v>84</v>
      </c>
      <c r="H8256" t="s">
        <v>85</v>
      </c>
      <c r="AC8256">
        <v>0</v>
      </c>
      <c r="AD8256">
        <v>1</v>
      </c>
      <c r="AE8256">
        <v>0</v>
      </c>
      <c r="AF8256">
        <v>0</v>
      </c>
      <c r="AG8256">
        <v>1</v>
      </c>
      <c r="AJ8256">
        <v>0</v>
      </c>
      <c r="AK8256">
        <v>1</v>
      </c>
      <c r="AL8256">
        <v>1</v>
      </c>
      <c r="AM8256">
        <v>0</v>
      </c>
      <c r="AN8256">
        <v>0</v>
      </c>
      <c r="AO8256">
        <v>1</v>
      </c>
      <c r="AP8256">
        <v>1</v>
      </c>
      <c r="AQ8256">
        <v>1</v>
      </c>
      <c r="AR8256">
        <v>1</v>
      </c>
      <c r="AS8256">
        <v>1</v>
      </c>
      <c r="AT8256">
        <v>0</v>
      </c>
      <c r="AV8256">
        <v>1</v>
      </c>
      <c r="AW8256">
        <v>1</v>
      </c>
    </row>
    <row r="8257" spans="1:49" x14ac:dyDescent="0.25">
      <c r="A8257" t="str">
        <f>"8253"</f>
        <v>8253</v>
      </c>
      <c r="B8257" t="str">
        <f t="shared" si="480"/>
        <v>1</v>
      </c>
      <c r="C8257" t="str">
        <f t="shared" si="482"/>
        <v>364</v>
      </c>
      <c r="D8257" t="str">
        <f>"2"</f>
        <v>2</v>
      </c>
      <c r="E8257" t="str">
        <f>"1-364-2"</f>
        <v>1-364-2</v>
      </c>
      <c r="F8257" t="s">
        <v>83</v>
      </c>
      <c r="G8257" t="s">
        <v>84</v>
      </c>
      <c r="H8257" t="s">
        <v>85</v>
      </c>
      <c r="AC8257">
        <v>1</v>
      </c>
      <c r="AD8257">
        <v>0</v>
      </c>
      <c r="AE8257">
        <v>0</v>
      </c>
      <c r="AF8257">
        <v>0</v>
      </c>
      <c r="AG8257">
        <v>0</v>
      </c>
      <c r="AJ8257">
        <v>1</v>
      </c>
      <c r="AK8257">
        <v>0</v>
      </c>
      <c r="AL8257">
        <v>1</v>
      </c>
      <c r="AM8257">
        <v>0</v>
      </c>
      <c r="AN8257">
        <v>0</v>
      </c>
      <c r="AO8257">
        <v>1</v>
      </c>
      <c r="AP8257">
        <v>0</v>
      </c>
      <c r="AQ8257">
        <v>0</v>
      </c>
      <c r="AR8257">
        <v>1</v>
      </c>
      <c r="AS8257">
        <v>0</v>
      </c>
      <c r="AT8257">
        <v>1</v>
      </c>
      <c r="AV8257">
        <v>1</v>
      </c>
      <c r="AW8257">
        <v>1</v>
      </c>
    </row>
    <row r="8258" spans="1:49" x14ac:dyDescent="0.25">
      <c r="A8258" t="str">
        <f>"8254"</f>
        <v>8254</v>
      </c>
      <c r="B8258" t="str">
        <f t="shared" si="480"/>
        <v>1</v>
      </c>
      <c r="C8258" t="str">
        <f t="shared" si="482"/>
        <v>364</v>
      </c>
      <c r="D8258" t="str">
        <f>"19"</f>
        <v>19</v>
      </c>
      <c r="E8258" t="str">
        <f>"1-364-19"</f>
        <v>1-364-19</v>
      </c>
      <c r="F8258" t="s">
        <v>83</v>
      </c>
      <c r="G8258" t="s">
        <v>84</v>
      </c>
      <c r="H8258" t="s">
        <v>85</v>
      </c>
      <c r="AC8258">
        <v>0</v>
      </c>
      <c r="AD8258">
        <v>1</v>
      </c>
      <c r="AE8258">
        <v>0</v>
      </c>
      <c r="AF8258">
        <v>0</v>
      </c>
      <c r="AG8258">
        <v>1</v>
      </c>
      <c r="AJ8258">
        <v>0</v>
      </c>
      <c r="AK8258">
        <v>1</v>
      </c>
      <c r="AL8258">
        <v>1</v>
      </c>
      <c r="AM8258">
        <v>0</v>
      </c>
      <c r="AN8258">
        <v>0</v>
      </c>
      <c r="AO8258">
        <v>1</v>
      </c>
      <c r="AP8258">
        <v>1</v>
      </c>
      <c r="AQ8258">
        <v>1</v>
      </c>
      <c r="AR8258">
        <v>1</v>
      </c>
      <c r="AS8258">
        <v>1</v>
      </c>
      <c r="AT8258">
        <v>0</v>
      </c>
      <c r="AV8258">
        <v>1</v>
      </c>
      <c r="AW8258">
        <v>1</v>
      </c>
    </row>
    <row r="8259" spans="1:49" x14ac:dyDescent="0.25">
      <c r="A8259" t="str">
        <f>"8255"</f>
        <v>8255</v>
      </c>
      <c r="B8259" t="str">
        <f t="shared" si="480"/>
        <v>1</v>
      </c>
      <c r="C8259" t="str">
        <f t="shared" si="482"/>
        <v>364</v>
      </c>
      <c r="D8259" t="str">
        <f>"10"</f>
        <v>10</v>
      </c>
      <c r="E8259" t="str">
        <f>"1-364-10"</f>
        <v>1-364-10</v>
      </c>
      <c r="F8259" t="s">
        <v>83</v>
      </c>
      <c r="G8259" t="s">
        <v>84</v>
      </c>
      <c r="H8259" t="s">
        <v>85</v>
      </c>
      <c r="AC8259">
        <v>0</v>
      </c>
      <c r="AD8259">
        <v>1</v>
      </c>
      <c r="AE8259">
        <v>0</v>
      </c>
      <c r="AF8259">
        <v>0</v>
      </c>
      <c r="AG8259">
        <v>0</v>
      </c>
      <c r="AJ8259">
        <v>0</v>
      </c>
      <c r="AK8259">
        <v>1</v>
      </c>
      <c r="AL8259">
        <v>0</v>
      </c>
      <c r="AM8259">
        <v>0</v>
      </c>
      <c r="AN8259">
        <v>1</v>
      </c>
      <c r="AO8259">
        <v>1</v>
      </c>
      <c r="AP8259">
        <v>1</v>
      </c>
      <c r="AQ8259">
        <v>1</v>
      </c>
      <c r="AR8259">
        <v>1</v>
      </c>
      <c r="AS8259">
        <v>1</v>
      </c>
      <c r="AT8259">
        <v>0</v>
      </c>
      <c r="AV8259">
        <v>1</v>
      </c>
      <c r="AW8259">
        <v>1</v>
      </c>
    </row>
    <row r="8260" spans="1:49" x14ac:dyDescent="0.25">
      <c r="A8260" t="str">
        <f>"8256"</f>
        <v>8256</v>
      </c>
      <c r="B8260" t="str">
        <f t="shared" si="480"/>
        <v>1</v>
      </c>
      <c r="C8260" t="str">
        <f t="shared" si="482"/>
        <v>364</v>
      </c>
      <c r="D8260" t="str">
        <f>"1"</f>
        <v>1</v>
      </c>
      <c r="E8260" t="str">
        <f>"1-364-1"</f>
        <v>1-364-1</v>
      </c>
      <c r="F8260" t="s">
        <v>83</v>
      </c>
      <c r="G8260" t="s">
        <v>84</v>
      </c>
      <c r="H8260" t="s">
        <v>85</v>
      </c>
      <c r="AC8260">
        <v>0</v>
      </c>
      <c r="AD8260">
        <v>1</v>
      </c>
      <c r="AE8260">
        <v>0</v>
      </c>
      <c r="AF8260">
        <v>0</v>
      </c>
      <c r="AG8260">
        <v>1</v>
      </c>
      <c r="AJ8260">
        <v>1</v>
      </c>
      <c r="AK8260">
        <v>0</v>
      </c>
      <c r="AL8260">
        <v>1</v>
      </c>
      <c r="AM8260">
        <v>0</v>
      </c>
      <c r="AN8260">
        <v>0</v>
      </c>
      <c r="AO8260">
        <v>1</v>
      </c>
      <c r="AP8260">
        <v>1</v>
      </c>
      <c r="AQ8260">
        <v>1</v>
      </c>
      <c r="AR8260">
        <v>1</v>
      </c>
      <c r="AS8260">
        <v>0</v>
      </c>
      <c r="AT8260">
        <v>1</v>
      </c>
      <c r="AV8260">
        <v>1</v>
      </c>
      <c r="AW8260">
        <v>1</v>
      </c>
    </row>
    <row r="8261" spans="1:49" x14ac:dyDescent="0.25">
      <c r="A8261" t="str">
        <f>"8257"</f>
        <v>8257</v>
      </c>
      <c r="B8261" t="str">
        <f t="shared" si="480"/>
        <v>1</v>
      </c>
      <c r="C8261" t="str">
        <f t="shared" si="482"/>
        <v>364</v>
      </c>
      <c r="D8261" t="str">
        <f>"18"</f>
        <v>18</v>
      </c>
      <c r="E8261" t="str">
        <f>"1-364-18"</f>
        <v>1-364-18</v>
      </c>
      <c r="F8261" t="s">
        <v>83</v>
      </c>
      <c r="G8261" t="s">
        <v>84</v>
      </c>
      <c r="H8261" t="s">
        <v>85</v>
      </c>
      <c r="AC8261">
        <v>1</v>
      </c>
      <c r="AD8261">
        <v>0</v>
      </c>
      <c r="AE8261">
        <v>0</v>
      </c>
      <c r="AF8261">
        <v>0</v>
      </c>
      <c r="AG8261">
        <v>0</v>
      </c>
      <c r="AJ8261">
        <v>1</v>
      </c>
      <c r="AK8261">
        <v>0</v>
      </c>
      <c r="AL8261">
        <v>1</v>
      </c>
      <c r="AM8261">
        <v>0</v>
      </c>
      <c r="AN8261">
        <v>0</v>
      </c>
      <c r="AO8261">
        <v>0</v>
      </c>
      <c r="AP8261">
        <v>0</v>
      </c>
      <c r="AQ8261">
        <v>0</v>
      </c>
      <c r="AR8261">
        <v>0</v>
      </c>
      <c r="AS8261">
        <v>1</v>
      </c>
      <c r="AT8261">
        <v>0</v>
      </c>
      <c r="AV8261">
        <v>0</v>
      </c>
      <c r="AW8261">
        <v>0</v>
      </c>
    </row>
    <row r="8262" spans="1:49" x14ac:dyDescent="0.25">
      <c r="A8262" t="str">
        <f>"8258"</f>
        <v>8258</v>
      </c>
      <c r="B8262" t="str">
        <f t="shared" si="480"/>
        <v>1</v>
      </c>
      <c r="C8262" t="str">
        <f t="shared" si="482"/>
        <v>364</v>
      </c>
      <c r="D8262" t="str">
        <f>"11"</f>
        <v>11</v>
      </c>
      <c r="E8262" t="str">
        <f>"1-364-11"</f>
        <v>1-364-11</v>
      </c>
      <c r="F8262" t="s">
        <v>83</v>
      </c>
      <c r="G8262" t="s">
        <v>84</v>
      </c>
      <c r="H8262" t="s">
        <v>85</v>
      </c>
      <c r="AC8262">
        <v>0</v>
      </c>
      <c r="AD8262">
        <v>1</v>
      </c>
      <c r="AE8262">
        <v>0</v>
      </c>
      <c r="AF8262">
        <v>0</v>
      </c>
      <c r="AG8262">
        <v>0</v>
      </c>
      <c r="AJ8262">
        <v>0</v>
      </c>
      <c r="AK8262">
        <v>1</v>
      </c>
      <c r="AL8262">
        <v>0</v>
      </c>
      <c r="AM8262">
        <v>0</v>
      </c>
      <c r="AN8262">
        <v>1</v>
      </c>
      <c r="AO8262">
        <v>0</v>
      </c>
      <c r="AP8262">
        <v>0</v>
      </c>
      <c r="AQ8262">
        <v>0</v>
      </c>
      <c r="AR8262">
        <v>0</v>
      </c>
      <c r="AS8262">
        <v>1</v>
      </c>
      <c r="AT8262">
        <v>0</v>
      </c>
      <c r="AV8262">
        <v>0</v>
      </c>
      <c r="AW8262">
        <v>0</v>
      </c>
    </row>
    <row r="8263" spans="1:49" x14ac:dyDescent="0.25">
      <c r="A8263" t="str">
        <f>"8259"</f>
        <v>8259</v>
      </c>
      <c r="B8263" t="str">
        <f t="shared" si="480"/>
        <v>1</v>
      </c>
      <c r="C8263" t="str">
        <f t="shared" si="482"/>
        <v>364</v>
      </c>
      <c r="D8263" t="str">
        <f>"5"</f>
        <v>5</v>
      </c>
      <c r="E8263" t="str">
        <f>"1-364-5"</f>
        <v>1-364-5</v>
      </c>
      <c r="F8263" t="s">
        <v>83</v>
      </c>
      <c r="G8263" t="s">
        <v>84</v>
      </c>
      <c r="H8263" t="s">
        <v>85</v>
      </c>
      <c r="AC8263">
        <v>1</v>
      </c>
      <c r="AD8263">
        <v>0</v>
      </c>
      <c r="AE8263">
        <v>0</v>
      </c>
      <c r="AF8263">
        <v>0</v>
      </c>
      <c r="AG8263">
        <v>0</v>
      </c>
      <c r="AJ8263">
        <v>1</v>
      </c>
      <c r="AK8263">
        <v>0</v>
      </c>
      <c r="AL8263">
        <v>1</v>
      </c>
      <c r="AM8263">
        <v>0</v>
      </c>
      <c r="AN8263">
        <v>0</v>
      </c>
      <c r="AO8263">
        <v>0</v>
      </c>
      <c r="AP8263">
        <v>0</v>
      </c>
      <c r="AQ8263">
        <v>0</v>
      </c>
      <c r="AR8263">
        <v>0</v>
      </c>
      <c r="AS8263">
        <v>1</v>
      </c>
      <c r="AT8263">
        <v>0</v>
      </c>
      <c r="AV8263">
        <v>0</v>
      </c>
      <c r="AW8263">
        <v>0</v>
      </c>
    </row>
    <row r="8264" spans="1:49" x14ac:dyDescent="0.25">
      <c r="A8264" t="str">
        <f>"8260"</f>
        <v>8260</v>
      </c>
      <c r="B8264" t="str">
        <f t="shared" si="480"/>
        <v>1</v>
      </c>
      <c r="C8264" t="str">
        <f t="shared" si="482"/>
        <v>364</v>
      </c>
      <c r="D8264" t="str">
        <f>"25"</f>
        <v>25</v>
      </c>
      <c r="E8264" t="str">
        <f>"1-364-25"</f>
        <v>1-364-25</v>
      </c>
      <c r="F8264" t="s">
        <v>83</v>
      </c>
      <c r="G8264" t="s">
        <v>84</v>
      </c>
      <c r="H8264" t="s">
        <v>85</v>
      </c>
      <c r="AC8264">
        <v>1</v>
      </c>
      <c r="AD8264">
        <v>0</v>
      </c>
      <c r="AE8264">
        <v>0</v>
      </c>
      <c r="AF8264">
        <v>0</v>
      </c>
      <c r="AG8264">
        <v>0</v>
      </c>
      <c r="AJ8264">
        <v>1</v>
      </c>
      <c r="AK8264">
        <v>0</v>
      </c>
      <c r="AL8264">
        <v>1</v>
      </c>
      <c r="AM8264">
        <v>0</v>
      </c>
      <c r="AN8264">
        <v>0</v>
      </c>
      <c r="AO8264">
        <v>1</v>
      </c>
      <c r="AP8264">
        <v>0</v>
      </c>
      <c r="AQ8264">
        <v>0</v>
      </c>
      <c r="AR8264">
        <v>1</v>
      </c>
      <c r="AS8264">
        <v>0</v>
      </c>
      <c r="AT8264">
        <v>1</v>
      </c>
      <c r="AV8264">
        <v>1</v>
      </c>
      <c r="AW8264">
        <v>1</v>
      </c>
    </row>
    <row r="8265" spans="1:49" x14ac:dyDescent="0.25">
      <c r="A8265" t="str">
        <f>"8261"</f>
        <v>8261</v>
      </c>
      <c r="B8265" t="str">
        <f t="shared" si="480"/>
        <v>1</v>
      </c>
      <c r="C8265" t="str">
        <f t="shared" si="482"/>
        <v>364</v>
      </c>
      <c r="D8265" t="str">
        <f>"24"</f>
        <v>24</v>
      </c>
      <c r="E8265" t="str">
        <f>"1-364-24"</f>
        <v>1-364-24</v>
      </c>
      <c r="F8265" t="s">
        <v>83</v>
      </c>
      <c r="G8265" t="s">
        <v>84</v>
      </c>
      <c r="H8265" t="s">
        <v>85</v>
      </c>
      <c r="AC8265">
        <v>0</v>
      </c>
      <c r="AD8265">
        <v>1</v>
      </c>
      <c r="AE8265">
        <v>0</v>
      </c>
      <c r="AF8265">
        <v>0</v>
      </c>
      <c r="AG8265">
        <v>0</v>
      </c>
      <c r="AJ8265">
        <v>0</v>
      </c>
      <c r="AK8265">
        <v>1</v>
      </c>
      <c r="AL8265">
        <v>0</v>
      </c>
      <c r="AM8265">
        <v>0</v>
      </c>
      <c r="AN8265">
        <v>1</v>
      </c>
      <c r="AO8265">
        <v>0</v>
      </c>
      <c r="AP8265">
        <v>0</v>
      </c>
      <c r="AQ8265">
        <v>0</v>
      </c>
      <c r="AR8265">
        <v>0</v>
      </c>
      <c r="AS8265">
        <v>0</v>
      </c>
      <c r="AT8265">
        <v>0</v>
      </c>
      <c r="AV8265">
        <v>0</v>
      </c>
      <c r="AW8265">
        <v>0</v>
      </c>
    </row>
    <row r="8266" spans="1:49" x14ac:dyDescent="0.25">
      <c r="A8266" t="str">
        <f>"8262"</f>
        <v>8262</v>
      </c>
      <c r="B8266" t="str">
        <f t="shared" si="480"/>
        <v>1</v>
      </c>
      <c r="C8266" t="str">
        <f t="shared" si="482"/>
        <v>364</v>
      </c>
      <c r="D8266" t="str">
        <f>"20"</f>
        <v>20</v>
      </c>
      <c r="E8266" t="str">
        <f>"1-364-20"</f>
        <v>1-364-20</v>
      </c>
      <c r="F8266" t="s">
        <v>83</v>
      </c>
      <c r="G8266" t="s">
        <v>84</v>
      </c>
      <c r="H8266" t="s">
        <v>85</v>
      </c>
      <c r="AC8266">
        <v>1</v>
      </c>
      <c r="AD8266">
        <v>0</v>
      </c>
      <c r="AE8266">
        <v>0</v>
      </c>
      <c r="AF8266">
        <v>0</v>
      </c>
      <c r="AG8266">
        <v>0</v>
      </c>
      <c r="AJ8266">
        <v>1</v>
      </c>
      <c r="AK8266">
        <v>0</v>
      </c>
      <c r="AL8266">
        <v>1</v>
      </c>
      <c r="AM8266">
        <v>0</v>
      </c>
      <c r="AN8266">
        <v>0</v>
      </c>
      <c r="AO8266">
        <v>0</v>
      </c>
      <c r="AP8266">
        <v>0</v>
      </c>
      <c r="AQ8266">
        <v>0</v>
      </c>
      <c r="AR8266">
        <v>0</v>
      </c>
      <c r="AS8266">
        <v>1</v>
      </c>
      <c r="AT8266">
        <v>0</v>
      </c>
      <c r="AV8266">
        <v>0</v>
      </c>
      <c r="AW8266">
        <v>0</v>
      </c>
    </row>
    <row r="8267" spans="1:49" x14ac:dyDescent="0.25">
      <c r="A8267" t="str">
        <f>"8263"</f>
        <v>8263</v>
      </c>
      <c r="B8267" t="str">
        <f t="shared" si="480"/>
        <v>1</v>
      </c>
      <c r="C8267" t="str">
        <f t="shared" si="482"/>
        <v>364</v>
      </c>
      <c r="D8267" t="str">
        <f>"12"</f>
        <v>12</v>
      </c>
      <c r="E8267" t="str">
        <f>"1-364-12"</f>
        <v>1-364-12</v>
      </c>
      <c r="F8267" t="s">
        <v>83</v>
      </c>
      <c r="G8267" t="s">
        <v>84</v>
      </c>
      <c r="H8267" t="s">
        <v>85</v>
      </c>
      <c r="AC8267">
        <v>0</v>
      </c>
      <c r="AD8267">
        <v>1</v>
      </c>
      <c r="AE8267">
        <v>0</v>
      </c>
      <c r="AF8267">
        <v>0</v>
      </c>
      <c r="AG8267">
        <v>0</v>
      </c>
      <c r="AJ8267">
        <v>0</v>
      </c>
      <c r="AK8267">
        <v>1</v>
      </c>
      <c r="AL8267">
        <v>0</v>
      </c>
      <c r="AM8267">
        <v>0</v>
      </c>
      <c r="AN8267">
        <v>1</v>
      </c>
      <c r="AO8267">
        <v>0</v>
      </c>
      <c r="AP8267">
        <v>0</v>
      </c>
      <c r="AQ8267">
        <v>0</v>
      </c>
      <c r="AR8267">
        <v>0</v>
      </c>
      <c r="AS8267">
        <v>1</v>
      </c>
      <c r="AT8267">
        <v>0</v>
      </c>
      <c r="AV8267">
        <v>0</v>
      </c>
      <c r="AW8267">
        <v>0</v>
      </c>
    </row>
    <row r="8268" spans="1:49" x14ac:dyDescent="0.25">
      <c r="A8268" t="str">
        <f>"8264"</f>
        <v>8264</v>
      </c>
      <c r="B8268" t="str">
        <f t="shared" si="480"/>
        <v>1</v>
      </c>
      <c r="C8268" t="str">
        <f t="shared" si="482"/>
        <v>364</v>
      </c>
      <c r="D8268" t="str">
        <f>"4"</f>
        <v>4</v>
      </c>
      <c r="E8268" t="str">
        <f>"1-364-4"</f>
        <v>1-364-4</v>
      </c>
      <c r="F8268" t="s">
        <v>83</v>
      </c>
      <c r="G8268" t="s">
        <v>84</v>
      </c>
      <c r="H8268" t="s">
        <v>85</v>
      </c>
      <c r="AC8268">
        <v>1</v>
      </c>
      <c r="AD8268">
        <v>0</v>
      </c>
      <c r="AE8268">
        <v>0</v>
      </c>
      <c r="AF8268">
        <v>0</v>
      </c>
      <c r="AG8268">
        <v>0</v>
      </c>
      <c r="AJ8268">
        <v>1</v>
      </c>
      <c r="AK8268">
        <v>0</v>
      </c>
      <c r="AL8268">
        <v>1</v>
      </c>
      <c r="AM8268">
        <v>0</v>
      </c>
      <c r="AN8268">
        <v>0</v>
      </c>
      <c r="AO8268">
        <v>0</v>
      </c>
      <c r="AP8268">
        <v>0</v>
      </c>
      <c r="AQ8268">
        <v>0</v>
      </c>
      <c r="AR8268">
        <v>0</v>
      </c>
      <c r="AS8268">
        <v>1</v>
      </c>
      <c r="AT8268">
        <v>0</v>
      </c>
      <c r="AV8268">
        <v>0</v>
      </c>
      <c r="AW8268">
        <v>0</v>
      </c>
    </row>
    <row r="8269" spans="1:49" x14ac:dyDescent="0.25">
      <c r="A8269" t="str">
        <f>"8265"</f>
        <v>8265</v>
      </c>
      <c r="B8269" t="str">
        <f t="shared" si="480"/>
        <v>1</v>
      </c>
      <c r="C8269" t="str">
        <f t="shared" si="482"/>
        <v>364</v>
      </c>
      <c r="D8269" t="str">
        <f>"21"</f>
        <v>21</v>
      </c>
      <c r="E8269" t="str">
        <f>"1-364-21"</f>
        <v>1-364-21</v>
      </c>
      <c r="F8269" t="s">
        <v>83</v>
      </c>
      <c r="G8269" t="s">
        <v>84</v>
      </c>
      <c r="H8269" t="s">
        <v>85</v>
      </c>
      <c r="AC8269">
        <v>1</v>
      </c>
      <c r="AD8269">
        <v>0</v>
      </c>
      <c r="AE8269">
        <v>0</v>
      </c>
      <c r="AF8269">
        <v>0</v>
      </c>
      <c r="AG8269">
        <v>1</v>
      </c>
      <c r="AJ8269">
        <v>0</v>
      </c>
      <c r="AK8269">
        <v>1</v>
      </c>
      <c r="AL8269">
        <v>1</v>
      </c>
      <c r="AM8269">
        <v>0</v>
      </c>
      <c r="AN8269">
        <v>0</v>
      </c>
      <c r="AO8269">
        <v>1</v>
      </c>
      <c r="AP8269">
        <v>1</v>
      </c>
      <c r="AQ8269">
        <v>1</v>
      </c>
      <c r="AR8269">
        <v>1</v>
      </c>
      <c r="AS8269">
        <v>1</v>
      </c>
      <c r="AT8269">
        <v>0</v>
      </c>
      <c r="AV8269">
        <v>1</v>
      </c>
      <c r="AW8269">
        <v>1</v>
      </c>
    </row>
    <row r="8270" spans="1:49" x14ac:dyDescent="0.25">
      <c r="A8270" t="str">
        <f>"8266"</f>
        <v>8266</v>
      </c>
      <c r="B8270" t="str">
        <f t="shared" si="480"/>
        <v>1</v>
      </c>
      <c r="C8270" t="str">
        <f t="shared" si="482"/>
        <v>364</v>
      </c>
      <c r="D8270" t="str">
        <f>"13"</f>
        <v>13</v>
      </c>
      <c r="E8270" t="str">
        <f>"1-364-13"</f>
        <v>1-364-13</v>
      </c>
      <c r="F8270" t="s">
        <v>83</v>
      </c>
      <c r="G8270" t="s">
        <v>84</v>
      </c>
      <c r="H8270" t="s">
        <v>85</v>
      </c>
      <c r="AC8270">
        <v>0</v>
      </c>
      <c r="AD8270">
        <v>1</v>
      </c>
      <c r="AE8270">
        <v>0</v>
      </c>
      <c r="AF8270">
        <v>0</v>
      </c>
      <c r="AG8270">
        <v>1</v>
      </c>
      <c r="AJ8270">
        <v>0</v>
      </c>
      <c r="AK8270">
        <v>1</v>
      </c>
      <c r="AL8270">
        <v>0</v>
      </c>
      <c r="AM8270">
        <v>1</v>
      </c>
      <c r="AN8270">
        <v>0</v>
      </c>
      <c r="AO8270">
        <v>1</v>
      </c>
      <c r="AP8270">
        <v>1</v>
      </c>
      <c r="AQ8270">
        <v>1</v>
      </c>
      <c r="AR8270">
        <v>1</v>
      </c>
      <c r="AS8270">
        <v>0</v>
      </c>
      <c r="AT8270">
        <v>1</v>
      </c>
      <c r="AV8270">
        <v>1</v>
      </c>
      <c r="AW8270">
        <v>1</v>
      </c>
    </row>
    <row r="8271" spans="1:49" x14ac:dyDescent="0.25">
      <c r="A8271" t="str">
        <f>"8267"</f>
        <v>8267</v>
      </c>
      <c r="B8271" t="str">
        <f t="shared" si="480"/>
        <v>1</v>
      </c>
      <c r="C8271" t="str">
        <f t="shared" si="482"/>
        <v>364</v>
      </c>
      <c r="D8271" t="str">
        <f>"7"</f>
        <v>7</v>
      </c>
      <c r="E8271" t="str">
        <f>"1-364-7"</f>
        <v>1-364-7</v>
      </c>
      <c r="F8271" t="s">
        <v>83</v>
      </c>
      <c r="G8271" t="s">
        <v>84</v>
      </c>
      <c r="H8271" t="s">
        <v>85</v>
      </c>
      <c r="AC8271">
        <v>0</v>
      </c>
      <c r="AD8271">
        <v>1</v>
      </c>
      <c r="AE8271">
        <v>0</v>
      </c>
      <c r="AF8271">
        <v>0</v>
      </c>
      <c r="AG8271">
        <v>0</v>
      </c>
      <c r="AJ8271">
        <v>0</v>
      </c>
      <c r="AK8271">
        <v>1</v>
      </c>
      <c r="AL8271">
        <v>0</v>
      </c>
      <c r="AM8271">
        <v>0</v>
      </c>
      <c r="AN8271">
        <v>1</v>
      </c>
      <c r="AO8271">
        <v>1</v>
      </c>
      <c r="AP8271">
        <v>1</v>
      </c>
      <c r="AQ8271">
        <v>1</v>
      </c>
      <c r="AR8271">
        <v>1</v>
      </c>
      <c r="AS8271">
        <v>1</v>
      </c>
      <c r="AT8271">
        <v>0</v>
      </c>
      <c r="AV8271">
        <v>1</v>
      </c>
      <c r="AW8271">
        <v>1</v>
      </c>
    </row>
    <row r="8272" spans="1:49" x14ac:dyDescent="0.25">
      <c r="A8272" t="str">
        <f>"8268"</f>
        <v>8268</v>
      </c>
      <c r="B8272" t="str">
        <f t="shared" si="480"/>
        <v>1</v>
      </c>
      <c r="C8272" t="str">
        <f t="shared" si="482"/>
        <v>364</v>
      </c>
      <c r="D8272" t="str">
        <f>"16"</f>
        <v>16</v>
      </c>
      <c r="E8272" t="str">
        <f>"1-364-16"</f>
        <v>1-364-16</v>
      </c>
      <c r="F8272" t="s">
        <v>83</v>
      </c>
      <c r="G8272" t="s">
        <v>84</v>
      </c>
      <c r="H8272" t="s">
        <v>85</v>
      </c>
      <c r="AC8272">
        <v>0</v>
      </c>
      <c r="AD8272">
        <v>1</v>
      </c>
      <c r="AE8272">
        <v>0</v>
      </c>
      <c r="AF8272">
        <v>0</v>
      </c>
      <c r="AG8272">
        <v>0</v>
      </c>
      <c r="AJ8272">
        <v>0</v>
      </c>
      <c r="AK8272">
        <v>1</v>
      </c>
      <c r="AL8272">
        <v>0</v>
      </c>
      <c r="AM8272">
        <v>0</v>
      </c>
      <c r="AN8272">
        <v>1</v>
      </c>
      <c r="AO8272">
        <v>0</v>
      </c>
      <c r="AP8272">
        <v>0</v>
      </c>
      <c r="AQ8272">
        <v>0</v>
      </c>
      <c r="AR8272">
        <v>0</v>
      </c>
      <c r="AS8272">
        <v>1</v>
      </c>
      <c r="AT8272">
        <v>0</v>
      </c>
      <c r="AV8272">
        <v>0</v>
      </c>
      <c r="AW8272">
        <v>0</v>
      </c>
    </row>
    <row r="8273" spans="1:49" x14ac:dyDescent="0.25">
      <c r="A8273" t="str">
        <f>"8269"</f>
        <v>8269</v>
      </c>
      <c r="B8273" t="str">
        <f t="shared" si="480"/>
        <v>1</v>
      </c>
      <c r="C8273" t="str">
        <f t="shared" si="482"/>
        <v>364</v>
      </c>
      <c r="D8273" t="str">
        <f>"6"</f>
        <v>6</v>
      </c>
      <c r="E8273" t="str">
        <f>"1-364-6"</f>
        <v>1-364-6</v>
      </c>
      <c r="F8273" t="s">
        <v>83</v>
      </c>
      <c r="G8273" t="s">
        <v>84</v>
      </c>
      <c r="H8273" t="s">
        <v>85</v>
      </c>
      <c r="AC8273">
        <v>0</v>
      </c>
      <c r="AD8273">
        <v>1</v>
      </c>
      <c r="AE8273">
        <v>0</v>
      </c>
      <c r="AF8273">
        <v>0</v>
      </c>
      <c r="AG8273">
        <v>1</v>
      </c>
      <c r="AJ8273">
        <v>0</v>
      </c>
      <c r="AK8273">
        <v>1</v>
      </c>
      <c r="AL8273">
        <v>0</v>
      </c>
      <c r="AM8273">
        <v>1</v>
      </c>
      <c r="AN8273">
        <v>0</v>
      </c>
      <c r="AO8273">
        <v>1</v>
      </c>
      <c r="AP8273">
        <v>1</v>
      </c>
      <c r="AQ8273">
        <v>1</v>
      </c>
      <c r="AR8273">
        <v>1</v>
      </c>
      <c r="AS8273">
        <v>0</v>
      </c>
      <c r="AT8273">
        <v>1</v>
      </c>
      <c r="AV8273">
        <v>1</v>
      </c>
      <c r="AW8273">
        <v>1</v>
      </c>
    </row>
    <row r="8274" spans="1:49" x14ac:dyDescent="0.25">
      <c r="A8274" t="str">
        <f>"8270"</f>
        <v>8270</v>
      </c>
      <c r="B8274" t="str">
        <f t="shared" si="480"/>
        <v>1</v>
      </c>
      <c r="C8274" t="str">
        <f t="shared" si="482"/>
        <v>364</v>
      </c>
      <c r="D8274" t="str">
        <f>"17"</f>
        <v>17</v>
      </c>
      <c r="E8274" t="str">
        <f>"1-364-17"</f>
        <v>1-364-17</v>
      </c>
      <c r="F8274" t="s">
        <v>83</v>
      </c>
      <c r="G8274" t="s">
        <v>84</v>
      </c>
      <c r="H8274" t="s">
        <v>85</v>
      </c>
      <c r="AC8274">
        <v>1</v>
      </c>
      <c r="AD8274">
        <v>0</v>
      </c>
      <c r="AE8274">
        <v>0</v>
      </c>
      <c r="AF8274">
        <v>0</v>
      </c>
      <c r="AG8274">
        <v>0</v>
      </c>
      <c r="AJ8274">
        <v>1</v>
      </c>
      <c r="AK8274">
        <v>0</v>
      </c>
      <c r="AL8274">
        <v>1</v>
      </c>
      <c r="AM8274">
        <v>0</v>
      </c>
      <c r="AN8274">
        <v>0</v>
      </c>
      <c r="AO8274">
        <v>0</v>
      </c>
      <c r="AP8274">
        <v>0</v>
      </c>
      <c r="AQ8274">
        <v>0</v>
      </c>
      <c r="AR8274">
        <v>0</v>
      </c>
      <c r="AS8274">
        <v>1</v>
      </c>
      <c r="AT8274">
        <v>0</v>
      </c>
      <c r="AV8274">
        <v>0</v>
      </c>
      <c r="AW8274">
        <v>0</v>
      </c>
    </row>
    <row r="8275" spans="1:49" x14ac:dyDescent="0.25">
      <c r="A8275" t="str">
        <f>"8271"</f>
        <v>8271</v>
      </c>
      <c r="B8275" t="str">
        <f t="shared" si="480"/>
        <v>1</v>
      </c>
      <c r="C8275" t="str">
        <f t="shared" si="482"/>
        <v>364</v>
      </c>
      <c r="D8275" t="str">
        <f>"3"</f>
        <v>3</v>
      </c>
      <c r="E8275" t="str">
        <f>"1-364-3"</f>
        <v>1-364-3</v>
      </c>
      <c r="F8275" t="s">
        <v>83</v>
      </c>
      <c r="G8275" t="s">
        <v>84</v>
      </c>
      <c r="H8275" t="s">
        <v>85</v>
      </c>
      <c r="AC8275">
        <v>0</v>
      </c>
      <c r="AD8275">
        <v>1</v>
      </c>
      <c r="AE8275">
        <v>0</v>
      </c>
      <c r="AF8275">
        <v>0</v>
      </c>
      <c r="AG8275">
        <v>0</v>
      </c>
      <c r="AJ8275">
        <v>0</v>
      </c>
      <c r="AK8275">
        <v>1</v>
      </c>
      <c r="AL8275">
        <v>0</v>
      </c>
      <c r="AM8275">
        <v>0</v>
      </c>
      <c r="AN8275">
        <v>1</v>
      </c>
      <c r="AO8275">
        <v>0</v>
      </c>
      <c r="AP8275">
        <v>0</v>
      </c>
      <c r="AQ8275">
        <v>0</v>
      </c>
      <c r="AR8275">
        <v>0</v>
      </c>
      <c r="AS8275">
        <v>1</v>
      </c>
      <c r="AT8275">
        <v>0</v>
      </c>
      <c r="AV8275">
        <v>0</v>
      </c>
      <c r="AW8275">
        <v>0</v>
      </c>
    </row>
    <row r="8276" spans="1:49" x14ac:dyDescent="0.25">
      <c r="A8276" t="str">
        <f>"8272"</f>
        <v>8272</v>
      </c>
      <c r="B8276" t="str">
        <f t="shared" si="480"/>
        <v>1</v>
      </c>
      <c r="C8276" t="str">
        <f t="shared" ref="C8276:C8300" si="483">"365"</f>
        <v>365</v>
      </c>
      <c r="D8276" t="str">
        <f>"23"</f>
        <v>23</v>
      </c>
      <c r="E8276" t="str">
        <f>"1-365-23"</f>
        <v>1-365-23</v>
      </c>
      <c r="F8276" t="s">
        <v>83</v>
      </c>
      <c r="G8276" t="s">
        <v>84</v>
      </c>
      <c r="H8276" t="s">
        <v>92</v>
      </c>
      <c r="I8276">
        <v>1</v>
      </c>
      <c r="J8276">
        <v>1</v>
      </c>
      <c r="N8276">
        <v>1</v>
      </c>
      <c r="O8276">
        <v>1</v>
      </c>
      <c r="P8276">
        <v>1</v>
      </c>
      <c r="Q8276">
        <v>1</v>
      </c>
      <c r="R8276">
        <v>0</v>
      </c>
      <c r="S8276">
        <v>1</v>
      </c>
      <c r="T8276">
        <v>1</v>
      </c>
      <c r="W8276">
        <v>0</v>
      </c>
      <c r="X8276">
        <v>1</v>
      </c>
      <c r="Y8276">
        <v>1</v>
      </c>
      <c r="Z8276">
        <v>0</v>
      </c>
      <c r="AA8276">
        <v>0</v>
      </c>
      <c r="AB8276">
        <v>1</v>
      </c>
    </row>
    <row r="8277" spans="1:49" x14ac:dyDescent="0.25">
      <c r="A8277" t="str">
        <f>"8273"</f>
        <v>8273</v>
      </c>
      <c r="B8277" t="str">
        <f t="shared" si="480"/>
        <v>1</v>
      </c>
      <c r="C8277" t="str">
        <f t="shared" si="483"/>
        <v>365</v>
      </c>
      <c r="D8277" t="str">
        <f>"22"</f>
        <v>22</v>
      </c>
      <c r="E8277" t="str">
        <f>"1-365-22"</f>
        <v>1-365-22</v>
      </c>
      <c r="F8277" t="s">
        <v>83</v>
      </c>
      <c r="G8277" t="s">
        <v>84</v>
      </c>
      <c r="H8277" t="s">
        <v>92</v>
      </c>
      <c r="I8277">
        <v>1</v>
      </c>
      <c r="J8277">
        <v>1</v>
      </c>
      <c r="N8277">
        <v>1</v>
      </c>
      <c r="O8277">
        <v>1</v>
      </c>
      <c r="P8277">
        <v>1</v>
      </c>
      <c r="Q8277">
        <v>1</v>
      </c>
      <c r="R8277">
        <v>1</v>
      </c>
      <c r="S8277">
        <v>1</v>
      </c>
      <c r="T8277">
        <v>1</v>
      </c>
      <c r="W8277">
        <v>1</v>
      </c>
      <c r="X8277">
        <v>1</v>
      </c>
      <c r="Y8277">
        <v>1</v>
      </c>
      <c r="Z8277">
        <v>1</v>
      </c>
      <c r="AA8277">
        <v>1</v>
      </c>
      <c r="AB8277">
        <v>1</v>
      </c>
    </row>
    <row r="8278" spans="1:49" x14ac:dyDescent="0.25">
      <c r="A8278" t="str">
        <f>"8274"</f>
        <v>8274</v>
      </c>
      <c r="B8278" t="str">
        <f t="shared" si="480"/>
        <v>1</v>
      </c>
      <c r="C8278" t="str">
        <f t="shared" si="483"/>
        <v>365</v>
      </c>
      <c r="D8278" t="str">
        <f>"15"</f>
        <v>15</v>
      </c>
      <c r="E8278" t="str">
        <f>"1-365-15"</f>
        <v>1-365-15</v>
      </c>
      <c r="F8278" t="s">
        <v>83</v>
      </c>
      <c r="G8278" t="s">
        <v>84</v>
      </c>
      <c r="H8278" t="s">
        <v>85</v>
      </c>
      <c r="AC8278">
        <v>0</v>
      </c>
      <c r="AD8278">
        <v>1</v>
      </c>
      <c r="AE8278">
        <v>0</v>
      </c>
      <c r="AF8278">
        <v>0</v>
      </c>
      <c r="AG8278">
        <v>0</v>
      </c>
      <c r="AJ8278">
        <v>1</v>
      </c>
      <c r="AK8278">
        <v>0</v>
      </c>
      <c r="AL8278">
        <v>0</v>
      </c>
      <c r="AM8278">
        <v>1</v>
      </c>
      <c r="AN8278">
        <v>0</v>
      </c>
      <c r="AO8278">
        <v>1</v>
      </c>
      <c r="AP8278">
        <v>1</v>
      </c>
      <c r="AQ8278">
        <v>1</v>
      </c>
      <c r="AR8278">
        <v>1</v>
      </c>
      <c r="AS8278">
        <v>1</v>
      </c>
      <c r="AT8278">
        <v>0</v>
      </c>
      <c r="AV8278">
        <v>1</v>
      </c>
      <c r="AW8278">
        <v>0</v>
      </c>
    </row>
    <row r="8279" spans="1:49" x14ac:dyDescent="0.25">
      <c r="A8279" t="str">
        <f>"8275"</f>
        <v>8275</v>
      </c>
      <c r="B8279" t="str">
        <f t="shared" si="480"/>
        <v>1</v>
      </c>
      <c r="C8279" t="str">
        <f t="shared" si="483"/>
        <v>365</v>
      </c>
      <c r="D8279" t="str">
        <f>"14"</f>
        <v>14</v>
      </c>
      <c r="E8279" t="str">
        <f>"1-365-14"</f>
        <v>1-365-14</v>
      </c>
      <c r="F8279" t="s">
        <v>83</v>
      </c>
      <c r="G8279" t="s">
        <v>84</v>
      </c>
      <c r="H8279" t="s">
        <v>85</v>
      </c>
      <c r="AC8279">
        <v>0</v>
      </c>
      <c r="AD8279">
        <v>1</v>
      </c>
      <c r="AE8279">
        <v>0</v>
      </c>
      <c r="AF8279">
        <v>0</v>
      </c>
      <c r="AG8279">
        <v>1</v>
      </c>
      <c r="AJ8279">
        <v>0</v>
      </c>
      <c r="AK8279">
        <v>1</v>
      </c>
      <c r="AL8279">
        <v>0</v>
      </c>
      <c r="AM8279">
        <v>0</v>
      </c>
      <c r="AN8279">
        <v>1</v>
      </c>
      <c r="AO8279">
        <v>1</v>
      </c>
      <c r="AP8279">
        <v>1</v>
      </c>
      <c r="AQ8279">
        <v>1</v>
      </c>
      <c r="AR8279">
        <v>1</v>
      </c>
      <c r="AS8279">
        <v>0</v>
      </c>
      <c r="AT8279">
        <v>1</v>
      </c>
      <c r="AV8279">
        <v>1</v>
      </c>
      <c r="AW8279">
        <v>1</v>
      </c>
    </row>
    <row r="8280" spans="1:49" x14ac:dyDescent="0.25">
      <c r="A8280" t="str">
        <f>"8276"</f>
        <v>8276</v>
      </c>
      <c r="B8280" t="str">
        <f t="shared" si="480"/>
        <v>1</v>
      </c>
      <c r="C8280" t="str">
        <f t="shared" si="483"/>
        <v>365</v>
      </c>
      <c r="D8280" t="str">
        <f>"13"</f>
        <v>13</v>
      </c>
      <c r="E8280" t="str">
        <f>"1-365-13"</f>
        <v>1-365-13</v>
      </c>
      <c r="F8280" t="s">
        <v>83</v>
      </c>
      <c r="G8280" t="s">
        <v>84</v>
      </c>
      <c r="H8280" t="s">
        <v>92</v>
      </c>
      <c r="I8280">
        <v>1</v>
      </c>
      <c r="J8280">
        <v>1</v>
      </c>
      <c r="N8280">
        <v>1</v>
      </c>
      <c r="O8280">
        <v>1</v>
      </c>
      <c r="P8280">
        <v>1</v>
      </c>
      <c r="Q8280">
        <v>1</v>
      </c>
      <c r="R8280">
        <v>1</v>
      </c>
      <c r="S8280">
        <v>1</v>
      </c>
      <c r="T8280">
        <v>1</v>
      </c>
      <c r="W8280">
        <v>1</v>
      </c>
      <c r="X8280">
        <v>1</v>
      </c>
      <c r="Y8280">
        <v>1</v>
      </c>
      <c r="Z8280">
        <v>1</v>
      </c>
      <c r="AA8280">
        <v>1</v>
      </c>
      <c r="AB8280">
        <v>1</v>
      </c>
    </row>
    <row r="8281" spans="1:49" x14ac:dyDescent="0.25">
      <c r="A8281" t="str">
        <f>"8277"</f>
        <v>8277</v>
      </c>
      <c r="B8281" t="str">
        <f t="shared" si="480"/>
        <v>1</v>
      </c>
      <c r="C8281" t="str">
        <f t="shared" si="483"/>
        <v>365</v>
      </c>
      <c r="D8281" t="str">
        <f>"8"</f>
        <v>8</v>
      </c>
      <c r="E8281" t="str">
        <f>"1-365-8"</f>
        <v>1-365-8</v>
      </c>
      <c r="F8281" t="s">
        <v>83</v>
      </c>
      <c r="G8281" t="s">
        <v>84</v>
      </c>
      <c r="H8281" t="s">
        <v>85</v>
      </c>
      <c r="AC8281">
        <v>0</v>
      </c>
      <c r="AD8281">
        <v>1</v>
      </c>
      <c r="AE8281">
        <v>0</v>
      </c>
      <c r="AF8281">
        <v>0</v>
      </c>
      <c r="AG8281">
        <v>1</v>
      </c>
      <c r="AJ8281">
        <v>0</v>
      </c>
      <c r="AK8281">
        <v>1</v>
      </c>
      <c r="AL8281">
        <v>0</v>
      </c>
      <c r="AM8281">
        <v>1</v>
      </c>
      <c r="AN8281">
        <v>0</v>
      </c>
      <c r="AO8281">
        <v>1</v>
      </c>
      <c r="AP8281">
        <v>1</v>
      </c>
      <c r="AQ8281">
        <v>1</v>
      </c>
      <c r="AR8281">
        <v>1</v>
      </c>
      <c r="AS8281">
        <v>1</v>
      </c>
      <c r="AT8281">
        <v>0</v>
      </c>
      <c r="AV8281">
        <v>1</v>
      </c>
      <c r="AW8281">
        <v>1</v>
      </c>
    </row>
    <row r="8282" spans="1:49" x14ac:dyDescent="0.25">
      <c r="A8282" t="str">
        <f>"8278"</f>
        <v>8278</v>
      </c>
      <c r="B8282" t="str">
        <f t="shared" si="480"/>
        <v>1</v>
      </c>
      <c r="C8282" t="str">
        <f t="shared" si="483"/>
        <v>365</v>
      </c>
      <c r="D8282" t="str">
        <f>"2"</f>
        <v>2</v>
      </c>
      <c r="E8282" t="str">
        <f>"1-365-2"</f>
        <v>1-365-2</v>
      </c>
      <c r="F8282" t="s">
        <v>83</v>
      </c>
      <c r="G8282" t="s">
        <v>84</v>
      </c>
      <c r="H8282" t="s">
        <v>85</v>
      </c>
      <c r="AC8282">
        <v>0</v>
      </c>
      <c r="AD8282">
        <v>1</v>
      </c>
      <c r="AE8282">
        <v>0</v>
      </c>
      <c r="AF8282">
        <v>0</v>
      </c>
      <c r="AG8282">
        <v>0</v>
      </c>
      <c r="AJ8282">
        <v>0</v>
      </c>
      <c r="AK8282">
        <v>1</v>
      </c>
      <c r="AL8282">
        <v>0</v>
      </c>
      <c r="AM8282">
        <v>0</v>
      </c>
      <c r="AN8282">
        <v>1</v>
      </c>
      <c r="AO8282">
        <v>0</v>
      </c>
      <c r="AP8282">
        <v>0</v>
      </c>
      <c r="AQ8282">
        <v>0</v>
      </c>
      <c r="AR8282">
        <v>0</v>
      </c>
      <c r="AS8282">
        <v>0</v>
      </c>
      <c r="AT8282">
        <v>0</v>
      </c>
      <c r="AV8282">
        <v>0</v>
      </c>
      <c r="AW8282">
        <v>0</v>
      </c>
    </row>
    <row r="8283" spans="1:49" x14ac:dyDescent="0.25">
      <c r="A8283" t="str">
        <f>"8279"</f>
        <v>8279</v>
      </c>
      <c r="B8283" t="str">
        <f t="shared" si="480"/>
        <v>1</v>
      </c>
      <c r="C8283" t="str">
        <f t="shared" si="483"/>
        <v>365</v>
      </c>
      <c r="D8283" t="str">
        <f>"25"</f>
        <v>25</v>
      </c>
      <c r="E8283" t="str">
        <f>"1-365-25"</f>
        <v>1-365-25</v>
      </c>
      <c r="F8283" t="s">
        <v>83</v>
      </c>
      <c r="G8283" t="s">
        <v>84</v>
      </c>
      <c r="H8283" t="s">
        <v>92</v>
      </c>
      <c r="I8283">
        <v>1</v>
      </c>
      <c r="J8283">
        <v>0</v>
      </c>
      <c r="N8283">
        <v>1</v>
      </c>
      <c r="O8283">
        <v>1</v>
      </c>
      <c r="P8283">
        <v>1</v>
      </c>
      <c r="Q8283">
        <v>1</v>
      </c>
      <c r="R8283">
        <v>1</v>
      </c>
      <c r="S8283">
        <v>1</v>
      </c>
      <c r="T8283">
        <v>1</v>
      </c>
      <c r="W8283">
        <v>1</v>
      </c>
      <c r="X8283">
        <v>1</v>
      </c>
      <c r="Y8283">
        <v>1</v>
      </c>
      <c r="Z8283">
        <v>1</v>
      </c>
      <c r="AA8283">
        <v>1</v>
      </c>
      <c r="AB8283">
        <v>1</v>
      </c>
    </row>
    <row r="8284" spans="1:49" x14ac:dyDescent="0.25">
      <c r="A8284" t="str">
        <f>"8280"</f>
        <v>8280</v>
      </c>
      <c r="B8284" t="str">
        <f t="shared" si="480"/>
        <v>1</v>
      </c>
      <c r="C8284" t="str">
        <f t="shared" si="483"/>
        <v>365</v>
      </c>
      <c r="D8284" t="str">
        <f>"24"</f>
        <v>24</v>
      </c>
      <c r="E8284" t="str">
        <f>"1-365-24"</f>
        <v>1-365-24</v>
      </c>
      <c r="F8284" t="s">
        <v>83</v>
      </c>
      <c r="G8284" t="s">
        <v>84</v>
      </c>
      <c r="H8284" t="s">
        <v>92</v>
      </c>
      <c r="I8284">
        <v>1</v>
      </c>
      <c r="J8284">
        <v>1</v>
      </c>
      <c r="N8284">
        <v>1</v>
      </c>
      <c r="O8284">
        <v>1</v>
      </c>
      <c r="P8284">
        <v>1</v>
      </c>
      <c r="Q8284">
        <v>1</v>
      </c>
      <c r="R8284">
        <v>1</v>
      </c>
      <c r="S8284">
        <v>1</v>
      </c>
      <c r="T8284">
        <v>1</v>
      </c>
      <c r="W8284">
        <v>1</v>
      </c>
      <c r="X8284">
        <v>1</v>
      </c>
      <c r="Y8284">
        <v>1</v>
      </c>
      <c r="Z8284">
        <v>1</v>
      </c>
      <c r="AA8284">
        <v>1</v>
      </c>
      <c r="AB8284">
        <v>1</v>
      </c>
    </row>
    <row r="8285" spans="1:49" x14ac:dyDescent="0.25">
      <c r="A8285" t="str">
        <f>"8281"</f>
        <v>8281</v>
      </c>
      <c r="B8285" t="str">
        <f t="shared" si="480"/>
        <v>1</v>
      </c>
      <c r="C8285" t="str">
        <f t="shared" si="483"/>
        <v>365</v>
      </c>
      <c r="D8285" t="str">
        <f>"18"</f>
        <v>18</v>
      </c>
      <c r="E8285" t="str">
        <f>"1-365-18"</f>
        <v>1-365-18</v>
      </c>
      <c r="F8285" t="s">
        <v>83</v>
      </c>
      <c r="G8285" t="s">
        <v>84</v>
      </c>
      <c r="H8285" t="s">
        <v>92</v>
      </c>
      <c r="I8285">
        <v>1</v>
      </c>
      <c r="J8285">
        <v>1</v>
      </c>
      <c r="N8285">
        <v>1</v>
      </c>
      <c r="O8285">
        <v>1</v>
      </c>
      <c r="P8285">
        <v>1</v>
      </c>
      <c r="Q8285">
        <v>1</v>
      </c>
      <c r="R8285">
        <v>1</v>
      </c>
      <c r="S8285">
        <v>1</v>
      </c>
      <c r="T8285">
        <v>1</v>
      </c>
      <c r="W8285">
        <v>1</v>
      </c>
      <c r="X8285">
        <v>1</v>
      </c>
      <c r="Y8285">
        <v>1</v>
      </c>
      <c r="Z8285">
        <v>1</v>
      </c>
      <c r="AA8285">
        <v>1</v>
      </c>
      <c r="AB8285">
        <v>1</v>
      </c>
    </row>
    <row r="8286" spans="1:49" x14ac:dyDescent="0.25">
      <c r="A8286" t="str">
        <f>"8282"</f>
        <v>8282</v>
      </c>
      <c r="B8286" t="str">
        <f t="shared" ref="B8286:B8349" si="484">"1"</f>
        <v>1</v>
      </c>
      <c r="C8286" t="str">
        <f t="shared" si="483"/>
        <v>365</v>
      </c>
      <c r="D8286" t="str">
        <f>"9"</f>
        <v>9</v>
      </c>
      <c r="E8286" t="str">
        <f>"1-365-9"</f>
        <v>1-365-9</v>
      </c>
      <c r="F8286" t="s">
        <v>83</v>
      </c>
      <c r="G8286" t="s">
        <v>84</v>
      </c>
      <c r="H8286" t="s">
        <v>85</v>
      </c>
      <c r="AC8286">
        <v>0</v>
      </c>
      <c r="AD8286">
        <v>1</v>
      </c>
      <c r="AE8286">
        <v>0</v>
      </c>
      <c r="AF8286">
        <v>0</v>
      </c>
      <c r="AG8286">
        <v>0</v>
      </c>
      <c r="AJ8286">
        <v>0</v>
      </c>
      <c r="AK8286">
        <v>1</v>
      </c>
      <c r="AL8286">
        <v>0</v>
      </c>
      <c r="AM8286">
        <v>1</v>
      </c>
      <c r="AN8286">
        <v>0</v>
      </c>
      <c r="AO8286">
        <v>0</v>
      </c>
      <c r="AP8286">
        <v>0</v>
      </c>
      <c r="AQ8286">
        <v>0</v>
      </c>
      <c r="AR8286">
        <v>0</v>
      </c>
      <c r="AS8286">
        <v>0</v>
      </c>
      <c r="AT8286">
        <v>1</v>
      </c>
      <c r="AV8286">
        <v>0</v>
      </c>
      <c r="AW8286">
        <v>0</v>
      </c>
    </row>
    <row r="8287" spans="1:49" x14ac:dyDescent="0.25">
      <c r="A8287" t="str">
        <f>"8283"</f>
        <v>8283</v>
      </c>
      <c r="B8287" t="str">
        <f t="shared" si="484"/>
        <v>1</v>
      </c>
      <c r="C8287" t="str">
        <f t="shared" si="483"/>
        <v>365</v>
      </c>
      <c r="D8287" t="str">
        <f>"7"</f>
        <v>7</v>
      </c>
      <c r="E8287" t="str">
        <f>"1-365-7"</f>
        <v>1-365-7</v>
      </c>
      <c r="F8287" t="s">
        <v>83</v>
      </c>
      <c r="G8287" t="s">
        <v>84</v>
      </c>
      <c r="H8287" t="s">
        <v>85</v>
      </c>
      <c r="AC8287">
        <v>0</v>
      </c>
      <c r="AD8287">
        <v>1</v>
      </c>
      <c r="AE8287">
        <v>0</v>
      </c>
      <c r="AF8287">
        <v>0</v>
      </c>
      <c r="AG8287">
        <v>0</v>
      </c>
      <c r="AJ8287">
        <v>0</v>
      </c>
      <c r="AK8287">
        <v>1</v>
      </c>
      <c r="AL8287">
        <v>0</v>
      </c>
      <c r="AM8287">
        <v>0</v>
      </c>
      <c r="AN8287">
        <v>1</v>
      </c>
      <c r="AO8287">
        <v>1</v>
      </c>
      <c r="AP8287">
        <v>1</v>
      </c>
      <c r="AQ8287">
        <v>1</v>
      </c>
      <c r="AR8287">
        <v>1</v>
      </c>
      <c r="AS8287">
        <v>1</v>
      </c>
      <c r="AT8287">
        <v>0</v>
      </c>
      <c r="AV8287">
        <v>1</v>
      </c>
      <c r="AW8287">
        <v>1</v>
      </c>
    </row>
    <row r="8288" spans="1:49" x14ac:dyDescent="0.25">
      <c r="A8288" t="str">
        <f>"8284"</f>
        <v>8284</v>
      </c>
      <c r="B8288" t="str">
        <f t="shared" si="484"/>
        <v>1</v>
      </c>
      <c r="C8288" t="str">
        <f t="shared" si="483"/>
        <v>365</v>
      </c>
      <c r="D8288" t="str">
        <f>"20"</f>
        <v>20</v>
      </c>
      <c r="E8288" t="str">
        <f>"1-365-20"</f>
        <v>1-365-20</v>
      </c>
      <c r="F8288" t="s">
        <v>83</v>
      </c>
      <c r="G8288" t="s">
        <v>84</v>
      </c>
      <c r="H8288" t="s">
        <v>85</v>
      </c>
      <c r="AC8288">
        <v>0</v>
      </c>
      <c r="AD8288">
        <v>1</v>
      </c>
      <c r="AE8288">
        <v>0</v>
      </c>
      <c r="AF8288">
        <v>0</v>
      </c>
      <c r="AG8288">
        <v>0</v>
      </c>
      <c r="AJ8288">
        <v>0</v>
      </c>
      <c r="AK8288">
        <v>1</v>
      </c>
      <c r="AL8288">
        <v>0</v>
      </c>
      <c r="AM8288">
        <v>0</v>
      </c>
      <c r="AN8288">
        <v>1</v>
      </c>
      <c r="AO8288">
        <v>0</v>
      </c>
      <c r="AP8288">
        <v>0</v>
      </c>
      <c r="AQ8288">
        <v>0</v>
      </c>
      <c r="AR8288">
        <v>0</v>
      </c>
      <c r="AS8288">
        <v>0</v>
      </c>
      <c r="AT8288">
        <v>1</v>
      </c>
      <c r="AV8288">
        <v>0</v>
      </c>
      <c r="AW8288">
        <v>0</v>
      </c>
    </row>
    <row r="8289" spans="1:49" x14ac:dyDescent="0.25">
      <c r="A8289" t="str">
        <f>"8285"</f>
        <v>8285</v>
      </c>
      <c r="B8289" t="str">
        <f t="shared" si="484"/>
        <v>1</v>
      </c>
      <c r="C8289" t="str">
        <f t="shared" si="483"/>
        <v>365</v>
      </c>
      <c r="D8289" t="str">
        <f>"10"</f>
        <v>10</v>
      </c>
      <c r="E8289" t="str">
        <f>"1-365-10"</f>
        <v>1-365-10</v>
      </c>
      <c r="F8289" t="s">
        <v>83</v>
      </c>
      <c r="G8289" t="s">
        <v>84</v>
      </c>
      <c r="H8289" t="s">
        <v>85</v>
      </c>
      <c r="AC8289">
        <v>0</v>
      </c>
      <c r="AD8289">
        <v>1</v>
      </c>
      <c r="AE8289">
        <v>0</v>
      </c>
      <c r="AF8289">
        <v>0</v>
      </c>
      <c r="AG8289">
        <v>0</v>
      </c>
      <c r="AJ8289">
        <v>0</v>
      </c>
      <c r="AK8289">
        <v>1</v>
      </c>
      <c r="AL8289">
        <v>0</v>
      </c>
      <c r="AM8289">
        <v>0</v>
      </c>
      <c r="AN8289">
        <v>1</v>
      </c>
      <c r="AO8289">
        <v>0</v>
      </c>
      <c r="AP8289">
        <v>0</v>
      </c>
      <c r="AQ8289">
        <v>0</v>
      </c>
      <c r="AR8289">
        <v>0</v>
      </c>
      <c r="AS8289">
        <v>0</v>
      </c>
      <c r="AT8289">
        <v>1</v>
      </c>
      <c r="AV8289">
        <v>0</v>
      </c>
      <c r="AW8289">
        <v>0</v>
      </c>
    </row>
    <row r="8290" spans="1:49" x14ac:dyDescent="0.25">
      <c r="A8290" t="str">
        <f>"8286"</f>
        <v>8286</v>
      </c>
      <c r="B8290" t="str">
        <f t="shared" si="484"/>
        <v>1</v>
      </c>
      <c r="C8290" t="str">
        <f t="shared" si="483"/>
        <v>365</v>
      </c>
      <c r="D8290" t="str">
        <f>"1"</f>
        <v>1</v>
      </c>
      <c r="E8290" t="str">
        <f>"1-365-1"</f>
        <v>1-365-1</v>
      </c>
      <c r="F8290" t="s">
        <v>83</v>
      </c>
      <c r="G8290" t="s">
        <v>84</v>
      </c>
      <c r="H8290" t="s">
        <v>92</v>
      </c>
      <c r="I8290">
        <v>1</v>
      </c>
      <c r="J8290">
        <v>1</v>
      </c>
      <c r="N8290">
        <v>1</v>
      </c>
      <c r="O8290">
        <v>1</v>
      </c>
      <c r="P8290">
        <v>1</v>
      </c>
      <c r="Q8290">
        <v>1</v>
      </c>
      <c r="R8290">
        <v>1</v>
      </c>
      <c r="S8290">
        <v>1</v>
      </c>
      <c r="T8290">
        <v>1</v>
      </c>
      <c r="W8290">
        <v>1</v>
      </c>
      <c r="X8290">
        <v>1</v>
      </c>
      <c r="Y8290">
        <v>1</v>
      </c>
      <c r="Z8290">
        <v>1</v>
      </c>
      <c r="AA8290">
        <v>1</v>
      </c>
      <c r="AB8290">
        <v>1</v>
      </c>
    </row>
    <row r="8291" spans="1:49" x14ac:dyDescent="0.25">
      <c r="A8291" t="str">
        <f>"8287"</f>
        <v>8287</v>
      </c>
      <c r="B8291" t="str">
        <f t="shared" si="484"/>
        <v>1</v>
      </c>
      <c r="C8291" t="str">
        <f t="shared" si="483"/>
        <v>365</v>
      </c>
      <c r="D8291" t="str">
        <f>"21"</f>
        <v>21</v>
      </c>
      <c r="E8291" t="str">
        <f>"1-365-21"</f>
        <v>1-365-21</v>
      </c>
      <c r="F8291" t="s">
        <v>83</v>
      </c>
      <c r="G8291" t="s">
        <v>84</v>
      </c>
      <c r="H8291" t="s">
        <v>92</v>
      </c>
      <c r="I8291">
        <v>1</v>
      </c>
      <c r="J8291">
        <v>1</v>
      </c>
      <c r="N8291">
        <v>1</v>
      </c>
      <c r="O8291">
        <v>1</v>
      </c>
      <c r="P8291">
        <v>1</v>
      </c>
      <c r="Q8291">
        <v>1</v>
      </c>
      <c r="R8291">
        <v>1</v>
      </c>
      <c r="S8291">
        <v>1</v>
      </c>
      <c r="T8291">
        <v>1</v>
      </c>
      <c r="W8291">
        <v>1</v>
      </c>
      <c r="X8291">
        <v>1</v>
      </c>
      <c r="Y8291">
        <v>1</v>
      </c>
      <c r="Z8291">
        <v>1</v>
      </c>
      <c r="AA8291">
        <v>1</v>
      </c>
      <c r="AB8291">
        <v>1</v>
      </c>
    </row>
    <row r="8292" spans="1:49" x14ac:dyDescent="0.25">
      <c r="A8292" t="str">
        <f>"8288"</f>
        <v>8288</v>
      </c>
      <c r="B8292" t="str">
        <f t="shared" si="484"/>
        <v>1</v>
      </c>
      <c r="C8292" t="str">
        <f t="shared" si="483"/>
        <v>365</v>
      </c>
      <c r="D8292" t="str">
        <f>"11"</f>
        <v>11</v>
      </c>
      <c r="E8292" t="str">
        <f>"1-365-11"</f>
        <v>1-365-11</v>
      </c>
      <c r="F8292" t="s">
        <v>83</v>
      </c>
      <c r="G8292" t="s">
        <v>84</v>
      </c>
      <c r="H8292" t="s">
        <v>85</v>
      </c>
      <c r="AC8292">
        <v>0</v>
      </c>
      <c r="AD8292">
        <v>1</v>
      </c>
      <c r="AE8292">
        <v>0</v>
      </c>
      <c r="AF8292">
        <v>0</v>
      </c>
      <c r="AG8292">
        <v>0</v>
      </c>
      <c r="AJ8292">
        <v>0</v>
      </c>
      <c r="AK8292">
        <v>1</v>
      </c>
      <c r="AL8292">
        <v>0</v>
      </c>
      <c r="AM8292">
        <v>0</v>
      </c>
      <c r="AN8292">
        <v>1</v>
      </c>
      <c r="AO8292">
        <v>0</v>
      </c>
      <c r="AP8292">
        <v>0</v>
      </c>
      <c r="AQ8292">
        <v>0</v>
      </c>
      <c r="AR8292">
        <v>1</v>
      </c>
      <c r="AS8292">
        <v>0</v>
      </c>
      <c r="AT8292">
        <v>1</v>
      </c>
      <c r="AV8292">
        <v>0</v>
      </c>
      <c r="AW8292">
        <v>1</v>
      </c>
    </row>
    <row r="8293" spans="1:49" x14ac:dyDescent="0.25">
      <c r="A8293" t="str">
        <f>"8289"</f>
        <v>8289</v>
      </c>
      <c r="B8293" t="str">
        <f t="shared" si="484"/>
        <v>1</v>
      </c>
      <c r="C8293" t="str">
        <f t="shared" si="483"/>
        <v>365</v>
      </c>
      <c r="D8293" t="str">
        <f>"5"</f>
        <v>5</v>
      </c>
      <c r="E8293" t="str">
        <f>"1-365-5"</f>
        <v>1-365-5</v>
      </c>
      <c r="F8293" t="s">
        <v>83</v>
      </c>
      <c r="G8293" t="s">
        <v>84</v>
      </c>
      <c r="H8293" t="s">
        <v>85</v>
      </c>
      <c r="AC8293">
        <v>0</v>
      </c>
      <c r="AD8293">
        <v>1</v>
      </c>
      <c r="AE8293">
        <v>0</v>
      </c>
      <c r="AF8293">
        <v>0</v>
      </c>
      <c r="AG8293">
        <v>0</v>
      </c>
      <c r="AJ8293">
        <v>1</v>
      </c>
      <c r="AK8293">
        <v>0</v>
      </c>
      <c r="AL8293">
        <v>0</v>
      </c>
      <c r="AM8293">
        <v>0</v>
      </c>
      <c r="AN8293">
        <v>1</v>
      </c>
      <c r="AO8293">
        <v>0</v>
      </c>
      <c r="AP8293">
        <v>0</v>
      </c>
      <c r="AQ8293">
        <v>0</v>
      </c>
      <c r="AR8293">
        <v>0</v>
      </c>
      <c r="AS8293">
        <v>0</v>
      </c>
      <c r="AT8293">
        <v>0</v>
      </c>
      <c r="AV8293">
        <v>0</v>
      </c>
      <c r="AW8293">
        <v>0</v>
      </c>
    </row>
    <row r="8294" spans="1:49" x14ac:dyDescent="0.25">
      <c r="A8294" t="str">
        <f>"8290"</f>
        <v>8290</v>
      </c>
      <c r="B8294" t="str">
        <f t="shared" si="484"/>
        <v>1</v>
      </c>
      <c r="C8294" t="str">
        <f t="shared" si="483"/>
        <v>365</v>
      </c>
      <c r="D8294" t="str">
        <f>"19"</f>
        <v>19</v>
      </c>
      <c r="E8294" t="str">
        <f>"1-365-19"</f>
        <v>1-365-19</v>
      </c>
      <c r="F8294" t="s">
        <v>83</v>
      </c>
      <c r="G8294" t="s">
        <v>84</v>
      </c>
      <c r="H8294" t="s">
        <v>92</v>
      </c>
      <c r="I8294">
        <v>1</v>
      </c>
      <c r="J8294">
        <v>1</v>
      </c>
      <c r="N8294">
        <v>1</v>
      </c>
      <c r="O8294">
        <v>1</v>
      </c>
      <c r="P8294">
        <v>1</v>
      </c>
      <c r="Q8294">
        <v>1</v>
      </c>
      <c r="R8294">
        <v>1</v>
      </c>
      <c r="S8294">
        <v>1</v>
      </c>
      <c r="T8294">
        <v>1</v>
      </c>
      <c r="W8294">
        <v>1</v>
      </c>
      <c r="X8294">
        <v>1</v>
      </c>
      <c r="Y8294">
        <v>1</v>
      </c>
      <c r="Z8294">
        <v>1</v>
      </c>
      <c r="AA8294">
        <v>1</v>
      </c>
      <c r="AB8294">
        <v>1</v>
      </c>
    </row>
    <row r="8295" spans="1:49" x14ac:dyDescent="0.25">
      <c r="A8295" t="str">
        <f>"8291"</f>
        <v>8291</v>
      </c>
      <c r="B8295" t="str">
        <f t="shared" si="484"/>
        <v>1</v>
      </c>
      <c r="C8295" t="str">
        <f t="shared" si="483"/>
        <v>365</v>
      </c>
      <c r="D8295" t="str">
        <f>"12"</f>
        <v>12</v>
      </c>
      <c r="E8295" t="str">
        <f>"1-365-12"</f>
        <v>1-365-12</v>
      </c>
      <c r="F8295" t="s">
        <v>83</v>
      </c>
      <c r="G8295" t="s">
        <v>84</v>
      </c>
      <c r="H8295" t="s">
        <v>85</v>
      </c>
      <c r="AC8295">
        <v>0</v>
      </c>
      <c r="AD8295">
        <v>1</v>
      </c>
      <c r="AE8295">
        <v>0</v>
      </c>
      <c r="AF8295">
        <v>0</v>
      </c>
      <c r="AG8295">
        <v>0</v>
      </c>
      <c r="AJ8295">
        <v>0</v>
      </c>
      <c r="AK8295">
        <v>1</v>
      </c>
      <c r="AL8295">
        <v>0</v>
      </c>
      <c r="AM8295">
        <v>0</v>
      </c>
      <c r="AN8295">
        <v>1</v>
      </c>
      <c r="AO8295">
        <v>0</v>
      </c>
      <c r="AP8295">
        <v>0</v>
      </c>
      <c r="AQ8295">
        <v>0</v>
      </c>
      <c r="AR8295">
        <v>0</v>
      </c>
      <c r="AS8295">
        <v>0</v>
      </c>
      <c r="AT8295">
        <v>0</v>
      </c>
      <c r="AV8295">
        <v>0</v>
      </c>
      <c r="AW8295">
        <v>0</v>
      </c>
    </row>
    <row r="8296" spans="1:49" x14ac:dyDescent="0.25">
      <c r="A8296" t="str">
        <f>"8292"</f>
        <v>8292</v>
      </c>
      <c r="B8296" t="str">
        <f t="shared" si="484"/>
        <v>1</v>
      </c>
      <c r="C8296" t="str">
        <f t="shared" si="483"/>
        <v>365</v>
      </c>
      <c r="D8296" t="str">
        <f>"6"</f>
        <v>6</v>
      </c>
      <c r="E8296" t="str">
        <f>"1-365-6"</f>
        <v>1-365-6</v>
      </c>
      <c r="F8296" t="s">
        <v>83</v>
      </c>
      <c r="G8296" t="s">
        <v>84</v>
      </c>
      <c r="H8296" t="s">
        <v>85</v>
      </c>
      <c r="AC8296">
        <v>0</v>
      </c>
      <c r="AD8296">
        <v>1</v>
      </c>
      <c r="AE8296">
        <v>0</v>
      </c>
      <c r="AF8296">
        <v>0</v>
      </c>
      <c r="AG8296">
        <v>0</v>
      </c>
      <c r="AJ8296">
        <v>0</v>
      </c>
      <c r="AK8296">
        <v>1</v>
      </c>
      <c r="AL8296">
        <v>0</v>
      </c>
      <c r="AM8296">
        <v>0</v>
      </c>
      <c r="AN8296">
        <v>1</v>
      </c>
      <c r="AO8296">
        <v>0</v>
      </c>
      <c r="AP8296">
        <v>0</v>
      </c>
      <c r="AQ8296">
        <v>0</v>
      </c>
      <c r="AR8296">
        <v>0</v>
      </c>
      <c r="AS8296">
        <v>0</v>
      </c>
      <c r="AT8296">
        <v>1</v>
      </c>
      <c r="AV8296">
        <v>0</v>
      </c>
      <c r="AW8296">
        <v>0</v>
      </c>
    </row>
    <row r="8297" spans="1:49" x14ac:dyDescent="0.25">
      <c r="A8297" t="str">
        <f>"8293"</f>
        <v>8293</v>
      </c>
      <c r="B8297" t="str">
        <f t="shared" si="484"/>
        <v>1</v>
      </c>
      <c r="C8297" t="str">
        <f t="shared" si="483"/>
        <v>365</v>
      </c>
      <c r="D8297" t="str">
        <f>"16"</f>
        <v>16</v>
      </c>
      <c r="E8297" t="str">
        <f>"1-365-16"</f>
        <v>1-365-16</v>
      </c>
      <c r="F8297" t="s">
        <v>83</v>
      </c>
      <c r="G8297" t="s">
        <v>84</v>
      </c>
      <c r="H8297" t="s">
        <v>85</v>
      </c>
      <c r="AC8297">
        <v>0</v>
      </c>
      <c r="AD8297">
        <v>1</v>
      </c>
      <c r="AE8297">
        <v>0</v>
      </c>
      <c r="AF8297">
        <v>0</v>
      </c>
      <c r="AG8297">
        <v>0</v>
      </c>
      <c r="AJ8297">
        <v>0</v>
      </c>
      <c r="AK8297">
        <v>1</v>
      </c>
      <c r="AL8297">
        <v>0</v>
      </c>
      <c r="AM8297">
        <v>0</v>
      </c>
      <c r="AN8297">
        <v>0</v>
      </c>
      <c r="AO8297">
        <v>0</v>
      </c>
      <c r="AP8297">
        <v>0</v>
      </c>
      <c r="AQ8297">
        <v>0</v>
      </c>
      <c r="AR8297">
        <v>0</v>
      </c>
      <c r="AS8297">
        <v>0</v>
      </c>
      <c r="AT8297">
        <v>1</v>
      </c>
      <c r="AV8297">
        <v>0</v>
      </c>
      <c r="AW8297">
        <v>0</v>
      </c>
    </row>
    <row r="8298" spans="1:49" x14ac:dyDescent="0.25">
      <c r="A8298" t="str">
        <f>"8294"</f>
        <v>8294</v>
      </c>
      <c r="B8298" t="str">
        <f t="shared" si="484"/>
        <v>1</v>
      </c>
      <c r="C8298" t="str">
        <f t="shared" si="483"/>
        <v>365</v>
      </c>
      <c r="D8298" t="str">
        <f>"4"</f>
        <v>4</v>
      </c>
      <c r="E8298" t="str">
        <f>"1-365-4"</f>
        <v>1-365-4</v>
      </c>
      <c r="F8298" t="s">
        <v>83</v>
      </c>
      <c r="G8298" t="s">
        <v>84</v>
      </c>
      <c r="H8298" t="s">
        <v>85</v>
      </c>
      <c r="AC8298">
        <v>1</v>
      </c>
      <c r="AD8298">
        <v>0</v>
      </c>
      <c r="AE8298">
        <v>0</v>
      </c>
      <c r="AF8298">
        <v>0</v>
      </c>
      <c r="AG8298">
        <v>0</v>
      </c>
      <c r="AJ8298">
        <v>1</v>
      </c>
      <c r="AK8298">
        <v>0</v>
      </c>
      <c r="AL8298">
        <v>0</v>
      </c>
      <c r="AM8298">
        <v>0</v>
      </c>
      <c r="AN8298">
        <v>1</v>
      </c>
      <c r="AO8298">
        <v>0</v>
      </c>
      <c r="AP8298">
        <v>0</v>
      </c>
      <c r="AQ8298">
        <v>0</v>
      </c>
      <c r="AR8298">
        <v>0</v>
      </c>
      <c r="AS8298">
        <v>0</v>
      </c>
      <c r="AT8298">
        <v>0</v>
      </c>
      <c r="AV8298">
        <v>0</v>
      </c>
      <c r="AW8298">
        <v>0</v>
      </c>
    </row>
    <row r="8299" spans="1:49" x14ac:dyDescent="0.25">
      <c r="A8299" t="str">
        <f>"8295"</f>
        <v>8295</v>
      </c>
      <c r="B8299" t="str">
        <f t="shared" si="484"/>
        <v>1</v>
      </c>
      <c r="C8299" t="str">
        <f t="shared" si="483"/>
        <v>365</v>
      </c>
      <c r="D8299" t="str">
        <f>"17"</f>
        <v>17</v>
      </c>
      <c r="E8299" t="str">
        <f>"1-365-17"</f>
        <v>1-365-17</v>
      </c>
      <c r="F8299" t="s">
        <v>83</v>
      </c>
      <c r="G8299" t="s">
        <v>84</v>
      </c>
      <c r="H8299" t="s">
        <v>85</v>
      </c>
      <c r="AC8299">
        <v>0</v>
      </c>
      <c r="AD8299">
        <v>1</v>
      </c>
      <c r="AE8299">
        <v>0</v>
      </c>
      <c r="AF8299">
        <v>0</v>
      </c>
      <c r="AG8299">
        <v>0</v>
      </c>
      <c r="AJ8299">
        <v>0</v>
      </c>
      <c r="AK8299">
        <v>1</v>
      </c>
      <c r="AL8299">
        <v>0</v>
      </c>
      <c r="AM8299">
        <v>0</v>
      </c>
      <c r="AN8299">
        <v>0</v>
      </c>
      <c r="AO8299">
        <v>0</v>
      </c>
      <c r="AP8299">
        <v>0</v>
      </c>
      <c r="AQ8299">
        <v>0</v>
      </c>
      <c r="AR8299">
        <v>0</v>
      </c>
      <c r="AS8299">
        <v>0</v>
      </c>
      <c r="AT8299">
        <v>1</v>
      </c>
      <c r="AV8299">
        <v>0</v>
      </c>
      <c r="AW8299">
        <v>0</v>
      </c>
    </row>
    <row r="8300" spans="1:49" x14ac:dyDescent="0.25">
      <c r="A8300" t="str">
        <f>"8296"</f>
        <v>8296</v>
      </c>
      <c r="B8300" t="str">
        <f t="shared" si="484"/>
        <v>1</v>
      </c>
      <c r="C8300" t="str">
        <f t="shared" si="483"/>
        <v>365</v>
      </c>
      <c r="D8300" t="str">
        <f>"3"</f>
        <v>3</v>
      </c>
      <c r="E8300" t="str">
        <f>"1-365-3"</f>
        <v>1-365-3</v>
      </c>
      <c r="F8300" t="s">
        <v>83</v>
      </c>
      <c r="G8300" t="s">
        <v>84</v>
      </c>
      <c r="H8300" t="s">
        <v>85</v>
      </c>
      <c r="AC8300">
        <v>0</v>
      </c>
      <c r="AD8300">
        <v>1</v>
      </c>
      <c r="AE8300">
        <v>0</v>
      </c>
      <c r="AF8300">
        <v>0</v>
      </c>
      <c r="AG8300">
        <v>1</v>
      </c>
      <c r="AJ8300">
        <v>0</v>
      </c>
      <c r="AK8300">
        <v>1</v>
      </c>
      <c r="AL8300">
        <v>0</v>
      </c>
      <c r="AM8300">
        <v>0</v>
      </c>
      <c r="AN8300">
        <v>1</v>
      </c>
      <c r="AO8300">
        <v>1</v>
      </c>
      <c r="AP8300">
        <v>1</v>
      </c>
      <c r="AQ8300">
        <v>1</v>
      </c>
      <c r="AR8300">
        <v>1</v>
      </c>
      <c r="AS8300">
        <v>0</v>
      </c>
      <c r="AT8300">
        <v>1</v>
      </c>
      <c r="AV8300">
        <v>1</v>
      </c>
      <c r="AW8300">
        <v>1</v>
      </c>
    </row>
    <row r="8301" spans="1:49" x14ac:dyDescent="0.25">
      <c r="A8301" t="str">
        <f>"8297"</f>
        <v>8297</v>
      </c>
      <c r="B8301" t="str">
        <f t="shared" si="484"/>
        <v>1</v>
      </c>
      <c r="C8301" t="str">
        <f t="shared" ref="C8301:C8324" si="485">"366"</f>
        <v>366</v>
      </c>
      <c r="D8301" t="str">
        <f>"23"</f>
        <v>23</v>
      </c>
      <c r="E8301" t="str">
        <f>"1-366-23"</f>
        <v>1-366-23</v>
      </c>
      <c r="F8301" t="s">
        <v>83</v>
      </c>
      <c r="G8301" t="s">
        <v>84</v>
      </c>
      <c r="H8301" t="s">
        <v>85</v>
      </c>
      <c r="AC8301">
        <v>0</v>
      </c>
      <c r="AD8301">
        <v>1</v>
      </c>
      <c r="AE8301">
        <v>0</v>
      </c>
      <c r="AF8301">
        <v>0</v>
      </c>
      <c r="AG8301">
        <v>1</v>
      </c>
      <c r="AJ8301">
        <v>1</v>
      </c>
      <c r="AK8301">
        <v>0</v>
      </c>
      <c r="AL8301">
        <v>0</v>
      </c>
      <c r="AM8301">
        <v>0</v>
      </c>
      <c r="AN8301">
        <v>1</v>
      </c>
      <c r="AO8301">
        <v>1</v>
      </c>
      <c r="AP8301">
        <v>1</v>
      </c>
      <c r="AQ8301">
        <v>1</v>
      </c>
      <c r="AR8301">
        <v>1</v>
      </c>
      <c r="AS8301">
        <v>0</v>
      </c>
      <c r="AT8301">
        <v>1</v>
      </c>
      <c r="AV8301">
        <v>1</v>
      </c>
      <c r="AW8301">
        <v>1</v>
      </c>
    </row>
    <row r="8302" spans="1:49" x14ac:dyDescent="0.25">
      <c r="A8302" t="str">
        <f>"8298"</f>
        <v>8298</v>
      </c>
      <c r="B8302" t="str">
        <f t="shared" si="484"/>
        <v>1</v>
      </c>
      <c r="C8302" t="str">
        <f t="shared" si="485"/>
        <v>366</v>
      </c>
      <c r="D8302" t="str">
        <f>"22"</f>
        <v>22</v>
      </c>
      <c r="E8302" t="str">
        <f>"1-366-22"</f>
        <v>1-366-22</v>
      </c>
      <c r="F8302" t="s">
        <v>83</v>
      </c>
      <c r="G8302" t="s">
        <v>84</v>
      </c>
      <c r="H8302" t="s">
        <v>85</v>
      </c>
      <c r="AC8302">
        <v>0</v>
      </c>
      <c r="AD8302">
        <v>1</v>
      </c>
      <c r="AE8302">
        <v>0</v>
      </c>
      <c r="AF8302">
        <v>0</v>
      </c>
      <c r="AG8302">
        <v>1</v>
      </c>
      <c r="AJ8302">
        <v>1</v>
      </c>
      <c r="AK8302">
        <v>0</v>
      </c>
      <c r="AL8302">
        <v>0</v>
      </c>
      <c r="AM8302">
        <v>0</v>
      </c>
      <c r="AN8302">
        <v>1</v>
      </c>
      <c r="AO8302">
        <v>1</v>
      </c>
      <c r="AP8302">
        <v>1</v>
      </c>
      <c r="AQ8302">
        <v>1</v>
      </c>
      <c r="AR8302">
        <v>1</v>
      </c>
      <c r="AS8302">
        <v>0</v>
      </c>
      <c r="AT8302">
        <v>1</v>
      </c>
      <c r="AV8302">
        <v>1</v>
      </c>
      <c r="AW8302">
        <v>1</v>
      </c>
    </row>
    <row r="8303" spans="1:49" x14ac:dyDescent="0.25">
      <c r="A8303" t="str">
        <f>"8299"</f>
        <v>8299</v>
      </c>
      <c r="B8303" t="str">
        <f t="shared" si="484"/>
        <v>1</v>
      </c>
      <c r="C8303" t="str">
        <f t="shared" si="485"/>
        <v>366</v>
      </c>
      <c r="D8303" t="str">
        <f>"17"</f>
        <v>17</v>
      </c>
      <c r="E8303" t="str">
        <f>"1-366-17"</f>
        <v>1-366-17</v>
      </c>
      <c r="F8303" t="s">
        <v>83</v>
      </c>
      <c r="G8303" t="s">
        <v>84</v>
      </c>
      <c r="H8303" t="s">
        <v>92</v>
      </c>
      <c r="I8303">
        <v>1</v>
      </c>
      <c r="J8303">
        <v>1</v>
      </c>
      <c r="N8303">
        <v>1</v>
      </c>
      <c r="O8303">
        <v>1</v>
      </c>
      <c r="P8303">
        <v>1</v>
      </c>
      <c r="Q8303">
        <v>1</v>
      </c>
      <c r="R8303">
        <v>1</v>
      </c>
      <c r="S8303">
        <v>1</v>
      </c>
      <c r="T8303">
        <v>1</v>
      </c>
      <c r="W8303">
        <v>1</v>
      </c>
      <c r="X8303">
        <v>1</v>
      </c>
      <c r="Y8303">
        <v>1</v>
      </c>
      <c r="Z8303">
        <v>1</v>
      </c>
      <c r="AA8303">
        <v>1</v>
      </c>
      <c r="AB8303">
        <v>1</v>
      </c>
    </row>
    <row r="8304" spans="1:49" x14ac:dyDescent="0.25">
      <c r="A8304" t="str">
        <f>"8300"</f>
        <v>8300</v>
      </c>
      <c r="B8304" t="str">
        <f t="shared" si="484"/>
        <v>1</v>
      </c>
      <c r="C8304" t="str">
        <f t="shared" si="485"/>
        <v>366</v>
      </c>
      <c r="D8304" t="str">
        <f>"13"</f>
        <v>13</v>
      </c>
      <c r="E8304" t="str">
        <f>"1-366-13"</f>
        <v>1-366-13</v>
      </c>
      <c r="F8304" t="s">
        <v>83</v>
      </c>
      <c r="G8304" t="s">
        <v>84</v>
      </c>
      <c r="H8304" t="s">
        <v>85</v>
      </c>
      <c r="AC8304">
        <v>1</v>
      </c>
      <c r="AD8304">
        <v>0</v>
      </c>
      <c r="AE8304">
        <v>0</v>
      </c>
      <c r="AF8304">
        <v>0</v>
      </c>
      <c r="AG8304">
        <v>1</v>
      </c>
      <c r="AJ8304">
        <v>0</v>
      </c>
      <c r="AK8304">
        <v>1</v>
      </c>
      <c r="AL8304">
        <v>1</v>
      </c>
      <c r="AM8304">
        <v>0</v>
      </c>
      <c r="AN8304">
        <v>0</v>
      </c>
      <c r="AO8304">
        <v>0</v>
      </c>
      <c r="AP8304">
        <v>0</v>
      </c>
      <c r="AQ8304">
        <v>0</v>
      </c>
      <c r="AR8304">
        <v>0</v>
      </c>
      <c r="AS8304">
        <v>0</v>
      </c>
      <c r="AT8304">
        <v>1</v>
      </c>
      <c r="AV8304">
        <v>0</v>
      </c>
      <c r="AW8304">
        <v>0</v>
      </c>
    </row>
    <row r="8305" spans="1:49" x14ac:dyDescent="0.25">
      <c r="A8305" t="str">
        <f>"8301"</f>
        <v>8301</v>
      </c>
      <c r="B8305" t="str">
        <f t="shared" si="484"/>
        <v>1</v>
      </c>
      <c r="C8305" t="str">
        <f t="shared" si="485"/>
        <v>366</v>
      </c>
      <c r="D8305" t="str">
        <f>"8"</f>
        <v>8</v>
      </c>
      <c r="E8305" t="str">
        <f>"1-366-8"</f>
        <v>1-366-8</v>
      </c>
      <c r="F8305" t="s">
        <v>83</v>
      </c>
      <c r="G8305" t="s">
        <v>84</v>
      </c>
      <c r="H8305" t="s">
        <v>85</v>
      </c>
      <c r="AC8305">
        <v>0</v>
      </c>
      <c r="AD8305">
        <v>1</v>
      </c>
      <c r="AE8305">
        <v>0</v>
      </c>
      <c r="AF8305">
        <v>0</v>
      </c>
      <c r="AG8305">
        <v>1</v>
      </c>
      <c r="AJ8305">
        <v>0</v>
      </c>
      <c r="AK8305">
        <v>1</v>
      </c>
      <c r="AL8305">
        <v>0</v>
      </c>
      <c r="AM8305">
        <v>0</v>
      </c>
      <c r="AN8305">
        <v>1</v>
      </c>
      <c r="AO8305">
        <v>0</v>
      </c>
      <c r="AP8305">
        <v>0</v>
      </c>
      <c r="AQ8305">
        <v>0</v>
      </c>
      <c r="AR8305">
        <v>0</v>
      </c>
      <c r="AS8305">
        <v>0</v>
      </c>
      <c r="AT8305">
        <v>1</v>
      </c>
      <c r="AV8305">
        <v>0</v>
      </c>
      <c r="AW8305">
        <v>0</v>
      </c>
    </row>
    <row r="8306" spans="1:49" x14ac:dyDescent="0.25">
      <c r="A8306" t="str">
        <f>"8302"</f>
        <v>8302</v>
      </c>
      <c r="B8306" t="str">
        <f t="shared" si="484"/>
        <v>1</v>
      </c>
      <c r="C8306" t="str">
        <f t="shared" si="485"/>
        <v>366</v>
      </c>
      <c r="D8306" t="str">
        <f>"1"</f>
        <v>1</v>
      </c>
      <c r="E8306" t="str">
        <f>"1-366-1"</f>
        <v>1-366-1</v>
      </c>
      <c r="F8306" t="s">
        <v>83</v>
      </c>
      <c r="G8306" t="s">
        <v>84</v>
      </c>
      <c r="H8306" t="s">
        <v>85</v>
      </c>
      <c r="AC8306">
        <v>0</v>
      </c>
      <c r="AD8306">
        <v>1</v>
      </c>
      <c r="AE8306">
        <v>0</v>
      </c>
      <c r="AF8306">
        <v>0</v>
      </c>
      <c r="AG8306">
        <v>0</v>
      </c>
      <c r="AJ8306">
        <v>0</v>
      </c>
      <c r="AK8306">
        <v>1</v>
      </c>
      <c r="AL8306">
        <v>0</v>
      </c>
      <c r="AM8306">
        <v>0</v>
      </c>
      <c r="AN8306">
        <v>1</v>
      </c>
      <c r="AO8306">
        <v>0</v>
      </c>
      <c r="AP8306">
        <v>0</v>
      </c>
      <c r="AQ8306">
        <v>0</v>
      </c>
      <c r="AR8306">
        <v>1</v>
      </c>
      <c r="AS8306">
        <v>0</v>
      </c>
      <c r="AT8306">
        <v>1</v>
      </c>
      <c r="AV8306">
        <v>0</v>
      </c>
      <c r="AW8306">
        <v>1</v>
      </c>
    </row>
    <row r="8307" spans="1:49" x14ac:dyDescent="0.25">
      <c r="A8307" t="str">
        <f>"8303"</f>
        <v>8303</v>
      </c>
      <c r="B8307" t="str">
        <f t="shared" si="484"/>
        <v>1</v>
      </c>
      <c r="C8307" t="str">
        <f t="shared" si="485"/>
        <v>366</v>
      </c>
      <c r="D8307" t="str">
        <f>"24"</f>
        <v>24</v>
      </c>
      <c r="E8307" t="str">
        <f>"1-366-24"</f>
        <v>1-366-24</v>
      </c>
      <c r="F8307" t="s">
        <v>83</v>
      </c>
      <c r="G8307" t="s">
        <v>84</v>
      </c>
      <c r="H8307" t="s">
        <v>92</v>
      </c>
      <c r="I8307">
        <v>1</v>
      </c>
      <c r="J8307">
        <v>1</v>
      </c>
      <c r="N8307">
        <v>1</v>
      </c>
      <c r="O8307">
        <v>1</v>
      </c>
      <c r="P8307">
        <v>1</v>
      </c>
      <c r="Q8307">
        <v>1</v>
      </c>
      <c r="R8307">
        <v>1</v>
      </c>
      <c r="S8307">
        <v>1</v>
      </c>
      <c r="T8307">
        <v>1</v>
      </c>
      <c r="W8307">
        <v>1</v>
      </c>
      <c r="X8307">
        <v>1</v>
      </c>
      <c r="Y8307">
        <v>1</v>
      </c>
      <c r="Z8307">
        <v>1</v>
      </c>
      <c r="AA8307">
        <v>1</v>
      </c>
      <c r="AB8307">
        <v>1</v>
      </c>
    </row>
    <row r="8308" spans="1:49" x14ac:dyDescent="0.25">
      <c r="A8308" t="str">
        <f>"8304"</f>
        <v>8304</v>
      </c>
      <c r="B8308" t="str">
        <f t="shared" si="484"/>
        <v>1</v>
      </c>
      <c r="C8308" t="str">
        <f t="shared" si="485"/>
        <v>366</v>
      </c>
      <c r="D8308" t="str">
        <f>"18"</f>
        <v>18</v>
      </c>
      <c r="E8308" t="str">
        <f>"1-366-18"</f>
        <v>1-366-18</v>
      </c>
      <c r="F8308" t="s">
        <v>83</v>
      </c>
      <c r="G8308" t="s">
        <v>84</v>
      </c>
      <c r="H8308" t="s">
        <v>92</v>
      </c>
      <c r="I8308">
        <v>1</v>
      </c>
      <c r="J8308">
        <v>1</v>
      </c>
      <c r="N8308">
        <v>1</v>
      </c>
      <c r="O8308">
        <v>1</v>
      </c>
      <c r="P8308">
        <v>1</v>
      </c>
      <c r="Q8308">
        <v>1</v>
      </c>
      <c r="R8308">
        <v>1</v>
      </c>
      <c r="S8308">
        <v>1</v>
      </c>
      <c r="T8308">
        <v>1</v>
      </c>
      <c r="W8308">
        <v>1</v>
      </c>
      <c r="X8308">
        <v>1</v>
      </c>
      <c r="Y8308">
        <v>1</v>
      </c>
      <c r="Z8308">
        <v>1</v>
      </c>
      <c r="AA8308">
        <v>1</v>
      </c>
      <c r="AB8308">
        <v>1</v>
      </c>
    </row>
    <row r="8309" spans="1:49" x14ac:dyDescent="0.25">
      <c r="A8309" t="str">
        <f>"8305"</f>
        <v>8305</v>
      </c>
      <c r="B8309" t="str">
        <f t="shared" si="484"/>
        <v>1</v>
      </c>
      <c r="C8309" t="str">
        <f t="shared" si="485"/>
        <v>366</v>
      </c>
      <c r="D8309" t="str">
        <f>"9"</f>
        <v>9</v>
      </c>
      <c r="E8309" t="str">
        <f>"1-366-9"</f>
        <v>1-366-9</v>
      </c>
      <c r="F8309" t="s">
        <v>83</v>
      </c>
      <c r="G8309" t="s">
        <v>84</v>
      </c>
      <c r="H8309" t="s">
        <v>85</v>
      </c>
      <c r="AC8309">
        <v>0</v>
      </c>
      <c r="AD8309">
        <v>1</v>
      </c>
      <c r="AE8309">
        <v>0</v>
      </c>
      <c r="AF8309">
        <v>0</v>
      </c>
      <c r="AG8309">
        <v>1</v>
      </c>
      <c r="AJ8309">
        <v>0</v>
      </c>
      <c r="AK8309">
        <v>1</v>
      </c>
      <c r="AL8309">
        <v>0</v>
      </c>
      <c r="AM8309">
        <v>0</v>
      </c>
      <c r="AN8309">
        <v>1</v>
      </c>
      <c r="AO8309">
        <v>1</v>
      </c>
      <c r="AP8309">
        <v>1</v>
      </c>
      <c r="AQ8309">
        <v>1</v>
      </c>
      <c r="AR8309">
        <v>1</v>
      </c>
      <c r="AS8309">
        <v>1</v>
      </c>
      <c r="AT8309">
        <v>0</v>
      </c>
      <c r="AV8309">
        <v>1</v>
      </c>
      <c r="AW8309">
        <v>1</v>
      </c>
    </row>
    <row r="8310" spans="1:49" x14ac:dyDescent="0.25">
      <c r="A8310" t="str">
        <f>"8306"</f>
        <v>8306</v>
      </c>
      <c r="B8310" t="str">
        <f t="shared" si="484"/>
        <v>1</v>
      </c>
      <c r="C8310" t="str">
        <f t="shared" si="485"/>
        <v>366</v>
      </c>
      <c r="D8310" t="str">
        <f>"2"</f>
        <v>2</v>
      </c>
      <c r="E8310" t="str">
        <f>"1-366-2"</f>
        <v>1-366-2</v>
      </c>
      <c r="F8310" t="s">
        <v>83</v>
      </c>
      <c r="G8310" t="s">
        <v>84</v>
      </c>
      <c r="H8310" t="s">
        <v>92</v>
      </c>
      <c r="I8310">
        <v>1</v>
      </c>
      <c r="J8310">
        <v>1</v>
      </c>
      <c r="N8310">
        <v>1</v>
      </c>
      <c r="O8310">
        <v>1</v>
      </c>
      <c r="P8310">
        <v>1</v>
      </c>
      <c r="Q8310">
        <v>1</v>
      </c>
      <c r="R8310">
        <v>1</v>
      </c>
      <c r="S8310">
        <v>1</v>
      </c>
      <c r="T8310">
        <v>1</v>
      </c>
      <c r="W8310">
        <v>1</v>
      </c>
      <c r="X8310">
        <v>1</v>
      </c>
      <c r="Y8310">
        <v>1</v>
      </c>
      <c r="Z8310">
        <v>1</v>
      </c>
      <c r="AA8310">
        <v>1</v>
      </c>
      <c r="AB8310">
        <v>1</v>
      </c>
    </row>
    <row r="8311" spans="1:49" x14ac:dyDescent="0.25">
      <c r="A8311" t="str">
        <f>"8307"</f>
        <v>8307</v>
      </c>
      <c r="B8311" t="str">
        <f t="shared" si="484"/>
        <v>1</v>
      </c>
      <c r="C8311" t="str">
        <f t="shared" si="485"/>
        <v>366</v>
      </c>
      <c r="D8311" t="str">
        <f>"19"</f>
        <v>19</v>
      </c>
      <c r="E8311" t="str">
        <f>"1-366-19"</f>
        <v>1-366-19</v>
      </c>
      <c r="F8311" t="s">
        <v>83</v>
      </c>
      <c r="G8311" t="s">
        <v>84</v>
      </c>
      <c r="H8311" t="s">
        <v>85</v>
      </c>
      <c r="AC8311">
        <v>0</v>
      </c>
      <c r="AD8311">
        <v>1</v>
      </c>
      <c r="AE8311">
        <v>0</v>
      </c>
      <c r="AF8311">
        <v>0</v>
      </c>
      <c r="AG8311">
        <v>1</v>
      </c>
      <c r="AJ8311">
        <v>0</v>
      </c>
      <c r="AK8311">
        <v>1</v>
      </c>
      <c r="AL8311">
        <v>0</v>
      </c>
      <c r="AM8311">
        <v>1</v>
      </c>
      <c r="AN8311">
        <v>0</v>
      </c>
      <c r="AO8311">
        <v>1</v>
      </c>
      <c r="AP8311">
        <v>1</v>
      </c>
      <c r="AQ8311">
        <v>1</v>
      </c>
      <c r="AR8311">
        <v>1</v>
      </c>
      <c r="AS8311">
        <v>0</v>
      </c>
      <c r="AT8311">
        <v>1</v>
      </c>
      <c r="AV8311">
        <v>1</v>
      </c>
      <c r="AW8311">
        <v>1</v>
      </c>
    </row>
    <row r="8312" spans="1:49" x14ac:dyDescent="0.25">
      <c r="A8312" t="str">
        <f>"8308"</f>
        <v>8308</v>
      </c>
      <c r="B8312" t="str">
        <f t="shared" si="484"/>
        <v>1</v>
      </c>
      <c r="C8312" t="str">
        <f t="shared" si="485"/>
        <v>366</v>
      </c>
      <c r="D8312" t="str">
        <f>"10"</f>
        <v>10</v>
      </c>
      <c r="E8312" t="str">
        <f>"1-366-10"</f>
        <v>1-366-10</v>
      </c>
      <c r="F8312" t="s">
        <v>83</v>
      </c>
      <c r="G8312" t="s">
        <v>84</v>
      </c>
      <c r="H8312" t="s">
        <v>92</v>
      </c>
      <c r="I8312">
        <v>1</v>
      </c>
      <c r="J8312">
        <v>1</v>
      </c>
      <c r="N8312">
        <v>1</v>
      </c>
      <c r="O8312">
        <v>1</v>
      </c>
      <c r="P8312">
        <v>1</v>
      </c>
      <c r="Q8312">
        <v>1</v>
      </c>
      <c r="R8312">
        <v>1</v>
      </c>
      <c r="S8312">
        <v>1</v>
      </c>
      <c r="T8312">
        <v>1</v>
      </c>
      <c r="W8312">
        <v>1</v>
      </c>
      <c r="X8312">
        <v>1</v>
      </c>
      <c r="Y8312">
        <v>1</v>
      </c>
      <c r="Z8312">
        <v>1</v>
      </c>
      <c r="AA8312">
        <v>1</v>
      </c>
      <c r="AB8312">
        <v>1</v>
      </c>
    </row>
    <row r="8313" spans="1:49" x14ac:dyDescent="0.25">
      <c r="A8313" t="str">
        <f>"8309"</f>
        <v>8309</v>
      </c>
      <c r="B8313" t="str">
        <f t="shared" si="484"/>
        <v>1</v>
      </c>
      <c r="C8313" t="str">
        <f t="shared" si="485"/>
        <v>366</v>
      </c>
      <c r="D8313" t="str">
        <f>"7"</f>
        <v>7</v>
      </c>
      <c r="E8313" t="str">
        <f>"1-366-7"</f>
        <v>1-366-7</v>
      </c>
      <c r="F8313" t="s">
        <v>83</v>
      </c>
      <c r="G8313" t="s">
        <v>84</v>
      </c>
      <c r="H8313" t="s">
        <v>85</v>
      </c>
      <c r="AC8313">
        <v>0</v>
      </c>
      <c r="AD8313">
        <v>1</v>
      </c>
      <c r="AE8313">
        <v>0</v>
      </c>
      <c r="AF8313">
        <v>0</v>
      </c>
      <c r="AG8313">
        <v>1</v>
      </c>
      <c r="AJ8313">
        <v>1</v>
      </c>
      <c r="AK8313">
        <v>0</v>
      </c>
      <c r="AL8313">
        <v>0</v>
      </c>
      <c r="AM8313">
        <v>0</v>
      </c>
      <c r="AN8313">
        <v>1</v>
      </c>
      <c r="AO8313">
        <v>1</v>
      </c>
      <c r="AP8313">
        <v>1</v>
      </c>
      <c r="AQ8313">
        <v>1</v>
      </c>
      <c r="AR8313">
        <v>1</v>
      </c>
      <c r="AS8313">
        <v>0</v>
      </c>
      <c r="AT8313">
        <v>1</v>
      </c>
      <c r="AV8313">
        <v>1</v>
      </c>
      <c r="AW8313">
        <v>1</v>
      </c>
    </row>
    <row r="8314" spans="1:49" x14ac:dyDescent="0.25">
      <c r="A8314" t="str">
        <f>"8310"</f>
        <v>8310</v>
      </c>
      <c r="B8314" t="str">
        <f t="shared" si="484"/>
        <v>1</v>
      </c>
      <c r="C8314" t="str">
        <f t="shared" si="485"/>
        <v>366</v>
      </c>
      <c r="D8314" t="str">
        <f>"20"</f>
        <v>20</v>
      </c>
      <c r="E8314" t="str">
        <f>"1-366-20"</f>
        <v>1-366-20</v>
      </c>
      <c r="F8314" t="s">
        <v>83</v>
      </c>
      <c r="G8314" t="s">
        <v>84</v>
      </c>
      <c r="H8314" t="s">
        <v>85</v>
      </c>
      <c r="AC8314">
        <v>0</v>
      </c>
      <c r="AD8314">
        <v>1</v>
      </c>
      <c r="AE8314">
        <v>0</v>
      </c>
      <c r="AF8314">
        <v>0</v>
      </c>
      <c r="AG8314">
        <v>0</v>
      </c>
      <c r="AJ8314">
        <v>0</v>
      </c>
      <c r="AK8314">
        <v>1</v>
      </c>
      <c r="AL8314">
        <v>0</v>
      </c>
      <c r="AM8314">
        <v>0</v>
      </c>
      <c r="AN8314">
        <v>1</v>
      </c>
      <c r="AO8314">
        <v>0</v>
      </c>
      <c r="AP8314">
        <v>0</v>
      </c>
      <c r="AQ8314">
        <v>0</v>
      </c>
      <c r="AR8314">
        <v>0</v>
      </c>
      <c r="AS8314">
        <v>1</v>
      </c>
      <c r="AT8314">
        <v>0</v>
      </c>
      <c r="AV8314">
        <v>0</v>
      </c>
      <c r="AW8314">
        <v>0</v>
      </c>
    </row>
    <row r="8315" spans="1:49" x14ac:dyDescent="0.25">
      <c r="A8315" t="str">
        <f>"8311"</f>
        <v>8311</v>
      </c>
      <c r="B8315" t="str">
        <f t="shared" si="484"/>
        <v>1</v>
      </c>
      <c r="C8315" t="str">
        <f t="shared" si="485"/>
        <v>366</v>
      </c>
      <c r="D8315" t="str">
        <f>"11"</f>
        <v>11</v>
      </c>
      <c r="E8315" t="str">
        <f>"1-366-11"</f>
        <v>1-366-11</v>
      </c>
      <c r="F8315" t="s">
        <v>83</v>
      </c>
      <c r="G8315" t="s">
        <v>84</v>
      </c>
      <c r="H8315" t="s">
        <v>85</v>
      </c>
      <c r="AC8315">
        <v>0</v>
      </c>
      <c r="AD8315">
        <v>1</v>
      </c>
      <c r="AE8315">
        <v>0</v>
      </c>
      <c r="AF8315">
        <v>0</v>
      </c>
      <c r="AG8315">
        <v>1</v>
      </c>
      <c r="AJ8315">
        <v>0</v>
      </c>
      <c r="AK8315">
        <v>1</v>
      </c>
      <c r="AL8315">
        <v>0</v>
      </c>
      <c r="AM8315">
        <v>1</v>
      </c>
      <c r="AN8315">
        <v>0</v>
      </c>
      <c r="AO8315">
        <v>1</v>
      </c>
      <c r="AP8315">
        <v>0</v>
      </c>
      <c r="AQ8315">
        <v>1</v>
      </c>
      <c r="AR8315">
        <v>1</v>
      </c>
      <c r="AS8315">
        <v>0</v>
      </c>
      <c r="AT8315">
        <v>1</v>
      </c>
      <c r="AV8315">
        <v>1</v>
      </c>
      <c r="AW8315">
        <v>1</v>
      </c>
    </row>
    <row r="8316" spans="1:49" x14ac:dyDescent="0.25">
      <c r="A8316" t="str">
        <f>"8312"</f>
        <v>8312</v>
      </c>
      <c r="B8316" t="str">
        <f t="shared" si="484"/>
        <v>1</v>
      </c>
      <c r="C8316" t="str">
        <f t="shared" si="485"/>
        <v>366</v>
      </c>
      <c r="D8316" t="str">
        <f>"6"</f>
        <v>6</v>
      </c>
      <c r="E8316" t="str">
        <f>"1-366-6"</f>
        <v>1-366-6</v>
      </c>
      <c r="F8316" t="s">
        <v>83</v>
      </c>
      <c r="G8316" t="s">
        <v>84</v>
      </c>
      <c r="H8316" t="s">
        <v>85</v>
      </c>
      <c r="AC8316">
        <v>0</v>
      </c>
      <c r="AD8316">
        <v>1</v>
      </c>
      <c r="AE8316">
        <v>0</v>
      </c>
      <c r="AF8316">
        <v>0</v>
      </c>
      <c r="AG8316">
        <v>0</v>
      </c>
      <c r="AJ8316">
        <v>0</v>
      </c>
      <c r="AK8316">
        <v>1</v>
      </c>
      <c r="AL8316">
        <v>0</v>
      </c>
      <c r="AM8316">
        <v>0</v>
      </c>
      <c r="AN8316">
        <v>1</v>
      </c>
      <c r="AO8316">
        <v>0</v>
      </c>
      <c r="AP8316">
        <v>0</v>
      </c>
      <c r="AQ8316">
        <v>0</v>
      </c>
      <c r="AR8316">
        <v>0</v>
      </c>
      <c r="AS8316">
        <v>0</v>
      </c>
      <c r="AT8316">
        <v>1</v>
      </c>
      <c r="AV8316">
        <v>0</v>
      </c>
      <c r="AW8316">
        <v>0</v>
      </c>
    </row>
    <row r="8317" spans="1:49" x14ac:dyDescent="0.25">
      <c r="A8317" t="str">
        <f>"8313"</f>
        <v>8313</v>
      </c>
      <c r="B8317" t="str">
        <f t="shared" si="484"/>
        <v>1</v>
      </c>
      <c r="C8317" t="str">
        <f t="shared" si="485"/>
        <v>366</v>
      </c>
      <c r="D8317" t="str">
        <f>"21"</f>
        <v>21</v>
      </c>
      <c r="E8317" t="str">
        <f>"1-366-21"</f>
        <v>1-366-21</v>
      </c>
      <c r="F8317" t="s">
        <v>83</v>
      </c>
      <c r="G8317" t="s">
        <v>84</v>
      </c>
      <c r="H8317" t="s">
        <v>85</v>
      </c>
      <c r="AC8317">
        <v>0</v>
      </c>
      <c r="AD8317">
        <v>1</v>
      </c>
      <c r="AE8317">
        <v>0</v>
      </c>
      <c r="AF8317">
        <v>0</v>
      </c>
      <c r="AG8317">
        <v>1</v>
      </c>
      <c r="AJ8317">
        <v>1</v>
      </c>
      <c r="AK8317">
        <v>0</v>
      </c>
      <c r="AL8317">
        <v>0</v>
      </c>
      <c r="AM8317">
        <v>0</v>
      </c>
      <c r="AN8317">
        <v>1</v>
      </c>
      <c r="AO8317">
        <v>1</v>
      </c>
      <c r="AP8317">
        <v>1</v>
      </c>
      <c r="AQ8317">
        <v>1</v>
      </c>
      <c r="AR8317">
        <v>1</v>
      </c>
      <c r="AS8317">
        <v>0</v>
      </c>
      <c r="AT8317">
        <v>1</v>
      </c>
      <c r="AV8317">
        <v>1</v>
      </c>
      <c r="AW8317">
        <v>1</v>
      </c>
    </row>
    <row r="8318" spans="1:49" x14ac:dyDescent="0.25">
      <c r="A8318" t="str">
        <f>"8314"</f>
        <v>8314</v>
      </c>
      <c r="B8318" t="str">
        <f t="shared" si="484"/>
        <v>1</v>
      </c>
      <c r="C8318" t="str">
        <f t="shared" si="485"/>
        <v>366</v>
      </c>
      <c r="D8318" t="str">
        <f>"12"</f>
        <v>12</v>
      </c>
      <c r="E8318" t="str">
        <f>"1-366-12"</f>
        <v>1-366-12</v>
      </c>
      <c r="F8318" t="s">
        <v>83</v>
      </c>
      <c r="G8318" t="s">
        <v>84</v>
      </c>
      <c r="H8318" t="s">
        <v>85</v>
      </c>
      <c r="AC8318">
        <v>0</v>
      </c>
      <c r="AD8318">
        <v>1</v>
      </c>
      <c r="AE8318">
        <v>0</v>
      </c>
      <c r="AF8318">
        <v>0</v>
      </c>
      <c r="AG8318">
        <v>0</v>
      </c>
      <c r="AJ8318">
        <v>0</v>
      </c>
      <c r="AK8318">
        <v>1</v>
      </c>
      <c r="AL8318">
        <v>0</v>
      </c>
      <c r="AM8318">
        <v>0</v>
      </c>
      <c r="AN8318">
        <v>1</v>
      </c>
      <c r="AO8318">
        <v>0</v>
      </c>
      <c r="AP8318">
        <v>0</v>
      </c>
      <c r="AQ8318">
        <v>0</v>
      </c>
      <c r="AR8318">
        <v>0</v>
      </c>
      <c r="AS8318">
        <v>1</v>
      </c>
      <c r="AT8318">
        <v>0</v>
      </c>
      <c r="AV8318">
        <v>0</v>
      </c>
      <c r="AW8318">
        <v>0</v>
      </c>
    </row>
    <row r="8319" spans="1:49" x14ac:dyDescent="0.25">
      <c r="A8319" t="str">
        <f>"8315"</f>
        <v>8315</v>
      </c>
      <c r="B8319" t="str">
        <f t="shared" si="484"/>
        <v>1</v>
      </c>
      <c r="C8319" t="str">
        <f t="shared" si="485"/>
        <v>366</v>
      </c>
      <c r="D8319" t="str">
        <f>"5"</f>
        <v>5</v>
      </c>
      <c r="E8319" t="str">
        <f>"1-366-5"</f>
        <v>1-366-5</v>
      </c>
      <c r="F8319" t="s">
        <v>83</v>
      </c>
      <c r="G8319" t="s">
        <v>84</v>
      </c>
      <c r="H8319" t="s">
        <v>85</v>
      </c>
      <c r="AC8319">
        <v>0</v>
      </c>
      <c r="AD8319">
        <v>1</v>
      </c>
      <c r="AE8319">
        <v>0</v>
      </c>
      <c r="AF8319">
        <v>0</v>
      </c>
      <c r="AG8319">
        <v>1</v>
      </c>
      <c r="AJ8319">
        <v>0</v>
      </c>
      <c r="AK8319">
        <v>1</v>
      </c>
      <c r="AL8319">
        <v>0</v>
      </c>
      <c r="AM8319">
        <v>0</v>
      </c>
      <c r="AN8319">
        <v>1</v>
      </c>
      <c r="AO8319">
        <v>1</v>
      </c>
      <c r="AP8319">
        <v>1</v>
      </c>
      <c r="AQ8319">
        <v>1</v>
      </c>
      <c r="AR8319">
        <v>1</v>
      </c>
      <c r="AS8319">
        <v>1</v>
      </c>
      <c r="AT8319">
        <v>0</v>
      </c>
      <c r="AV8319">
        <v>1</v>
      </c>
      <c r="AW8319">
        <v>1</v>
      </c>
    </row>
    <row r="8320" spans="1:49" x14ac:dyDescent="0.25">
      <c r="A8320" t="str">
        <f>"8316"</f>
        <v>8316</v>
      </c>
      <c r="B8320" t="str">
        <f t="shared" si="484"/>
        <v>1</v>
      </c>
      <c r="C8320" t="str">
        <f t="shared" si="485"/>
        <v>366</v>
      </c>
      <c r="D8320" t="str">
        <f>"14"</f>
        <v>14</v>
      </c>
      <c r="E8320" t="str">
        <f>"1-366-14"</f>
        <v>1-366-14</v>
      </c>
      <c r="F8320" t="s">
        <v>83</v>
      </c>
      <c r="G8320" t="s">
        <v>84</v>
      </c>
      <c r="H8320" t="s">
        <v>85</v>
      </c>
      <c r="AC8320">
        <v>0</v>
      </c>
      <c r="AD8320">
        <v>1</v>
      </c>
      <c r="AE8320">
        <v>0</v>
      </c>
      <c r="AF8320">
        <v>0</v>
      </c>
      <c r="AG8320">
        <v>0</v>
      </c>
      <c r="AJ8320">
        <v>0</v>
      </c>
      <c r="AK8320">
        <v>1</v>
      </c>
      <c r="AL8320">
        <v>0</v>
      </c>
      <c r="AM8320">
        <v>0</v>
      </c>
      <c r="AN8320">
        <v>1</v>
      </c>
      <c r="AO8320">
        <v>0</v>
      </c>
      <c r="AP8320">
        <v>0</v>
      </c>
      <c r="AQ8320">
        <v>0</v>
      </c>
      <c r="AR8320">
        <v>0</v>
      </c>
      <c r="AS8320">
        <v>1</v>
      </c>
      <c r="AT8320">
        <v>0</v>
      </c>
      <c r="AV8320">
        <v>0</v>
      </c>
      <c r="AW8320">
        <v>0</v>
      </c>
    </row>
    <row r="8321" spans="1:49" x14ac:dyDescent="0.25">
      <c r="A8321" t="str">
        <f>"8317"</f>
        <v>8317</v>
      </c>
      <c r="B8321" t="str">
        <f t="shared" si="484"/>
        <v>1</v>
      </c>
      <c r="C8321" t="str">
        <f t="shared" si="485"/>
        <v>366</v>
      </c>
      <c r="D8321" t="str">
        <f>"3"</f>
        <v>3</v>
      </c>
      <c r="E8321" t="str">
        <f>"1-366-3"</f>
        <v>1-366-3</v>
      </c>
      <c r="F8321" t="s">
        <v>83</v>
      </c>
      <c r="G8321" t="s">
        <v>84</v>
      </c>
      <c r="H8321" t="s">
        <v>92</v>
      </c>
      <c r="I8321">
        <v>1</v>
      </c>
      <c r="J8321">
        <v>1</v>
      </c>
      <c r="N8321">
        <v>1</v>
      </c>
      <c r="O8321">
        <v>1</v>
      </c>
      <c r="P8321">
        <v>0</v>
      </c>
      <c r="Q8321">
        <v>0</v>
      </c>
      <c r="R8321">
        <v>0</v>
      </c>
      <c r="S8321">
        <v>0</v>
      </c>
      <c r="T8321">
        <v>0</v>
      </c>
      <c r="W8321">
        <v>0</v>
      </c>
      <c r="X8321">
        <v>1</v>
      </c>
      <c r="Y8321">
        <v>1</v>
      </c>
      <c r="Z8321">
        <v>0</v>
      </c>
      <c r="AA8321">
        <v>0</v>
      </c>
      <c r="AB8321">
        <v>0</v>
      </c>
    </row>
    <row r="8322" spans="1:49" x14ac:dyDescent="0.25">
      <c r="A8322" t="str">
        <f>"8318"</f>
        <v>8318</v>
      </c>
      <c r="B8322" t="str">
        <f t="shared" si="484"/>
        <v>1</v>
      </c>
      <c r="C8322" t="str">
        <f t="shared" si="485"/>
        <v>366</v>
      </c>
      <c r="D8322" t="str">
        <f>"15"</f>
        <v>15</v>
      </c>
      <c r="E8322" t="str">
        <f>"1-366-15"</f>
        <v>1-366-15</v>
      </c>
      <c r="F8322" t="s">
        <v>83</v>
      </c>
      <c r="G8322" t="s">
        <v>84</v>
      </c>
      <c r="H8322" t="s">
        <v>92</v>
      </c>
      <c r="I8322">
        <v>1</v>
      </c>
      <c r="J8322">
        <v>1</v>
      </c>
      <c r="N8322">
        <v>1</v>
      </c>
      <c r="O8322">
        <v>1</v>
      </c>
      <c r="P8322">
        <v>1</v>
      </c>
      <c r="Q8322">
        <v>1</v>
      </c>
      <c r="R8322">
        <v>1</v>
      </c>
      <c r="S8322">
        <v>1</v>
      </c>
      <c r="T8322">
        <v>1</v>
      </c>
      <c r="W8322">
        <v>1</v>
      </c>
      <c r="X8322">
        <v>1</v>
      </c>
      <c r="Y8322">
        <v>1</v>
      </c>
      <c r="Z8322">
        <v>1</v>
      </c>
      <c r="AA8322">
        <v>1</v>
      </c>
      <c r="AB8322">
        <v>1</v>
      </c>
    </row>
    <row r="8323" spans="1:49" x14ac:dyDescent="0.25">
      <c r="A8323" t="str">
        <f>"8319"</f>
        <v>8319</v>
      </c>
      <c r="B8323" t="str">
        <f t="shared" si="484"/>
        <v>1</v>
      </c>
      <c r="C8323" t="str">
        <f t="shared" si="485"/>
        <v>366</v>
      </c>
      <c r="D8323" t="str">
        <f>"4"</f>
        <v>4</v>
      </c>
      <c r="E8323" t="str">
        <f>"1-366-4"</f>
        <v>1-366-4</v>
      </c>
      <c r="F8323" t="s">
        <v>83</v>
      </c>
      <c r="G8323" t="s">
        <v>84</v>
      </c>
      <c r="H8323" t="s">
        <v>92</v>
      </c>
      <c r="I8323">
        <v>1</v>
      </c>
      <c r="J8323">
        <v>1</v>
      </c>
      <c r="N8323">
        <v>1</v>
      </c>
      <c r="O8323">
        <v>1</v>
      </c>
      <c r="P8323">
        <v>1</v>
      </c>
      <c r="Q8323">
        <v>1</v>
      </c>
      <c r="R8323">
        <v>1</v>
      </c>
      <c r="S8323">
        <v>1</v>
      </c>
      <c r="T8323">
        <v>1</v>
      </c>
      <c r="W8323">
        <v>1</v>
      </c>
      <c r="X8323">
        <v>1</v>
      </c>
      <c r="Y8323">
        <v>1</v>
      </c>
      <c r="Z8323">
        <v>1</v>
      </c>
      <c r="AA8323">
        <v>1</v>
      </c>
      <c r="AB8323">
        <v>1</v>
      </c>
    </row>
    <row r="8324" spans="1:49" x14ac:dyDescent="0.25">
      <c r="A8324" t="str">
        <f>"8320"</f>
        <v>8320</v>
      </c>
      <c r="B8324" t="str">
        <f t="shared" si="484"/>
        <v>1</v>
      </c>
      <c r="C8324" t="str">
        <f t="shared" si="485"/>
        <v>366</v>
      </c>
      <c r="D8324" t="str">
        <f>"16"</f>
        <v>16</v>
      </c>
      <c r="E8324" t="str">
        <f>"1-366-16"</f>
        <v>1-366-16</v>
      </c>
      <c r="F8324" t="s">
        <v>83</v>
      </c>
      <c r="G8324" t="s">
        <v>84</v>
      </c>
      <c r="H8324" t="s">
        <v>92</v>
      </c>
      <c r="I8324">
        <v>0</v>
      </c>
      <c r="J8324">
        <v>0</v>
      </c>
      <c r="N8324">
        <v>0</v>
      </c>
      <c r="O8324">
        <v>0</v>
      </c>
      <c r="P8324">
        <v>0</v>
      </c>
      <c r="Q8324">
        <v>0</v>
      </c>
      <c r="R8324">
        <v>0</v>
      </c>
      <c r="S8324">
        <v>0</v>
      </c>
      <c r="T8324">
        <v>0</v>
      </c>
      <c r="W8324">
        <v>0</v>
      </c>
      <c r="X8324">
        <v>0</v>
      </c>
      <c r="Y8324">
        <v>0</v>
      </c>
      <c r="Z8324">
        <v>0</v>
      </c>
      <c r="AA8324">
        <v>0</v>
      </c>
      <c r="AB8324">
        <v>0</v>
      </c>
    </row>
    <row r="8325" spans="1:49" x14ac:dyDescent="0.25">
      <c r="A8325" t="str">
        <f>"8321"</f>
        <v>8321</v>
      </c>
      <c r="B8325" t="str">
        <f t="shared" si="484"/>
        <v>1</v>
      </c>
      <c r="C8325" t="str">
        <f>"367"</f>
        <v>367</v>
      </c>
      <c r="D8325" t="str">
        <f>"2"</f>
        <v>2</v>
      </c>
      <c r="E8325" t="str">
        <f>"1-367-2"</f>
        <v>1-367-2</v>
      </c>
      <c r="F8325" t="s">
        <v>83</v>
      </c>
      <c r="G8325" t="s">
        <v>84</v>
      </c>
      <c r="H8325" t="s">
        <v>85</v>
      </c>
      <c r="AC8325">
        <v>1</v>
      </c>
      <c r="AD8325">
        <v>0</v>
      </c>
      <c r="AE8325">
        <v>0</v>
      </c>
      <c r="AF8325">
        <v>0</v>
      </c>
      <c r="AG8325">
        <v>1</v>
      </c>
      <c r="AJ8325">
        <v>1</v>
      </c>
      <c r="AK8325">
        <v>0</v>
      </c>
      <c r="AL8325">
        <v>1</v>
      </c>
      <c r="AM8325">
        <v>0</v>
      </c>
      <c r="AN8325">
        <v>0</v>
      </c>
      <c r="AO8325">
        <v>1</v>
      </c>
      <c r="AP8325">
        <v>1</v>
      </c>
      <c r="AQ8325">
        <v>1</v>
      </c>
      <c r="AR8325">
        <v>1</v>
      </c>
      <c r="AS8325">
        <v>1</v>
      </c>
      <c r="AT8325">
        <v>0</v>
      </c>
      <c r="AV8325">
        <v>1</v>
      </c>
      <c r="AW8325">
        <v>1</v>
      </c>
    </row>
    <row r="8326" spans="1:49" x14ac:dyDescent="0.25">
      <c r="A8326" t="str">
        <f>"8322"</f>
        <v>8322</v>
      </c>
      <c r="B8326" t="str">
        <f t="shared" si="484"/>
        <v>1</v>
      </c>
      <c r="C8326" t="str">
        <f>"367"</f>
        <v>367</v>
      </c>
      <c r="D8326" t="str">
        <f>"1"</f>
        <v>1</v>
      </c>
      <c r="E8326" t="str">
        <f>"1-367-1"</f>
        <v>1-367-1</v>
      </c>
      <c r="F8326" t="s">
        <v>83</v>
      </c>
      <c r="G8326" t="s">
        <v>84</v>
      </c>
      <c r="H8326" t="s">
        <v>85</v>
      </c>
      <c r="AC8326">
        <v>0</v>
      </c>
      <c r="AD8326">
        <v>1</v>
      </c>
      <c r="AE8326">
        <v>0</v>
      </c>
      <c r="AF8326">
        <v>0</v>
      </c>
      <c r="AG8326">
        <v>1</v>
      </c>
      <c r="AJ8326">
        <v>0</v>
      </c>
      <c r="AK8326">
        <v>1</v>
      </c>
      <c r="AL8326">
        <v>0</v>
      </c>
      <c r="AM8326">
        <v>0</v>
      </c>
      <c r="AN8326">
        <v>1</v>
      </c>
      <c r="AO8326">
        <v>1</v>
      </c>
      <c r="AP8326">
        <v>1</v>
      </c>
      <c r="AQ8326">
        <v>1</v>
      </c>
      <c r="AR8326">
        <v>1</v>
      </c>
      <c r="AS8326">
        <v>0</v>
      </c>
      <c r="AT8326">
        <v>1</v>
      </c>
      <c r="AV8326">
        <v>1</v>
      </c>
      <c r="AW8326">
        <v>1</v>
      </c>
    </row>
    <row r="8327" spans="1:49" x14ac:dyDescent="0.25">
      <c r="A8327" t="str">
        <f>"8323"</f>
        <v>8323</v>
      </c>
      <c r="B8327" t="str">
        <f t="shared" si="484"/>
        <v>1</v>
      </c>
      <c r="C8327" t="str">
        <f>"367"</f>
        <v>367</v>
      </c>
      <c r="D8327" t="str">
        <f>"3"</f>
        <v>3</v>
      </c>
      <c r="E8327" t="str">
        <f>"1-367-3"</f>
        <v>1-367-3</v>
      </c>
      <c r="F8327" t="s">
        <v>83</v>
      </c>
      <c r="G8327" t="s">
        <v>84</v>
      </c>
      <c r="H8327" t="s">
        <v>85</v>
      </c>
      <c r="AC8327">
        <v>1</v>
      </c>
      <c r="AD8327">
        <v>0</v>
      </c>
      <c r="AE8327">
        <v>0</v>
      </c>
      <c r="AF8327">
        <v>0</v>
      </c>
      <c r="AG8327">
        <v>1</v>
      </c>
      <c r="AJ8327">
        <v>1</v>
      </c>
      <c r="AK8327">
        <v>0</v>
      </c>
      <c r="AL8327">
        <v>1</v>
      </c>
      <c r="AM8327">
        <v>0</v>
      </c>
      <c r="AN8327">
        <v>0</v>
      </c>
      <c r="AO8327">
        <v>1</v>
      </c>
      <c r="AP8327">
        <v>1</v>
      </c>
      <c r="AQ8327">
        <v>1</v>
      </c>
      <c r="AR8327">
        <v>1</v>
      </c>
      <c r="AS8327">
        <v>1</v>
      </c>
      <c r="AT8327">
        <v>0</v>
      </c>
      <c r="AV8327">
        <v>1</v>
      </c>
      <c r="AW8327">
        <v>1</v>
      </c>
    </row>
    <row r="8328" spans="1:49" x14ac:dyDescent="0.25">
      <c r="A8328" t="str">
        <f>"8324"</f>
        <v>8324</v>
      </c>
      <c r="B8328" t="str">
        <f t="shared" si="484"/>
        <v>1</v>
      </c>
      <c r="C8328" t="str">
        <f t="shared" ref="C8328:C8352" si="486">"368"</f>
        <v>368</v>
      </c>
      <c r="D8328" t="str">
        <f>"17"</f>
        <v>17</v>
      </c>
      <c r="E8328" t="str">
        <f>"1-368-17"</f>
        <v>1-368-17</v>
      </c>
      <c r="F8328" t="s">
        <v>83</v>
      </c>
      <c r="G8328" t="s">
        <v>84</v>
      </c>
      <c r="H8328" t="s">
        <v>85</v>
      </c>
      <c r="AC8328">
        <v>1</v>
      </c>
      <c r="AD8328">
        <v>0</v>
      </c>
      <c r="AE8328">
        <v>0</v>
      </c>
      <c r="AF8328">
        <v>0</v>
      </c>
      <c r="AG8328">
        <v>1</v>
      </c>
      <c r="AJ8328">
        <v>1</v>
      </c>
      <c r="AK8328">
        <v>0</v>
      </c>
      <c r="AL8328">
        <v>1</v>
      </c>
      <c r="AM8328">
        <v>0</v>
      </c>
      <c r="AN8328">
        <v>0</v>
      </c>
      <c r="AO8328">
        <v>0</v>
      </c>
      <c r="AP8328">
        <v>0</v>
      </c>
      <c r="AQ8328">
        <v>1</v>
      </c>
      <c r="AR8328">
        <v>0</v>
      </c>
      <c r="AS8328">
        <v>0</v>
      </c>
      <c r="AT8328">
        <v>1</v>
      </c>
      <c r="AV8328">
        <v>0</v>
      </c>
      <c r="AW8328">
        <v>0</v>
      </c>
    </row>
    <row r="8329" spans="1:49" x14ac:dyDescent="0.25">
      <c r="A8329" t="str">
        <f>"8325"</f>
        <v>8325</v>
      </c>
      <c r="B8329" t="str">
        <f t="shared" si="484"/>
        <v>1</v>
      </c>
      <c r="C8329" t="str">
        <f t="shared" si="486"/>
        <v>368</v>
      </c>
      <c r="D8329" t="str">
        <f>"16"</f>
        <v>16</v>
      </c>
      <c r="E8329" t="str">
        <f>"1-368-16"</f>
        <v>1-368-16</v>
      </c>
      <c r="F8329" t="s">
        <v>83</v>
      </c>
      <c r="G8329" t="s">
        <v>84</v>
      </c>
      <c r="H8329" t="s">
        <v>85</v>
      </c>
      <c r="AC8329">
        <v>0</v>
      </c>
      <c r="AD8329">
        <v>1</v>
      </c>
      <c r="AE8329">
        <v>0</v>
      </c>
      <c r="AF8329">
        <v>0</v>
      </c>
      <c r="AG8329">
        <v>1</v>
      </c>
      <c r="AJ8329">
        <v>0</v>
      </c>
      <c r="AK8329">
        <v>1</v>
      </c>
      <c r="AL8329">
        <v>0</v>
      </c>
      <c r="AM8329">
        <v>1</v>
      </c>
      <c r="AN8329">
        <v>0</v>
      </c>
      <c r="AO8329">
        <v>0</v>
      </c>
      <c r="AP8329">
        <v>1</v>
      </c>
      <c r="AQ8329">
        <v>1</v>
      </c>
      <c r="AR8329">
        <v>1</v>
      </c>
      <c r="AS8329">
        <v>1</v>
      </c>
      <c r="AT8329">
        <v>0</v>
      </c>
      <c r="AV8329">
        <v>0</v>
      </c>
      <c r="AW8329">
        <v>1</v>
      </c>
    </row>
    <row r="8330" spans="1:49" x14ac:dyDescent="0.25">
      <c r="A8330" t="str">
        <f>"8326"</f>
        <v>8326</v>
      </c>
      <c r="B8330" t="str">
        <f t="shared" si="484"/>
        <v>1</v>
      </c>
      <c r="C8330" t="str">
        <f t="shared" si="486"/>
        <v>368</v>
      </c>
      <c r="D8330" t="str">
        <f>"13"</f>
        <v>13</v>
      </c>
      <c r="E8330" t="str">
        <f>"1-368-13"</f>
        <v>1-368-13</v>
      </c>
      <c r="F8330" t="s">
        <v>83</v>
      </c>
      <c r="G8330" t="s">
        <v>84</v>
      </c>
      <c r="H8330" t="s">
        <v>85</v>
      </c>
      <c r="AC8330">
        <v>0</v>
      </c>
      <c r="AD8330">
        <v>1</v>
      </c>
      <c r="AE8330">
        <v>0</v>
      </c>
      <c r="AF8330">
        <v>0</v>
      </c>
      <c r="AG8330">
        <v>1</v>
      </c>
      <c r="AJ8330">
        <v>1</v>
      </c>
      <c r="AK8330">
        <v>0</v>
      </c>
      <c r="AL8330">
        <v>0</v>
      </c>
      <c r="AM8330">
        <v>1</v>
      </c>
      <c r="AN8330">
        <v>0</v>
      </c>
      <c r="AO8330">
        <v>1</v>
      </c>
      <c r="AP8330">
        <v>1</v>
      </c>
      <c r="AQ8330">
        <v>1</v>
      </c>
      <c r="AR8330">
        <v>1</v>
      </c>
      <c r="AS8330">
        <v>0</v>
      </c>
      <c r="AT8330">
        <v>1</v>
      </c>
      <c r="AV8330">
        <v>1</v>
      </c>
      <c r="AW8330">
        <v>1</v>
      </c>
    </row>
    <row r="8331" spans="1:49" x14ac:dyDescent="0.25">
      <c r="A8331" t="str">
        <f>"8327"</f>
        <v>8327</v>
      </c>
      <c r="B8331" t="str">
        <f t="shared" si="484"/>
        <v>1</v>
      </c>
      <c r="C8331" t="str">
        <f t="shared" si="486"/>
        <v>368</v>
      </c>
      <c r="D8331" t="str">
        <f>"8"</f>
        <v>8</v>
      </c>
      <c r="E8331" t="str">
        <f>"1-368-8"</f>
        <v>1-368-8</v>
      </c>
      <c r="F8331" t="s">
        <v>83</v>
      </c>
      <c r="G8331" t="s">
        <v>84</v>
      </c>
      <c r="H8331" t="s">
        <v>85</v>
      </c>
      <c r="AC8331">
        <v>1</v>
      </c>
      <c r="AD8331">
        <v>0</v>
      </c>
      <c r="AE8331">
        <v>0</v>
      </c>
      <c r="AF8331">
        <v>0</v>
      </c>
      <c r="AG8331">
        <v>0</v>
      </c>
      <c r="AJ8331">
        <v>1</v>
      </c>
      <c r="AK8331">
        <v>0</v>
      </c>
      <c r="AL8331">
        <v>1</v>
      </c>
      <c r="AM8331">
        <v>0</v>
      </c>
      <c r="AN8331">
        <v>0</v>
      </c>
      <c r="AO8331">
        <v>0</v>
      </c>
      <c r="AP8331">
        <v>0</v>
      </c>
      <c r="AQ8331">
        <v>0</v>
      </c>
      <c r="AR8331">
        <v>0</v>
      </c>
      <c r="AS8331">
        <v>0</v>
      </c>
      <c r="AT8331">
        <v>1</v>
      </c>
      <c r="AV8331">
        <v>0</v>
      </c>
      <c r="AW8331">
        <v>0</v>
      </c>
    </row>
    <row r="8332" spans="1:49" x14ac:dyDescent="0.25">
      <c r="A8332" t="str">
        <f>"8328"</f>
        <v>8328</v>
      </c>
      <c r="B8332" t="str">
        <f t="shared" si="484"/>
        <v>1</v>
      </c>
      <c r="C8332" t="str">
        <f t="shared" si="486"/>
        <v>368</v>
      </c>
      <c r="D8332" t="str">
        <f>"23"</f>
        <v>23</v>
      </c>
      <c r="E8332" t="str">
        <f>"1-368-23"</f>
        <v>1-368-23</v>
      </c>
      <c r="F8332" t="s">
        <v>83</v>
      </c>
      <c r="G8332" t="s">
        <v>84</v>
      </c>
      <c r="H8332" t="s">
        <v>85</v>
      </c>
      <c r="AC8332">
        <v>1</v>
      </c>
      <c r="AD8332">
        <v>0</v>
      </c>
      <c r="AE8332">
        <v>0</v>
      </c>
      <c r="AF8332">
        <v>0</v>
      </c>
      <c r="AG8332">
        <v>1</v>
      </c>
      <c r="AJ8332">
        <v>0</v>
      </c>
      <c r="AK8332">
        <v>1</v>
      </c>
      <c r="AL8332">
        <v>1</v>
      </c>
      <c r="AM8332">
        <v>0</v>
      </c>
      <c r="AN8332">
        <v>0</v>
      </c>
      <c r="AO8332">
        <v>1</v>
      </c>
      <c r="AP8332">
        <v>1</v>
      </c>
      <c r="AQ8332">
        <v>1</v>
      </c>
      <c r="AR8332">
        <v>1</v>
      </c>
      <c r="AS8332">
        <v>1</v>
      </c>
      <c r="AT8332">
        <v>0</v>
      </c>
      <c r="AV8332">
        <v>1</v>
      </c>
      <c r="AW8332">
        <v>1</v>
      </c>
    </row>
    <row r="8333" spans="1:49" x14ac:dyDescent="0.25">
      <c r="A8333" t="str">
        <f>"8329"</f>
        <v>8329</v>
      </c>
      <c r="B8333" t="str">
        <f t="shared" si="484"/>
        <v>1</v>
      </c>
      <c r="C8333" t="str">
        <f t="shared" si="486"/>
        <v>368</v>
      </c>
      <c r="D8333" t="str">
        <f>"22"</f>
        <v>22</v>
      </c>
      <c r="E8333" t="str">
        <f>"1-368-22"</f>
        <v>1-368-22</v>
      </c>
      <c r="F8333" t="s">
        <v>83</v>
      </c>
      <c r="G8333" t="s">
        <v>84</v>
      </c>
      <c r="H8333" t="s">
        <v>85</v>
      </c>
      <c r="AC8333">
        <v>0</v>
      </c>
      <c r="AD8333">
        <v>1</v>
      </c>
      <c r="AE8333">
        <v>0</v>
      </c>
      <c r="AF8333">
        <v>0</v>
      </c>
      <c r="AG8333">
        <v>0</v>
      </c>
      <c r="AJ8333">
        <v>0</v>
      </c>
      <c r="AK8333">
        <v>1</v>
      </c>
      <c r="AL8333">
        <v>0</v>
      </c>
      <c r="AM8333">
        <v>0</v>
      </c>
      <c r="AN8333">
        <v>0</v>
      </c>
      <c r="AO8333">
        <v>0</v>
      </c>
      <c r="AP8333">
        <v>0</v>
      </c>
      <c r="AQ8333">
        <v>0</v>
      </c>
      <c r="AR8333">
        <v>0</v>
      </c>
      <c r="AS8333">
        <v>0</v>
      </c>
      <c r="AT8333">
        <v>0</v>
      </c>
      <c r="AV8333">
        <v>0</v>
      </c>
      <c r="AW8333">
        <v>0</v>
      </c>
    </row>
    <row r="8334" spans="1:49" x14ac:dyDescent="0.25">
      <c r="A8334" t="str">
        <f>"8330"</f>
        <v>8330</v>
      </c>
      <c r="B8334" t="str">
        <f t="shared" si="484"/>
        <v>1</v>
      </c>
      <c r="C8334" t="str">
        <f t="shared" si="486"/>
        <v>368</v>
      </c>
      <c r="D8334" t="str">
        <f>"19"</f>
        <v>19</v>
      </c>
      <c r="E8334" t="str">
        <f>"1-368-19"</f>
        <v>1-368-19</v>
      </c>
      <c r="F8334" t="s">
        <v>83</v>
      </c>
      <c r="G8334" t="s">
        <v>84</v>
      </c>
      <c r="H8334" t="s">
        <v>85</v>
      </c>
      <c r="AC8334">
        <v>0</v>
      </c>
      <c r="AD8334">
        <v>1</v>
      </c>
      <c r="AE8334">
        <v>0</v>
      </c>
      <c r="AF8334">
        <v>0</v>
      </c>
      <c r="AG8334">
        <v>1</v>
      </c>
      <c r="AJ8334">
        <v>0</v>
      </c>
      <c r="AK8334">
        <v>1</v>
      </c>
      <c r="AL8334">
        <v>0</v>
      </c>
      <c r="AM8334">
        <v>0</v>
      </c>
      <c r="AN8334">
        <v>1</v>
      </c>
      <c r="AO8334">
        <v>1</v>
      </c>
      <c r="AP8334">
        <v>1</v>
      </c>
      <c r="AQ8334">
        <v>1</v>
      </c>
      <c r="AR8334">
        <v>1</v>
      </c>
      <c r="AS8334">
        <v>0</v>
      </c>
      <c r="AT8334">
        <v>1</v>
      </c>
      <c r="AV8334">
        <v>1</v>
      </c>
      <c r="AW8334">
        <v>1</v>
      </c>
    </row>
    <row r="8335" spans="1:49" x14ac:dyDescent="0.25">
      <c r="A8335" t="str">
        <f>"8331"</f>
        <v>8331</v>
      </c>
      <c r="B8335" t="str">
        <f t="shared" si="484"/>
        <v>1</v>
      </c>
      <c r="C8335" t="str">
        <f t="shared" si="486"/>
        <v>368</v>
      </c>
      <c r="D8335" t="str">
        <f>"9"</f>
        <v>9</v>
      </c>
      <c r="E8335" t="str">
        <f>"1-368-9"</f>
        <v>1-368-9</v>
      </c>
      <c r="F8335" t="s">
        <v>83</v>
      </c>
      <c r="G8335" t="s">
        <v>84</v>
      </c>
      <c r="H8335" t="s">
        <v>85</v>
      </c>
      <c r="AC8335">
        <v>0</v>
      </c>
      <c r="AD8335">
        <v>1</v>
      </c>
      <c r="AE8335">
        <v>0</v>
      </c>
      <c r="AF8335">
        <v>0</v>
      </c>
      <c r="AG8335">
        <v>1</v>
      </c>
      <c r="AJ8335">
        <v>0</v>
      </c>
      <c r="AK8335">
        <v>1</v>
      </c>
      <c r="AL8335">
        <v>0</v>
      </c>
      <c r="AM8335">
        <v>1</v>
      </c>
      <c r="AN8335">
        <v>0</v>
      </c>
      <c r="AO8335">
        <v>1</v>
      </c>
      <c r="AP8335">
        <v>1</v>
      </c>
      <c r="AQ8335">
        <v>1</v>
      </c>
      <c r="AR8335">
        <v>1</v>
      </c>
      <c r="AS8335">
        <v>0</v>
      </c>
      <c r="AT8335">
        <v>1</v>
      </c>
      <c r="AV8335">
        <v>1</v>
      </c>
      <c r="AW8335">
        <v>1</v>
      </c>
    </row>
    <row r="8336" spans="1:49" x14ac:dyDescent="0.25">
      <c r="A8336" t="str">
        <f>"8332"</f>
        <v>8332</v>
      </c>
      <c r="B8336" t="str">
        <f t="shared" si="484"/>
        <v>1</v>
      </c>
      <c r="C8336" t="str">
        <f t="shared" si="486"/>
        <v>368</v>
      </c>
      <c r="D8336" t="str">
        <f>"5"</f>
        <v>5</v>
      </c>
      <c r="E8336" t="str">
        <f>"1-368-5"</f>
        <v>1-368-5</v>
      </c>
      <c r="F8336" t="s">
        <v>83</v>
      </c>
      <c r="G8336" t="s">
        <v>84</v>
      </c>
      <c r="H8336" t="s">
        <v>85</v>
      </c>
      <c r="AC8336">
        <v>1</v>
      </c>
      <c r="AD8336">
        <v>0</v>
      </c>
      <c r="AE8336">
        <v>0</v>
      </c>
      <c r="AF8336">
        <v>0</v>
      </c>
      <c r="AG8336">
        <v>1</v>
      </c>
      <c r="AJ8336">
        <v>0</v>
      </c>
      <c r="AK8336">
        <v>1</v>
      </c>
      <c r="AL8336">
        <v>1</v>
      </c>
      <c r="AM8336">
        <v>0</v>
      </c>
      <c r="AN8336">
        <v>0</v>
      </c>
      <c r="AO8336">
        <v>1</v>
      </c>
      <c r="AP8336">
        <v>1</v>
      </c>
      <c r="AQ8336">
        <v>1</v>
      </c>
      <c r="AR8336">
        <v>1</v>
      </c>
      <c r="AS8336">
        <v>1</v>
      </c>
      <c r="AT8336">
        <v>0</v>
      </c>
      <c r="AV8336">
        <v>1</v>
      </c>
      <c r="AW8336">
        <v>1</v>
      </c>
    </row>
    <row r="8337" spans="1:49" x14ac:dyDescent="0.25">
      <c r="A8337" t="str">
        <f>"8333"</f>
        <v>8333</v>
      </c>
      <c r="B8337" t="str">
        <f t="shared" si="484"/>
        <v>1</v>
      </c>
      <c r="C8337" t="str">
        <f t="shared" si="486"/>
        <v>368</v>
      </c>
      <c r="D8337" t="str">
        <f>"25"</f>
        <v>25</v>
      </c>
      <c r="E8337" t="str">
        <f>"1-368-25"</f>
        <v>1-368-25</v>
      </c>
      <c r="F8337" t="s">
        <v>83</v>
      </c>
      <c r="G8337" t="s">
        <v>84</v>
      </c>
      <c r="H8337" t="s">
        <v>85</v>
      </c>
      <c r="AC8337">
        <v>0</v>
      </c>
      <c r="AD8337">
        <v>1</v>
      </c>
      <c r="AE8337">
        <v>0</v>
      </c>
      <c r="AF8337">
        <v>0</v>
      </c>
      <c r="AG8337">
        <v>1</v>
      </c>
      <c r="AJ8337">
        <v>0</v>
      </c>
      <c r="AK8337">
        <v>1</v>
      </c>
      <c r="AL8337">
        <v>0</v>
      </c>
      <c r="AM8337">
        <v>0</v>
      </c>
      <c r="AN8337">
        <v>1</v>
      </c>
      <c r="AO8337">
        <v>1</v>
      </c>
      <c r="AP8337">
        <v>1</v>
      </c>
      <c r="AQ8337">
        <v>1</v>
      </c>
      <c r="AR8337">
        <v>1</v>
      </c>
      <c r="AS8337">
        <v>0</v>
      </c>
      <c r="AT8337">
        <v>1</v>
      </c>
      <c r="AV8337">
        <v>1</v>
      </c>
      <c r="AW8337">
        <v>1</v>
      </c>
    </row>
    <row r="8338" spans="1:49" x14ac:dyDescent="0.25">
      <c r="A8338" t="str">
        <f>"8334"</f>
        <v>8334</v>
      </c>
      <c r="B8338" t="str">
        <f t="shared" si="484"/>
        <v>1</v>
      </c>
      <c r="C8338" t="str">
        <f t="shared" si="486"/>
        <v>368</v>
      </c>
      <c r="D8338" t="str">
        <f>"24"</f>
        <v>24</v>
      </c>
      <c r="E8338" t="str">
        <f>"1-368-24"</f>
        <v>1-368-24</v>
      </c>
      <c r="F8338" t="s">
        <v>83</v>
      </c>
      <c r="G8338" t="s">
        <v>84</v>
      </c>
      <c r="H8338" t="s">
        <v>85</v>
      </c>
      <c r="AC8338">
        <v>0</v>
      </c>
      <c r="AD8338">
        <v>1</v>
      </c>
      <c r="AE8338">
        <v>0</v>
      </c>
      <c r="AF8338">
        <v>0</v>
      </c>
      <c r="AG8338">
        <v>1</v>
      </c>
      <c r="AJ8338">
        <v>1</v>
      </c>
      <c r="AK8338">
        <v>0</v>
      </c>
      <c r="AL8338">
        <v>1</v>
      </c>
      <c r="AM8338">
        <v>0</v>
      </c>
      <c r="AN8338">
        <v>0</v>
      </c>
      <c r="AO8338">
        <v>1</v>
      </c>
      <c r="AP8338">
        <v>1</v>
      </c>
      <c r="AQ8338">
        <v>1</v>
      </c>
      <c r="AR8338">
        <v>1</v>
      </c>
      <c r="AS8338">
        <v>0</v>
      </c>
      <c r="AT8338">
        <v>1</v>
      </c>
      <c r="AV8338">
        <v>1</v>
      </c>
      <c r="AW8338">
        <v>1</v>
      </c>
    </row>
    <row r="8339" spans="1:49" x14ac:dyDescent="0.25">
      <c r="A8339" t="str">
        <f>"8335"</f>
        <v>8335</v>
      </c>
      <c r="B8339" t="str">
        <f t="shared" si="484"/>
        <v>1</v>
      </c>
      <c r="C8339" t="str">
        <f t="shared" si="486"/>
        <v>368</v>
      </c>
      <c r="D8339" t="str">
        <f>"18"</f>
        <v>18</v>
      </c>
      <c r="E8339" t="str">
        <f>"1-368-18"</f>
        <v>1-368-18</v>
      </c>
      <c r="F8339" t="s">
        <v>83</v>
      </c>
      <c r="G8339" t="s">
        <v>84</v>
      </c>
      <c r="H8339" t="s">
        <v>85</v>
      </c>
      <c r="AC8339">
        <v>1</v>
      </c>
      <c r="AD8339">
        <v>0</v>
      </c>
      <c r="AE8339">
        <v>0</v>
      </c>
      <c r="AF8339">
        <v>0</v>
      </c>
      <c r="AG8339">
        <v>0</v>
      </c>
      <c r="AJ8339">
        <v>0</v>
      </c>
      <c r="AK8339">
        <v>1</v>
      </c>
      <c r="AL8339">
        <v>1</v>
      </c>
      <c r="AM8339">
        <v>0</v>
      </c>
      <c r="AN8339">
        <v>0</v>
      </c>
      <c r="AO8339">
        <v>0</v>
      </c>
      <c r="AP8339">
        <v>0</v>
      </c>
      <c r="AQ8339">
        <v>0</v>
      </c>
      <c r="AR8339">
        <v>0</v>
      </c>
      <c r="AS8339">
        <v>0</v>
      </c>
      <c r="AT8339">
        <v>1</v>
      </c>
      <c r="AV8339">
        <v>0</v>
      </c>
      <c r="AW8339">
        <v>0</v>
      </c>
    </row>
    <row r="8340" spans="1:49" x14ac:dyDescent="0.25">
      <c r="A8340" t="str">
        <f>"8336"</f>
        <v>8336</v>
      </c>
      <c r="B8340" t="str">
        <f t="shared" si="484"/>
        <v>1</v>
      </c>
      <c r="C8340" t="str">
        <f t="shared" si="486"/>
        <v>368</v>
      </c>
      <c r="D8340" t="str">
        <f>"10"</f>
        <v>10</v>
      </c>
      <c r="E8340" t="str">
        <f>"1-368-10"</f>
        <v>1-368-10</v>
      </c>
      <c r="F8340" t="s">
        <v>83</v>
      </c>
      <c r="G8340" t="s">
        <v>84</v>
      </c>
      <c r="H8340" t="s">
        <v>85</v>
      </c>
      <c r="AC8340">
        <v>1</v>
      </c>
      <c r="AD8340">
        <v>0</v>
      </c>
      <c r="AE8340">
        <v>0</v>
      </c>
      <c r="AF8340">
        <v>0</v>
      </c>
      <c r="AG8340">
        <v>0</v>
      </c>
      <c r="AJ8340">
        <v>1</v>
      </c>
      <c r="AK8340">
        <v>0</v>
      </c>
      <c r="AL8340">
        <v>1</v>
      </c>
      <c r="AM8340">
        <v>0</v>
      </c>
      <c r="AN8340">
        <v>0</v>
      </c>
      <c r="AO8340">
        <v>0</v>
      </c>
      <c r="AP8340">
        <v>0</v>
      </c>
      <c r="AQ8340">
        <v>0</v>
      </c>
      <c r="AR8340">
        <v>0</v>
      </c>
      <c r="AS8340">
        <v>1</v>
      </c>
      <c r="AT8340">
        <v>0</v>
      </c>
      <c r="AV8340">
        <v>0</v>
      </c>
      <c r="AW8340">
        <v>1</v>
      </c>
    </row>
    <row r="8341" spans="1:49" x14ac:dyDescent="0.25">
      <c r="A8341" t="str">
        <f>"8337"</f>
        <v>8337</v>
      </c>
      <c r="B8341" t="str">
        <f t="shared" si="484"/>
        <v>1</v>
      </c>
      <c r="C8341" t="str">
        <f t="shared" si="486"/>
        <v>368</v>
      </c>
      <c r="D8341" t="str">
        <f>"2"</f>
        <v>2</v>
      </c>
      <c r="E8341" t="str">
        <f>"1-368-2"</f>
        <v>1-368-2</v>
      </c>
      <c r="F8341" t="s">
        <v>83</v>
      </c>
      <c r="G8341" t="s">
        <v>84</v>
      </c>
      <c r="H8341" t="s">
        <v>85</v>
      </c>
      <c r="AC8341">
        <v>0</v>
      </c>
      <c r="AD8341">
        <v>1</v>
      </c>
      <c r="AE8341">
        <v>0</v>
      </c>
      <c r="AF8341">
        <v>0</v>
      </c>
      <c r="AG8341">
        <v>0</v>
      </c>
      <c r="AJ8341">
        <v>0</v>
      </c>
      <c r="AK8341">
        <v>1</v>
      </c>
      <c r="AL8341">
        <v>1</v>
      </c>
      <c r="AM8341">
        <v>0</v>
      </c>
      <c r="AN8341">
        <v>0</v>
      </c>
      <c r="AO8341">
        <v>1</v>
      </c>
      <c r="AP8341">
        <v>0</v>
      </c>
      <c r="AQ8341">
        <v>0</v>
      </c>
      <c r="AR8341">
        <v>0</v>
      </c>
      <c r="AS8341">
        <v>0</v>
      </c>
      <c r="AT8341">
        <v>0</v>
      </c>
      <c r="AV8341">
        <v>0</v>
      </c>
      <c r="AW8341">
        <v>0</v>
      </c>
    </row>
    <row r="8342" spans="1:49" x14ac:dyDescent="0.25">
      <c r="A8342" t="str">
        <f>"8338"</f>
        <v>8338</v>
      </c>
      <c r="B8342" t="str">
        <f t="shared" si="484"/>
        <v>1</v>
      </c>
      <c r="C8342" t="str">
        <f t="shared" si="486"/>
        <v>368</v>
      </c>
      <c r="D8342" t="str">
        <f>"20"</f>
        <v>20</v>
      </c>
      <c r="E8342" t="str">
        <f>"1-368-20"</f>
        <v>1-368-20</v>
      </c>
      <c r="F8342" t="s">
        <v>83</v>
      </c>
      <c r="G8342" t="s">
        <v>84</v>
      </c>
      <c r="H8342" t="s">
        <v>85</v>
      </c>
      <c r="AC8342">
        <v>1</v>
      </c>
      <c r="AD8342">
        <v>0</v>
      </c>
      <c r="AE8342">
        <v>0</v>
      </c>
      <c r="AF8342">
        <v>0</v>
      </c>
      <c r="AG8342">
        <v>1</v>
      </c>
      <c r="AJ8342">
        <v>1</v>
      </c>
      <c r="AK8342">
        <v>0</v>
      </c>
      <c r="AL8342">
        <v>1</v>
      </c>
      <c r="AM8342">
        <v>0</v>
      </c>
      <c r="AN8342">
        <v>0</v>
      </c>
      <c r="AO8342">
        <v>1</v>
      </c>
      <c r="AP8342">
        <v>1</v>
      </c>
      <c r="AQ8342">
        <v>1</v>
      </c>
      <c r="AR8342">
        <v>1</v>
      </c>
      <c r="AS8342">
        <v>1</v>
      </c>
      <c r="AT8342">
        <v>0</v>
      </c>
      <c r="AV8342">
        <v>0</v>
      </c>
      <c r="AW8342">
        <v>1</v>
      </c>
    </row>
    <row r="8343" spans="1:49" x14ac:dyDescent="0.25">
      <c r="A8343" t="str">
        <f>"8339"</f>
        <v>8339</v>
      </c>
      <c r="B8343" t="str">
        <f t="shared" si="484"/>
        <v>1</v>
      </c>
      <c r="C8343" t="str">
        <f t="shared" si="486"/>
        <v>368</v>
      </c>
      <c r="D8343" t="str">
        <f>"11"</f>
        <v>11</v>
      </c>
      <c r="E8343" t="str">
        <f>"1-368-11"</f>
        <v>1-368-11</v>
      </c>
      <c r="F8343" t="s">
        <v>83</v>
      </c>
      <c r="G8343" t="s">
        <v>84</v>
      </c>
      <c r="H8343" t="s">
        <v>85</v>
      </c>
      <c r="AC8343">
        <v>0</v>
      </c>
      <c r="AD8343">
        <v>1</v>
      </c>
      <c r="AE8343">
        <v>0</v>
      </c>
      <c r="AF8343">
        <v>0</v>
      </c>
      <c r="AG8343">
        <v>1</v>
      </c>
      <c r="AJ8343">
        <v>1</v>
      </c>
      <c r="AK8343">
        <v>0</v>
      </c>
      <c r="AL8343">
        <v>0</v>
      </c>
      <c r="AM8343">
        <v>1</v>
      </c>
      <c r="AN8343">
        <v>0</v>
      </c>
      <c r="AO8343">
        <v>1</v>
      </c>
      <c r="AP8343">
        <v>1</v>
      </c>
      <c r="AQ8343">
        <v>1</v>
      </c>
      <c r="AR8343">
        <v>1</v>
      </c>
      <c r="AS8343">
        <v>0</v>
      </c>
      <c r="AT8343">
        <v>1</v>
      </c>
      <c r="AV8343">
        <v>1</v>
      </c>
      <c r="AW8343">
        <v>1</v>
      </c>
    </row>
    <row r="8344" spans="1:49" x14ac:dyDescent="0.25">
      <c r="A8344" t="str">
        <f>"8340"</f>
        <v>8340</v>
      </c>
      <c r="B8344" t="str">
        <f t="shared" si="484"/>
        <v>1</v>
      </c>
      <c r="C8344" t="str">
        <f t="shared" si="486"/>
        <v>368</v>
      </c>
      <c r="D8344" t="str">
        <f>"6"</f>
        <v>6</v>
      </c>
      <c r="E8344" t="str">
        <f>"1-368-6"</f>
        <v>1-368-6</v>
      </c>
      <c r="F8344" t="s">
        <v>83</v>
      </c>
      <c r="G8344" t="s">
        <v>84</v>
      </c>
      <c r="H8344" t="s">
        <v>85</v>
      </c>
      <c r="AC8344">
        <v>0</v>
      </c>
      <c r="AD8344">
        <v>1</v>
      </c>
      <c r="AE8344">
        <v>0</v>
      </c>
      <c r="AF8344">
        <v>0</v>
      </c>
      <c r="AG8344">
        <v>1</v>
      </c>
      <c r="AJ8344">
        <v>1</v>
      </c>
      <c r="AK8344">
        <v>0</v>
      </c>
      <c r="AL8344">
        <v>1</v>
      </c>
      <c r="AM8344">
        <v>0</v>
      </c>
      <c r="AN8344">
        <v>0</v>
      </c>
      <c r="AO8344">
        <v>1</v>
      </c>
      <c r="AP8344">
        <v>1</v>
      </c>
      <c r="AQ8344">
        <v>1</v>
      </c>
      <c r="AR8344">
        <v>1</v>
      </c>
      <c r="AS8344">
        <v>1</v>
      </c>
      <c r="AT8344">
        <v>0</v>
      </c>
      <c r="AV8344">
        <v>1</v>
      </c>
      <c r="AW8344">
        <v>1</v>
      </c>
    </row>
    <row r="8345" spans="1:49" x14ac:dyDescent="0.25">
      <c r="A8345" t="str">
        <f>"8341"</f>
        <v>8341</v>
      </c>
      <c r="B8345" t="str">
        <f t="shared" si="484"/>
        <v>1</v>
      </c>
      <c r="C8345" t="str">
        <f t="shared" si="486"/>
        <v>368</v>
      </c>
      <c r="D8345" t="str">
        <f>"21"</f>
        <v>21</v>
      </c>
      <c r="E8345" t="str">
        <f>"1-368-21"</f>
        <v>1-368-21</v>
      </c>
      <c r="F8345" t="s">
        <v>83</v>
      </c>
      <c r="G8345" t="s">
        <v>84</v>
      </c>
      <c r="H8345" t="s">
        <v>85</v>
      </c>
      <c r="AC8345">
        <v>0</v>
      </c>
      <c r="AD8345">
        <v>1</v>
      </c>
      <c r="AE8345">
        <v>0</v>
      </c>
      <c r="AF8345">
        <v>0</v>
      </c>
      <c r="AG8345">
        <v>1</v>
      </c>
      <c r="AJ8345">
        <v>0</v>
      </c>
      <c r="AK8345">
        <v>1</v>
      </c>
      <c r="AL8345">
        <v>0</v>
      </c>
      <c r="AM8345">
        <v>1</v>
      </c>
      <c r="AN8345">
        <v>0</v>
      </c>
      <c r="AO8345">
        <v>1</v>
      </c>
      <c r="AP8345">
        <v>0</v>
      </c>
      <c r="AQ8345">
        <v>1</v>
      </c>
      <c r="AR8345">
        <v>1</v>
      </c>
      <c r="AS8345">
        <v>0</v>
      </c>
      <c r="AT8345">
        <v>1</v>
      </c>
      <c r="AV8345">
        <v>1</v>
      </c>
      <c r="AW8345">
        <v>1</v>
      </c>
    </row>
    <row r="8346" spans="1:49" x14ac:dyDescent="0.25">
      <c r="A8346" t="str">
        <f>"8342"</f>
        <v>8342</v>
      </c>
      <c r="B8346" t="str">
        <f t="shared" si="484"/>
        <v>1</v>
      </c>
      <c r="C8346" t="str">
        <f t="shared" si="486"/>
        <v>368</v>
      </c>
      <c r="D8346" t="str">
        <f>"12"</f>
        <v>12</v>
      </c>
      <c r="E8346" t="str">
        <f>"1-368-12"</f>
        <v>1-368-12</v>
      </c>
      <c r="F8346" t="s">
        <v>83</v>
      </c>
      <c r="G8346" t="s">
        <v>84</v>
      </c>
      <c r="H8346" t="s">
        <v>85</v>
      </c>
      <c r="AC8346">
        <v>1</v>
      </c>
      <c r="AD8346">
        <v>0</v>
      </c>
      <c r="AE8346">
        <v>0</v>
      </c>
      <c r="AF8346">
        <v>0</v>
      </c>
      <c r="AG8346">
        <v>1</v>
      </c>
      <c r="AJ8346">
        <v>0</v>
      </c>
      <c r="AK8346">
        <v>1</v>
      </c>
      <c r="AL8346">
        <v>1</v>
      </c>
      <c r="AM8346">
        <v>0</v>
      </c>
      <c r="AN8346">
        <v>0</v>
      </c>
      <c r="AO8346">
        <v>1</v>
      </c>
      <c r="AP8346">
        <v>1</v>
      </c>
      <c r="AQ8346">
        <v>1</v>
      </c>
      <c r="AR8346">
        <v>1</v>
      </c>
      <c r="AS8346">
        <v>1</v>
      </c>
      <c r="AT8346">
        <v>0</v>
      </c>
      <c r="AV8346">
        <v>1</v>
      </c>
      <c r="AW8346">
        <v>1</v>
      </c>
    </row>
    <row r="8347" spans="1:49" x14ac:dyDescent="0.25">
      <c r="A8347" t="str">
        <f>"8343"</f>
        <v>8343</v>
      </c>
      <c r="B8347" t="str">
        <f t="shared" si="484"/>
        <v>1</v>
      </c>
      <c r="C8347" t="str">
        <f t="shared" si="486"/>
        <v>368</v>
      </c>
      <c r="D8347" t="str">
        <f>"4"</f>
        <v>4</v>
      </c>
      <c r="E8347" t="str">
        <f>"1-368-4"</f>
        <v>1-368-4</v>
      </c>
      <c r="F8347" t="s">
        <v>83</v>
      </c>
      <c r="G8347" t="s">
        <v>84</v>
      </c>
      <c r="H8347" t="s">
        <v>85</v>
      </c>
      <c r="AC8347">
        <v>1</v>
      </c>
      <c r="AD8347">
        <v>0</v>
      </c>
      <c r="AE8347">
        <v>0</v>
      </c>
      <c r="AF8347">
        <v>0</v>
      </c>
      <c r="AG8347">
        <v>1</v>
      </c>
      <c r="AJ8347">
        <v>1</v>
      </c>
      <c r="AK8347">
        <v>0</v>
      </c>
      <c r="AL8347">
        <v>1</v>
      </c>
      <c r="AM8347">
        <v>0</v>
      </c>
      <c r="AN8347">
        <v>0</v>
      </c>
      <c r="AO8347">
        <v>1</v>
      </c>
      <c r="AP8347">
        <v>1</v>
      </c>
      <c r="AQ8347">
        <v>1</v>
      </c>
      <c r="AR8347">
        <v>1</v>
      </c>
      <c r="AS8347">
        <v>1</v>
      </c>
      <c r="AT8347">
        <v>0</v>
      </c>
      <c r="AV8347">
        <v>1</v>
      </c>
      <c r="AW8347">
        <v>1</v>
      </c>
    </row>
    <row r="8348" spans="1:49" x14ac:dyDescent="0.25">
      <c r="A8348" t="str">
        <f>"8344"</f>
        <v>8344</v>
      </c>
      <c r="B8348" t="str">
        <f t="shared" si="484"/>
        <v>1</v>
      </c>
      <c r="C8348" t="str">
        <f t="shared" si="486"/>
        <v>368</v>
      </c>
      <c r="D8348" t="str">
        <f>"14"</f>
        <v>14</v>
      </c>
      <c r="E8348" t="str">
        <f>"1-368-14"</f>
        <v>1-368-14</v>
      </c>
      <c r="F8348" t="s">
        <v>83</v>
      </c>
      <c r="G8348" t="s">
        <v>84</v>
      </c>
      <c r="H8348" t="s">
        <v>85</v>
      </c>
      <c r="AC8348">
        <v>1</v>
      </c>
      <c r="AD8348">
        <v>0</v>
      </c>
      <c r="AE8348">
        <v>0</v>
      </c>
      <c r="AF8348">
        <v>0</v>
      </c>
      <c r="AG8348">
        <v>0</v>
      </c>
      <c r="AJ8348">
        <v>1</v>
      </c>
      <c r="AK8348">
        <v>0</v>
      </c>
      <c r="AL8348">
        <v>1</v>
      </c>
      <c r="AM8348">
        <v>0</v>
      </c>
      <c r="AN8348">
        <v>0</v>
      </c>
      <c r="AO8348">
        <v>0</v>
      </c>
      <c r="AP8348">
        <v>0</v>
      </c>
      <c r="AQ8348">
        <v>0</v>
      </c>
      <c r="AR8348">
        <v>0</v>
      </c>
      <c r="AS8348">
        <v>1</v>
      </c>
      <c r="AT8348">
        <v>0</v>
      </c>
      <c r="AV8348">
        <v>0</v>
      </c>
      <c r="AW8348">
        <v>0</v>
      </c>
    </row>
    <row r="8349" spans="1:49" x14ac:dyDescent="0.25">
      <c r="A8349" t="str">
        <f>"8345"</f>
        <v>8345</v>
      </c>
      <c r="B8349" t="str">
        <f t="shared" si="484"/>
        <v>1</v>
      </c>
      <c r="C8349" t="str">
        <f t="shared" si="486"/>
        <v>368</v>
      </c>
      <c r="D8349" t="str">
        <f>"3"</f>
        <v>3</v>
      </c>
      <c r="E8349" t="str">
        <f>"1-368-3"</f>
        <v>1-368-3</v>
      </c>
      <c r="F8349" t="s">
        <v>83</v>
      </c>
      <c r="G8349" t="s">
        <v>84</v>
      </c>
      <c r="H8349" t="s">
        <v>85</v>
      </c>
      <c r="AC8349">
        <v>1</v>
      </c>
      <c r="AD8349">
        <v>0</v>
      </c>
      <c r="AE8349">
        <v>0</v>
      </c>
      <c r="AF8349">
        <v>0</v>
      </c>
      <c r="AG8349">
        <v>0</v>
      </c>
      <c r="AJ8349">
        <v>0</v>
      </c>
      <c r="AK8349">
        <v>1</v>
      </c>
      <c r="AL8349">
        <v>0</v>
      </c>
      <c r="AM8349">
        <v>0</v>
      </c>
      <c r="AN8349">
        <v>0</v>
      </c>
      <c r="AO8349">
        <v>0</v>
      </c>
      <c r="AP8349">
        <v>0</v>
      </c>
      <c r="AQ8349">
        <v>0</v>
      </c>
      <c r="AR8349">
        <v>0</v>
      </c>
      <c r="AS8349">
        <v>0</v>
      </c>
      <c r="AT8349">
        <v>0</v>
      </c>
      <c r="AV8349">
        <v>0</v>
      </c>
      <c r="AW8349">
        <v>0</v>
      </c>
    </row>
    <row r="8350" spans="1:49" x14ac:dyDescent="0.25">
      <c r="A8350" t="str">
        <f>"8346"</f>
        <v>8346</v>
      </c>
      <c r="B8350" t="str">
        <f t="shared" ref="B8350:B8413" si="487">"1"</f>
        <v>1</v>
      </c>
      <c r="C8350" t="str">
        <f t="shared" si="486"/>
        <v>368</v>
      </c>
      <c r="D8350" t="str">
        <f>"15"</f>
        <v>15</v>
      </c>
      <c r="E8350" t="str">
        <f>"1-368-15"</f>
        <v>1-368-15</v>
      </c>
      <c r="F8350" t="s">
        <v>83</v>
      </c>
      <c r="G8350" t="s">
        <v>84</v>
      </c>
      <c r="H8350" t="s">
        <v>85</v>
      </c>
      <c r="AC8350">
        <v>1</v>
      </c>
      <c r="AD8350">
        <v>0</v>
      </c>
      <c r="AE8350">
        <v>0</v>
      </c>
      <c r="AF8350">
        <v>0</v>
      </c>
      <c r="AG8350">
        <v>1</v>
      </c>
      <c r="AJ8350">
        <v>1</v>
      </c>
      <c r="AK8350">
        <v>0</v>
      </c>
      <c r="AL8350">
        <v>1</v>
      </c>
      <c r="AM8350">
        <v>0</v>
      </c>
      <c r="AN8350">
        <v>0</v>
      </c>
      <c r="AO8350">
        <v>1</v>
      </c>
      <c r="AP8350">
        <v>1</v>
      </c>
      <c r="AQ8350">
        <v>1</v>
      </c>
      <c r="AR8350">
        <v>1</v>
      </c>
      <c r="AS8350">
        <v>1</v>
      </c>
      <c r="AT8350">
        <v>0</v>
      </c>
      <c r="AV8350">
        <v>1</v>
      </c>
      <c r="AW8350">
        <v>1</v>
      </c>
    </row>
    <row r="8351" spans="1:49" x14ac:dyDescent="0.25">
      <c r="A8351" t="str">
        <f>"8347"</f>
        <v>8347</v>
      </c>
      <c r="B8351" t="str">
        <f t="shared" si="487"/>
        <v>1</v>
      </c>
      <c r="C8351" t="str">
        <f t="shared" si="486"/>
        <v>368</v>
      </c>
      <c r="D8351" t="str">
        <f>"7"</f>
        <v>7</v>
      </c>
      <c r="E8351" t="str">
        <f>"1-368-7"</f>
        <v>1-368-7</v>
      </c>
      <c r="F8351" t="s">
        <v>83</v>
      </c>
      <c r="G8351" t="s">
        <v>84</v>
      </c>
      <c r="H8351" t="s">
        <v>85</v>
      </c>
      <c r="AC8351">
        <v>1</v>
      </c>
      <c r="AD8351">
        <v>0</v>
      </c>
      <c r="AE8351">
        <v>0</v>
      </c>
      <c r="AF8351">
        <v>0</v>
      </c>
      <c r="AG8351">
        <v>1</v>
      </c>
      <c r="AJ8351">
        <v>1</v>
      </c>
      <c r="AK8351">
        <v>0</v>
      </c>
      <c r="AL8351">
        <v>1</v>
      </c>
      <c r="AM8351">
        <v>0</v>
      </c>
      <c r="AN8351">
        <v>0</v>
      </c>
      <c r="AO8351">
        <v>1</v>
      </c>
      <c r="AP8351">
        <v>1</v>
      </c>
      <c r="AQ8351">
        <v>1</v>
      </c>
      <c r="AR8351">
        <v>1</v>
      </c>
      <c r="AS8351">
        <v>1</v>
      </c>
      <c r="AT8351">
        <v>0</v>
      </c>
      <c r="AV8351">
        <v>1</v>
      </c>
      <c r="AW8351">
        <v>1</v>
      </c>
    </row>
    <row r="8352" spans="1:49" x14ac:dyDescent="0.25">
      <c r="A8352" t="str">
        <f>"8348"</f>
        <v>8348</v>
      </c>
      <c r="B8352" t="str">
        <f t="shared" si="487"/>
        <v>1</v>
      </c>
      <c r="C8352" t="str">
        <f t="shared" si="486"/>
        <v>368</v>
      </c>
      <c r="D8352" t="str">
        <f>"1"</f>
        <v>1</v>
      </c>
      <c r="E8352" t="str">
        <f>"1-368-1"</f>
        <v>1-368-1</v>
      </c>
      <c r="F8352" t="s">
        <v>83</v>
      </c>
      <c r="G8352" t="s">
        <v>84</v>
      </c>
      <c r="H8352" t="s">
        <v>85</v>
      </c>
      <c r="AC8352">
        <v>0</v>
      </c>
      <c r="AD8352">
        <v>0</v>
      </c>
      <c r="AE8352">
        <v>0</v>
      </c>
      <c r="AF8352">
        <v>0</v>
      </c>
      <c r="AG8352">
        <v>0</v>
      </c>
      <c r="AJ8352">
        <v>0</v>
      </c>
      <c r="AK8352">
        <v>1</v>
      </c>
      <c r="AL8352">
        <v>0</v>
      </c>
      <c r="AM8352">
        <v>1</v>
      </c>
      <c r="AN8352">
        <v>0</v>
      </c>
      <c r="AO8352">
        <v>0</v>
      </c>
      <c r="AP8352">
        <v>0</v>
      </c>
      <c r="AQ8352">
        <v>0</v>
      </c>
      <c r="AR8352">
        <v>1</v>
      </c>
      <c r="AS8352">
        <v>0</v>
      </c>
      <c r="AT8352">
        <v>0</v>
      </c>
      <c r="AV8352">
        <v>0</v>
      </c>
      <c r="AW8352">
        <v>1</v>
      </c>
    </row>
    <row r="8353" spans="1:49" x14ac:dyDescent="0.25">
      <c r="A8353" t="str">
        <f>"8349"</f>
        <v>8349</v>
      </c>
      <c r="B8353" t="str">
        <f t="shared" si="487"/>
        <v>1</v>
      </c>
      <c r="C8353" t="str">
        <f t="shared" ref="C8353:C8373" si="488">"369"</f>
        <v>369</v>
      </c>
      <c r="D8353" t="str">
        <f>"17"</f>
        <v>17</v>
      </c>
      <c r="E8353" t="str">
        <f>"1-369-17"</f>
        <v>1-369-17</v>
      </c>
      <c r="F8353" t="s">
        <v>83</v>
      </c>
      <c r="G8353" t="s">
        <v>86</v>
      </c>
      <c r="H8353" t="s">
        <v>87</v>
      </c>
      <c r="AC8353">
        <v>0</v>
      </c>
      <c r="AD8353">
        <v>0</v>
      </c>
      <c r="AE8353">
        <v>0</v>
      </c>
      <c r="AF8353">
        <v>0</v>
      </c>
      <c r="AH8353">
        <v>1</v>
      </c>
      <c r="AI8353">
        <v>0</v>
      </c>
      <c r="AJ8353">
        <v>0</v>
      </c>
      <c r="AK8353">
        <v>0</v>
      </c>
      <c r="AL8353">
        <v>1</v>
      </c>
      <c r="AM8353">
        <v>0</v>
      </c>
      <c r="AN8353">
        <v>0</v>
      </c>
      <c r="AO8353">
        <v>0</v>
      </c>
      <c r="AP8353">
        <v>0</v>
      </c>
      <c r="AQ8353">
        <v>0</v>
      </c>
      <c r="AU8353">
        <v>1</v>
      </c>
      <c r="AV8353">
        <v>0</v>
      </c>
      <c r="AW8353">
        <v>0</v>
      </c>
    </row>
    <row r="8354" spans="1:49" x14ac:dyDescent="0.25">
      <c r="A8354" t="str">
        <f>"8350"</f>
        <v>8350</v>
      </c>
      <c r="B8354" t="str">
        <f t="shared" si="487"/>
        <v>1</v>
      </c>
      <c r="C8354" t="str">
        <f t="shared" si="488"/>
        <v>369</v>
      </c>
      <c r="D8354" t="str">
        <f>"16"</f>
        <v>16</v>
      </c>
      <c r="E8354" t="str">
        <f>"1-369-16"</f>
        <v>1-369-16</v>
      </c>
      <c r="F8354" t="s">
        <v>83</v>
      </c>
      <c r="G8354" t="s">
        <v>86</v>
      </c>
      <c r="H8354" t="s">
        <v>93</v>
      </c>
      <c r="I8354">
        <v>1</v>
      </c>
      <c r="K8354">
        <v>0</v>
      </c>
      <c r="L8354">
        <v>1</v>
      </c>
      <c r="M8354">
        <v>0</v>
      </c>
      <c r="N8354">
        <v>1</v>
      </c>
      <c r="O8354">
        <v>1</v>
      </c>
      <c r="P8354">
        <v>1</v>
      </c>
      <c r="Q8354">
        <v>1</v>
      </c>
      <c r="R8354">
        <v>1</v>
      </c>
      <c r="U8354">
        <v>0</v>
      </c>
      <c r="V8354">
        <v>1</v>
      </c>
      <c r="W8354">
        <v>1</v>
      </c>
      <c r="X8354">
        <v>1</v>
      </c>
      <c r="Y8354">
        <v>1</v>
      </c>
      <c r="Z8354">
        <v>1</v>
      </c>
      <c r="AA8354">
        <v>1</v>
      </c>
      <c r="AB8354">
        <v>1</v>
      </c>
    </row>
    <row r="8355" spans="1:49" x14ac:dyDescent="0.25">
      <c r="A8355" t="str">
        <f>"8351"</f>
        <v>8351</v>
      </c>
      <c r="B8355" t="str">
        <f t="shared" si="487"/>
        <v>1</v>
      </c>
      <c r="C8355" t="str">
        <f t="shared" si="488"/>
        <v>369</v>
      </c>
      <c r="D8355" t="str">
        <f>"13"</f>
        <v>13</v>
      </c>
      <c r="E8355" t="str">
        <f>"1-369-13"</f>
        <v>1-369-13</v>
      </c>
      <c r="F8355" t="s">
        <v>83</v>
      </c>
      <c r="G8355" t="s">
        <v>84</v>
      </c>
      <c r="H8355" t="s">
        <v>85</v>
      </c>
      <c r="AC8355">
        <v>1</v>
      </c>
      <c r="AD8355">
        <v>0</v>
      </c>
      <c r="AE8355">
        <v>0</v>
      </c>
      <c r="AF8355">
        <v>0</v>
      </c>
      <c r="AG8355">
        <v>0</v>
      </c>
      <c r="AJ8355">
        <v>0</v>
      </c>
      <c r="AK8355">
        <v>0</v>
      </c>
      <c r="AL8355">
        <v>0</v>
      </c>
      <c r="AM8355">
        <v>1</v>
      </c>
      <c r="AN8355">
        <v>0</v>
      </c>
      <c r="AO8355">
        <v>0</v>
      </c>
      <c r="AP8355">
        <v>0</v>
      </c>
      <c r="AQ8355">
        <v>0</v>
      </c>
      <c r="AR8355">
        <v>0</v>
      </c>
      <c r="AS8355">
        <v>1</v>
      </c>
      <c r="AT8355">
        <v>0</v>
      </c>
      <c r="AV8355">
        <v>0</v>
      </c>
      <c r="AW8355">
        <v>0</v>
      </c>
    </row>
    <row r="8356" spans="1:49" x14ac:dyDescent="0.25">
      <c r="A8356" t="str">
        <f>"8352"</f>
        <v>8352</v>
      </c>
      <c r="B8356" t="str">
        <f t="shared" si="487"/>
        <v>1</v>
      </c>
      <c r="C8356" t="str">
        <f t="shared" si="488"/>
        <v>369</v>
      </c>
      <c r="D8356" t="str">
        <f>"1"</f>
        <v>1</v>
      </c>
      <c r="E8356" t="str">
        <f>"1-369-1"</f>
        <v>1-369-1</v>
      </c>
      <c r="F8356" t="s">
        <v>83</v>
      </c>
      <c r="G8356" t="s">
        <v>84</v>
      </c>
      <c r="H8356" t="s">
        <v>85</v>
      </c>
      <c r="AC8356">
        <v>0</v>
      </c>
      <c r="AD8356">
        <v>1</v>
      </c>
      <c r="AE8356">
        <v>0</v>
      </c>
      <c r="AF8356">
        <v>0</v>
      </c>
      <c r="AG8356">
        <v>0</v>
      </c>
      <c r="AJ8356">
        <v>1</v>
      </c>
      <c r="AK8356">
        <v>0</v>
      </c>
      <c r="AL8356">
        <v>0</v>
      </c>
      <c r="AM8356">
        <v>1</v>
      </c>
      <c r="AN8356">
        <v>0</v>
      </c>
      <c r="AO8356">
        <v>1</v>
      </c>
      <c r="AP8356">
        <v>1</v>
      </c>
      <c r="AQ8356">
        <v>1</v>
      </c>
      <c r="AR8356">
        <v>1</v>
      </c>
      <c r="AS8356">
        <v>1</v>
      </c>
      <c r="AT8356">
        <v>0</v>
      </c>
      <c r="AV8356">
        <v>1</v>
      </c>
      <c r="AW8356">
        <v>1</v>
      </c>
    </row>
    <row r="8357" spans="1:49" x14ac:dyDescent="0.25">
      <c r="A8357" t="str">
        <f>"8353"</f>
        <v>8353</v>
      </c>
      <c r="B8357" t="str">
        <f t="shared" si="487"/>
        <v>1</v>
      </c>
      <c r="C8357" t="str">
        <f t="shared" si="488"/>
        <v>369</v>
      </c>
      <c r="D8357" t="str">
        <f>"19"</f>
        <v>19</v>
      </c>
      <c r="E8357" t="str">
        <f>"1-369-19"</f>
        <v>1-369-19</v>
      </c>
      <c r="F8357" t="s">
        <v>83</v>
      </c>
      <c r="G8357" t="s">
        <v>86</v>
      </c>
      <c r="H8357" t="s">
        <v>93</v>
      </c>
      <c r="I8357">
        <v>0</v>
      </c>
      <c r="K8357">
        <v>1</v>
      </c>
      <c r="L8357">
        <v>0</v>
      </c>
      <c r="M8357">
        <v>0</v>
      </c>
      <c r="N8357">
        <v>1</v>
      </c>
      <c r="O8357">
        <v>0</v>
      </c>
      <c r="P8357">
        <v>0</v>
      </c>
      <c r="Q8357">
        <v>0</v>
      </c>
      <c r="R8357">
        <v>0</v>
      </c>
      <c r="U8357">
        <v>0</v>
      </c>
      <c r="V8357">
        <v>1</v>
      </c>
      <c r="W8357">
        <v>0</v>
      </c>
      <c r="X8357">
        <v>0</v>
      </c>
      <c r="Y8357">
        <v>0</v>
      </c>
      <c r="Z8357">
        <v>0</v>
      </c>
      <c r="AA8357">
        <v>0</v>
      </c>
      <c r="AB8357">
        <v>0</v>
      </c>
    </row>
    <row r="8358" spans="1:49" x14ac:dyDescent="0.25">
      <c r="A8358" t="str">
        <f>"8354"</f>
        <v>8354</v>
      </c>
      <c r="B8358" t="str">
        <f t="shared" si="487"/>
        <v>1</v>
      </c>
      <c r="C8358" t="str">
        <f t="shared" si="488"/>
        <v>369</v>
      </c>
      <c r="D8358" t="str">
        <f>"9"</f>
        <v>9</v>
      </c>
      <c r="E8358" t="str">
        <f>"1-369-9"</f>
        <v>1-369-9</v>
      </c>
      <c r="F8358" t="s">
        <v>83</v>
      </c>
      <c r="G8358" t="s">
        <v>84</v>
      </c>
      <c r="H8358" t="s">
        <v>85</v>
      </c>
      <c r="AC8358">
        <v>0</v>
      </c>
      <c r="AD8358">
        <v>1</v>
      </c>
      <c r="AE8358">
        <v>0</v>
      </c>
      <c r="AF8358">
        <v>0</v>
      </c>
      <c r="AG8358">
        <v>0</v>
      </c>
      <c r="AJ8358">
        <v>0</v>
      </c>
      <c r="AK8358">
        <v>1</v>
      </c>
      <c r="AL8358">
        <v>0</v>
      </c>
      <c r="AM8358">
        <v>0</v>
      </c>
      <c r="AN8358">
        <v>1</v>
      </c>
      <c r="AO8358">
        <v>0</v>
      </c>
      <c r="AP8358">
        <v>0</v>
      </c>
      <c r="AQ8358">
        <v>0</v>
      </c>
      <c r="AR8358">
        <v>0</v>
      </c>
      <c r="AS8358">
        <v>0</v>
      </c>
      <c r="AT8358">
        <v>1</v>
      </c>
      <c r="AV8358">
        <v>0</v>
      </c>
      <c r="AW8358">
        <v>0</v>
      </c>
    </row>
    <row r="8359" spans="1:49" x14ac:dyDescent="0.25">
      <c r="A8359" t="str">
        <f>"8355"</f>
        <v>8355</v>
      </c>
      <c r="B8359" t="str">
        <f t="shared" si="487"/>
        <v>1</v>
      </c>
      <c r="C8359" t="str">
        <f t="shared" si="488"/>
        <v>369</v>
      </c>
      <c r="D8359" t="str">
        <f>"18"</f>
        <v>18</v>
      </c>
      <c r="E8359" t="str">
        <f>"1-369-18"</f>
        <v>1-369-18</v>
      </c>
      <c r="F8359" t="s">
        <v>83</v>
      </c>
      <c r="G8359" t="s">
        <v>86</v>
      </c>
      <c r="H8359" t="s">
        <v>87</v>
      </c>
      <c r="AC8359">
        <v>0</v>
      </c>
      <c r="AD8359">
        <v>0</v>
      </c>
      <c r="AE8359">
        <v>0</v>
      </c>
      <c r="AF8359">
        <v>0</v>
      </c>
      <c r="AH8359">
        <v>0</v>
      </c>
      <c r="AI8359">
        <v>1</v>
      </c>
      <c r="AJ8359">
        <v>0</v>
      </c>
      <c r="AK8359">
        <v>0</v>
      </c>
      <c r="AL8359">
        <v>0</v>
      </c>
      <c r="AM8359">
        <v>0</v>
      </c>
      <c r="AN8359">
        <v>0</v>
      </c>
      <c r="AO8359">
        <v>0</v>
      </c>
      <c r="AP8359">
        <v>0</v>
      </c>
      <c r="AQ8359">
        <v>0</v>
      </c>
      <c r="AU8359">
        <v>0</v>
      </c>
      <c r="AV8359">
        <v>0</v>
      </c>
      <c r="AW8359">
        <v>0</v>
      </c>
    </row>
    <row r="8360" spans="1:49" x14ac:dyDescent="0.25">
      <c r="A8360" t="str">
        <f>"8356"</f>
        <v>8356</v>
      </c>
      <c r="B8360" t="str">
        <f t="shared" si="487"/>
        <v>1</v>
      </c>
      <c r="C8360" t="str">
        <f t="shared" si="488"/>
        <v>369</v>
      </c>
      <c r="D8360" t="str">
        <f>"10"</f>
        <v>10</v>
      </c>
      <c r="E8360" t="str">
        <f>"1-369-10"</f>
        <v>1-369-10</v>
      </c>
      <c r="F8360" t="s">
        <v>83</v>
      </c>
      <c r="G8360" t="s">
        <v>84</v>
      </c>
      <c r="H8360" t="s">
        <v>85</v>
      </c>
      <c r="AC8360">
        <v>1</v>
      </c>
      <c r="AD8360">
        <v>0</v>
      </c>
      <c r="AE8360">
        <v>0</v>
      </c>
      <c r="AF8360">
        <v>0</v>
      </c>
      <c r="AG8360">
        <v>1</v>
      </c>
      <c r="AJ8360">
        <v>1</v>
      </c>
      <c r="AK8360">
        <v>0</v>
      </c>
      <c r="AL8360">
        <v>1</v>
      </c>
      <c r="AM8360">
        <v>0</v>
      </c>
      <c r="AN8360">
        <v>0</v>
      </c>
      <c r="AO8360">
        <v>1</v>
      </c>
      <c r="AP8360">
        <v>1</v>
      </c>
      <c r="AQ8360">
        <v>1</v>
      </c>
      <c r="AR8360">
        <v>1</v>
      </c>
      <c r="AS8360">
        <v>1</v>
      </c>
      <c r="AT8360">
        <v>0</v>
      </c>
      <c r="AV8360">
        <v>1</v>
      </c>
      <c r="AW8360">
        <v>1</v>
      </c>
    </row>
    <row r="8361" spans="1:49" x14ac:dyDescent="0.25">
      <c r="A8361" t="str">
        <f>"8357"</f>
        <v>8357</v>
      </c>
      <c r="B8361" t="str">
        <f t="shared" si="487"/>
        <v>1</v>
      </c>
      <c r="C8361" t="str">
        <f t="shared" si="488"/>
        <v>369</v>
      </c>
      <c r="D8361" t="str">
        <f>"3"</f>
        <v>3</v>
      </c>
      <c r="E8361" t="str">
        <f>"1-369-3"</f>
        <v>1-369-3</v>
      </c>
      <c r="F8361" t="s">
        <v>83</v>
      </c>
      <c r="G8361" t="s">
        <v>84</v>
      </c>
      <c r="H8361" t="s">
        <v>85</v>
      </c>
      <c r="AC8361">
        <v>0</v>
      </c>
      <c r="AD8361">
        <v>1</v>
      </c>
      <c r="AE8361">
        <v>0</v>
      </c>
      <c r="AF8361">
        <v>0</v>
      </c>
      <c r="AG8361">
        <v>1</v>
      </c>
      <c r="AJ8361">
        <v>1</v>
      </c>
      <c r="AK8361">
        <v>0</v>
      </c>
      <c r="AL8361">
        <v>0</v>
      </c>
      <c r="AM8361">
        <v>1</v>
      </c>
      <c r="AN8361">
        <v>0</v>
      </c>
      <c r="AO8361">
        <v>1</v>
      </c>
      <c r="AP8361">
        <v>1</v>
      </c>
      <c r="AQ8361">
        <v>1</v>
      </c>
      <c r="AR8361">
        <v>1</v>
      </c>
      <c r="AS8361">
        <v>1</v>
      </c>
      <c r="AT8361">
        <v>0</v>
      </c>
      <c r="AV8361">
        <v>1</v>
      </c>
      <c r="AW8361">
        <v>0</v>
      </c>
    </row>
    <row r="8362" spans="1:49" x14ac:dyDescent="0.25">
      <c r="A8362" t="str">
        <f>"8358"</f>
        <v>8358</v>
      </c>
      <c r="B8362" t="str">
        <f t="shared" si="487"/>
        <v>1</v>
      </c>
      <c r="C8362" t="str">
        <f t="shared" si="488"/>
        <v>369</v>
      </c>
      <c r="D8362" t="str">
        <f>"20"</f>
        <v>20</v>
      </c>
      <c r="E8362" t="str">
        <f>"1-369-20"</f>
        <v>1-369-20</v>
      </c>
      <c r="F8362" t="s">
        <v>83</v>
      </c>
      <c r="G8362" t="s">
        <v>86</v>
      </c>
      <c r="H8362" t="s">
        <v>93</v>
      </c>
      <c r="I8362">
        <v>1</v>
      </c>
      <c r="K8362">
        <v>0</v>
      </c>
      <c r="L8362">
        <v>0</v>
      </c>
      <c r="M8362">
        <v>1</v>
      </c>
      <c r="N8362">
        <v>1</v>
      </c>
      <c r="O8362">
        <v>1</v>
      </c>
      <c r="P8362">
        <v>1</v>
      </c>
      <c r="Q8362">
        <v>1</v>
      </c>
      <c r="R8362">
        <v>1</v>
      </c>
      <c r="U8362">
        <v>0</v>
      </c>
      <c r="V8362">
        <v>1</v>
      </c>
      <c r="W8362">
        <v>1</v>
      </c>
      <c r="X8362">
        <v>1</v>
      </c>
      <c r="Y8362">
        <v>1</v>
      </c>
      <c r="Z8362">
        <v>1</v>
      </c>
      <c r="AA8362">
        <v>1</v>
      </c>
      <c r="AB8362">
        <v>1</v>
      </c>
    </row>
    <row r="8363" spans="1:49" x14ac:dyDescent="0.25">
      <c r="A8363" t="str">
        <f>"8359"</f>
        <v>8359</v>
      </c>
      <c r="B8363" t="str">
        <f t="shared" si="487"/>
        <v>1</v>
      </c>
      <c r="C8363" t="str">
        <f t="shared" si="488"/>
        <v>369</v>
      </c>
      <c r="D8363" t="str">
        <f>"11"</f>
        <v>11</v>
      </c>
      <c r="E8363" t="str">
        <f>"1-369-11"</f>
        <v>1-369-11</v>
      </c>
      <c r="F8363" t="s">
        <v>83</v>
      </c>
      <c r="G8363" t="s">
        <v>84</v>
      </c>
      <c r="H8363" t="s">
        <v>92</v>
      </c>
      <c r="I8363">
        <v>1</v>
      </c>
      <c r="J8363">
        <v>0</v>
      </c>
      <c r="N8363">
        <v>0</v>
      </c>
      <c r="O8363">
        <v>0</v>
      </c>
      <c r="P8363">
        <v>0</v>
      </c>
      <c r="Q8363">
        <v>0</v>
      </c>
      <c r="R8363">
        <v>0</v>
      </c>
      <c r="S8363">
        <v>1</v>
      </c>
      <c r="T8363">
        <v>1</v>
      </c>
      <c r="W8363">
        <v>1</v>
      </c>
      <c r="X8363">
        <v>1</v>
      </c>
      <c r="Y8363">
        <v>0</v>
      </c>
      <c r="Z8363">
        <v>0</v>
      </c>
      <c r="AA8363">
        <v>0</v>
      </c>
      <c r="AB8363">
        <v>1</v>
      </c>
    </row>
    <row r="8364" spans="1:49" x14ac:dyDescent="0.25">
      <c r="A8364" t="str">
        <f>"8360"</f>
        <v>8360</v>
      </c>
      <c r="B8364" t="str">
        <f t="shared" si="487"/>
        <v>1</v>
      </c>
      <c r="C8364" t="str">
        <f t="shared" si="488"/>
        <v>369</v>
      </c>
      <c r="D8364" t="str">
        <f>"6"</f>
        <v>6</v>
      </c>
      <c r="E8364" t="str">
        <f>"1-369-6"</f>
        <v>1-369-6</v>
      </c>
      <c r="F8364" t="s">
        <v>83</v>
      </c>
      <c r="G8364" t="s">
        <v>84</v>
      </c>
      <c r="H8364" t="s">
        <v>92</v>
      </c>
      <c r="I8364">
        <v>1</v>
      </c>
      <c r="J8364">
        <v>1</v>
      </c>
      <c r="N8364">
        <v>1</v>
      </c>
      <c r="O8364">
        <v>1</v>
      </c>
      <c r="P8364">
        <v>1</v>
      </c>
      <c r="Q8364">
        <v>1</v>
      </c>
      <c r="R8364">
        <v>1</v>
      </c>
      <c r="S8364">
        <v>1</v>
      </c>
      <c r="T8364">
        <v>1</v>
      </c>
      <c r="W8364">
        <v>1</v>
      </c>
      <c r="X8364">
        <v>1</v>
      </c>
      <c r="Y8364">
        <v>1</v>
      </c>
      <c r="Z8364">
        <v>1</v>
      </c>
      <c r="AA8364">
        <v>1</v>
      </c>
      <c r="AB8364">
        <v>1</v>
      </c>
    </row>
    <row r="8365" spans="1:49" x14ac:dyDescent="0.25">
      <c r="A8365" t="str">
        <f>"8361"</f>
        <v>8361</v>
      </c>
      <c r="B8365" t="str">
        <f t="shared" si="487"/>
        <v>1</v>
      </c>
      <c r="C8365" t="str">
        <f t="shared" si="488"/>
        <v>369</v>
      </c>
      <c r="D8365" t="str">
        <f>"21"</f>
        <v>21</v>
      </c>
      <c r="E8365" t="str">
        <f>"1-369-21"</f>
        <v>1-369-21</v>
      </c>
      <c r="F8365" t="s">
        <v>83</v>
      </c>
      <c r="G8365" t="s">
        <v>86</v>
      </c>
      <c r="H8365" t="s">
        <v>87</v>
      </c>
      <c r="AC8365">
        <v>0</v>
      </c>
      <c r="AD8365">
        <v>0</v>
      </c>
      <c r="AE8365">
        <v>0</v>
      </c>
      <c r="AF8365">
        <v>0</v>
      </c>
      <c r="AH8365">
        <v>0</v>
      </c>
      <c r="AI8365">
        <v>1</v>
      </c>
      <c r="AJ8365">
        <v>0</v>
      </c>
      <c r="AK8365">
        <v>0</v>
      </c>
      <c r="AL8365">
        <v>0</v>
      </c>
      <c r="AM8365">
        <v>0</v>
      </c>
      <c r="AN8365">
        <v>0</v>
      </c>
      <c r="AO8365">
        <v>0</v>
      </c>
      <c r="AP8365">
        <v>0</v>
      </c>
      <c r="AQ8365">
        <v>0</v>
      </c>
      <c r="AU8365">
        <v>0</v>
      </c>
      <c r="AV8365">
        <v>0</v>
      </c>
      <c r="AW8365">
        <v>0</v>
      </c>
    </row>
    <row r="8366" spans="1:49" x14ac:dyDescent="0.25">
      <c r="A8366" t="str">
        <f>"8362"</f>
        <v>8362</v>
      </c>
      <c r="B8366" t="str">
        <f t="shared" si="487"/>
        <v>1</v>
      </c>
      <c r="C8366" t="str">
        <f t="shared" si="488"/>
        <v>369</v>
      </c>
      <c r="D8366" t="str">
        <f>"12"</f>
        <v>12</v>
      </c>
      <c r="E8366" t="str">
        <f>"1-369-12"</f>
        <v>1-369-12</v>
      </c>
      <c r="F8366" t="s">
        <v>83</v>
      </c>
      <c r="G8366" t="s">
        <v>84</v>
      </c>
      <c r="H8366" t="s">
        <v>85</v>
      </c>
      <c r="AC8366">
        <v>0</v>
      </c>
      <c r="AD8366">
        <v>1</v>
      </c>
      <c r="AE8366">
        <v>0</v>
      </c>
      <c r="AF8366">
        <v>0</v>
      </c>
      <c r="AG8366">
        <v>1</v>
      </c>
      <c r="AJ8366">
        <v>0</v>
      </c>
      <c r="AK8366">
        <v>1</v>
      </c>
      <c r="AL8366">
        <v>0</v>
      </c>
      <c r="AM8366">
        <v>1</v>
      </c>
      <c r="AN8366">
        <v>0</v>
      </c>
      <c r="AO8366">
        <v>0</v>
      </c>
      <c r="AP8366">
        <v>0</v>
      </c>
      <c r="AQ8366">
        <v>1</v>
      </c>
      <c r="AR8366">
        <v>1</v>
      </c>
      <c r="AS8366">
        <v>1</v>
      </c>
      <c r="AT8366">
        <v>0</v>
      </c>
      <c r="AV8366">
        <v>0</v>
      </c>
      <c r="AW8366">
        <v>0</v>
      </c>
    </row>
    <row r="8367" spans="1:49" x14ac:dyDescent="0.25">
      <c r="A8367" t="str">
        <f>"8363"</f>
        <v>8363</v>
      </c>
      <c r="B8367" t="str">
        <f t="shared" si="487"/>
        <v>1</v>
      </c>
      <c r="C8367" t="str">
        <f t="shared" si="488"/>
        <v>369</v>
      </c>
      <c r="D8367" t="str">
        <f>"4"</f>
        <v>4</v>
      </c>
      <c r="E8367" t="str">
        <f>"1-369-4"</f>
        <v>1-369-4</v>
      </c>
      <c r="F8367" t="s">
        <v>83</v>
      </c>
      <c r="G8367" t="s">
        <v>84</v>
      </c>
      <c r="H8367" t="s">
        <v>92</v>
      </c>
      <c r="I8367">
        <v>1</v>
      </c>
      <c r="J8367">
        <v>1</v>
      </c>
      <c r="N8367">
        <v>1</v>
      </c>
      <c r="O8367">
        <v>1</v>
      </c>
      <c r="P8367">
        <v>1</v>
      </c>
      <c r="Q8367">
        <v>1</v>
      </c>
      <c r="R8367">
        <v>1</v>
      </c>
      <c r="S8367">
        <v>1</v>
      </c>
      <c r="T8367">
        <v>1</v>
      </c>
      <c r="W8367">
        <v>1</v>
      </c>
      <c r="X8367">
        <v>1</v>
      </c>
      <c r="Y8367">
        <v>1</v>
      </c>
      <c r="Z8367">
        <v>1</v>
      </c>
      <c r="AA8367">
        <v>1</v>
      </c>
      <c r="AB8367">
        <v>1</v>
      </c>
    </row>
    <row r="8368" spans="1:49" x14ac:dyDescent="0.25">
      <c r="A8368" t="str">
        <f>"8364"</f>
        <v>8364</v>
      </c>
      <c r="B8368" t="str">
        <f t="shared" si="487"/>
        <v>1</v>
      </c>
      <c r="C8368" t="str">
        <f t="shared" si="488"/>
        <v>369</v>
      </c>
      <c r="D8368" t="str">
        <f>"14"</f>
        <v>14</v>
      </c>
      <c r="E8368" t="str">
        <f>"1-369-14"</f>
        <v>1-369-14</v>
      </c>
      <c r="F8368" t="s">
        <v>83</v>
      </c>
      <c r="G8368" t="s">
        <v>84</v>
      </c>
      <c r="H8368" t="s">
        <v>85</v>
      </c>
      <c r="AC8368">
        <v>0</v>
      </c>
      <c r="AD8368">
        <v>1</v>
      </c>
      <c r="AE8368">
        <v>0</v>
      </c>
      <c r="AF8368">
        <v>0</v>
      </c>
      <c r="AG8368">
        <v>1</v>
      </c>
      <c r="AJ8368">
        <v>0</v>
      </c>
      <c r="AK8368">
        <v>1</v>
      </c>
      <c r="AL8368">
        <v>0</v>
      </c>
      <c r="AM8368">
        <v>0</v>
      </c>
      <c r="AN8368">
        <v>1</v>
      </c>
      <c r="AO8368">
        <v>1</v>
      </c>
      <c r="AP8368">
        <v>1</v>
      </c>
      <c r="AQ8368">
        <v>1</v>
      </c>
      <c r="AR8368">
        <v>1</v>
      </c>
      <c r="AS8368">
        <v>0</v>
      </c>
      <c r="AT8368">
        <v>1</v>
      </c>
      <c r="AV8368">
        <v>1</v>
      </c>
      <c r="AW8368">
        <v>1</v>
      </c>
    </row>
    <row r="8369" spans="1:49" x14ac:dyDescent="0.25">
      <c r="A8369" t="str">
        <f>"8365"</f>
        <v>8365</v>
      </c>
      <c r="B8369" t="str">
        <f t="shared" si="487"/>
        <v>1</v>
      </c>
      <c r="C8369" t="str">
        <f t="shared" si="488"/>
        <v>369</v>
      </c>
      <c r="D8369" t="str">
        <f>"5"</f>
        <v>5</v>
      </c>
      <c r="E8369" t="str">
        <f>"1-369-5"</f>
        <v>1-369-5</v>
      </c>
      <c r="F8369" t="s">
        <v>83</v>
      </c>
      <c r="G8369" t="s">
        <v>84</v>
      </c>
      <c r="H8369" t="s">
        <v>85</v>
      </c>
      <c r="AC8369">
        <v>0</v>
      </c>
      <c r="AD8369">
        <v>1</v>
      </c>
      <c r="AE8369">
        <v>0</v>
      </c>
      <c r="AF8369">
        <v>0</v>
      </c>
      <c r="AG8369">
        <v>1</v>
      </c>
      <c r="AJ8369">
        <v>0</v>
      </c>
      <c r="AK8369">
        <v>1</v>
      </c>
      <c r="AL8369">
        <v>1</v>
      </c>
      <c r="AM8369">
        <v>0</v>
      </c>
      <c r="AN8369">
        <v>0</v>
      </c>
      <c r="AO8369">
        <v>1</v>
      </c>
      <c r="AP8369">
        <v>1</v>
      </c>
      <c r="AQ8369">
        <v>1</v>
      </c>
      <c r="AR8369">
        <v>1</v>
      </c>
      <c r="AS8369">
        <v>1</v>
      </c>
      <c r="AT8369">
        <v>0</v>
      </c>
      <c r="AV8369">
        <v>1</v>
      </c>
      <c r="AW8369">
        <v>1</v>
      </c>
    </row>
    <row r="8370" spans="1:49" x14ac:dyDescent="0.25">
      <c r="A8370" t="str">
        <f>"8366"</f>
        <v>8366</v>
      </c>
      <c r="B8370" t="str">
        <f t="shared" si="487"/>
        <v>1</v>
      </c>
      <c r="C8370" t="str">
        <f t="shared" si="488"/>
        <v>369</v>
      </c>
      <c r="D8370" t="str">
        <f>"15"</f>
        <v>15</v>
      </c>
      <c r="E8370" t="str">
        <f>"1-369-15"</f>
        <v>1-369-15</v>
      </c>
      <c r="F8370" t="s">
        <v>83</v>
      </c>
      <c r="G8370" t="s">
        <v>84</v>
      </c>
      <c r="H8370" t="s">
        <v>85</v>
      </c>
      <c r="AC8370">
        <v>1</v>
      </c>
      <c r="AD8370">
        <v>0</v>
      </c>
      <c r="AE8370">
        <v>0</v>
      </c>
      <c r="AF8370">
        <v>0</v>
      </c>
      <c r="AG8370">
        <v>1</v>
      </c>
      <c r="AJ8370">
        <v>0</v>
      </c>
      <c r="AK8370">
        <v>1</v>
      </c>
      <c r="AL8370">
        <v>0</v>
      </c>
      <c r="AM8370">
        <v>1</v>
      </c>
      <c r="AN8370">
        <v>0</v>
      </c>
      <c r="AO8370">
        <v>1</v>
      </c>
      <c r="AP8370">
        <v>1</v>
      </c>
      <c r="AQ8370">
        <v>1</v>
      </c>
      <c r="AR8370">
        <v>1</v>
      </c>
      <c r="AS8370">
        <v>0</v>
      </c>
      <c r="AT8370">
        <v>1</v>
      </c>
      <c r="AV8370">
        <v>1</v>
      </c>
      <c r="AW8370">
        <v>1</v>
      </c>
    </row>
    <row r="8371" spans="1:49" x14ac:dyDescent="0.25">
      <c r="A8371" t="str">
        <f>"8367"</f>
        <v>8367</v>
      </c>
      <c r="B8371" t="str">
        <f t="shared" si="487"/>
        <v>1</v>
      </c>
      <c r="C8371" t="str">
        <f t="shared" si="488"/>
        <v>369</v>
      </c>
      <c r="D8371" t="str">
        <f>"2"</f>
        <v>2</v>
      </c>
      <c r="E8371" t="str">
        <f>"1-369-2"</f>
        <v>1-369-2</v>
      </c>
      <c r="F8371" t="s">
        <v>83</v>
      </c>
      <c r="G8371" t="s">
        <v>84</v>
      </c>
      <c r="H8371" t="s">
        <v>85</v>
      </c>
      <c r="AC8371">
        <v>1</v>
      </c>
      <c r="AD8371">
        <v>0</v>
      </c>
      <c r="AE8371">
        <v>0</v>
      </c>
      <c r="AF8371">
        <v>0</v>
      </c>
      <c r="AG8371">
        <v>0</v>
      </c>
      <c r="AJ8371">
        <v>0</v>
      </c>
      <c r="AK8371">
        <v>1</v>
      </c>
      <c r="AL8371">
        <v>0</v>
      </c>
      <c r="AM8371">
        <v>0</v>
      </c>
      <c r="AN8371">
        <v>1</v>
      </c>
      <c r="AO8371">
        <v>0</v>
      </c>
      <c r="AP8371">
        <v>0</v>
      </c>
      <c r="AQ8371">
        <v>0</v>
      </c>
      <c r="AR8371">
        <v>0</v>
      </c>
      <c r="AS8371">
        <v>0</v>
      </c>
      <c r="AT8371">
        <v>0</v>
      </c>
      <c r="AV8371">
        <v>0</v>
      </c>
      <c r="AW8371">
        <v>1</v>
      </c>
    </row>
    <row r="8372" spans="1:49" x14ac:dyDescent="0.25">
      <c r="A8372" t="str">
        <f>"8368"</f>
        <v>8368</v>
      </c>
      <c r="B8372" t="str">
        <f t="shared" si="487"/>
        <v>1</v>
      </c>
      <c r="C8372" t="str">
        <f t="shared" si="488"/>
        <v>369</v>
      </c>
      <c r="D8372" t="str">
        <f>"8"</f>
        <v>8</v>
      </c>
      <c r="E8372" t="str">
        <f>"1-369-8"</f>
        <v>1-369-8</v>
      </c>
      <c r="F8372" t="s">
        <v>83</v>
      </c>
      <c r="G8372" t="s">
        <v>84</v>
      </c>
      <c r="H8372" t="s">
        <v>85</v>
      </c>
      <c r="AC8372">
        <v>1</v>
      </c>
      <c r="AD8372">
        <v>0</v>
      </c>
      <c r="AE8372">
        <v>0</v>
      </c>
      <c r="AF8372">
        <v>0</v>
      </c>
      <c r="AG8372">
        <v>1</v>
      </c>
      <c r="AJ8372">
        <v>0</v>
      </c>
      <c r="AK8372">
        <v>1</v>
      </c>
      <c r="AL8372">
        <v>1</v>
      </c>
      <c r="AM8372">
        <v>0</v>
      </c>
      <c r="AN8372">
        <v>0</v>
      </c>
      <c r="AO8372">
        <v>1</v>
      </c>
      <c r="AP8372">
        <v>1</v>
      </c>
      <c r="AQ8372">
        <v>1</v>
      </c>
      <c r="AR8372">
        <v>1</v>
      </c>
      <c r="AS8372">
        <v>1</v>
      </c>
      <c r="AT8372">
        <v>0</v>
      </c>
      <c r="AV8372">
        <v>1</v>
      </c>
      <c r="AW8372">
        <v>1</v>
      </c>
    </row>
    <row r="8373" spans="1:49" x14ac:dyDescent="0.25">
      <c r="A8373" t="str">
        <f>"8369"</f>
        <v>8369</v>
      </c>
      <c r="B8373" t="str">
        <f t="shared" si="487"/>
        <v>1</v>
      </c>
      <c r="C8373" t="str">
        <f t="shared" si="488"/>
        <v>369</v>
      </c>
      <c r="D8373" t="str">
        <f>"7"</f>
        <v>7</v>
      </c>
      <c r="E8373" t="str">
        <f>"1-369-7"</f>
        <v>1-369-7</v>
      </c>
      <c r="F8373" t="s">
        <v>83</v>
      </c>
      <c r="G8373" t="s">
        <v>84</v>
      </c>
      <c r="H8373" t="s">
        <v>85</v>
      </c>
      <c r="AC8373">
        <v>0</v>
      </c>
      <c r="AD8373">
        <v>0</v>
      </c>
      <c r="AE8373">
        <v>0</v>
      </c>
      <c r="AF8373">
        <v>0</v>
      </c>
      <c r="AG8373">
        <v>0</v>
      </c>
      <c r="AJ8373">
        <v>0</v>
      </c>
      <c r="AK8373">
        <v>1</v>
      </c>
      <c r="AL8373">
        <v>0</v>
      </c>
      <c r="AM8373">
        <v>0</v>
      </c>
      <c r="AN8373">
        <v>1</v>
      </c>
      <c r="AO8373">
        <v>0</v>
      </c>
      <c r="AP8373">
        <v>0</v>
      </c>
      <c r="AQ8373">
        <v>0</v>
      </c>
      <c r="AR8373">
        <v>0</v>
      </c>
      <c r="AS8373">
        <v>0</v>
      </c>
      <c r="AT8373">
        <v>0</v>
      </c>
      <c r="AV8373">
        <v>0</v>
      </c>
      <c r="AW8373">
        <v>0</v>
      </c>
    </row>
    <row r="8374" spans="1:49" x14ac:dyDescent="0.25">
      <c r="A8374" t="str">
        <f>"8370"</f>
        <v>8370</v>
      </c>
      <c r="B8374" t="str">
        <f t="shared" si="487"/>
        <v>1</v>
      </c>
      <c r="C8374" t="str">
        <f t="shared" ref="C8374:C8397" si="489">"370"</f>
        <v>370</v>
      </c>
      <c r="D8374" t="str">
        <f>"23"</f>
        <v>23</v>
      </c>
      <c r="E8374" t="str">
        <f>"1-370-23"</f>
        <v>1-370-23</v>
      </c>
      <c r="F8374" t="s">
        <v>83</v>
      </c>
      <c r="G8374" t="s">
        <v>84</v>
      </c>
      <c r="H8374" t="s">
        <v>85</v>
      </c>
      <c r="AC8374">
        <v>1</v>
      </c>
      <c r="AD8374">
        <v>0</v>
      </c>
      <c r="AE8374">
        <v>0</v>
      </c>
      <c r="AF8374">
        <v>0</v>
      </c>
      <c r="AG8374">
        <v>0</v>
      </c>
      <c r="AJ8374">
        <v>1</v>
      </c>
      <c r="AK8374">
        <v>0</v>
      </c>
      <c r="AL8374">
        <v>1</v>
      </c>
      <c r="AM8374">
        <v>0</v>
      </c>
      <c r="AN8374">
        <v>0</v>
      </c>
      <c r="AO8374">
        <v>0</v>
      </c>
      <c r="AP8374">
        <v>0</v>
      </c>
      <c r="AQ8374">
        <v>0</v>
      </c>
      <c r="AR8374">
        <v>0</v>
      </c>
      <c r="AS8374">
        <v>1</v>
      </c>
      <c r="AT8374">
        <v>0</v>
      </c>
      <c r="AV8374">
        <v>0</v>
      </c>
      <c r="AW8374">
        <v>0</v>
      </c>
    </row>
    <row r="8375" spans="1:49" x14ac:dyDescent="0.25">
      <c r="A8375" t="str">
        <f>"8371"</f>
        <v>8371</v>
      </c>
      <c r="B8375" t="str">
        <f t="shared" si="487"/>
        <v>1</v>
      </c>
      <c r="C8375" t="str">
        <f t="shared" si="489"/>
        <v>370</v>
      </c>
      <c r="D8375" t="str">
        <f>"22"</f>
        <v>22</v>
      </c>
      <c r="E8375" t="str">
        <f>"1-370-22"</f>
        <v>1-370-22</v>
      </c>
      <c r="F8375" t="s">
        <v>83</v>
      </c>
      <c r="G8375" t="s">
        <v>84</v>
      </c>
      <c r="H8375" t="s">
        <v>92</v>
      </c>
      <c r="I8375">
        <v>1</v>
      </c>
      <c r="J8375">
        <v>1</v>
      </c>
      <c r="N8375">
        <v>1</v>
      </c>
      <c r="O8375">
        <v>1</v>
      </c>
      <c r="P8375">
        <v>1</v>
      </c>
      <c r="Q8375">
        <v>1</v>
      </c>
      <c r="R8375">
        <v>1</v>
      </c>
      <c r="S8375">
        <v>1</v>
      </c>
      <c r="T8375">
        <v>1</v>
      </c>
      <c r="W8375">
        <v>1</v>
      </c>
      <c r="X8375">
        <v>1</v>
      </c>
      <c r="Y8375">
        <v>1</v>
      </c>
      <c r="Z8375">
        <v>1</v>
      </c>
      <c r="AA8375">
        <v>1</v>
      </c>
      <c r="AB8375">
        <v>1</v>
      </c>
    </row>
    <row r="8376" spans="1:49" x14ac:dyDescent="0.25">
      <c r="A8376" t="str">
        <f>"8372"</f>
        <v>8372</v>
      </c>
      <c r="B8376" t="str">
        <f t="shared" si="487"/>
        <v>1</v>
      </c>
      <c r="C8376" t="str">
        <f t="shared" si="489"/>
        <v>370</v>
      </c>
      <c r="D8376" t="str">
        <f>"15"</f>
        <v>15</v>
      </c>
      <c r="E8376" t="str">
        <f>"1-370-15"</f>
        <v>1-370-15</v>
      </c>
      <c r="F8376" t="s">
        <v>83</v>
      </c>
      <c r="G8376" t="s">
        <v>84</v>
      </c>
      <c r="H8376" t="s">
        <v>92</v>
      </c>
      <c r="I8376">
        <v>1</v>
      </c>
      <c r="J8376">
        <v>1</v>
      </c>
      <c r="N8376">
        <v>1</v>
      </c>
      <c r="O8376">
        <v>1</v>
      </c>
      <c r="P8376">
        <v>1</v>
      </c>
      <c r="Q8376">
        <v>1</v>
      </c>
      <c r="R8376">
        <v>1</v>
      </c>
      <c r="S8376">
        <v>1</v>
      </c>
      <c r="T8376">
        <v>1</v>
      </c>
      <c r="W8376">
        <v>1</v>
      </c>
      <c r="X8376">
        <v>1</v>
      </c>
      <c r="Y8376">
        <v>1</v>
      </c>
      <c r="Z8376">
        <v>1</v>
      </c>
      <c r="AA8376">
        <v>1</v>
      </c>
      <c r="AB8376">
        <v>1</v>
      </c>
    </row>
    <row r="8377" spans="1:49" x14ac:dyDescent="0.25">
      <c r="A8377" t="str">
        <f>"8373"</f>
        <v>8373</v>
      </c>
      <c r="B8377" t="str">
        <f t="shared" si="487"/>
        <v>1</v>
      </c>
      <c r="C8377" t="str">
        <f t="shared" si="489"/>
        <v>370</v>
      </c>
      <c r="D8377" t="str">
        <f>"8"</f>
        <v>8</v>
      </c>
      <c r="E8377" t="str">
        <f>"1-370-8"</f>
        <v>1-370-8</v>
      </c>
      <c r="F8377" t="s">
        <v>83</v>
      </c>
      <c r="G8377" t="s">
        <v>84</v>
      </c>
      <c r="H8377" t="s">
        <v>85</v>
      </c>
      <c r="AC8377">
        <v>1</v>
      </c>
      <c r="AD8377">
        <v>0</v>
      </c>
      <c r="AE8377">
        <v>0</v>
      </c>
      <c r="AF8377">
        <v>0</v>
      </c>
      <c r="AG8377">
        <v>0</v>
      </c>
      <c r="AJ8377">
        <v>1</v>
      </c>
      <c r="AK8377">
        <v>0</v>
      </c>
      <c r="AL8377">
        <v>0</v>
      </c>
      <c r="AM8377">
        <v>1</v>
      </c>
      <c r="AN8377">
        <v>0</v>
      </c>
      <c r="AO8377">
        <v>0</v>
      </c>
      <c r="AP8377">
        <v>0</v>
      </c>
      <c r="AQ8377">
        <v>0</v>
      </c>
      <c r="AR8377">
        <v>0</v>
      </c>
      <c r="AS8377">
        <v>0</v>
      </c>
      <c r="AT8377">
        <v>1</v>
      </c>
      <c r="AV8377">
        <v>0</v>
      </c>
      <c r="AW8377">
        <v>0</v>
      </c>
    </row>
    <row r="8378" spans="1:49" x14ac:dyDescent="0.25">
      <c r="A8378" t="str">
        <f>"8374"</f>
        <v>8374</v>
      </c>
      <c r="B8378" t="str">
        <f t="shared" si="487"/>
        <v>1</v>
      </c>
      <c r="C8378" t="str">
        <f t="shared" si="489"/>
        <v>370</v>
      </c>
      <c r="D8378" t="str">
        <f>"3"</f>
        <v>3</v>
      </c>
      <c r="E8378" t="str">
        <f>"1-370-3"</f>
        <v>1-370-3</v>
      </c>
      <c r="F8378" t="s">
        <v>83</v>
      </c>
      <c r="G8378" t="s">
        <v>84</v>
      </c>
      <c r="H8378" t="s">
        <v>92</v>
      </c>
      <c r="I8378">
        <v>1</v>
      </c>
      <c r="J8378">
        <v>1</v>
      </c>
      <c r="N8378">
        <v>1</v>
      </c>
      <c r="O8378">
        <v>1</v>
      </c>
      <c r="P8378">
        <v>1</v>
      </c>
      <c r="Q8378">
        <v>1</v>
      </c>
      <c r="R8378">
        <v>1</v>
      </c>
      <c r="S8378">
        <v>1</v>
      </c>
      <c r="T8378">
        <v>1</v>
      </c>
      <c r="W8378">
        <v>1</v>
      </c>
      <c r="X8378">
        <v>1</v>
      </c>
      <c r="Y8378">
        <v>1</v>
      </c>
      <c r="Z8378">
        <v>1</v>
      </c>
      <c r="AA8378">
        <v>1</v>
      </c>
      <c r="AB8378">
        <v>1</v>
      </c>
    </row>
    <row r="8379" spans="1:49" x14ac:dyDescent="0.25">
      <c r="A8379" t="str">
        <f>"8375"</f>
        <v>8375</v>
      </c>
      <c r="B8379" t="str">
        <f t="shared" si="487"/>
        <v>1</v>
      </c>
      <c r="C8379" t="str">
        <f t="shared" si="489"/>
        <v>370</v>
      </c>
      <c r="D8379" t="str">
        <f>"24"</f>
        <v>24</v>
      </c>
      <c r="E8379" t="str">
        <f>"1-370-24"</f>
        <v>1-370-24</v>
      </c>
      <c r="F8379" t="s">
        <v>83</v>
      </c>
      <c r="G8379" t="s">
        <v>84</v>
      </c>
      <c r="H8379" t="s">
        <v>85</v>
      </c>
      <c r="AC8379">
        <v>0</v>
      </c>
      <c r="AD8379">
        <v>1</v>
      </c>
      <c r="AE8379">
        <v>0</v>
      </c>
      <c r="AF8379">
        <v>0</v>
      </c>
      <c r="AG8379">
        <v>0</v>
      </c>
      <c r="AJ8379">
        <v>0</v>
      </c>
      <c r="AK8379">
        <v>1</v>
      </c>
      <c r="AL8379">
        <v>0</v>
      </c>
      <c r="AM8379">
        <v>0</v>
      </c>
      <c r="AN8379">
        <v>1</v>
      </c>
      <c r="AO8379">
        <v>0</v>
      </c>
      <c r="AP8379">
        <v>0</v>
      </c>
      <c r="AQ8379">
        <v>0</v>
      </c>
      <c r="AR8379">
        <v>0</v>
      </c>
      <c r="AS8379">
        <v>0</v>
      </c>
      <c r="AT8379">
        <v>0</v>
      </c>
      <c r="AV8379">
        <v>0</v>
      </c>
      <c r="AW8379">
        <v>0</v>
      </c>
    </row>
    <row r="8380" spans="1:49" x14ac:dyDescent="0.25">
      <c r="A8380" t="str">
        <f>"8376"</f>
        <v>8376</v>
      </c>
      <c r="B8380" t="str">
        <f t="shared" si="487"/>
        <v>1</v>
      </c>
      <c r="C8380" t="str">
        <f t="shared" si="489"/>
        <v>370</v>
      </c>
      <c r="D8380" t="str">
        <f>"17"</f>
        <v>17</v>
      </c>
      <c r="E8380" t="str">
        <f>"1-370-17"</f>
        <v>1-370-17</v>
      </c>
      <c r="F8380" t="s">
        <v>83</v>
      </c>
      <c r="G8380" t="s">
        <v>84</v>
      </c>
      <c r="H8380" t="s">
        <v>92</v>
      </c>
      <c r="I8380">
        <v>1</v>
      </c>
      <c r="J8380">
        <v>0</v>
      </c>
      <c r="N8380">
        <v>1</v>
      </c>
      <c r="O8380">
        <v>0</v>
      </c>
      <c r="P8380">
        <v>0</v>
      </c>
      <c r="Q8380">
        <v>0</v>
      </c>
      <c r="R8380">
        <v>0</v>
      </c>
      <c r="S8380">
        <v>0</v>
      </c>
      <c r="T8380">
        <v>0</v>
      </c>
      <c r="W8380">
        <v>0</v>
      </c>
      <c r="X8380">
        <v>1</v>
      </c>
      <c r="Y8380">
        <v>1</v>
      </c>
      <c r="Z8380">
        <v>0</v>
      </c>
      <c r="AA8380">
        <v>0</v>
      </c>
      <c r="AB8380">
        <v>0</v>
      </c>
    </row>
    <row r="8381" spans="1:49" x14ac:dyDescent="0.25">
      <c r="A8381" t="str">
        <f>"8377"</f>
        <v>8377</v>
      </c>
      <c r="B8381" t="str">
        <f t="shared" si="487"/>
        <v>1</v>
      </c>
      <c r="C8381" t="str">
        <f t="shared" si="489"/>
        <v>370</v>
      </c>
      <c r="D8381" t="str">
        <f>"9"</f>
        <v>9</v>
      </c>
      <c r="E8381" t="str">
        <f>"1-370-9"</f>
        <v>1-370-9</v>
      </c>
      <c r="F8381" t="s">
        <v>83</v>
      </c>
      <c r="G8381" t="s">
        <v>84</v>
      </c>
      <c r="H8381" t="s">
        <v>85</v>
      </c>
      <c r="AC8381">
        <v>1</v>
      </c>
      <c r="AD8381">
        <v>0</v>
      </c>
      <c r="AE8381">
        <v>0</v>
      </c>
      <c r="AF8381">
        <v>0</v>
      </c>
      <c r="AG8381">
        <v>0</v>
      </c>
      <c r="AJ8381">
        <v>1</v>
      </c>
      <c r="AK8381">
        <v>0</v>
      </c>
      <c r="AL8381">
        <v>1</v>
      </c>
      <c r="AM8381">
        <v>0</v>
      </c>
      <c r="AN8381">
        <v>0</v>
      </c>
      <c r="AO8381">
        <v>0</v>
      </c>
      <c r="AP8381">
        <v>0</v>
      </c>
      <c r="AQ8381">
        <v>0</v>
      </c>
      <c r="AR8381">
        <v>0</v>
      </c>
      <c r="AS8381">
        <v>1</v>
      </c>
      <c r="AT8381">
        <v>0</v>
      </c>
      <c r="AV8381">
        <v>0</v>
      </c>
      <c r="AW8381">
        <v>0</v>
      </c>
    </row>
    <row r="8382" spans="1:49" x14ac:dyDescent="0.25">
      <c r="A8382" t="str">
        <f>"8378"</f>
        <v>8378</v>
      </c>
      <c r="B8382" t="str">
        <f t="shared" si="487"/>
        <v>1</v>
      </c>
      <c r="C8382" t="str">
        <f t="shared" si="489"/>
        <v>370</v>
      </c>
      <c r="D8382" t="str">
        <f>"5"</f>
        <v>5</v>
      </c>
      <c r="E8382" t="str">
        <f>"1-370-5"</f>
        <v>1-370-5</v>
      </c>
      <c r="F8382" t="s">
        <v>83</v>
      </c>
      <c r="G8382" t="s">
        <v>84</v>
      </c>
      <c r="H8382" t="s">
        <v>92</v>
      </c>
      <c r="I8382">
        <v>1</v>
      </c>
      <c r="J8382">
        <v>0</v>
      </c>
      <c r="N8382">
        <v>1</v>
      </c>
      <c r="O8382">
        <v>1</v>
      </c>
      <c r="P8382">
        <v>1</v>
      </c>
      <c r="Q8382">
        <v>1</v>
      </c>
      <c r="R8382">
        <v>1</v>
      </c>
      <c r="S8382">
        <v>1</v>
      </c>
      <c r="T8382">
        <v>1</v>
      </c>
      <c r="W8382">
        <v>1</v>
      </c>
      <c r="X8382">
        <v>1</v>
      </c>
      <c r="Y8382">
        <v>1</v>
      </c>
      <c r="Z8382">
        <v>0</v>
      </c>
      <c r="AA8382">
        <v>1</v>
      </c>
      <c r="AB8382">
        <v>1</v>
      </c>
    </row>
    <row r="8383" spans="1:49" x14ac:dyDescent="0.25">
      <c r="A8383" t="str">
        <f>"8379"</f>
        <v>8379</v>
      </c>
      <c r="B8383" t="str">
        <f t="shared" si="487"/>
        <v>1</v>
      </c>
      <c r="C8383" t="str">
        <f t="shared" si="489"/>
        <v>370</v>
      </c>
      <c r="D8383" t="str">
        <f>"16"</f>
        <v>16</v>
      </c>
      <c r="E8383" t="str">
        <f>"1-370-16"</f>
        <v>1-370-16</v>
      </c>
      <c r="F8383" t="s">
        <v>83</v>
      </c>
      <c r="G8383" t="s">
        <v>84</v>
      </c>
      <c r="H8383" t="s">
        <v>85</v>
      </c>
      <c r="AC8383">
        <v>0</v>
      </c>
      <c r="AD8383">
        <v>1</v>
      </c>
      <c r="AE8383">
        <v>0</v>
      </c>
      <c r="AF8383">
        <v>0</v>
      </c>
      <c r="AG8383">
        <v>0</v>
      </c>
      <c r="AJ8383">
        <v>0</v>
      </c>
      <c r="AK8383">
        <v>1</v>
      </c>
      <c r="AL8383">
        <v>0</v>
      </c>
      <c r="AM8383">
        <v>0</v>
      </c>
      <c r="AN8383">
        <v>1</v>
      </c>
      <c r="AO8383">
        <v>0</v>
      </c>
      <c r="AP8383">
        <v>0</v>
      </c>
      <c r="AQ8383">
        <v>0</v>
      </c>
      <c r="AR8383">
        <v>0</v>
      </c>
      <c r="AS8383">
        <v>0</v>
      </c>
      <c r="AT8383">
        <v>1</v>
      </c>
      <c r="AV8383">
        <v>0</v>
      </c>
      <c r="AW8383">
        <v>1</v>
      </c>
    </row>
    <row r="8384" spans="1:49" x14ac:dyDescent="0.25">
      <c r="A8384" t="str">
        <f>"8380"</f>
        <v>8380</v>
      </c>
      <c r="B8384" t="str">
        <f t="shared" si="487"/>
        <v>1</v>
      </c>
      <c r="C8384" t="str">
        <f t="shared" si="489"/>
        <v>370</v>
      </c>
      <c r="D8384" t="str">
        <f>"10"</f>
        <v>10</v>
      </c>
      <c r="E8384" t="str">
        <f>"1-370-10"</f>
        <v>1-370-10</v>
      </c>
      <c r="F8384" t="s">
        <v>83</v>
      </c>
      <c r="G8384" t="s">
        <v>84</v>
      </c>
      <c r="H8384" t="s">
        <v>85</v>
      </c>
      <c r="AC8384">
        <v>0</v>
      </c>
      <c r="AD8384">
        <v>1</v>
      </c>
      <c r="AE8384">
        <v>0</v>
      </c>
      <c r="AF8384">
        <v>0</v>
      </c>
      <c r="AG8384">
        <v>1</v>
      </c>
      <c r="AJ8384">
        <v>0</v>
      </c>
      <c r="AK8384">
        <v>1</v>
      </c>
      <c r="AL8384">
        <v>0</v>
      </c>
      <c r="AM8384">
        <v>0</v>
      </c>
      <c r="AN8384">
        <v>1</v>
      </c>
      <c r="AO8384">
        <v>0</v>
      </c>
      <c r="AP8384">
        <v>0</v>
      </c>
      <c r="AQ8384">
        <v>0</v>
      </c>
      <c r="AR8384">
        <v>0</v>
      </c>
      <c r="AS8384">
        <v>0</v>
      </c>
      <c r="AT8384">
        <v>0</v>
      </c>
      <c r="AV8384">
        <v>0</v>
      </c>
      <c r="AW8384">
        <v>0</v>
      </c>
    </row>
    <row r="8385" spans="1:49" x14ac:dyDescent="0.25">
      <c r="A8385" t="str">
        <f>"8381"</f>
        <v>8381</v>
      </c>
      <c r="B8385" t="str">
        <f t="shared" si="487"/>
        <v>1</v>
      </c>
      <c r="C8385" t="str">
        <f t="shared" si="489"/>
        <v>370</v>
      </c>
      <c r="D8385" t="str">
        <f>"6"</f>
        <v>6</v>
      </c>
      <c r="E8385" t="str">
        <f>"1-370-6"</f>
        <v>1-370-6</v>
      </c>
      <c r="F8385" t="s">
        <v>83</v>
      </c>
      <c r="G8385" t="s">
        <v>84</v>
      </c>
      <c r="H8385" t="s">
        <v>85</v>
      </c>
      <c r="AC8385">
        <v>1</v>
      </c>
      <c r="AD8385">
        <v>0</v>
      </c>
      <c r="AE8385">
        <v>0</v>
      </c>
      <c r="AF8385">
        <v>0</v>
      </c>
      <c r="AG8385">
        <v>1</v>
      </c>
      <c r="AJ8385">
        <v>1</v>
      </c>
      <c r="AK8385">
        <v>0</v>
      </c>
      <c r="AL8385">
        <v>0</v>
      </c>
      <c r="AM8385">
        <v>0</v>
      </c>
      <c r="AN8385">
        <v>1</v>
      </c>
      <c r="AO8385">
        <v>1</v>
      </c>
      <c r="AP8385">
        <v>1</v>
      </c>
      <c r="AQ8385">
        <v>1</v>
      </c>
      <c r="AR8385">
        <v>1</v>
      </c>
      <c r="AS8385">
        <v>0</v>
      </c>
      <c r="AT8385">
        <v>1</v>
      </c>
      <c r="AV8385">
        <v>1</v>
      </c>
      <c r="AW8385">
        <v>1</v>
      </c>
    </row>
    <row r="8386" spans="1:49" x14ac:dyDescent="0.25">
      <c r="A8386" t="str">
        <f>"8382"</f>
        <v>8382</v>
      </c>
      <c r="B8386" t="str">
        <f t="shared" si="487"/>
        <v>1</v>
      </c>
      <c r="C8386" t="str">
        <f t="shared" si="489"/>
        <v>370</v>
      </c>
      <c r="D8386" t="str">
        <f>"19"</f>
        <v>19</v>
      </c>
      <c r="E8386" t="str">
        <f>"1-370-19"</f>
        <v>1-370-19</v>
      </c>
      <c r="F8386" t="s">
        <v>83</v>
      </c>
      <c r="G8386" t="s">
        <v>84</v>
      </c>
      <c r="H8386" t="s">
        <v>92</v>
      </c>
      <c r="I8386">
        <v>1</v>
      </c>
      <c r="J8386">
        <v>1</v>
      </c>
      <c r="N8386">
        <v>1</v>
      </c>
      <c r="O8386">
        <v>1</v>
      </c>
      <c r="P8386">
        <v>1</v>
      </c>
      <c r="Q8386">
        <v>1</v>
      </c>
      <c r="R8386">
        <v>1</v>
      </c>
      <c r="S8386">
        <v>1</v>
      </c>
      <c r="T8386">
        <v>1</v>
      </c>
      <c r="W8386">
        <v>1</v>
      </c>
      <c r="X8386">
        <v>1</v>
      </c>
      <c r="Y8386">
        <v>1</v>
      </c>
      <c r="Z8386">
        <v>1</v>
      </c>
      <c r="AA8386">
        <v>1</v>
      </c>
      <c r="AB8386">
        <v>1</v>
      </c>
    </row>
    <row r="8387" spans="1:49" x14ac:dyDescent="0.25">
      <c r="A8387" t="str">
        <f>"8383"</f>
        <v>8383</v>
      </c>
      <c r="B8387" t="str">
        <f t="shared" si="487"/>
        <v>1</v>
      </c>
      <c r="C8387" t="str">
        <f t="shared" si="489"/>
        <v>370</v>
      </c>
      <c r="D8387" t="str">
        <f>"11"</f>
        <v>11</v>
      </c>
      <c r="E8387" t="str">
        <f>"1-370-11"</f>
        <v>1-370-11</v>
      </c>
      <c r="F8387" t="s">
        <v>83</v>
      </c>
      <c r="G8387" t="s">
        <v>84</v>
      </c>
      <c r="H8387" t="s">
        <v>85</v>
      </c>
      <c r="AC8387">
        <v>0</v>
      </c>
      <c r="AD8387">
        <v>1</v>
      </c>
      <c r="AE8387">
        <v>0</v>
      </c>
      <c r="AF8387">
        <v>0</v>
      </c>
      <c r="AG8387">
        <v>0</v>
      </c>
      <c r="AJ8387">
        <v>0</v>
      </c>
      <c r="AK8387">
        <v>1</v>
      </c>
      <c r="AL8387">
        <v>0</v>
      </c>
      <c r="AM8387">
        <v>0</v>
      </c>
      <c r="AN8387">
        <v>1</v>
      </c>
      <c r="AO8387">
        <v>0</v>
      </c>
      <c r="AP8387">
        <v>0</v>
      </c>
      <c r="AQ8387">
        <v>0</v>
      </c>
      <c r="AR8387">
        <v>0</v>
      </c>
      <c r="AS8387">
        <v>0</v>
      </c>
      <c r="AT8387">
        <v>0</v>
      </c>
      <c r="AV8387">
        <v>0</v>
      </c>
      <c r="AW8387">
        <v>0</v>
      </c>
    </row>
    <row r="8388" spans="1:49" x14ac:dyDescent="0.25">
      <c r="A8388" t="str">
        <f>"8384"</f>
        <v>8384</v>
      </c>
      <c r="B8388" t="str">
        <f t="shared" si="487"/>
        <v>1</v>
      </c>
      <c r="C8388" t="str">
        <f t="shared" si="489"/>
        <v>370</v>
      </c>
      <c r="D8388" t="str">
        <f>"7"</f>
        <v>7</v>
      </c>
      <c r="E8388" t="str">
        <f>"1-370-7"</f>
        <v>1-370-7</v>
      </c>
      <c r="F8388" t="s">
        <v>83</v>
      </c>
      <c r="G8388" t="s">
        <v>84</v>
      </c>
      <c r="H8388" t="s">
        <v>85</v>
      </c>
      <c r="AC8388">
        <v>1</v>
      </c>
      <c r="AD8388">
        <v>0</v>
      </c>
      <c r="AE8388">
        <v>0</v>
      </c>
      <c r="AF8388">
        <v>0</v>
      </c>
      <c r="AG8388">
        <v>0</v>
      </c>
      <c r="AJ8388">
        <v>0</v>
      </c>
      <c r="AK8388">
        <v>1</v>
      </c>
      <c r="AL8388">
        <v>0</v>
      </c>
      <c r="AM8388">
        <v>1</v>
      </c>
      <c r="AN8388">
        <v>0</v>
      </c>
      <c r="AO8388">
        <v>0</v>
      </c>
      <c r="AP8388">
        <v>0</v>
      </c>
      <c r="AQ8388">
        <v>0</v>
      </c>
      <c r="AR8388">
        <v>0</v>
      </c>
      <c r="AS8388">
        <v>1</v>
      </c>
      <c r="AT8388">
        <v>0</v>
      </c>
      <c r="AV8388">
        <v>0</v>
      </c>
      <c r="AW8388">
        <v>0</v>
      </c>
    </row>
    <row r="8389" spans="1:49" x14ac:dyDescent="0.25">
      <c r="A8389" t="str">
        <f>"8385"</f>
        <v>8385</v>
      </c>
      <c r="B8389" t="str">
        <f t="shared" si="487"/>
        <v>1</v>
      </c>
      <c r="C8389" t="str">
        <f t="shared" si="489"/>
        <v>370</v>
      </c>
      <c r="D8389" t="str">
        <f>"18"</f>
        <v>18</v>
      </c>
      <c r="E8389" t="str">
        <f>"1-370-18"</f>
        <v>1-370-18</v>
      </c>
      <c r="F8389" t="s">
        <v>83</v>
      </c>
      <c r="G8389" t="s">
        <v>84</v>
      </c>
      <c r="H8389" t="s">
        <v>85</v>
      </c>
      <c r="AC8389">
        <v>0</v>
      </c>
      <c r="AD8389">
        <v>1</v>
      </c>
      <c r="AE8389">
        <v>0</v>
      </c>
      <c r="AF8389">
        <v>0</v>
      </c>
      <c r="AG8389">
        <v>0</v>
      </c>
      <c r="AJ8389">
        <v>0</v>
      </c>
      <c r="AK8389">
        <v>1</v>
      </c>
      <c r="AL8389">
        <v>0</v>
      </c>
      <c r="AM8389">
        <v>0</v>
      </c>
      <c r="AN8389">
        <v>1</v>
      </c>
      <c r="AO8389">
        <v>0</v>
      </c>
      <c r="AP8389">
        <v>0</v>
      </c>
      <c r="AQ8389">
        <v>0</v>
      </c>
      <c r="AR8389">
        <v>0</v>
      </c>
      <c r="AS8389">
        <v>0</v>
      </c>
      <c r="AT8389">
        <v>0</v>
      </c>
      <c r="AV8389">
        <v>0</v>
      </c>
      <c r="AW8389">
        <v>0</v>
      </c>
    </row>
    <row r="8390" spans="1:49" x14ac:dyDescent="0.25">
      <c r="A8390" t="str">
        <f>"8386"</f>
        <v>8386</v>
      </c>
      <c r="B8390" t="str">
        <f t="shared" si="487"/>
        <v>1</v>
      </c>
      <c r="C8390" t="str">
        <f t="shared" si="489"/>
        <v>370</v>
      </c>
      <c r="D8390" t="str">
        <f>"12"</f>
        <v>12</v>
      </c>
      <c r="E8390" t="str">
        <f>"1-370-12"</f>
        <v>1-370-12</v>
      </c>
      <c r="F8390" t="s">
        <v>83</v>
      </c>
      <c r="G8390" t="s">
        <v>84</v>
      </c>
      <c r="H8390" t="s">
        <v>85</v>
      </c>
      <c r="AC8390">
        <v>0</v>
      </c>
      <c r="AD8390">
        <v>1</v>
      </c>
      <c r="AE8390">
        <v>0</v>
      </c>
      <c r="AF8390">
        <v>0</v>
      </c>
      <c r="AG8390">
        <v>1</v>
      </c>
      <c r="AJ8390">
        <v>0</v>
      </c>
      <c r="AK8390">
        <v>1</v>
      </c>
      <c r="AL8390">
        <v>0</v>
      </c>
      <c r="AM8390">
        <v>0</v>
      </c>
      <c r="AN8390">
        <v>1</v>
      </c>
      <c r="AO8390">
        <v>0</v>
      </c>
      <c r="AP8390">
        <v>0</v>
      </c>
      <c r="AQ8390">
        <v>0</v>
      </c>
      <c r="AR8390">
        <v>0</v>
      </c>
      <c r="AS8390">
        <v>0</v>
      </c>
      <c r="AT8390">
        <v>1</v>
      </c>
      <c r="AV8390">
        <v>0</v>
      </c>
      <c r="AW8390">
        <v>0</v>
      </c>
    </row>
    <row r="8391" spans="1:49" x14ac:dyDescent="0.25">
      <c r="A8391" t="str">
        <f>"8387"</f>
        <v>8387</v>
      </c>
      <c r="B8391" t="str">
        <f t="shared" si="487"/>
        <v>1</v>
      </c>
      <c r="C8391" t="str">
        <f t="shared" si="489"/>
        <v>370</v>
      </c>
      <c r="D8391" t="str">
        <f>"2"</f>
        <v>2</v>
      </c>
      <c r="E8391" t="str">
        <f>"1-370-2"</f>
        <v>1-370-2</v>
      </c>
      <c r="F8391" t="s">
        <v>83</v>
      </c>
      <c r="G8391" t="s">
        <v>84</v>
      </c>
      <c r="H8391" t="s">
        <v>85</v>
      </c>
      <c r="AC8391">
        <v>0</v>
      </c>
      <c r="AD8391">
        <v>1</v>
      </c>
      <c r="AE8391">
        <v>0</v>
      </c>
      <c r="AF8391">
        <v>0</v>
      </c>
      <c r="AG8391">
        <v>1</v>
      </c>
      <c r="AJ8391">
        <v>1</v>
      </c>
      <c r="AK8391">
        <v>0</v>
      </c>
      <c r="AL8391">
        <v>0</v>
      </c>
      <c r="AM8391">
        <v>1</v>
      </c>
      <c r="AN8391">
        <v>0</v>
      </c>
      <c r="AO8391">
        <v>1</v>
      </c>
      <c r="AP8391">
        <v>1</v>
      </c>
      <c r="AQ8391">
        <v>1</v>
      </c>
      <c r="AR8391">
        <v>1</v>
      </c>
      <c r="AS8391">
        <v>0</v>
      </c>
      <c r="AT8391">
        <v>1</v>
      </c>
      <c r="AV8391">
        <v>1</v>
      </c>
      <c r="AW8391">
        <v>1</v>
      </c>
    </row>
    <row r="8392" spans="1:49" x14ac:dyDescent="0.25">
      <c r="A8392" t="str">
        <f>"8388"</f>
        <v>8388</v>
      </c>
      <c r="B8392" t="str">
        <f t="shared" si="487"/>
        <v>1</v>
      </c>
      <c r="C8392" t="str">
        <f t="shared" si="489"/>
        <v>370</v>
      </c>
      <c r="D8392" t="str">
        <f>"20"</f>
        <v>20</v>
      </c>
      <c r="E8392" t="str">
        <f>"1-370-20"</f>
        <v>1-370-20</v>
      </c>
      <c r="F8392" t="s">
        <v>83</v>
      </c>
      <c r="G8392" t="s">
        <v>84</v>
      </c>
      <c r="H8392" t="s">
        <v>85</v>
      </c>
      <c r="AC8392">
        <v>0</v>
      </c>
      <c r="AD8392">
        <v>1</v>
      </c>
      <c r="AE8392">
        <v>0</v>
      </c>
      <c r="AF8392">
        <v>0</v>
      </c>
      <c r="AG8392">
        <v>0</v>
      </c>
      <c r="AJ8392">
        <v>0</v>
      </c>
      <c r="AK8392">
        <v>1</v>
      </c>
      <c r="AL8392">
        <v>0</v>
      </c>
      <c r="AM8392">
        <v>0</v>
      </c>
      <c r="AN8392">
        <v>1</v>
      </c>
      <c r="AO8392">
        <v>0</v>
      </c>
      <c r="AP8392">
        <v>0</v>
      </c>
      <c r="AQ8392">
        <v>0</v>
      </c>
      <c r="AR8392">
        <v>0</v>
      </c>
      <c r="AS8392">
        <v>1</v>
      </c>
      <c r="AT8392">
        <v>0</v>
      </c>
      <c r="AV8392">
        <v>0</v>
      </c>
      <c r="AW8392">
        <v>0</v>
      </c>
    </row>
    <row r="8393" spans="1:49" x14ac:dyDescent="0.25">
      <c r="A8393" t="str">
        <f>"8389"</f>
        <v>8389</v>
      </c>
      <c r="B8393" t="str">
        <f t="shared" si="487"/>
        <v>1</v>
      </c>
      <c r="C8393" t="str">
        <f t="shared" si="489"/>
        <v>370</v>
      </c>
      <c r="D8393" t="str">
        <f>"13"</f>
        <v>13</v>
      </c>
      <c r="E8393" t="str">
        <f>"1-370-13"</f>
        <v>1-370-13</v>
      </c>
      <c r="F8393" t="s">
        <v>83</v>
      </c>
      <c r="G8393" t="s">
        <v>84</v>
      </c>
      <c r="H8393" t="s">
        <v>85</v>
      </c>
      <c r="AC8393">
        <v>0</v>
      </c>
      <c r="AD8393">
        <v>1</v>
      </c>
      <c r="AE8393">
        <v>0</v>
      </c>
      <c r="AF8393">
        <v>0</v>
      </c>
      <c r="AG8393">
        <v>1</v>
      </c>
      <c r="AJ8393">
        <v>0</v>
      </c>
      <c r="AK8393">
        <v>1</v>
      </c>
      <c r="AL8393">
        <v>0</v>
      </c>
      <c r="AM8393">
        <v>0</v>
      </c>
      <c r="AN8393">
        <v>1</v>
      </c>
      <c r="AO8393">
        <v>1</v>
      </c>
      <c r="AP8393">
        <v>1</v>
      </c>
      <c r="AQ8393">
        <v>1</v>
      </c>
      <c r="AR8393">
        <v>1</v>
      </c>
      <c r="AS8393">
        <v>0</v>
      </c>
      <c r="AT8393">
        <v>1</v>
      </c>
      <c r="AV8393">
        <v>1</v>
      </c>
      <c r="AW8393">
        <v>1</v>
      </c>
    </row>
    <row r="8394" spans="1:49" x14ac:dyDescent="0.25">
      <c r="A8394" t="str">
        <f>"8390"</f>
        <v>8390</v>
      </c>
      <c r="B8394" t="str">
        <f t="shared" si="487"/>
        <v>1</v>
      </c>
      <c r="C8394" t="str">
        <f t="shared" si="489"/>
        <v>370</v>
      </c>
      <c r="D8394" t="str">
        <f>"4"</f>
        <v>4</v>
      </c>
      <c r="E8394" t="str">
        <f>"1-370-4"</f>
        <v>1-370-4</v>
      </c>
      <c r="F8394" t="s">
        <v>83</v>
      </c>
      <c r="G8394" t="s">
        <v>84</v>
      </c>
      <c r="H8394" t="s">
        <v>92</v>
      </c>
      <c r="I8394">
        <v>1</v>
      </c>
      <c r="J8394">
        <v>1</v>
      </c>
      <c r="N8394">
        <v>1</v>
      </c>
      <c r="O8394">
        <v>1</v>
      </c>
      <c r="P8394">
        <v>1</v>
      </c>
      <c r="Q8394">
        <v>1</v>
      </c>
      <c r="R8394">
        <v>1</v>
      </c>
      <c r="S8394">
        <v>1</v>
      </c>
      <c r="T8394">
        <v>1</v>
      </c>
      <c r="W8394">
        <v>1</v>
      </c>
      <c r="X8394">
        <v>1</v>
      </c>
      <c r="Y8394">
        <v>1</v>
      </c>
      <c r="Z8394">
        <v>1</v>
      </c>
      <c r="AA8394">
        <v>1</v>
      </c>
      <c r="AB8394">
        <v>1</v>
      </c>
    </row>
    <row r="8395" spans="1:49" x14ac:dyDescent="0.25">
      <c r="A8395" t="str">
        <f>"8391"</f>
        <v>8391</v>
      </c>
      <c r="B8395" t="str">
        <f t="shared" si="487"/>
        <v>1</v>
      </c>
      <c r="C8395" t="str">
        <f t="shared" si="489"/>
        <v>370</v>
      </c>
      <c r="D8395" t="str">
        <f>"21"</f>
        <v>21</v>
      </c>
      <c r="E8395" t="str">
        <f>"1-370-21"</f>
        <v>1-370-21</v>
      </c>
      <c r="F8395" t="s">
        <v>83</v>
      </c>
      <c r="G8395" t="s">
        <v>84</v>
      </c>
      <c r="H8395" t="s">
        <v>85</v>
      </c>
      <c r="AC8395">
        <v>1</v>
      </c>
      <c r="AD8395">
        <v>0</v>
      </c>
      <c r="AE8395">
        <v>0</v>
      </c>
      <c r="AF8395">
        <v>0</v>
      </c>
      <c r="AG8395">
        <v>1</v>
      </c>
      <c r="AJ8395">
        <v>0</v>
      </c>
      <c r="AK8395">
        <v>1</v>
      </c>
      <c r="AL8395">
        <v>0</v>
      </c>
      <c r="AM8395">
        <v>1</v>
      </c>
      <c r="AN8395">
        <v>0</v>
      </c>
      <c r="AO8395">
        <v>1</v>
      </c>
      <c r="AP8395">
        <v>1</v>
      </c>
      <c r="AQ8395">
        <v>0</v>
      </c>
      <c r="AR8395">
        <v>0</v>
      </c>
      <c r="AS8395">
        <v>1</v>
      </c>
      <c r="AT8395">
        <v>0</v>
      </c>
      <c r="AV8395">
        <v>0</v>
      </c>
      <c r="AW8395">
        <v>0</v>
      </c>
    </row>
    <row r="8396" spans="1:49" x14ac:dyDescent="0.25">
      <c r="A8396" t="str">
        <f>"8392"</f>
        <v>8392</v>
      </c>
      <c r="B8396" t="str">
        <f t="shared" si="487"/>
        <v>1</v>
      </c>
      <c r="C8396" t="str">
        <f t="shared" si="489"/>
        <v>370</v>
      </c>
      <c r="D8396" t="str">
        <f>"14"</f>
        <v>14</v>
      </c>
      <c r="E8396" t="str">
        <f>"1-370-14"</f>
        <v>1-370-14</v>
      </c>
      <c r="F8396" t="s">
        <v>83</v>
      </c>
      <c r="G8396" t="s">
        <v>84</v>
      </c>
      <c r="H8396" t="s">
        <v>85</v>
      </c>
      <c r="AC8396">
        <v>0</v>
      </c>
      <c r="AD8396">
        <v>1</v>
      </c>
      <c r="AE8396">
        <v>0</v>
      </c>
      <c r="AF8396">
        <v>0</v>
      </c>
      <c r="AG8396">
        <v>0</v>
      </c>
      <c r="AJ8396">
        <v>0</v>
      </c>
      <c r="AK8396">
        <v>0</v>
      </c>
      <c r="AL8396">
        <v>0</v>
      </c>
      <c r="AM8396">
        <v>0</v>
      </c>
      <c r="AN8396">
        <v>1</v>
      </c>
      <c r="AO8396">
        <v>0</v>
      </c>
      <c r="AP8396">
        <v>0</v>
      </c>
      <c r="AQ8396">
        <v>0</v>
      </c>
      <c r="AR8396">
        <v>0</v>
      </c>
      <c r="AS8396">
        <v>0</v>
      </c>
      <c r="AT8396">
        <v>0</v>
      </c>
      <c r="AV8396">
        <v>0</v>
      </c>
      <c r="AW8396">
        <v>0</v>
      </c>
    </row>
    <row r="8397" spans="1:49" x14ac:dyDescent="0.25">
      <c r="A8397" t="str">
        <f>"8393"</f>
        <v>8393</v>
      </c>
      <c r="B8397" t="str">
        <f t="shared" si="487"/>
        <v>1</v>
      </c>
      <c r="C8397" t="str">
        <f t="shared" si="489"/>
        <v>370</v>
      </c>
      <c r="D8397" t="str">
        <f>"1"</f>
        <v>1</v>
      </c>
      <c r="E8397" t="str">
        <f>"1-370-1"</f>
        <v>1-370-1</v>
      </c>
      <c r="F8397" t="s">
        <v>83</v>
      </c>
      <c r="G8397" t="s">
        <v>84</v>
      </c>
      <c r="H8397" t="s">
        <v>92</v>
      </c>
      <c r="I8397">
        <v>1</v>
      </c>
      <c r="J8397">
        <v>1</v>
      </c>
      <c r="N8397">
        <v>1</v>
      </c>
      <c r="O8397">
        <v>1</v>
      </c>
      <c r="P8397">
        <v>1</v>
      </c>
      <c r="Q8397">
        <v>1</v>
      </c>
      <c r="R8397">
        <v>1</v>
      </c>
      <c r="S8397">
        <v>1</v>
      </c>
      <c r="T8397">
        <v>1</v>
      </c>
      <c r="W8397">
        <v>1</v>
      </c>
      <c r="X8397">
        <v>1</v>
      </c>
      <c r="Y8397">
        <v>1</v>
      </c>
      <c r="Z8397">
        <v>1</v>
      </c>
      <c r="AA8397">
        <v>1</v>
      </c>
      <c r="AB8397">
        <v>1</v>
      </c>
    </row>
    <row r="8398" spans="1:49" x14ac:dyDescent="0.25">
      <c r="A8398" t="str">
        <f>"8394"</f>
        <v>8394</v>
      </c>
      <c r="B8398" t="str">
        <f t="shared" si="487"/>
        <v>1</v>
      </c>
      <c r="C8398" t="str">
        <f t="shared" ref="C8398:C8421" si="490">"371"</f>
        <v>371</v>
      </c>
      <c r="D8398" t="str">
        <f>"23"</f>
        <v>23</v>
      </c>
      <c r="E8398" t="str">
        <f>"1-371-23"</f>
        <v>1-371-23</v>
      </c>
      <c r="F8398" t="s">
        <v>83</v>
      </c>
      <c r="G8398" t="s">
        <v>84</v>
      </c>
      <c r="H8398" t="s">
        <v>85</v>
      </c>
      <c r="AC8398">
        <v>0</v>
      </c>
      <c r="AD8398">
        <v>1</v>
      </c>
      <c r="AE8398">
        <v>0</v>
      </c>
      <c r="AF8398">
        <v>0</v>
      </c>
      <c r="AG8398">
        <v>0</v>
      </c>
      <c r="AJ8398">
        <v>0</v>
      </c>
      <c r="AK8398">
        <v>0</v>
      </c>
      <c r="AL8398">
        <v>0</v>
      </c>
      <c r="AM8398">
        <v>0</v>
      </c>
      <c r="AN8398">
        <v>1</v>
      </c>
      <c r="AO8398">
        <v>0</v>
      </c>
      <c r="AP8398">
        <v>0</v>
      </c>
      <c r="AQ8398">
        <v>0</v>
      </c>
      <c r="AR8398">
        <v>0</v>
      </c>
      <c r="AS8398">
        <v>0</v>
      </c>
      <c r="AT8398">
        <v>1</v>
      </c>
      <c r="AV8398">
        <v>0</v>
      </c>
      <c r="AW8398">
        <v>1</v>
      </c>
    </row>
    <row r="8399" spans="1:49" x14ac:dyDescent="0.25">
      <c r="A8399" t="str">
        <f>"8395"</f>
        <v>8395</v>
      </c>
      <c r="B8399" t="str">
        <f t="shared" si="487"/>
        <v>1</v>
      </c>
      <c r="C8399" t="str">
        <f t="shared" si="490"/>
        <v>371</v>
      </c>
      <c r="D8399" t="str">
        <f>"22"</f>
        <v>22</v>
      </c>
      <c r="E8399" t="str">
        <f>"1-371-22"</f>
        <v>1-371-22</v>
      </c>
      <c r="F8399" t="s">
        <v>83</v>
      </c>
      <c r="G8399" t="s">
        <v>84</v>
      </c>
      <c r="H8399" t="s">
        <v>92</v>
      </c>
      <c r="I8399">
        <v>1</v>
      </c>
      <c r="J8399">
        <v>1</v>
      </c>
      <c r="N8399">
        <v>1</v>
      </c>
      <c r="O8399">
        <v>1</v>
      </c>
      <c r="P8399">
        <v>1</v>
      </c>
      <c r="Q8399">
        <v>1</v>
      </c>
      <c r="R8399">
        <v>1</v>
      </c>
      <c r="S8399">
        <v>1</v>
      </c>
      <c r="T8399">
        <v>1</v>
      </c>
      <c r="W8399">
        <v>1</v>
      </c>
      <c r="X8399">
        <v>1</v>
      </c>
      <c r="Y8399">
        <v>1</v>
      </c>
      <c r="Z8399">
        <v>1</v>
      </c>
      <c r="AA8399">
        <v>1</v>
      </c>
      <c r="AB8399">
        <v>1</v>
      </c>
    </row>
    <row r="8400" spans="1:49" x14ac:dyDescent="0.25">
      <c r="A8400" t="str">
        <f>"8396"</f>
        <v>8396</v>
      </c>
      <c r="B8400" t="str">
        <f t="shared" si="487"/>
        <v>1</v>
      </c>
      <c r="C8400" t="str">
        <f t="shared" si="490"/>
        <v>371</v>
      </c>
      <c r="D8400" t="str">
        <f>"15"</f>
        <v>15</v>
      </c>
      <c r="E8400" t="str">
        <f>"1-371-15"</f>
        <v>1-371-15</v>
      </c>
      <c r="F8400" t="s">
        <v>83</v>
      </c>
      <c r="G8400" t="s">
        <v>84</v>
      </c>
      <c r="H8400" t="s">
        <v>92</v>
      </c>
      <c r="I8400">
        <v>1</v>
      </c>
      <c r="J8400">
        <v>1</v>
      </c>
      <c r="N8400">
        <v>1</v>
      </c>
      <c r="O8400">
        <v>1</v>
      </c>
      <c r="P8400">
        <v>1</v>
      </c>
      <c r="Q8400">
        <v>1</v>
      </c>
      <c r="R8400">
        <v>1</v>
      </c>
      <c r="S8400">
        <v>1</v>
      </c>
      <c r="T8400">
        <v>1</v>
      </c>
      <c r="W8400">
        <v>1</v>
      </c>
      <c r="X8400">
        <v>1</v>
      </c>
      <c r="Y8400">
        <v>1</v>
      </c>
      <c r="Z8400">
        <v>1</v>
      </c>
      <c r="AA8400">
        <v>1</v>
      </c>
      <c r="AB8400">
        <v>1</v>
      </c>
    </row>
    <row r="8401" spans="1:49" x14ac:dyDescent="0.25">
      <c r="A8401" t="str">
        <f>"8397"</f>
        <v>8397</v>
      </c>
      <c r="B8401" t="str">
        <f t="shared" si="487"/>
        <v>1</v>
      </c>
      <c r="C8401" t="str">
        <f t="shared" si="490"/>
        <v>371</v>
      </c>
      <c r="D8401" t="str">
        <f>"14"</f>
        <v>14</v>
      </c>
      <c r="E8401" t="str">
        <f>"1-371-14"</f>
        <v>1-371-14</v>
      </c>
      <c r="F8401" t="s">
        <v>83</v>
      </c>
      <c r="G8401" t="s">
        <v>84</v>
      </c>
      <c r="H8401" t="s">
        <v>85</v>
      </c>
      <c r="AC8401">
        <v>1</v>
      </c>
      <c r="AD8401">
        <v>0</v>
      </c>
      <c r="AE8401">
        <v>0</v>
      </c>
      <c r="AF8401">
        <v>0</v>
      </c>
      <c r="AG8401">
        <v>0</v>
      </c>
      <c r="AJ8401">
        <v>1</v>
      </c>
      <c r="AK8401">
        <v>0</v>
      </c>
      <c r="AL8401">
        <v>0</v>
      </c>
      <c r="AM8401">
        <v>1</v>
      </c>
      <c r="AN8401">
        <v>0</v>
      </c>
      <c r="AO8401">
        <v>0</v>
      </c>
      <c r="AP8401">
        <v>0</v>
      </c>
      <c r="AQ8401">
        <v>0</v>
      </c>
      <c r="AR8401">
        <v>0</v>
      </c>
      <c r="AS8401">
        <v>0</v>
      </c>
      <c r="AT8401">
        <v>1</v>
      </c>
      <c r="AV8401">
        <v>0</v>
      </c>
      <c r="AW8401">
        <v>0</v>
      </c>
    </row>
    <row r="8402" spans="1:49" x14ac:dyDescent="0.25">
      <c r="A8402" t="str">
        <f>"8398"</f>
        <v>8398</v>
      </c>
      <c r="B8402" t="str">
        <f t="shared" si="487"/>
        <v>1</v>
      </c>
      <c r="C8402" t="str">
        <f t="shared" si="490"/>
        <v>371</v>
      </c>
      <c r="D8402" t="str">
        <f>"12"</f>
        <v>12</v>
      </c>
      <c r="E8402" t="str">
        <f>"1-371-12"</f>
        <v>1-371-12</v>
      </c>
      <c r="F8402" t="s">
        <v>83</v>
      </c>
      <c r="G8402" t="s">
        <v>84</v>
      </c>
      <c r="H8402" t="s">
        <v>92</v>
      </c>
      <c r="I8402">
        <v>1</v>
      </c>
      <c r="J8402">
        <v>1</v>
      </c>
      <c r="N8402">
        <v>1</v>
      </c>
      <c r="O8402">
        <v>1</v>
      </c>
      <c r="P8402">
        <v>1</v>
      </c>
      <c r="Q8402">
        <v>1</v>
      </c>
      <c r="R8402">
        <v>1</v>
      </c>
      <c r="S8402">
        <v>1</v>
      </c>
      <c r="T8402">
        <v>1</v>
      </c>
      <c r="W8402">
        <v>1</v>
      </c>
      <c r="X8402">
        <v>1</v>
      </c>
      <c r="Y8402">
        <v>1</v>
      </c>
      <c r="Z8402">
        <v>1</v>
      </c>
      <c r="AA8402">
        <v>1</v>
      </c>
      <c r="AB8402">
        <v>1</v>
      </c>
    </row>
    <row r="8403" spans="1:49" x14ac:dyDescent="0.25">
      <c r="A8403" t="str">
        <f>"8399"</f>
        <v>8399</v>
      </c>
      <c r="B8403" t="str">
        <f t="shared" si="487"/>
        <v>1</v>
      </c>
      <c r="C8403" t="str">
        <f t="shared" si="490"/>
        <v>371</v>
      </c>
      <c r="D8403" t="str">
        <f>"8"</f>
        <v>8</v>
      </c>
      <c r="E8403" t="str">
        <f>"1-371-8"</f>
        <v>1-371-8</v>
      </c>
      <c r="F8403" t="s">
        <v>83</v>
      </c>
      <c r="G8403" t="s">
        <v>84</v>
      </c>
      <c r="H8403" t="s">
        <v>85</v>
      </c>
      <c r="AC8403">
        <v>1</v>
      </c>
      <c r="AD8403">
        <v>0</v>
      </c>
      <c r="AE8403">
        <v>0</v>
      </c>
      <c r="AF8403">
        <v>0</v>
      </c>
      <c r="AG8403">
        <v>1</v>
      </c>
      <c r="AJ8403">
        <v>1</v>
      </c>
      <c r="AK8403">
        <v>0</v>
      </c>
      <c r="AL8403">
        <v>1</v>
      </c>
      <c r="AM8403">
        <v>0</v>
      </c>
      <c r="AN8403">
        <v>0</v>
      </c>
      <c r="AO8403">
        <v>1</v>
      </c>
      <c r="AP8403">
        <v>0</v>
      </c>
      <c r="AQ8403">
        <v>1</v>
      </c>
      <c r="AR8403">
        <v>1</v>
      </c>
      <c r="AS8403">
        <v>1</v>
      </c>
      <c r="AT8403">
        <v>0</v>
      </c>
      <c r="AV8403">
        <v>1</v>
      </c>
      <c r="AW8403">
        <v>1</v>
      </c>
    </row>
    <row r="8404" spans="1:49" x14ac:dyDescent="0.25">
      <c r="A8404" t="str">
        <f>"8400"</f>
        <v>8400</v>
      </c>
      <c r="B8404" t="str">
        <f t="shared" si="487"/>
        <v>1</v>
      </c>
      <c r="C8404" t="str">
        <f t="shared" si="490"/>
        <v>371</v>
      </c>
      <c r="D8404" t="str">
        <f>"4"</f>
        <v>4</v>
      </c>
      <c r="E8404" t="str">
        <f>"1-371-4"</f>
        <v>1-371-4</v>
      </c>
      <c r="F8404" t="s">
        <v>83</v>
      </c>
      <c r="G8404" t="s">
        <v>84</v>
      </c>
      <c r="H8404" t="s">
        <v>92</v>
      </c>
      <c r="I8404">
        <v>1</v>
      </c>
      <c r="J8404">
        <v>1</v>
      </c>
      <c r="N8404">
        <v>1</v>
      </c>
      <c r="O8404">
        <v>1</v>
      </c>
      <c r="P8404">
        <v>1</v>
      </c>
      <c r="Q8404">
        <v>1</v>
      </c>
      <c r="R8404">
        <v>1</v>
      </c>
      <c r="S8404">
        <v>1</v>
      </c>
      <c r="T8404">
        <v>1</v>
      </c>
      <c r="W8404">
        <v>1</v>
      </c>
      <c r="X8404">
        <v>1</v>
      </c>
      <c r="Y8404">
        <v>1</v>
      </c>
      <c r="Z8404">
        <v>1</v>
      </c>
      <c r="AA8404">
        <v>1</v>
      </c>
      <c r="AB8404">
        <v>1</v>
      </c>
    </row>
    <row r="8405" spans="1:49" x14ac:dyDescent="0.25">
      <c r="A8405" t="str">
        <f>"8401"</f>
        <v>8401</v>
      </c>
      <c r="B8405" t="str">
        <f t="shared" si="487"/>
        <v>1</v>
      </c>
      <c r="C8405" t="str">
        <f t="shared" si="490"/>
        <v>371</v>
      </c>
      <c r="D8405" t="str">
        <f>"19"</f>
        <v>19</v>
      </c>
      <c r="E8405" t="str">
        <f>"1-371-19"</f>
        <v>1-371-19</v>
      </c>
      <c r="F8405" t="s">
        <v>83</v>
      </c>
      <c r="G8405" t="s">
        <v>84</v>
      </c>
      <c r="H8405" t="s">
        <v>85</v>
      </c>
      <c r="AC8405">
        <v>1</v>
      </c>
      <c r="AD8405">
        <v>0</v>
      </c>
      <c r="AE8405">
        <v>0</v>
      </c>
      <c r="AF8405">
        <v>0</v>
      </c>
      <c r="AG8405">
        <v>0</v>
      </c>
      <c r="AJ8405">
        <v>0</v>
      </c>
      <c r="AK8405">
        <v>1</v>
      </c>
      <c r="AL8405">
        <v>0</v>
      </c>
      <c r="AM8405">
        <v>0</v>
      </c>
      <c r="AN8405">
        <v>1</v>
      </c>
      <c r="AO8405">
        <v>0</v>
      </c>
      <c r="AP8405">
        <v>0</v>
      </c>
      <c r="AQ8405">
        <v>0</v>
      </c>
      <c r="AR8405">
        <v>1</v>
      </c>
      <c r="AS8405">
        <v>0</v>
      </c>
      <c r="AT8405">
        <v>0</v>
      </c>
      <c r="AV8405">
        <v>0</v>
      </c>
      <c r="AW8405">
        <v>0</v>
      </c>
    </row>
    <row r="8406" spans="1:49" x14ac:dyDescent="0.25">
      <c r="A8406" t="str">
        <f>"8402"</f>
        <v>8402</v>
      </c>
      <c r="B8406" t="str">
        <f t="shared" si="487"/>
        <v>1</v>
      </c>
      <c r="C8406" t="str">
        <f t="shared" si="490"/>
        <v>371</v>
      </c>
      <c r="D8406" t="str">
        <f>"9"</f>
        <v>9</v>
      </c>
      <c r="E8406" t="str">
        <f>"1-371-9"</f>
        <v>1-371-9</v>
      </c>
      <c r="F8406" t="s">
        <v>83</v>
      </c>
      <c r="G8406" t="s">
        <v>84</v>
      </c>
      <c r="H8406" t="s">
        <v>85</v>
      </c>
      <c r="AC8406">
        <v>0</v>
      </c>
      <c r="AD8406">
        <v>1</v>
      </c>
      <c r="AE8406">
        <v>0</v>
      </c>
      <c r="AF8406">
        <v>0</v>
      </c>
      <c r="AG8406">
        <v>1</v>
      </c>
      <c r="AJ8406">
        <v>0</v>
      </c>
      <c r="AK8406">
        <v>1</v>
      </c>
      <c r="AL8406">
        <v>0</v>
      </c>
      <c r="AM8406">
        <v>0</v>
      </c>
      <c r="AN8406">
        <v>1</v>
      </c>
      <c r="AO8406">
        <v>0</v>
      </c>
      <c r="AP8406">
        <v>0</v>
      </c>
      <c r="AQ8406">
        <v>0</v>
      </c>
      <c r="AR8406">
        <v>0</v>
      </c>
      <c r="AS8406">
        <v>0</v>
      </c>
      <c r="AT8406">
        <v>1</v>
      </c>
      <c r="AV8406">
        <v>1</v>
      </c>
      <c r="AW8406">
        <v>1</v>
      </c>
    </row>
    <row r="8407" spans="1:49" x14ac:dyDescent="0.25">
      <c r="A8407" t="str">
        <f>"8403"</f>
        <v>8403</v>
      </c>
      <c r="B8407" t="str">
        <f t="shared" si="487"/>
        <v>1</v>
      </c>
      <c r="C8407" t="str">
        <f t="shared" si="490"/>
        <v>371</v>
      </c>
      <c r="D8407" t="str">
        <f>"2"</f>
        <v>2</v>
      </c>
      <c r="E8407" t="str">
        <f>"1-371-2"</f>
        <v>1-371-2</v>
      </c>
      <c r="F8407" t="s">
        <v>83</v>
      </c>
      <c r="G8407" t="s">
        <v>84</v>
      </c>
      <c r="H8407" t="s">
        <v>92</v>
      </c>
      <c r="I8407">
        <v>1</v>
      </c>
      <c r="J8407">
        <v>1</v>
      </c>
      <c r="N8407">
        <v>1</v>
      </c>
      <c r="O8407">
        <v>1</v>
      </c>
      <c r="P8407">
        <v>1</v>
      </c>
      <c r="Q8407">
        <v>1</v>
      </c>
      <c r="R8407">
        <v>1</v>
      </c>
      <c r="S8407">
        <v>1</v>
      </c>
      <c r="T8407">
        <v>1</v>
      </c>
      <c r="W8407">
        <v>1</v>
      </c>
      <c r="X8407">
        <v>1</v>
      </c>
      <c r="Y8407">
        <v>1</v>
      </c>
      <c r="Z8407">
        <v>1</v>
      </c>
      <c r="AA8407">
        <v>1</v>
      </c>
      <c r="AB8407">
        <v>1</v>
      </c>
    </row>
    <row r="8408" spans="1:49" x14ac:dyDescent="0.25">
      <c r="A8408" t="str">
        <f>"8404"</f>
        <v>8404</v>
      </c>
      <c r="B8408" t="str">
        <f t="shared" si="487"/>
        <v>1</v>
      </c>
      <c r="C8408" t="str">
        <f t="shared" si="490"/>
        <v>371</v>
      </c>
      <c r="D8408" t="str">
        <f>"24"</f>
        <v>24</v>
      </c>
      <c r="E8408" t="str">
        <f>"1-371-24"</f>
        <v>1-371-24</v>
      </c>
      <c r="F8408" t="s">
        <v>83</v>
      </c>
      <c r="G8408" t="s">
        <v>84</v>
      </c>
      <c r="H8408" t="s">
        <v>85</v>
      </c>
      <c r="AC8408">
        <v>0</v>
      </c>
      <c r="AD8408">
        <v>1</v>
      </c>
      <c r="AE8408">
        <v>0</v>
      </c>
      <c r="AF8408">
        <v>0</v>
      </c>
      <c r="AG8408">
        <v>0</v>
      </c>
      <c r="AJ8408">
        <v>0</v>
      </c>
      <c r="AK8408">
        <v>1</v>
      </c>
      <c r="AL8408">
        <v>0</v>
      </c>
      <c r="AM8408">
        <v>0</v>
      </c>
      <c r="AN8408">
        <v>1</v>
      </c>
      <c r="AO8408">
        <v>0</v>
      </c>
      <c r="AP8408">
        <v>0</v>
      </c>
      <c r="AQ8408">
        <v>0</v>
      </c>
      <c r="AR8408">
        <v>0</v>
      </c>
      <c r="AS8408">
        <v>0</v>
      </c>
      <c r="AT8408">
        <v>0</v>
      </c>
      <c r="AV8408">
        <v>0</v>
      </c>
      <c r="AW8408">
        <v>0</v>
      </c>
    </row>
    <row r="8409" spans="1:49" x14ac:dyDescent="0.25">
      <c r="A8409" t="str">
        <f>"8405"</f>
        <v>8405</v>
      </c>
      <c r="B8409" t="str">
        <f t="shared" si="487"/>
        <v>1</v>
      </c>
      <c r="C8409" t="str">
        <f t="shared" si="490"/>
        <v>371</v>
      </c>
      <c r="D8409" t="str">
        <f>"18"</f>
        <v>18</v>
      </c>
      <c r="E8409" t="str">
        <f>"1-371-18"</f>
        <v>1-371-18</v>
      </c>
      <c r="F8409" t="s">
        <v>83</v>
      </c>
      <c r="G8409" t="s">
        <v>84</v>
      </c>
      <c r="H8409" t="s">
        <v>92</v>
      </c>
      <c r="I8409">
        <v>1</v>
      </c>
      <c r="J8409">
        <v>1</v>
      </c>
      <c r="N8409">
        <v>1</v>
      </c>
      <c r="O8409">
        <v>1</v>
      </c>
      <c r="P8409">
        <v>1</v>
      </c>
      <c r="Q8409">
        <v>1</v>
      </c>
      <c r="R8409">
        <v>1</v>
      </c>
      <c r="S8409">
        <v>1</v>
      </c>
      <c r="T8409">
        <v>1</v>
      </c>
      <c r="W8409">
        <v>1</v>
      </c>
      <c r="X8409">
        <v>1</v>
      </c>
      <c r="Y8409">
        <v>1</v>
      </c>
      <c r="Z8409">
        <v>1</v>
      </c>
      <c r="AA8409">
        <v>1</v>
      </c>
      <c r="AB8409">
        <v>1</v>
      </c>
    </row>
    <row r="8410" spans="1:49" x14ac:dyDescent="0.25">
      <c r="A8410" t="str">
        <f>"8406"</f>
        <v>8406</v>
      </c>
      <c r="B8410" t="str">
        <f t="shared" si="487"/>
        <v>1</v>
      </c>
      <c r="C8410" t="str">
        <f t="shared" si="490"/>
        <v>371</v>
      </c>
      <c r="D8410" t="str">
        <f>"10"</f>
        <v>10</v>
      </c>
      <c r="E8410" t="str">
        <f>"1-371-10"</f>
        <v>1-371-10</v>
      </c>
      <c r="F8410" t="s">
        <v>83</v>
      </c>
      <c r="G8410" t="s">
        <v>84</v>
      </c>
      <c r="H8410" t="s">
        <v>92</v>
      </c>
      <c r="I8410">
        <v>1</v>
      </c>
      <c r="J8410">
        <v>1</v>
      </c>
      <c r="N8410">
        <v>1</v>
      </c>
      <c r="O8410">
        <v>1</v>
      </c>
      <c r="P8410">
        <v>1</v>
      </c>
      <c r="Q8410">
        <v>1</v>
      </c>
      <c r="R8410">
        <v>1</v>
      </c>
      <c r="S8410">
        <v>1</v>
      </c>
      <c r="T8410">
        <v>1</v>
      </c>
      <c r="W8410">
        <v>1</v>
      </c>
      <c r="X8410">
        <v>1</v>
      </c>
      <c r="Y8410">
        <v>1</v>
      </c>
      <c r="Z8410">
        <v>1</v>
      </c>
      <c r="AA8410">
        <v>1</v>
      </c>
      <c r="AB8410">
        <v>1</v>
      </c>
    </row>
    <row r="8411" spans="1:49" x14ac:dyDescent="0.25">
      <c r="A8411" t="str">
        <f>"8407"</f>
        <v>8407</v>
      </c>
      <c r="B8411" t="str">
        <f t="shared" si="487"/>
        <v>1</v>
      </c>
      <c r="C8411" t="str">
        <f t="shared" si="490"/>
        <v>371</v>
      </c>
      <c r="D8411" t="str">
        <f>"6"</f>
        <v>6</v>
      </c>
      <c r="E8411" t="str">
        <f>"1-371-6"</f>
        <v>1-371-6</v>
      </c>
      <c r="F8411" t="s">
        <v>83</v>
      </c>
      <c r="G8411" t="s">
        <v>84</v>
      </c>
      <c r="H8411" t="s">
        <v>92</v>
      </c>
      <c r="I8411">
        <v>1</v>
      </c>
      <c r="J8411">
        <v>1</v>
      </c>
      <c r="N8411">
        <v>1</v>
      </c>
      <c r="O8411">
        <v>1</v>
      </c>
      <c r="P8411">
        <v>1</v>
      </c>
      <c r="Q8411">
        <v>1</v>
      </c>
      <c r="R8411">
        <v>1</v>
      </c>
      <c r="S8411">
        <v>1</v>
      </c>
      <c r="T8411">
        <v>1</v>
      </c>
      <c r="W8411">
        <v>1</v>
      </c>
      <c r="X8411">
        <v>1</v>
      </c>
      <c r="Y8411">
        <v>0</v>
      </c>
      <c r="Z8411">
        <v>1</v>
      </c>
      <c r="AA8411">
        <v>1</v>
      </c>
      <c r="AB8411">
        <v>1</v>
      </c>
    </row>
    <row r="8412" spans="1:49" x14ac:dyDescent="0.25">
      <c r="A8412" t="str">
        <f>"8408"</f>
        <v>8408</v>
      </c>
      <c r="B8412" t="str">
        <f t="shared" si="487"/>
        <v>1</v>
      </c>
      <c r="C8412" t="str">
        <f t="shared" si="490"/>
        <v>371</v>
      </c>
      <c r="D8412" t="str">
        <f>"20"</f>
        <v>20</v>
      </c>
      <c r="E8412" t="str">
        <f>"1-371-20"</f>
        <v>1-371-20</v>
      </c>
      <c r="F8412" t="s">
        <v>83</v>
      </c>
      <c r="G8412" t="s">
        <v>84</v>
      </c>
      <c r="H8412" t="s">
        <v>92</v>
      </c>
      <c r="I8412">
        <v>1</v>
      </c>
      <c r="J8412">
        <v>1</v>
      </c>
      <c r="N8412">
        <v>1</v>
      </c>
      <c r="O8412">
        <v>1</v>
      </c>
      <c r="P8412">
        <v>1</v>
      </c>
      <c r="Q8412">
        <v>1</v>
      </c>
      <c r="R8412">
        <v>1</v>
      </c>
      <c r="S8412">
        <v>1</v>
      </c>
      <c r="T8412">
        <v>1</v>
      </c>
      <c r="W8412">
        <v>1</v>
      </c>
      <c r="X8412">
        <v>1</v>
      </c>
      <c r="Y8412">
        <v>1</v>
      </c>
      <c r="Z8412">
        <v>1</v>
      </c>
      <c r="AA8412">
        <v>1</v>
      </c>
      <c r="AB8412">
        <v>1</v>
      </c>
    </row>
    <row r="8413" spans="1:49" x14ac:dyDescent="0.25">
      <c r="A8413" t="str">
        <f>"8409"</f>
        <v>8409</v>
      </c>
      <c r="B8413" t="str">
        <f t="shared" si="487"/>
        <v>1</v>
      </c>
      <c r="C8413" t="str">
        <f t="shared" si="490"/>
        <v>371</v>
      </c>
      <c r="D8413" t="str">
        <f>"11"</f>
        <v>11</v>
      </c>
      <c r="E8413" t="str">
        <f>"1-371-11"</f>
        <v>1-371-11</v>
      </c>
      <c r="F8413" t="s">
        <v>83</v>
      </c>
      <c r="G8413" t="s">
        <v>84</v>
      </c>
      <c r="H8413" t="s">
        <v>92</v>
      </c>
      <c r="I8413">
        <v>1</v>
      </c>
      <c r="J8413">
        <v>1</v>
      </c>
      <c r="N8413">
        <v>1</v>
      </c>
      <c r="O8413">
        <v>1</v>
      </c>
      <c r="P8413">
        <v>1</v>
      </c>
      <c r="Q8413">
        <v>1</v>
      </c>
      <c r="R8413">
        <v>1</v>
      </c>
      <c r="S8413">
        <v>1</v>
      </c>
      <c r="T8413">
        <v>1</v>
      </c>
      <c r="W8413">
        <v>1</v>
      </c>
      <c r="X8413">
        <v>1</v>
      </c>
      <c r="Y8413">
        <v>1</v>
      </c>
      <c r="Z8413">
        <v>1</v>
      </c>
      <c r="AA8413">
        <v>1</v>
      </c>
      <c r="AB8413">
        <v>1</v>
      </c>
    </row>
    <row r="8414" spans="1:49" x14ac:dyDescent="0.25">
      <c r="A8414" t="str">
        <f>"8410"</f>
        <v>8410</v>
      </c>
      <c r="B8414" t="str">
        <f t="shared" ref="B8414:B8477" si="491">"1"</f>
        <v>1</v>
      </c>
      <c r="C8414" t="str">
        <f t="shared" si="490"/>
        <v>371</v>
      </c>
      <c r="D8414" t="str">
        <f>"5"</f>
        <v>5</v>
      </c>
      <c r="E8414" t="str">
        <f>"1-371-5"</f>
        <v>1-371-5</v>
      </c>
      <c r="F8414" t="s">
        <v>83</v>
      </c>
      <c r="G8414" t="s">
        <v>84</v>
      </c>
      <c r="H8414" t="s">
        <v>85</v>
      </c>
      <c r="AC8414">
        <v>0</v>
      </c>
      <c r="AD8414">
        <v>1</v>
      </c>
      <c r="AE8414">
        <v>0</v>
      </c>
      <c r="AF8414">
        <v>0</v>
      </c>
      <c r="AG8414">
        <v>1</v>
      </c>
      <c r="AJ8414">
        <v>0</v>
      </c>
      <c r="AK8414">
        <v>1</v>
      </c>
      <c r="AL8414">
        <v>0</v>
      </c>
      <c r="AM8414">
        <v>1</v>
      </c>
      <c r="AN8414">
        <v>0</v>
      </c>
      <c r="AO8414">
        <v>1</v>
      </c>
      <c r="AP8414">
        <v>1</v>
      </c>
      <c r="AQ8414">
        <v>1</v>
      </c>
      <c r="AR8414">
        <v>1</v>
      </c>
      <c r="AS8414">
        <v>0</v>
      </c>
      <c r="AT8414">
        <v>1</v>
      </c>
      <c r="AV8414">
        <v>1</v>
      </c>
      <c r="AW8414">
        <v>1</v>
      </c>
    </row>
    <row r="8415" spans="1:49" x14ac:dyDescent="0.25">
      <c r="A8415" t="str">
        <f>"8411"</f>
        <v>8411</v>
      </c>
      <c r="B8415" t="str">
        <f t="shared" si="491"/>
        <v>1</v>
      </c>
      <c r="C8415" t="str">
        <f t="shared" si="490"/>
        <v>371</v>
      </c>
      <c r="D8415" t="str">
        <f>"21"</f>
        <v>21</v>
      </c>
      <c r="E8415" t="str">
        <f>"1-371-21"</f>
        <v>1-371-21</v>
      </c>
      <c r="F8415" t="s">
        <v>83</v>
      </c>
      <c r="G8415" t="s">
        <v>84</v>
      </c>
      <c r="H8415" t="s">
        <v>85</v>
      </c>
      <c r="AC8415">
        <v>1</v>
      </c>
      <c r="AD8415">
        <v>0</v>
      </c>
      <c r="AE8415">
        <v>0</v>
      </c>
      <c r="AF8415">
        <v>0</v>
      </c>
      <c r="AG8415">
        <v>1</v>
      </c>
      <c r="AJ8415">
        <v>0</v>
      </c>
      <c r="AK8415">
        <v>1</v>
      </c>
      <c r="AL8415">
        <v>0</v>
      </c>
      <c r="AM8415">
        <v>0</v>
      </c>
      <c r="AN8415">
        <v>1</v>
      </c>
      <c r="AO8415">
        <v>1</v>
      </c>
      <c r="AP8415">
        <v>1</v>
      </c>
      <c r="AQ8415">
        <v>1</v>
      </c>
      <c r="AR8415">
        <v>1</v>
      </c>
      <c r="AS8415">
        <v>1</v>
      </c>
      <c r="AT8415">
        <v>0</v>
      </c>
      <c r="AV8415">
        <v>1</v>
      </c>
      <c r="AW8415">
        <v>1</v>
      </c>
    </row>
    <row r="8416" spans="1:49" x14ac:dyDescent="0.25">
      <c r="A8416" t="str">
        <f>"8412"</f>
        <v>8412</v>
      </c>
      <c r="B8416" t="str">
        <f t="shared" si="491"/>
        <v>1</v>
      </c>
      <c r="C8416" t="str">
        <f t="shared" si="490"/>
        <v>371</v>
      </c>
      <c r="D8416" t="str">
        <f>"13"</f>
        <v>13</v>
      </c>
      <c r="E8416" t="str">
        <f>"1-371-13"</f>
        <v>1-371-13</v>
      </c>
      <c r="F8416" t="s">
        <v>83</v>
      </c>
      <c r="G8416" t="s">
        <v>84</v>
      </c>
      <c r="H8416" t="s">
        <v>92</v>
      </c>
      <c r="I8416">
        <v>1</v>
      </c>
      <c r="J8416">
        <v>1</v>
      </c>
      <c r="N8416">
        <v>1</v>
      </c>
      <c r="O8416">
        <v>1</v>
      </c>
      <c r="P8416">
        <v>1</v>
      </c>
      <c r="Q8416">
        <v>1</v>
      </c>
      <c r="R8416">
        <v>1</v>
      </c>
      <c r="S8416">
        <v>1</v>
      </c>
      <c r="T8416">
        <v>1</v>
      </c>
      <c r="W8416">
        <v>1</v>
      </c>
      <c r="X8416">
        <v>1</v>
      </c>
      <c r="Y8416">
        <v>1</v>
      </c>
      <c r="Z8416">
        <v>1</v>
      </c>
      <c r="AA8416">
        <v>1</v>
      </c>
      <c r="AB8416">
        <v>1</v>
      </c>
    </row>
    <row r="8417" spans="1:49" x14ac:dyDescent="0.25">
      <c r="A8417" t="str">
        <f>"8413"</f>
        <v>8413</v>
      </c>
      <c r="B8417" t="str">
        <f t="shared" si="491"/>
        <v>1</v>
      </c>
      <c r="C8417" t="str">
        <f t="shared" si="490"/>
        <v>371</v>
      </c>
      <c r="D8417" t="str">
        <f>"1"</f>
        <v>1</v>
      </c>
      <c r="E8417" t="str">
        <f>"1-371-1"</f>
        <v>1-371-1</v>
      </c>
      <c r="F8417" t="s">
        <v>83</v>
      </c>
      <c r="G8417" t="s">
        <v>84</v>
      </c>
      <c r="H8417" t="s">
        <v>85</v>
      </c>
      <c r="AC8417">
        <v>1</v>
      </c>
      <c r="AD8417">
        <v>0</v>
      </c>
      <c r="AE8417">
        <v>0</v>
      </c>
      <c r="AF8417">
        <v>0</v>
      </c>
      <c r="AG8417">
        <v>0</v>
      </c>
      <c r="AJ8417">
        <v>1</v>
      </c>
      <c r="AK8417">
        <v>0</v>
      </c>
      <c r="AL8417">
        <v>0</v>
      </c>
      <c r="AM8417">
        <v>1</v>
      </c>
      <c r="AN8417">
        <v>0</v>
      </c>
      <c r="AO8417">
        <v>0</v>
      </c>
      <c r="AP8417">
        <v>0</v>
      </c>
      <c r="AQ8417">
        <v>0</v>
      </c>
      <c r="AR8417">
        <v>0</v>
      </c>
      <c r="AS8417">
        <v>0</v>
      </c>
      <c r="AT8417">
        <v>1</v>
      </c>
      <c r="AV8417">
        <v>0</v>
      </c>
      <c r="AW8417">
        <v>0</v>
      </c>
    </row>
    <row r="8418" spans="1:49" x14ac:dyDescent="0.25">
      <c r="A8418" t="str">
        <f>"8414"</f>
        <v>8414</v>
      </c>
      <c r="B8418" t="str">
        <f t="shared" si="491"/>
        <v>1</v>
      </c>
      <c r="C8418" t="str">
        <f t="shared" si="490"/>
        <v>371</v>
      </c>
      <c r="D8418" t="str">
        <f>"16"</f>
        <v>16</v>
      </c>
      <c r="E8418" t="str">
        <f>"1-371-16"</f>
        <v>1-371-16</v>
      </c>
      <c r="F8418" t="s">
        <v>83</v>
      </c>
      <c r="G8418" t="s">
        <v>84</v>
      </c>
      <c r="H8418" t="s">
        <v>85</v>
      </c>
      <c r="AC8418">
        <v>1</v>
      </c>
      <c r="AD8418">
        <v>0</v>
      </c>
      <c r="AE8418">
        <v>0</v>
      </c>
      <c r="AF8418">
        <v>0</v>
      </c>
      <c r="AG8418">
        <v>1</v>
      </c>
      <c r="AJ8418">
        <v>1</v>
      </c>
      <c r="AK8418">
        <v>0</v>
      </c>
      <c r="AL8418">
        <v>0</v>
      </c>
      <c r="AM8418">
        <v>1</v>
      </c>
      <c r="AN8418">
        <v>0</v>
      </c>
      <c r="AO8418">
        <v>1</v>
      </c>
      <c r="AP8418">
        <v>1</v>
      </c>
      <c r="AQ8418">
        <v>1</v>
      </c>
      <c r="AR8418">
        <v>1</v>
      </c>
      <c r="AS8418">
        <v>1</v>
      </c>
      <c r="AT8418">
        <v>0</v>
      </c>
      <c r="AV8418">
        <v>1</v>
      </c>
      <c r="AW8418">
        <v>1</v>
      </c>
    </row>
    <row r="8419" spans="1:49" x14ac:dyDescent="0.25">
      <c r="A8419" t="str">
        <f>"8415"</f>
        <v>8415</v>
      </c>
      <c r="B8419" t="str">
        <f t="shared" si="491"/>
        <v>1</v>
      </c>
      <c r="C8419" t="str">
        <f t="shared" si="490"/>
        <v>371</v>
      </c>
      <c r="D8419" t="str">
        <f>"3"</f>
        <v>3</v>
      </c>
      <c r="E8419" t="str">
        <f>"1-371-3"</f>
        <v>1-371-3</v>
      </c>
      <c r="F8419" t="s">
        <v>83</v>
      </c>
      <c r="G8419" t="s">
        <v>84</v>
      </c>
      <c r="H8419" t="s">
        <v>85</v>
      </c>
      <c r="AC8419">
        <v>1</v>
      </c>
      <c r="AD8419">
        <v>0</v>
      </c>
      <c r="AE8419">
        <v>0</v>
      </c>
      <c r="AF8419">
        <v>0</v>
      </c>
      <c r="AG8419">
        <v>0</v>
      </c>
      <c r="AJ8419">
        <v>1</v>
      </c>
      <c r="AK8419">
        <v>0</v>
      </c>
      <c r="AL8419">
        <v>1</v>
      </c>
      <c r="AM8419">
        <v>0</v>
      </c>
      <c r="AN8419">
        <v>0</v>
      </c>
      <c r="AO8419">
        <v>0</v>
      </c>
      <c r="AP8419">
        <v>0</v>
      </c>
      <c r="AQ8419">
        <v>0</v>
      </c>
      <c r="AR8419">
        <v>0</v>
      </c>
      <c r="AS8419">
        <v>1</v>
      </c>
      <c r="AT8419">
        <v>0</v>
      </c>
      <c r="AV8419">
        <v>0</v>
      </c>
      <c r="AW8419">
        <v>0</v>
      </c>
    </row>
    <row r="8420" spans="1:49" x14ac:dyDescent="0.25">
      <c r="A8420" t="str">
        <f>"8416"</f>
        <v>8416</v>
      </c>
      <c r="B8420" t="str">
        <f t="shared" si="491"/>
        <v>1</v>
      </c>
      <c r="C8420" t="str">
        <f t="shared" si="490"/>
        <v>371</v>
      </c>
      <c r="D8420" t="str">
        <f>"17"</f>
        <v>17</v>
      </c>
      <c r="E8420" t="str">
        <f>"1-371-17"</f>
        <v>1-371-17</v>
      </c>
      <c r="F8420" t="s">
        <v>83</v>
      </c>
      <c r="G8420" t="s">
        <v>84</v>
      </c>
      <c r="H8420" t="s">
        <v>85</v>
      </c>
      <c r="AC8420">
        <v>0</v>
      </c>
      <c r="AD8420">
        <v>1</v>
      </c>
      <c r="AE8420">
        <v>0</v>
      </c>
      <c r="AF8420">
        <v>0</v>
      </c>
      <c r="AG8420">
        <v>0</v>
      </c>
      <c r="AJ8420">
        <v>0</v>
      </c>
      <c r="AK8420">
        <v>1</v>
      </c>
      <c r="AL8420">
        <v>0</v>
      </c>
      <c r="AM8420">
        <v>0</v>
      </c>
      <c r="AN8420">
        <v>1</v>
      </c>
      <c r="AO8420">
        <v>0</v>
      </c>
      <c r="AP8420">
        <v>0</v>
      </c>
      <c r="AQ8420">
        <v>0</v>
      </c>
      <c r="AR8420">
        <v>0</v>
      </c>
      <c r="AS8420">
        <v>1</v>
      </c>
      <c r="AT8420">
        <v>0</v>
      </c>
      <c r="AV8420">
        <v>0</v>
      </c>
      <c r="AW8420">
        <v>1</v>
      </c>
    </row>
    <row r="8421" spans="1:49" x14ac:dyDescent="0.25">
      <c r="A8421" t="str">
        <f>"8417"</f>
        <v>8417</v>
      </c>
      <c r="B8421" t="str">
        <f t="shared" si="491"/>
        <v>1</v>
      </c>
      <c r="C8421" t="str">
        <f t="shared" si="490"/>
        <v>371</v>
      </c>
      <c r="D8421" t="str">
        <f>"7"</f>
        <v>7</v>
      </c>
      <c r="E8421" t="str">
        <f>"1-371-7"</f>
        <v>1-371-7</v>
      </c>
      <c r="F8421" t="s">
        <v>83</v>
      </c>
      <c r="G8421" t="s">
        <v>84</v>
      </c>
      <c r="H8421" t="s">
        <v>85</v>
      </c>
      <c r="AC8421">
        <v>0</v>
      </c>
      <c r="AD8421">
        <v>1</v>
      </c>
      <c r="AE8421">
        <v>0</v>
      </c>
      <c r="AF8421">
        <v>0</v>
      </c>
      <c r="AG8421">
        <v>0</v>
      </c>
      <c r="AJ8421">
        <v>0</v>
      </c>
      <c r="AK8421">
        <v>1</v>
      </c>
      <c r="AL8421">
        <v>0</v>
      </c>
      <c r="AM8421">
        <v>1</v>
      </c>
      <c r="AN8421">
        <v>0</v>
      </c>
      <c r="AO8421">
        <v>0</v>
      </c>
      <c r="AP8421">
        <v>0</v>
      </c>
      <c r="AQ8421">
        <v>0</v>
      </c>
      <c r="AR8421">
        <v>1</v>
      </c>
      <c r="AS8421">
        <v>0</v>
      </c>
      <c r="AT8421">
        <v>1</v>
      </c>
      <c r="AV8421">
        <v>0</v>
      </c>
      <c r="AW8421">
        <v>1</v>
      </c>
    </row>
    <row r="8422" spans="1:49" x14ac:dyDescent="0.25">
      <c r="A8422" t="str">
        <f>"8418"</f>
        <v>8418</v>
      </c>
      <c r="B8422" t="str">
        <f t="shared" si="491"/>
        <v>1</v>
      </c>
      <c r="C8422" t="str">
        <f t="shared" ref="C8422:C8441" si="492">"372"</f>
        <v>372</v>
      </c>
      <c r="D8422" t="str">
        <f>"17"</f>
        <v>17</v>
      </c>
      <c r="E8422" t="str">
        <f>"1-372-17"</f>
        <v>1-372-17</v>
      </c>
      <c r="F8422" t="s">
        <v>83</v>
      </c>
      <c r="G8422" t="s">
        <v>84</v>
      </c>
      <c r="H8422" t="s">
        <v>85</v>
      </c>
      <c r="AC8422">
        <v>0</v>
      </c>
      <c r="AD8422">
        <v>1</v>
      </c>
      <c r="AE8422">
        <v>0</v>
      </c>
      <c r="AF8422">
        <v>0</v>
      </c>
      <c r="AG8422">
        <v>0</v>
      </c>
      <c r="AJ8422">
        <v>0</v>
      </c>
      <c r="AK8422">
        <v>1</v>
      </c>
      <c r="AL8422">
        <v>0</v>
      </c>
      <c r="AM8422">
        <v>1</v>
      </c>
      <c r="AN8422">
        <v>0</v>
      </c>
      <c r="AO8422">
        <v>0</v>
      </c>
      <c r="AP8422">
        <v>0</v>
      </c>
      <c r="AQ8422">
        <v>0</v>
      </c>
      <c r="AR8422">
        <v>0</v>
      </c>
      <c r="AS8422">
        <v>0</v>
      </c>
      <c r="AT8422">
        <v>1</v>
      </c>
      <c r="AV8422">
        <v>0</v>
      </c>
      <c r="AW8422">
        <v>0</v>
      </c>
    </row>
    <row r="8423" spans="1:49" x14ac:dyDescent="0.25">
      <c r="A8423" t="str">
        <f>"8419"</f>
        <v>8419</v>
      </c>
      <c r="B8423" t="str">
        <f t="shared" si="491"/>
        <v>1</v>
      </c>
      <c r="C8423" t="str">
        <f t="shared" si="492"/>
        <v>372</v>
      </c>
      <c r="D8423" t="str">
        <f>"16"</f>
        <v>16</v>
      </c>
      <c r="E8423" t="str">
        <f>"1-372-16"</f>
        <v>1-372-16</v>
      </c>
      <c r="F8423" t="s">
        <v>83</v>
      </c>
      <c r="G8423" t="s">
        <v>86</v>
      </c>
      <c r="H8423" t="s">
        <v>87</v>
      </c>
      <c r="AC8423">
        <v>1</v>
      </c>
      <c r="AD8423">
        <v>0</v>
      </c>
      <c r="AE8423">
        <v>0</v>
      </c>
      <c r="AF8423">
        <v>0</v>
      </c>
      <c r="AH8423">
        <v>1</v>
      </c>
      <c r="AI8423">
        <v>0</v>
      </c>
      <c r="AJ8423">
        <v>1</v>
      </c>
      <c r="AK8423">
        <v>0</v>
      </c>
      <c r="AL8423">
        <v>1</v>
      </c>
      <c r="AM8423">
        <v>0</v>
      </c>
      <c r="AN8423">
        <v>0</v>
      </c>
      <c r="AO8423">
        <v>1</v>
      </c>
      <c r="AP8423">
        <v>1</v>
      </c>
      <c r="AQ8423">
        <v>1</v>
      </c>
      <c r="AU8423">
        <v>1</v>
      </c>
      <c r="AV8423">
        <v>1</v>
      </c>
      <c r="AW8423">
        <v>1</v>
      </c>
    </row>
    <row r="8424" spans="1:49" x14ac:dyDescent="0.25">
      <c r="A8424" t="str">
        <f>"8420"</f>
        <v>8420</v>
      </c>
      <c r="B8424" t="str">
        <f t="shared" si="491"/>
        <v>1</v>
      </c>
      <c r="C8424" t="str">
        <f t="shared" si="492"/>
        <v>372</v>
      </c>
      <c r="D8424" t="str">
        <f>"13"</f>
        <v>13</v>
      </c>
      <c r="E8424" t="str">
        <f>"1-372-13"</f>
        <v>1-372-13</v>
      </c>
      <c r="F8424" t="s">
        <v>83</v>
      </c>
      <c r="G8424" t="s">
        <v>86</v>
      </c>
      <c r="H8424" t="s">
        <v>93</v>
      </c>
      <c r="I8424">
        <v>1</v>
      </c>
      <c r="K8424">
        <v>0</v>
      </c>
      <c r="L8424">
        <v>0</v>
      </c>
      <c r="M8424">
        <v>1</v>
      </c>
      <c r="N8424">
        <v>1</v>
      </c>
      <c r="O8424">
        <v>1</v>
      </c>
      <c r="P8424">
        <v>1</v>
      </c>
      <c r="Q8424">
        <v>1</v>
      </c>
      <c r="R8424">
        <v>1</v>
      </c>
      <c r="U8424">
        <v>0</v>
      </c>
      <c r="V8424">
        <v>1</v>
      </c>
      <c r="W8424">
        <v>1</v>
      </c>
      <c r="X8424">
        <v>1</v>
      </c>
      <c r="Y8424">
        <v>1</v>
      </c>
      <c r="Z8424">
        <v>1</v>
      </c>
      <c r="AA8424">
        <v>1</v>
      </c>
      <c r="AB8424">
        <v>1</v>
      </c>
    </row>
    <row r="8425" spans="1:49" x14ac:dyDescent="0.25">
      <c r="A8425" t="str">
        <f>"8421"</f>
        <v>8421</v>
      </c>
      <c r="B8425" t="str">
        <f t="shared" si="491"/>
        <v>1</v>
      </c>
      <c r="C8425" t="str">
        <f t="shared" si="492"/>
        <v>372</v>
      </c>
      <c r="D8425" t="str">
        <f>"8"</f>
        <v>8</v>
      </c>
      <c r="E8425" t="str">
        <f>"1-372-8"</f>
        <v>1-372-8</v>
      </c>
      <c r="F8425" t="s">
        <v>83</v>
      </c>
      <c r="G8425" t="s">
        <v>84</v>
      </c>
      <c r="H8425" t="s">
        <v>92</v>
      </c>
      <c r="I8425">
        <v>0</v>
      </c>
      <c r="J8425">
        <v>0</v>
      </c>
      <c r="N8425">
        <v>1</v>
      </c>
      <c r="O8425">
        <v>0</v>
      </c>
      <c r="P8425">
        <v>1</v>
      </c>
      <c r="Q8425">
        <v>1</v>
      </c>
      <c r="R8425">
        <v>0</v>
      </c>
      <c r="S8425">
        <v>0</v>
      </c>
      <c r="T8425">
        <v>0</v>
      </c>
      <c r="W8425">
        <v>0</v>
      </c>
      <c r="X8425">
        <v>0</v>
      </c>
      <c r="Y8425">
        <v>1</v>
      </c>
      <c r="Z8425">
        <v>0</v>
      </c>
      <c r="AA8425">
        <v>1</v>
      </c>
      <c r="AB8425">
        <v>1</v>
      </c>
    </row>
    <row r="8426" spans="1:49" x14ac:dyDescent="0.25">
      <c r="A8426" t="str">
        <f>"8422"</f>
        <v>8422</v>
      </c>
      <c r="B8426" t="str">
        <f t="shared" si="491"/>
        <v>1</v>
      </c>
      <c r="C8426" t="str">
        <f t="shared" si="492"/>
        <v>372</v>
      </c>
      <c r="D8426" t="str">
        <f>"4"</f>
        <v>4</v>
      </c>
      <c r="E8426" t="str">
        <f>"1-372-4"</f>
        <v>1-372-4</v>
      </c>
      <c r="F8426" t="s">
        <v>83</v>
      </c>
      <c r="G8426" t="s">
        <v>84</v>
      </c>
      <c r="H8426" t="s">
        <v>92</v>
      </c>
      <c r="I8426">
        <v>1</v>
      </c>
      <c r="J8426">
        <v>1</v>
      </c>
      <c r="N8426">
        <v>1</v>
      </c>
      <c r="O8426">
        <v>1</v>
      </c>
      <c r="P8426">
        <v>1</v>
      </c>
      <c r="Q8426">
        <v>1</v>
      </c>
      <c r="R8426">
        <v>0</v>
      </c>
      <c r="S8426">
        <v>1</v>
      </c>
      <c r="T8426">
        <v>0</v>
      </c>
      <c r="W8426">
        <v>1</v>
      </c>
      <c r="X8426">
        <v>1</v>
      </c>
      <c r="Y8426">
        <v>1</v>
      </c>
      <c r="Z8426">
        <v>1</v>
      </c>
      <c r="AA8426">
        <v>1</v>
      </c>
      <c r="AB8426">
        <v>1</v>
      </c>
    </row>
    <row r="8427" spans="1:49" x14ac:dyDescent="0.25">
      <c r="A8427" t="str">
        <f>"8423"</f>
        <v>8423</v>
      </c>
      <c r="B8427" t="str">
        <f t="shared" si="491"/>
        <v>1</v>
      </c>
      <c r="C8427" t="str">
        <f t="shared" si="492"/>
        <v>372</v>
      </c>
      <c r="D8427" t="str">
        <f>"18"</f>
        <v>18</v>
      </c>
      <c r="E8427" t="str">
        <f>"1-372-18"</f>
        <v>1-372-18</v>
      </c>
      <c r="F8427" t="s">
        <v>83</v>
      </c>
      <c r="G8427" t="s">
        <v>84</v>
      </c>
      <c r="H8427" t="s">
        <v>92</v>
      </c>
      <c r="I8427">
        <v>1</v>
      </c>
      <c r="J8427">
        <v>1</v>
      </c>
      <c r="N8427">
        <v>1</v>
      </c>
      <c r="O8427">
        <v>1</v>
      </c>
      <c r="P8427">
        <v>1</v>
      </c>
      <c r="Q8427">
        <v>1</v>
      </c>
      <c r="R8427">
        <v>1</v>
      </c>
      <c r="S8427">
        <v>1</v>
      </c>
      <c r="T8427">
        <v>1</v>
      </c>
      <c r="W8427">
        <v>1</v>
      </c>
      <c r="X8427">
        <v>1</v>
      </c>
      <c r="Y8427">
        <v>1</v>
      </c>
      <c r="Z8427">
        <v>1</v>
      </c>
      <c r="AA8427">
        <v>1</v>
      </c>
      <c r="AB8427">
        <v>1</v>
      </c>
    </row>
    <row r="8428" spans="1:49" x14ac:dyDescent="0.25">
      <c r="A8428" t="str">
        <f>"8424"</f>
        <v>8424</v>
      </c>
      <c r="B8428" t="str">
        <f t="shared" si="491"/>
        <v>1</v>
      </c>
      <c r="C8428" t="str">
        <f t="shared" si="492"/>
        <v>372</v>
      </c>
      <c r="D8428" t="str">
        <f>"9"</f>
        <v>9</v>
      </c>
      <c r="E8428" t="str">
        <f>"1-372-9"</f>
        <v>1-372-9</v>
      </c>
      <c r="F8428" t="s">
        <v>83</v>
      </c>
      <c r="G8428" t="s">
        <v>84</v>
      </c>
      <c r="H8428" t="s">
        <v>85</v>
      </c>
      <c r="AC8428">
        <v>0</v>
      </c>
      <c r="AD8428">
        <v>1</v>
      </c>
      <c r="AE8428">
        <v>0</v>
      </c>
      <c r="AF8428">
        <v>0</v>
      </c>
      <c r="AG8428">
        <v>1</v>
      </c>
      <c r="AJ8428">
        <v>0</v>
      </c>
      <c r="AK8428">
        <v>1</v>
      </c>
      <c r="AL8428">
        <v>0</v>
      </c>
      <c r="AM8428">
        <v>1</v>
      </c>
      <c r="AN8428">
        <v>0</v>
      </c>
      <c r="AO8428">
        <v>1</v>
      </c>
      <c r="AP8428">
        <v>1</v>
      </c>
      <c r="AQ8428">
        <v>1</v>
      </c>
      <c r="AR8428">
        <v>1</v>
      </c>
      <c r="AS8428">
        <v>0</v>
      </c>
      <c r="AT8428">
        <v>1</v>
      </c>
      <c r="AV8428">
        <v>1</v>
      </c>
      <c r="AW8428">
        <v>1</v>
      </c>
    </row>
    <row r="8429" spans="1:49" x14ac:dyDescent="0.25">
      <c r="A8429" t="str">
        <f>"8425"</f>
        <v>8425</v>
      </c>
      <c r="B8429" t="str">
        <f t="shared" si="491"/>
        <v>1</v>
      </c>
      <c r="C8429" t="str">
        <f t="shared" si="492"/>
        <v>372</v>
      </c>
      <c r="D8429" t="str">
        <f>"7"</f>
        <v>7</v>
      </c>
      <c r="E8429" t="str">
        <f>"1-372-7"</f>
        <v>1-372-7</v>
      </c>
      <c r="F8429" t="s">
        <v>83</v>
      </c>
      <c r="G8429" t="s">
        <v>84</v>
      </c>
      <c r="H8429" t="s">
        <v>92</v>
      </c>
      <c r="I8429">
        <v>1</v>
      </c>
      <c r="J8429">
        <v>1</v>
      </c>
      <c r="N8429">
        <v>1</v>
      </c>
      <c r="O8429">
        <v>1</v>
      </c>
      <c r="P8429">
        <v>1</v>
      </c>
      <c r="Q8429">
        <v>1</v>
      </c>
      <c r="R8429">
        <v>1</v>
      </c>
      <c r="S8429">
        <v>1</v>
      </c>
      <c r="T8429">
        <v>1</v>
      </c>
      <c r="W8429">
        <v>1</v>
      </c>
      <c r="X8429">
        <v>1</v>
      </c>
      <c r="Y8429">
        <v>1</v>
      </c>
      <c r="Z8429">
        <v>1</v>
      </c>
      <c r="AA8429">
        <v>1</v>
      </c>
      <c r="AB8429">
        <v>1</v>
      </c>
    </row>
    <row r="8430" spans="1:49" x14ac:dyDescent="0.25">
      <c r="A8430" t="str">
        <f>"8426"</f>
        <v>8426</v>
      </c>
      <c r="B8430" t="str">
        <f t="shared" si="491"/>
        <v>1</v>
      </c>
      <c r="C8430" t="str">
        <f t="shared" si="492"/>
        <v>372</v>
      </c>
      <c r="D8430" t="str">
        <f>"19"</f>
        <v>19</v>
      </c>
      <c r="E8430" t="str">
        <f>"1-372-19"</f>
        <v>1-372-19</v>
      </c>
      <c r="F8430" t="s">
        <v>83</v>
      </c>
      <c r="G8430" t="s">
        <v>84</v>
      </c>
      <c r="H8430" t="s">
        <v>85</v>
      </c>
      <c r="AC8430">
        <v>1</v>
      </c>
      <c r="AD8430">
        <v>0</v>
      </c>
      <c r="AE8430">
        <v>0</v>
      </c>
      <c r="AF8430">
        <v>0</v>
      </c>
      <c r="AG8430">
        <v>0</v>
      </c>
      <c r="AJ8430">
        <v>1</v>
      </c>
      <c r="AK8430">
        <v>0</v>
      </c>
      <c r="AL8430">
        <v>1</v>
      </c>
      <c r="AM8430">
        <v>0</v>
      </c>
      <c r="AN8430">
        <v>0</v>
      </c>
      <c r="AO8430">
        <v>0</v>
      </c>
      <c r="AP8430">
        <v>0</v>
      </c>
      <c r="AQ8430">
        <v>0</v>
      </c>
      <c r="AR8430">
        <v>0</v>
      </c>
      <c r="AS8430">
        <v>0</v>
      </c>
      <c r="AT8430">
        <v>0</v>
      </c>
      <c r="AV8430">
        <v>0</v>
      </c>
      <c r="AW8430">
        <v>0</v>
      </c>
    </row>
    <row r="8431" spans="1:49" x14ac:dyDescent="0.25">
      <c r="A8431" t="str">
        <f>"8427"</f>
        <v>8427</v>
      </c>
      <c r="B8431" t="str">
        <f t="shared" si="491"/>
        <v>1</v>
      </c>
      <c r="C8431" t="str">
        <f t="shared" si="492"/>
        <v>372</v>
      </c>
      <c r="D8431" t="str">
        <f>"10"</f>
        <v>10</v>
      </c>
      <c r="E8431" t="str">
        <f>"1-372-10"</f>
        <v>1-372-10</v>
      </c>
      <c r="F8431" t="s">
        <v>83</v>
      </c>
      <c r="G8431" t="s">
        <v>86</v>
      </c>
      <c r="H8431" t="s">
        <v>93</v>
      </c>
      <c r="I8431">
        <v>1</v>
      </c>
      <c r="K8431">
        <v>0</v>
      </c>
      <c r="L8431">
        <v>0</v>
      </c>
      <c r="M8431">
        <v>1</v>
      </c>
      <c r="N8431">
        <v>1</v>
      </c>
      <c r="O8431">
        <v>1</v>
      </c>
      <c r="P8431">
        <v>1</v>
      </c>
      <c r="Q8431">
        <v>1</v>
      </c>
      <c r="R8431">
        <v>1</v>
      </c>
      <c r="U8431">
        <v>1</v>
      </c>
      <c r="V8431">
        <v>0</v>
      </c>
      <c r="W8431">
        <v>1</v>
      </c>
      <c r="X8431">
        <v>1</v>
      </c>
      <c r="Y8431">
        <v>1</v>
      </c>
      <c r="Z8431">
        <v>1</v>
      </c>
      <c r="AA8431">
        <v>1</v>
      </c>
      <c r="AB8431">
        <v>1</v>
      </c>
    </row>
    <row r="8432" spans="1:49" x14ac:dyDescent="0.25">
      <c r="A8432" t="str">
        <f>"8428"</f>
        <v>8428</v>
      </c>
      <c r="B8432" t="str">
        <f t="shared" si="491"/>
        <v>1</v>
      </c>
      <c r="C8432" t="str">
        <f t="shared" si="492"/>
        <v>372</v>
      </c>
      <c r="D8432" t="str">
        <f>"2"</f>
        <v>2</v>
      </c>
      <c r="E8432" t="str">
        <f>"1-372-2"</f>
        <v>1-372-2</v>
      </c>
      <c r="F8432" t="s">
        <v>83</v>
      </c>
      <c r="G8432" t="s">
        <v>84</v>
      </c>
      <c r="H8432" t="s">
        <v>92</v>
      </c>
      <c r="I8432">
        <v>1</v>
      </c>
      <c r="J8432">
        <v>1</v>
      </c>
      <c r="N8432">
        <v>1</v>
      </c>
      <c r="O8432">
        <v>1</v>
      </c>
      <c r="P8432">
        <v>1</v>
      </c>
      <c r="Q8432">
        <v>1</v>
      </c>
      <c r="R8432">
        <v>1</v>
      </c>
      <c r="S8432">
        <v>1</v>
      </c>
      <c r="T8432">
        <v>1</v>
      </c>
      <c r="W8432">
        <v>1</v>
      </c>
      <c r="X8432">
        <v>1</v>
      </c>
      <c r="Y8432">
        <v>1</v>
      </c>
      <c r="Z8432">
        <v>0</v>
      </c>
      <c r="AA8432">
        <v>1</v>
      </c>
      <c r="AB8432">
        <v>1</v>
      </c>
    </row>
    <row r="8433" spans="1:49" x14ac:dyDescent="0.25">
      <c r="A8433" t="str">
        <f>"8429"</f>
        <v>8429</v>
      </c>
      <c r="B8433" t="str">
        <f t="shared" si="491"/>
        <v>1</v>
      </c>
      <c r="C8433" t="str">
        <f t="shared" si="492"/>
        <v>372</v>
      </c>
      <c r="D8433" t="str">
        <f>"11"</f>
        <v>11</v>
      </c>
      <c r="E8433" t="str">
        <f>"1-372-11"</f>
        <v>1-372-11</v>
      </c>
      <c r="F8433" t="s">
        <v>83</v>
      </c>
      <c r="G8433" t="s">
        <v>86</v>
      </c>
      <c r="H8433" t="s">
        <v>93</v>
      </c>
      <c r="I8433">
        <v>1</v>
      </c>
      <c r="K8433">
        <v>0</v>
      </c>
      <c r="L8433">
        <v>0</v>
      </c>
      <c r="M8433">
        <v>1</v>
      </c>
      <c r="N8433">
        <v>1</v>
      </c>
      <c r="O8433">
        <v>1</v>
      </c>
      <c r="P8433">
        <v>1</v>
      </c>
      <c r="Q8433">
        <v>1</v>
      </c>
      <c r="R8433">
        <v>1</v>
      </c>
      <c r="U8433">
        <v>0</v>
      </c>
      <c r="V8433">
        <v>1</v>
      </c>
      <c r="W8433">
        <v>1</v>
      </c>
      <c r="X8433">
        <v>1</v>
      </c>
      <c r="Y8433">
        <v>1</v>
      </c>
      <c r="Z8433">
        <v>1</v>
      </c>
      <c r="AA8433">
        <v>1</v>
      </c>
      <c r="AB8433">
        <v>1</v>
      </c>
    </row>
    <row r="8434" spans="1:49" x14ac:dyDescent="0.25">
      <c r="A8434" t="str">
        <f>"8430"</f>
        <v>8430</v>
      </c>
      <c r="B8434" t="str">
        <f t="shared" si="491"/>
        <v>1</v>
      </c>
      <c r="C8434" t="str">
        <f t="shared" si="492"/>
        <v>372</v>
      </c>
      <c r="D8434" t="str">
        <f>"1"</f>
        <v>1</v>
      </c>
      <c r="E8434" t="str">
        <f>"1-372-1"</f>
        <v>1-372-1</v>
      </c>
      <c r="F8434" t="s">
        <v>83</v>
      </c>
      <c r="G8434" t="s">
        <v>84</v>
      </c>
      <c r="H8434" t="s">
        <v>92</v>
      </c>
      <c r="I8434">
        <v>1</v>
      </c>
      <c r="J8434">
        <v>1</v>
      </c>
      <c r="N8434">
        <v>1</v>
      </c>
      <c r="O8434">
        <v>1</v>
      </c>
      <c r="P8434">
        <v>1</v>
      </c>
      <c r="Q8434">
        <v>1</v>
      </c>
      <c r="R8434">
        <v>1</v>
      </c>
      <c r="S8434">
        <v>1</v>
      </c>
      <c r="T8434">
        <v>1</v>
      </c>
      <c r="W8434">
        <v>1</v>
      </c>
      <c r="X8434">
        <v>1</v>
      </c>
      <c r="Y8434">
        <v>1</v>
      </c>
      <c r="Z8434">
        <v>1</v>
      </c>
      <c r="AA8434">
        <v>1</v>
      </c>
      <c r="AB8434">
        <v>1</v>
      </c>
    </row>
    <row r="8435" spans="1:49" x14ac:dyDescent="0.25">
      <c r="A8435" t="str">
        <f>"8431"</f>
        <v>8431</v>
      </c>
      <c r="B8435" t="str">
        <f t="shared" si="491"/>
        <v>1</v>
      </c>
      <c r="C8435" t="str">
        <f t="shared" si="492"/>
        <v>372</v>
      </c>
      <c r="D8435" t="str">
        <f>"20"</f>
        <v>20</v>
      </c>
      <c r="E8435" t="str">
        <f>"1-372-20"</f>
        <v>1-372-20</v>
      </c>
      <c r="F8435" t="s">
        <v>83</v>
      </c>
      <c r="G8435" t="s">
        <v>84</v>
      </c>
      <c r="H8435" t="s">
        <v>92</v>
      </c>
      <c r="I8435">
        <v>1</v>
      </c>
      <c r="J8435">
        <v>1</v>
      </c>
      <c r="N8435">
        <v>1</v>
      </c>
      <c r="O8435">
        <v>1</v>
      </c>
      <c r="P8435">
        <v>1</v>
      </c>
      <c r="Q8435">
        <v>1</v>
      </c>
      <c r="R8435">
        <v>1</v>
      </c>
      <c r="S8435">
        <v>1</v>
      </c>
      <c r="T8435">
        <v>1</v>
      </c>
      <c r="W8435">
        <v>1</v>
      </c>
      <c r="X8435">
        <v>1</v>
      </c>
      <c r="Y8435">
        <v>1</v>
      </c>
      <c r="Z8435">
        <v>1</v>
      </c>
      <c r="AA8435">
        <v>1</v>
      </c>
      <c r="AB8435">
        <v>1</v>
      </c>
    </row>
    <row r="8436" spans="1:49" x14ac:dyDescent="0.25">
      <c r="A8436" t="str">
        <f>"8432"</f>
        <v>8432</v>
      </c>
      <c r="B8436" t="str">
        <f t="shared" si="491"/>
        <v>1</v>
      </c>
      <c r="C8436" t="str">
        <f t="shared" si="492"/>
        <v>372</v>
      </c>
      <c r="D8436" t="str">
        <f>"12"</f>
        <v>12</v>
      </c>
      <c r="E8436" t="str">
        <f>"1-372-12"</f>
        <v>1-372-12</v>
      </c>
      <c r="F8436" t="s">
        <v>83</v>
      </c>
      <c r="G8436" t="s">
        <v>86</v>
      </c>
      <c r="H8436" t="s">
        <v>93</v>
      </c>
      <c r="I8436">
        <v>1</v>
      </c>
      <c r="K8436">
        <v>0</v>
      </c>
      <c r="L8436">
        <v>1</v>
      </c>
      <c r="M8436">
        <v>0</v>
      </c>
      <c r="N8436">
        <v>1</v>
      </c>
      <c r="O8436">
        <v>1</v>
      </c>
      <c r="P8436">
        <v>1</v>
      </c>
      <c r="Q8436">
        <v>1</v>
      </c>
      <c r="R8436">
        <v>1</v>
      </c>
      <c r="U8436">
        <v>0</v>
      </c>
      <c r="V8436">
        <v>1</v>
      </c>
      <c r="W8436">
        <v>1</v>
      </c>
      <c r="X8436">
        <v>1</v>
      </c>
      <c r="Y8436">
        <v>1</v>
      </c>
      <c r="Z8436">
        <v>1</v>
      </c>
      <c r="AA8436">
        <v>1</v>
      </c>
      <c r="AB8436">
        <v>1</v>
      </c>
    </row>
    <row r="8437" spans="1:49" x14ac:dyDescent="0.25">
      <c r="A8437" t="str">
        <f>"8433"</f>
        <v>8433</v>
      </c>
      <c r="B8437" t="str">
        <f t="shared" si="491"/>
        <v>1</v>
      </c>
      <c r="C8437" t="str">
        <f t="shared" si="492"/>
        <v>372</v>
      </c>
      <c r="D8437" t="str">
        <f>"5"</f>
        <v>5</v>
      </c>
      <c r="E8437" t="str">
        <f>"1-372-5"</f>
        <v>1-372-5</v>
      </c>
      <c r="F8437" t="s">
        <v>83</v>
      </c>
      <c r="G8437" t="s">
        <v>84</v>
      </c>
      <c r="H8437" t="s">
        <v>92</v>
      </c>
      <c r="I8437">
        <v>1</v>
      </c>
      <c r="J8437">
        <v>1</v>
      </c>
      <c r="N8437">
        <v>1</v>
      </c>
      <c r="O8437">
        <v>1</v>
      </c>
      <c r="P8437">
        <v>1</v>
      </c>
      <c r="Q8437">
        <v>1</v>
      </c>
      <c r="R8437">
        <v>1</v>
      </c>
      <c r="S8437">
        <v>1</v>
      </c>
      <c r="T8437">
        <v>1</v>
      </c>
      <c r="W8437">
        <v>1</v>
      </c>
      <c r="X8437">
        <v>1</v>
      </c>
      <c r="Y8437">
        <v>1</v>
      </c>
      <c r="Z8437">
        <v>1</v>
      </c>
      <c r="AA8437">
        <v>1</v>
      </c>
      <c r="AB8437">
        <v>1</v>
      </c>
    </row>
    <row r="8438" spans="1:49" x14ac:dyDescent="0.25">
      <c r="A8438" t="str">
        <f>"8434"</f>
        <v>8434</v>
      </c>
      <c r="B8438" t="str">
        <f t="shared" si="491"/>
        <v>1</v>
      </c>
      <c r="C8438" t="str">
        <f t="shared" si="492"/>
        <v>372</v>
      </c>
      <c r="D8438" t="str">
        <f>"14"</f>
        <v>14</v>
      </c>
      <c r="E8438" t="str">
        <f>"1-372-14"</f>
        <v>1-372-14</v>
      </c>
      <c r="F8438" t="s">
        <v>83</v>
      </c>
      <c r="G8438" t="s">
        <v>86</v>
      </c>
      <c r="H8438" t="s">
        <v>87</v>
      </c>
      <c r="AC8438">
        <v>1</v>
      </c>
      <c r="AD8438">
        <v>0</v>
      </c>
      <c r="AE8438">
        <v>0</v>
      </c>
      <c r="AF8438">
        <v>0</v>
      </c>
      <c r="AH8438">
        <v>0</v>
      </c>
      <c r="AI8438">
        <v>1</v>
      </c>
      <c r="AJ8438">
        <v>0</v>
      </c>
      <c r="AK8438">
        <v>1</v>
      </c>
      <c r="AL8438">
        <v>0</v>
      </c>
      <c r="AM8438">
        <v>1</v>
      </c>
      <c r="AN8438">
        <v>0</v>
      </c>
      <c r="AO8438">
        <v>1</v>
      </c>
      <c r="AP8438">
        <v>0</v>
      </c>
      <c r="AQ8438">
        <v>1</v>
      </c>
      <c r="AU8438">
        <v>1</v>
      </c>
      <c r="AV8438">
        <v>0</v>
      </c>
      <c r="AW8438">
        <v>0</v>
      </c>
    </row>
    <row r="8439" spans="1:49" x14ac:dyDescent="0.25">
      <c r="A8439" t="str">
        <f>"8435"</f>
        <v>8435</v>
      </c>
      <c r="B8439" t="str">
        <f t="shared" si="491"/>
        <v>1</v>
      </c>
      <c r="C8439" t="str">
        <f t="shared" si="492"/>
        <v>372</v>
      </c>
      <c r="D8439" t="str">
        <f>"6"</f>
        <v>6</v>
      </c>
      <c r="E8439" t="str">
        <f>"1-372-6"</f>
        <v>1-372-6</v>
      </c>
      <c r="F8439" t="s">
        <v>83</v>
      </c>
      <c r="G8439" t="s">
        <v>84</v>
      </c>
      <c r="H8439" t="s">
        <v>92</v>
      </c>
      <c r="I8439">
        <v>1</v>
      </c>
      <c r="J8439">
        <v>1</v>
      </c>
      <c r="N8439">
        <v>1</v>
      </c>
      <c r="O8439">
        <v>1</v>
      </c>
      <c r="P8439">
        <v>1</v>
      </c>
      <c r="Q8439">
        <v>1</v>
      </c>
      <c r="R8439">
        <v>1</v>
      </c>
      <c r="S8439">
        <v>1</v>
      </c>
      <c r="T8439">
        <v>1</v>
      </c>
      <c r="W8439">
        <v>1</v>
      </c>
      <c r="X8439">
        <v>1</v>
      </c>
      <c r="Y8439">
        <v>1</v>
      </c>
      <c r="Z8439">
        <v>1</v>
      </c>
      <c r="AA8439">
        <v>1</v>
      </c>
      <c r="AB8439">
        <v>1</v>
      </c>
    </row>
    <row r="8440" spans="1:49" x14ac:dyDescent="0.25">
      <c r="A8440" t="str">
        <f>"8436"</f>
        <v>8436</v>
      </c>
      <c r="B8440" t="str">
        <f t="shared" si="491"/>
        <v>1</v>
      </c>
      <c r="C8440" t="str">
        <f t="shared" si="492"/>
        <v>372</v>
      </c>
      <c r="D8440" t="str">
        <f>"15"</f>
        <v>15</v>
      </c>
      <c r="E8440" t="str">
        <f>"1-372-15"</f>
        <v>1-372-15</v>
      </c>
      <c r="F8440" t="s">
        <v>83</v>
      </c>
      <c r="G8440" t="s">
        <v>86</v>
      </c>
      <c r="H8440" t="s">
        <v>87</v>
      </c>
      <c r="AC8440">
        <v>1</v>
      </c>
      <c r="AD8440">
        <v>0</v>
      </c>
      <c r="AE8440">
        <v>0</v>
      </c>
      <c r="AF8440">
        <v>0</v>
      </c>
      <c r="AH8440">
        <v>1</v>
      </c>
      <c r="AI8440">
        <v>0</v>
      </c>
      <c r="AJ8440">
        <v>1</v>
      </c>
      <c r="AK8440">
        <v>0</v>
      </c>
      <c r="AL8440">
        <v>1</v>
      </c>
      <c r="AM8440">
        <v>0</v>
      </c>
      <c r="AN8440">
        <v>0</v>
      </c>
      <c r="AO8440">
        <v>1</v>
      </c>
      <c r="AP8440">
        <v>1</v>
      </c>
      <c r="AQ8440">
        <v>1</v>
      </c>
      <c r="AU8440">
        <v>1</v>
      </c>
      <c r="AV8440">
        <v>1</v>
      </c>
      <c r="AW8440">
        <v>1</v>
      </c>
    </row>
    <row r="8441" spans="1:49" x14ac:dyDescent="0.25">
      <c r="A8441" t="str">
        <f>"8437"</f>
        <v>8437</v>
      </c>
      <c r="B8441" t="str">
        <f t="shared" si="491"/>
        <v>1</v>
      </c>
      <c r="C8441" t="str">
        <f t="shared" si="492"/>
        <v>372</v>
      </c>
      <c r="D8441" t="str">
        <f>"3"</f>
        <v>3</v>
      </c>
      <c r="E8441" t="str">
        <f>"1-372-3"</f>
        <v>1-372-3</v>
      </c>
      <c r="F8441" t="s">
        <v>83</v>
      </c>
      <c r="G8441" t="s">
        <v>84</v>
      </c>
      <c r="H8441" t="s">
        <v>92</v>
      </c>
      <c r="I8441">
        <v>1</v>
      </c>
      <c r="J8441">
        <v>1</v>
      </c>
      <c r="N8441">
        <v>1</v>
      </c>
      <c r="O8441">
        <v>1</v>
      </c>
      <c r="P8441">
        <v>1</v>
      </c>
      <c r="Q8441">
        <v>1</v>
      </c>
      <c r="R8441">
        <v>1</v>
      </c>
      <c r="S8441">
        <v>1</v>
      </c>
      <c r="T8441">
        <v>1</v>
      </c>
      <c r="W8441">
        <v>1</v>
      </c>
      <c r="X8441">
        <v>1</v>
      </c>
      <c r="Y8441">
        <v>1</v>
      </c>
      <c r="Z8441">
        <v>1</v>
      </c>
      <c r="AA8441">
        <v>1</v>
      </c>
      <c r="AB8441">
        <v>1</v>
      </c>
    </row>
    <row r="8442" spans="1:49" x14ac:dyDescent="0.25">
      <c r="A8442" t="str">
        <f>"8438"</f>
        <v>8438</v>
      </c>
      <c r="B8442" t="str">
        <f t="shared" si="491"/>
        <v>1</v>
      </c>
      <c r="C8442" t="str">
        <f t="shared" ref="C8442:C8456" si="493">"373"</f>
        <v>373</v>
      </c>
      <c r="D8442" t="str">
        <f>"15"</f>
        <v>15</v>
      </c>
      <c r="E8442" t="str">
        <f>"1-373-15"</f>
        <v>1-373-15</v>
      </c>
      <c r="F8442" t="s">
        <v>83</v>
      </c>
      <c r="G8442" t="s">
        <v>86</v>
      </c>
      <c r="H8442" t="s">
        <v>87</v>
      </c>
      <c r="AC8442">
        <v>1</v>
      </c>
      <c r="AD8442">
        <v>0</v>
      </c>
      <c r="AE8442">
        <v>0</v>
      </c>
      <c r="AF8442">
        <v>0</v>
      </c>
      <c r="AH8442">
        <v>1</v>
      </c>
      <c r="AI8442">
        <v>0</v>
      </c>
      <c r="AJ8442">
        <v>0</v>
      </c>
      <c r="AK8442">
        <v>1</v>
      </c>
      <c r="AL8442">
        <v>1</v>
      </c>
      <c r="AM8442">
        <v>0</v>
      </c>
      <c r="AN8442">
        <v>0</v>
      </c>
      <c r="AO8442">
        <v>1</v>
      </c>
      <c r="AP8442">
        <v>1</v>
      </c>
      <c r="AQ8442">
        <v>1</v>
      </c>
      <c r="AU8442">
        <v>1</v>
      </c>
      <c r="AV8442">
        <v>1</v>
      </c>
      <c r="AW8442">
        <v>1</v>
      </c>
    </row>
    <row r="8443" spans="1:49" x14ac:dyDescent="0.25">
      <c r="A8443" t="str">
        <f>"8439"</f>
        <v>8439</v>
      </c>
      <c r="B8443" t="str">
        <f t="shared" si="491"/>
        <v>1</v>
      </c>
      <c r="C8443" t="str">
        <f t="shared" si="493"/>
        <v>373</v>
      </c>
      <c r="D8443" t="str">
        <f>"13"</f>
        <v>13</v>
      </c>
      <c r="E8443" t="str">
        <f>"1-373-13"</f>
        <v>1-373-13</v>
      </c>
      <c r="F8443" t="s">
        <v>83</v>
      </c>
      <c r="G8443" t="s">
        <v>86</v>
      </c>
      <c r="H8443" t="s">
        <v>93</v>
      </c>
      <c r="I8443">
        <v>1</v>
      </c>
      <c r="K8443">
        <v>0</v>
      </c>
      <c r="L8443">
        <v>0</v>
      </c>
      <c r="M8443">
        <v>1</v>
      </c>
      <c r="N8443">
        <v>1</v>
      </c>
      <c r="O8443">
        <v>1</v>
      </c>
      <c r="P8443">
        <v>1</v>
      </c>
      <c r="Q8443">
        <v>1</v>
      </c>
      <c r="R8443">
        <v>1</v>
      </c>
      <c r="U8443">
        <v>1</v>
      </c>
      <c r="V8443">
        <v>0</v>
      </c>
      <c r="W8443">
        <v>1</v>
      </c>
      <c r="X8443">
        <v>1</v>
      </c>
      <c r="Y8443">
        <v>1</v>
      </c>
      <c r="Z8443">
        <v>1</v>
      </c>
      <c r="AA8443">
        <v>1</v>
      </c>
      <c r="AB8443">
        <v>1</v>
      </c>
    </row>
    <row r="8444" spans="1:49" x14ac:dyDescent="0.25">
      <c r="A8444" t="str">
        <f>"8440"</f>
        <v>8440</v>
      </c>
      <c r="B8444" t="str">
        <f t="shared" si="491"/>
        <v>1</v>
      </c>
      <c r="C8444" t="str">
        <f t="shared" si="493"/>
        <v>373</v>
      </c>
      <c r="D8444" t="str">
        <f>"8"</f>
        <v>8</v>
      </c>
      <c r="E8444" t="str">
        <f>"1-373-8"</f>
        <v>1-373-8</v>
      </c>
      <c r="F8444" t="s">
        <v>83</v>
      </c>
      <c r="G8444" t="s">
        <v>88</v>
      </c>
      <c r="H8444" t="s">
        <v>95</v>
      </c>
      <c r="I8444">
        <v>1</v>
      </c>
      <c r="K8444">
        <v>1</v>
      </c>
      <c r="L8444">
        <v>0</v>
      </c>
      <c r="M8444">
        <v>0</v>
      </c>
      <c r="N8444">
        <v>1</v>
      </c>
      <c r="O8444">
        <v>1</v>
      </c>
      <c r="P8444">
        <v>1</v>
      </c>
      <c r="Q8444">
        <v>1</v>
      </c>
      <c r="R8444">
        <v>1</v>
      </c>
      <c r="S8444">
        <v>1</v>
      </c>
      <c r="T8444">
        <v>1</v>
      </c>
      <c r="W8444">
        <v>1</v>
      </c>
      <c r="X8444">
        <v>1</v>
      </c>
      <c r="Y8444">
        <v>1</v>
      </c>
      <c r="Z8444">
        <v>1</v>
      </c>
      <c r="AA8444">
        <v>1</v>
      </c>
      <c r="AB8444">
        <v>1</v>
      </c>
    </row>
    <row r="8445" spans="1:49" x14ac:dyDescent="0.25">
      <c r="A8445" t="str">
        <f>"8441"</f>
        <v>8441</v>
      </c>
      <c r="B8445" t="str">
        <f t="shared" si="491"/>
        <v>1</v>
      </c>
      <c r="C8445" t="str">
        <f t="shared" si="493"/>
        <v>373</v>
      </c>
      <c r="D8445" t="str">
        <f>"2"</f>
        <v>2</v>
      </c>
      <c r="E8445" t="str">
        <f>"1-373-2"</f>
        <v>1-373-2</v>
      </c>
      <c r="F8445" t="s">
        <v>83</v>
      </c>
      <c r="G8445" t="s">
        <v>84</v>
      </c>
      <c r="H8445" t="s">
        <v>85</v>
      </c>
      <c r="AC8445">
        <v>0</v>
      </c>
      <c r="AD8445">
        <v>1</v>
      </c>
      <c r="AE8445">
        <v>0</v>
      </c>
      <c r="AF8445">
        <v>0</v>
      </c>
      <c r="AG8445">
        <v>1</v>
      </c>
      <c r="AJ8445">
        <v>0</v>
      </c>
      <c r="AK8445">
        <v>1</v>
      </c>
      <c r="AL8445">
        <v>0</v>
      </c>
      <c r="AM8445">
        <v>0</v>
      </c>
      <c r="AN8445">
        <v>1</v>
      </c>
      <c r="AO8445">
        <v>1</v>
      </c>
      <c r="AP8445">
        <v>1</v>
      </c>
      <c r="AQ8445">
        <v>1</v>
      </c>
      <c r="AR8445">
        <v>1</v>
      </c>
      <c r="AS8445">
        <v>0</v>
      </c>
      <c r="AT8445">
        <v>1</v>
      </c>
      <c r="AV8445">
        <v>1</v>
      </c>
      <c r="AW8445">
        <v>1</v>
      </c>
    </row>
    <row r="8446" spans="1:49" x14ac:dyDescent="0.25">
      <c r="A8446" t="str">
        <f>"8442"</f>
        <v>8442</v>
      </c>
      <c r="B8446" t="str">
        <f t="shared" si="491"/>
        <v>1</v>
      </c>
      <c r="C8446" t="str">
        <f t="shared" si="493"/>
        <v>373</v>
      </c>
      <c r="D8446" t="str">
        <f>"9"</f>
        <v>9</v>
      </c>
      <c r="E8446" t="str">
        <f>"1-373-9"</f>
        <v>1-373-9</v>
      </c>
      <c r="F8446" t="s">
        <v>83</v>
      </c>
      <c r="G8446" t="s">
        <v>88</v>
      </c>
      <c r="H8446" t="s">
        <v>95</v>
      </c>
      <c r="I8446">
        <v>1</v>
      </c>
      <c r="K8446">
        <v>1</v>
      </c>
      <c r="L8446">
        <v>0</v>
      </c>
      <c r="M8446">
        <v>0</v>
      </c>
      <c r="N8446">
        <v>1</v>
      </c>
      <c r="O8446">
        <v>1</v>
      </c>
      <c r="P8446">
        <v>1</v>
      </c>
      <c r="Q8446">
        <v>1</v>
      </c>
      <c r="R8446">
        <v>1</v>
      </c>
      <c r="S8446">
        <v>1</v>
      </c>
      <c r="T8446">
        <v>1</v>
      </c>
      <c r="W8446">
        <v>1</v>
      </c>
      <c r="X8446">
        <v>1</v>
      </c>
      <c r="Y8446">
        <v>1</v>
      </c>
      <c r="Z8446">
        <v>1</v>
      </c>
      <c r="AA8446">
        <v>1</v>
      </c>
      <c r="AB8446">
        <v>1</v>
      </c>
    </row>
    <row r="8447" spans="1:49" x14ac:dyDescent="0.25">
      <c r="A8447" t="str">
        <f>"8443"</f>
        <v>8443</v>
      </c>
      <c r="B8447" t="str">
        <f t="shared" si="491"/>
        <v>1</v>
      </c>
      <c r="C8447" t="str">
        <f t="shared" si="493"/>
        <v>373</v>
      </c>
      <c r="D8447" t="str">
        <f>"4"</f>
        <v>4</v>
      </c>
      <c r="E8447" t="str">
        <f>"1-373-4"</f>
        <v>1-373-4</v>
      </c>
      <c r="F8447" t="s">
        <v>83</v>
      </c>
      <c r="G8447" t="s">
        <v>84</v>
      </c>
      <c r="H8447" t="s">
        <v>92</v>
      </c>
      <c r="I8447">
        <v>1</v>
      </c>
      <c r="J8447">
        <v>1</v>
      </c>
      <c r="N8447">
        <v>1</v>
      </c>
      <c r="O8447">
        <v>1</v>
      </c>
      <c r="P8447">
        <v>1</v>
      </c>
      <c r="Q8447">
        <v>1</v>
      </c>
      <c r="R8447">
        <v>1</v>
      </c>
      <c r="S8447">
        <v>1</v>
      </c>
      <c r="T8447">
        <v>1</v>
      </c>
      <c r="W8447">
        <v>1</v>
      </c>
      <c r="X8447">
        <v>1</v>
      </c>
      <c r="Y8447">
        <v>1</v>
      </c>
      <c r="Z8447">
        <v>1</v>
      </c>
      <c r="AA8447">
        <v>1</v>
      </c>
      <c r="AB8447">
        <v>1</v>
      </c>
    </row>
    <row r="8448" spans="1:49" x14ac:dyDescent="0.25">
      <c r="A8448" t="str">
        <f>"8444"</f>
        <v>8444</v>
      </c>
      <c r="B8448" t="str">
        <f t="shared" si="491"/>
        <v>1</v>
      </c>
      <c r="C8448" t="str">
        <f t="shared" si="493"/>
        <v>373</v>
      </c>
      <c r="D8448" t="str">
        <f>"10"</f>
        <v>10</v>
      </c>
      <c r="E8448" t="str">
        <f>"1-373-10"</f>
        <v>1-373-10</v>
      </c>
      <c r="F8448" t="s">
        <v>83</v>
      </c>
      <c r="G8448" t="s">
        <v>88</v>
      </c>
      <c r="H8448" t="s">
        <v>95</v>
      </c>
      <c r="I8448">
        <v>1</v>
      </c>
      <c r="K8448">
        <v>1</v>
      </c>
      <c r="L8448">
        <v>0</v>
      </c>
      <c r="M8448">
        <v>0</v>
      </c>
      <c r="N8448">
        <v>1</v>
      </c>
      <c r="O8448">
        <v>1</v>
      </c>
      <c r="P8448">
        <v>1</v>
      </c>
      <c r="Q8448">
        <v>1</v>
      </c>
      <c r="R8448">
        <v>1</v>
      </c>
      <c r="S8448">
        <v>1</v>
      </c>
      <c r="T8448">
        <v>1</v>
      </c>
      <c r="W8448">
        <v>1</v>
      </c>
      <c r="X8448">
        <v>1</v>
      </c>
      <c r="Y8448">
        <v>1</v>
      </c>
      <c r="Z8448">
        <v>1</v>
      </c>
      <c r="AA8448">
        <v>1</v>
      </c>
      <c r="AB8448">
        <v>1</v>
      </c>
    </row>
    <row r="8449" spans="1:49" x14ac:dyDescent="0.25">
      <c r="A8449" t="str">
        <f>"8445"</f>
        <v>8445</v>
      </c>
      <c r="B8449" t="str">
        <f t="shared" si="491"/>
        <v>1</v>
      </c>
      <c r="C8449" t="str">
        <f t="shared" si="493"/>
        <v>373</v>
      </c>
      <c r="D8449" t="str">
        <f>"6"</f>
        <v>6</v>
      </c>
      <c r="E8449" t="str">
        <f>"1-373-6"</f>
        <v>1-373-6</v>
      </c>
      <c r="F8449" t="s">
        <v>83</v>
      </c>
      <c r="G8449" t="s">
        <v>84</v>
      </c>
      <c r="H8449" t="s">
        <v>85</v>
      </c>
      <c r="AC8449">
        <v>0</v>
      </c>
      <c r="AD8449">
        <v>1</v>
      </c>
      <c r="AE8449">
        <v>0</v>
      </c>
      <c r="AF8449">
        <v>0</v>
      </c>
      <c r="AG8449">
        <v>0</v>
      </c>
      <c r="AJ8449">
        <v>1</v>
      </c>
      <c r="AK8449">
        <v>0</v>
      </c>
      <c r="AL8449">
        <v>0</v>
      </c>
      <c r="AM8449">
        <v>0</v>
      </c>
      <c r="AN8449">
        <v>1</v>
      </c>
      <c r="AO8449">
        <v>0</v>
      </c>
      <c r="AP8449">
        <v>0</v>
      </c>
      <c r="AQ8449">
        <v>0</v>
      </c>
      <c r="AR8449">
        <v>1</v>
      </c>
      <c r="AS8449">
        <v>1</v>
      </c>
      <c r="AT8449">
        <v>0</v>
      </c>
      <c r="AV8449">
        <v>0</v>
      </c>
      <c r="AW8449">
        <v>0</v>
      </c>
    </row>
    <row r="8450" spans="1:49" x14ac:dyDescent="0.25">
      <c r="A8450" t="str">
        <f>"8446"</f>
        <v>8446</v>
      </c>
      <c r="B8450" t="str">
        <f t="shared" si="491"/>
        <v>1</v>
      </c>
      <c r="C8450" t="str">
        <f t="shared" si="493"/>
        <v>373</v>
      </c>
      <c r="D8450" t="str">
        <f>"11"</f>
        <v>11</v>
      </c>
      <c r="E8450" t="str">
        <f>"1-373-11"</f>
        <v>1-373-11</v>
      </c>
      <c r="F8450" t="s">
        <v>83</v>
      </c>
      <c r="G8450" t="s">
        <v>84</v>
      </c>
      <c r="H8450" t="s">
        <v>85</v>
      </c>
      <c r="AC8450">
        <v>1</v>
      </c>
      <c r="AD8450">
        <v>0</v>
      </c>
      <c r="AE8450">
        <v>0</v>
      </c>
      <c r="AF8450">
        <v>0</v>
      </c>
      <c r="AG8450">
        <v>0</v>
      </c>
      <c r="AJ8450">
        <v>1</v>
      </c>
      <c r="AK8450">
        <v>0</v>
      </c>
      <c r="AL8450">
        <v>1</v>
      </c>
      <c r="AM8450">
        <v>0</v>
      </c>
      <c r="AN8450">
        <v>0</v>
      </c>
      <c r="AO8450">
        <v>1</v>
      </c>
      <c r="AP8450">
        <v>1</v>
      </c>
      <c r="AQ8450">
        <v>1</v>
      </c>
      <c r="AR8450">
        <v>1</v>
      </c>
      <c r="AS8450">
        <v>0</v>
      </c>
      <c r="AT8450">
        <v>1</v>
      </c>
      <c r="AV8450">
        <v>1</v>
      </c>
      <c r="AW8450">
        <v>1</v>
      </c>
    </row>
    <row r="8451" spans="1:49" x14ac:dyDescent="0.25">
      <c r="A8451" t="str">
        <f>"8447"</f>
        <v>8447</v>
      </c>
      <c r="B8451" t="str">
        <f t="shared" si="491"/>
        <v>1</v>
      </c>
      <c r="C8451" t="str">
        <f t="shared" si="493"/>
        <v>373</v>
      </c>
      <c r="D8451" t="str">
        <f>"1"</f>
        <v>1</v>
      </c>
      <c r="E8451" t="str">
        <f>"1-373-1"</f>
        <v>1-373-1</v>
      </c>
      <c r="F8451" t="s">
        <v>83</v>
      </c>
      <c r="G8451" t="s">
        <v>86</v>
      </c>
      <c r="H8451" t="s">
        <v>87</v>
      </c>
      <c r="AC8451">
        <v>0</v>
      </c>
      <c r="AD8451">
        <v>1</v>
      </c>
      <c r="AE8451">
        <v>0</v>
      </c>
      <c r="AF8451">
        <v>0</v>
      </c>
      <c r="AH8451">
        <v>0</v>
      </c>
      <c r="AI8451">
        <v>1</v>
      </c>
      <c r="AJ8451">
        <v>0</v>
      </c>
      <c r="AK8451">
        <v>1</v>
      </c>
      <c r="AL8451">
        <v>0</v>
      </c>
      <c r="AM8451">
        <v>0</v>
      </c>
      <c r="AN8451">
        <v>1</v>
      </c>
      <c r="AO8451">
        <v>0</v>
      </c>
      <c r="AP8451">
        <v>0</v>
      </c>
      <c r="AQ8451">
        <v>0</v>
      </c>
      <c r="AU8451">
        <v>0</v>
      </c>
      <c r="AV8451">
        <v>0</v>
      </c>
      <c r="AW8451">
        <v>1</v>
      </c>
    </row>
    <row r="8452" spans="1:49" x14ac:dyDescent="0.25">
      <c r="A8452" t="str">
        <f>"8448"</f>
        <v>8448</v>
      </c>
      <c r="B8452" t="str">
        <f t="shared" si="491"/>
        <v>1</v>
      </c>
      <c r="C8452" t="str">
        <f t="shared" si="493"/>
        <v>373</v>
      </c>
      <c r="D8452" t="str">
        <f>"12"</f>
        <v>12</v>
      </c>
      <c r="E8452" t="str">
        <f>"1-373-12"</f>
        <v>1-373-12</v>
      </c>
      <c r="F8452" t="s">
        <v>83</v>
      </c>
      <c r="G8452" t="s">
        <v>84</v>
      </c>
      <c r="H8452" t="s">
        <v>92</v>
      </c>
      <c r="I8452">
        <v>1</v>
      </c>
      <c r="J8452">
        <v>1</v>
      </c>
      <c r="N8452">
        <v>1</v>
      </c>
      <c r="O8452">
        <v>1</v>
      </c>
      <c r="P8452">
        <v>1</v>
      </c>
      <c r="Q8452">
        <v>1</v>
      </c>
      <c r="R8452">
        <v>1</v>
      </c>
      <c r="S8452">
        <v>1</v>
      </c>
      <c r="T8452">
        <v>1</v>
      </c>
      <c r="W8452">
        <v>1</v>
      </c>
      <c r="X8452">
        <v>1</v>
      </c>
      <c r="Y8452">
        <v>1</v>
      </c>
      <c r="Z8452">
        <v>1</v>
      </c>
      <c r="AA8452">
        <v>1</v>
      </c>
      <c r="AB8452">
        <v>1</v>
      </c>
    </row>
    <row r="8453" spans="1:49" x14ac:dyDescent="0.25">
      <c r="A8453" t="str">
        <f>"8449"</f>
        <v>8449</v>
      </c>
      <c r="B8453" t="str">
        <f t="shared" si="491"/>
        <v>1</v>
      </c>
      <c r="C8453" t="str">
        <f t="shared" si="493"/>
        <v>373</v>
      </c>
      <c r="D8453" t="str">
        <f>"7"</f>
        <v>7</v>
      </c>
      <c r="E8453" t="str">
        <f>"1-373-7"</f>
        <v>1-373-7</v>
      </c>
      <c r="F8453" t="s">
        <v>83</v>
      </c>
      <c r="G8453" t="s">
        <v>84</v>
      </c>
      <c r="H8453" t="s">
        <v>85</v>
      </c>
      <c r="AC8453">
        <v>0</v>
      </c>
      <c r="AD8453">
        <v>1</v>
      </c>
      <c r="AE8453">
        <v>0</v>
      </c>
      <c r="AF8453">
        <v>0</v>
      </c>
      <c r="AG8453">
        <v>0</v>
      </c>
      <c r="AJ8453">
        <v>1</v>
      </c>
      <c r="AK8453">
        <v>0</v>
      </c>
      <c r="AL8453">
        <v>0</v>
      </c>
      <c r="AM8453">
        <v>0</v>
      </c>
      <c r="AN8453">
        <v>1</v>
      </c>
      <c r="AO8453">
        <v>0</v>
      </c>
      <c r="AP8453">
        <v>0</v>
      </c>
      <c r="AQ8453">
        <v>0</v>
      </c>
      <c r="AR8453">
        <v>1</v>
      </c>
      <c r="AS8453">
        <v>1</v>
      </c>
      <c r="AT8453">
        <v>0</v>
      </c>
      <c r="AV8453">
        <v>0</v>
      </c>
      <c r="AW8453">
        <v>0</v>
      </c>
    </row>
    <row r="8454" spans="1:49" x14ac:dyDescent="0.25">
      <c r="A8454" t="str">
        <f>"8450"</f>
        <v>8450</v>
      </c>
      <c r="B8454" t="str">
        <f t="shared" si="491"/>
        <v>1</v>
      </c>
      <c r="C8454" t="str">
        <f t="shared" si="493"/>
        <v>373</v>
      </c>
      <c r="D8454" t="str">
        <f>"14"</f>
        <v>14</v>
      </c>
      <c r="E8454" t="str">
        <f>"1-373-14"</f>
        <v>1-373-14</v>
      </c>
      <c r="F8454" t="s">
        <v>83</v>
      </c>
      <c r="G8454" t="s">
        <v>86</v>
      </c>
      <c r="H8454" t="s">
        <v>87</v>
      </c>
      <c r="AC8454">
        <v>0</v>
      </c>
      <c r="AD8454">
        <v>0</v>
      </c>
      <c r="AE8454">
        <v>0</v>
      </c>
      <c r="AF8454">
        <v>0</v>
      </c>
      <c r="AH8454">
        <v>0</v>
      </c>
      <c r="AI8454">
        <v>1</v>
      </c>
      <c r="AJ8454">
        <v>0</v>
      </c>
      <c r="AK8454">
        <v>0</v>
      </c>
      <c r="AL8454">
        <v>0</v>
      </c>
      <c r="AM8454">
        <v>0</v>
      </c>
      <c r="AN8454">
        <v>0</v>
      </c>
      <c r="AO8454">
        <v>0</v>
      </c>
      <c r="AP8454">
        <v>0</v>
      </c>
      <c r="AQ8454">
        <v>0</v>
      </c>
      <c r="AU8454">
        <v>0</v>
      </c>
      <c r="AV8454">
        <v>0</v>
      </c>
      <c r="AW8454">
        <v>0</v>
      </c>
    </row>
    <row r="8455" spans="1:49" x14ac:dyDescent="0.25">
      <c r="A8455" t="str">
        <f>"8451"</f>
        <v>8451</v>
      </c>
      <c r="B8455" t="str">
        <f t="shared" si="491"/>
        <v>1</v>
      </c>
      <c r="C8455" t="str">
        <f t="shared" si="493"/>
        <v>373</v>
      </c>
      <c r="D8455" t="str">
        <f>"5"</f>
        <v>5</v>
      </c>
      <c r="E8455" t="str">
        <f>"1-373-5"</f>
        <v>1-373-5</v>
      </c>
      <c r="F8455" t="s">
        <v>83</v>
      </c>
      <c r="G8455" t="s">
        <v>84</v>
      </c>
      <c r="H8455" t="s">
        <v>92</v>
      </c>
      <c r="I8455">
        <v>1</v>
      </c>
      <c r="J8455">
        <v>0</v>
      </c>
      <c r="N8455">
        <v>1</v>
      </c>
      <c r="O8455">
        <v>1</v>
      </c>
      <c r="P8455">
        <v>1</v>
      </c>
      <c r="Q8455">
        <v>1</v>
      </c>
      <c r="R8455">
        <v>1</v>
      </c>
      <c r="S8455">
        <v>1</v>
      </c>
      <c r="T8455">
        <v>1</v>
      </c>
      <c r="W8455">
        <v>1</v>
      </c>
      <c r="X8455">
        <v>1</v>
      </c>
      <c r="Y8455">
        <v>1</v>
      </c>
      <c r="Z8455">
        <v>1</v>
      </c>
      <c r="AA8455">
        <v>1</v>
      </c>
      <c r="AB8455">
        <v>1</v>
      </c>
    </row>
    <row r="8456" spans="1:49" x14ac:dyDescent="0.25">
      <c r="A8456" t="str">
        <f>"8452"</f>
        <v>8452</v>
      </c>
      <c r="B8456" t="str">
        <f t="shared" si="491"/>
        <v>1</v>
      </c>
      <c r="C8456" t="str">
        <f t="shared" si="493"/>
        <v>373</v>
      </c>
      <c r="D8456" t="str">
        <f>"3"</f>
        <v>3</v>
      </c>
      <c r="E8456" t="str">
        <f>"1-373-3"</f>
        <v>1-373-3</v>
      </c>
      <c r="F8456" t="s">
        <v>83</v>
      </c>
      <c r="G8456" t="s">
        <v>86</v>
      </c>
      <c r="H8456" t="s">
        <v>93</v>
      </c>
      <c r="I8456">
        <v>1</v>
      </c>
      <c r="K8456">
        <v>0</v>
      </c>
      <c r="L8456">
        <v>0</v>
      </c>
      <c r="M8456">
        <v>1</v>
      </c>
      <c r="N8456">
        <v>1</v>
      </c>
      <c r="O8456">
        <v>1</v>
      </c>
      <c r="P8456">
        <v>0</v>
      </c>
      <c r="Q8456">
        <v>1</v>
      </c>
      <c r="R8456">
        <v>0</v>
      </c>
      <c r="U8456">
        <v>1</v>
      </c>
      <c r="V8456">
        <v>0</v>
      </c>
      <c r="W8456">
        <v>1</v>
      </c>
      <c r="X8456">
        <v>1</v>
      </c>
      <c r="Y8456">
        <v>1</v>
      </c>
      <c r="Z8456">
        <v>0</v>
      </c>
      <c r="AA8456">
        <v>0</v>
      </c>
      <c r="AB8456">
        <v>0</v>
      </c>
    </row>
    <row r="8457" spans="1:49" x14ac:dyDescent="0.25">
      <c r="A8457" t="str">
        <f>"8453"</f>
        <v>8453</v>
      </c>
      <c r="B8457" t="str">
        <f t="shared" si="491"/>
        <v>1</v>
      </c>
      <c r="C8457" t="str">
        <f t="shared" ref="C8457:C8481" si="494">"374"</f>
        <v>374</v>
      </c>
      <c r="D8457" t="str">
        <f>"23"</f>
        <v>23</v>
      </c>
      <c r="E8457" t="str">
        <f>"1-374-23"</f>
        <v>1-374-23</v>
      </c>
      <c r="F8457" t="s">
        <v>83</v>
      </c>
      <c r="G8457" t="s">
        <v>84</v>
      </c>
      <c r="H8457" t="s">
        <v>85</v>
      </c>
      <c r="AC8457">
        <v>1</v>
      </c>
      <c r="AD8457">
        <v>0</v>
      </c>
      <c r="AE8457">
        <v>0</v>
      </c>
      <c r="AF8457">
        <v>0</v>
      </c>
      <c r="AG8457">
        <v>1</v>
      </c>
      <c r="AJ8457">
        <v>0</v>
      </c>
      <c r="AK8457">
        <v>1</v>
      </c>
      <c r="AL8457">
        <v>0</v>
      </c>
      <c r="AM8457">
        <v>1</v>
      </c>
      <c r="AN8457">
        <v>0</v>
      </c>
      <c r="AO8457">
        <v>1</v>
      </c>
      <c r="AP8457">
        <v>1</v>
      </c>
      <c r="AQ8457">
        <v>1</v>
      </c>
      <c r="AR8457">
        <v>1</v>
      </c>
      <c r="AS8457">
        <v>1</v>
      </c>
      <c r="AT8457">
        <v>0</v>
      </c>
      <c r="AV8457">
        <v>1</v>
      </c>
      <c r="AW8457">
        <v>1</v>
      </c>
    </row>
    <row r="8458" spans="1:49" x14ac:dyDescent="0.25">
      <c r="A8458" t="str">
        <f>"8454"</f>
        <v>8454</v>
      </c>
      <c r="B8458" t="str">
        <f t="shared" si="491"/>
        <v>1</v>
      </c>
      <c r="C8458" t="str">
        <f t="shared" si="494"/>
        <v>374</v>
      </c>
      <c r="D8458" t="str">
        <f>"22"</f>
        <v>22</v>
      </c>
      <c r="E8458" t="str">
        <f>"1-374-22"</f>
        <v>1-374-22</v>
      </c>
      <c r="F8458" t="s">
        <v>83</v>
      </c>
      <c r="G8458" t="s">
        <v>84</v>
      </c>
      <c r="H8458" t="s">
        <v>85</v>
      </c>
      <c r="AC8458">
        <v>1</v>
      </c>
      <c r="AD8458">
        <v>0</v>
      </c>
      <c r="AE8458">
        <v>0</v>
      </c>
      <c r="AF8458">
        <v>0</v>
      </c>
      <c r="AG8458">
        <v>0</v>
      </c>
      <c r="AJ8458">
        <v>1</v>
      </c>
      <c r="AK8458">
        <v>0</v>
      </c>
      <c r="AL8458">
        <v>0</v>
      </c>
      <c r="AM8458">
        <v>1</v>
      </c>
      <c r="AN8458">
        <v>0</v>
      </c>
      <c r="AO8458">
        <v>0</v>
      </c>
      <c r="AP8458">
        <v>0</v>
      </c>
      <c r="AQ8458">
        <v>0</v>
      </c>
      <c r="AR8458">
        <v>0</v>
      </c>
      <c r="AS8458">
        <v>0</v>
      </c>
      <c r="AT8458">
        <v>1</v>
      </c>
      <c r="AV8458">
        <v>0</v>
      </c>
      <c r="AW8458">
        <v>0</v>
      </c>
    </row>
    <row r="8459" spans="1:49" x14ac:dyDescent="0.25">
      <c r="A8459" t="str">
        <f>"8455"</f>
        <v>8455</v>
      </c>
      <c r="B8459" t="str">
        <f t="shared" si="491"/>
        <v>1</v>
      </c>
      <c r="C8459" t="str">
        <f t="shared" si="494"/>
        <v>374</v>
      </c>
      <c r="D8459" t="str">
        <f>"15"</f>
        <v>15</v>
      </c>
      <c r="E8459" t="str">
        <f>"1-374-15"</f>
        <v>1-374-15</v>
      </c>
      <c r="F8459" t="s">
        <v>83</v>
      </c>
      <c r="G8459" t="s">
        <v>84</v>
      </c>
      <c r="H8459" t="s">
        <v>92</v>
      </c>
      <c r="I8459">
        <v>1</v>
      </c>
      <c r="J8459">
        <v>1</v>
      </c>
      <c r="N8459">
        <v>1</v>
      </c>
      <c r="O8459">
        <v>1</v>
      </c>
      <c r="P8459">
        <v>1</v>
      </c>
      <c r="Q8459">
        <v>1</v>
      </c>
      <c r="R8459">
        <v>1</v>
      </c>
      <c r="S8459">
        <v>1</v>
      </c>
      <c r="T8459">
        <v>1</v>
      </c>
      <c r="W8459">
        <v>1</v>
      </c>
      <c r="X8459">
        <v>1</v>
      </c>
      <c r="Y8459">
        <v>1</v>
      </c>
      <c r="Z8459">
        <v>1</v>
      </c>
      <c r="AA8459">
        <v>1</v>
      </c>
      <c r="AB8459">
        <v>1</v>
      </c>
    </row>
    <row r="8460" spans="1:49" s="2" customFormat="1" x14ac:dyDescent="0.25">
      <c r="A8460" s="3" t="str">
        <f>"8456"</f>
        <v>8456</v>
      </c>
      <c r="B8460" s="3" t="str">
        <f t="shared" si="491"/>
        <v>1</v>
      </c>
      <c r="C8460" s="3" t="str">
        <f t="shared" si="494"/>
        <v>374</v>
      </c>
      <c r="D8460" s="3" t="str">
        <f>"14"</f>
        <v>14</v>
      </c>
      <c r="E8460" s="3" t="str">
        <f>"1-374-14"</f>
        <v>1-374-14</v>
      </c>
      <c r="F8460" s="3" t="s">
        <v>83</v>
      </c>
      <c r="G8460" s="4" t="s">
        <v>96</v>
      </c>
      <c r="I8460" s="4"/>
    </row>
    <row r="8461" spans="1:49" x14ac:dyDescent="0.25">
      <c r="A8461" t="str">
        <f>"8457"</f>
        <v>8457</v>
      </c>
      <c r="B8461" t="str">
        <f t="shared" si="491"/>
        <v>1</v>
      </c>
      <c r="C8461" t="str">
        <f t="shared" si="494"/>
        <v>374</v>
      </c>
      <c r="D8461" t="str">
        <f>"9"</f>
        <v>9</v>
      </c>
      <c r="E8461" t="str">
        <f>"1-374-9"</f>
        <v>1-374-9</v>
      </c>
      <c r="F8461" t="s">
        <v>83</v>
      </c>
      <c r="G8461" t="s">
        <v>84</v>
      </c>
      <c r="H8461" t="s">
        <v>85</v>
      </c>
      <c r="AC8461">
        <v>0</v>
      </c>
      <c r="AD8461">
        <v>1</v>
      </c>
      <c r="AE8461">
        <v>0</v>
      </c>
      <c r="AF8461">
        <v>0</v>
      </c>
      <c r="AG8461">
        <v>0</v>
      </c>
      <c r="AJ8461">
        <v>0</v>
      </c>
      <c r="AK8461">
        <v>1</v>
      </c>
      <c r="AL8461">
        <v>0</v>
      </c>
      <c r="AM8461">
        <v>0</v>
      </c>
      <c r="AN8461">
        <v>1</v>
      </c>
      <c r="AO8461">
        <v>0</v>
      </c>
      <c r="AP8461">
        <v>0</v>
      </c>
      <c r="AQ8461">
        <v>0</v>
      </c>
      <c r="AR8461">
        <v>0</v>
      </c>
      <c r="AS8461">
        <v>0</v>
      </c>
      <c r="AT8461">
        <v>1</v>
      </c>
      <c r="AV8461">
        <v>0</v>
      </c>
      <c r="AW8461">
        <v>0</v>
      </c>
    </row>
    <row r="8462" spans="1:49" x14ac:dyDescent="0.25">
      <c r="A8462" t="str">
        <f>"8458"</f>
        <v>8458</v>
      </c>
      <c r="B8462" t="str">
        <f t="shared" si="491"/>
        <v>1</v>
      </c>
      <c r="C8462" t="str">
        <f t="shared" si="494"/>
        <v>374</v>
      </c>
      <c r="D8462" t="str">
        <f>"8"</f>
        <v>8</v>
      </c>
      <c r="E8462" t="str">
        <f>"1-374-8"</f>
        <v>1-374-8</v>
      </c>
      <c r="F8462" t="s">
        <v>83</v>
      </c>
      <c r="G8462" t="s">
        <v>86</v>
      </c>
      <c r="H8462" t="s">
        <v>93</v>
      </c>
      <c r="I8462">
        <v>1</v>
      </c>
      <c r="K8462">
        <v>0</v>
      </c>
      <c r="L8462">
        <v>0</v>
      </c>
      <c r="M8462">
        <v>1</v>
      </c>
      <c r="N8462">
        <v>1</v>
      </c>
      <c r="O8462">
        <v>1</v>
      </c>
      <c r="P8462">
        <v>1</v>
      </c>
      <c r="Q8462">
        <v>1</v>
      </c>
      <c r="R8462">
        <v>1</v>
      </c>
      <c r="U8462">
        <v>1</v>
      </c>
      <c r="V8462">
        <v>0</v>
      </c>
      <c r="W8462">
        <v>1</v>
      </c>
      <c r="X8462">
        <v>1</v>
      </c>
      <c r="Y8462">
        <v>1</v>
      </c>
      <c r="Z8462">
        <v>1</v>
      </c>
      <c r="AA8462">
        <v>1</v>
      </c>
      <c r="AB8462">
        <v>1</v>
      </c>
    </row>
    <row r="8463" spans="1:49" x14ac:dyDescent="0.25">
      <c r="A8463" t="str">
        <f>"8459"</f>
        <v>8459</v>
      </c>
      <c r="B8463" t="str">
        <f t="shared" si="491"/>
        <v>1</v>
      </c>
      <c r="C8463" t="str">
        <f t="shared" si="494"/>
        <v>374</v>
      </c>
      <c r="D8463" t="str">
        <f>"3"</f>
        <v>3</v>
      </c>
      <c r="E8463" t="str">
        <f>"1-374-3"</f>
        <v>1-374-3</v>
      </c>
      <c r="F8463" t="s">
        <v>83</v>
      </c>
      <c r="G8463" t="s">
        <v>86</v>
      </c>
      <c r="H8463" t="s">
        <v>87</v>
      </c>
      <c r="AC8463">
        <v>1</v>
      </c>
      <c r="AD8463">
        <v>0</v>
      </c>
      <c r="AE8463">
        <v>0</v>
      </c>
      <c r="AF8463">
        <v>0</v>
      </c>
      <c r="AH8463">
        <v>1</v>
      </c>
      <c r="AI8463">
        <v>0</v>
      </c>
      <c r="AJ8463">
        <v>0</v>
      </c>
      <c r="AK8463">
        <v>1</v>
      </c>
      <c r="AL8463">
        <v>1</v>
      </c>
      <c r="AM8463">
        <v>0</v>
      </c>
      <c r="AN8463">
        <v>0</v>
      </c>
      <c r="AO8463">
        <v>1</v>
      </c>
      <c r="AP8463">
        <v>1</v>
      </c>
      <c r="AQ8463">
        <v>1</v>
      </c>
      <c r="AU8463">
        <v>1</v>
      </c>
      <c r="AV8463">
        <v>1</v>
      </c>
      <c r="AW8463">
        <v>1</v>
      </c>
    </row>
    <row r="8464" spans="1:49" x14ac:dyDescent="0.25">
      <c r="A8464" t="str">
        <f>"8460"</f>
        <v>8460</v>
      </c>
      <c r="B8464" t="str">
        <f t="shared" si="491"/>
        <v>1</v>
      </c>
      <c r="C8464" t="str">
        <f t="shared" si="494"/>
        <v>374</v>
      </c>
      <c r="D8464" t="str">
        <f>"25"</f>
        <v>25</v>
      </c>
      <c r="E8464" t="str">
        <f>"1-374-25"</f>
        <v>1-374-25</v>
      </c>
      <c r="F8464" t="s">
        <v>83</v>
      </c>
      <c r="G8464" t="s">
        <v>86</v>
      </c>
      <c r="H8464" t="s">
        <v>93</v>
      </c>
      <c r="I8464">
        <v>1</v>
      </c>
      <c r="K8464">
        <v>0</v>
      </c>
      <c r="L8464">
        <v>0</v>
      </c>
      <c r="M8464">
        <v>1</v>
      </c>
      <c r="N8464">
        <v>1</v>
      </c>
      <c r="O8464">
        <v>1</v>
      </c>
      <c r="P8464">
        <v>1</v>
      </c>
      <c r="Q8464">
        <v>1</v>
      </c>
      <c r="R8464">
        <v>1</v>
      </c>
      <c r="U8464">
        <v>0</v>
      </c>
      <c r="V8464">
        <v>1</v>
      </c>
      <c r="W8464">
        <v>1</v>
      </c>
      <c r="X8464">
        <v>1</v>
      </c>
      <c r="Y8464">
        <v>1</v>
      </c>
      <c r="Z8464">
        <v>1</v>
      </c>
      <c r="AA8464">
        <v>1</v>
      </c>
      <c r="AB8464">
        <v>1</v>
      </c>
    </row>
    <row r="8465" spans="1:49" x14ac:dyDescent="0.25">
      <c r="A8465" t="str">
        <f>"8461"</f>
        <v>8461</v>
      </c>
      <c r="B8465" t="str">
        <f t="shared" si="491"/>
        <v>1</v>
      </c>
      <c r="C8465" t="str">
        <f t="shared" si="494"/>
        <v>374</v>
      </c>
      <c r="D8465" t="str">
        <f>"24"</f>
        <v>24</v>
      </c>
      <c r="E8465" t="str">
        <f>"1-374-24"</f>
        <v>1-374-24</v>
      </c>
      <c r="F8465" t="s">
        <v>83</v>
      </c>
      <c r="G8465" t="s">
        <v>86</v>
      </c>
      <c r="H8465" t="s">
        <v>87</v>
      </c>
      <c r="AC8465">
        <v>0</v>
      </c>
      <c r="AD8465">
        <v>0</v>
      </c>
      <c r="AE8465">
        <v>0</v>
      </c>
      <c r="AF8465">
        <v>0</v>
      </c>
      <c r="AH8465">
        <v>0</v>
      </c>
      <c r="AI8465">
        <v>1</v>
      </c>
      <c r="AJ8465">
        <v>0</v>
      </c>
      <c r="AK8465">
        <v>0</v>
      </c>
      <c r="AL8465">
        <v>0</v>
      </c>
      <c r="AM8465">
        <v>0</v>
      </c>
      <c r="AN8465">
        <v>0</v>
      </c>
      <c r="AO8465">
        <v>0</v>
      </c>
      <c r="AP8465">
        <v>0</v>
      </c>
      <c r="AQ8465">
        <v>0</v>
      </c>
      <c r="AU8465">
        <v>0</v>
      </c>
      <c r="AV8465">
        <v>0</v>
      </c>
      <c r="AW8465">
        <v>0</v>
      </c>
    </row>
    <row r="8466" spans="1:49" x14ac:dyDescent="0.25">
      <c r="A8466" t="str">
        <f>"8462"</f>
        <v>8462</v>
      </c>
      <c r="B8466" t="str">
        <f t="shared" si="491"/>
        <v>1</v>
      </c>
      <c r="C8466" t="str">
        <f t="shared" si="494"/>
        <v>374</v>
      </c>
      <c r="D8466" t="str">
        <f>"10"</f>
        <v>10</v>
      </c>
      <c r="E8466" t="str">
        <f>"1-374-10"</f>
        <v>1-374-10</v>
      </c>
      <c r="F8466" t="s">
        <v>83</v>
      </c>
      <c r="G8466" t="s">
        <v>84</v>
      </c>
      <c r="H8466" t="s">
        <v>85</v>
      </c>
      <c r="AC8466">
        <v>1</v>
      </c>
      <c r="AD8466">
        <v>0</v>
      </c>
      <c r="AE8466">
        <v>0</v>
      </c>
      <c r="AF8466">
        <v>0</v>
      </c>
      <c r="AG8466">
        <v>1</v>
      </c>
      <c r="AJ8466">
        <v>0</v>
      </c>
      <c r="AK8466">
        <v>1</v>
      </c>
      <c r="AL8466">
        <v>1</v>
      </c>
      <c r="AM8466">
        <v>0</v>
      </c>
      <c r="AN8466">
        <v>0</v>
      </c>
      <c r="AO8466">
        <v>1</v>
      </c>
      <c r="AP8466">
        <v>1</v>
      </c>
      <c r="AQ8466">
        <v>1</v>
      </c>
      <c r="AR8466">
        <v>1</v>
      </c>
      <c r="AS8466">
        <v>1</v>
      </c>
      <c r="AT8466">
        <v>0</v>
      </c>
      <c r="AV8466">
        <v>1</v>
      </c>
      <c r="AW8466">
        <v>1</v>
      </c>
    </row>
    <row r="8467" spans="1:49" x14ac:dyDescent="0.25">
      <c r="A8467" t="str">
        <f>"8463"</f>
        <v>8463</v>
      </c>
      <c r="B8467" t="str">
        <f t="shared" si="491"/>
        <v>1</v>
      </c>
      <c r="C8467" t="str">
        <f t="shared" si="494"/>
        <v>374</v>
      </c>
      <c r="D8467" t="str">
        <f>"5"</f>
        <v>5</v>
      </c>
      <c r="E8467" t="str">
        <f>"1-374-5"</f>
        <v>1-374-5</v>
      </c>
      <c r="F8467" t="s">
        <v>83</v>
      </c>
      <c r="G8467" t="s">
        <v>86</v>
      </c>
      <c r="H8467" t="s">
        <v>87</v>
      </c>
      <c r="AC8467">
        <v>0</v>
      </c>
      <c r="AD8467">
        <v>1</v>
      </c>
      <c r="AE8467">
        <v>0</v>
      </c>
      <c r="AF8467">
        <v>0</v>
      </c>
      <c r="AH8467">
        <v>0</v>
      </c>
      <c r="AI8467">
        <v>1</v>
      </c>
      <c r="AJ8467">
        <v>0</v>
      </c>
      <c r="AK8467">
        <v>0</v>
      </c>
      <c r="AL8467">
        <v>0</v>
      </c>
      <c r="AM8467">
        <v>1</v>
      </c>
      <c r="AN8467">
        <v>0</v>
      </c>
      <c r="AO8467">
        <v>0</v>
      </c>
      <c r="AP8467">
        <v>0</v>
      </c>
      <c r="AQ8467">
        <v>0</v>
      </c>
      <c r="AU8467">
        <v>0</v>
      </c>
      <c r="AV8467">
        <v>0</v>
      </c>
      <c r="AW8467">
        <v>0</v>
      </c>
    </row>
    <row r="8468" spans="1:49" x14ac:dyDescent="0.25">
      <c r="A8468" t="str">
        <f>"8464"</f>
        <v>8464</v>
      </c>
      <c r="B8468" t="str">
        <f t="shared" si="491"/>
        <v>1</v>
      </c>
      <c r="C8468" t="str">
        <f t="shared" si="494"/>
        <v>374</v>
      </c>
      <c r="D8468" t="str">
        <f>"18"</f>
        <v>18</v>
      </c>
      <c r="E8468" t="str">
        <f>"1-374-18"</f>
        <v>1-374-18</v>
      </c>
      <c r="F8468" t="s">
        <v>83</v>
      </c>
      <c r="G8468" t="s">
        <v>84</v>
      </c>
      <c r="H8468" t="s">
        <v>92</v>
      </c>
      <c r="I8468">
        <v>1</v>
      </c>
      <c r="J8468">
        <v>1</v>
      </c>
      <c r="N8468">
        <v>1</v>
      </c>
      <c r="O8468">
        <v>1</v>
      </c>
      <c r="P8468">
        <v>1</v>
      </c>
      <c r="Q8468">
        <v>1</v>
      </c>
      <c r="R8468">
        <v>1</v>
      </c>
      <c r="S8468">
        <v>1</v>
      </c>
      <c r="T8468">
        <v>1</v>
      </c>
      <c r="W8468">
        <v>1</v>
      </c>
      <c r="X8468">
        <v>1</v>
      </c>
      <c r="Y8468">
        <v>1</v>
      </c>
      <c r="Z8468">
        <v>1</v>
      </c>
      <c r="AA8468">
        <v>1</v>
      </c>
      <c r="AB8468">
        <v>1</v>
      </c>
    </row>
    <row r="8469" spans="1:49" x14ac:dyDescent="0.25">
      <c r="A8469" t="str">
        <f>"8465"</f>
        <v>8465</v>
      </c>
      <c r="B8469" t="str">
        <f t="shared" si="491"/>
        <v>1</v>
      </c>
      <c r="C8469" t="str">
        <f t="shared" si="494"/>
        <v>374</v>
      </c>
      <c r="D8469" t="str">
        <f>"11"</f>
        <v>11</v>
      </c>
      <c r="E8469" t="str">
        <f>"1-374-11"</f>
        <v>1-374-11</v>
      </c>
      <c r="F8469" t="s">
        <v>83</v>
      </c>
      <c r="G8469" t="s">
        <v>84</v>
      </c>
      <c r="H8469" t="s">
        <v>85</v>
      </c>
      <c r="AC8469">
        <v>1</v>
      </c>
      <c r="AD8469">
        <v>0</v>
      </c>
      <c r="AE8469">
        <v>0</v>
      </c>
      <c r="AF8469">
        <v>0</v>
      </c>
      <c r="AG8469">
        <v>1</v>
      </c>
      <c r="AJ8469">
        <v>0</v>
      </c>
      <c r="AK8469">
        <v>1</v>
      </c>
      <c r="AL8469">
        <v>1</v>
      </c>
      <c r="AM8469">
        <v>0</v>
      </c>
      <c r="AN8469">
        <v>0</v>
      </c>
      <c r="AO8469">
        <v>1</v>
      </c>
      <c r="AP8469">
        <v>1</v>
      </c>
      <c r="AQ8469">
        <v>1</v>
      </c>
      <c r="AR8469">
        <v>1</v>
      </c>
      <c r="AS8469">
        <v>1</v>
      </c>
      <c r="AT8469">
        <v>0</v>
      </c>
      <c r="AV8469">
        <v>1</v>
      </c>
      <c r="AW8469">
        <v>1</v>
      </c>
    </row>
    <row r="8470" spans="1:49" x14ac:dyDescent="0.25">
      <c r="A8470" t="str">
        <f>"8466"</f>
        <v>8466</v>
      </c>
      <c r="B8470" t="str">
        <f t="shared" si="491"/>
        <v>1</v>
      </c>
      <c r="C8470" t="str">
        <f t="shared" si="494"/>
        <v>374</v>
      </c>
      <c r="D8470" t="str">
        <f>"7"</f>
        <v>7</v>
      </c>
      <c r="E8470" t="str">
        <f>"1-374-7"</f>
        <v>1-374-7</v>
      </c>
      <c r="F8470" t="s">
        <v>83</v>
      </c>
      <c r="G8470" t="s">
        <v>86</v>
      </c>
      <c r="H8470" t="s">
        <v>93</v>
      </c>
      <c r="I8470">
        <v>1</v>
      </c>
      <c r="K8470">
        <v>1</v>
      </c>
      <c r="L8470">
        <v>0</v>
      </c>
      <c r="M8470">
        <v>0</v>
      </c>
      <c r="N8470">
        <v>1</v>
      </c>
      <c r="O8470">
        <v>1</v>
      </c>
      <c r="P8470">
        <v>1</v>
      </c>
      <c r="Q8470">
        <v>1</v>
      </c>
      <c r="R8470">
        <v>1</v>
      </c>
      <c r="U8470">
        <v>1</v>
      </c>
      <c r="V8470">
        <v>0</v>
      </c>
      <c r="W8470">
        <v>1</v>
      </c>
      <c r="X8470">
        <v>1</v>
      </c>
      <c r="Y8470">
        <v>1</v>
      </c>
      <c r="Z8470">
        <v>1</v>
      </c>
      <c r="AA8470">
        <v>1</v>
      </c>
      <c r="AB8470">
        <v>1</v>
      </c>
    </row>
    <row r="8471" spans="1:49" x14ac:dyDescent="0.25">
      <c r="A8471" t="str">
        <f>"8467"</f>
        <v>8467</v>
      </c>
      <c r="B8471" t="str">
        <f t="shared" si="491"/>
        <v>1</v>
      </c>
      <c r="C8471" t="str">
        <f t="shared" si="494"/>
        <v>374</v>
      </c>
      <c r="D8471" t="str">
        <f>"21"</f>
        <v>21</v>
      </c>
      <c r="E8471" t="str">
        <f>"1-374-21"</f>
        <v>1-374-21</v>
      </c>
      <c r="F8471" t="s">
        <v>83</v>
      </c>
      <c r="G8471" t="s">
        <v>84</v>
      </c>
      <c r="H8471" t="s">
        <v>92</v>
      </c>
      <c r="I8471">
        <v>1</v>
      </c>
      <c r="J8471">
        <v>1</v>
      </c>
      <c r="N8471">
        <v>1</v>
      </c>
      <c r="O8471">
        <v>1</v>
      </c>
      <c r="P8471">
        <v>1</v>
      </c>
      <c r="Q8471">
        <v>1</v>
      </c>
      <c r="R8471">
        <v>1</v>
      </c>
      <c r="S8471">
        <v>1</v>
      </c>
      <c r="T8471">
        <v>1</v>
      </c>
      <c r="W8471">
        <v>1</v>
      </c>
      <c r="X8471">
        <v>1</v>
      </c>
      <c r="Y8471">
        <v>1</v>
      </c>
      <c r="Z8471">
        <v>1</v>
      </c>
      <c r="AA8471">
        <v>1</v>
      </c>
      <c r="AB8471">
        <v>1</v>
      </c>
    </row>
    <row r="8472" spans="1:49" x14ac:dyDescent="0.25">
      <c r="A8472" t="str">
        <f>"8468"</f>
        <v>8468</v>
      </c>
      <c r="B8472" t="str">
        <f t="shared" si="491"/>
        <v>1</v>
      </c>
      <c r="C8472" t="str">
        <f t="shared" si="494"/>
        <v>374</v>
      </c>
      <c r="D8472" t="str">
        <f>"12"</f>
        <v>12</v>
      </c>
      <c r="E8472" t="str">
        <f>"1-374-12"</f>
        <v>1-374-12</v>
      </c>
      <c r="F8472" t="s">
        <v>83</v>
      </c>
      <c r="G8472" t="s">
        <v>90</v>
      </c>
      <c r="H8472" t="s">
        <v>94</v>
      </c>
      <c r="I8472">
        <v>1</v>
      </c>
      <c r="K8472">
        <v>0</v>
      </c>
      <c r="L8472">
        <v>0</v>
      </c>
      <c r="M8472">
        <v>1</v>
      </c>
      <c r="N8472">
        <v>1</v>
      </c>
      <c r="O8472">
        <v>1</v>
      </c>
      <c r="P8472">
        <v>1</v>
      </c>
      <c r="Q8472">
        <v>1</v>
      </c>
      <c r="R8472">
        <v>1</v>
      </c>
      <c r="S8472">
        <v>1</v>
      </c>
      <c r="U8472">
        <v>1</v>
      </c>
      <c r="V8472">
        <v>0</v>
      </c>
      <c r="W8472">
        <v>1</v>
      </c>
      <c r="X8472">
        <v>1</v>
      </c>
      <c r="Y8472">
        <v>1</v>
      </c>
      <c r="Z8472">
        <v>1</v>
      </c>
      <c r="AA8472">
        <v>1</v>
      </c>
      <c r="AB8472">
        <v>1</v>
      </c>
    </row>
    <row r="8473" spans="1:49" x14ac:dyDescent="0.25">
      <c r="A8473" t="str">
        <f>"8469"</f>
        <v>8469</v>
      </c>
      <c r="B8473" t="str">
        <f t="shared" si="491"/>
        <v>1</v>
      </c>
      <c r="C8473" t="str">
        <f t="shared" si="494"/>
        <v>374</v>
      </c>
      <c r="D8473" t="str">
        <f>"1"</f>
        <v>1</v>
      </c>
      <c r="E8473" t="str">
        <f>"1-374-1"</f>
        <v>1-374-1</v>
      </c>
      <c r="F8473" t="s">
        <v>83</v>
      </c>
      <c r="G8473" t="s">
        <v>86</v>
      </c>
      <c r="H8473" t="s">
        <v>93</v>
      </c>
      <c r="I8473">
        <v>1</v>
      </c>
      <c r="K8473">
        <v>0</v>
      </c>
      <c r="L8473">
        <v>0</v>
      </c>
      <c r="M8473">
        <v>1</v>
      </c>
      <c r="N8473">
        <v>1</v>
      </c>
      <c r="O8473">
        <v>1</v>
      </c>
      <c r="P8473">
        <v>1</v>
      </c>
      <c r="Q8473">
        <v>1</v>
      </c>
      <c r="R8473">
        <v>1</v>
      </c>
      <c r="U8473">
        <v>1</v>
      </c>
      <c r="V8473">
        <v>0</v>
      </c>
      <c r="W8473">
        <v>1</v>
      </c>
      <c r="X8473">
        <v>1</v>
      </c>
      <c r="Y8473">
        <v>1</v>
      </c>
      <c r="Z8473">
        <v>1</v>
      </c>
      <c r="AA8473">
        <v>1</v>
      </c>
      <c r="AB8473">
        <v>1</v>
      </c>
    </row>
    <row r="8474" spans="1:49" x14ac:dyDescent="0.25">
      <c r="A8474" t="str">
        <f>"8470"</f>
        <v>8470</v>
      </c>
      <c r="B8474" t="str">
        <f t="shared" si="491"/>
        <v>1</v>
      </c>
      <c r="C8474" t="str">
        <f t="shared" si="494"/>
        <v>374</v>
      </c>
      <c r="D8474" t="str">
        <f>"20"</f>
        <v>20</v>
      </c>
      <c r="E8474" t="str">
        <f>"1-374-20"</f>
        <v>1-374-20</v>
      </c>
      <c r="F8474" t="s">
        <v>83</v>
      </c>
      <c r="G8474" t="s">
        <v>84</v>
      </c>
      <c r="H8474" t="s">
        <v>85</v>
      </c>
      <c r="AC8474">
        <v>0</v>
      </c>
      <c r="AD8474">
        <v>1</v>
      </c>
      <c r="AE8474">
        <v>0</v>
      </c>
      <c r="AF8474">
        <v>0</v>
      </c>
      <c r="AG8474">
        <v>1</v>
      </c>
      <c r="AJ8474">
        <v>0</v>
      </c>
      <c r="AK8474">
        <v>1</v>
      </c>
      <c r="AL8474">
        <v>0</v>
      </c>
      <c r="AM8474">
        <v>1</v>
      </c>
      <c r="AN8474">
        <v>0</v>
      </c>
      <c r="AO8474">
        <v>1</v>
      </c>
      <c r="AP8474">
        <v>1</v>
      </c>
      <c r="AQ8474">
        <v>1</v>
      </c>
      <c r="AR8474">
        <v>1</v>
      </c>
      <c r="AS8474">
        <v>0</v>
      </c>
      <c r="AT8474">
        <v>1</v>
      </c>
      <c r="AV8474">
        <v>1</v>
      </c>
      <c r="AW8474">
        <v>1</v>
      </c>
    </row>
    <row r="8475" spans="1:49" x14ac:dyDescent="0.25">
      <c r="A8475" t="str">
        <f>"8471"</f>
        <v>8471</v>
      </c>
      <c r="B8475" t="str">
        <f t="shared" si="491"/>
        <v>1</v>
      </c>
      <c r="C8475" t="str">
        <f t="shared" si="494"/>
        <v>374</v>
      </c>
      <c r="D8475" t="str">
        <f>"13"</f>
        <v>13</v>
      </c>
      <c r="E8475" t="str">
        <f>"1-374-13"</f>
        <v>1-374-13</v>
      </c>
      <c r="F8475" t="s">
        <v>83</v>
      </c>
      <c r="G8475" t="s">
        <v>90</v>
      </c>
      <c r="H8475" t="s">
        <v>94</v>
      </c>
      <c r="I8475">
        <v>1</v>
      </c>
      <c r="K8475">
        <v>0</v>
      </c>
      <c r="L8475">
        <v>0</v>
      </c>
      <c r="M8475">
        <v>1</v>
      </c>
      <c r="N8475">
        <v>1</v>
      </c>
      <c r="O8475">
        <v>1</v>
      </c>
      <c r="P8475">
        <v>1</v>
      </c>
      <c r="Q8475">
        <v>1</v>
      </c>
      <c r="R8475">
        <v>1</v>
      </c>
      <c r="S8475">
        <v>1</v>
      </c>
      <c r="U8475">
        <v>0</v>
      </c>
      <c r="V8475">
        <v>1</v>
      </c>
      <c r="W8475">
        <v>1</v>
      </c>
      <c r="X8475">
        <v>1</v>
      </c>
      <c r="Y8475">
        <v>1</v>
      </c>
      <c r="Z8475">
        <v>1</v>
      </c>
      <c r="AA8475">
        <v>1</v>
      </c>
      <c r="AB8475">
        <v>1</v>
      </c>
    </row>
    <row r="8476" spans="1:49" x14ac:dyDescent="0.25">
      <c r="A8476" t="str">
        <f>"8472"</f>
        <v>8472</v>
      </c>
      <c r="B8476" t="str">
        <f t="shared" si="491"/>
        <v>1</v>
      </c>
      <c r="C8476" t="str">
        <f t="shared" si="494"/>
        <v>374</v>
      </c>
      <c r="D8476" t="str">
        <f>"4"</f>
        <v>4</v>
      </c>
      <c r="E8476" t="str">
        <f>"1-374-4"</f>
        <v>1-374-4</v>
      </c>
      <c r="F8476" t="s">
        <v>83</v>
      </c>
      <c r="G8476" t="s">
        <v>84</v>
      </c>
      <c r="H8476" t="s">
        <v>85</v>
      </c>
      <c r="AC8476">
        <v>0</v>
      </c>
      <c r="AD8476">
        <v>1</v>
      </c>
      <c r="AE8476">
        <v>0</v>
      </c>
      <c r="AF8476">
        <v>0</v>
      </c>
      <c r="AG8476">
        <v>0</v>
      </c>
      <c r="AJ8476">
        <v>0</v>
      </c>
      <c r="AK8476">
        <v>1</v>
      </c>
      <c r="AL8476">
        <v>0</v>
      </c>
      <c r="AM8476">
        <v>0</v>
      </c>
      <c r="AN8476">
        <v>1</v>
      </c>
      <c r="AO8476">
        <v>0</v>
      </c>
      <c r="AP8476">
        <v>0</v>
      </c>
      <c r="AQ8476">
        <v>0</v>
      </c>
      <c r="AR8476">
        <v>0</v>
      </c>
      <c r="AS8476">
        <v>1</v>
      </c>
      <c r="AT8476">
        <v>0</v>
      </c>
      <c r="AV8476">
        <v>0</v>
      </c>
      <c r="AW8476">
        <v>0</v>
      </c>
    </row>
    <row r="8477" spans="1:49" x14ac:dyDescent="0.25">
      <c r="A8477" t="str">
        <f>"8473"</f>
        <v>8473</v>
      </c>
      <c r="B8477" t="str">
        <f t="shared" si="491"/>
        <v>1</v>
      </c>
      <c r="C8477" t="str">
        <f t="shared" si="494"/>
        <v>374</v>
      </c>
      <c r="D8477" t="str">
        <f>"16"</f>
        <v>16</v>
      </c>
      <c r="E8477" t="str">
        <f>"1-374-16"</f>
        <v>1-374-16</v>
      </c>
      <c r="F8477" t="s">
        <v>83</v>
      </c>
      <c r="G8477" t="s">
        <v>84</v>
      </c>
      <c r="H8477" t="s">
        <v>92</v>
      </c>
      <c r="I8477">
        <v>1</v>
      </c>
      <c r="J8477">
        <v>1</v>
      </c>
      <c r="N8477">
        <v>1</v>
      </c>
      <c r="O8477">
        <v>1</v>
      </c>
      <c r="P8477">
        <v>1</v>
      </c>
      <c r="Q8477">
        <v>1</v>
      </c>
      <c r="R8477">
        <v>1</v>
      </c>
      <c r="S8477">
        <v>1</v>
      </c>
      <c r="T8477">
        <v>0</v>
      </c>
      <c r="W8477">
        <v>0</v>
      </c>
      <c r="X8477">
        <v>1</v>
      </c>
      <c r="Y8477">
        <v>1</v>
      </c>
      <c r="Z8477">
        <v>1</v>
      </c>
      <c r="AA8477">
        <v>1</v>
      </c>
      <c r="AB8477">
        <v>1</v>
      </c>
    </row>
    <row r="8478" spans="1:49" x14ac:dyDescent="0.25">
      <c r="A8478" t="str">
        <f>"8474"</f>
        <v>8474</v>
      </c>
      <c r="B8478" t="str">
        <f t="shared" ref="B8478:B8541" si="495">"1"</f>
        <v>1</v>
      </c>
      <c r="C8478" t="str">
        <f t="shared" si="494"/>
        <v>374</v>
      </c>
      <c r="D8478" t="str">
        <f>"6"</f>
        <v>6</v>
      </c>
      <c r="E8478" t="str">
        <f>"1-374-6"</f>
        <v>1-374-6</v>
      </c>
      <c r="F8478" t="s">
        <v>83</v>
      </c>
      <c r="G8478" t="s">
        <v>86</v>
      </c>
      <c r="H8478" t="s">
        <v>87</v>
      </c>
      <c r="AC8478">
        <v>0</v>
      </c>
      <c r="AD8478">
        <v>1</v>
      </c>
      <c r="AE8478">
        <v>0</v>
      </c>
      <c r="AF8478">
        <v>0</v>
      </c>
      <c r="AH8478">
        <v>1</v>
      </c>
      <c r="AI8478">
        <v>0</v>
      </c>
      <c r="AJ8478">
        <v>0</v>
      </c>
      <c r="AK8478">
        <v>1</v>
      </c>
      <c r="AL8478">
        <v>0</v>
      </c>
      <c r="AM8478">
        <v>1</v>
      </c>
      <c r="AN8478">
        <v>0</v>
      </c>
      <c r="AO8478">
        <v>1</v>
      </c>
      <c r="AP8478">
        <v>1</v>
      </c>
      <c r="AQ8478">
        <v>1</v>
      </c>
      <c r="AU8478">
        <v>1</v>
      </c>
      <c r="AV8478">
        <v>1</v>
      </c>
      <c r="AW8478">
        <v>1</v>
      </c>
    </row>
    <row r="8479" spans="1:49" x14ac:dyDescent="0.25">
      <c r="A8479" t="str">
        <f>"8475"</f>
        <v>8475</v>
      </c>
      <c r="B8479" t="str">
        <f t="shared" si="495"/>
        <v>1</v>
      </c>
      <c r="C8479" t="str">
        <f t="shared" si="494"/>
        <v>374</v>
      </c>
      <c r="D8479" t="str">
        <f>"17"</f>
        <v>17</v>
      </c>
      <c r="E8479" t="str">
        <f>"1-374-17"</f>
        <v>1-374-17</v>
      </c>
      <c r="F8479" t="s">
        <v>83</v>
      </c>
      <c r="G8479" t="s">
        <v>84</v>
      </c>
      <c r="H8479" t="s">
        <v>92</v>
      </c>
      <c r="I8479">
        <v>1</v>
      </c>
      <c r="J8479">
        <v>1</v>
      </c>
      <c r="N8479">
        <v>1</v>
      </c>
      <c r="O8479">
        <v>1</v>
      </c>
      <c r="P8479">
        <v>1</v>
      </c>
      <c r="Q8479">
        <v>1</v>
      </c>
      <c r="R8479">
        <v>1</v>
      </c>
      <c r="S8479">
        <v>1</v>
      </c>
      <c r="T8479">
        <v>1</v>
      </c>
      <c r="W8479">
        <v>1</v>
      </c>
      <c r="X8479">
        <v>1</v>
      </c>
      <c r="Y8479">
        <v>1</v>
      </c>
      <c r="Z8479">
        <v>1</v>
      </c>
      <c r="AA8479">
        <v>1</v>
      </c>
      <c r="AB8479">
        <v>1</v>
      </c>
    </row>
    <row r="8480" spans="1:49" x14ac:dyDescent="0.25">
      <c r="A8480" t="str">
        <f>"8476"</f>
        <v>8476</v>
      </c>
      <c r="B8480" t="str">
        <f t="shared" si="495"/>
        <v>1</v>
      </c>
      <c r="C8480" t="str">
        <f t="shared" si="494"/>
        <v>374</v>
      </c>
      <c r="D8480" t="str">
        <f>"2"</f>
        <v>2</v>
      </c>
      <c r="E8480" t="str">
        <f>"1-374-2"</f>
        <v>1-374-2</v>
      </c>
      <c r="F8480" t="s">
        <v>83</v>
      </c>
      <c r="G8480" t="s">
        <v>86</v>
      </c>
      <c r="H8480" t="s">
        <v>93</v>
      </c>
      <c r="I8480">
        <v>1</v>
      </c>
      <c r="K8480">
        <v>0</v>
      </c>
      <c r="L8480">
        <v>0</v>
      </c>
      <c r="M8480">
        <v>1</v>
      </c>
      <c r="N8480">
        <v>1</v>
      </c>
      <c r="O8480">
        <v>1</v>
      </c>
      <c r="P8480">
        <v>1</v>
      </c>
      <c r="Q8480">
        <v>1</v>
      </c>
      <c r="R8480">
        <v>1</v>
      </c>
      <c r="U8480">
        <v>0</v>
      </c>
      <c r="V8480">
        <v>1</v>
      </c>
      <c r="W8480">
        <v>1</v>
      </c>
      <c r="X8480">
        <v>1</v>
      </c>
      <c r="Y8480">
        <v>1</v>
      </c>
      <c r="Z8480">
        <v>1</v>
      </c>
      <c r="AA8480">
        <v>1</v>
      </c>
      <c r="AB8480">
        <v>1</v>
      </c>
    </row>
    <row r="8481" spans="1:49" x14ac:dyDescent="0.25">
      <c r="A8481" t="str">
        <f>"8477"</f>
        <v>8477</v>
      </c>
      <c r="B8481" t="str">
        <f t="shared" si="495"/>
        <v>1</v>
      </c>
      <c r="C8481" t="str">
        <f t="shared" si="494"/>
        <v>374</v>
      </c>
      <c r="D8481" t="str">
        <f>"19"</f>
        <v>19</v>
      </c>
      <c r="E8481" t="str">
        <f>"1-374-19"</f>
        <v>1-374-19</v>
      </c>
      <c r="F8481" t="s">
        <v>83</v>
      </c>
      <c r="G8481" t="s">
        <v>88</v>
      </c>
      <c r="H8481" t="s">
        <v>95</v>
      </c>
      <c r="I8481">
        <v>1</v>
      </c>
      <c r="K8481">
        <v>1</v>
      </c>
      <c r="L8481">
        <v>0</v>
      </c>
      <c r="M8481">
        <v>0</v>
      </c>
      <c r="N8481">
        <v>1</v>
      </c>
      <c r="O8481">
        <v>1</v>
      </c>
      <c r="P8481">
        <v>1</v>
      </c>
      <c r="Q8481">
        <v>1</v>
      </c>
      <c r="R8481">
        <v>1</v>
      </c>
      <c r="S8481">
        <v>1</v>
      </c>
      <c r="T8481">
        <v>1</v>
      </c>
      <c r="W8481">
        <v>1</v>
      </c>
      <c r="X8481">
        <v>1</v>
      </c>
      <c r="Y8481">
        <v>1</v>
      </c>
      <c r="Z8481">
        <v>1</v>
      </c>
      <c r="AA8481">
        <v>1</v>
      </c>
      <c r="AB8481">
        <v>1</v>
      </c>
    </row>
    <row r="8482" spans="1:49" x14ac:dyDescent="0.25">
      <c r="A8482" t="str">
        <f>"8478"</f>
        <v>8478</v>
      </c>
      <c r="B8482" t="str">
        <f t="shared" si="495"/>
        <v>1</v>
      </c>
      <c r="C8482" t="str">
        <f t="shared" ref="C8482:C8500" si="496">"375"</f>
        <v>375</v>
      </c>
      <c r="D8482" t="str">
        <f>"16"</f>
        <v>16</v>
      </c>
      <c r="E8482" t="str">
        <f>"1-375-16"</f>
        <v>1-375-16</v>
      </c>
      <c r="F8482" t="s">
        <v>83</v>
      </c>
      <c r="G8482" t="s">
        <v>84</v>
      </c>
      <c r="H8482" t="s">
        <v>85</v>
      </c>
      <c r="AC8482">
        <v>0</v>
      </c>
      <c r="AD8482">
        <v>1</v>
      </c>
      <c r="AE8482">
        <v>0</v>
      </c>
      <c r="AF8482">
        <v>0</v>
      </c>
      <c r="AG8482">
        <v>0</v>
      </c>
      <c r="AJ8482">
        <v>0</v>
      </c>
      <c r="AK8482">
        <v>0</v>
      </c>
      <c r="AL8482">
        <v>0</v>
      </c>
      <c r="AM8482">
        <v>0</v>
      </c>
      <c r="AN8482">
        <v>0</v>
      </c>
      <c r="AO8482">
        <v>1</v>
      </c>
      <c r="AP8482">
        <v>1</v>
      </c>
      <c r="AQ8482">
        <v>0</v>
      </c>
      <c r="AR8482">
        <v>1</v>
      </c>
      <c r="AS8482">
        <v>0</v>
      </c>
      <c r="AT8482">
        <v>1</v>
      </c>
      <c r="AV8482">
        <v>0</v>
      </c>
      <c r="AW8482">
        <v>1</v>
      </c>
    </row>
    <row r="8483" spans="1:49" x14ac:dyDescent="0.25">
      <c r="A8483" t="str">
        <f>"8479"</f>
        <v>8479</v>
      </c>
      <c r="B8483" t="str">
        <f t="shared" si="495"/>
        <v>1</v>
      </c>
      <c r="C8483" t="str">
        <f t="shared" si="496"/>
        <v>375</v>
      </c>
      <c r="D8483" t="str">
        <f>"15"</f>
        <v>15</v>
      </c>
      <c r="E8483" t="str">
        <f>"1-375-15"</f>
        <v>1-375-15</v>
      </c>
      <c r="F8483" t="s">
        <v>83</v>
      </c>
      <c r="G8483" t="s">
        <v>84</v>
      </c>
      <c r="H8483" t="s">
        <v>92</v>
      </c>
      <c r="I8483">
        <v>1</v>
      </c>
      <c r="J8483">
        <v>1</v>
      </c>
      <c r="N8483">
        <v>1</v>
      </c>
      <c r="O8483">
        <v>1</v>
      </c>
      <c r="P8483">
        <v>1</v>
      </c>
      <c r="Q8483">
        <v>1</v>
      </c>
      <c r="R8483">
        <v>1</v>
      </c>
      <c r="S8483">
        <v>1</v>
      </c>
      <c r="T8483">
        <v>1</v>
      </c>
      <c r="W8483">
        <v>1</v>
      </c>
      <c r="X8483">
        <v>1</v>
      </c>
      <c r="Y8483">
        <v>1</v>
      </c>
      <c r="Z8483">
        <v>1</v>
      </c>
      <c r="AA8483">
        <v>1</v>
      </c>
      <c r="AB8483">
        <v>1</v>
      </c>
    </row>
    <row r="8484" spans="1:49" x14ac:dyDescent="0.25">
      <c r="A8484" t="str">
        <f>"8480"</f>
        <v>8480</v>
      </c>
      <c r="B8484" t="str">
        <f t="shared" si="495"/>
        <v>1</v>
      </c>
      <c r="C8484" t="str">
        <f t="shared" si="496"/>
        <v>375</v>
      </c>
      <c r="D8484" t="str">
        <f>"13"</f>
        <v>13</v>
      </c>
      <c r="E8484" t="str">
        <f>"1-375-13"</f>
        <v>1-375-13</v>
      </c>
      <c r="F8484" t="s">
        <v>83</v>
      </c>
      <c r="G8484" t="s">
        <v>84</v>
      </c>
      <c r="H8484" t="s">
        <v>92</v>
      </c>
      <c r="I8484">
        <v>1</v>
      </c>
      <c r="J8484">
        <v>0</v>
      </c>
      <c r="N8484">
        <v>0</v>
      </c>
      <c r="O8484">
        <v>0</v>
      </c>
      <c r="P8484">
        <v>0</v>
      </c>
      <c r="Q8484">
        <v>0</v>
      </c>
      <c r="R8484">
        <v>0</v>
      </c>
      <c r="S8484">
        <v>0</v>
      </c>
      <c r="T8484">
        <v>0</v>
      </c>
      <c r="W8484">
        <v>0</v>
      </c>
      <c r="X8484">
        <v>0</v>
      </c>
      <c r="Y8484">
        <v>0</v>
      </c>
      <c r="Z8484">
        <v>0</v>
      </c>
      <c r="AA8484">
        <v>0</v>
      </c>
      <c r="AB8484">
        <v>0</v>
      </c>
    </row>
    <row r="8485" spans="1:49" x14ac:dyDescent="0.25">
      <c r="A8485" t="str">
        <f>"8481"</f>
        <v>8481</v>
      </c>
      <c r="B8485" t="str">
        <f t="shared" si="495"/>
        <v>1</v>
      </c>
      <c r="C8485" t="str">
        <f t="shared" si="496"/>
        <v>375</v>
      </c>
      <c r="D8485" t="str">
        <f>"8"</f>
        <v>8</v>
      </c>
      <c r="E8485" t="str">
        <f>"1-375-8"</f>
        <v>1-375-8</v>
      </c>
      <c r="F8485" t="s">
        <v>83</v>
      </c>
      <c r="G8485" t="s">
        <v>84</v>
      </c>
      <c r="H8485" t="s">
        <v>85</v>
      </c>
      <c r="AC8485">
        <v>1</v>
      </c>
      <c r="AD8485">
        <v>0</v>
      </c>
      <c r="AE8485">
        <v>0</v>
      </c>
      <c r="AF8485">
        <v>0</v>
      </c>
      <c r="AG8485">
        <v>1</v>
      </c>
      <c r="AJ8485">
        <v>1</v>
      </c>
      <c r="AK8485">
        <v>0</v>
      </c>
      <c r="AL8485">
        <v>1</v>
      </c>
      <c r="AM8485">
        <v>0</v>
      </c>
      <c r="AN8485">
        <v>0</v>
      </c>
      <c r="AO8485">
        <v>0</v>
      </c>
      <c r="AP8485">
        <v>0</v>
      </c>
      <c r="AQ8485">
        <v>0</v>
      </c>
      <c r="AR8485">
        <v>0</v>
      </c>
      <c r="AS8485">
        <v>0</v>
      </c>
      <c r="AT8485">
        <v>1</v>
      </c>
      <c r="AV8485">
        <v>0</v>
      </c>
      <c r="AW8485">
        <v>0</v>
      </c>
    </row>
    <row r="8486" spans="1:49" x14ac:dyDescent="0.25">
      <c r="A8486" t="str">
        <f>"8482"</f>
        <v>8482</v>
      </c>
      <c r="B8486" t="str">
        <f t="shared" si="495"/>
        <v>1</v>
      </c>
      <c r="C8486" t="str">
        <f t="shared" si="496"/>
        <v>375</v>
      </c>
      <c r="D8486" t="str">
        <f>"1"</f>
        <v>1</v>
      </c>
      <c r="E8486" t="str">
        <f>"1-375-1"</f>
        <v>1-375-1</v>
      </c>
      <c r="F8486" t="s">
        <v>83</v>
      </c>
      <c r="G8486" t="s">
        <v>84</v>
      </c>
      <c r="H8486" t="s">
        <v>92</v>
      </c>
      <c r="I8486">
        <v>1</v>
      </c>
      <c r="J8486">
        <v>1</v>
      </c>
      <c r="N8486">
        <v>1</v>
      </c>
      <c r="O8486">
        <v>1</v>
      </c>
      <c r="P8486">
        <v>1</v>
      </c>
      <c r="Q8486">
        <v>1</v>
      </c>
      <c r="R8486">
        <v>1</v>
      </c>
      <c r="S8486">
        <v>1</v>
      </c>
      <c r="T8486">
        <v>1</v>
      </c>
      <c r="W8486">
        <v>1</v>
      </c>
      <c r="X8486">
        <v>1</v>
      </c>
      <c r="Y8486">
        <v>1</v>
      </c>
      <c r="Z8486">
        <v>1</v>
      </c>
      <c r="AA8486">
        <v>1</v>
      </c>
      <c r="AB8486">
        <v>1</v>
      </c>
    </row>
    <row r="8487" spans="1:49" x14ac:dyDescent="0.25">
      <c r="A8487" t="str">
        <f>"8483"</f>
        <v>8483</v>
      </c>
      <c r="B8487" t="str">
        <f t="shared" si="495"/>
        <v>1</v>
      </c>
      <c r="C8487" t="str">
        <f t="shared" si="496"/>
        <v>375</v>
      </c>
      <c r="D8487" t="str">
        <f>"19"</f>
        <v>19</v>
      </c>
      <c r="E8487" t="str">
        <f>"1-375-19"</f>
        <v>1-375-19</v>
      </c>
      <c r="F8487" t="s">
        <v>83</v>
      </c>
      <c r="G8487" t="s">
        <v>84</v>
      </c>
      <c r="H8487" t="s">
        <v>92</v>
      </c>
      <c r="I8487">
        <v>1</v>
      </c>
      <c r="J8487">
        <v>1</v>
      </c>
      <c r="N8487">
        <v>1</v>
      </c>
      <c r="O8487">
        <v>1</v>
      </c>
      <c r="P8487">
        <v>1</v>
      </c>
      <c r="Q8487">
        <v>1</v>
      </c>
      <c r="R8487">
        <v>1</v>
      </c>
      <c r="S8487">
        <v>1</v>
      </c>
      <c r="T8487">
        <v>1</v>
      </c>
      <c r="W8487">
        <v>1</v>
      </c>
      <c r="X8487">
        <v>1</v>
      </c>
      <c r="Y8487">
        <v>1</v>
      </c>
      <c r="Z8487">
        <v>1</v>
      </c>
      <c r="AA8487">
        <v>1</v>
      </c>
      <c r="AB8487">
        <v>1</v>
      </c>
    </row>
    <row r="8488" spans="1:49" x14ac:dyDescent="0.25">
      <c r="A8488" t="str">
        <f>"8484"</f>
        <v>8484</v>
      </c>
      <c r="B8488" t="str">
        <f t="shared" si="495"/>
        <v>1</v>
      </c>
      <c r="C8488" t="str">
        <f t="shared" si="496"/>
        <v>375</v>
      </c>
      <c r="D8488" t="str">
        <f>"10"</f>
        <v>10</v>
      </c>
      <c r="E8488" t="str">
        <f>"1-375-10"</f>
        <v>1-375-10</v>
      </c>
      <c r="F8488" t="s">
        <v>83</v>
      </c>
      <c r="G8488" t="s">
        <v>84</v>
      </c>
      <c r="H8488" t="s">
        <v>85</v>
      </c>
      <c r="AC8488">
        <v>0</v>
      </c>
      <c r="AD8488">
        <v>0</v>
      </c>
      <c r="AE8488">
        <v>0</v>
      </c>
      <c r="AF8488">
        <v>0</v>
      </c>
      <c r="AG8488">
        <v>0</v>
      </c>
      <c r="AJ8488">
        <v>0</v>
      </c>
      <c r="AK8488">
        <v>1</v>
      </c>
      <c r="AL8488">
        <v>0</v>
      </c>
      <c r="AM8488">
        <v>0</v>
      </c>
      <c r="AN8488">
        <v>1</v>
      </c>
      <c r="AO8488">
        <v>0</v>
      </c>
      <c r="AP8488">
        <v>0</v>
      </c>
      <c r="AQ8488">
        <v>0</v>
      </c>
      <c r="AR8488">
        <v>0</v>
      </c>
      <c r="AS8488">
        <v>0</v>
      </c>
      <c r="AT8488">
        <v>0</v>
      </c>
      <c r="AV8488">
        <v>0</v>
      </c>
      <c r="AW8488">
        <v>0</v>
      </c>
    </row>
    <row r="8489" spans="1:49" x14ac:dyDescent="0.25">
      <c r="A8489" t="str">
        <f>"8485"</f>
        <v>8485</v>
      </c>
      <c r="B8489" t="str">
        <f t="shared" si="495"/>
        <v>1</v>
      </c>
      <c r="C8489" t="str">
        <f t="shared" si="496"/>
        <v>375</v>
      </c>
      <c r="D8489" t="str">
        <f>"7"</f>
        <v>7</v>
      </c>
      <c r="E8489" t="str">
        <f>"1-375-7"</f>
        <v>1-375-7</v>
      </c>
      <c r="F8489" t="s">
        <v>83</v>
      </c>
      <c r="G8489" t="s">
        <v>84</v>
      </c>
      <c r="H8489" t="s">
        <v>92</v>
      </c>
      <c r="I8489">
        <v>1</v>
      </c>
      <c r="J8489">
        <v>1</v>
      </c>
      <c r="N8489">
        <v>1</v>
      </c>
      <c r="O8489">
        <v>1</v>
      </c>
      <c r="P8489">
        <v>1</v>
      </c>
      <c r="Q8489">
        <v>1</v>
      </c>
      <c r="R8489">
        <v>1</v>
      </c>
      <c r="S8489">
        <v>1</v>
      </c>
      <c r="T8489">
        <v>1</v>
      </c>
      <c r="W8489">
        <v>1</v>
      </c>
      <c r="X8489">
        <v>1</v>
      </c>
      <c r="Y8489">
        <v>1</v>
      </c>
      <c r="Z8489">
        <v>1</v>
      </c>
      <c r="AA8489">
        <v>1</v>
      </c>
      <c r="AB8489">
        <v>1</v>
      </c>
    </row>
    <row r="8490" spans="1:49" x14ac:dyDescent="0.25">
      <c r="A8490" t="str">
        <f>"8486"</f>
        <v>8486</v>
      </c>
      <c r="B8490" t="str">
        <f t="shared" si="495"/>
        <v>1</v>
      </c>
      <c r="C8490" t="str">
        <f t="shared" si="496"/>
        <v>375</v>
      </c>
      <c r="D8490" t="str">
        <f>"18"</f>
        <v>18</v>
      </c>
      <c r="E8490" t="str">
        <f>"1-375-18"</f>
        <v>1-375-18</v>
      </c>
      <c r="F8490" t="s">
        <v>83</v>
      </c>
      <c r="G8490" t="s">
        <v>84</v>
      </c>
      <c r="H8490" t="s">
        <v>85</v>
      </c>
      <c r="AC8490">
        <v>0</v>
      </c>
      <c r="AD8490">
        <v>1</v>
      </c>
      <c r="AE8490">
        <v>0</v>
      </c>
      <c r="AF8490">
        <v>0</v>
      </c>
      <c r="AG8490">
        <v>0</v>
      </c>
      <c r="AJ8490">
        <v>0</v>
      </c>
      <c r="AK8490">
        <v>1</v>
      </c>
      <c r="AL8490">
        <v>0</v>
      </c>
      <c r="AM8490">
        <v>0</v>
      </c>
      <c r="AN8490">
        <v>1</v>
      </c>
      <c r="AO8490">
        <v>0</v>
      </c>
      <c r="AP8490">
        <v>0</v>
      </c>
      <c r="AQ8490">
        <v>0</v>
      </c>
      <c r="AR8490">
        <v>0</v>
      </c>
      <c r="AS8490">
        <v>1</v>
      </c>
      <c r="AT8490">
        <v>0</v>
      </c>
      <c r="AV8490">
        <v>0</v>
      </c>
      <c r="AW8490">
        <v>1</v>
      </c>
    </row>
    <row r="8491" spans="1:49" x14ac:dyDescent="0.25">
      <c r="A8491" t="str">
        <f>"8487"</f>
        <v>8487</v>
      </c>
      <c r="B8491" t="str">
        <f t="shared" si="495"/>
        <v>1</v>
      </c>
      <c r="C8491" t="str">
        <f t="shared" si="496"/>
        <v>375</v>
      </c>
      <c r="D8491" t="str">
        <f>"9"</f>
        <v>9</v>
      </c>
      <c r="E8491" t="str">
        <f>"1-375-9"</f>
        <v>1-375-9</v>
      </c>
      <c r="F8491" t="s">
        <v>83</v>
      </c>
      <c r="G8491" t="s">
        <v>84</v>
      </c>
      <c r="H8491" t="s">
        <v>85</v>
      </c>
      <c r="AC8491">
        <v>1</v>
      </c>
      <c r="AD8491">
        <v>0</v>
      </c>
      <c r="AE8491">
        <v>0</v>
      </c>
      <c r="AF8491">
        <v>0</v>
      </c>
      <c r="AG8491">
        <v>1</v>
      </c>
      <c r="AJ8491">
        <v>1</v>
      </c>
      <c r="AK8491">
        <v>0</v>
      </c>
      <c r="AL8491">
        <v>1</v>
      </c>
      <c r="AM8491">
        <v>0</v>
      </c>
      <c r="AN8491">
        <v>0</v>
      </c>
      <c r="AO8491">
        <v>1</v>
      </c>
      <c r="AP8491">
        <v>1</v>
      </c>
      <c r="AQ8491">
        <v>1</v>
      </c>
      <c r="AR8491">
        <v>1</v>
      </c>
      <c r="AS8491">
        <v>1</v>
      </c>
      <c r="AT8491">
        <v>0</v>
      </c>
      <c r="AV8491">
        <v>1</v>
      </c>
      <c r="AW8491">
        <v>1</v>
      </c>
    </row>
    <row r="8492" spans="1:49" x14ac:dyDescent="0.25">
      <c r="A8492" t="str">
        <f>"8488"</f>
        <v>8488</v>
      </c>
      <c r="B8492" t="str">
        <f t="shared" si="495"/>
        <v>1</v>
      </c>
      <c r="C8492" t="str">
        <f t="shared" si="496"/>
        <v>375</v>
      </c>
      <c r="D8492" t="str">
        <f>"3"</f>
        <v>3</v>
      </c>
      <c r="E8492" t="str">
        <f>"1-375-3"</f>
        <v>1-375-3</v>
      </c>
      <c r="F8492" t="s">
        <v>83</v>
      </c>
      <c r="G8492" t="s">
        <v>84</v>
      </c>
      <c r="H8492" t="s">
        <v>92</v>
      </c>
      <c r="I8492">
        <v>1</v>
      </c>
      <c r="J8492">
        <v>1</v>
      </c>
      <c r="N8492">
        <v>1</v>
      </c>
      <c r="O8492">
        <v>1</v>
      </c>
      <c r="P8492">
        <v>1</v>
      </c>
      <c r="Q8492">
        <v>1</v>
      </c>
      <c r="R8492">
        <v>1</v>
      </c>
      <c r="S8492">
        <v>1</v>
      </c>
      <c r="T8492">
        <v>1</v>
      </c>
      <c r="W8492">
        <v>1</v>
      </c>
      <c r="X8492">
        <v>1</v>
      </c>
      <c r="Y8492">
        <v>1</v>
      </c>
      <c r="Z8492">
        <v>1</v>
      </c>
      <c r="AA8492">
        <v>1</v>
      </c>
      <c r="AB8492">
        <v>1</v>
      </c>
    </row>
    <row r="8493" spans="1:49" x14ac:dyDescent="0.25">
      <c r="A8493" t="str">
        <f>"8489"</f>
        <v>8489</v>
      </c>
      <c r="B8493" t="str">
        <f t="shared" si="495"/>
        <v>1</v>
      </c>
      <c r="C8493" t="str">
        <f t="shared" si="496"/>
        <v>375</v>
      </c>
      <c r="D8493" t="str">
        <f>"11"</f>
        <v>11</v>
      </c>
      <c r="E8493" t="str">
        <f>"1-375-11"</f>
        <v>1-375-11</v>
      </c>
      <c r="F8493" t="s">
        <v>83</v>
      </c>
      <c r="G8493" t="s">
        <v>84</v>
      </c>
      <c r="H8493" t="s">
        <v>92</v>
      </c>
      <c r="I8493">
        <v>1</v>
      </c>
      <c r="J8493">
        <v>1</v>
      </c>
      <c r="N8493">
        <v>1</v>
      </c>
      <c r="O8493">
        <v>1</v>
      </c>
      <c r="P8493">
        <v>1</v>
      </c>
      <c r="Q8493">
        <v>1</v>
      </c>
      <c r="R8493">
        <v>1</v>
      </c>
      <c r="S8493">
        <v>1</v>
      </c>
      <c r="T8493">
        <v>1</v>
      </c>
      <c r="W8493">
        <v>1</v>
      </c>
      <c r="X8493">
        <v>1</v>
      </c>
      <c r="Y8493">
        <v>1</v>
      </c>
      <c r="Z8493">
        <v>1</v>
      </c>
      <c r="AA8493">
        <v>1</v>
      </c>
      <c r="AB8493">
        <v>1</v>
      </c>
    </row>
    <row r="8494" spans="1:49" x14ac:dyDescent="0.25">
      <c r="A8494" t="str">
        <f>"8490"</f>
        <v>8490</v>
      </c>
      <c r="B8494" t="str">
        <f t="shared" si="495"/>
        <v>1</v>
      </c>
      <c r="C8494" t="str">
        <f t="shared" si="496"/>
        <v>375</v>
      </c>
      <c r="D8494" t="str">
        <f>"6"</f>
        <v>6</v>
      </c>
      <c r="E8494" t="str">
        <f>"1-375-6"</f>
        <v>1-375-6</v>
      </c>
      <c r="F8494" t="s">
        <v>83</v>
      </c>
      <c r="G8494" t="s">
        <v>84</v>
      </c>
      <c r="H8494" t="s">
        <v>92</v>
      </c>
      <c r="I8494">
        <v>1</v>
      </c>
      <c r="J8494">
        <v>1</v>
      </c>
      <c r="N8494">
        <v>1</v>
      </c>
      <c r="O8494">
        <v>1</v>
      </c>
      <c r="P8494">
        <v>1</v>
      </c>
      <c r="Q8494">
        <v>1</v>
      </c>
      <c r="R8494">
        <v>0</v>
      </c>
      <c r="S8494">
        <v>1</v>
      </c>
      <c r="T8494">
        <v>0</v>
      </c>
      <c r="W8494">
        <v>1</v>
      </c>
      <c r="X8494">
        <v>1</v>
      </c>
      <c r="Y8494">
        <v>1</v>
      </c>
      <c r="Z8494">
        <v>1</v>
      </c>
      <c r="AA8494">
        <v>0</v>
      </c>
      <c r="AB8494">
        <v>1</v>
      </c>
    </row>
    <row r="8495" spans="1:49" x14ac:dyDescent="0.25">
      <c r="A8495" t="str">
        <f>"8491"</f>
        <v>8491</v>
      </c>
      <c r="B8495" t="str">
        <f t="shared" si="495"/>
        <v>1</v>
      </c>
      <c r="C8495" t="str">
        <f t="shared" si="496"/>
        <v>375</v>
      </c>
      <c r="D8495" t="str">
        <f>"12"</f>
        <v>12</v>
      </c>
      <c r="E8495" t="str">
        <f>"1-375-12"</f>
        <v>1-375-12</v>
      </c>
      <c r="F8495" t="s">
        <v>83</v>
      </c>
      <c r="G8495" t="s">
        <v>84</v>
      </c>
      <c r="H8495" t="s">
        <v>92</v>
      </c>
      <c r="I8495">
        <v>1</v>
      </c>
      <c r="J8495">
        <v>1</v>
      </c>
      <c r="N8495">
        <v>1</v>
      </c>
      <c r="O8495">
        <v>1</v>
      </c>
      <c r="P8495">
        <v>1</v>
      </c>
      <c r="Q8495">
        <v>1</v>
      </c>
      <c r="R8495">
        <v>1</v>
      </c>
      <c r="S8495">
        <v>1</v>
      </c>
      <c r="T8495">
        <v>1</v>
      </c>
      <c r="W8495">
        <v>1</v>
      </c>
      <c r="X8495">
        <v>1</v>
      </c>
      <c r="Y8495">
        <v>1</v>
      </c>
      <c r="Z8495">
        <v>1</v>
      </c>
      <c r="AA8495">
        <v>1</v>
      </c>
      <c r="AB8495">
        <v>1</v>
      </c>
    </row>
    <row r="8496" spans="1:49" x14ac:dyDescent="0.25">
      <c r="A8496" t="str">
        <f>"8492"</f>
        <v>8492</v>
      </c>
      <c r="B8496" t="str">
        <f t="shared" si="495"/>
        <v>1</v>
      </c>
      <c r="C8496" t="str">
        <f t="shared" si="496"/>
        <v>375</v>
      </c>
      <c r="D8496" t="str">
        <f>"4"</f>
        <v>4</v>
      </c>
      <c r="E8496" t="str">
        <f>"1-375-4"</f>
        <v>1-375-4</v>
      </c>
      <c r="F8496" t="s">
        <v>83</v>
      </c>
      <c r="G8496" t="s">
        <v>84</v>
      </c>
      <c r="H8496" t="s">
        <v>85</v>
      </c>
      <c r="AC8496">
        <v>1</v>
      </c>
      <c r="AD8496">
        <v>0</v>
      </c>
      <c r="AE8496">
        <v>0</v>
      </c>
      <c r="AF8496">
        <v>0</v>
      </c>
      <c r="AG8496">
        <v>1</v>
      </c>
      <c r="AJ8496">
        <v>1</v>
      </c>
      <c r="AK8496">
        <v>0</v>
      </c>
      <c r="AL8496">
        <v>1</v>
      </c>
      <c r="AM8496">
        <v>0</v>
      </c>
      <c r="AN8496">
        <v>0</v>
      </c>
      <c r="AO8496">
        <v>1</v>
      </c>
      <c r="AP8496">
        <v>1</v>
      </c>
      <c r="AQ8496">
        <v>1</v>
      </c>
      <c r="AR8496">
        <v>1</v>
      </c>
      <c r="AS8496">
        <v>1</v>
      </c>
      <c r="AT8496">
        <v>0</v>
      </c>
      <c r="AV8496">
        <v>1</v>
      </c>
      <c r="AW8496">
        <v>1</v>
      </c>
    </row>
    <row r="8497" spans="1:49" x14ac:dyDescent="0.25">
      <c r="A8497" t="str">
        <f>"8493"</f>
        <v>8493</v>
      </c>
      <c r="B8497" t="str">
        <f t="shared" si="495"/>
        <v>1</v>
      </c>
      <c r="C8497" t="str">
        <f t="shared" si="496"/>
        <v>375</v>
      </c>
      <c r="D8497" t="str">
        <f>"14"</f>
        <v>14</v>
      </c>
      <c r="E8497" t="str">
        <f>"1-375-14"</f>
        <v>1-375-14</v>
      </c>
      <c r="F8497" t="s">
        <v>83</v>
      </c>
      <c r="G8497" t="s">
        <v>84</v>
      </c>
      <c r="H8497" t="s">
        <v>85</v>
      </c>
      <c r="AC8497">
        <v>0</v>
      </c>
      <c r="AD8497">
        <v>1</v>
      </c>
      <c r="AE8497">
        <v>0</v>
      </c>
      <c r="AF8497">
        <v>0</v>
      </c>
      <c r="AG8497">
        <v>0</v>
      </c>
      <c r="AJ8497">
        <v>0</v>
      </c>
      <c r="AK8497">
        <v>0</v>
      </c>
      <c r="AL8497">
        <v>0</v>
      </c>
      <c r="AM8497">
        <v>0</v>
      </c>
      <c r="AN8497">
        <v>1</v>
      </c>
      <c r="AO8497">
        <v>0</v>
      </c>
      <c r="AP8497">
        <v>0</v>
      </c>
      <c r="AQ8497">
        <v>0</v>
      </c>
      <c r="AR8497">
        <v>0</v>
      </c>
      <c r="AS8497">
        <v>0</v>
      </c>
      <c r="AT8497">
        <v>0</v>
      </c>
      <c r="AV8497">
        <v>0</v>
      </c>
      <c r="AW8497">
        <v>0</v>
      </c>
    </row>
    <row r="8498" spans="1:49" x14ac:dyDescent="0.25">
      <c r="A8498" t="str">
        <f>"8494"</f>
        <v>8494</v>
      </c>
      <c r="B8498" t="str">
        <f t="shared" si="495"/>
        <v>1</v>
      </c>
      <c r="C8498" t="str">
        <f t="shared" si="496"/>
        <v>375</v>
      </c>
      <c r="D8498" t="str">
        <f>"5"</f>
        <v>5</v>
      </c>
      <c r="E8498" t="str">
        <f>"1-375-5"</f>
        <v>1-375-5</v>
      </c>
      <c r="F8498" t="s">
        <v>83</v>
      </c>
      <c r="G8498" t="s">
        <v>84</v>
      </c>
      <c r="H8498" t="s">
        <v>92</v>
      </c>
      <c r="I8498">
        <v>1</v>
      </c>
      <c r="J8498">
        <v>1</v>
      </c>
      <c r="N8498">
        <v>1</v>
      </c>
      <c r="O8498">
        <v>1</v>
      </c>
      <c r="P8498">
        <v>1</v>
      </c>
      <c r="Q8498">
        <v>1</v>
      </c>
      <c r="R8498">
        <v>1</v>
      </c>
      <c r="S8498">
        <v>1</v>
      </c>
      <c r="T8498">
        <v>0</v>
      </c>
      <c r="W8498">
        <v>1</v>
      </c>
      <c r="X8498">
        <v>1</v>
      </c>
      <c r="Y8498">
        <v>1</v>
      </c>
      <c r="Z8498">
        <v>1</v>
      </c>
      <c r="AA8498">
        <v>1</v>
      </c>
      <c r="AB8498">
        <v>1</v>
      </c>
    </row>
    <row r="8499" spans="1:49" x14ac:dyDescent="0.25">
      <c r="A8499" t="str">
        <f>"8495"</f>
        <v>8495</v>
      </c>
      <c r="B8499" t="str">
        <f t="shared" si="495"/>
        <v>1</v>
      </c>
      <c r="C8499" t="str">
        <f t="shared" si="496"/>
        <v>375</v>
      </c>
      <c r="D8499" t="str">
        <f>"17"</f>
        <v>17</v>
      </c>
      <c r="E8499" t="str">
        <f>"1-375-17"</f>
        <v>1-375-17</v>
      </c>
      <c r="F8499" t="s">
        <v>83</v>
      </c>
      <c r="G8499" t="s">
        <v>84</v>
      </c>
      <c r="H8499" t="s">
        <v>85</v>
      </c>
      <c r="AC8499">
        <v>0</v>
      </c>
      <c r="AD8499">
        <v>1</v>
      </c>
      <c r="AE8499">
        <v>0</v>
      </c>
      <c r="AF8499">
        <v>0</v>
      </c>
      <c r="AG8499">
        <v>1</v>
      </c>
      <c r="AJ8499">
        <v>0</v>
      </c>
      <c r="AK8499">
        <v>0</v>
      </c>
      <c r="AL8499">
        <v>0</v>
      </c>
      <c r="AM8499">
        <v>1</v>
      </c>
      <c r="AN8499">
        <v>0</v>
      </c>
      <c r="AO8499">
        <v>1</v>
      </c>
      <c r="AP8499">
        <v>1</v>
      </c>
      <c r="AQ8499">
        <v>1</v>
      </c>
      <c r="AR8499">
        <v>1</v>
      </c>
      <c r="AS8499">
        <v>1</v>
      </c>
      <c r="AT8499">
        <v>0</v>
      </c>
      <c r="AV8499">
        <v>1</v>
      </c>
      <c r="AW8499">
        <v>1</v>
      </c>
    </row>
    <row r="8500" spans="1:49" x14ac:dyDescent="0.25">
      <c r="A8500" t="str">
        <f>"8496"</f>
        <v>8496</v>
      </c>
      <c r="B8500" t="str">
        <f t="shared" si="495"/>
        <v>1</v>
      </c>
      <c r="C8500" t="str">
        <f t="shared" si="496"/>
        <v>375</v>
      </c>
      <c r="D8500" t="str">
        <f>"2"</f>
        <v>2</v>
      </c>
      <c r="E8500" t="str">
        <f>"1-375-2"</f>
        <v>1-375-2</v>
      </c>
      <c r="F8500" t="s">
        <v>83</v>
      </c>
      <c r="G8500" t="s">
        <v>84</v>
      </c>
      <c r="H8500" t="s">
        <v>85</v>
      </c>
      <c r="AC8500">
        <v>0</v>
      </c>
      <c r="AD8500">
        <v>1</v>
      </c>
      <c r="AE8500">
        <v>0</v>
      </c>
      <c r="AF8500">
        <v>0</v>
      </c>
      <c r="AG8500">
        <v>0</v>
      </c>
      <c r="AJ8500">
        <v>0</v>
      </c>
      <c r="AK8500">
        <v>1</v>
      </c>
      <c r="AL8500">
        <v>0</v>
      </c>
      <c r="AM8500">
        <v>0</v>
      </c>
      <c r="AN8500">
        <v>1</v>
      </c>
      <c r="AO8500">
        <v>0</v>
      </c>
      <c r="AP8500">
        <v>0</v>
      </c>
      <c r="AQ8500">
        <v>0</v>
      </c>
      <c r="AR8500">
        <v>0</v>
      </c>
      <c r="AS8500">
        <v>0</v>
      </c>
      <c r="AT8500">
        <v>1</v>
      </c>
      <c r="AV8500">
        <v>0</v>
      </c>
      <c r="AW8500">
        <v>0</v>
      </c>
    </row>
    <row r="8501" spans="1:49" x14ac:dyDescent="0.25">
      <c r="A8501" t="str">
        <f>"8497"</f>
        <v>8497</v>
      </c>
      <c r="B8501" t="str">
        <f t="shared" si="495"/>
        <v>1</v>
      </c>
      <c r="C8501" t="str">
        <f t="shared" ref="C8501:C8509" si="497">"376"</f>
        <v>376</v>
      </c>
      <c r="D8501" t="str">
        <f>"8"</f>
        <v>8</v>
      </c>
      <c r="E8501" t="str">
        <f>"1-376-8"</f>
        <v>1-376-8</v>
      </c>
      <c r="F8501" t="s">
        <v>83</v>
      </c>
      <c r="G8501" t="s">
        <v>84</v>
      </c>
      <c r="H8501" t="s">
        <v>85</v>
      </c>
      <c r="AC8501">
        <v>1</v>
      </c>
      <c r="AD8501">
        <v>0</v>
      </c>
      <c r="AE8501">
        <v>0</v>
      </c>
      <c r="AF8501">
        <v>0</v>
      </c>
      <c r="AG8501">
        <v>1</v>
      </c>
      <c r="AJ8501">
        <v>1</v>
      </c>
      <c r="AK8501">
        <v>0</v>
      </c>
      <c r="AL8501">
        <v>1</v>
      </c>
      <c r="AM8501">
        <v>0</v>
      </c>
      <c r="AN8501">
        <v>0</v>
      </c>
      <c r="AO8501">
        <v>1</v>
      </c>
      <c r="AP8501">
        <v>1</v>
      </c>
      <c r="AQ8501">
        <v>1</v>
      </c>
      <c r="AR8501">
        <v>1</v>
      </c>
      <c r="AS8501">
        <v>1</v>
      </c>
      <c r="AT8501">
        <v>0</v>
      </c>
      <c r="AV8501">
        <v>1</v>
      </c>
      <c r="AW8501">
        <v>1</v>
      </c>
    </row>
    <row r="8502" spans="1:49" x14ac:dyDescent="0.25">
      <c r="A8502" t="str">
        <f>"8498"</f>
        <v>8498</v>
      </c>
      <c r="B8502" t="str">
        <f t="shared" si="495"/>
        <v>1</v>
      </c>
      <c r="C8502" t="str">
        <f t="shared" si="497"/>
        <v>376</v>
      </c>
      <c r="D8502" t="str">
        <f>"3"</f>
        <v>3</v>
      </c>
      <c r="E8502" t="str">
        <f>"1-376-3"</f>
        <v>1-376-3</v>
      </c>
      <c r="F8502" t="s">
        <v>83</v>
      </c>
      <c r="G8502" t="s">
        <v>84</v>
      </c>
      <c r="H8502" t="s">
        <v>85</v>
      </c>
      <c r="AC8502">
        <v>0</v>
      </c>
      <c r="AD8502">
        <v>1</v>
      </c>
      <c r="AE8502">
        <v>0</v>
      </c>
      <c r="AF8502">
        <v>0</v>
      </c>
      <c r="AG8502">
        <v>1</v>
      </c>
      <c r="AJ8502">
        <v>0</v>
      </c>
      <c r="AK8502">
        <v>1</v>
      </c>
      <c r="AL8502">
        <v>0</v>
      </c>
      <c r="AM8502">
        <v>1</v>
      </c>
      <c r="AN8502">
        <v>0</v>
      </c>
      <c r="AO8502">
        <v>1</v>
      </c>
      <c r="AP8502">
        <v>1</v>
      </c>
      <c r="AQ8502">
        <v>1</v>
      </c>
      <c r="AR8502">
        <v>1</v>
      </c>
      <c r="AS8502">
        <v>1</v>
      </c>
      <c r="AT8502">
        <v>0</v>
      </c>
      <c r="AV8502">
        <v>1</v>
      </c>
      <c r="AW8502">
        <v>1</v>
      </c>
    </row>
    <row r="8503" spans="1:49" x14ac:dyDescent="0.25">
      <c r="A8503" t="str">
        <f>"8499"</f>
        <v>8499</v>
      </c>
      <c r="B8503" t="str">
        <f t="shared" si="495"/>
        <v>1</v>
      </c>
      <c r="C8503" t="str">
        <f t="shared" si="497"/>
        <v>376</v>
      </c>
      <c r="D8503" t="str">
        <f>"9"</f>
        <v>9</v>
      </c>
      <c r="E8503" t="str">
        <f>"1-376-9"</f>
        <v>1-376-9</v>
      </c>
      <c r="F8503" t="s">
        <v>83</v>
      </c>
      <c r="G8503" t="s">
        <v>84</v>
      </c>
      <c r="H8503" t="s">
        <v>85</v>
      </c>
      <c r="AC8503">
        <v>1</v>
      </c>
      <c r="AD8503">
        <v>0</v>
      </c>
      <c r="AE8503">
        <v>0</v>
      </c>
      <c r="AF8503">
        <v>0</v>
      </c>
      <c r="AG8503">
        <v>1</v>
      </c>
      <c r="AJ8503">
        <v>0</v>
      </c>
      <c r="AK8503">
        <v>1</v>
      </c>
      <c r="AL8503">
        <v>1</v>
      </c>
      <c r="AM8503">
        <v>0</v>
      </c>
      <c r="AN8503">
        <v>0</v>
      </c>
      <c r="AO8503">
        <v>0</v>
      </c>
      <c r="AP8503">
        <v>0</v>
      </c>
      <c r="AQ8503">
        <v>0</v>
      </c>
      <c r="AR8503">
        <v>1</v>
      </c>
      <c r="AS8503">
        <v>1</v>
      </c>
      <c r="AT8503">
        <v>0</v>
      </c>
      <c r="AV8503">
        <v>0</v>
      </c>
      <c r="AW8503">
        <v>1</v>
      </c>
    </row>
    <row r="8504" spans="1:49" x14ac:dyDescent="0.25">
      <c r="A8504" t="str">
        <f>"8500"</f>
        <v>8500</v>
      </c>
      <c r="B8504" t="str">
        <f t="shared" si="495"/>
        <v>1</v>
      </c>
      <c r="C8504" t="str">
        <f t="shared" si="497"/>
        <v>376</v>
      </c>
      <c r="D8504" t="str">
        <f>"4"</f>
        <v>4</v>
      </c>
      <c r="E8504" t="str">
        <f>"1-376-4"</f>
        <v>1-376-4</v>
      </c>
      <c r="F8504" t="s">
        <v>83</v>
      </c>
      <c r="G8504" t="s">
        <v>84</v>
      </c>
      <c r="H8504" t="s">
        <v>92</v>
      </c>
      <c r="I8504">
        <v>1</v>
      </c>
      <c r="J8504">
        <v>1</v>
      </c>
      <c r="N8504">
        <v>1</v>
      </c>
      <c r="O8504">
        <v>1</v>
      </c>
      <c r="P8504">
        <v>1</v>
      </c>
      <c r="Q8504">
        <v>1</v>
      </c>
      <c r="R8504">
        <v>1</v>
      </c>
      <c r="S8504">
        <v>1</v>
      </c>
      <c r="T8504">
        <v>1</v>
      </c>
      <c r="W8504">
        <v>1</v>
      </c>
      <c r="X8504">
        <v>1</v>
      </c>
      <c r="Y8504">
        <v>1</v>
      </c>
      <c r="Z8504">
        <v>1</v>
      </c>
      <c r="AA8504">
        <v>1</v>
      </c>
      <c r="AB8504">
        <v>0</v>
      </c>
    </row>
    <row r="8505" spans="1:49" x14ac:dyDescent="0.25">
      <c r="A8505" t="str">
        <f>"8501"</f>
        <v>8501</v>
      </c>
      <c r="B8505" t="str">
        <f t="shared" si="495"/>
        <v>1</v>
      </c>
      <c r="C8505" t="str">
        <f t="shared" si="497"/>
        <v>376</v>
      </c>
      <c r="D8505" t="str">
        <f>"7"</f>
        <v>7</v>
      </c>
      <c r="E8505" t="str">
        <f>"1-376-7"</f>
        <v>1-376-7</v>
      </c>
      <c r="F8505" t="s">
        <v>83</v>
      </c>
      <c r="G8505" t="s">
        <v>84</v>
      </c>
      <c r="H8505" t="s">
        <v>85</v>
      </c>
      <c r="AC8505">
        <v>1</v>
      </c>
      <c r="AD8505">
        <v>0</v>
      </c>
      <c r="AE8505">
        <v>0</v>
      </c>
      <c r="AF8505">
        <v>0</v>
      </c>
      <c r="AG8505">
        <v>1</v>
      </c>
      <c r="AJ8505">
        <v>1</v>
      </c>
      <c r="AK8505">
        <v>0</v>
      </c>
      <c r="AL8505">
        <v>1</v>
      </c>
      <c r="AM8505">
        <v>0</v>
      </c>
      <c r="AN8505">
        <v>0</v>
      </c>
      <c r="AO8505">
        <v>1</v>
      </c>
      <c r="AP8505">
        <v>1</v>
      </c>
      <c r="AQ8505">
        <v>1</v>
      </c>
      <c r="AR8505">
        <v>1</v>
      </c>
      <c r="AS8505">
        <v>1</v>
      </c>
      <c r="AT8505">
        <v>0</v>
      </c>
      <c r="AV8505">
        <v>1</v>
      </c>
      <c r="AW8505">
        <v>1</v>
      </c>
    </row>
    <row r="8506" spans="1:49" x14ac:dyDescent="0.25">
      <c r="A8506" t="str">
        <f>"8502"</f>
        <v>8502</v>
      </c>
      <c r="B8506" t="str">
        <f t="shared" si="495"/>
        <v>1</v>
      </c>
      <c r="C8506" t="str">
        <f t="shared" si="497"/>
        <v>376</v>
      </c>
      <c r="D8506" t="str">
        <f>"6"</f>
        <v>6</v>
      </c>
      <c r="E8506" t="str">
        <f>"1-376-6"</f>
        <v>1-376-6</v>
      </c>
      <c r="F8506" t="s">
        <v>83</v>
      </c>
      <c r="G8506" t="s">
        <v>84</v>
      </c>
      <c r="H8506" t="s">
        <v>92</v>
      </c>
      <c r="I8506">
        <v>1</v>
      </c>
      <c r="J8506">
        <v>1</v>
      </c>
      <c r="N8506">
        <v>1</v>
      </c>
      <c r="O8506">
        <v>1</v>
      </c>
      <c r="P8506">
        <v>1</v>
      </c>
      <c r="Q8506">
        <v>1</v>
      </c>
      <c r="R8506">
        <v>1</v>
      </c>
      <c r="S8506">
        <v>1</v>
      </c>
      <c r="T8506">
        <v>1</v>
      </c>
      <c r="W8506">
        <v>1</v>
      </c>
      <c r="X8506">
        <v>1</v>
      </c>
      <c r="Y8506">
        <v>1</v>
      </c>
      <c r="Z8506">
        <v>1</v>
      </c>
      <c r="AA8506">
        <v>1</v>
      </c>
      <c r="AB8506">
        <v>1</v>
      </c>
    </row>
    <row r="8507" spans="1:49" x14ac:dyDescent="0.25">
      <c r="A8507" t="str">
        <f>"8503"</f>
        <v>8503</v>
      </c>
      <c r="B8507" t="str">
        <f t="shared" si="495"/>
        <v>1</v>
      </c>
      <c r="C8507" t="str">
        <f t="shared" si="497"/>
        <v>376</v>
      </c>
      <c r="D8507" t="str">
        <f>"1"</f>
        <v>1</v>
      </c>
      <c r="E8507" t="str">
        <f>"1-376-1"</f>
        <v>1-376-1</v>
      </c>
      <c r="F8507" t="s">
        <v>83</v>
      </c>
      <c r="G8507" t="s">
        <v>84</v>
      </c>
      <c r="H8507" t="s">
        <v>85</v>
      </c>
      <c r="AC8507">
        <v>1</v>
      </c>
      <c r="AD8507">
        <v>0</v>
      </c>
      <c r="AE8507">
        <v>0</v>
      </c>
      <c r="AF8507">
        <v>0</v>
      </c>
      <c r="AG8507">
        <v>0</v>
      </c>
      <c r="AJ8507">
        <v>1</v>
      </c>
      <c r="AK8507">
        <v>0</v>
      </c>
      <c r="AL8507">
        <v>1</v>
      </c>
      <c r="AM8507">
        <v>0</v>
      </c>
      <c r="AN8507">
        <v>0</v>
      </c>
      <c r="AO8507">
        <v>1</v>
      </c>
      <c r="AP8507">
        <v>1</v>
      </c>
      <c r="AQ8507">
        <v>1</v>
      </c>
      <c r="AR8507">
        <v>1</v>
      </c>
      <c r="AS8507">
        <v>1</v>
      </c>
      <c r="AT8507">
        <v>0</v>
      </c>
      <c r="AV8507">
        <v>1</v>
      </c>
      <c r="AW8507">
        <v>1</v>
      </c>
    </row>
    <row r="8508" spans="1:49" x14ac:dyDescent="0.25">
      <c r="A8508" t="str">
        <f>"8504"</f>
        <v>8504</v>
      </c>
      <c r="B8508" t="str">
        <f t="shared" si="495"/>
        <v>1</v>
      </c>
      <c r="C8508" t="str">
        <f t="shared" si="497"/>
        <v>376</v>
      </c>
      <c r="D8508" t="str">
        <f>"2"</f>
        <v>2</v>
      </c>
      <c r="E8508" t="str">
        <f>"1-376-2"</f>
        <v>1-376-2</v>
      </c>
      <c r="F8508" t="s">
        <v>83</v>
      </c>
      <c r="G8508" t="s">
        <v>84</v>
      </c>
      <c r="H8508" t="s">
        <v>92</v>
      </c>
      <c r="I8508">
        <v>1</v>
      </c>
      <c r="J8508">
        <v>1</v>
      </c>
      <c r="N8508">
        <v>1</v>
      </c>
      <c r="O8508">
        <v>1</v>
      </c>
      <c r="P8508">
        <v>1</v>
      </c>
      <c r="Q8508">
        <v>1</v>
      </c>
      <c r="R8508">
        <v>1</v>
      </c>
      <c r="S8508">
        <v>1</v>
      </c>
      <c r="T8508">
        <v>1</v>
      </c>
      <c r="W8508">
        <v>1</v>
      </c>
      <c r="X8508">
        <v>1</v>
      </c>
      <c r="Y8508">
        <v>1</v>
      </c>
      <c r="Z8508">
        <v>1</v>
      </c>
      <c r="AA8508">
        <v>1</v>
      </c>
      <c r="AB8508">
        <v>1</v>
      </c>
    </row>
    <row r="8509" spans="1:49" x14ac:dyDescent="0.25">
      <c r="A8509" t="str">
        <f>"8505"</f>
        <v>8505</v>
      </c>
      <c r="B8509" t="str">
        <f t="shared" si="495"/>
        <v>1</v>
      </c>
      <c r="C8509" t="str">
        <f t="shared" si="497"/>
        <v>376</v>
      </c>
      <c r="D8509" t="str">
        <f>"5"</f>
        <v>5</v>
      </c>
      <c r="E8509" t="str">
        <f>"1-376-5"</f>
        <v>1-376-5</v>
      </c>
      <c r="F8509" t="s">
        <v>83</v>
      </c>
      <c r="G8509" t="s">
        <v>84</v>
      </c>
      <c r="H8509" t="s">
        <v>85</v>
      </c>
      <c r="AC8509">
        <v>0</v>
      </c>
      <c r="AD8509">
        <v>1</v>
      </c>
      <c r="AE8509">
        <v>0</v>
      </c>
      <c r="AF8509">
        <v>0</v>
      </c>
      <c r="AG8509">
        <v>1</v>
      </c>
      <c r="AJ8509">
        <v>0</v>
      </c>
      <c r="AK8509">
        <v>1</v>
      </c>
      <c r="AL8509">
        <v>0</v>
      </c>
      <c r="AM8509">
        <v>0</v>
      </c>
      <c r="AN8509">
        <v>1</v>
      </c>
      <c r="AO8509">
        <v>1</v>
      </c>
      <c r="AP8509">
        <v>1</v>
      </c>
      <c r="AQ8509">
        <v>1</v>
      </c>
      <c r="AR8509">
        <v>1</v>
      </c>
      <c r="AS8509">
        <v>1</v>
      </c>
      <c r="AT8509">
        <v>0</v>
      </c>
      <c r="AV8509">
        <v>1</v>
      </c>
      <c r="AW8509">
        <v>1</v>
      </c>
    </row>
    <row r="8510" spans="1:49" x14ac:dyDescent="0.25">
      <c r="A8510" t="str">
        <f>"8506"</f>
        <v>8506</v>
      </c>
      <c r="B8510" t="str">
        <f t="shared" si="495"/>
        <v>1</v>
      </c>
      <c r="C8510" t="str">
        <f t="shared" ref="C8510:C8534" si="498">"377"</f>
        <v>377</v>
      </c>
      <c r="D8510" t="str">
        <f>"23"</f>
        <v>23</v>
      </c>
      <c r="E8510" t="str">
        <f>"1-377-23"</f>
        <v>1-377-23</v>
      </c>
      <c r="F8510" t="s">
        <v>83</v>
      </c>
      <c r="G8510" t="s">
        <v>84</v>
      </c>
      <c r="H8510" t="s">
        <v>85</v>
      </c>
      <c r="AC8510">
        <v>1</v>
      </c>
      <c r="AD8510">
        <v>0</v>
      </c>
      <c r="AE8510">
        <v>0</v>
      </c>
      <c r="AF8510">
        <v>0</v>
      </c>
      <c r="AG8510">
        <v>1</v>
      </c>
      <c r="AJ8510">
        <v>1</v>
      </c>
      <c r="AK8510">
        <v>0</v>
      </c>
      <c r="AL8510">
        <v>0</v>
      </c>
      <c r="AM8510">
        <v>0</v>
      </c>
      <c r="AN8510">
        <v>1</v>
      </c>
      <c r="AO8510">
        <v>1</v>
      </c>
      <c r="AP8510">
        <v>1</v>
      </c>
      <c r="AQ8510">
        <v>1</v>
      </c>
      <c r="AR8510">
        <v>1</v>
      </c>
      <c r="AS8510">
        <v>0</v>
      </c>
      <c r="AT8510">
        <v>1</v>
      </c>
      <c r="AV8510">
        <v>1</v>
      </c>
      <c r="AW8510">
        <v>1</v>
      </c>
    </row>
    <row r="8511" spans="1:49" x14ac:dyDescent="0.25">
      <c r="A8511" t="str">
        <f>"8507"</f>
        <v>8507</v>
      </c>
      <c r="B8511" t="str">
        <f t="shared" si="495"/>
        <v>1</v>
      </c>
      <c r="C8511" t="str">
        <f t="shared" si="498"/>
        <v>377</v>
      </c>
      <c r="D8511" t="str">
        <f>"22"</f>
        <v>22</v>
      </c>
      <c r="E8511" t="str">
        <f>"1-377-22"</f>
        <v>1-377-22</v>
      </c>
      <c r="F8511" t="s">
        <v>83</v>
      </c>
      <c r="G8511" t="s">
        <v>84</v>
      </c>
      <c r="H8511" t="s">
        <v>85</v>
      </c>
      <c r="AC8511">
        <v>1</v>
      </c>
      <c r="AD8511">
        <v>0</v>
      </c>
      <c r="AE8511">
        <v>0</v>
      </c>
      <c r="AF8511">
        <v>0</v>
      </c>
      <c r="AG8511">
        <v>1</v>
      </c>
      <c r="AJ8511">
        <v>1</v>
      </c>
      <c r="AK8511">
        <v>0</v>
      </c>
      <c r="AL8511">
        <v>0</v>
      </c>
      <c r="AM8511">
        <v>0</v>
      </c>
      <c r="AN8511">
        <v>1</v>
      </c>
      <c r="AO8511">
        <v>1</v>
      </c>
      <c r="AP8511">
        <v>1</v>
      </c>
      <c r="AQ8511">
        <v>1</v>
      </c>
      <c r="AR8511">
        <v>1</v>
      </c>
      <c r="AS8511">
        <v>0</v>
      </c>
      <c r="AT8511">
        <v>1</v>
      </c>
      <c r="AV8511">
        <v>1</v>
      </c>
      <c r="AW8511">
        <v>1</v>
      </c>
    </row>
    <row r="8512" spans="1:49" x14ac:dyDescent="0.25">
      <c r="A8512" t="str">
        <f>"8508"</f>
        <v>8508</v>
      </c>
      <c r="B8512" t="str">
        <f t="shared" si="495"/>
        <v>1</v>
      </c>
      <c r="C8512" t="str">
        <f t="shared" si="498"/>
        <v>377</v>
      </c>
      <c r="D8512" t="str">
        <f>"17"</f>
        <v>17</v>
      </c>
      <c r="E8512" t="str">
        <f>"1-377-17"</f>
        <v>1-377-17</v>
      </c>
      <c r="F8512" t="s">
        <v>83</v>
      </c>
      <c r="G8512" t="s">
        <v>84</v>
      </c>
      <c r="H8512" t="s">
        <v>92</v>
      </c>
      <c r="I8512">
        <v>1</v>
      </c>
      <c r="J8512">
        <v>0</v>
      </c>
      <c r="N8512">
        <v>1</v>
      </c>
      <c r="O8512">
        <v>1</v>
      </c>
      <c r="P8512">
        <v>1</v>
      </c>
      <c r="Q8512">
        <v>1</v>
      </c>
      <c r="R8512">
        <v>1</v>
      </c>
      <c r="S8512">
        <v>1</v>
      </c>
      <c r="T8512">
        <v>1</v>
      </c>
      <c r="W8512">
        <v>1</v>
      </c>
      <c r="X8512">
        <v>1</v>
      </c>
      <c r="Y8512">
        <v>1</v>
      </c>
      <c r="Z8512">
        <v>1</v>
      </c>
      <c r="AA8512">
        <v>1</v>
      </c>
      <c r="AB8512">
        <v>1</v>
      </c>
    </row>
    <row r="8513" spans="1:49" x14ac:dyDescent="0.25">
      <c r="A8513" t="str">
        <f>"8509"</f>
        <v>8509</v>
      </c>
      <c r="B8513" t="str">
        <f t="shared" si="495"/>
        <v>1</v>
      </c>
      <c r="C8513" t="str">
        <f t="shared" si="498"/>
        <v>377</v>
      </c>
      <c r="D8513" t="str">
        <f>"12"</f>
        <v>12</v>
      </c>
      <c r="E8513" t="str">
        <f>"1-377-12"</f>
        <v>1-377-12</v>
      </c>
      <c r="F8513" t="s">
        <v>83</v>
      </c>
      <c r="G8513" t="s">
        <v>84</v>
      </c>
      <c r="H8513" t="s">
        <v>92</v>
      </c>
      <c r="I8513">
        <v>1</v>
      </c>
      <c r="J8513">
        <v>1</v>
      </c>
      <c r="N8513">
        <v>1</v>
      </c>
      <c r="O8513">
        <v>1</v>
      </c>
      <c r="P8513">
        <v>1</v>
      </c>
      <c r="Q8513">
        <v>1</v>
      </c>
      <c r="R8513">
        <v>1</v>
      </c>
      <c r="S8513">
        <v>1</v>
      </c>
      <c r="T8513">
        <v>1</v>
      </c>
      <c r="W8513">
        <v>1</v>
      </c>
      <c r="X8513">
        <v>1</v>
      </c>
      <c r="Y8513">
        <v>1</v>
      </c>
      <c r="Z8513">
        <v>1</v>
      </c>
      <c r="AA8513">
        <v>1</v>
      </c>
      <c r="AB8513">
        <v>1</v>
      </c>
    </row>
    <row r="8514" spans="1:49" x14ac:dyDescent="0.25">
      <c r="A8514" t="str">
        <f>"8510"</f>
        <v>8510</v>
      </c>
      <c r="B8514" t="str">
        <f t="shared" si="495"/>
        <v>1</v>
      </c>
      <c r="C8514" t="str">
        <f t="shared" si="498"/>
        <v>377</v>
      </c>
      <c r="D8514" t="str">
        <f>"8"</f>
        <v>8</v>
      </c>
      <c r="E8514" t="str">
        <f>"1-377-8"</f>
        <v>1-377-8</v>
      </c>
      <c r="F8514" t="s">
        <v>83</v>
      </c>
      <c r="G8514" t="s">
        <v>84</v>
      </c>
      <c r="H8514" t="s">
        <v>85</v>
      </c>
      <c r="AC8514">
        <v>0</v>
      </c>
      <c r="AD8514">
        <v>1</v>
      </c>
      <c r="AE8514">
        <v>0</v>
      </c>
      <c r="AF8514">
        <v>0</v>
      </c>
      <c r="AG8514">
        <v>0</v>
      </c>
      <c r="AJ8514">
        <v>0</v>
      </c>
      <c r="AK8514">
        <v>1</v>
      </c>
      <c r="AL8514">
        <v>0</v>
      </c>
      <c r="AM8514">
        <v>0</v>
      </c>
      <c r="AN8514">
        <v>1</v>
      </c>
      <c r="AO8514">
        <v>0</v>
      </c>
      <c r="AP8514">
        <v>0</v>
      </c>
      <c r="AQ8514">
        <v>0</v>
      </c>
      <c r="AR8514">
        <v>0</v>
      </c>
      <c r="AS8514">
        <v>0</v>
      </c>
      <c r="AT8514">
        <v>0</v>
      </c>
      <c r="AV8514">
        <v>0</v>
      </c>
      <c r="AW8514">
        <v>0</v>
      </c>
    </row>
    <row r="8515" spans="1:49" x14ac:dyDescent="0.25">
      <c r="A8515" t="str">
        <f>"8511"</f>
        <v>8511</v>
      </c>
      <c r="B8515" t="str">
        <f t="shared" si="495"/>
        <v>1</v>
      </c>
      <c r="C8515" t="str">
        <f t="shared" si="498"/>
        <v>377</v>
      </c>
      <c r="D8515" t="str">
        <f>"3"</f>
        <v>3</v>
      </c>
      <c r="E8515" t="str">
        <f>"1-377-3"</f>
        <v>1-377-3</v>
      </c>
      <c r="F8515" t="s">
        <v>83</v>
      </c>
      <c r="G8515" t="s">
        <v>84</v>
      </c>
      <c r="H8515" t="s">
        <v>92</v>
      </c>
      <c r="I8515">
        <v>1</v>
      </c>
      <c r="J8515">
        <v>1</v>
      </c>
      <c r="N8515">
        <v>1</v>
      </c>
      <c r="O8515">
        <v>1</v>
      </c>
      <c r="P8515">
        <v>1</v>
      </c>
      <c r="Q8515">
        <v>1</v>
      </c>
      <c r="R8515">
        <v>1</v>
      </c>
      <c r="S8515">
        <v>1</v>
      </c>
      <c r="T8515">
        <v>1</v>
      </c>
      <c r="W8515">
        <v>1</v>
      </c>
      <c r="X8515">
        <v>1</v>
      </c>
      <c r="Y8515">
        <v>1</v>
      </c>
      <c r="Z8515">
        <v>1</v>
      </c>
      <c r="AA8515">
        <v>1</v>
      </c>
      <c r="AB8515">
        <v>1</v>
      </c>
    </row>
    <row r="8516" spans="1:49" x14ac:dyDescent="0.25">
      <c r="A8516" t="str">
        <f>"8512"</f>
        <v>8512</v>
      </c>
      <c r="B8516" t="str">
        <f t="shared" si="495"/>
        <v>1</v>
      </c>
      <c r="C8516" t="str">
        <f t="shared" si="498"/>
        <v>377</v>
      </c>
      <c r="D8516" t="str">
        <f>"25"</f>
        <v>25</v>
      </c>
      <c r="E8516" t="str">
        <f>"1-377-25"</f>
        <v>1-377-25</v>
      </c>
      <c r="F8516" t="s">
        <v>83</v>
      </c>
      <c r="G8516" t="s">
        <v>84</v>
      </c>
      <c r="H8516" t="s">
        <v>92</v>
      </c>
      <c r="I8516">
        <v>1</v>
      </c>
      <c r="J8516">
        <v>1</v>
      </c>
      <c r="N8516">
        <v>1</v>
      </c>
      <c r="O8516">
        <v>1</v>
      </c>
      <c r="P8516">
        <v>1</v>
      </c>
      <c r="Q8516">
        <v>1</v>
      </c>
      <c r="R8516">
        <v>1</v>
      </c>
      <c r="S8516">
        <v>1</v>
      </c>
      <c r="T8516">
        <v>1</v>
      </c>
      <c r="W8516">
        <v>1</v>
      </c>
      <c r="X8516">
        <v>1</v>
      </c>
      <c r="Y8516">
        <v>1</v>
      </c>
      <c r="Z8516">
        <v>1</v>
      </c>
      <c r="AA8516">
        <v>1</v>
      </c>
      <c r="AB8516">
        <v>1</v>
      </c>
    </row>
    <row r="8517" spans="1:49" x14ac:dyDescent="0.25">
      <c r="A8517" t="str">
        <f>"8513"</f>
        <v>8513</v>
      </c>
      <c r="B8517" t="str">
        <f t="shared" si="495"/>
        <v>1</v>
      </c>
      <c r="C8517" t="str">
        <f t="shared" si="498"/>
        <v>377</v>
      </c>
      <c r="D8517" t="str">
        <f>"24"</f>
        <v>24</v>
      </c>
      <c r="E8517" t="str">
        <f>"1-377-24"</f>
        <v>1-377-24</v>
      </c>
      <c r="F8517" t="s">
        <v>83</v>
      </c>
      <c r="G8517" t="s">
        <v>84</v>
      </c>
      <c r="H8517" t="s">
        <v>92</v>
      </c>
      <c r="I8517">
        <v>1</v>
      </c>
      <c r="J8517">
        <v>1</v>
      </c>
      <c r="N8517">
        <v>1</v>
      </c>
      <c r="O8517">
        <v>1</v>
      </c>
      <c r="P8517">
        <v>1</v>
      </c>
      <c r="Q8517">
        <v>1</v>
      </c>
      <c r="R8517">
        <v>1</v>
      </c>
      <c r="S8517">
        <v>1</v>
      </c>
      <c r="T8517">
        <v>1</v>
      </c>
      <c r="W8517">
        <v>1</v>
      </c>
      <c r="X8517">
        <v>1</v>
      </c>
      <c r="Y8517">
        <v>1</v>
      </c>
      <c r="Z8517">
        <v>1</v>
      </c>
      <c r="AA8517">
        <v>1</v>
      </c>
      <c r="AB8517">
        <v>1</v>
      </c>
    </row>
    <row r="8518" spans="1:49" x14ac:dyDescent="0.25">
      <c r="A8518" t="str">
        <f>"8514"</f>
        <v>8514</v>
      </c>
      <c r="B8518" t="str">
        <f t="shared" si="495"/>
        <v>1</v>
      </c>
      <c r="C8518" t="str">
        <f t="shared" si="498"/>
        <v>377</v>
      </c>
      <c r="D8518" t="str">
        <f>"19"</f>
        <v>19</v>
      </c>
      <c r="E8518" t="str">
        <f>"1-377-19"</f>
        <v>1-377-19</v>
      </c>
      <c r="F8518" t="s">
        <v>83</v>
      </c>
      <c r="G8518" t="s">
        <v>84</v>
      </c>
      <c r="H8518" t="s">
        <v>85</v>
      </c>
      <c r="AC8518">
        <v>0</v>
      </c>
      <c r="AD8518">
        <v>1</v>
      </c>
      <c r="AE8518">
        <v>0</v>
      </c>
      <c r="AF8518">
        <v>0</v>
      </c>
      <c r="AG8518">
        <v>1</v>
      </c>
      <c r="AJ8518">
        <v>1</v>
      </c>
      <c r="AK8518">
        <v>0</v>
      </c>
      <c r="AL8518">
        <v>0</v>
      </c>
      <c r="AM8518">
        <v>0</v>
      </c>
      <c r="AN8518">
        <v>1</v>
      </c>
      <c r="AO8518">
        <v>1</v>
      </c>
      <c r="AP8518">
        <v>1</v>
      </c>
      <c r="AQ8518">
        <v>1</v>
      </c>
      <c r="AR8518">
        <v>1</v>
      </c>
      <c r="AS8518">
        <v>0</v>
      </c>
      <c r="AT8518">
        <v>1</v>
      </c>
      <c r="AV8518">
        <v>1</v>
      </c>
      <c r="AW8518">
        <v>1</v>
      </c>
    </row>
    <row r="8519" spans="1:49" x14ac:dyDescent="0.25">
      <c r="A8519" t="str">
        <f>"8515"</f>
        <v>8515</v>
      </c>
      <c r="B8519" t="str">
        <f t="shared" si="495"/>
        <v>1</v>
      </c>
      <c r="C8519" t="str">
        <f t="shared" si="498"/>
        <v>377</v>
      </c>
      <c r="D8519" t="str">
        <f>"9"</f>
        <v>9</v>
      </c>
      <c r="E8519" t="str">
        <f>"1-377-9"</f>
        <v>1-377-9</v>
      </c>
      <c r="F8519" t="s">
        <v>83</v>
      </c>
      <c r="G8519" t="s">
        <v>84</v>
      </c>
      <c r="H8519" t="s">
        <v>92</v>
      </c>
      <c r="I8519">
        <v>1</v>
      </c>
      <c r="J8519">
        <v>1</v>
      </c>
      <c r="N8519">
        <v>1</v>
      </c>
      <c r="O8519">
        <v>1</v>
      </c>
      <c r="P8519">
        <v>1</v>
      </c>
      <c r="Q8519">
        <v>1</v>
      </c>
      <c r="R8519">
        <v>1</v>
      </c>
      <c r="S8519">
        <v>1</v>
      </c>
      <c r="T8519">
        <v>1</v>
      </c>
      <c r="W8519">
        <v>1</v>
      </c>
      <c r="X8519">
        <v>1</v>
      </c>
      <c r="Y8519">
        <v>1</v>
      </c>
      <c r="Z8519">
        <v>1</v>
      </c>
      <c r="AA8519">
        <v>1</v>
      </c>
      <c r="AB8519">
        <v>1</v>
      </c>
    </row>
    <row r="8520" spans="1:49" x14ac:dyDescent="0.25">
      <c r="A8520" t="str">
        <f>"8516"</f>
        <v>8516</v>
      </c>
      <c r="B8520" t="str">
        <f t="shared" si="495"/>
        <v>1</v>
      </c>
      <c r="C8520" t="str">
        <f t="shared" si="498"/>
        <v>377</v>
      </c>
      <c r="D8520" t="str">
        <f>"5"</f>
        <v>5</v>
      </c>
      <c r="E8520" t="str">
        <f>"1-377-5"</f>
        <v>1-377-5</v>
      </c>
      <c r="F8520" t="s">
        <v>83</v>
      </c>
      <c r="G8520" t="s">
        <v>84</v>
      </c>
      <c r="H8520" t="s">
        <v>92</v>
      </c>
      <c r="I8520">
        <v>1</v>
      </c>
      <c r="J8520">
        <v>1</v>
      </c>
      <c r="N8520">
        <v>1</v>
      </c>
      <c r="O8520">
        <v>1</v>
      </c>
      <c r="P8520">
        <v>1</v>
      </c>
      <c r="Q8520">
        <v>1</v>
      </c>
      <c r="R8520">
        <v>1</v>
      </c>
      <c r="S8520">
        <v>1</v>
      </c>
      <c r="T8520">
        <v>1</v>
      </c>
      <c r="W8520">
        <v>1</v>
      </c>
      <c r="X8520">
        <v>1</v>
      </c>
      <c r="Y8520">
        <v>1</v>
      </c>
      <c r="Z8520">
        <v>1</v>
      </c>
      <c r="AA8520">
        <v>1</v>
      </c>
      <c r="AB8520">
        <v>1</v>
      </c>
    </row>
    <row r="8521" spans="1:49" x14ac:dyDescent="0.25">
      <c r="A8521" t="str">
        <f>"8517"</f>
        <v>8517</v>
      </c>
      <c r="B8521" t="str">
        <f t="shared" si="495"/>
        <v>1</v>
      </c>
      <c r="C8521" t="str">
        <f t="shared" si="498"/>
        <v>377</v>
      </c>
      <c r="D8521" t="str">
        <f>"18"</f>
        <v>18</v>
      </c>
      <c r="E8521" t="str">
        <f>"1-377-18"</f>
        <v>1-377-18</v>
      </c>
      <c r="F8521" t="s">
        <v>83</v>
      </c>
      <c r="G8521" t="s">
        <v>84</v>
      </c>
      <c r="H8521" t="s">
        <v>85</v>
      </c>
      <c r="AC8521">
        <v>1</v>
      </c>
      <c r="AD8521">
        <v>0</v>
      </c>
      <c r="AE8521">
        <v>0</v>
      </c>
      <c r="AF8521">
        <v>0</v>
      </c>
      <c r="AG8521">
        <v>1</v>
      </c>
      <c r="AJ8521">
        <v>1</v>
      </c>
      <c r="AK8521">
        <v>0</v>
      </c>
      <c r="AL8521">
        <v>1</v>
      </c>
      <c r="AM8521">
        <v>0</v>
      </c>
      <c r="AN8521">
        <v>0</v>
      </c>
      <c r="AO8521">
        <v>1</v>
      </c>
      <c r="AP8521">
        <v>1</v>
      </c>
      <c r="AQ8521">
        <v>1</v>
      </c>
      <c r="AR8521">
        <v>1</v>
      </c>
      <c r="AS8521">
        <v>1</v>
      </c>
      <c r="AT8521">
        <v>0</v>
      </c>
      <c r="AV8521">
        <v>1</v>
      </c>
      <c r="AW8521">
        <v>1</v>
      </c>
    </row>
    <row r="8522" spans="1:49" x14ac:dyDescent="0.25">
      <c r="A8522" t="str">
        <f>"8518"</f>
        <v>8518</v>
      </c>
      <c r="B8522" t="str">
        <f t="shared" si="495"/>
        <v>1</v>
      </c>
      <c r="C8522" t="str">
        <f t="shared" si="498"/>
        <v>377</v>
      </c>
      <c r="D8522" t="str">
        <f>"10"</f>
        <v>10</v>
      </c>
      <c r="E8522" t="str">
        <f>"1-377-10"</f>
        <v>1-377-10</v>
      </c>
      <c r="F8522" t="s">
        <v>83</v>
      </c>
      <c r="G8522" t="s">
        <v>84</v>
      </c>
      <c r="H8522" t="s">
        <v>92</v>
      </c>
      <c r="I8522">
        <v>1</v>
      </c>
      <c r="J8522">
        <v>1</v>
      </c>
      <c r="N8522">
        <v>1</v>
      </c>
      <c r="O8522">
        <v>1</v>
      </c>
      <c r="P8522">
        <v>1</v>
      </c>
      <c r="Q8522">
        <v>1</v>
      </c>
      <c r="R8522">
        <v>1</v>
      </c>
      <c r="S8522">
        <v>1</v>
      </c>
      <c r="T8522">
        <v>1</v>
      </c>
      <c r="W8522">
        <v>1</v>
      </c>
      <c r="X8522">
        <v>1</v>
      </c>
      <c r="Y8522">
        <v>1</v>
      </c>
      <c r="Z8522">
        <v>1</v>
      </c>
      <c r="AA8522">
        <v>1</v>
      </c>
      <c r="AB8522">
        <v>1</v>
      </c>
    </row>
    <row r="8523" spans="1:49" x14ac:dyDescent="0.25">
      <c r="A8523" t="str">
        <f>"8519"</f>
        <v>8519</v>
      </c>
      <c r="B8523" t="str">
        <f t="shared" si="495"/>
        <v>1</v>
      </c>
      <c r="C8523" t="str">
        <f t="shared" si="498"/>
        <v>377</v>
      </c>
      <c r="D8523" t="str">
        <f>"4"</f>
        <v>4</v>
      </c>
      <c r="E8523" t="str">
        <f>"1-377-4"</f>
        <v>1-377-4</v>
      </c>
      <c r="F8523" t="s">
        <v>83</v>
      </c>
      <c r="G8523" t="s">
        <v>84</v>
      </c>
      <c r="H8523" t="s">
        <v>85</v>
      </c>
      <c r="AC8523">
        <v>0</v>
      </c>
      <c r="AD8523">
        <v>1</v>
      </c>
      <c r="AE8523">
        <v>0</v>
      </c>
      <c r="AF8523">
        <v>0</v>
      </c>
      <c r="AG8523">
        <v>0</v>
      </c>
      <c r="AJ8523">
        <v>0</v>
      </c>
      <c r="AK8523">
        <v>1</v>
      </c>
      <c r="AL8523">
        <v>0</v>
      </c>
      <c r="AM8523">
        <v>0</v>
      </c>
      <c r="AN8523">
        <v>1</v>
      </c>
      <c r="AO8523">
        <v>0</v>
      </c>
      <c r="AP8523">
        <v>0</v>
      </c>
      <c r="AQ8523">
        <v>0</v>
      </c>
      <c r="AR8523">
        <v>0</v>
      </c>
      <c r="AS8523">
        <v>1</v>
      </c>
      <c r="AT8523">
        <v>0</v>
      </c>
      <c r="AV8523">
        <v>0</v>
      </c>
      <c r="AW8523">
        <v>0</v>
      </c>
    </row>
    <row r="8524" spans="1:49" x14ac:dyDescent="0.25">
      <c r="A8524" t="str">
        <f>"8520"</f>
        <v>8520</v>
      </c>
      <c r="B8524" t="str">
        <f t="shared" si="495"/>
        <v>1</v>
      </c>
      <c r="C8524" t="str">
        <f t="shared" si="498"/>
        <v>377</v>
      </c>
      <c r="D8524" t="str">
        <f>"20"</f>
        <v>20</v>
      </c>
      <c r="E8524" t="str">
        <f>"1-377-20"</f>
        <v>1-377-20</v>
      </c>
      <c r="F8524" t="s">
        <v>83</v>
      </c>
      <c r="G8524" t="s">
        <v>84</v>
      </c>
      <c r="H8524" t="s">
        <v>85</v>
      </c>
      <c r="AC8524">
        <v>0</v>
      </c>
      <c r="AD8524">
        <v>1</v>
      </c>
      <c r="AE8524">
        <v>0</v>
      </c>
      <c r="AF8524">
        <v>0</v>
      </c>
      <c r="AG8524">
        <v>1</v>
      </c>
      <c r="AJ8524">
        <v>0</v>
      </c>
      <c r="AK8524">
        <v>1</v>
      </c>
      <c r="AL8524">
        <v>0</v>
      </c>
      <c r="AM8524">
        <v>1</v>
      </c>
      <c r="AN8524">
        <v>0</v>
      </c>
      <c r="AO8524">
        <v>1</v>
      </c>
      <c r="AP8524">
        <v>1</v>
      </c>
      <c r="AQ8524">
        <v>1</v>
      </c>
      <c r="AR8524">
        <v>1</v>
      </c>
      <c r="AS8524">
        <v>0</v>
      </c>
      <c r="AT8524">
        <v>1</v>
      </c>
      <c r="AV8524">
        <v>1</v>
      </c>
      <c r="AW8524">
        <v>1</v>
      </c>
    </row>
    <row r="8525" spans="1:49" x14ac:dyDescent="0.25">
      <c r="A8525" t="str">
        <f>"8521"</f>
        <v>8521</v>
      </c>
      <c r="B8525" t="str">
        <f t="shared" si="495"/>
        <v>1</v>
      </c>
      <c r="C8525" t="str">
        <f t="shared" si="498"/>
        <v>377</v>
      </c>
      <c r="D8525" t="str">
        <f>"11"</f>
        <v>11</v>
      </c>
      <c r="E8525" t="str">
        <f>"1-377-11"</f>
        <v>1-377-11</v>
      </c>
      <c r="F8525" t="s">
        <v>83</v>
      </c>
      <c r="G8525" t="s">
        <v>84</v>
      </c>
      <c r="H8525" t="s">
        <v>85</v>
      </c>
      <c r="AC8525">
        <v>0</v>
      </c>
      <c r="AD8525">
        <v>1</v>
      </c>
      <c r="AE8525">
        <v>0</v>
      </c>
      <c r="AF8525">
        <v>0</v>
      </c>
      <c r="AG8525">
        <v>1</v>
      </c>
      <c r="AJ8525">
        <v>0</v>
      </c>
      <c r="AK8525">
        <v>1</v>
      </c>
      <c r="AL8525">
        <v>0</v>
      </c>
      <c r="AM8525">
        <v>0</v>
      </c>
      <c r="AN8525">
        <v>1</v>
      </c>
      <c r="AO8525">
        <v>1</v>
      </c>
      <c r="AP8525">
        <v>1</v>
      </c>
      <c r="AQ8525">
        <v>1</v>
      </c>
      <c r="AR8525">
        <v>1</v>
      </c>
      <c r="AS8525">
        <v>0</v>
      </c>
      <c r="AT8525">
        <v>0</v>
      </c>
      <c r="AV8525">
        <v>1</v>
      </c>
      <c r="AW8525">
        <v>1</v>
      </c>
    </row>
    <row r="8526" spans="1:49" x14ac:dyDescent="0.25">
      <c r="A8526" t="str">
        <f>"8522"</f>
        <v>8522</v>
      </c>
      <c r="B8526" t="str">
        <f t="shared" si="495"/>
        <v>1</v>
      </c>
      <c r="C8526" t="str">
        <f t="shared" si="498"/>
        <v>377</v>
      </c>
      <c r="D8526" t="str">
        <f>"6"</f>
        <v>6</v>
      </c>
      <c r="E8526" t="str">
        <f>"1-377-6"</f>
        <v>1-377-6</v>
      </c>
      <c r="F8526" t="s">
        <v>83</v>
      </c>
      <c r="G8526" t="s">
        <v>84</v>
      </c>
      <c r="H8526" t="s">
        <v>92</v>
      </c>
      <c r="I8526">
        <v>1</v>
      </c>
      <c r="J8526">
        <v>1</v>
      </c>
      <c r="N8526">
        <v>1</v>
      </c>
      <c r="O8526">
        <v>1</v>
      </c>
      <c r="P8526">
        <v>0</v>
      </c>
      <c r="Q8526">
        <v>1</v>
      </c>
      <c r="R8526">
        <v>0</v>
      </c>
      <c r="S8526">
        <v>1</v>
      </c>
      <c r="T8526">
        <v>0</v>
      </c>
      <c r="W8526">
        <v>1</v>
      </c>
      <c r="X8526">
        <v>1</v>
      </c>
      <c r="Y8526">
        <v>1</v>
      </c>
      <c r="Z8526">
        <v>0</v>
      </c>
      <c r="AA8526">
        <v>0</v>
      </c>
      <c r="AB8526">
        <v>1</v>
      </c>
    </row>
    <row r="8527" spans="1:49" x14ac:dyDescent="0.25">
      <c r="A8527" t="str">
        <f>"8523"</f>
        <v>8523</v>
      </c>
      <c r="B8527" t="str">
        <f t="shared" si="495"/>
        <v>1</v>
      </c>
      <c r="C8527" t="str">
        <f t="shared" si="498"/>
        <v>377</v>
      </c>
      <c r="D8527" t="str">
        <f>"21"</f>
        <v>21</v>
      </c>
      <c r="E8527" t="str">
        <f>"1-377-21"</f>
        <v>1-377-21</v>
      </c>
      <c r="F8527" t="s">
        <v>83</v>
      </c>
      <c r="G8527" t="s">
        <v>84</v>
      </c>
      <c r="H8527" t="s">
        <v>92</v>
      </c>
      <c r="I8527">
        <v>1</v>
      </c>
      <c r="J8527">
        <v>1</v>
      </c>
      <c r="N8527">
        <v>1</v>
      </c>
      <c r="O8527">
        <v>1</v>
      </c>
      <c r="P8527">
        <v>1</v>
      </c>
      <c r="Q8527">
        <v>1</v>
      </c>
      <c r="R8527">
        <v>1</v>
      </c>
      <c r="S8527">
        <v>1</v>
      </c>
      <c r="T8527">
        <v>1</v>
      </c>
      <c r="W8527">
        <v>1</v>
      </c>
      <c r="X8527">
        <v>1</v>
      </c>
      <c r="Y8527">
        <v>1</v>
      </c>
      <c r="Z8527">
        <v>1</v>
      </c>
      <c r="AA8527">
        <v>1</v>
      </c>
      <c r="AB8527">
        <v>1</v>
      </c>
    </row>
    <row r="8528" spans="1:49" x14ac:dyDescent="0.25">
      <c r="A8528" t="str">
        <f>"8524"</f>
        <v>8524</v>
      </c>
      <c r="B8528" t="str">
        <f t="shared" si="495"/>
        <v>1</v>
      </c>
      <c r="C8528" t="str">
        <f t="shared" si="498"/>
        <v>377</v>
      </c>
      <c r="D8528" t="str">
        <f>"13"</f>
        <v>13</v>
      </c>
      <c r="E8528" t="str">
        <f>"1-377-13"</f>
        <v>1-377-13</v>
      </c>
      <c r="F8528" t="s">
        <v>83</v>
      </c>
      <c r="G8528" t="s">
        <v>84</v>
      </c>
      <c r="H8528" t="s">
        <v>85</v>
      </c>
      <c r="AC8528">
        <v>0</v>
      </c>
      <c r="AD8528">
        <v>1</v>
      </c>
      <c r="AE8528">
        <v>0</v>
      </c>
      <c r="AF8528">
        <v>0</v>
      </c>
      <c r="AG8528">
        <v>0</v>
      </c>
      <c r="AJ8528">
        <v>0</v>
      </c>
      <c r="AK8528">
        <v>0</v>
      </c>
      <c r="AL8528">
        <v>0</v>
      </c>
      <c r="AM8528">
        <v>0</v>
      </c>
      <c r="AN8528">
        <v>1</v>
      </c>
      <c r="AO8528">
        <v>0</v>
      </c>
      <c r="AP8528">
        <v>0</v>
      </c>
      <c r="AQ8528">
        <v>0</v>
      </c>
      <c r="AR8528">
        <v>0</v>
      </c>
      <c r="AS8528">
        <v>0</v>
      </c>
      <c r="AT8528">
        <v>0</v>
      </c>
      <c r="AV8528">
        <v>0</v>
      </c>
      <c r="AW8528">
        <v>0</v>
      </c>
    </row>
    <row r="8529" spans="1:49" x14ac:dyDescent="0.25">
      <c r="A8529" t="str">
        <f>"8525"</f>
        <v>8525</v>
      </c>
      <c r="B8529" t="str">
        <f t="shared" si="495"/>
        <v>1</v>
      </c>
      <c r="C8529" t="str">
        <f t="shared" si="498"/>
        <v>377</v>
      </c>
      <c r="D8529" t="str">
        <f>"14"</f>
        <v>14</v>
      </c>
      <c r="E8529" t="str">
        <f>"1-377-14"</f>
        <v>1-377-14</v>
      </c>
      <c r="F8529" t="s">
        <v>83</v>
      </c>
      <c r="G8529" t="s">
        <v>84</v>
      </c>
      <c r="H8529" t="s">
        <v>92</v>
      </c>
      <c r="I8529">
        <v>1</v>
      </c>
      <c r="J8529">
        <v>1</v>
      </c>
      <c r="N8529">
        <v>1</v>
      </c>
      <c r="O8529">
        <v>1</v>
      </c>
      <c r="P8529">
        <v>1</v>
      </c>
      <c r="Q8529">
        <v>1</v>
      </c>
      <c r="R8529">
        <v>1</v>
      </c>
      <c r="S8529">
        <v>1</v>
      </c>
      <c r="T8529">
        <v>1</v>
      </c>
      <c r="W8529">
        <v>1</v>
      </c>
      <c r="X8529">
        <v>1</v>
      </c>
      <c r="Y8529">
        <v>1</v>
      </c>
      <c r="Z8529">
        <v>1</v>
      </c>
      <c r="AA8529">
        <v>1</v>
      </c>
      <c r="AB8529">
        <v>1</v>
      </c>
    </row>
    <row r="8530" spans="1:49" x14ac:dyDescent="0.25">
      <c r="A8530" t="str">
        <f>"8526"</f>
        <v>8526</v>
      </c>
      <c r="B8530" t="str">
        <f t="shared" si="495"/>
        <v>1</v>
      </c>
      <c r="C8530" t="str">
        <f t="shared" si="498"/>
        <v>377</v>
      </c>
      <c r="D8530" t="str">
        <f>"2"</f>
        <v>2</v>
      </c>
      <c r="E8530" t="str">
        <f>"1-377-2"</f>
        <v>1-377-2</v>
      </c>
      <c r="F8530" t="s">
        <v>83</v>
      </c>
      <c r="G8530" t="s">
        <v>84</v>
      </c>
      <c r="H8530" t="s">
        <v>92</v>
      </c>
      <c r="I8530">
        <v>1</v>
      </c>
      <c r="J8530">
        <v>1</v>
      </c>
      <c r="N8530">
        <v>1</v>
      </c>
      <c r="O8530">
        <v>1</v>
      </c>
      <c r="P8530">
        <v>1</v>
      </c>
      <c r="Q8530">
        <v>1</v>
      </c>
      <c r="R8530">
        <v>1</v>
      </c>
      <c r="S8530">
        <v>1</v>
      </c>
      <c r="T8530">
        <v>1</v>
      </c>
      <c r="W8530">
        <v>1</v>
      </c>
      <c r="X8530">
        <v>1</v>
      </c>
      <c r="Y8530">
        <v>1</v>
      </c>
      <c r="Z8530">
        <v>1</v>
      </c>
      <c r="AA8530">
        <v>1</v>
      </c>
      <c r="AB8530">
        <v>1</v>
      </c>
    </row>
    <row r="8531" spans="1:49" x14ac:dyDescent="0.25">
      <c r="A8531" t="str">
        <f>"8527"</f>
        <v>8527</v>
      </c>
      <c r="B8531" t="str">
        <f t="shared" si="495"/>
        <v>1</v>
      </c>
      <c r="C8531" t="str">
        <f t="shared" si="498"/>
        <v>377</v>
      </c>
      <c r="D8531" t="str">
        <f>"7"</f>
        <v>7</v>
      </c>
      <c r="E8531" t="str">
        <f>"1-377-7"</f>
        <v>1-377-7</v>
      </c>
      <c r="F8531" t="s">
        <v>83</v>
      </c>
      <c r="G8531" t="s">
        <v>84</v>
      </c>
      <c r="H8531" t="s">
        <v>92</v>
      </c>
      <c r="I8531">
        <v>1</v>
      </c>
      <c r="J8531">
        <v>1</v>
      </c>
      <c r="N8531">
        <v>1</v>
      </c>
      <c r="O8531">
        <v>1</v>
      </c>
      <c r="P8531">
        <v>1</v>
      </c>
      <c r="Q8531">
        <v>1</v>
      </c>
      <c r="R8531">
        <v>1</v>
      </c>
      <c r="S8531">
        <v>1</v>
      </c>
      <c r="T8531">
        <v>1</v>
      </c>
      <c r="W8531">
        <v>1</v>
      </c>
      <c r="X8531">
        <v>1</v>
      </c>
      <c r="Y8531">
        <v>1</v>
      </c>
      <c r="Z8531">
        <v>1</v>
      </c>
      <c r="AA8531">
        <v>1</v>
      </c>
      <c r="AB8531">
        <v>1</v>
      </c>
    </row>
    <row r="8532" spans="1:49" x14ac:dyDescent="0.25">
      <c r="A8532" t="str">
        <f>"8528"</f>
        <v>8528</v>
      </c>
      <c r="B8532" t="str">
        <f t="shared" si="495"/>
        <v>1</v>
      </c>
      <c r="C8532" t="str">
        <f t="shared" si="498"/>
        <v>377</v>
      </c>
      <c r="D8532" t="str">
        <f>"15"</f>
        <v>15</v>
      </c>
      <c r="E8532" t="str">
        <f>"1-377-15"</f>
        <v>1-377-15</v>
      </c>
      <c r="F8532" t="s">
        <v>83</v>
      </c>
      <c r="G8532" t="s">
        <v>84</v>
      </c>
      <c r="H8532" t="s">
        <v>85</v>
      </c>
      <c r="AC8532">
        <v>0</v>
      </c>
      <c r="AD8532">
        <v>0</v>
      </c>
      <c r="AE8532">
        <v>0</v>
      </c>
      <c r="AF8532">
        <v>0</v>
      </c>
      <c r="AG8532">
        <v>0</v>
      </c>
      <c r="AJ8532">
        <v>0</v>
      </c>
      <c r="AK8532">
        <v>1</v>
      </c>
      <c r="AL8532">
        <v>0</v>
      </c>
      <c r="AM8532">
        <v>0</v>
      </c>
      <c r="AN8532">
        <v>1</v>
      </c>
      <c r="AO8532">
        <v>0</v>
      </c>
      <c r="AP8532">
        <v>0</v>
      </c>
      <c r="AQ8532">
        <v>0</v>
      </c>
      <c r="AR8532">
        <v>0</v>
      </c>
      <c r="AS8532">
        <v>0</v>
      </c>
      <c r="AT8532">
        <v>0</v>
      </c>
      <c r="AV8532">
        <v>0</v>
      </c>
      <c r="AW8532">
        <v>0</v>
      </c>
    </row>
    <row r="8533" spans="1:49" x14ac:dyDescent="0.25">
      <c r="A8533" t="str">
        <f>"8529"</f>
        <v>8529</v>
      </c>
      <c r="B8533" t="str">
        <f t="shared" si="495"/>
        <v>1</v>
      </c>
      <c r="C8533" t="str">
        <f t="shared" si="498"/>
        <v>377</v>
      </c>
      <c r="D8533" t="str">
        <f>"1"</f>
        <v>1</v>
      </c>
      <c r="E8533" t="str">
        <f>"1-377-1"</f>
        <v>1-377-1</v>
      </c>
      <c r="F8533" t="s">
        <v>83</v>
      </c>
      <c r="G8533" t="s">
        <v>84</v>
      </c>
      <c r="H8533" t="s">
        <v>85</v>
      </c>
      <c r="AC8533">
        <v>0</v>
      </c>
      <c r="AD8533">
        <v>1</v>
      </c>
      <c r="AE8533">
        <v>0</v>
      </c>
      <c r="AF8533">
        <v>0</v>
      </c>
      <c r="AG8533">
        <v>0</v>
      </c>
      <c r="AJ8533">
        <v>1</v>
      </c>
      <c r="AK8533">
        <v>0</v>
      </c>
      <c r="AL8533">
        <v>0</v>
      </c>
      <c r="AM8533">
        <v>0</v>
      </c>
      <c r="AN8533">
        <v>1</v>
      </c>
      <c r="AO8533">
        <v>0</v>
      </c>
      <c r="AP8533">
        <v>0</v>
      </c>
      <c r="AQ8533">
        <v>0</v>
      </c>
      <c r="AR8533">
        <v>0</v>
      </c>
      <c r="AS8533">
        <v>0</v>
      </c>
      <c r="AT8533">
        <v>0</v>
      </c>
      <c r="AV8533">
        <v>0</v>
      </c>
      <c r="AW8533">
        <v>0</v>
      </c>
    </row>
    <row r="8534" spans="1:49" x14ac:dyDescent="0.25">
      <c r="A8534" t="str">
        <f>"8530"</f>
        <v>8530</v>
      </c>
      <c r="B8534" t="str">
        <f t="shared" si="495"/>
        <v>1</v>
      </c>
      <c r="C8534" t="str">
        <f t="shared" si="498"/>
        <v>377</v>
      </c>
      <c r="D8534" t="str">
        <f>"16"</f>
        <v>16</v>
      </c>
      <c r="E8534" t="str">
        <f>"1-377-16"</f>
        <v>1-377-16</v>
      </c>
      <c r="F8534" t="s">
        <v>83</v>
      </c>
      <c r="G8534" t="s">
        <v>84</v>
      </c>
      <c r="H8534" t="s">
        <v>85</v>
      </c>
      <c r="AC8534">
        <v>0</v>
      </c>
      <c r="AD8534">
        <v>1</v>
      </c>
      <c r="AE8534">
        <v>0</v>
      </c>
      <c r="AF8534">
        <v>0</v>
      </c>
      <c r="AG8534">
        <v>1</v>
      </c>
      <c r="AJ8534">
        <v>1</v>
      </c>
      <c r="AK8534">
        <v>0</v>
      </c>
      <c r="AL8534">
        <v>0</v>
      </c>
      <c r="AM8534">
        <v>0</v>
      </c>
      <c r="AN8534">
        <v>1</v>
      </c>
      <c r="AO8534">
        <v>1</v>
      </c>
      <c r="AP8534">
        <v>1</v>
      </c>
      <c r="AQ8534">
        <v>1</v>
      </c>
      <c r="AR8534">
        <v>1</v>
      </c>
      <c r="AS8534">
        <v>0</v>
      </c>
      <c r="AT8534">
        <v>1</v>
      </c>
      <c r="AV8534">
        <v>1</v>
      </c>
      <c r="AW8534">
        <v>1</v>
      </c>
    </row>
    <row r="8535" spans="1:49" x14ac:dyDescent="0.25">
      <c r="A8535" t="str">
        <f>"8531"</f>
        <v>8531</v>
      </c>
      <c r="B8535" t="str">
        <f t="shared" si="495"/>
        <v>1</v>
      </c>
      <c r="C8535" t="str">
        <f t="shared" ref="C8535:C8549" si="499">"378"</f>
        <v>378</v>
      </c>
      <c r="D8535" t="str">
        <f>"15"</f>
        <v>15</v>
      </c>
      <c r="E8535" t="str">
        <f>"1-378-15"</f>
        <v>1-378-15</v>
      </c>
      <c r="F8535" t="s">
        <v>83</v>
      </c>
      <c r="G8535" t="s">
        <v>84</v>
      </c>
      <c r="H8535" t="s">
        <v>92</v>
      </c>
      <c r="I8535">
        <v>1</v>
      </c>
      <c r="J8535">
        <v>1</v>
      </c>
      <c r="N8535">
        <v>1</v>
      </c>
      <c r="O8535">
        <v>1</v>
      </c>
      <c r="P8535">
        <v>1</v>
      </c>
      <c r="Q8535">
        <v>1</v>
      </c>
      <c r="R8535">
        <v>1</v>
      </c>
      <c r="S8535">
        <v>1</v>
      </c>
      <c r="T8535">
        <v>1</v>
      </c>
      <c r="W8535">
        <v>1</v>
      </c>
      <c r="X8535">
        <v>1</v>
      </c>
      <c r="Y8535">
        <v>1</v>
      </c>
      <c r="Z8535">
        <v>1</v>
      </c>
      <c r="AA8535">
        <v>1</v>
      </c>
      <c r="AB8535">
        <v>1</v>
      </c>
    </row>
    <row r="8536" spans="1:49" x14ac:dyDescent="0.25">
      <c r="A8536" t="str">
        <f>"8532"</f>
        <v>8532</v>
      </c>
      <c r="B8536" t="str">
        <f t="shared" si="495"/>
        <v>1</v>
      </c>
      <c r="C8536" t="str">
        <f t="shared" si="499"/>
        <v>378</v>
      </c>
      <c r="D8536" t="str">
        <f>"14"</f>
        <v>14</v>
      </c>
      <c r="E8536" t="str">
        <f>"1-378-14"</f>
        <v>1-378-14</v>
      </c>
      <c r="F8536" t="s">
        <v>83</v>
      </c>
      <c r="G8536" t="s">
        <v>84</v>
      </c>
      <c r="H8536" t="s">
        <v>92</v>
      </c>
      <c r="I8536">
        <v>1</v>
      </c>
      <c r="J8536">
        <v>1</v>
      </c>
      <c r="N8536">
        <v>1</v>
      </c>
      <c r="O8536">
        <v>1</v>
      </c>
      <c r="P8536">
        <v>1</v>
      </c>
      <c r="Q8536">
        <v>1</v>
      </c>
      <c r="R8536">
        <v>1</v>
      </c>
      <c r="S8536">
        <v>1</v>
      </c>
      <c r="T8536">
        <v>1</v>
      </c>
      <c r="W8536">
        <v>1</v>
      </c>
      <c r="X8536">
        <v>1</v>
      </c>
      <c r="Y8536">
        <v>1</v>
      </c>
      <c r="Z8536">
        <v>1</v>
      </c>
      <c r="AA8536">
        <v>1</v>
      </c>
      <c r="AB8536">
        <v>1</v>
      </c>
    </row>
    <row r="8537" spans="1:49" x14ac:dyDescent="0.25">
      <c r="A8537" t="str">
        <f>"8533"</f>
        <v>8533</v>
      </c>
      <c r="B8537" t="str">
        <f t="shared" si="495"/>
        <v>1</v>
      </c>
      <c r="C8537" t="str">
        <f t="shared" si="499"/>
        <v>378</v>
      </c>
      <c r="D8537" t="str">
        <f>"10"</f>
        <v>10</v>
      </c>
      <c r="E8537" t="str">
        <f>"1-378-10"</f>
        <v>1-378-10</v>
      </c>
      <c r="F8537" t="s">
        <v>83</v>
      </c>
      <c r="G8537" t="s">
        <v>84</v>
      </c>
      <c r="H8537" t="s">
        <v>92</v>
      </c>
      <c r="I8537">
        <v>1</v>
      </c>
      <c r="J8537">
        <v>1</v>
      </c>
      <c r="N8537">
        <v>1</v>
      </c>
      <c r="O8537">
        <v>1</v>
      </c>
      <c r="P8537">
        <v>1</v>
      </c>
      <c r="Q8537">
        <v>1</v>
      </c>
      <c r="R8537">
        <v>1</v>
      </c>
      <c r="S8537">
        <v>1</v>
      </c>
      <c r="T8537">
        <v>1</v>
      </c>
      <c r="W8537">
        <v>1</v>
      </c>
      <c r="X8537">
        <v>1</v>
      </c>
      <c r="Y8537">
        <v>1</v>
      </c>
      <c r="Z8537">
        <v>1</v>
      </c>
      <c r="AA8537">
        <v>1</v>
      </c>
      <c r="AB8537">
        <v>1</v>
      </c>
    </row>
    <row r="8538" spans="1:49" x14ac:dyDescent="0.25">
      <c r="A8538" t="str">
        <f>"8534"</f>
        <v>8534</v>
      </c>
      <c r="B8538" t="str">
        <f t="shared" si="495"/>
        <v>1</v>
      </c>
      <c r="C8538" t="str">
        <f t="shared" si="499"/>
        <v>378</v>
      </c>
      <c r="D8538" t="str">
        <f>"8"</f>
        <v>8</v>
      </c>
      <c r="E8538" t="str">
        <f>"1-378-8"</f>
        <v>1-378-8</v>
      </c>
      <c r="F8538" t="s">
        <v>83</v>
      </c>
      <c r="G8538" t="s">
        <v>84</v>
      </c>
      <c r="H8538" t="s">
        <v>92</v>
      </c>
      <c r="I8538">
        <v>1</v>
      </c>
      <c r="J8538">
        <v>0</v>
      </c>
      <c r="N8538">
        <v>1</v>
      </c>
      <c r="O8538">
        <v>1</v>
      </c>
      <c r="P8538">
        <v>1</v>
      </c>
      <c r="Q8538">
        <v>1</v>
      </c>
      <c r="R8538">
        <v>1</v>
      </c>
      <c r="S8538">
        <v>1</v>
      </c>
      <c r="T8538">
        <v>0</v>
      </c>
      <c r="W8538">
        <v>0</v>
      </c>
      <c r="X8538">
        <v>0</v>
      </c>
      <c r="Y8538">
        <v>1</v>
      </c>
      <c r="Z8538">
        <v>1</v>
      </c>
      <c r="AA8538">
        <v>1</v>
      </c>
      <c r="AB8538">
        <v>1</v>
      </c>
    </row>
    <row r="8539" spans="1:49" x14ac:dyDescent="0.25">
      <c r="A8539" t="str">
        <f>"8535"</f>
        <v>8535</v>
      </c>
      <c r="B8539" t="str">
        <f t="shared" si="495"/>
        <v>1</v>
      </c>
      <c r="C8539" t="str">
        <f t="shared" si="499"/>
        <v>378</v>
      </c>
      <c r="D8539" t="str">
        <f>"2"</f>
        <v>2</v>
      </c>
      <c r="E8539" t="str">
        <f>"1-378-2"</f>
        <v>1-378-2</v>
      </c>
      <c r="F8539" t="s">
        <v>83</v>
      </c>
      <c r="G8539" t="s">
        <v>84</v>
      </c>
      <c r="H8539" t="s">
        <v>85</v>
      </c>
      <c r="AC8539">
        <v>0</v>
      </c>
      <c r="AD8539">
        <v>1</v>
      </c>
      <c r="AE8539">
        <v>0</v>
      </c>
      <c r="AF8539">
        <v>0</v>
      </c>
      <c r="AG8539">
        <v>0</v>
      </c>
      <c r="AJ8539">
        <v>0</v>
      </c>
      <c r="AK8539">
        <v>1</v>
      </c>
      <c r="AL8539">
        <v>0</v>
      </c>
      <c r="AM8539">
        <v>0</v>
      </c>
      <c r="AN8539">
        <v>0</v>
      </c>
      <c r="AO8539">
        <v>0</v>
      </c>
      <c r="AP8539">
        <v>0</v>
      </c>
      <c r="AQ8539">
        <v>0</v>
      </c>
      <c r="AR8539">
        <v>0</v>
      </c>
      <c r="AS8539">
        <v>1</v>
      </c>
      <c r="AT8539">
        <v>0</v>
      </c>
      <c r="AV8539">
        <v>0</v>
      </c>
      <c r="AW8539">
        <v>1</v>
      </c>
    </row>
    <row r="8540" spans="1:49" x14ac:dyDescent="0.25">
      <c r="A8540" t="str">
        <f>"8536"</f>
        <v>8536</v>
      </c>
      <c r="B8540" t="str">
        <f t="shared" si="495"/>
        <v>1</v>
      </c>
      <c r="C8540" t="str">
        <f t="shared" si="499"/>
        <v>378</v>
      </c>
      <c r="D8540" t="str">
        <f>"9"</f>
        <v>9</v>
      </c>
      <c r="E8540" t="str">
        <f>"1-378-9"</f>
        <v>1-378-9</v>
      </c>
      <c r="F8540" t="s">
        <v>83</v>
      </c>
      <c r="G8540" t="s">
        <v>84</v>
      </c>
      <c r="H8540" t="s">
        <v>92</v>
      </c>
      <c r="I8540">
        <v>1</v>
      </c>
      <c r="J8540">
        <v>1</v>
      </c>
      <c r="N8540">
        <v>1</v>
      </c>
      <c r="O8540">
        <v>1</v>
      </c>
      <c r="P8540">
        <v>1</v>
      </c>
      <c r="Q8540">
        <v>1</v>
      </c>
      <c r="R8540">
        <v>1</v>
      </c>
      <c r="S8540">
        <v>1</v>
      </c>
      <c r="T8540">
        <v>1</v>
      </c>
      <c r="W8540">
        <v>1</v>
      </c>
      <c r="X8540">
        <v>1</v>
      </c>
      <c r="Y8540">
        <v>1</v>
      </c>
      <c r="Z8540">
        <v>1</v>
      </c>
      <c r="AA8540">
        <v>1</v>
      </c>
      <c r="AB8540">
        <v>1</v>
      </c>
    </row>
    <row r="8541" spans="1:49" x14ac:dyDescent="0.25">
      <c r="A8541" t="str">
        <f>"8537"</f>
        <v>8537</v>
      </c>
      <c r="B8541" t="str">
        <f t="shared" si="495"/>
        <v>1</v>
      </c>
      <c r="C8541" t="str">
        <f t="shared" si="499"/>
        <v>378</v>
      </c>
      <c r="D8541" t="str">
        <f>"3"</f>
        <v>3</v>
      </c>
      <c r="E8541" t="str">
        <f>"1-378-3"</f>
        <v>1-378-3</v>
      </c>
      <c r="F8541" t="s">
        <v>83</v>
      </c>
      <c r="G8541" t="s">
        <v>84</v>
      </c>
      <c r="H8541" t="s">
        <v>85</v>
      </c>
      <c r="AC8541">
        <v>1</v>
      </c>
      <c r="AD8541">
        <v>0</v>
      </c>
      <c r="AE8541">
        <v>0</v>
      </c>
      <c r="AF8541">
        <v>0</v>
      </c>
      <c r="AG8541">
        <v>1</v>
      </c>
      <c r="AJ8541">
        <v>1</v>
      </c>
      <c r="AK8541">
        <v>0</v>
      </c>
      <c r="AL8541">
        <v>1</v>
      </c>
      <c r="AM8541">
        <v>0</v>
      </c>
      <c r="AN8541">
        <v>0</v>
      </c>
      <c r="AO8541">
        <v>1</v>
      </c>
      <c r="AP8541">
        <v>1</v>
      </c>
      <c r="AQ8541">
        <v>1</v>
      </c>
      <c r="AR8541">
        <v>1</v>
      </c>
      <c r="AS8541">
        <v>0</v>
      </c>
      <c r="AT8541">
        <v>1</v>
      </c>
      <c r="AV8541">
        <v>1</v>
      </c>
      <c r="AW8541">
        <v>0</v>
      </c>
    </row>
    <row r="8542" spans="1:49" x14ac:dyDescent="0.25">
      <c r="A8542" t="str">
        <f>"8538"</f>
        <v>8538</v>
      </c>
      <c r="B8542" t="str">
        <f t="shared" ref="B8542:B8605" si="500">"1"</f>
        <v>1</v>
      </c>
      <c r="C8542" t="str">
        <f t="shared" si="499"/>
        <v>378</v>
      </c>
      <c r="D8542" t="str">
        <f>"11"</f>
        <v>11</v>
      </c>
      <c r="E8542" t="str">
        <f>"1-378-11"</f>
        <v>1-378-11</v>
      </c>
      <c r="F8542" t="s">
        <v>83</v>
      </c>
      <c r="G8542" t="s">
        <v>84</v>
      </c>
      <c r="H8542" t="s">
        <v>92</v>
      </c>
      <c r="I8542">
        <v>1</v>
      </c>
      <c r="J8542">
        <v>1</v>
      </c>
      <c r="N8542">
        <v>1</v>
      </c>
      <c r="O8542">
        <v>1</v>
      </c>
      <c r="P8542">
        <v>1</v>
      </c>
      <c r="Q8542">
        <v>1</v>
      </c>
      <c r="R8542">
        <v>1</v>
      </c>
      <c r="S8542">
        <v>1</v>
      </c>
      <c r="T8542">
        <v>1</v>
      </c>
      <c r="W8542">
        <v>1</v>
      </c>
      <c r="X8542">
        <v>1</v>
      </c>
      <c r="Y8542">
        <v>1</v>
      </c>
      <c r="Z8542">
        <v>1</v>
      </c>
      <c r="AA8542">
        <v>1</v>
      </c>
      <c r="AB8542">
        <v>1</v>
      </c>
    </row>
    <row r="8543" spans="1:49" x14ac:dyDescent="0.25">
      <c r="A8543" t="str">
        <f>"8539"</f>
        <v>8539</v>
      </c>
      <c r="B8543" t="str">
        <f t="shared" si="500"/>
        <v>1</v>
      </c>
      <c r="C8543" t="str">
        <f t="shared" si="499"/>
        <v>378</v>
      </c>
      <c r="D8543" t="str">
        <f>"7"</f>
        <v>7</v>
      </c>
      <c r="E8543" t="str">
        <f>"1-378-7"</f>
        <v>1-378-7</v>
      </c>
      <c r="F8543" t="s">
        <v>83</v>
      </c>
      <c r="G8543" t="s">
        <v>84</v>
      </c>
      <c r="H8543" t="s">
        <v>92</v>
      </c>
      <c r="I8543">
        <v>1</v>
      </c>
      <c r="J8543">
        <v>1</v>
      </c>
      <c r="N8543">
        <v>1</v>
      </c>
      <c r="O8543">
        <v>1</v>
      </c>
      <c r="P8543">
        <v>1</v>
      </c>
      <c r="Q8543">
        <v>1</v>
      </c>
      <c r="R8543">
        <v>1</v>
      </c>
      <c r="S8543">
        <v>1</v>
      </c>
      <c r="T8543">
        <v>1</v>
      </c>
      <c r="W8543">
        <v>1</v>
      </c>
      <c r="X8543">
        <v>1</v>
      </c>
      <c r="Y8543">
        <v>1</v>
      </c>
      <c r="Z8543">
        <v>1</v>
      </c>
      <c r="AA8543">
        <v>1</v>
      </c>
      <c r="AB8543">
        <v>1</v>
      </c>
    </row>
    <row r="8544" spans="1:49" x14ac:dyDescent="0.25">
      <c r="A8544" t="str">
        <f>"8540"</f>
        <v>8540</v>
      </c>
      <c r="B8544" t="str">
        <f t="shared" si="500"/>
        <v>1</v>
      </c>
      <c r="C8544" t="str">
        <f t="shared" si="499"/>
        <v>378</v>
      </c>
      <c r="D8544" t="str">
        <f>"12"</f>
        <v>12</v>
      </c>
      <c r="E8544" t="str">
        <f>"1-378-12"</f>
        <v>1-378-12</v>
      </c>
      <c r="F8544" t="s">
        <v>83</v>
      </c>
      <c r="G8544" t="s">
        <v>84</v>
      </c>
      <c r="H8544" t="s">
        <v>92</v>
      </c>
      <c r="I8544">
        <v>1</v>
      </c>
      <c r="J8544">
        <v>1</v>
      </c>
      <c r="N8544">
        <v>1</v>
      </c>
      <c r="O8544">
        <v>1</v>
      </c>
      <c r="P8544">
        <v>1</v>
      </c>
      <c r="Q8544">
        <v>1</v>
      </c>
      <c r="R8544">
        <v>1</v>
      </c>
      <c r="S8544">
        <v>1</v>
      </c>
      <c r="T8544">
        <v>1</v>
      </c>
      <c r="W8544">
        <v>1</v>
      </c>
      <c r="X8544">
        <v>1</v>
      </c>
      <c r="Y8544">
        <v>1</v>
      </c>
      <c r="Z8544">
        <v>1</v>
      </c>
      <c r="AA8544">
        <v>1</v>
      </c>
      <c r="AB8544">
        <v>1</v>
      </c>
    </row>
    <row r="8545" spans="1:49" x14ac:dyDescent="0.25">
      <c r="A8545" t="str">
        <f>"8541"</f>
        <v>8541</v>
      </c>
      <c r="B8545" t="str">
        <f t="shared" si="500"/>
        <v>1</v>
      </c>
      <c r="C8545" t="str">
        <f t="shared" si="499"/>
        <v>378</v>
      </c>
      <c r="D8545" t="str">
        <f>"1"</f>
        <v>1</v>
      </c>
      <c r="E8545" t="str">
        <f>"1-378-1"</f>
        <v>1-378-1</v>
      </c>
      <c r="F8545" t="s">
        <v>83</v>
      </c>
      <c r="G8545" t="s">
        <v>84</v>
      </c>
      <c r="H8545" t="s">
        <v>85</v>
      </c>
      <c r="AC8545">
        <v>0</v>
      </c>
      <c r="AD8545">
        <v>1</v>
      </c>
      <c r="AE8545">
        <v>0</v>
      </c>
      <c r="AF8545">
        <v>0</v>
      </c>
      <c r="AG8545">
        <v>1</v>
      </c>
      <c r="AJ8545">
        <v>1</v>
      </c>
      <c r="AK8545">
        <v>0</v>
      </c>
      <c r="AL8545">
        <v>0</v>
      </c>
      <c r="AM8545">
        <v>0</v>
      </c>
      <c r="AN8545">
        <v>1</v>
      </c>
      <c r="AO8545">
        <v>1</v>
      </c>
      <c r="AP8545">
        <v>1</v>
      </c>
      <c r="AQ8545">
        <v>1</v>
      </c>
      <c r="AR8545">
        <v>1</v>
      </c>
      <c r="AS8545">
        <v>0</v>
      </c>
      <c r="AT8545">
        <v>1</v>
      </c>
      <c r="AV8545">
        <v>1</v>
      </c>
      <c r="AW8545">
        <v>1</v>
      </c>
    </row>
    <row r="8546" spans="1:49" x14ac:dyDescent="0.25">
      <c r="A8546" t="str">
        <f>"8542"</f>
        <v>8542</v>
      </c>
      <c r="B8546" t="str">
        <f t="shared" si="500"/>
        <v>1</v>
      </c>
      <c r="C8546" t="str">
        <f t="shared" si="499"/>
        <v>378</v>
      </c>
      <c r="D8546" t="str">
        <f>"13"</f>
        <v>13</v>
      </c>
      <c r="E8546" t="str">
        <f>"1-378-13"</f>
        <v>1-378-13</v>
      </c>
      <c r="F8546" t="s">
        <v>83</v>
      </c>
      <c r="G8546" t="s">
        <v>84</v>
      </c>
      <c r="H8546" t="s">
        <v>92</v>
      </c>
      <c r="I8546">
        <v>1</v>
      </c>
      <c r="J8546">
        <v>1</v>
      </c>
      <c r="N8546">
        <v>1</v>
      </c>
      <c r="O8546">
        <v>1</v>
      </c>
      <c r="P8546">
        <v>1</v>
      </c>
      <c r="Q8546">
        <v>1</v>
      </c>
      <c r="R8546">
        <v>1</v>
      </c>
      <c r="S8546">
        <v>1</v>
      </c>
      <c r="T8546">
        <v>0</v>
      </c>
      <c r="W8546">
        <v>1</v>
      </c>
      <c r="X8546">
        <v>1</v>
      </c>
      <c r="Y8546">
        <v>1</v>
      </c>
      <c r="Z8546">
        <v>1</v>
      </c>
      <c r="AA8546">
        <v>1</v>
      </c>
      <c r="AB8546">
        <v>1</v>
      </c>
    </row>
    <row r="8547" spans="1:49" x14ac:dyDescent="0.25">
      <c r="A8547" t="str">
        <f>"8543"</f>
        <v>8543</v>
      </c>
      <c r="B8547" t="str">
        <f t="shared" si="500"/>
        <v>1</v>
      </c>
      <c r="C8547" t="str">
        <f t="shared" si="499"/>
        <v>378</v>
      </c>
      <c r="D8547" t="str">
        <f>"6"</f>
        <v>6</v>
      </c>
      <c r="E8547" t="str">
        <f>"1-378-6"</f>
        <v>1-378-6</v>
      </c>
      <c r="F8547" t="s">
        <v>83</v>
      </c>
      <c r="G8547" t="s">
        <v>86</v>
      </c>
      <c r="H8547" t="s">
        <v>93</v>
      </c>
      <c r="I8547">
        <v>1</v>
      </c>
      <c r="K8547">
        <v>0</v>
      </c>
      <c r="L8547">
        <v>0</v>
      </c>
      <c r="M8547">
        <v>1</v>
      </c>
      <c r="N8547">
        <v>1</v>
      </c>
      <c r="O8547">
        <v>1</v>
      </c>
      <c r="P8547">
        <v>1</v>
      </c>
      <c r="Q8547">
        <v>1</v>
      </c>
      <c r="R8547">
        <v>1</v>
      </c>
      <c r="U8547">
        <v>1</v>
      </c>
      <c r="V8547">
        <v>0</v>
      </c>
      <c r="W8547">
        <v>1</v>
      </c>
      <c r="X8547">
        <v>1</v>
      </c>
      <c r="Y8547">
        <v>1</v>
      </c>
      <c r="Z8547">
        <v>1</v>
      </c>
      <c r="AA8547">
        <v>1</v>
      </c>
      <c r="AB8547">
        <v>1</v>
      </c>
    </row>
    <row r="8548" spans="1:49" x14ac:dyDescent="0.25">
      <c r="A8548" t="str">
        <f>"8544"</f>
        <v>8544</v>
      </c>
      <c r="B8548" t="str">
        <f t="shared" si="500"/>
        <v>1</v>
      </c>
      <c r="C8548" t="str">
        <f t="shared" si="499"/>
        <v>378</v>
      </c>
      <c r="D8548" t="str">
        <f>"5"</f>
        <v>5</v>
      </c>
      <c r="E8548" t="str">
        <f>"1-378-5"</f>
        <v>1-378-5</v>
      </c>
      <c r="F8548" t="s">
        <v>83</v>
      </c>
      <c r="G8548" t="s">
        <v>84</v>
      </c>
      <c r="H8548" t="s">
        <v>85</v>
      </c>
      <c r="AC8548">
        <v>1</v>
      </c>
      <c r="AD8548">
        <v>0</v>
      </c>
      <c r="AE8548">
        <v>0</v>
      </c>
      <c r="AF8548">
        <v>0</v>
      </c>
      <c r="AG8548">
        <v>1</v>
      </c>
      <c r="AJ8548">
        <v>0</v>
      </c>
      <c r="AK8548">
        <v>1</v>
      </c>
      <c r="AL8548">
        <v>0</v>
      </c>
      <c r="AM8548">
        <v>1</v>
      </c>
      <c r="AN8548">
        <v>0</v>
      </c>
      <c r="AO8548">
        <v>1</v>
      </c>
      <c r="AP8548">
        <v>0</v>
      </c>
      <c r="AQ8548">
        <v>0</v>
      </c>
      <c r="AR8548">
        <v>0</v>
      </c>
      <c r="AS8548">
        <v>0</v>
      </c>
      <c r="AT8548">
        <v>0</v>
      </c>
      <c r="AV8548">
        <v>0</v>
      </c>
      <c r="AW8548">
        <v>0</v>
      </c>
    </row>
    <row r="8549" spans="1:49" x14ac:dyDescent="0.25">
      <c r="A8549" t="str">
        <f>"8545"</f>
        <v>8545</v>
      </c>
      <c r="B8549" t="str">
        <f t="shared" si="500"/>
        <v>1</v>
      </c>
      <c r="C8549" t="str">
        <f t="shared" si="499"/>
        <v>378</v>
      </c>
      <c r="D8549" t="str">
        <f>"4"</f>
        <v>4</v>
      </c>
      <c r="E8549" t="str">
        <f>"1-378-4"</f>
        <v>1-378-4</v>
      </c>
      <c r="F8549" t="s">
        <v>83</v>
      </c>
      <c r="G8549" t="s">
        <v>84</v>
      </c>
      <c r="H8549" t="s">
        <v>85</v>
      </c>
      <c r="AC8549">
        <v>0</v>
      </c>
      <c r="AD8549">
        <v>1</v>
      </c>
      <c r="AE8549">
        <v>0</v>
      </c>
      <c r="AF8549">
        <v>0</v>
      </c>
      <c r="AG8549">
        <v>1</v>
      </c>
      <c r="AJ8549">
        <v>1</v>
      </c>
      <c r="AK8549">
        <v>0</v>
      </c>
      <c r="AL8549">
        <v>1</v>
      </c>
      <c r="AM8549">
        <v>0</v>
      </c>
      <c r="AN8549">
        <v>0</v>
      </c>
      <c r="AO8549">
        <v>0</v>
      </c>
      <c r="AP8549">
        <v>1</v>
      </c>
      <c r="AQ8549">
        <v>1</v>
      </c>
      <c r="AR8549">
        <v>1</v>
      </c>
      <c r="AS8549">
        <v>1</v>
      </c>
      <c r="AT8549">
        <v>0</v>
      </c>
      <c r="AV8549">
        <v>1</v>
      </c>
      <c r="AW8549">
        <v>1</v>
      </c>
    </row>
    <row r="8550" spans="1:49" x14ac:dyDescent="0.25">
      <c r="A8550" t="str">
        <f>"8546"</f>
        <v>8546</v>
      </c>
      <c r="B8550" t="str">
        <f t="shared" si="500"/>
        <v>1</v>
      </c>
      <c r="C8550" t="str">
        <f t="shared" ref="C8550:C8566" si="501">"379"</f>
        <v>379</v>
      </c>
      <c r="D8550" t="str">
        <f>"15"</f>
        <v>15</v>
      </c>
      <c r="E8550" t="str">
        <f>"1-379-15"</f>
        <v>1-379-15</v>
      </c>
      <c r="F8550" t="s">
        <v>83</v>
      </c>
      <c r="G8550" t="s">
        <v>88</v>
      </c>
      <c r="H8550" t="s">
        <v>89</v>
      </c>
      <c r="AC8550">
        <v>0</v>
      </c>
      <c r="AD8550">
        <v>1</v>
      </c>
      <c r="AE8550">
        <v>0</v>
      </c>
      <c r="AF8550">
        <v>0</v>
      </c>
      <c r="AH8550">
        <v>0</v>
      </c>
      <c r="AI8550">
        <v>1</v>
      </c>
      <c r="AJ8550">
        <v>1</v>
      </c>
      <c r="AK8550">
        <v>0</v>
      </c>
      <c r="AL8550">
        <v>0</v>
      </c>
      <c r="AM8550">
        <v>0</v>
      </c>
      <c r="AN8550">
        <v>1</v>
      </c>
      <c r="AO8550">
        <v>0</v>
      </c>
      <c r="AP8550">
        <v>0</v>
      </c>
      <c r="AQ8550">
        <v>0</v>
      </c>
      <c r="AR8550">
        <v>0</v>
      </c>
      <c r="AS8550">
        <v>0</v>
      </c>
      <c r="AT8550">
        <v>0</v>
      </c>
      <c r="AV8550">
        <v>0</v>
      </c>
      <c r="AW8550">
        <v>0</v>
      </c>
    </row>
    <row r="8551" spans="1:49" x14ac:dyDescent="0.25">
      <c r="A8551" t="str">
        <f>"8547"</f>
        <v>8547</v>
      </c>
      <c r="B8551" t="str">
        <f t="shared" si="500"/>
        <v>1</v>
      </c>
      <c r="C8551" t="str">
        <f t="shared" si="501"/>
        <v>379</v>
      </c>
      <c r="D8551" t="str">
        <f>"8"</f>
        <v>8</v>
      </c>
      <c r="E8551" t="str">
        <f>"1-379-8"</f>
        <v>1-379-8</v>
      </c>
      <c r="F8551" t="s">
        <v>83</v>
      </c>
      <c r="G8551" t="s">
        <v>84</v>
      </c>
      <c r="H8551" t="s">
        <v>92</v>
      </c>
      <c r="I8551">
        <v>1</v>
      </c>
      <c r="J8551">
        <v>1</v>
      </c>
      <c r="N8551">
        <v>1</v>
      </c>
      <c r="O8551">
        <v>1</v>
      </c>
      <c r="P8551">
        <v>1</v>
      </c>
      <c r="Q8551">
        <v>1</v>
      </c>
      <c r="R8551">
        <v>1</v>
      </c>
      <c r="S8551">
        <v>1</v>
      </c>
      <c r="T8551">
        <v>1</v>
      </c>
      <c r="W8551">
        <v>1</v>
      </c>
      <c r="X8551">
        <v>1</v>
      </c>
      <c r="Y8551">
        <v>1</v>
      </c>
      <c r="Z8551">
        <v>1</v>
      </c>
      <c r="AA8551">
        <v>1</v>
      </c>
      <c r="AB8551">
        <v>1</v>
      </c>
    </row>
    <row r="8552" spans="1:49" x14ac:dyDescent="0.25">
      <c r="A8552" t="str">
        <f>"8548"</f>
        <v>8548</v>
      </c>
      <c r="B8552" t="str">
        <f t="shared" si="500"/>
        <v>1</v>
      </c>
      <c r="C8552" t="str">
        <f t="shared" si="501"/>
        <v>379</v>
      </c>
      <c r="D8552" t="str">
        <f>"6"</f>
        <v>6</v>
      </c>
      <c r="E8552" t="str">
        <f>"1-379-6"</f>
        <v>1-379-6</v>
      </c>
      <c r="F8552" t="s">
        <v>83</v>
      </c>
      <c r="G8552" t="s">
        <v>86</v>
      </c>
      <c r="H8552" t="s">
        <v>87</v>
      </c>
      <c r="AC8552">
        <v>0</v>
      </c>
      <c r="AD8552">
        <v>1</v>
      </c>
      <c r="AE8552">
        <v>0</v>
      </c>
      <c r="AF8552">
        <v>0</v>
      </c>
      <c r="AH8552">
        <v>0</v>
      </c>
      <c r="AI8552">
        <v>1</v>
      </c>
      <c r="AJ8552">
        <v>0</v>
      </c>
      <c r="AK8552">
        <v>1</v>
      </c>
      <c r="AL8552">
        <v>0</v>
      </c>
      <c r="AM8552">
        <v>0</v>
      </c>
      <c r="AN8552">
        <v>1</v>
      </c>
      <c r="AO8552">
        <v>1</v>
      </c>
      <c r="AP8552">
        <v>1</v>
      </c>
      <c r="AQ8552">
        <v>1</v>
      </c>
      <c r="AU8552">
        <v>1</v>
      </c>
      <c r="AV8552">
        <v>1</v>
      </c>
      <c r="AW8552">
        <v>1</v>
      </c>
    </row>
    <row r="8553" spans="1:49" x14ac:dyDescent="0.25">
      <c r="A8553" t="str">
        <f>"8549"</f>
        <v>8549</v>
      </c>
      <c r="B8553" t="str">
        <f t="shared" si="500"/>
        <v>1</v>
      </c>
      <c r="C8553" t="str">
        <f t="shared" si="501"/>
        <v>379</v>
      </c>
      <c r="D8553" t="str">
        <f>"16"</f>
        <v>16</v>
      </c>
      <c r="E8553" t="str">
        <f>"1-379-16"</f>
        <v>1-379-16</v>
      </c>
      <c r="F8553" t="s">
        <v>83</v>
      </c>
      <c r="G8553" t="s">
        <v>84</v>
      </c>
      <c r="H8553" t="s">
        <v>92</v>
      </c>
      <c r="I8553">
        <v>1</v>
      </c>
      <c r="J8553">
        <v>1</v>
      </c>
      <c r="N8553">
        <v>1</v>
      </c>
      <c r="O8553">
        <v>1</v>
      </c>
      <c r="P8553">
        <v>1</v>
      </c>
      <c r="Q8553">
        <v>1</v>
      </c>
      <c r="R8553">
        <v>1</v>
      </c>
      <c r="S8553">
        <v>1</v>
      </c>
      <c r="T8553">
        <v>1</v>
      </c>
      <c r="W8553">
        <v>1</v>
      </c>
      <c r="X8553">
        <v>1</v>
      </c>
      <c r="Y8553">
        <v>1</v>
      </c>
      <c r="Z8553">
        <v>1</v>
      </c>
      <c r="AA8553">
        <v>1</v>
      </c>
      <c r="AB8553">
        <v>1</v>
      </c>
    </row>
    <row r="8554" spans="1:49" x14ac:dyDescent="0.25">
      <c r="A8554" t="str">
        <f>"8550"</f>
        <v>8550</v>
      </c>
      <c r="B8554" t="str">
        <f t="shared" si="500"/>
        <v>1</v>
      </c>
      <c r="C8554" t="str">
        <f t="shared" si="501"/>
        <v>379</v>
      </c>
      <c r="D8554" t="str">
        <f>"9"</f>
        <v>9</v>
      </c>
      <c r="E8554" t="str">
        <f>"1-379-9"</f>
        <v>1-379-9</v>
      </c>
      <c r="F8554" t="s">
        <v>83</v>
      </c>
      <c r="G8554" t="s">
        <v>86</v>
      </c>
      <c r="H8554" t="s">
        <v>93</v>
      </c>
      <c r="I8554">
        <v>1</v>
      </c>
      <c r="K8554">
        <v>0</v>
      </c>
      <c r="L8554">
        <v>0</v>
      </c>
      <c r="M8554">
        <v>1</v>
      </c>
      <c r="N8554">
        <v>1</v>
      </c>
      <c r="O8554">
        <v>1</v>
      </c>
      <c r="P8554">
        <v>1</v>
      </c>
      <c r="Q8554">
        <v>1</v>
      </c>
      <c r="R8554">
        <v>1</v>
      </c>
      <c r="U8554">
        <v>0</v>
      </c>
      <c r="V8554">
        <v>0</v>
      </c>
      <c r="W8554">
        <v>1</v>
      </c>
      <c r="X8554">
        <v>1</v>
      </c>
      <c r="Y8554">
        <v>0</v>
      </c>
      <c r="Z8554">
        <v>0</v>
      </c>
      <c r="AA8554">
        <v>0</v>
      </c>
      <c r="AB8554">
        <v>1</v>
      </c>
    </row>
    <row r="8555" spans="1:49" x14ac:dyDescent="0.25">
      <c r="A8555" t="str">
        <f>"8551"</f>
        <v>8551</v>
      </c>
      <c r="B8555" t="str">
        <f t="shared" si="500"/>
        <v>1</v>
      </c>
      <c r="C8555" t="str">
        <f t="shared" si="501"/>
        <v>379</v>
      </c>
      <c r="D8555" t="str">
        <f>"7"</f>
        <v>7</v>
      </c>
      <c r="E8555" t="str">
        <f>"1-379-7"</f>
        <v>1-379-7</v>
      </c>
      <c r="F8555" t="s">
        <v>83</v>
      </c>
      <c r="G8555" t="s">
        <v>84</v>
      </c>
      <c r="H8555" t="s">
        <v>85</v>
      </c>
      <c r="AC8555">
        <v>0</v>
      </c>
      <c r="AD8555">
        <v>1</v>
      </c>
      <c r="AE8555">
        <v>0</v>
      </c>
      <c r="AF8555">
        <v>0</v>
      </c>
      <c r="AG8555">
        <v>1</v>
      </c>
      <c r="AJ8555">
        <v>0</v>
      </c>
      <c r="AK8555">
        <v>1</v>
      </c>
      <c r="AL8555">
        <v>0</v>
      </c>
      <c r="AM8555">
        <v>0</v>
      </c>
      <c r="AN8555">
        <v>1</v>
      </c>
      <c r="AO8555">
        <v>1</v>
      </c>
      <c r="AP8555">
        <v>1</v>
      </c>
      <c r="AQ8555">
        <v>1</v>
      </c>
      <c r="AR8555">
        <v>1</v>
      </c>
      <c r="AS8555">
        <v>1</v>
      </c>
      <c r="AT8555">
        <v>0</v>
      </c>
      <c r="AV8555">
        <v>1</v>
      </c>
      <c r="AW8555">
        <v>1</v>
      </c>
    </row>
    <row r="8556" spans="1:49" x14ac:dyDescent="0.25">
      <c r="A8556" t="str">
        <f>"8552"</f>
        <v>8552</v>
      </c>
      <c r="B8556" t="str">
        <f t="shared" si="500"/>
        <v>1</v>
      </c>
      <c r="C8556" t="str">
        <f t="shared" si="501"/>
        <v>379</v>
      </c>
      <c r="D8556" t="str">
        <f>"10"</f>
        <v>10</v>
      </c>
      <c r="E8556" t="str">
        <f>"1-379-10"</f>
        <v>1-379-10</v>
      </c>
      <c r="F8556" t="s">
        <v>83</v>
      </c>
      <c r="G8556" t="s">
        <v>84</v>
      </c>
      <c r="H8556" t="s">
        <v>92</v>
      </c>
      <c r="I8556">
        <v>1</v>
      </c>
      <c r="J8556">
        <v>1</v>
      </c>
      <c r="N8556">
        <v>1</v>
      </c>
      <c r="O8556">
        <v>1</v>
      </c>
      <c r="P8556">
        <v>1</v>
      </c>
      <c r="Q8556">
        <v>1</v>
      </c>
      <c r="R8556">
        <v>1</v>
      </c>
      <c r="S8556">
        <v>1</v>
      </c>
      <c r="T8556">
        <v>1</v>
      </c>
      <c r="W8556">
        <v>1</v>
      </c>
      <c r="X8556">
        <v>1</v>
      </c>
      <c r="Y8556">
        <v>1</v>
      </c>
      <c r="Z8556">
        <v>1</v>
      </c>
      <c r="AA8556">
        <v>1</v>
      </c>
      <c r="AB8556">
        <v>1</v>
      </c>
    </row>
    <row r="8557" spans="1:49" x14ac:dyDescent="0.25">
      <c r="A8557" t="str">
        <f>"8553"</f>
        <v>8553</v>
      </c>
      <c r="B8557" t="str">
        <f t="shared" si="500"/>
        <v>1</v>
      </c>
      <c r="C8557" t="str">
        <f t="shared" si="501"/>
        <v>379</v>
      </c>
      <c r="D8557" t="str">
        <f>"5"</f>
        <v>5</v>
      </c>
      <c r="E8557" t="str">
        <f>"1-379-5"</f>
        <v>1-379-5</v>
      </c>
      <c r="F8557" t="s">
        <v>83</v>
      </c>
      <c r="G8557" t="s">
        <v>86</v>
      </c>
      <c r="H8557" t="s">
        <v>87</v>
      </c>
      <c r="AC8557">
        <v>0</v>
      </c>
      <c r="AD8557">
        <v>1</v>
      </c>
      <c r="AE8557">
        <v>0</v>
      </c>
      <c r="AF8557">
        <v>0</v>
      </c>
      <c r="AH8557">
        <v>1</v>
      </c>
      <c r="AI8557">
        <v>0</v>
      </c>
      <c r="AJ8557">
        <v>0</v>
      </c>
      <c r="AK8557">
        <v>1</v>
      </c>
      <c r="AL8557">
        <v>0</v>
      </c>
      <c r="AM8557">
        <v>1</v>
      </c>
      <c r="AN8557">
        <v>0</v>
      </c>
      <c r="AO8557">
        <v>1</v>
      </c>
      <c r="AP8557">
        <v>1</v>
      </c>
      <c r="AQ8557">
        <v>1</v>
      </c>
      <c r="AU8557">
        <v>1</v>
      </c>
      <c r="AV8557">
        <v>1</v>
      </c>
      <c r="AW8557">
        <v>1</v>
      </c>
    </row>
    <row r="8558" spans="1:49" x14ac:dyDescent="0.25">
      <c r="A8558" t="str">
        <f>"8554"</f>
        <v>8554</v>
      </c>
      <c r="B8558" t="str">
        <f t="shared" si="500"/>
        <v>1</v>
      </c>
      <c r="C8558" t="str">
        <f t="shared" si="501"/>
        <v>379</v>
      </c>
      <c r="D8558" t="str">
        <f>"17"</f>
        <v>17</v>
      </c>
      <c r="E8558" t="str">
        <f>"1-379-17"</f>
        <v>1-379-17</v>
      </c>
      <c r="F8558" t="s">
        <v>83</v>
      </c>
      <c r="G8558" t="s">
        <v>84</v>
      </c>
      <c r="H8558" t="s">
        <v>85</v>
      </c>
      <c r="AC8558">
        <v>0</v>
      </c>
      <c r="AD8558">
        <v>1</v>
      </c>
      <c r="AE8558">
        <v>0</v>
      </c>
      <c r="AF8558">
        <v>0</v>
      </c>
      <c r="AG8558">
        <v>1</v>
      </c>
      <c r="AJ8558">
        <v>0</v>
      </c>
      <c r="AK8558">
        <v>1</v>
      </c>
      <c r="AL8558">
        <v>0</v>
      </c>
      <c r="AM8558">
        <v>0</v>
      </c>
      <c r="AN8558">
        <v>1</v>
      </c>
      <c r="AO8558">
        <v>1</v>
      </c>
      <c r="AP8558">
        <v>1</v>
      </c>
      <c r="AQ8558">
        <v>1</v>
      </c>
      <c r="AR8558">
        <v>1</v>
      </c>
      <c r="AS8558">
        <v>0</v>
      </c>
      <c r="AT8558">
        <v>1</v>
      </c>
      <c r="AV8558">
        <v>1</v>
      </c>
      <c r="AW8558">
        <v>1</v>
      </c>
    </row>
    <row r="8559" spans="1:49" x14ac:dyDescent="0.25">
      <c r="A8559" t="str">
        <f>"8555"</f>
        <v>8555</v>
      </c>
      <c r="B8559" t="str">
        <f t="shared" si="500"/>
        <v>1</v>
      </c>
      <c r="C8559" t="str">
        <f t="shared" si="501"/>
        <v>379</v>
      </c>
      <c r="D8559" t="str">
        <f>"11"</f>
        <v>11</v>
      </c>
      <c r="E8559" t="str">
        <f>"1-379-11"</f>
        <v>1-379-11</v>
      </c>
      <c r="F8559" t="s">
        <v>83</v>
      </c>
      <c r="G8559" t="s">
        <v>84</v>
      </c>
      <c r="H8559" t="s">
        <v>85</v>
      </c>
      <c r="AC8559">
        <v>0</v>
      </c>
      <c r="AD8559">
        <v>1</v>
      </c>
      <c r="AE8559">
        <v>0</v>
      </c>
      <c r="AF8559">
        <v>0</v>
      </c>
      <c r="AG8559">
        <v>1</v>
      </c>
      <c r="AJ8559">
        <v>0</v>
      </c>
      <c r="AK8559">
        <v>1</v>
      </c>
      <c r="AL8559">
        <v>0</v>
      </c>
      <c r="AM8559">
        <v>1</v>
      </c>
      <c r="AN8559">
        <v>0</v>
      </c>
      <c r="AO8559">
        <v>0</v>
      </c>
      <c r="AP8559">
        <v>0</v>
      </c>
      <c r="AQ8559">
        <v>0</v>
      </c>
      <c r="AR8559">
        <v>1</v>
      </c>
      <c r="AS8559">
        <v>0</v>
      </c>
      <c r="AT8559">
        <v>0</v>
      </c>
      <c r="AV8559">
        <v>0</v>
      </c>
      <c r="AW8559">
        <v>1</v>
      </c>
    </row>
    <row r="8560" spans="1:49" x14ac:dyDescent="0.25">
      <c r="A8560" t="str">
        <f>"8556"</f>
        <v>8556</v>
      </c>
      <c r="B8560" t="str">
        <f t="shared" si="500"/>
        <v>1</v>
      </c>
      <c r="C8560" t="str">
        <f t="shared" si="501"/>
        <v>379</v>
      </c>
      <c r="D8560" t="str">
        <f>"3"</f>
        <v>3</v>
      </c>
      <c r="E8560" t="str">
        <f>"1-379-3"</f>
        <v>1-379-3</v>
      </c>
      <c r="F8560" t="s">
        <v>83</v>
      </c>
      <c r="G8560" t="s">
        <v>84</v>
      </c>
      <c r="H8560" t="s">
        <v>92</v>
      </c>
      <c r="I8560">
        <v>1</v>
      </c>
      <c r="J8560">
        <v>1</v>
      </c>
      <c r="N8560">
        <v>1</v>
      </c>
      <c r="O8560">
        <v>1</v>
      </c>
      <c r="P8560">
        <v>1</v>
      </c>
      <c r="Q8560">
        <v>1</v>
      </c>
      <c r="R8560">
        <v>1</v>
      </c>
      <c r="S8560">
        <v>1</v>
      </c>
      <c r="T8560">
        <v>1</v>
      </c>
      <c r="W8560">
        <v>1</v>
      </c>
      <c r="X8560">
        <v>1</v>
      </c>
      <c r="Y8560">
        <v>1</v>
      </c>
      <c r="Z8560">
        <v>1</v>
      </c>
      <c r="AA8560">
        <v>1</v>
      </c>
      <c r="AB8560">
        <v>1</v>
      </c>
    </row>
    <row r="8561" spans="1:49" x14ac:dyDescent="0.25">
      <c r="A8561" t="str">
        <f>"8557"</f>
        <v>8557</v>
      </c>
      <c r="B8561" t="str">
        <f t="shared" si="500"/>
        <v>1</v>
      </c>
      <c r="C8561" t="str">
        <f t="shared" si="501"/>
        <v>379</v>
      </c>
      <c r="D8561" t="str">
        <f>"12"</f>
        <v>12</v>
      </c>
      <c r="E8561" t="str">
        <f>"1-379-12"</f>
        <v>1-379-12</v>
      </c>
      <c r="F8561" t="s">
        <v>83</v>
      </c>
      <c r="G8561" t="s">
        <v>84</v>
      </c>
      <c r="H8561" t="s">
        <v>85</v>
      </c>
      <c r="AC8561">
        <v>0</v>
      </c>
      <c r="AD8561">
        <v>1</v>
      </c>
      <c r="AE8561">
        <v>0</v>
      </c>
      <c r="AF8561">
        <v>0</v>
      </c>
      <c r="AG8561">
        <v>1</v>
      </c>
      <c r="AJ8561">
        <v>1</v>
      </c>
      <c r="AK8561">
        <v>0</v>
      </c>
      <c r="AL8561">
        <v>0</v>
      </c>
      <c r="AM8561">
        <v>1</v>
      </c>
      <c r="AN8561">
        <v>0</v>
      </c>
      <c r="AO8561">
        <v>1</v>
      </c>
      <c r="AP8561">
        <v>1</v>
      </c>
      <c r="AQ8561">
        <v>1</v>
      </c>
      <c r="AR8561">
        <v>1</v>
      </c>
      <c r="AS8561">
        <v>0</v>
      </c>
      <c r="AT8561">
        <v>1</v>
      </c>
      <c r="AV8561">
        <v>1</v>
      </c>
      <c r="AW8561">
        <v>1</v>
      </c>
    </row>
    <row r="8562" spans="1:49" x14ac:dyDescent="0.25">
      <c r="A8562" t="str">
        <f>"8558"</f>
        <v>8558</v>
      </c>
      <c r="B8562" t="str">
        <f t="shared" si="500"/>
        <v>1</v>
      </c>
      <c r="C8562" t="str">
        <f t="shared" si="501"/>
        <v>379</v>
      </c>
      <c r="D8562" t="str">
        <f>"4"</f>
        <v>4</v>
      </c>
      <c r="E8562" t="str">
        <f>"1-379-4"</f>
        <v>1-379-4</v>
      </c>
      <c r="F8562" t="s">
        <v>83</v>
      </c>
      <c r="G8562" t="s">
        <v>86</v>
      </c>
      <c r="H8562" t="s">
        <v>87</v>
      </c>
      <c r="AC8562">
        <v>0</v>
      </c>
      <c r="AD8562">
        <v>1</v>
      </c>
      <c r="AE8562">
        <v>0</v>
      </c>
      <c r="AF8562">
        <v>0</v>
      </c>
      <c r="AH8562">
        <v>1</v>
      </c>
      <c r="AI8562">
        <v>0</v>
      </c>
      <c r="AJ8562">
        <v>0</v>
      </c>
      <c r="AK8562">
        <v>1</v>
      </c>
      <c r="AL8562">
        <v>0</v>
      </c>
      <c r="AM8562">
        <v>1</v>
      </c>
      <c r="AN8562">
        <v>0</v>
      </c>
      <c r="AO8562">
        <v>1</v>
      </c>
      <c r="AP8562">
        <v>1</v>
      </c>
      <c r="AQ8562">
        <v>1</v>
      </c>
      <c r="AU8562">
        <v>1</v>
      </c>
      <c r="AV8562">
        <v>1</v>
      </c>
      <c r="AW8562">
        <v>1</v>
      </c>
    </row>
    <row r="8563" spans="1:49" x14ac:dyDescent="0.25">
      <c r="A8563" t="str">
        <f>"8559"</f>
        <v>8559</v>
      </c>
      <c r="B8563" t="str">
        <f t="shared" si="500"/>
        <v>1</v>
      </c>
      <c r="C8563" t="str">
        <f t="shared" si="501"/>
        <v>379</v>
      </c>
      <c r="D8563" t="str">
        <f>"13"</f>
        <v>13</v>
      </c>
      <c r="E8563" t="str">
        <f>"1-379-13"</f>
        <v>1-379-13</v>
      </c>
      <c r="F8563" t="s">
        <v>83</v>
      </c>
      <c r="G8563" t="s">
        <v>84</v>
      </c>
      <c r="H8563" t="s">
        <v>92</v>
      </c>
      <c r="I8563">
        <v>1</v>
      </c>
      <c r="J8563">
        <v>1</v>
      </c>
      <c r="N8563">
        <v>1</v>
      </c>
      <c r="O8563">
        <v>1</v>
      </c>
      <c r="P8563">
        <v>1</v>
      </c>
      <c r="Q8563">
        <v>1</v>
      </c>
      <c r="R8563">
        <v>1</v>
      </c>
      <c r="S8563">
        <v>1</v>
      </c>
      <c r="T8563">
        <v>1</v>
      </c>
      <c r="W8563">
        <v>1</v>
      </c>
      <c r="X8563">
        <v>1</v>
      </c>
      <c r="Y8563">
        <v>1</v>
      </c>
      <c r="Z8563">
        <v>1</v>
      </c>
      <c r="AA8563">
        <v>1</v>
      </c>
      <c r="AB8563">
        <v>1</v>
      </c>
    </row>
    <row r="8564" spans="1:49" x14ac:dyDescent="0.25">
      <c r="A8564" t="str">
        <f>"8560"</f>
        <v>8560</v>
      </c>
      <c r="B8564" t="str">
        <f t="shared" si="500"/>
        <v>1</v>
      </c>
      <c r="C8564" t="str">
        <f t="shared" si="501"/>
        <v>379</v>
      </c>
      <c r="D8564" t="str">
        <f>"1"</f>
        <v>1</v>
      </c>
      <c r="E8564" t="str">
        <f>"1-379-1"</f>
        <v>1-379-1</v>
      </c>
      <c r="F8564" t="s">
        <v>83</v>
      </c>
      <c r="G8564" t="s">
        <v>84</v>
      </c>
      <c r="H8564" t="s">
        <v>92</v>
      </c>
      <c r="I8564">
        <v>1</v>
      </c>
      <c r="J8564">
        <v>1</v>
      </c>
      <c r="N8564">
        <v>1</v>
      </c>
      <c r="O8564">
        <v>1</v>
      </c>
      <c r="P8564">
        <v>1</v>
      </c>
      <c r="Q8564">
        <v>1</v>
      </c>
      <c r="R8564">
        <v>1</v>
      </c>
      <c r="S8564">
        <v>1</v>
      </c>
      <c r="T8564">
        <v>1</v>
      </c>
      <c r="W8564">
        <v>1</v>
      </c>
      <c r="X8564">
        <v>1</v>
      </c>
      <c r="Y8564">
        <v>1</v>
      </c>
      <c r="Z8564">
        <v>1</v>
      </c>
      <c r="AA8564">
        <v>1</v>
      </c>
      <c r="AB8564">
        <v>1</v>
      </c>
    </row>
    <row r="8565" spans="1:49" x14ac:dyDescent="0.25">
      <c r="A8565" t="str">
        <f>"8561"</f>
        <v>8561</v>
      </c>
      <c r="B8565" t="str">
        <f t="shared" si="500"/>
        <v>1</v>
      </c>
      <c r="C8565" t="str">
        <f t="shared" si="501"/>
        <v>379</v>
      </c>
      <c r="D8565" t="str">
        <f>"14"</f>
        <v>14</v>
      </c>
      <c r="E8565" t="str">
        <f>"1-379-14"</f>
        <v>1-379-14</v>
      </c>
      <c r="F8565" t="s">
        <v>83</v>
      </c>
      <c r="G8565" t="s">
        <v>84</v>
      </c>
      <c r="H8565" t="s">
        <v>92</v>
      </c>
      <c r="I8565">
        <v>1</v>
      </c>
      <c r="J8565">
        <v>1</v>
      </c>
      <c r="N8565">
        <v>1</v>
      </c>
      <c r="O8565">
        <v>1</v>
      </c>
      <c r="P8565">
        <v>1</v>
      </c>
      <c r="Q8565">
        <v>1</v>
      </c>
      <c r="R8565">
        <v>1</v>
      </c>
      <c r="S8565">
        <v>1</v>
      </c>
      <c r="T8565">
        <v>1</v>
      </c>
      <c r="W8565">
        <v>1</v>
      </c>
      <c r="X8565">
        <v>1</v>
      </c>
      <c r="Y8565">
        <v>1</v>
      </c>
      <c r="Z8565">
        <v>1</v>
      </c>
      <c r="AA8565">
        <v>1</v>
      </c>
      <c r="AB8565">
        <v>1</v>
      </c>
    </row>
    <row r="8566" spans="1:49" x14ac:dyDescent="0.25">
      <c r="A8566" t="str">
        <f>"8562"</f>
        <v>8562</v>
      </c>
      <c r="B8566" t="str">
        <f t="shared" si="500"/>
        <v>1</v>
      </c>
      <c r="C8566" t="str">
        <f t="shared" si="501"/>
        <v>379</v>
      </c>
      <c r="D8566" t="str">
        <f>"2"</f>
        <v>2</v>
      </c>
      <c r="E8566" t="str">
        <f>"1-379-2"</f>
        <v>1-379-2</v>
      </c>
      <c r="F8566" t="s">
        <v>83</v>
      </c>
      <c r="G8566" t="s">
        <v>84</v>
      </c>
      <c r="H8566" t="s">
        <v>92</v>
      </c>
      <c r="I8566">
        <v>1</v>
      </c>
      <c r="J8566">
        <v>1</v>
      </c>
      <c r="N8566">
        <v>1</v>
      </c>
      <c r="O8566">
        <v>1</v>
      </c>
      <c r="P8566">
        <v>1</v>
      </c>
      <c r="Q8566">
        <v>1</v>
      </c>
      <c r="R8566">
        <v>1</v>
      </c>
      <c r="S8566">
        <v>1</v>
      </c>
      <c r="T8566">
        <v>1</v>
      </c>
      <c r="W8566">
        <v>1</v>
      </c>
      <c r="X8566">
        <v>1</v>
      </c>
      <c r="Y8566">
        <v>1</v>
      </c>
      <c r="Z8566">
        <v>1</v>
      </c>
      <c r="AA8566">
        <v>1</v>
      </c>
      <c r="AB8566">
        <v>1</v>
      </c>
    </row>
    <row r="8567" spans="1:49" x14ac:dyDescent="0.25">
      <c r="A8567" t="str">
        <f>"8563"</f>
        <v>8563</v>
      </c>
      <c r="B8567" t="str">
        <f t="shared" si="500"/>
        <v>1</v>
      </c>
      <c r="C8567" t="str">
        <f t="shared" ref="C8567:C8584" si="502">"380"</f>
        <v>380</v>
      </c>
      <c r="D8567" t="str">
        <f>"16"</f>
        <v>16</v>
      </c>
      <c r="E8567" t="str">
        <f>"1-380-16"</f>
        <v>1-380-16</v>
      </c>
      <c r="F8567" t="s">
        <v>83</v>
      </c>
      <c r="G8567" t="s">
        <v>88</v>
      </c>
      <c r="H8567" t="s">
        <v>89</v>
      </c>
      <c r="AC8567">
        <v>0</v>
      </c>
      <c r="AD8567">
        <v>1</v>
      </c>
      <c r="AE8567">
        <v>0</v>
      </c>
      <c r="AF8567">
        <v>0</v>
      </c>
      <c r="AH8567">
        <v>1</v>
      </c>
      <c r="AI8567">
        <v>0</v>
      </c>
      <c r="AJ8567">
        <v>1</v>
      </c>
      <c r="AK8567">
        <v>0</v>
      </c>
      <c r="AL8567">
        <v>0</v>
      </c>
      <c r="AM8567">
        <v>1</v>
      </c>
      <c r="AN8567">
        <v>0</v>
      </c>
      <c r="AO8567">
        <v>1</v>
      </c>
      <c r="AP8567">
        <v>1</v>
      </c>
      <c r="AQ8567">
        <v>1</v>
      </c>
      <c r="AR8567">
        <v>1</v>
      </c>
      <c r="AS8567">
        <v>0</v>
      </c>
      <c r="AT8567">
        <v>1</v>
      </c>
      <c r="AV8567">
        <v>1</v>
      </c>
      <c r="AW8567">
        <v>1</v>
      </c>
    </row>
    <row r="8568" spans="1:49" x14ac:dyDescent="0.25">
      <c r="A8568" t="str">
        <f>"8564"</f>
        <v>8564</v>
      </c>
      <c r="B8568" t="str">
        <f t="shared" si="500"/>
        <v>1</v>
      </c>
      <c r="C8568" t="str">
        <f t="shared" si="502"/>
        <v>380</v>
      </c>
      <c r="D8568" t="str">
        <f>"8"</f>
        <v>8</v>
      </c>
      <c r="E8568" t="str">
        <f>"1-380-8"</f>
        <v>1-380-8</v>
      </c>
      <c r="F8568" t="s">
        <v>83</v>
      </c>
      <c r="G8568" t="s">
        <v>84</v>
      </c>
      <c r="H8568" t="s">
        <v>92</v>
      </c>
      <c r="I8568">
        <v>1</v>
      </c>
      <c r="J8568">
        <v>1</v>
      </c>
      <c r="N8568">
        <v>1</v>
      </c>
      <c r="O8568">
        <v>1</v>
      </c>
      <c r="P8568">
        <v>1</v>
      </c>
      <c r="Q8568">
        <v>1</v>
      </c>
      <c r="R8568">
        <v>1</v>
      </c>
      <c r="S8568">
        <v>1</v>
      </c>
      <c r="T8568">
        <v>1</v>
      </c>
      <c r="W8568">
        <v>1</v>
      </c>
      <c r="X8568">
        <v>1</v>
      </c>
      <c r="Y8568">
        <v>1</v>
      </c>
      <c r="Z8568">
        <v>1</v>
      </c>
      <c r="AA8568">
        <v>1</v>
      </c>
      <c r="AB8568">
        <v>1</v>
      </c>
    </row>
    <row r="8569" spans="1:49" x14ac:dyDescent="0.25">
      <c r="A8569" t="str">
        <f>"8565"</f>
        <v>8565</v>
      </c>
      <c r="B8569" t="str">
        <f t="shared" si="500"/>
        <v>1</v>
      </c>
      <c r="C8569" t="str">
        <f t="shared" si="502"/>
        <v>380</v>
      </c>
      <c r="D8569" t="str">
        <f>"6"</f>
        <v>6</v>
      </c>
      <c r="E8569" t="str">
        <f>"1-380-6"</f>
        <v>1-380-6</v>
      </c>
      <c r="F8569" t="s">
        <v>83</v>
      </c>
      <c r="G8569" t="s">
        <v>84</v>
      </c>
      <c r="H8569" t="s">
        <v>92</v>
      </c>
      <c r="I8569">
        <v>1</v>
      </c>
      <c r="J8569">
        <v>1</v>
      </c>
      <c r="N8569">
        <v>1</v>
      </c>
      <c r="O8569">
        <v>1</v>
      </c>
      <c r="P8569">
        <v>1</v>
      </c>
      <c r="Q8569">
        <v>1</v>
      </c>
      <c r="R8569">
        <v>1</v>
      </c>
      <c r="S8569">
        <v>1</v>
      </c>
      <c r="T8569">
        <v>1</v>
      </c>
      <c r="W8569">
        <v>1</v>
      </c>
      <c r="X8569">
        <v>1</v>
      </c>
      <c r="Y8569">
        <v>1</v>
      </c>
      <c r="Z8569">
        <v>1</v>
      </c>
      <c r="AA8569">
        <v>1</v>
      </c>
      <c r="AB8569">
        <v>1</v>
      </c>
    </row>
    <row r="8570" spans="1:49" x14ac:dyDescent="0.25">
      <c r="A8570" t="str">
        <f>"8566"</f>
        <v>8566</v>
      </c>
      <c r="B8570" t="str">
        <f t="shared" si="500"/>
        <v>1</v>
      </c>
      <c r="C8570" t="str">
        <f t="shared" si="502"/>
        <v>380</v>
      </c>
      <c r="D8570" t="str">
        <f>"15"</f>
        <v>15</v>
      </c>
      <c r="E8570" t="str">
        <f>"1-380-15"</f>
        <v>1-380-15</v>
      </c>
      <c r="F8570" t="s">
        <v>83</v>
      </c>
      <c r="G8570" t="s">
        <v>86</v>
      </c>
      <c r="H8570" t="s">
        <v>93</v>
      </c>
      <c r="I8570">
        <v>1</v>
      </c>
      <c r="K8570">
        <v>0</v>
      </c>
      <c r="L8570">
        <v>1</v>
      </c>
      <c r="M8570">
        <v>0</v>
      </c>
      <c r="N8570">
        <v>1</v>
      </c>
      <c r="O8570">
        <v>1</v>
      </c>
      <c r="P8570">
        <v>1</v>
      </c>
      <c r="Q8570">
        <v>1</v>
      </c>
      <c r="R8570">
        <v>1</v>
      </c>
      <c r="U8570">
        <v>1</v>
      </c>
      <c r="V8570">
        <v>0</v>
      </c>
      <c r="W8570">
        <v>1</v>
      </c>
      <c r="X8570">
        <v>1</v>
      </c>
      <c r="Y8570">
        <v>1</v>
      </c>
      <c r="Z8570">
        <v>1</v>
      </c>
      <c r="AA8570">
        <v>1</v>
      </c>
      <c r="AB8570">
        <v>1</v>
      </c>
    </row>
    <row r="8571" spans="1:49" x14ac:dyDescent="0.25">
      <c r="A8571" t="str">
        <f>"8567"</f>
        <v>8567</v>
      </c>
      <c r="B8571" t="str">
        <f t="shared" si="500"/>
        <v>1</v>
      </c>
      <c r="C8571" t="str">
        <f t="shared" si="502"/>
        <v>380</v>
      </c>
      <c r="D8571" t="str">
        <f>"9"</f>
        <v>9</v>
      </c>
      <c r="E8571" t="str">
        <f>"1-380-9"</f>
        <v>1-380-9</v>
      </c>
      <c r="F8571" t="s">
        <v>83</v>
      </c>
      <c r="G8571" t="s">
        <v>84</v>
      </c>
      <c r="H8571" t="s">
        <v>85</v>
      </c>
      <c r="AC8571">
        <v>0</v>
      </c>
      <c r="AD8571">
        <v>1</v>
      </c>
      <c r="AE8571">
        <v>0</v>
      </c>
      <c r="AF8571">
        <v>0</v>
      </c>
      <c r="AG8571">
        <v>1</v>
      </c>
      <c r="AJ8571">
        <v>0</v>
      </c>
      <c r="AK8571">
        <v>1</v>
      </c>
      <c r="AL8571">
        <v>0</v>
      </c>
      <c r="AM8571">
        <v>0</v>
      </c>
      <c r="AN8571">
        <v>1</v>
      </c>
      <c r="AO8571">
        <v>1</v>
      </c>
      <c r="AP8571">
        <v>1</v>
      </c>
      <c r="AQ8571">
        <v>1</v>
      </c>
      <c r="AR8571">
        <v>1</v>
      </c>
      <c r="AS8571">
        <v>0</v>
      </c>
      <c r="AT8571">
        <v>1</v>
      </c>
      <c r="AV8571">
        <v>1</v>
      </c>
      <c r="AW8571">
        <v>1</v>
      </c>
    </row>
    <row r="8572" spans="1:49" x14ac:dyDescent="0.25">
      <c r="A8572" t="str">
        <f>"8568"</f>
        <v>8568</v>
      </c>
      <c r="B8572" t="str">
        <f t="shared" si="500"/>
        <v>1</v>
      </c>
      <c r="C8572" t="str">
        <f t="shared" si="502"/>
        <v>380</v>
      </c>
      <c r="D8572" t="str">
        <f>"2"</f>
        <v>2</v>
      </c>
      <c r="E8572" t="str">
        <f>"1-380-2"</f>
        <v>1-380-2</v>
      </c>
      <c r="F8572" t="s">
        <v>83</v>
      </c>
      <c r="G8572" t="s">
        <v>84</v>
      </c>
      <c r="H8572" t="s">
        <v>85</v>
      </c>
      <c r="AC8572">
        <v>1</v>
      </c>
      <c r="AD8572">
        <v>0</v>
      </c>
      <c r="AE8572">
        <v>0</v>
      </c>
      <c r="AF8572">
        <v>0</v>
      </c>
      <c r="AG8572">
        <v>1</v>
      </c>
      <c r="AJ8572">
        <v>1</v>
      </c>
      <c r="AK8572">
        <v>0</v>
      </c>
      <c r="AL8572">
        <v>1</v>
      </c>
      <c r="AM8572">
        <v>0</v>
      </c>
      <c r="AN8572">
        <v>0</v>
      </c>
      <c r="AO8572">
        <v>1</v>
      </c>
      <c r="AP8572">
        <v>1</v>
      </c>
      <c r="AQ8572">
        <v>1</v>
      </c>
      <c r="AR8572">
        <v>1</v>
      </c>
      <c r="AS8572">
        <v>0</v>
      </c>
      <c r="AT8572">
        <v>1</v>
      </c>
      <c r="AV8572">
        <v>1</v>
      </c>
      <c r="AW8572">
        <v>1</v>
      </c>
    </row>
    <row r="8573" spans="1:49" x14ac:dyDescent="0.25">
      <c r="A8573" t="str">
        <f>"8569"</f>
        <v>8569</v>
      </c>
      <c r="B8573" t="str">
        <f t="shared" si="500"/>
        <v>1</v>
      </c>
      <c r="C8573" t="str">
        <f t="shared" si="502"/>
        <v>380</v>
      </c>
      <c r="D8573" t="str">
        <f>"17"</f>
        <v>17</v>
      </c>
      <c r="E8573" t="str">
        <f>"1-380-17"</f>
        <v>1-380-17</v>
      </c>
      <c r="F8573" t="s">
        <v>83</v>
      </c>
      <c r="G8573" t="s">
        <v>84</v>
      </c>
      <c r="H8573" t="s">
        <v>85</v>
      </c>
      <c r="AC8573">
        <v>0</v>
      </c>
      <c r="AD8573">
        <v>1</v>
      </c>
      <c r="AE8573">
        <v>0</v>
      </c>
      <c r="AF8573">
        <v>0</v>
      </c>
      <c r="AG8573">
        <v>0</v>
      </c>
      <c r="AJ8573">
        <v>1</v>
      </c>
      <c r="AK8573">
        <v>0</v>
      </c>
      <c r="AL8573">
        <v>0</v>
      </c>
      <c r="AM8573">
        <v>0</v>
      </c>
      <c r="AN8573">
        <v>1</v>
      </c>
      <c r="AO8573">
        <v>0</v>
      </c>
      <c r="AP8573">
        <v>0</v>
      </c>
      <c r="AQ8573">
        <v>0</v>
      </c>
      <c r="AR8573">
        <v>0</v>
      </c>
      <c r="AS8573">
        <v>1</v>
      </c>
      <c r="AT8573">
        <v>0</v>
      </c>
      <c r="AV8573">
        <v>0</v>
      </c>
      <c r="AW8573">
        <v>0</v>
      </c>
    </row>
    <row r="8574" spans="1:49" x14ac:dyDescent="0.25">
      <c r="A8574" t="str">
        <f>"8570"</f>
        <v>8570</v>
      </c>
      <c r="B8574" t="str">
        <f t="shared" si="500"/>
        <v>1</v>
      </c>
      <c r="C8574" t="str">
        <f t="shared" si="502"/>
        <v>380</v>
      </c>
      <c r="D8574" t="str">
        <f>"10"</f>
        <v>10</v>
      </c>
      <c r="E8574" t="str">
        <f>"1-380-10"</f>
        <v>1-380-10</v>
      </c>
      <c r="F8574" t="s">
        <v>83</v>
      </c>
      <c r="G8574" t="s">
        <v>84</v>
      </c>
      <c r="H8574" t="s">
        <v>92</v>
      </c>
      <c r="I8574">
        <v>1</v>
      </c>
      <c r="J8574">
        <v>1</v>
      </c>
      <c r="N8574">
        <v>1</v>
      </c>
      <c r="O8574">
        <v>1</v>
      </c>
      <c r="P8574">
        <v>1</v>
      </c>
      <c r="Q8574">
        <v>1</v>
      </c>
      <c r="R8574">
        <v>1</v>
      </c>
      <c r="S8574">
        <v>1</v>
      </c>
      <c r="T8574">
        <v>1</v>
      </c>
      <c r="W8574">
        <v>1</v>
      </c>
      <c r="X8574">
        <v>1</v>
      </c>
      <c r="Y8574">
        <v>1</v>
      </c>
      <c r="Z8574">
        <v>1</v>
      </c>
      <c r="AA8574">
        <v>1</v>
      </c>
      <c r="AB8574">
        <v>1</v>
      </c>
    </row>
    <row r="8575" spans="1:49" x14ac:dyDescent="0.25">
      <c r="A8575" t="str">
        <f>"8571"</f>
        <v>8571</v>
      </c>
      <c r="B8575" t="str">
        <f t="shared" si="500"/>
        <v>1</v>
      </c>
      <c r="C8575" t="str">
        <f t="shared" si="502"/>
        <v>380</v>
      </c>
      <c r="D8575" t="str">
        <f>"4"</f>
        <v>4</v>
      </c>
      <c r="E8575" t="str">
        <f>"1-380-4"</f>
        <v>1-380-4</v>
      </c>
      <c r="F8575" t="s">
        <v>83</v>
      </c>
      <c r="G8575" t="s">
        <v>84</v>
      </c>
      <c r="H8575" t="s">
        <v>92</v>
      </c>
      <c r="I8575">
        <v>1</v>
      </c>
      <c r="J8575">
        <v>1</v>
      </c>
      <c r="N8575">
        <v>1</v>
      </c>
      <c r="O8575">
        <v>1</v>
      </c>
      <c r="P8575">
        <v>1</v>
      </c>
      <c r="Q8575">
        <v>1</v>
      </c>
      <c r="R8575">
        <v>1</v>
      </c>
      <c r="S8575">
        <v>1</v>
      </c>
      <c r="T8575">
        <v>1</v>
      </c>
      <c r="W8575">
        <v>1</v>
      </c>
      <c r="X8575">
        <v>1</v>
      </c>
      <c r="Y8575">
        <v>1</v>
      </c>
      <c r="Z8575">
        <v>1</v>
      </c>
      <c r="AA8575">
        <v>1</v>
      </c>
      <c r="AB8575">
        <v>1</v>
      </c>
    </row>
    <row r="8576" spans="1:49" x14ac:dyDescent="0.25">
      <c r="A8576" t="str">
        <f>"8572"</f>
        <v>8572</v>
      </c>
      <c r="B8576" t="str">
        <f t="shared" si="500"/>
        <v>1</v>
      </c>
      <c r="C8576" t="str">
        <f t="shared" si="502"/>
        <v>380</v>
      </c>
      <c r="D8576" t="str">
        <f>"18"</f>
        <v>18</v>
      </c>
      <c r="E8576" t="str">
        <f>"1-380-18"</f>
        <v>1-380-18</v>
      </c>
      <c r="F8576" t="s">
        <v>83</v>
      </c>
      <c r="G8576" t="s">
        <v>84</v>
      </c>
      <c r="H8576" t="s">
        <v>85</v>
      </c>
      <c r="AC8576">
        <v>0</v>
      </c>
      <c r="AD8576">
        <v>1</v>
      </c>
      <c r="AE8576">
        <v>0</v>
      </c>
      <c r="AF8576">
        <v>0</v>
      </c>
      <c r="AG8576">
        <v>0</v>
      </c>
      <c r="AJ8576">
        <v>1</v>
      </c>
      <c r="AK8576">
        <v>0</v>
      </c>
      <c r="AL8576">
        <v>0</v>
      </c>
      <c r="AM8576">
        <v>0</v>
      </c>
      <c r="AN8576">
        <v>1</v>
      </c>
      <c r="AO8576">
        <v>0</v>
      </c>
      <c r="AP8576">
        <v>0</v>
      </c>
      <c r="AQ8576">
        <v>0</v>
      </c>
      <c r="AR8576">
        <v>0</v>
      </c>
      <c r="AS8576">
        <v>1</v>
      </c>
      <c r="AT8576">
        <v>0</v>
      </c>
      <c r="AV8576">
        <v>0</v>
      </c>
      <c r="AW8576">
        <v>0</v>
      </c>
    </row>
    <row r="8577" spans="1:28" x14ac:dyDescent="0.25">
      <c r="A8577" t="str">
        <f>"8573"</f>
        <v>8573</v>
      </c>
      <c r="B8577" t="str">
        <f t="shared" si="500"/>
        <v>1</v>
      </c>
      <c r="C8577" t="str">
        <f t="shared" si="502"/>
        <v>380</v>
      </c>
      <c r="D8577" t="str">
        <f>"11"</f>
        <v>11</v>
      </c>
      <c r="E8577" t="str">
        <f>"1-380-11"</f>
        <v>1-380-11</v>
      </c>
      <c r="F8577" t="s">
        <v>83</v>
      </c>
      <c r="G8577" t="s">
        <v>84</v>
      </c>
      <c r="H8577" t="s">
        <v>92</v>
      </c>
      <c r="I8577">
        <v>1</v>
      </c>
      <c r="J8577">
        <v>1</v>
      </c>
      <c r="N8577">
        <v>1</v>
      </c>
      <c r="O8577">
        <v>1</v>
      </c>
      <c r="P8577">
        <v>1</v>
      </c>
      <c r="Q8577">
        <v>1</v>
      </c>
      <c r="R8577">
        <v>1</v>
      </c>
      <c r="S8577">
        <v>1</v>
      </c>
      <c r="T8577">
        <v>1</v>
      </c>
      <c r="W8577">
        <v>1</v>
      </c>
      <c r="X8577">
        <v>1</v>
      </c>
      <c r="Y8577">
        <v>1</v>
      </c>
      <c r="Z8577">
        <v>1</v>
      </c>
      <c r="AA8577">
        <v>1</v>
      </c>
      <c r="AB8577">
        <v>1</v>
      </c>
    </row>
    <row r="8578" spans="1:28" x14ac:dyDescent="0.25">
      <c r="A8578" t="str">
        <f>"8574"</f>
        <v>8574</v>
      </c>
      <c r="B8578" t="str">
        <f t="shared" si="500"/>
        <v>1</v>
      </c>
      <c r="C8578" t="str">
        <f t="shared" si="502"/>
        <v>380</v>
      </c>
      <c r="D8578" t="str">
        <f>"3"</f>
        <v>3</v>
      </c>
      <c r="E8578" t="str">
        <f>"1-380-3"</f>
        <v>1-380-3</v>
      </c>
      <c r="F8578" t="s">
        <v>83</v>
      </c>
      <c r="G8578" t="s">
        <v>84</v>
      </c>
      <c r="H8578" t="s">
        <v>92</v>
      </c>
      <c r="I8578">
        <v>1</v>
      </c>
      <c r="J8578">
        <v>1</v>
      </c>
      <c r="N8578">
        <v>1</v>
      </c>
      <c r="O8578">
        <v>1</v>
      </c>
      <c r="P8578">
        <v>1</v>
      </c>
      <c r="Q8578">
        <v>1</v>
      </c>
      <c r="R8578">
        <v>1</v>
      </c>
      <c r="S8578">
        <v>1</v>
      </c>
      <c r="T8578">
        <v>1</v>
      </c>
      <c r="W8578">
        <v>1</v>
      </c>
      <c r="X8578">
        <v>1</v>
      </c>
      <c r="Y8578">
        <v>1</v>
      </c>
      <c r="Z8578">
        <v>1</v>
      </c>
      <c r="AA8578">
        <v>1</v>
      </c>
      <c r="AB8578">
        <v>1</v>
      </c>
    </row>
    <row r="8579" spans="1:28" x14ac:dyDescent="0.25">
      <c r="A8579" t="str">
        <f>"8575"</f>
        <v>8575</v>
      </c>
      <c r="B8579" t="str">
        <f t="shared" si="500"/>
        <v>1</v>
      </c>
      <c r="C8579" t="str">
        <f t="shared" si="502"/>
        <v>380</v>
      </c>
      <c r="D8579" t="str">
        <f>"12"</f>
        <v>12</v>
      </c>
      <c r="E8579" t="str">
        <f>"1-380-12"</f>
        <v>1-380-12</v>
      </c>
      <c r="F8579" t="s">
        <v>83</v>
      </c>
      <c r="G8579" t="s">
        <v>84</v>
      </c>
      <c r="H8579" t="s">
        <v>92</v>
      </c>
      <c r="I8579">
        <v>1</v>
      </c>
      <c r="J8579">
        <v>1</v>
      </c>
      <c r="N8579">
        <v>1</v>
      </c>
      <c r="O8579">
        <v>1</v>
      </c>
      <c r="P8579">
        <v>1</v>
      </c>
      <c r="Q8579">
        <v>1</v>
      </c>
      <c r="R8579">
        <v>1</v>
      </c>
      <c r="S8579">
        <v>1</v>
      </c>
      <c r="T8579">
        <v>1</v>
      </c>
      <c r="W8579">
        <v>1</v>
      </c>
      <c r="X8579">
        <v>1</v>
      </c>
      <c r="Y8579">
        <v>1</v>
      </c>
      <c r="Z8579">
        <v>1</v>
      </c>
      <c r="AA8579">
        <v>1</v>
      </c>
      <c r="AB8579">
        <v>1</v>
      </c>
    </row>
    <row r="8580" spans="1:28" x14ac:dyDescent="0.25">
      <c r="A8580" t="str">
        <f>"8576"</f>
        <v>8576</v>
      </c>
      <c r="B8580" t="str">
        <f t="shared" si="500"/>
        <v>1</v>
      </c>
      <c r="C8580" t="str">
        <f t="shared" si="502"/>
        <v>380</v>
      </c>
      <c r="D8580" t="str">
        <f>"7"</f>
        <v>7</v>
      </c>
      <c r="E8580" t="str">
        <f>"1-380-7"</f>
        <v>1-380-7</v>
      </c>
      <c r="F8580" t="s">
        <v>83</v>
      </c>
      <c r="G8580" t="s">
        <v>84</v>
      </c>
      <c r="H8580" t="s">
        <v>92</v>
      </c>
      <c r="I8580">
        <v>1</v>
      </c>
      <c r="J8580">
        <v>1</v>
      </c>
      <c r="N8580">
        <v>1</v>
      </c>
      <c r="O8580">
        <v>1</v>
      </c>
      <c r="P8580">
        <v>1</v>
      </c>
      <c r="Q8580">
        <v>1</v>
      </c>
      <c r="R8580">
        <v>1</v>
      </c>
      <c r="S8580">
        <v>1</v>
      </c>
      <c r="T8580">
        <v>1</v>
      </c>
      <c r="W8580">
        <v>1</v>
      </c>
      <c r="X8580">
        <v>1</v>
      </c>
      <c r="Y8580">
        <v>1</v>
      </c>
      <c r="Z8580">
        <v>1</v>
      </c>
      <c r="AA8580">
        <v>1</v>
      </c>
      <c r="AB8580">
        <v>1</v>
      </c>
    </row>
    <row r="8581" spans="1:28" x14ac:dyDescent="0.25">
      <c r="A8581" t="str">
        <f>"8577"</f>
        <v>8577</v>
      </c>
      <c r="B8581" t="str">
        <f t="shared" si="500"/>
        <v>1</v>
      </c>
      <c r="C8581" t="str">
        <f t="shared" si="502"/>
        <v>380</v>
      </c>
      <c r="D8581" t="str">
        <f>"13"</f>
        <v>13</v>
      </c>
      <c r="E8581" t="str">
        <f>"1-380-13"</f>
        <v>1-380-13</v>
      </c>
      <c r="F8581" t="s">
        <v>83</v>
      </c>
      <c r="G8581" t="s">
        <v>86</v>
      </c>
      <c r="H8581" t="s">
        <v>93</v>
      </c>
      <c r="I8581">
        <v>1</v>
      </c>
      <c r="K8581">
        <v>0</v>
      </c>
      <c r="L8581">
        <v>1</v>
      </c>
      <c r="M8581">
        <v>0</v>
      </c>
      <c r="N8581">
        <v>1</v>
      </c>
      <c r="O8581">
        <v>1</v>
      </c>
      <c r="P8581">
        <v>1</v>
      </c>
      <c r="Q8581">
        <v>1</v>
      </c>
      <c r="R8581">
        <v>1</v>
      </c>
      <c r="U8581">
        <v>1</v>
      </c>
      <c r="V8581">
        <v>0</v>
      </c>
      <c r="W8581">
        <v>1</v>
      </c>
      <c r="X8581">
        <v>1</v>
      </c>
      <c r="Y8581">
        <v>1</v>
      </c>
      <c r="Z8581">
        <v>1</v>
      </c>
      <c r="AA8581">
        <v>1</v>
      </c>
      <c r="AB8581">
        <v>1</v>
      </c>
    </row>
    <row r="8582" spans="1:28" x14ac:dyDescent="0.25">
      <c r="A8582" t="str">
        <f>"8578"</f>
        <v>8578</v>
      </c>
      <c r="B8582" t="str">
        <f t="shared" si="500"/>
        <v>1</v>
      </c>
      <c r="C8582" t="str">
        <f t="shared" si="502"/>
        <v>380</v>
      </c>
      <c r="D8582" t="str">
        <f>"5"</f>
        <v>5</v>
      </c>
      <c r="E8582" t="str">
        <f>"1-380-5"</f>
        <v>1-380-5</v>
      </c>
      <c r="F8582" t="s">
        <v>83</v>
      </c>
      <c r="G8582" t="s">
        <v>84</v>
      </c>
      <c r="H8582" t="s">
        <v>92</v>
      </c>
      <c r="I8582">
        <v>1</v>
      </c>
      <c r="J8582">
        <v>1</v>
      </c>
      <c r="N8582">
        <v>1</v>
      </c>
      <c r="O8582">
        <v>1</v>
      </c>
      <c r="P8582">
        <v>1</v>
      </c>
      <c r="Q8582">
        <v>1</v>
      </c>
      <c r="R8582">
        <v>1</v>
      </c>
      <c r="S8582">
        <v>1</v>
      </c>
      <c r="T8582">
        <v>1</v>
      </c>
      <c r="W8582">
        <v>1</v>
      </c>
      <c r="X8582">
        <v>1</v>
      </c>
      <c r="Y8582">
        <v>1</v>
      </c>
      <c r="Z8582">
        <v>1</v>
      </c>
      <c r="AA8582">
        <v>1</v>
      </c>
      <c r="AB8582">
        <v>1</v>
      </c>
    </row>
    <row r="8583" spans="1:28" x14ac:dyDescent="0.25">
      <c r="A8583" t="str">
        <f>"8579"</f>
        <v>8579</v>
      </c>
      <c r="B8583" t="str">
        <f t="shared" si="500"/>
        <v>1</v>
      </c>
      <c r="C8583" t="str">
        <f t="shared" si="502"/>
        <v>380</v>
      </c>
      <c r="D8583" t="str">
        <f>"14"</f>
        <v>14</v>
      </c>
      <c r="E8583" t="str">
        <f>"1-380-14"</f>
        <v>1-380-14</v>
      </c>
      <c r="F8583" t="s">
        <v>83</v>
      </c>
      <c r="G8583" t="s">
        <v>86</v>
      </c>
      <c r="H8583" t="s">
        <v>93</v>
      </c>
      <c r="I8583">
        <v>1</v>
      </c>
      <c r="K8583">
        <v>1</v>
      </c>
      <c r="L8583">
        <v>0</v>
      </c>
      <c r="M8583">
        <v>0</v>
      </c>
      <c r="N8583">
        <v>1</v>
      </c>
      <c r="O8583">
        <v>1</v>
      </c>
      <c r="P8583">
        <v>1</v>
      </c>
      <c r="Q8583">
        <v>1</v>
      </c>
      <c r="R8583">
        <v>1</v>
      </c>
      <c r="U8583">
        <v>0</v>
      </c>
      <c r="V8583">
        <v>1</v>
      </c>
      <c r="W8583">
        <v>1</v>
      </c>
      <c r="X8583">
        <v>1</v>
      </c>
      <c r="Y8583">
        <v>1</v>
      </c>
      <c r="Z8583">
        <v>1</v>
      </c>
      <c r="AA8583">
        <v>1</v>
      </c>
      <c r="AB8583">
        <v>1</v>
      </c>
    </row>
    <row r="8584" spans="1:28" x14ac:dyDescent="0.25">
      <c r="A8584" t="str">
        <f>"8580"</f>
        <v>8580</v>
      </c>
      <c r="B8584" t="str">
        <f t="shared" si="500"/>
        <v>1</v>
      </c>
      <c r="C8584" t="str">
        <f t="shared" si="502"/>
        <v>380</v>
      </c>
      <c r="D8584" t="str">
        <f>"1"</f>
        <v>1</v>
      </c>
      <c r="E8584" t="str">
        <f>"1-380-1"</f>
        <v>1-380-1</v>
      </c>
      <c r="F8584" t="s">
        <v>83</v>
      </c>
      <c r="G8584" t="s">
        <v>84</v>
      </c>
      <c r="H8584" t="s">
        <v>92</v>
      </c>
      <c r="I8584">
        <v>1</v>
      </c>
      <c r="J8584">
        <v>1</v>
      </c>
      <c r="N8584">
        <v>1</v>
      </c>
      <c r="O8584">
        <v>1</v>
      </c>
      <c r="P8584">
        <v>1</v>
      </c>
      <c r="Q8584">
        <v>1</v>
      </c>
      <c r="R8584">
        <v>1</v>
      </c>
      <c r="S8584">
        <v>1</v>
      </c>
      <c r="T8584">
        <v>1</v>
      </c>
      <c r="W8584">
        <v>1</v>
      </c>
      <c r="X8584">
        <v>1</v>
      </c>
      <c r="Y8584">
        <v>1</v>
      </c>
      <c r="Z8584">
        <v>1</v>
      </c>
      <c r="AA8584">
        <v>1</v>
      </c>
      <c r="AB8584">
        <v>1</v>
      </c>
    </row>
    <row r="8585" spans="1:28" x14ac:dyDescent="0.25">
      <c r="A8585" t="str">
        <f>"8581"</f>
        <v>8581</v>
      </c>
      <c r="B8585" t="str">
        <f t="shared" si="500"/>
        <v>1</v>
      </c>
      <c r="C8585" t="str">
        <f t="shared" ref="C8585:C8603" si="503">"381"</f>
        <v>381</v>
      </c>
      <c r="D8585" t="str">
        <f>"15"</f>
        <v>15</v>
      </c>
      <c r="E8585" t="str">
        <f>"1-381-15"</f>
        <v>1-381-15</v>
      </c>
      <c r="F8585" t="s">
        <v>83</v>
      </c>
      <c r="G8585" t="s">
        <v>86</v>
      </c>
      <c r="H8585" t="s">
        <v>93</v>
      </c>
      <c r="I8585">
        <v>1</v>
      </c>
      <c r="K8585">
        <v>0</v>
      </c>
      <c r="L8585">
        <v>0</v>
      </c>
      <c r="M8585">
        <v>1</v>
      </c>
      <c r="N8585">
        <v>1</v>
      </c>
      <c r="O8585">
        <v>1</v>
      </c>
      <c r="P8585">
        <v>1</v>
      </c>
      <c r="Q8585">
        <v>1</v>
      </c>
      <c r="R8585">
        <v>1</v>
      </c>
      <c r="U8585">
        <v>0</v>
      </c>
      <c r="V8585">
        <v>1</v>
      </c>
      <c r="W8585">
        <v>1</v>
      </c>
      <c r="X8585">
        <v>1</v>
      </c>
      <c r="Y8585">
        <v>1</v>
      </c>
      <c r="Z8585">
        <v>1</v>
      </c>
      <c r="AA8585">
        <v>1</v>
      </c>
      <c r="AB8585">
        <v>1</v>
      </c>
    </row>
    <row r="8586" spans="1:28" x14ac:dyDescent="0.25">
      <c r="A8586" t="str">
        <f>"8582"</f>
        <v>8582</v>
      </c>
      <c r="B8586" t="str">
        <f t="shared" si="500"/>
        <v>1</v>
      </c>
      <c r="C8586" t="str">
        <f t="shared" si="503"/>
        <v>381</v>
      </c>
      <c r="D8586" t="str">
        <f>"8"</f>
        <v>8</v>
      </c>
      <c r="E8586" t="str">
        <f>"1-381-8"</f>
        <v>1-381-8</v>
      </c>
      <c r="F8586" t="s">
        <v>83</v>
      </c>
      <c r="G8586" t="s">
        <v>86</v>
      </c>
      <c r="H8586" t="s">
        <v>93</v>
      </c>
      <c r="I8586">
        <v>1</v>
      </c>
      <c r="K8586">
        <v>0</v>
      </c>
      <c r="L8586">
        <v>0</v>
      </c>
      <c r="M8586">
        <v>1</v>
      </c>
      <c r="N8586">
        <v>1</v>
      </c>
      <c r="O8586">
        <v>1</v>
      </c>
      <c r="P8586">
        <v>1</v>
      </c>
      <c r="Q8586">
        <v>1</v>
      </c>
      <c r="R8586">
        <v>1</v>
      </c>
      <c r="U8586">
        <v>0</v>
      </c>
      <c r="V8586">
        <v>1</v>
      </c>
      <c r="W8586">
        <v>1</v>
      </c>
      <c r="X8586">
        <v>1</v>
      </c>
      <c r="Y8586">
        <v>1</v>
      </c>
      <c r="Z8586">
        <v>1</v>
      </c>
      <c r="AA8586">
        <v>1</v>
      </c>
      <c r="AB8586">
        <v>1</v>
      </c>
    </row>
    <row r="8587" spans="1:28" x14ac:dyDescent="0.25">
      <c r="A8587" t="str">
        <f>"8583"</f>
        <v>8583</v>
      </c>
      <c r="B8587" t="str">
        <f t="shared" si="500"/>
        <v>1</v>
      </c>
      <c r="C8587" t="str">
        <f t="shared" si="503"/>
        <v>381</v>
      </c>
      <c r="D8587" t="str">
        <f>"7"</f>
        <v>7</v>
      </c>
      <c r="E8587" t="str">
        <f>"1-381-7"</f>
        <v>1-381-7</v>
      </c>
      <c r="F8587" t="s">
        <v>83</v>
      </c>
      <c r="G8587" t="s">
        <v>86</v>
      </c>
      <c r="H8587" t="s">
        <v>93</v>
      </c>
      <c r="I8587">
        <v>1</v>
      </c>
      <c r="K8587">
        <v>1</v>
      </c>
      <c r="L8587">
        <v>0</v>
      </c>
      <c r="M8587">
        <v>0</v>
      </c>
      <c r="N8587">
        <v>1</v>
      </c>
      <c r="O8587">
        <v>1</v>
      </c>
      <c r="P8587">
        <v>1</v>
      </c>
      <c r="Q8587">
        <v>1</v>
      </c>
      <c r="R8587">
        <v>1</v>
      </c>
      <c r="U8587">
        <v>0</v>
      </c>
      <c r="V8587">
        <v>1</v>
      </c>
      <c r="W8587">
        <v>1</v>
      </c>
      <c r="X8587">
        <v>1</v>
      </c>
      <c r="Y8587">
        <v>1</v>
      </c>
      <c r="Z8587">
        <v>1</v>
      </c>
      <c r="AA8587">
        <v>1</v>
      </c>
      <c r="AB8587">
        <v>1</v>
      </c>
    </row>
    <row r="8588" spans="1:28" x14ac:dyDescent="0.25">
      <c r="A8588" t="str">
        <f>"8584"</f>
        <v>8584</v>
      </c>
      <c r="B8588" t="str">
        <f t="shared" si="500"/>
        <v>1</v>
      </c>
      <c r="C8588" t="str">
        <f t="shared" si="503"/>
        <v>381</v>
      </c>
      <c r="D8588" t="str">
        <f>"16"</f>
        <v>16</v>
      </c>
      <c r="E8588" t="str">
        <f>"1-381-16"</f>
        <v>1-381-16</v>
      </c>
      <c r="F8588" t="s">
        <v>83</v>
      </c>
      <c r="G8588" t="s">
        <v>86</v>
      </c>
      <c r="H8588" t="s">
        <v>93</v>
      </c>
      <c r="I8588">
        <v>1</v>
      </c>
      <c r="K8588">
        <v>0</v>
      </c>
      <c r="L8588">
        <v>1</v>
      </c>
      <c r="M8588">
        <v>0</v>
      </c>
      <c r="N8588">
        <v>1</v>
      </c>
      <c r="O8588">
        <v>1</v>
      </c>
      <c r="P8588">
        <v>1</v>
      </c>
      <c r="Q8588">
        <v>1</v>
      </c>
      <c r="R8588">
        <v>1</v>
      </c>
      <c r="U8588">
        <v>0</v>
      </c>
      <c r="V8588">
        <v>0</v>
      </c>
      <c r="W8588">
        <v>1</v>
      </c>
      <c r="X8588">
        <v>1</v>
      </c>
      <c r="Y8588">
        <v>1</v>
      </c>
      <c r="Z8588">
        <v>1</v>
      </c>
      <c r="AA8588">
        <v>1</v>
      </c>
      <c r="AB8588">
        <v>1</v>
      </c>
    </row>
    <row r="8589" spans="1:28" x14ac:dyDescent="0.25">
      <c r="A8589" t="str">
        <f>"8585"</f>
        <v>8585</v>
      </c>
      <c r="B8589" t="str">
        <f t="shared" si="500"/>
        <v>1</v>
      </c>
      <c r="C8589" t="str">
        <f t="shared" si="503"/>
        <v>381</v>
      </c>
      <c r="D8589" t="str">
        <f>"9"</f>
        <v>9</v>
      </c>
      <c r="E8589" t="str">
        <f>"1-381-9"</f>
        <v>1-381-9</v>
      </c>
      <c r="F8589" t="s">
        <v>83</v>
      </c>
      <c r="G8589" t="s">
        <v>86</v>
      </c>
      <c r="H8589" t="s">
        <v>93</v>
      </c>
      <c r="I8589">
        <v>1</v>
      </c>
      <c r="K8589">
        <v>0</v>
      </c>
      <c r="L8589">
        <v>0</v>
      </c>
      <c r="M8589">
        <v>0</v>
      </c>
      <c r="N8589">
        <v>1</v>
      </c>
      <c r="O8589">
        <v>1</v>
      </c>
      <c r="P8589">
        <v>1</v>
      </c>
      <c r="Q8589">
        <v>1</v>
      </c>
      <c r="R8589">
        <v>1</v>
      </c>
      <c r="U8589">
        <v>0</v>
      </c>
      <c r="V8589">
        <v>0</v>
      </c>
      <c r="W8589">
        <v>1</v>
      </c>
      <c r="X8589">
        <v>1</v>
      </c>
      <c r="Y8589">
        <v>1</v>
      </c>
      <c r="Z8589">
        <v>1</v>
      </c>
      <c r="AA8589">
        <v>1</v>
      </c>
      <c r="AB8589">
        <v>1</v>
      </c>
    </row>
    <row r="8590" spans="1:28" x14ac:dyDescent="0.25">
      <c r="A8590" t="str">
        <f>"8586"</f>
        <v>8586</v>
      </c>
      <c r="B8590" t="str">
        <f t="shared" si="500"/>
        <v>1</v>
      </c>
      <c r="C8590" t="str">
        <f t="shared" si="503"/>
        <v>381</v>
      </c>
      <c r="D8590" t="str">
        <f>"2"</f>
        <v>2</v>
      </c>
      <c r="E8590" t="str">
        <f>"1-381-2"</f>
        <v>1-381-2</v>
      </c>
      <c r="F8590" t="s">
        <v>83</v>
      </c>
      <c r="G8590" t="s">
        <v>86</v>
      </c>
      <c r="H8590" t="s">
        <v>93</v>
      </c>
      <c r="I8590">
        <v>1</v>
      </c>
      <c r="K8590">
        <v>1</v>
      </c>
      <c r="L8590">
        <v>0</v>
      </c>
      <c r="M8590">
        <v>0</v>
      </c>
      <c r="N8590">
        <v>1</v>
      </c>
      <c r="O8590">
        <v>1</v>
      </c>
      <c r="P8590">
        <v>1</v>
      </c>
      <c r="Q8590">
        <v>1</v>
      </c>
      <c r="R8590">
        <v>1</v>
      </c>
      <c r="U8590">
        <v>1</v>
      </c>
      <c r="V8590">
        <v>0</v>
      </c>
      <c r="W8590">
        <v>1</v>
      </c>
      <c r="X8590">
        <v>1</v>
      </c>
      <c r="Y8590">
        <v>1</v>
      </c>
      <c r="Z8590">
        <v>1</v>
      </c>
      <c r="AA8590">
        <v>1</v>
      </c>
      <c r="AB8590">
        <v>1</v>
      </c>
    </row>
    <row r="8591" spans="1:28" x14ac:dyDescent="0.25">
      <c r="A8591" t="str">
        <f>"8587"</f>
        <v>8587</v>
      </c>
      <c r="B8591" t="str">
        <f t="shared" si="500"/>
        <v>1</v>
      </c>
      <c r="C8591" t="str">
        <f t="shared" si="503"/>
        <v>381</v>
      </c>
      <c r="D8591" t="str">
        <f>"19"</f>
        <v>19</v>
      </c>
      <c r="E8591" t="str">
        <f>"1-381-19"</f>
        <v>1-381-19</v>
      </c>
      <c r="F8591" t="s">
        <v>83</v>
      </c>
      <c r="G8591" t="s">
        <v>86</v>
      </c>
      <c r="H8591" t="s">
        <v>93</v>
      </c>
      <c r="I8591">
        <v>1</v>
      </c>
      <c r="K8591">
        <v>0</v>
      </c>
      <c r="L8591">
        <v>0</v>
      </c>
      <c r="M8591">
        <v>1</v>
      </c>
      <c r="N8591">
        <v>1</v>
      </c>
      <c r="O8591">
        <v>1</v>
      </c>
      <c r="P8591">
        <v>1</v>
      </c>
      <c r="Q8591">
        <v>1</v>
      </c>
      <c r="R8591">
        <v>1</v>
      </c>
      <c r="U8591">
        <v>0</v>
      </c>
      <c r="V8591">
        <v>1</v>
      </c>
      <c r="W8591">
        <v>1</v>
      </c>
      <c r="X8591">
        <v>1</v>
      </c>
      <c r="Y8591">
        <v>1</v>
      </c>
      <c r="Z8591">
        <v>1</v>
      </c>
      <c r="AA8591">
        <v>1</v>
      </c>
      <c r="AB8591">
        <v>1</v>
      </c>
    </row>
    <row r="8592" spans="1:28" x14ac:dyDescent="0.25">
      <c r="A8592" t="str">
        <f>"8588"</f>
        <v>8588</v>
      </c>
      <c r="B8592" t="str">
        <f t="shared" si="500"/>
        <v>1</v>
      </c>
      <c r="C8592" t="str">
        <f t="shared" si="503"/>
        <v>381</v>
      </c>
      <c r="D8592" t="str">
        <f>"10"</f>
        <v>10</v>
      </c>
      <c r="E8592" t="str">
        <f>"1-381-10"</f>
        <v>1-381-10</v>
      </c>
      <c r="F8592" t="s">
        <v>83</v>
      </c>
      <c r="G8592" t="s">
        <v>86</v>
      </c>
      <c r="H8592" t="s">
        <v>93</v>
      </c>
      <c r="I8592">
        <v>1</v>
      </c>
      <c r="K8592">
        <v>1</v>
      </c>
      <c r="L8592">
        <v>0</v>
      </c>
      <c r="M8592">
        <v>0</v>
      </c>
      <c r="N8592">
        <v>1</v>
      </c>
      <c r="O8592">
        <v>1</v>
      </c>
      <c r="P8592">
        <v>1</v>
      </c>
      <c r="Q8592">
        <v>1</v>
      </c>
      <c r="R8592">
        <v>1</v>
      </c>
      <c r="U8592">
        <v>0</v>
      </c>
      <c r="V8592">
        <v>1</v>
      </c>
      <c r="W8592">
        <v>1</v>
      </c>
      <c r="X8592">
        <v>1</v>
      </c>
      <c r="Y8592">
        <v>1</v>
      </c>
      <c r="Z8592">
        <v>1</v>
      </c>
      <c r="AA8592">
        <v>1</v>
      </c>
      <c r="AB8592">
        <v>1</v>
      </c>
    </row>
    <row r="8593" spans="1:28" x14ac:dyDescent="0.25">
      <c r="A8593" t="str">
        <f>"8589"</f>
        <v>8589</v>
      </c>
      <c r="B8593" t="str">
        <f t="shared" si="500"/>
        <v>1</v>
      </c>
      <c r="C8593" t="str">
        <f t="shared" si="503"/>
        <v>381</v>
      </c>
      <c r="D8593" t="str">
        <f>"6"</f>
        <v>6</v>
      </c>
      <c r="E8593" t="str">
        <f>"1-381-6"</f>
        <v>1-381-6</v>
      </c>
      <c r="F8593" t="s">
        <v>83</v>
      </c>
      <c r="G8593" t="s">
        <v>86</v>
      </c>
      <c r="H8593" t="s">
        <v>93</v>
      </c>
      <c r="I8593">
        <v>1</v>
      </c>
      <c r="K8593">
        <v>0</v>
      </c>
      <c r="L8593">
        <v>0</v>
      </c>
      <c r="M8593">
        <v>0</v>
      </c>
      <c r="N8593">
        <v>1</v>
      </c>
      <c r="O8593">
        <v>0</v>
      </c>
      <c r="P8593">
        <v>0</v>
      </c>
      <c r="Q8593">
        <v>0</v>
      </c>
      <c r="R8593">
        <v>0</v>
      </c>
      <c r="U8593">
        <v>0</v>
      </c>
      <c r="V8593">
        <v>1</v>
      </c>
      <c r="W8593">
        <v>0</v>
      </c>
      <c r="X8593">
        <v>0</v>
      </c>
      <c r="Y8593">
        <v>0</v>
      </c>
      <c r="Z8593">
        <v>0</v>
      </c>
      <c r="AA8593">
        <v>1</v>
      </c>
      <c r="AB8593">
        <v>1</v>
      </c>
    </row>
    <row r="8594" spans="1:28" x14ac:dyDescent="0.25">
      <c r="A8594" t="str">
        <f>"8590"</f>
        <v>8590</v>
      </c>
      <c r="B8594" t="str">
        <f t="shared" si="500"/>
        <v>1</v>
      </c>
      <c r="C8594" t="str">
        <f t="shared" si="503"/>
        <v>381</v>
      </c>
      <c r="D8594" t="str">
        <f>"17"</f>
        <v>17</v>
      </c>
      <c r="E8594" t="str">
        <f>"1-381-17"</f>
        <v>1-381-17</v>
      </c>
      <c r="F8594" t="s">
        <v>83</v>
      </c>
      <c r="G8594" t="s">
        <v>86</v>
      </c>
      <c r="H8594" t="s">
        <v>93</v>
      </c>
      <c r="I8594">
        <v>1</v>
      </c>
      <c r="K8594">
        <v>0</v>
      </c>
      <c r="L8594">
        <v>0</v>
      </c>
      <c r="M8594">
        <v>1</v>
      </c>
      <c r="N8594">
        <v>1</v>
      </c>
      <c r="O8594">
        <v>1</v>
      </c>
      <c r="P8594">
        <v>1</v>
      </c>
      <c r="Q8594">
        <v>1</v>
      </c>
      <c r="R8594">
        <v>1</v>
      </c>
      <c r="U8594">
        <v>1</v>
      </c>
      <c r="V8594">
        <v>0</v>
      </c>
      <c r="W8594">
        <v>1</v>
      </c>
      <c r="X8594">
        <v>1</v>
      </c>
      <c r="Y8594">
        <v>1</v>
      </c>
      <c r="Z8594">
        <v>1</v>
      </c>
      <c r="AA8594">
        <v>1</v>
      </c>
      <c r="AB8594">
        <v>1</v>
      </c>
    </row>
    <row r="8595" spans="1:28" x14ac:dyDescent="0.25">
      <c r="A8595" t="str">
        <f>"8591"</f>
        <v>8591</v>
      </c>
      <c r="B8595" t="str">
        <f t="shared" si="500"/>
        <v>1</v>
      </c>
      <c r="C8595" t="str">
        <f t="shared" si="503"/>
        <v>381</v>
      </c>
      <c r="D8595" t="str">
        <f>"11"</f>
        <v>11</v>
      </c>
      <c r="E8595" t="str">
        <f>"1-381-11"</f>
        <v>1-381-11</v>
      </c>
      <c r="F8595" t="s">
        <v>83</v>
      </c>
      <c r="G8595" t="s">
        <v>86</v>
      </c>
      <c r="H8595" t="s">
        <v>93</v>
      </c>
      <c r="I8595">
        <v>1</v>
      </c>
      <c r="K8595">
        <v>1</v>
      </c>
      <c r="L8595">
        <v>0</v>
      </c>
      <c r="M8595">
        <v>0</v>
      </c>
      <c r="N8595">
        <v>1</v>
      </c>
      <c r="O8595">
        <v>1</v>
      </c>
      <c r="P8595">
        <v>1</v>
      </c>
      <c r="Q8595">
        <v>1</v>
      </c>
      <c r="R8595">
        <v>1</v>
      </c>
      <c r="U8595">
        <v>0</v>
      </c>
      <c r="V8595">
        <v>1</v>
      </c>
      <c r="W8595">
        <v>1</v>
      </c>
      <c r="X8595">
        <v>1</v>
      </c>
      <c r="Y8595">
        <v>1</v>
      </c>
      <c r="Z8595">
        <v>1</v>
      </c>
      <c r="AA8595">
        <v>1</v>
      </c>
      <c r="AB8595">
        <v>1</v>
      </c>
    </row>
    <row r="8596" spans="1:28" x14ac:dyDescent="0.25">
      <c r="A8596" t="str">
        <f>"8592"</f>
        <v>8592</v>
      </c>
      <c r="B8596" t="str">
        <f t="shared" si="500"/>
        <v>1</v>
      </c>
      <c r="C8596" t="str">
        <f t="shared" si="503"/>
        <v>381</v>
      </c>
      <c r="D8596" t="str">
        <f>"4"</f>
        <v>4</v>
      </c>
      <c r="E8596" t="str">
        <f>"1-381-4"</f>
        <v>1-381-4</v>
      </c>
      <c r="F8596" t="s">
        <v>83</v>
      </c>
      <c r="G8596" t="s">
        <v>86</v>
      </c>
      <c r="H8596" t="s">
        <v>93</v>
      </c>
      <c r="I8596">
        <v>1</v>
      </c>
      <c r="K8596">
        <v>0</v>
      </c>
      <c r="L8596">
        <v>0</v>
      </c>
      <c r="M8596">
        <v>1</v>
      </c>
      <c r="N8596">
        <v>1</v>
      </c>
      <c r="O8596">
        <v>1</v>
      </c>
      <c r="P8596">
        <v>1</v>
      </c>
      <c r="Q8596">
        <v>1</v>
      </c>
      <c r="R8596">
        <v>1</v>
      </c>
      <c r="U8596">
        <v>1</v>
      </c>
      <c r="V8596">
        <v>0</v>
      </c>
      <c r="W8596">
        <v>1</v>
      </c>
      <c r="X8596">
        <v>1</v>
      </c>
      <c r="Y8596">
        <v>1</v>
      </c>
      <c r="Z8596">
        <v>1</v>
      </c>
      <c r="AA8596">
        <v>1</v>
      </c>
      <c r="AB8596">
        <v>1</v>
      </c>
    </row>
    <row r="8597" spans="1:28" x14ac:dyDescent="0.25">
      <c r="A8597" t="str">
        <f>"8593"</f>
        <v>8593</v>
      </c>
      <c r="B8597" t="str">
        <f t="shared" si="500"/>
        <v>1</v>
      </c>
      <c r="C8597" t="str">
        <f t="shared" si="503"/>
        <v>381</v>
      </c>
      <c r="D8597" t="str">
        <f>"18"</f>
        <v>18</v>
      </c>
      <c r="E8597" t="str">
        <f>"1-381-18"</f>
        <v>1-381-18</v>
      </c>
      <c r="F8597" t="s">
        <v>83</v>
      </c>
      <c r="G8597" t="s">
        <v>86</v>
      </c>
      <c r="H8597" t="s">
        <v>93</v>
      </c>
      <c r="I8597">
        <v>1</v>
      </c>
      <c r="K8597">
        <v>0</v>
      </c>
      <c r="L8597">
        <v>0</v>
      </c>
      <c r="M8597">
        <v>1</v>
      </c>
      <c r="N8597">
        <v>1</v>
      </c>
      <c r="O8597">
        <v>1</v>
      </c>
      <c r="P8597">
        <v>1</v>
      </c>
      <c r="Q8597">
        <v>1</v>
      </c>
      <c r="R8597">
        <v>1</v>
      </c>
      <c r="U8597">
        <v>0</v>
      </c>
      <c r="V8597">
        <v>0</v>
      </c>
      <c r="W8597">
        <v>1</v>
      </c>
      <c r="X8597">
        <v>1</v>
      </c>
      <c r="Y8597">
        <v>1</v>
      </c>
      <c r="Z8597">
        <v>1</v>
      </c>
      <c r="AA8597">
        <v>1</v>
      </c>
      <c r="AB8597">
        <v>1</v>
      </c>
    </row>
    <row r="8598" spans="1:28" x14ac:dyDescent="0.25">
      <c r="A8598" t="str">
        <f>"8594"</f>
        <v>8594</v>
      </c>
      <c r="B8598" t="str">
        <f t="shared" si="500"/>
        <v>1</v>
      </c>
      <c r="C8598" t="str">
        <f t="shared" si="503"/>
        <v>381</v>
      </c>
      <c r="D8598" t="str">
        <f>"12"</f>
        <v>12</v>
      </c>
      <c r="E8598" t="str">
        <f>"1-381-12"</f>
        <v>1-381-12</v>
      </c>
      <c r="F8598" t="s">
        <v>83</v>
      </c>
      <c r="G8598" t="s">
        <v>86</v>
      </c>
      <c r="H8598" t="s">
        <v>93</v>
      </c>
      <c r="I8598">
        <v>1</v>
      </c>
      <c r="K8598">
        <v>1</v>
      </c>
      <c r="L8598">
        <v>0</v>
      </c>
      <c r="M8598">
        <v>0</v>
      </c>
      <c r="N8598">
        <v>1</v>
      </c>
      <c r="O8598">
        <v>1</v>
      </c>
      <c r="P8598">
        <v>1</v>
      </c>
      <c r="Q8598">
        <v>1</v>
      </c>
      <c r="R8598">
        <v>0</v>
      </c>
      <c r="U8598">
        <v>0</v>
      </c>
      <c r="V8598">
        <v>1</v>
      </c>
      <c r="W8598">
        <v>1</v>
      </c>
      <c r="X8598">
        <v>1</v>
      </c>
      <c r="Y8598">
        <v>1</v>
      </c>
      <c r="Z8598">
        <v>1</v>
      </c>
      <c r="AA8598">
        <v>1</v>
      </c>
      <c r="AB8598">
        <v>1</v>
      </c>
    </row>
    <row r="8599" spans="1:28" x14ac:dyDescent="0.25">
      <c r="A8599" t="str">
        <f>"8595"</f>
        <v>8595</v>
      </c>
      <c r="B8599" t="str">
        <f t="shared" si="500"/>
        <v>1</v>
      </c>
      <c r="C8599" t="str">
        <f t="shared" si="503"/>
        <v>381</v>
      </c>
      <c r="D8599" t="str">
        <f>"3"</f>
        <v>3</v>
      </c>
      <c r="E8599" t="str">
        <f>"1-381-3"</f>
        <v>1-381-3</v>
      </c>
      <c r="F8599" t="s">
        <v>83</v>
      </c>
      <c r="G8599" t="s">
        <v>86</v>
      </c>
      <c r="H8599" t="s">
        <v>93</v>
      </c>
      <c r="I8599">
        <v>1</v>
      </c>
      <c r="K8599">
        <v>0</v>
      </c>
      <c r="L8599">
        <v>0</v>
      </c>
      <c r="M8599">
        <v>1</v>
      </c>
      <c r="N8599">
        <v>1</v>
      </c>
      <c r="O8599">
        <v>1</v>
      </c>
      <c r="P8599">
        <v>1</v>
      </c>
      <c r="Q8599">
        <v>1</v>
      </c>
      <c r="R8599">
        <v>1</v>
      </c>
      <c r="U8599">
        <v>0</v>
      </c>
      <c r="V8599">
        <v>1</v>
      </c>
      <c r="W8599">
        <v>1</v>
      </c>
      <c r="X8599">
        <v>1</v>
      </c>
      <c r="Y8599">
        <v>1</v>
      </c>
      <c r="Z8599">
        <v>1</v>
      </c>
      <c r="AA8599">
        <v>1</v>
      </c>
      <c r="AB8599">
        <v>1</v>
      </c>
    </row>
    <row r="8600" spans="1:28" x14ac:dyDescent="0.25">
      <c r="A8600" t="str">
        <f>"8596"</f>
        <v>8596</v>
      </c>
      <c r="B8600" t="str">
        <f t="shared" si="500"/>
        <v>1</v>
      </c>
      <c r="C8600" t="str">
        <f t="shared" si="503"/>
        <v>381</v>
      </c>
      <c r="D8600" t="str">
        <f>"13"</f>
        <v>13</v>
      </c>
      <c r="E8600" t="str">
        <f>"1-381-13"</f>
        <v>1-381-13</v>
      </c>
      <c r="F8600" t="s">
        <v>83</v>
      </c>
      <c r="G8600" t="s">
        <v>86</v>
      </c>
      <c r="H8600" t="s">
        <v>93</v>
      </c>
      <c r="I8600">
        <v>1</v>
      </c>
      <c r="K8600">
        <v>0</v>
      </c>
      <c r="L8600">
        <v>0</v>
      </c>
      <c r="M8600">
        <v>1</v>
      </c>
      <c r="N8600">
        <v>1</v>
      </c>
      <c r="O8600">
        <v>1</v>
      </c>
      <c r="P8600">
        <v>1</v>
      </c>
      <c r="Q8600">
        <v>1</v>
      </c>
      <c r="R8600">
        <v>1</v>
      </c>
      <c r="U8600">
        <v>0</v>
      </c>
      <c r="V8600">
        <v>0</v>
      </c>
      <c r="W8600">
        <v>1</v>
      </c>
      <c r="X8600">
        <v>1</v>
      </c>
      <c r="Y8600">
        <v>1</v>
      </c>
      <c r="Z8600">
        <v>1</v>
      </c>
      <c r="AA8600">
        <v>1</v>
      </c>
      <c r="AB8600">
        <v>1</v>
      </c>
    </row>
    <row r="8601" spans="1:28" x14ac:dyDescent="0.25">
      <c r="A8601" t="str">
        <f>"8597"</f>
        <v>8597</v>
      </c>
      <c r="B8601" t="str">
        <f t="shared" si="500"/>
        <v>1</v>
      </c>
      <c r="C8601" t="str">
        <f t="shared" si="503"/>
        <v>381</v>
      </c>
      <c r="D8601" t="str">
        <f>"1"</f>
        <v>1</v>
      </c>
      <c r="E8601" t="str">
        <f>"1-381-1"</f>
        <v>1-381-1</v>
      </c>
      <c r="F8601" t="s">
        <v>83</v>
      </c>
      <c r="G8601" t="s">
        <v>86</v>
      </c>
      <c r="H8601" t="s">
        <v>93</v>
      </c>
      <c r="I8601">
        <v>1</v>
      </c>
      <c r="K8601">
        <v>0</v>
      </c>
      <c r="L8601">
        <v>0</v>
      </c>
      <c r="M8601">
        <v>1</v>
      </c>
      <c r="N8601">
        <v>1</v>
      </c>
      <c r="O8601">
        <v>1</v>
      </c>
      <c r="P8601">
        <v>1</v>
      </c>
      <c r="Q8601">
        <v>1</v>
      </c>
      <c r="R8601">
        <v>1</v>
      </c>
      <c r="U8601">
        <v>1</v>
      </c>
      <c r="V8601">
        <v>0</v>
      </c>
      <c r="W8601">
        <v>1</v>
      </c>
      <c r="X8601">
        <v>1</v>
      </c>
      <c r="Y8601">
        <v>1</v>
      </c>
      <c r="Z8601">
        <v>1</v>
      </c>
      <c r="AA8601">
        <v>1</v>
      </c>
      <c r="AB8601">
        <v>1</v>
      </c>
    </row>
    <row r="8602" spans="1:28" x14ac:dyDescent="0.25">
      <c r="A8602" t="str">
        <f>"8598"</f>
        <v>8598</v>
      </c>
      <c r="B8602" t="str">
        <f t="shared" si="500"/>
        <v>1</v>
      </c>
      <c r="C8602" t="str">
        <f t="shared" si="503"/>
        <v>381</v>
      </c>
      <c r="D8602" t="str">
        <f>"14"</f>
        <v>14</v>
      </c>
      <c r="E8602" t="str">
        <f>"1-381-14"</f>
        <v>1-381-14</v>
      </c>
      <c r="F8602" t="s">
        <v>83</v>
      </c>
      <c r="G8602" t="s">
        <v>86</v>
      </c>
      <c r="H8602" t="s">
        <v>93</v>
      </c>
      <c r="I8602">
        <v>1</v>
      </c>
      <c r="K8602">
        <v>1</v>
      </c>
      <c r="L8602">
        <v>0</v>
      </c>
      <c r="M8602">
        <v>0</v>
      </c>
      <c r="N8602">
        <v>1</v>
      </c>
      <c r="O8602">
        <v>1</v>
      </c>
      <c r="P8602">
        <v>1</v>
      </c>
      <c r="Q8602">
        <v>1</v>
      </c>
      <c r="R8602">
        <v>1</v>
      </c>
      <c r="U8602">
        <v>0</v>
      </c>
      <c r="V8602">
        <v>1</v>
      </c>
      <c r="W8602">
        <v>1</v>
      </c>
      <c r="X8602">
        <v>1</v>
      </c>
      <c r="Y8602">
        <v>1</v>
      </c>
      <c r="Z8602">
        <v>1</v>
      </c>
      <c r="AA8602">
        <v>1</v>
      </c>
      <c r="AB8602">
        <v>1</v>
      </c>
    </row>
    <row r="8603" spans="1:28" x14ac:dyDescent="0.25">
      <c r="A8603" t="str">
        <f>"8599"</f>
        <v>8599</v>
      </c>
      <c r="B8603" t="str">
        <f t="shared" si="500"/>
        <v>1</v>
      </c>
      <c r="C8603" t="str">
        <f t="shared" si="503"/>
        <v>381</v>
      </c>
      <c r="D8603" t="str">
        <f>"5"</f>
        <v>5</v>
      </c>
      <c r="E8603" t="str">
        <f>"1-381-5"</f>
        <v>1-381-5</v>
      </c>
      <c r="F8603" t="s">
        <v>83</v>
      </c>
      <c r="G8603" t="s">
        <v>86</v>
      </c>
      <c r="H8603" t="s">
        <v>93</v>
      </c>
      <c r="I8603">
        <v>1</v>
      </c>
      <c r="K8603">
        <v>0</v>
      </c>
      <c r="L8603">
        <v>0</v>
      </c>
      <c r="M8603">
        <v>1</v>
      </c>
      <c r="N8603">
        <v>1</v>
      </c>
      <c r="O8603">
        <v>1</v>
      </c>
      <c r="P8603">
        <v>1</v>
      </c>
      <c r="Q8603">
        <v>1</v>
      </c>
      <c r="R8603">
        <v>1</v>
      </c>
      <c r="U8603">
        <v>0</v>
      </c>
      <c r="V8603">
        <v>1</v>
      </c>
      <c r="W8603">
        <v>1</v>
      </c>
      <c r="X8603">
        <v>1</v>
      </c>
      <c r="Y8603">
        <v>1</v>
      </c>
      <c r="Z8603">
        <v>1</v>
      </c>
      <c r="AA8603">
        <v>1</v>
      </c>
      <c r="AB8603">
        <v>1</v>
      </c>
    </row>
    <row r="8604" spans="1:28" x14ac:dyDescent="0.25">
      <c r="A8604" t="str">
        <f>"8600"</f>
        <v>8600</v>
      </c>
      <c r="B8604" t="str">
        <f t="shared" si="500"/>
        <v>1</v>
      </c>
      <c r="C8604" t="str">
        <f t="shared" ref="C8604:C8628" si="504">"382"</f>
        <v>382</v>
      </c>
      <c r="D8604" t="str">
        <f>"23"</f>
        <v>23</v>
      </c>
      <c r="E8604" t="str">
        <f>"1-382-23"</f>
        <v>1-382-23</v>
      </c>
      <c r="F8604" t="s">
        <v>83</v>
      </c>
      <c r="G8604" t="s">
        <v>86</v>
      </c>
      <c r="H8604" t="s">
        <v>93</v>
      </c>
      <c r="I8604">
        <v>0</v>
      </c>
      <c r="K8604">
        <v>0</v>
      </c>
      <c r="L8604">
        <v>0</v>
      </c>
      <c r="M8604">
        <v>1</v>
      </c>
      <c r="N8604">
        <v>0</v>
      </c>
      <c r="O8604">
        <v>0</v>
      </c>
      <c r="P8604">
        <v>0</v>
      </c>
      <c r="Q8604">
        <v>0</v>
      </c>
      <c r="R8604">
        <v>0</v>
      </c>
      <c r="U8604">
        <v>1</v>
      </c>
      <c r="V8604">
        <v>0</v>
      </c>
      <c r="W8604">
        <v>0</v>
      </c>
      <c r="X8604">
        <v>0</v>
      </c>
      <c r="Y8604">
        <v>0</v>
      </c>
      <c r="Z8604">
        <v>0</v>
      </c>
      <c r="AA8604">
        <v>0</v>
      </c>
      <c r="AB8604">
        <v>0</v>
      </c>
    </row>
    <row r="8605" spans="1:28" x14ac:dyDescent="0.25">
      <c r="A8605" t="str">
        <f>"8601"</f>
        <v>8601</v>
      </c>
      <c r="B8605" t="str">
        <f t="shared" si="500"/>
        <v>1</v>
      </c>
      <c r="C8605" t="str">
        <f t="shared" si="504"/>
        <v>382</v>
      </c>
      <c r="D8605" t="str">
        <f>"22"</f>
        <v>22</v>
      </c>
      <c r="E8605" t="str">
        <f>"1-382-22"</f>
        <v>1-382-22</v>
      </c>
      <c r="F8605" t="s">
        <v>83</v>
      </c>
      <c r="G8605" t="s">
        <v>86</v>
      </c>
      <c r="H8605" t="s">
        <v>93</v>
      </c>
      <c r="I8605">
        <v>1</v>
      </c>
      <c r="K8605">
        <v>1</v>
      </c>
      <c r="L8605">
        <v>0</v>
      </c>
      <c r="M8605">
        <v>0</v>
      </c>
      <c r="N8605">
        <v>1</v>
      </c>
      <c r="O8605">
        <v>1</v>
      </c>
      <c r="P8605">
        <v>1</v>
      </c>
      <c r="Q8605">
        <v>1</v>
      </c>
      <c r="R8605">
        <v>1</v>
      </c>
      <c r="U8605">
        <v>1</v>
      </c>
      <c r="V8605">
        <v>0</v>
      </c>
      <c r="W8605">
        <v>1</v>
      </c>
      <c r="X8605">
        <v>1</v>
      </c>
      <c r="Y8605">
        <v>1</v>
      </c>
      <c r="Z8605">
        <v>1</v>
      </c>
      <c r="AA8605">
        <v>1</v>
      </c>
      <c r="AB8605">
        <v>1</v>
      </c>
    </row>
    <row r="8606" spans="1:28" x14ac:dyDescent="0.25">
      <c r="A8606" t="str">
        <f>"8602"</f>
        <v>8602</v>
      </c>
      <c r="B8606" t="str">
        <f t="shared" ref="B8606:B8669" si="505">"1"</f>
        <v>1</v>
      </c>
      <c r="C8606" t="str">
        <f t="shared" si="504"/>
        <v>382</v>
      </c>
      <c r="D8606" t="str">
        <f>"15"</f>
        <v>15</v>
      </c>
      <c r="E8606" t="str">
        <f>"1-382-15"</f>
        <v>1-382-15</v>
      </c>
      <c r="F8606" t="s">
        <v>83</v>
      </c>
      <c r="G8606" t="s">
        <v>86</v>
      </c>
      <c r="H8606" t="s">
        <v>93</v>
      </c>
      <c r="I8606">
        <v>1</v>
      </c>
      <c r="K8606">
        <v>1</v>
      </c>
      <c r="L8606">
        <v>0</v>
      </c>
      <c r="M8606">
        <v>0</v>
      </c>
      <c r="N8606">
        <v>1</v>
      </c>
      <c r="O8606">
        <v>1</v>
      </c>
      <c r="P8606">
        <v>1</v>
      </c>
      <c r="Q8606">
        <v>1</v>
      </c>
      <c r="R8606">
        <v>1</v>
      </c>
      <c r="U8606">
        <v>0</v>
      </c>
      <c r="V8606">
        <v>1</v>
      </c>
      <c r="W8606">
        <v>1</v>
      </c>
      <c r="X8606">
        <v>1</v>
      </c>
      <c r="Y8606">
        <v>1</v>
      </c>
      <c r="Z8606">
        <v>1</v>
      </c>
      <c r="AA8606">
        <v>1</v>
      </c>
      <c r="AB8606">
        <v>1</v>
      </c>
    </row>
    <row r="8607" spans="1:28" x14ac:dyDescent="0.25">
      <c r="A8607" t="str">
        <f>"8603"</f>
        <v>8603</v>
      </c>
      <c r="B8607" t="str">
        <f t="shared" si="505"/>
        <v>1</v>
      </c>
      <c r="C8607" t="str">
        <f t="shared" si="504"/>
        <v>382</v>
      </c>
      <c r="D8607" t="str">
        <f>"8"</f>
        <v>8</v>
      </c>
      <c r="E8607" t="str">
        <f>"1-382-8"</f>
        <v>1-382-8</v>
      </c>
      <c r="F8607" t="s">
        <v>83</v>
      </c>
      <c r="G8607" t="s">
        <v>86</v>
      </c>
      <c r="H8607" t="s">
        <v>93</v>
      </c>
      <c r="I8607">
        <v>1</v>
      </c>
      <c r="K8607">
        <v>0</v>
      </c>
      <c r="L8607">
        <v>0</v>
      </c>
      <c r="M8607">
        <v>1</v>
      </c>
      <c r="N8607">
        <v>1</v>
      </c>
      <c r="O8607">
        <v>1</v>
      </c>
      <c r="P8607">
        <v>1</v>
      </c>
      <c r="Q8607">
        <v>1</v>
      </c>
      <c r="R8607">
        <v>1</v>
      </c>
      <c r="U8607">
        <v>1</v>
      </c>
      <c r="V8607">
        <v>0</v>
      </c>
      <c r="W8607">
        <v>1</v>
      </c>
      <c r="X8607">
        <v>1</v>
      </c>
      <c r="Y8607">
        <v>1</v>
      </c>
      <c r="Z8607">
        <v>1</v>
      </c>
      <c r="AA8607">
        <v>1</v>
      </c>
      <c r="AB8607">
        <v>1</v>
      </c>
    </row>
    <row r="8608" spans="1:28" x14ac:dyDescent="0.25">
      <c r="A8608" t="str">
        <f>"8604"</f>
        <v>8604</v>
      </c>
      <c r="B8608" t="str">
        <f t="shared" si="505"/>
        <v>1</v>
      </c>
      <c r="C8608" t="str">
        <f t="shared" si="504"/>
        <v>382</v>
      </c>
      <c r="D8608" t="str">
        <f>"2"</f>
        <v>2</v>
      </c>
      <c r="E8608" t="str">
        <f>"1-382-2"</f>
        <v>1-382-2</v>
      </c>
      <c r="F8608" t="s">
        <v>83</v>
      </c>
      <c r="G8608" t="s">
        <v>86</v>
      </c>
      <c r="H8608" t="s">
        <v>93</v>
      </c>
      <c r="I8608">
        <v>1</v>
      </c>
      <c r="K8608">
        <v>0</v>
      </c>
      <c r="L8608">
        <v>0</v>
      </c>
      <c r="M8608">
        <v>1</v>
      </c>
      <c r="N8608">
        <v>1</v>
      </c>
      <c r="O8608">
        <v>1</v>
      </c>
      <c r="P8608">
        <v>1</v>
      </c>
      <c r="Q8608">
        <v>1</v>
      </c>
      <c r="R8608">
        <v>1</v>
      </c>
      <c r="U8608">
        <v>0</v>
      </c>
      <c r="V8608">
        <v>1</v>
      </c>
      <c r="W8608">
        <v>1</v>
      </c>
      <c r="X8608">
        <v>1</v>
      </c>
      <c r="Y8608">
        <v>1</v>
      </c>
      <c r="Z8608">
        <v>1</v>
      </c>
      <c r="AA8608">
        <v>1</v>
      </c>
      <c r="AB8608">
        <v>1</v>
      </c>
    </row>
    <row r="8609" spans="1:28" x14ac:dyDescent="0.25">
      <c r="A8609" t="str">
        <f>"8605"</f>
        <v>8605</v>
      </c>
      <c r="B8609" t="str">
        <f t="shared" si="505"/>
        <v>1</v>
      </c>
      <c r="C8609" t="str">
        <f t="shared" si="504"/>
        <v>382</v>
      </c>
      <c r="D8609" t="str">
        <f>"25"</f>
        <v>25</v>
      </c>
      <c r="E8609" t="str">
        <f>"1-382-25"</f>
        <v>1-382-25</v>
      </c>
      <c r="F8609" t="s">
        <v>83</v>
      </c>
      <c r="G8609" t="s">
        <v>86</v>
      </c>
      <c r="H8609" t="s">
        <v>93</v>
      </c>
      <c r="I8609">
        <v>1</v>
      </c>
      <c r="K8609">
        <v>0</v>
      </c>
      <c r="L8609">
        <v>1</v>
      </c>
      <c r="M8609">
        <v>0</v>
      </c>
      <c r="N8609">
        <v>1</v>
      </c>
      <c r="O8609">
        <v>1</v>
      </c>
      <c r="P8609">
        <v>1</v>
      </c>
      <c r="Q8609">
        <v>1</v>
      </c>
      <c r="R8609">
        <v>1</v>
      </c>
      <c r="U8609">
        <v>0</v>
      </c>
      <c r="V8609">
        <v>1</v>
      </c>
      <c r="W8609">
        <v>1</v>
      </c>
      <c r="X8609">
        <v>1</v>
      </c>
      <c r="Y8609">
        <v>1</v>
      </c>
      <c r="Z8609">
        <v>1</v>
      </c>
      <c r="AA8609">
        <v>1</v>
      </c>
      <c r="AB8609">
        <v>1</v>
      </c>
    </row>
    <row r="8610" spans="1:28" x14ac:dyDescent="0.25">
      <c r="A8610" t="str">
        <f>"8606"</f>
        <v>8606</v>
      </c>
      <c r="B8610" t="str">
        <f t="shared" si="505"/>
        <v>1</v>
      </c>
      <c r="C8610" t="str">
        <f t="shared" si="504"/>
        <v>382</v>
      </c>
      <c r="D8610" t="str">
        <f>"24"</f>
        <v>24</v>
      </c>
      <c r="E8610" t="str">
        <f>"1-382-24"</f>
        <v>1-382-24</v>
      </c>
      <c r="F8610" t="s">
        <v>83</v>
      </c>
      <c r="G8610" t="s">
        <v>86</v>
      </c>
      <c r="H8610" t="s">
        <v>93</v>
      </c>
      <c r="I8610">
        <v>1</v>
      </c>
      <c r="K8610">
        <v>0</v>
      </c>
      <c r="L8610">
        <v>0</v>
      </c>
      <c r="M8610">
        <v>1</v>
      </c>
      <c r="N8610">
        <v>1</v>
      </c>
      <c r="O8610">
        <v>1</v>
      </c>
      <c r="P8610">
        <v>1</v>
      </c>
      <c r="Q8610">
        <v>1</v>
      </c>
      <c r="R8610">
        <v>1</v>
      </c>
      <c r="U8610">
        <v>0</v>
      </c>
      <c r="V8610">
        <v>1</v>
      </c>
      <c r="W8610">
        <v>1</v>
      </c>
      <c r="X8610">
        <v>1</v>
      </c>
      <c r="Y8610">
        <v>1</v>
      </c>
      <c r="Z8610">
        <v>1</v>
      </c>
      <c r="AA8610">
        <v>1</v>
      </c>
      <c r="AB8610">
        <v>1</v>
      </c>
    </row>
    <row r="8611" spans="1:28" x14ac:dyDescent="0.25">
      <c r="A8611" t="str">
        <f>"8607"</f>
        <v>8607</v>
      </c>
      <c r="B8611" t="str">
        <f t="shared" si="505"/>
        <v>1</v>
      </c>
      <c r="C8611" t="str">
        <f t="shared" si="504"/>
        <v>382</v>
      </c>
      <c r="D8611" t="str">
        <f>"16"</f>
        <v>16</v>
      </c>
      <c r="E8611" t="str">
        <f>"1-382-16"</f>
        <v>1-382-16</v>
      </c>
      <c r="F8611" t="s">
        <v>83</v>
      </c>
      <c r="G8611" t="s">
        <v>86</v>
      </c>
      <c r="H8611" t="s">
        <v>93</v>
      </c>
      <c r="I8611">
        <v>1</v>
      </c>
      <c r="K8611">
        <v>0</v>
      </c>
      <c r="L8611">
        <v>0</v>
      </c>
      <c r="M8611">
        <v>1</v>
      </c>
      <c r="N8611">
        <v>1</v>
      </c>
      <c r="O8611">
        <v>1</v>
      </c>
      <c r="P8611">
        <v>1</v>
      </c>
      <c r="Q8611">
        <v>1</v>
      </c>
      <c r="R8611">
        <v>1</v>
      </c>
      <c r="U8611">
        <v>1</v>
      </c>
      <c r="V8611">
        <v>0</v>
      </c>
      <c r="W8611">
        <v>1</v>
      </c>
      <c r="X8611">
        <v>1</v>
      </c>
      <c r="Y8611">
        <v>1</v>
      </c>
      <c r="Z8611">
        <v>1</v>
      </c>
      <c r="AA8611">
        <v>1</v>
      </c>
      <c r="AB8611">
        <v>1</v>
      </c>
    </row>
    <row r="8612" spans="1:28" x14ac:dyDescent="0.25">
      <c r="A8612" t="str">
        <f>"8608"</f>
        <v>8608</v>
      </c>
      <c r="B8612" t="str">
        <f t="shared" si="505"/>
        <v>1</v>
      </c>
      <c r="C8612" t="str">
        <f t="shared" si="504"/>
        <v>382</v>
      </c>
      <c r="D8612" t="str">
        <f>"9"</f>
        <v>9</v>
      </c>
      <c r="E8612" t="str">
        <f>"1-382-9"</f>
        <v>1-382-9</v>
      </c>
      <c r="F8612" t="s">
        <v>83</v>
      </c>
      <c r="G8612" t="s">
        <v>86</v>
      </c>
      <c r="H8612" t="s">
        <v>93</v>
      </c>
      <c r="I8612">
        <v>1</v>
      </c>
      <c r="K8612">
        <v>0</v>
      </c>
      <c r="L8612">
        <v>0</v>
      </c>
      <c r="M8612">
        <v>1</v>
      </c>
      <c r="N8612">
        <v>1</v>
      </c>
      <c r="O8612">
        <v>1</v>
      </c>
      <c r="P8612">
        <v>1</v>
      </c>
      <c r="Q8612">
        <v>1</v>
      </c>
      <c r="R8612">
        <v>1</v>
      </c>
      <c r="U8612">
        <v>1</v>
      </c>
      <c r="V8612">
        <v>0</v>
      </c>
      <c r="W8612">
        <v>1</v>
      </c>
      <c r="X8612">
        <v>1</v>
      </c>
      <c r="Y8612">
        <v>1</v>
      </c>
      <c r="Z8612">
        <v>1</v>
      </c>
      <c r="AA8612">
        <v>1</v>
      </c>
      <c r="AB8612">
        <v>1</v>
      </c>
    </row>
    <row r="8613" spans="1:28" x14ac:dyDescent="0.25">
      <c r="A8613" t="str">
        <f>"8609"</f>
        <v>8609</v>
      </c>
      <c r="B8613" t="str">
        <f t="shared" si="505"/>
        <v>1</v>
      </c>
      <c r="C8613" t="str">
        <f t="shared" si="504"/>
        <v>382</v>
      </c>
      <c r="D8613" t="str">
        <f>"7"</f>
        <v>7</v>
      </c>
      <c r="E8613" t="str">
        <f>"1-382-7"</f>
        <v>1-382-7</v>
      </c>
      <c r="F8613" t="s">
        <v>83</v>
      </c>
      <c r="G8613" t="s">
        <v>86</v>
      </c>
      <c r="H8613" t="s">
        <v>93</v>
      </c>
      <c r="I8613">
        <v>1</v>
      </c>
      <c r="K8613">
        <v>0</v>
      </c>
      <c r="L8613">
        <v>0</v>
      </c>
      <c r="M8613">
        <v>1</v>
      </c>
      <c r="N8613">
        <v>1</v>
      </c>
      <c r="O8613">
        <v>0</v>
      </c>
      <c r="P8613">
        <v>0</v>
      </c>
      <c r="Q8613">
        <v>0</v>
      </c>
      <c r="R8613">
        <v>0</v>
      </c>
      <c r="U8613">
        <v>0</v>
      </c>
      <c r="V8613">
        <v>1</v>
      </c>
      <c r="W8613">
        <v>0</v>
      </c>
      <c r="X8613">
        <v>0</v>
      </c>
      <c r="Y8613">
        <v>0</v>
      </c>
      <c r="Z8613">
        <v>0</v>
      </c>
      <c r="AA8613">
        <v>0</v>
      </c>
      <c r="AB8613">
        <v>0</v>
      </c>
    </row>
    <row r="8614" spans="1:28" x14ac:dyDescent="0.25">
      <c r="A8614" t="str">
        <f>"8610"</f>
        <v>8610</v>
      </c>
      <c r="B8614" t="str">
        <f t="shared" si="505"/>
        <v>1</v>
      </c>
      <c r="C8614" t="str">
        <f t="shared" si="504"/>
        <v>382</v>
      </c>
      <c r="D8614" t="str">
        <f>"17"</f>
        <v>17</v>
      </c>
      <c r="E8614" t="str">
        <f>"1-382-17"</f>
        <v>1-382-17</v>
      </c>
      <c r="F8614" t="s">
        <v>83</v>
      </c>
      <c r="G8614" t="s">
        <v>86</v>
      </c>
      <c r="H8614" t="s">
        <v>93</v>
      </c>
      <c r="I8614">
        <v>1</v>
      </c>
      <c r="K8614">
        <v>1</v>
      </c>
      <c r="L8614">
        <v>0</v>
      </c>
      <c r="M8614">
        <v>0</v>
      </c>
      <c r="N8614">
        <v>1</v>
      </c>
      <c r="O8614">
        <v>1</v>
      </c>
      <c r="P8614">
        <v>1</v>
      </c>
      <c r="Q8614">
        <v>1</v>
      </c>
      <c r="R8614">
        <v>1</v>
      </c>
      <c r="U8614">
        <v>0</v>
      </c>
      <c r="V8614">
        <v>1</v>
      </c>
      <c r="W8614">
        <v>0</v>
      </c>
      <c r="X8614">
        <v>0</v>
      </c>
      <c r="Y8614">
        <v>0</v>
      </c>
      <c r="Z8614">
        <v>0</v>
      </c>
      <c r="AA8614">
        <v>0</v>
      </c>
      <c r="AB8614">
        <v>0</v>
      </c>
    </row>
    <row r="8615" spans="1:28" x14ac:dyDescent="0.25">
      <c r="A8615" t="str">
        <f>"8611"</f>
        <v>8611</v>
      </c>
      <c r="B8615" t="str">
        <f t="shared" si="505"/>
        <v>1</v>
      </c>
      <c r="C8615" t="str">
        <f t="shared" si="504"/>
        <v>382</v>
      </c>
      <c r="D8615" t="str">
        <f>"10"</f>
        <v>10</v>
      </c>
      <c r="E8615" t="str">
        <f>"1-382-10"</f>
        <v>1-382-10</v>
      </c>
      <c r="F8615" t="s">
        <v>83</v>
      </c>
      <c r="G8615" t="s">
        <v>86</v>
      </c>
      <c r="H8615" t="s">
        <v>93</v>
      </c>
      <c r="I8615">
        <v>1</v>
      </c>
      <c r="K8615">
        <v>0</v>
      </c>
      <c r="L8615">
        <v>0</v>
      </c>
      <c r="M8615">
        <v>1</v>
      </c>
      <c r="N8615">
        <v>1</v>
      </c>
      <c r="O8615">
        <v>1</v>
      </c>
      <c r="P8615">
        <v>1</v>
      </c>
      <c r="Q8615">
        <v>1</v>
      </c>
      <c r="R8615">
        <v>1</v>
      </c>
      <c r="U8615">
        <v>1</v>
      </c>
      <c r="V8615">
        <v>0</v>
      </c>
      <c r="W8615">
        <v>1</v>
      </c>
      <c r="X8615">
        <v>1</v>
      </c>
      <c r="Y8615">
        <v>1</v>
      </c>
      <c r="Z8615">
        <v>1</v>
      </c>
      <c r="AA8615">
        <v>1</v>
      </c>
      <c r="AB8615">
        <v>1</v>
      </c>
    </row>
    <row r="8616" spans="1:28" x14ac:dyDescent="0.25">
      <c r="A8616" t="str">
        <f>"8612"</f>
        <v>8612</v>
      </c>
      <c r="B8616" t="str">
        <f t="shared" si="505"/>
        <v>1</v>
      </c>
      <c r="C8616" t="str">
        <f t="shared" si="504"/>
        <v>382</v>
      </c>
      <c r="D8616" t="str">
        <f>"6"</f>
        <v>6</v>
      </c>
      <c r="E8616" t="str">
        <f>"1-382-6"</f>
        <v>1-382-6</v>
      </c>
      <c r="F8616" t="s">
        <v>83</v>
      </c>
      <c r="G8616" t="s">
        <v>86</v>
      </c>
      <c r="H8616" t="s">
        <v>93</v>
      </c>
      <c r="I8616">
        <v>1</v>
      </c>
      <c r="K8616">
        <v>0</v>
      </c>
      <c r="L8616">
        <v>0</v>
      </c>
      <c r="M8616">
        <v>1</v>
      </c>
      <c r="N8616">
        <v>1</v>
      </c>
      <c r="O8616">
        <v>1</v>
      </c>
      <c r="P8616">
        <v>1</v>
      </c>
      <c r="Q8616">
        <v>1</v>
      </c>
      <c r="R8616">
        <v>1</v>
      </c>
      <c r="U8616">
        <v>0</v>
      </c>
      <c r="V8616">
        <v>1</v>
      </c>
      <c r="W8616">
        <v>1</v>
      </c>
      <c r="X8616">
        <v>1</v>
      </c>
      <c r="Y8616">
        <v>1</v>
      </c>
      <c r="Z8616">
        <v>1</v>
      </c>
      <c r="AA8616">
        <v>1</v>
      </c>
      <c r="AB8616">
        <v>1</v>
      </c>
    </row>
    <row r="8617" spans="1:28" x14ac:dyDescent="0.25">
      <c r="A8617" t="str">
        <f>"8613"</f>
        <v>8613</v>
      </c>
      <c r="B8617" t="str">
        <f t="shared" si="505"/>
        <v>1</v>
      </c>
      <c r="C8617" t="str">
        <f t="shared" si="504"/>
        <v>382</v>
      </c>
      <c r="D8617" t="str">
        <f>"18"</f>
        <v>18</v>
      </c>
      <c r="E8617" t="str">
        <f>"1-382-18"</f>
        <v>1-382-18</v>
      </c>
      <c r="F8617" t="s">
        <v>83</v>
      </c>
      <c r="G8617" t="s">
        <v>86</v>
      </c>
      <c r="H8617" t="s">
        <v>93</v>
      </c>
      <c r="I8617">
        <v>1</v>
      </c>
      <c r="K8617">
        <v>0</v>
      </c>
      <c r="L8617">
        <v>0</v>
      </c>
      <c r="M8617">
        <v>1</v>
      </c>
      <c r="N8617">
        <v>1</v>
      </c>
      <c r="O8617">
        <v>1</v>
      </c>
      <c r="P8617">
        <v>1</v>
      </c>
      <c r="Q8617">
        <v>1</v>
      </c>
      <c r="R8617">
        <v>1</v>
      </c>
      <c r="U8617">
        <v>1</v>
      </c>
      <c r="V8617">
        <v>0</v>
      </c>
      <c r="W8617">
        <v>1</v>
      </c>
      <c r="X8617">
        <v>1</v>
      </c>
      <c r="Y8617">
        <v>1</v>
      </c>
      <c r="Z8617">
        <v>1</v>
      </c>
      <c r="AA8617">
        <v>1</v>
      </c>
      <c r="AB8617">
        <v>1</v>
      </c>
    </row>
    <row r="8618" spans="1:28" x14ac:dyDescent="0.25">
      <c r="A8618" t="str">
        <f>"8614"</f>
        <v>8614</v>
      </c>
      <c r="B8618" t="str">
        <f t="shared" si="505"/>
        <v>1</v>
      </c>
      <c r="C8618" t="str">
        <f t="shared" si="504"/>
        <v>382</v>
      </c>
      <c r="D8618" t="str">
        <f>"11"</f>
        <v>11</v>
      </c>
      <c r="E8618" t="str">
        <f>"1-382-11"</f>
        <v>1-382-11</v>
      </c>
      <c r="F8618" t="s">
        <v>83</v>
      </c>
      <c r="G8618" t="s">
        <v>86</v>
      </c>
      <c r="H8618" t="s">
        <v>93</v>
      </c>
      <c r="I8618">
        <v>1</v>
      </c>
      <c r="K8618">
        <v>0</v>
      </c>
      <c r="L8618">
        <v>0</v>
      </c>
      <c r="M8618">
        <v>1</v>
      </c>
      <c r="N8618">
        <v>1</v>
      </c>
      <c r="O8618">
        <v>1</v>
      </c>
      <c r="P8618">
        <v>1</v>
      </c>
      <c r="Q8618">
        <v>1</v>
      </c>
      <c r="R8618">
        <v>1</v>
      </c>
      <c r="U8618">
        <v>1</v>
      </c>
      <c r="V8618">
        <v>0</v>
      </c>
      <c r="W8618">
        <v>1</v>
      </c>
      <c r="X8618">
        <v>1</v>
      </c>
      <c r="Y8618">
        <v>1</v>
      </c>
      <c r="Z8618">
        <v>1</v>
      </c>
      <c r="AA8618">
        <v>1</v>
      </c>
      <c r="AB8618">
        <v>1</v>
      </c>
    </row>
    <row r="8619" spans="1:28" x14ac:dyDescent="0.25">
      <c r="A8619" t="str">
        <f>"8615"</f>
        <v>8615</v>
      </c>
      <c r="B8619" t="str">
        <f t="shared" si="505"/>
        <v>1</v>
      </c>
      <c r="C8619" t="str">
        <f t="shared" si="504"/>
        <v>382</v>
      </c>
      <c r="D8619" t="str">
        <f>"5"</f>
        <v>5</v>
      </c>
      <c r="E8619" t="str">
        <f>"1-382-5"</f>
        <v>1-382-5</v>
      </c>
      <c r="F8619" t="s">
        <v>83</v>
      </c>
      <c r="G8619" t="s">
        <v>86</v>
      </c>
      <c r="H8619" t="s">
        <v>93</v>
      </c>
      <c r="I8619">
        <v>1</v>
      </c>
      <c r="K8619">
        <v>1</v>
      </c>
      <c r="L8619">
        <v>0</v>
      </c>
      <c r="M8619">
        <v>0</v>
      </c>
      <c r="N8619">
        <v>1</v>
      </c>
      <c r="O8619">
        <v>1</v>
      </c>
      <c r="P8619">
        <v>1</v>
      </c>
      <c r="Q8619">
        <v>1</v>
      </c>
      <c r="R8619">
        <v>1</v>
      </c>
      <c r="U8619">
        <v>0</v>
      </c>
      <c r="V8619">
        <v>1</v>
      </c>
      <c r="W8619">
        <v>1</v>
      </c>
      <c r="X8619">
        <v>1</v>
      </c>
      <c r="Y8619">
        <v>1</v>
      </c>
      <c r="Z8619">
        <v>1</v>
      </c>
      <c r="AA8619">
        <v>1</v>
      </c>
      <c r="AB8619">
        <v>1</v>
      </c>
    </row>
    <row r="8620" spans="1:28" x14ac:dyDescent="0.25">
      <c r="A8620" t="str">
        <f>"8616"</f>
        <v>8616</v>
      </c>
      <c r="B8620" t="str">
        <f t="shared" si="505"/>
        <v>1</v>
      </c>
      <c r="C8620" t="str">
        <f t="shared" si="504"/>
        <v>382</v>
      </c>
      <c r="D8620" t="str">
        <f>"19"</f>
        <v>19</v>
      </c>
      <c r="E8620" t="str">
        <f>"1-382-19"</f>
        <v>1-382-19</v>
      </c>
      <c r="F8620" t="s">
        <v>83</v>
      </c>
      <c r="G8620" t="s">
        <v>86</v>
      </c>
      <c r="H8620" t="s">
        <v>93</v>
      </c>
      <c r="I8620">
        <v>1</v>
      </c>
      <c r="K8620">
        <v>0</v>
      </c>
      <c r="L8620">
        <v>1</v>
      </c>
      <c r="M8620">
        <v>0</v>
      </c>
      <c r="N8620">
        <v>1</v>
      </c>
      <c r="O8620">
        <v>1</v>
      </c>
      <c r="P8620">
        <v>1</v>
      </c>
      <c r="Q8620">
        <v>1</v>
      </c>
      <c r="R8620">
        <v>1</v>
      </c>
      <c r="U8620">
        <v>0</v>
      </c>
      <c r="V8620">
        <v>1</v>
      </c>
      <c r="W8620">
        <v>1</v>
      </c>
      <c r="X8620">
        <v>1</v>
      </c>
      <c r="Y8620">
        <v>1</v>
      </c>
      <c r="Z8620">
        <v>1</v>
      </c>
      <c r="AA8620">
        <v>1</v>
      </c>
      <c r="AB8620">
        <v>1</v>
      </c>
    </row>
    <row r="8621" spans="1:28" x14ac:dyDescent="0.25">
      <c r="A8621" t="str">
        <f>"8617"</f>
        <v>8617</v>
      </c>
      <c r="B8621" t="str">
        <f t="shared" si="505"/>
        <v>1</v>
      </c>
      <c r="C8621" t="str">
        <f t="shared" si="504"/>
        <v>382</v>
      </c>
      <c r="D8621" t="str">
        <f>"12"</f>
        <v>12</v>
      </c>
      <c r="E8621" t="str">
        <f>"1-382-12"</f>
        <v>1-382-12</v>
      </c>
      <c r="F8621" t="s">
        <v>83</v>
      </c>
      <c r="G8621" t="s">
        <v>86</v>
      </c>
      <c r="H8621" t="s">
        <v>93</v>
      </c>
      <c r="I8621">
        <v>1</v>
      </c>
      <c r="K8621">
        <v>1</v>
      </c>
      <c r="L8621">
        <v>0</v>
      </c>
      <c r="M8621">
        <v>0</v>
      </c>
      <c r="N8621">
        <v>1</v>
      </c>
      <c r="O8621">
        <v>1</v>
      </c>
      <c r="P8621">
        <v>1</v>
      </c>
      <c r="Q8621">
        <v>1</v>
      </c>
      <c r="R8621">
        <v>1</v>
      </c>
      <c r="U8621">
        <v>0</v>
      </c>
      <c r="V8621">
        <v>1</v>
      </c>
      <c r="W8621">
        <v>0</v>
      </c>
      <c r="X8621">
        <v>0</v>
      </c>
      <c r="Y8621">
        <v>0</v>
      </c>
      <c r="Z8621">
        <v>0</v>
      </c>
      <c r="AA8621">
        <v>0</v>
      </c>
      <c r="AB8621">
        <v>0</v>
      </c>
    </row>
    <row r="8622" spans="1:28" x14ac:dyDescent="0.25">
      <c r="A8622" t="str">
        <f>"8618"</f>
        <v>8618</v>
      </c>
      <c r="B8622" t="str">
        <f t="shared" si="505"/>
        <v>1</v>
      </c>
      <c r="C8622" t="str">
        <f t="shared" si="504"/>
        <v>382</v>
      </c>
      <c r="D8622" t="str">
        <f>"3"</f>
        <v>3</v>
      </c>
      <c r="E8622" t="str">
        <f>"1-382-3"</f>
        <v>1-382-3</v>
      </c>
      <c r="F8622" t="s">
        <v>83</v>
      </c>
      <c r="G8622" t="s">
        <v>86</v>
      </c>
      <c r="H8622" t="s">
        <v>93</v>
      </c>
      <c r="I8622">
        <v>1</v>
      </c>
      <c r="K8622">
        <v>1</v>
      </c>
      <c r="L8622">
        <v>0</v>
      </c>
      <c r="M8622">
        <v>0</v>
      </c>
      <c r="N8622">
        <v>1</v>
      </c>
      <c r="O8622">
        <v>1</v>
      </c>
      <c r="P8622">
        <v>1</v>
      </c>
      <c r="Q8622">
        <v>1</v>
      </c>
      <c r="R8622">
        <v>1</v>
      </c>
      <c r="U8622">
        <v>0</v>
      </c>
      <c r="V8622">
        <v>1</v>
      </c>
      <c r="W8622">
        <v>1</v>
      </c>
      <c r="X8622">
        <v>1</v>
      </c>
      <c r="Y8622">
        <v>1</v>
      </c>
      <c r="Z8622">
        <v>1</v>
      </c>
      <c r="AA8622">
        <v>1</v>
      </c>
      <c r="AB8622">
        <v>1</v>
      </c>
    </row>
    <row r="8623" spans="1:28" x14ac:dyDescent="0.25">
      <c r="A8623" t="str">
        <f>"8619"</f>
        <v>8619</v>
      </c>
      <c r="B8623" t="str">
        <f t="shared" si="505"/>
        <v>1</v>
      </c>
      <c r="C8623" t="str">
        <f t="shared" si="504"/>
        <v>382</v>
      </c>
      <c r="D8623" t="str">
        <f>"20"</f>
        <v>20</v>
      </c>
      <c r="E8623" t="str">
        <f>"1-382-20"</f>
        <v>1-382-20</v>
      </c>
      <c r="F8623" t="s">
        <v>83</v>
      </c>
      <c r="G8623" t="s">
        <v>86</v>
      </c>
      <c r="H8623" t="s">
        <v>93</v>
      </c>
      <c r="I8623">
        <v>1</v>
      </c>
      <c r="K8623">
        <v>1</v>
      </c>
      <c r="L8623">
        <v>0</v>
      </c>
      <c r="M8623">
        <v>0</v>
      </c>
      <c r="N8623">
        <v>1</v>
      </c>
      <c r="O8623">
        <v>1</v>
      </c>
      <c r="P8623">
        <v>1</v>
      </c>
      <c r="Q8623">
        <v>1</v>
      </c>
      <c r="R8623">
        <v>1</v>
      </c>
      <c r="U8623">
        <v>0</v>
      </c>
      <c r="V8623">
        <v>1</v>
      </c>
      <c r="W8623">
        <v>1</v>
      </c>
      <c r="X8623">
        <v>1</v>
      </c>
      <c r="Y8623">
        <v>1</v>
      </c>
      <c r="Z8623">
        <v>1</v>
      </c>
      <c r="AA8623">
        <v>0</v>
      </c>
      <c r="AB8623">
        <v>1</v>
      </c>
    </row>
    <row r="8624" spans="1:28" x14ac:dyDescent="0.25">
      <c r="A8624" t="str">
        <f>"8620"</f>
        <v>8620</v>
      </c>
      <c r="B8624" t="str">
        <f t="shared" si="505"/>
        <v>1</v>
      </c>
      <c r="C8624" t="str">
        <f t="shared" si="504"/>
        <v>382</v>
      </c>
      <c r="D8624" t="str">
        <f>"13"</f>
        <v>13</v>
      </c>
      <c r="E8624" t="str">
        <f>"1-382-13"</f>
        <v>1-382-13</v>
      </c>
      <c r="F8624" t="s">
        <v>83</v>
      </c>
      <c r="G8624" t="s">
        <v>86</v>
      </c>
      <c r="H8624" t="s">
        <v>93</v>
      </c>
      <c r="I8624">
        <v>1</v>
      </c>
      <c r="K8624">
        <v>1</v>
      </c>
      <c r="L8624">
        <v>0</v>
      </c>
      <c r="M8624">
        <v>0</v>
      </c>
      <c r="N8624">
        <v>1</v>
      </c>
      <c r="O8624">
        <v>1</v>
      </c>
      <c r="P8624">
        <v>1</v>
      </c>
      <c r="Q8624">
        <v>1</v>
      </c>
      <c r="R8624">
        <v>1</v>
      </c>
      <c r="U8624">
        <v>0</v>
      </c>
      <c r="V8624">
        <v>1</v>
      </c>
      <c r="W8624">
        <v>1</v>
      </c>
      <c r="X8624">
        <v>1</v>
      </c>
      <c r="Y8624">
        <v>1</v>
      </c>
      <c r="Z8624">
        <v>1</v>
      </c>
      <c r="AA8624">
        <v>1</v>
      </c>
      <c r="AB8624">
        <v>1</v>
      </c>
    </row>
    <row r="8625" spans="1:49" x14ac:dyDescent="0.25">
      <c r="A8625" t="str">
        <f>"8621"</f>
        <v>8621</v>
      </c>
      <c r="B8625" t="str">
        <f t="shared" si="505"/>
        <v>1</v>
      </c>
      <c r="C8625" t="str">
        <f t="shared" si="504"/>
        <v>382</v>
      </c>
      <c r="D8625" t="str">
        <f>"4"</f>
        <v>4</v>
      </c>
      <c r="E8625" t="str">
        <f>"1-382-4"</f>
        <v>1-382-4</v>
      </c>
      <c r="F8625" t="s">
        <v>83</v>
      </c>
      <c r="G8625" t="s">
        <v>86</v>
      </c>
      <c r="H8625" t="s">
        <v>93</v>
      </c>
      <c r="I8625">
        <v>1</v>
      </c>
      <c r="K8625">
        <v>0</v>
      </c>
      <c r="L8625">
        <v>0</v>
      </c>
      <c r="M8625">
        <v>1</v>
      </c>
      <c r="N8625">
        <v>1</v>
      </c>
      <c r="O8625">
        <v>1</v>
      </c>
      <c r="P8625">
        <v>1</v>
      </c>
      <c r="Q8625">
        <v>1</v>
      </c>
      <c r="R8625">
        <v>1</v>
      </c>
      <c r="U8625">
        <v>1</v>
      </c>
      <c r="V8625">
        <v>0</v>
      </c>
      <c r="W8625">
        <v>1</v>
      </c>
      <c r="X8625">
        <v>1</v>
      </c>
      <c r="Y8625">
        <v>1</v>
      </c>
      <c r="Z8625">
        <v>1</v>
      </c>
      <c r="AA8625">
        <v>1</v>
      </c>
      <c r="AB8625">
        <v>1</v>
      </c>
    </row>
    <row r="8626" spans="1:49" x14ac:dyDescent="0.25">
      <c r="A8626" t="str">
        <f>"8622"</f>
        <v>8622</v>
      </c>
      <c r="B8626" t="str">
        <f t="shared" si="505"/>
        <v>1</v>
      </c>
      <c r="C8626" t="str">
        <f t="shared" si="504"/>
        <v>382</v>
      </c>
      <c r="D8626" t="str">
        <f>"21"</f>
        <v>21</v>
      </c>
      <c r="E8626" t="str">
        <f>"1-382-21"</f>
        <v>1-382-21</v>
      </c>
      <c r="F8626" t="s">
        <v>83</v>
      </c>
      <c r="G8626" t="s">
        <v>86</v>
      </c>
      <c r="H8626" t="s">
        <v>93</v>
      </c>
      <c r="I8626">
        <v>1</v>
      </c>
      <c r="K8626">
        <v>0</v>
      </c>
      <c r="L8626">
        <v>0</v>
      </c>
      <c r="M8626">
        <v>1</v>
      </c>
      <c r="N8626">
        <v>1</v>
      </c>
      <c r="O8626">
        <v>1</v>
      </c>
      <c r="P8626">
        <v>1</v>
      </c>
      <c r="Q8626">
        <v>1</v>
      </c>
      <c r="R8626">
        <v>1</v>
      </c>
      <c r="U8626">
        <v>1</v>
      </c>
      <c r="V8626">
        <v>0</v>
      </c>
      <c r="W8626">
        <v>1</v>
      </c>
      <c r="X8626">
        <v>1</v>
      </c>
      <c r="Y8626">
        <v>1</v>
      </c>
      <c r="Z8626">
        <v>1</v>
      </c>
      <c r="AA8626">
        <v>1</v>
      </c>
      <c r="AB8626">
        <v>1</v>
      </c>
    </row>
    <row r="8627" spans="1:49" x14ac:dyDescent="0.25">
      <c r="A8627" t="str">
        <f>"8623"</f>
        <v>8623</v>
      </c>
      <c r="B8627" t="str">
        <f t="shared" si="505"/>
        <v>1</v>
      </c>
      <c r="C8627" t="str">
        <f t="shared" si="504"/>
        <v>382</v>
      </c>
      <c r="D8627" t="str">
        <f>"14"</f>
        <v>14</v>
      </c>
      <c r="E8627" t="str">
        <f>"1-382-14"</f>
        <v>1-382-14</v>
      </c>
      <c r="F8627" t="s">
        <v>83</v>
      </c>
      <c r="G8627" t="s">
        <v>86</v>
      </c>
      <c r="H8627" t="s">
        <v>93</v>
      </c>
      <c r="I8627">
        <v>1</v>
      </c>
      <c r="K8627">
        <v>0</v>
      </c>
      <c r="L8627">
        <v>0</v>
      </c>
      <c r="M8627">
        <v>1</v>
      </c>
      <c r="N8627">
        <v>1</v>
      </c>
      <c r="O8627">
        <v>1</v>
      </c>
      <c r="P8627">
        <v>1</v>
      </c>
      <c r="Q8627">
        <v>1</v>
      </c>
      <c r="R8627">
        <v>1</v>
      </c>
      <c r="U8627">
        <v>0</v>
      </c>
      <c r="V8627">
        <v>1</v>
      </c>
      <c r="W8627">
        <v>1</v>
      </c>
      <c r="X8627">
        <v>1</v>
      </c>
      <c r="Y8627">
        <v>1</v>
      </c>
      <c r="Z8627">
        <v>1</v>
      </c>
      <c r="AA8627">
        <v>1</v>
      </c>
      <c r="AB8627">
        <v>1</v>
      </c>
    </row>
    <row r="8628" spans="1:49" x14ac:dyDescent="0.25">
      <c r="A8628" t="str">
        <f>"8624"</f>
        <v>8624</v>
      </c>
      <c r="B8628" t="str">
        <f t="shared" si="505"/>
        <v>1</v>
      </c>
      <c r="C8628" t="str">
        <f t="shared" si="504"/>
        <v>382</v>
      </c>
      <c r="D8628" t="str">
        <f>"1"</f>
        <v>1</v>
      </c>
      <c r="E8628" t="str">
        <f>"1-382-1"</f>
        <v>1-382-1</v>
      </c>
      <c r="F8628" t="s">
        <v>83</v>
      </c>
      <c r="G8628" t="s">
        <v>86</v>
      </c>
      <c r="H8628" t="s">
        <v>93</v>
      </c>
      <c r="I8628">
        <v>1</v>
      </c>
      <c r="K8628">
        <v>0</v>
      </c>
      <c r="L8628">
        <v>0</v>
      </c>
      <c r="M8628">
        <v>1</v>
      </c>
      <c r="N8628">
        <v>1</v>
      </c>
      <c r="O8628">
        <v>1</v>
      </c>
      <c r="P8628">
        <v>1</v>
      </c>
      <c r="Q8628">
        <v>1</v>
      </c>
      <c r="R8628">
        <v>1</v>
      </c>
      <c r="U8628">
        <v>0</v>
      </c>
      <c r="V8628">
        <v>1</v>
      </c>
      <c r="W8628">
        <v>1</v>
      </c>
      <c r="X8628">
        <v>1</v>
      </c>
      <c r="Y8628">
        <v>1</v>
      </c>
      <c r="Z8628">
        <v>1</v>
      </c>
      <c r="AA8628">
        <v>1</v>
      </c>
      <c r="AB8628">
        <v>1</v>
      </c>
    </row>
    <row r="8629" spans="1:49" x14ac:dyDescent="0.25">
      <c r="A8629" t="str">
        <f>"8625"</f>
        <v>8625</v>
      </c>
      <c r="B8629" t="str">
        <f t="shared" si="505"/>
        <v>1</v>
      </c>
      <c r="C8629" t="str">
        <f t="shared" ref="C8629:C8646" si="506">"383"</f>
        <v>383</v>
      </c>
      <c r="D8629" t="str">
        <f>"18"</f>
        <v>18</v>
      </c>
      <c r="E8629" t="str">
        <f>"1-383-18"</f>
        <v>1-383-18</v>
      </c>
      <c r="F8629" t="s">
        <v>83</v>
      </c>
      <c r="G8629" t="s">
        <v>86</v>
      </c>
      <c r="H8629" t="s">
        <v>87</v>
      </c>
      <c r="AC8629">
        <v>0</v>
      </c>
      <c r="AD8629">
        <v>1</v>
      </c>
      <c r="AE8629">
        <v>0</v>
      </c>
      <c r="AF8629">
        <v>0</v>
      </c>
      <c r="AH8629">
        <v>0</v>
      </c>
      <c r="AI8629">
        <v>1</v>
      </c>
      <c r="AJ8629">
        <v>0</v>
      </c>
      <c r="AK8629">
        <v>0</v>
      </c>
      <c r="AL8629">
        <v>0</v>
      </c>
      <c r="AM8629">
        <v>0</v>
      </c>
      <c r="AN8629">
        <v>1</v>
      </c>
      <c r="AO8629">
        <v>0</v>
      </c>
      <c r="AP8629">
        <v>0</v>
      </c>
      <c r="AQ8629">
        <v>0</v>
      </c>
      <c r="AU8629">
        <v>0</v>
      </c>
      <c r="AV8629">
        <v>0</v>
      </c>
      <c r="AW8629">
        <v>0</v>
      </c>
    </row>
    <row r="8630" spans="1:49" x14ac:dyDescent="0.25">
      <c r="A8630" t="str">
        <f>"8626"</f>
        <v>8626</v>
      </c>
      <c r="B8630" t="str">
        <f t="shared" si="505"/>
        <v>1</v>
      </c>
      <c r="C8630" t="str">
        <f t="shared" si="506"/>
        <v>383</v>
      </c>
      <c r="D8630" t="str">
        <f>"13"</f>
        <v>13</v>
      </c>
      <c r="E8630" t="str">
        <f>"1-383-13"</f>
        <v>1-383-13</v>
      </c>
      <c r="F8630" t="s">
        <v>83</v>
      </c>
      <c r="G8630" t="s">
        <v>86</v>
      </c>
      <c r="H8630" t="s">
        <v>87</v>
      </c>
      <c r="AC8630">
        <v>0</v>
      </c>
      <c r="AD8630">
        <v>1</v>
      </c>
      <c r="AE8630">
        <v>0</v>
      </c>
      <c r="AF8630">
        <v>0</v>
      </c>
      <c r="AH8630">
        <v>0</v>
      </c>
      <c r="AI8630">
        <v>1</v>
      </c>
      <c r="AJ8630">
        <v>0</v>
      </c>
      <c r="AK8630">
        <v>0</v>
      </c>
      <c r="AL8630">
        <v>0</v>
      </c>
      <c r="AM8630">
        <v>1</v>
      </c>
      <c r="AN8630">
        <v>0</v>
      </c>
      <c r="AO8630">
        <v>1</v>
      </c>
      <c r="AP8630">
        <v>0</v>
      </c>
      <c r="AQ8630">
        <v>0</v>
      </c>
      <c r="AU8630">
        <v>0</v>
      </c>
      <c r="AV8630">
        <v>0</v>
      </c>
      <c r="AW8630">
        <v>0</v>
      </c>
    </row>
    <row r="8631" spans="1:49" x14ac:dyDescent="0.25">
      <c r="A8631" t="str">
        <f>"8627"</f>
        <v>8627</v>
      </c>
      <c r="B8631" t="str">
        <f t="shared" si="505"/>
        <v>1</v>
      </c>
      <c r="C8631" t="str">
        <f t="shared" si="506"/>
        <v>383</v>
      </c>
      <c r="D8631" t="str">
        <f>"8"</f>
        <v>8</v>
      </c>
      <c r="E8631" t="str">
        <f>"1-383-8"</f>
        <v>1-383-8</v>
      </c>
      <c r="F8631" t="s">
        <v>83</v>
      </c>
      <c r="G8631" t="s">
        <v>86</v>
      </c>
      <c r="H8631" t="s">
        <v>87</v>
      </c>
      <c r="AC8631">
        <v>0</v>
      </c>
      <c r="AD8631">
        <v>0</v>
      </c>
      <c r="AE8631">
        <v>0</v>
      </c>
      <c r="AF8631">
        <v>0</v>
      </c>
      <c r="AH8631">
        <v>0</v>
      </c>
      <c r="AI8631">
        <v>1</v>
      </c>
      <c r="AJ8631">
        <v>0</v>
      </c>
      <c r="AK8631">
        <v>0</v>
      </c>
      <c r="AL8631">
        <v>0</v>
      </c>
      <c r="AM8631">
        <v>0</v>
      </c>
      <c r="AN8631">
        <v>1</v>
      </c>
      <c r="AO8631">
        <v>0</v>
      </c>
      <c r="AP8631">
        <v>0</v>
      </c>
      <c r="AQ8631">
        <v>0</v>
      </c>
      <c r="AU8631">
        <v>0</v>
      </c>
      <c r="AV8631">
        <v>0</v>
      </c>
      <c r="AW8631">
        <v>0</v>
      </c>
    </row>
    <row r="8632" spans="1:49" x14ac:dyDescent="0.25">
      <c r="A8632" t="str">
        <f>"8628"</f>
        <v>8628</v>
      </c>
      <c r="B8632" t="str">
        <f t="shared" si="505"/>
        <v>1</v>
      </c>
      <c r="C8632" t="str">
        <f t="shared" si="506"/>
        <v>383</v>
      </c>
      <c r="D8632" t="str">
        <f>"5"</f>
        <v>5</v>
      </c>
      <c r="E8632" t="str">
        <f>"1-383-5"</f>
        <v>1-383-5</v>
      </c>
      <c r="F8632" t="s">
        <v>83</v>
      </c>
      <c r="G8632" t="s">
        <v>86</v>
      </c>
      <c r="H8632" t="s">
        <v>93</v>
      </c>
      <c r="I8632">
        <v>1</v>
      </c>
      <c r="K8632">
        <v>1</v>
      </c>
      <c r="L8632">
        <v>0</v>
      </c>
      <c r="M8632">
        <v>0</v>
      </c>
      <c r="N8632">
        <v>1</v>
      </c>
      <c r="O8632">
        <v>1</v>
      </c>
      <c r="P8632">
        <v>1</v>
      </c>
      <c r="Q8632">
        <v>1</v>
      </c>
      <c r="R8632">
        <v>1</v>
      </c>
      <c r="U8632">
        <v>0</v>
      </c>
      <c r="V8632">
        <v>1</v>
      </c>
      <c r="W8632">
        <v>1</v>
      </c>
      <c r="X8632">
        <v>1</v>
      </c>
      <c r="Y8632">
        <v>1</v>
      </c>
      <c r="Z8632">
        <v>1</v>
      </c>
      <c r="AA8632">
        <v>1</v>
      </c>
      <c r="AB8632">
        <v>1</v>
      </c>
    </row>
    <row r="8633" spans="1:49" x14ac:dyDescent="0.25">
      <c r="A8633" t="str">
        <f>"8629"</f>
        <v>8629</v>
      </c>
      <c r="B8633" t="str">
        <f t="shared" si="505"/>
        <v>1</v>
      </c>
      <c r="C8633" t="str">
        <f t="shared" si="506"/>
        <v>383</v>
      </c>
      <c r="D8633" t="str">
        <f>"15"</f>
        <v>15</v>
      </c>
      <c r="E8633" t="str">
        <f>"1-383-15"</f>
        <v>1-383-15</v>
      </c>
      <c r="F8633" t="s">
        <v>83</v>
      </c>
      <c r="G8633" t="s">
        <v>86</v>
      </c>
      <c r="H8633" t="s">
        <v>93</v>
      </c>
      <c r="I8633">
        <v>1</v>
      </c>
      <c r="K8633">
        <v>0</v>
      </c>
      <c r="L8633">
        <v>0</v>
      </c>
      <c r="M8633">
        <v>1</v>
      </c>
      <c r="N8633">
        <v>1</v>
      </c>
      <c r="O8633">
        <v>1</v>
      </c>
      <c r="P8633">
        <v>1</v>
      </c>
      <c r="Q8633">
        <v>1</v>
      </c>
      <c r="R8633">
        <v>1</v>
      </c>
      <c r="U8633">
        <v>1</v>
      </c>
      <c r="V8633">
        <v>0</v>
      </c>
      <c r="W8633">
        <v>1</v>
      </c>
      <c r="X8633">
        <v>1</v>
      </c>
      <c r="Y8633">
        <v>1</v>
      </c>
      <c r="Z8633">
        <v>1</v>
      </c>
      <c r="AA8633">
        <v>1</v>
      </c>
      <c r="AB8633">
        <v>1</v>
      </c>
    </row>
    <row r="8634" spans="1:49" x14ac:dyDescent="0.25">
      <c r="A8634" t="str">
        <f>"8630"</f>
        <v>8630</v>
      </c>
      <c r="B8634" t="str">
        <f t="shared" si="505"/>
        <v>1</v>
      </c>
      <c r="C8634" t="str">
        <f t="shared" si="506"/>
        <v>383</v>
      </c>
      <c r="D8634" t="str">
        <f>"4"</f>
        <v>4</v>
      </c>
      <c r="E8634" t="str">
        <f>"1-383-4"</f>
        <v>1-383-4</v>
      </c>
      <c r="F8634" t="s">
        <v>83</v>
      </c>
      <c r="G8634" t="s">
        <v>86</v>
      </c>
      <c r="H8634" t="s">
        <v>93</v>
      </c>
      <c r="I8634">
        <v>1</v>
      </c>
      <c r="K8634">
        <v>1</v>
      </c>
      <c r="L8634">
        <v>0</v>
      </c>
      <c r="M8634">
        <v>0</v>
      </c>
      <c r="N8634">
        <v>1</v>
      </c>
      <c r="O8634">
        <v>1</v>
      </c>
      <c r="P8634">
        <v>1</v>
      </c>
      <c r="Q8634">
        <v>1</v>
      </c>
      <c r="R8634">
        <v>1</v>
      </c>
      <c r="U8634">
        <v>0</v>
      </c>
      <c r="V8634">
        <v>1</v>
      </c>
      <c r="W8634">
        <v>1</v>
      </c>
      <c r="X8634">
        <v>1</v>
      </c>
      <c r="Y8634">
        <v>1</v>
      </c>
      <c r="Z8634">
        <v>1</v>
      </c>
      <c r="AA8634">
        <v>1</v>
      </c>
      <c r="AB8634">
        <v>1</v>
      </c>
    </row>
    <row r="8635" spans="1:49" x14ac:dyDescent="0.25">
      <c r="A8635" t="str">
        <f>"8631"</f>
        <v>8631</v>
      </c>
      <c r="B8635" t="str">
        <f t="shared" si="505"/>
        <v>1</v>
      </c>
      <c r="C8635" t="str">
        <f t="shared" si="506"/>
        <v>383</v>
      </c>
      <c r="D8635" t="str">
        <f>"16"</f>
        <v>16</v>
      </c>
      <c r="E8635" t="str">
        <f>"1-383-16"</f>
        <v>1-383-16</v>
      </c>
      <c r="F8635" t="s">
        <v>83</v>
      </c>
      <c r="G8635" t="s">
        <v>86</v>
      </c>
      <c r="H8635" t="s">
        <v>87</v>
      </c>
      <c r="AC8635">
        <v>0</v>
      </c>
      <c r="AD8635">
        <v>1</v>
      </c>
      <c r="AE8635">
        <v>0</v>
      </c>
      <c r="AF8635">
        <v>0</v>
      </c>
      <c r="AH8635">
        <v>1</v>
      </c>
      <c r="AI8635">
        <v>0</v>
      </c>
      <c r="AJ8635">
        <v>0</v>
      </c>
      <c r="AK8635">
        <v>1</v>
      </c>
      <c r="AL8635">
        <v>0</v>
      </c>
      <c r="AM8635">
        <v>1</v>
      </c>
      <c r="AN8635">
        <v>0</v>
      </c>
      <c r="AO8635">
        <v>1</v>
      </c>
      <c r="AP8635">
        <v>1</v>
      </c>
      <c r="AQ8635">
        <v>1</v>
      </c>
      <c r="AU8635">
        <v>1</v>
      </c>
      <c r="AV8635">
        <v>1</v>
      </c>
      <c r="AW8635">
        <v>1</v>
      </c>
    </row>
    <row r="8636" spans="1:49" x14ac:dyDescent="0.25">
      <c r="A8636" t="str">
        <f>"8632"</f>
        <v>8632</v>
      </c>
      <c r="B8636" t="str">
        <f t="shared" si="505"/>
        <v>1</v>
      </c>
      <c r="C8636" t="str">
        <f t="shared" si="506"/>
        <v>383</v>
      </c>
      <c r="D8636" t="str">
        <f>"10"</f>
        <v>10</v>
      </c>
      <c r="E8636" t="str">
        <f>"1-383-10"</f>
        <v>1-383-10</v>
      </c>
      <c r="F8636" t="s">
        <v>83</v>
      </c>
      <c r="G8636" t="s">
        <v>86</v>
      </c>
      <c r="H8636" t="s">
        <v>87</v>
      </c>
      <c r="AC8636">
        <v>0</v>
      </c>
      <c r="AD8636">
        <v>1</v>
      </c>
      <c r="AE8636">
        <v>0</v>
      </c>
      <c r="AF8636">
        <v>0</v>
      </c>
      <c r="AH8636">
        <v>1</v>
      </c>
      <c r="AI8636">
        <v>0</v>
      </c>
      <c r="AJ8636">
        <v>0</v>
      </c>
      <c r="AK8636">
        <v>1</v>
      </c>
      <c r="AL8636">
        <v>0</v>
      </c>
      <c r="AM8636">
        <v>1</v>
      </c>
      <c r="AN8636">
        <v>0</v>
      </c>
      <c r="AO8636">
        <v>0</v>
      </c>
      <c r="AP8636">
        <v>0</v>
      </c>
      <c r="AQ8636">
        <v>0</v>
      </c>
      <c r="AU8636">
        <v>0</v>
      </c>
      <c r="AV8636">
        <v>0</v>
      </c>
      <c r="AW8636">
        <v>0</v>
      </c>
    </row>
    <row r="8637" spans="1:49" x14ac:dyDescent="0.25">
      <c r="A8637" t="str">
        <f>"8633"</f>
        <v>8633</v>
      </c>
      <c r="B8637" t="str">
        <f t="shared" si="505"/>
        <v>1</v>
      </c>
      <c r="C8637" t="str">
        <f t="shared" si="506"/>
        <v>383</v>
      </c>
      <c r="D8637" t="str">
        <f>"2"</f>
        <v>2</v>
      </c>
      <c r="E8637" t="str">
        <f>"1-383-2"</f>
        <v>1-383-2</v>
      </c>
      <c r="F8637" t="s">
        <v>83</v>
      </c>
      <c r="G8637" t="s">
        <v>86</v>
      </c>
      <c r="H8637" t="s">
        <v>93</v>
      </c>
      <c r="I8637">
        <v>1</v>
      </c>
      <c r="K8637">
        <v>0</v>
      </c>
      <c r="L8637">
        <v>0</v>
      </c>
      <c r="M8637">
        <v>1</v>
      </c>
      <c r="N8637">
        <v>1</v>
      </c>
      <c r="O8637">
        <v>1</v>
      </c>
      <c r="P8637">
        <v>1</v>
      </c>
      <c r="Q8637">
        <v>1</v>
      </c>
      <c r="R8637">
        <v>1</v>
      </c>
      <c r="U8637">
        <v>0</v>
      </c>
      <c r="V8637">
        <v>1</v>
      </c>
      <c r="W8637">
        <v>0</v>
      </c>
      <c r="X8637">
        <v>1</v>
      </c>
      <c r="Y8637">
        <v>1</v>
      </c>
      <c r="Z8637">
        <v>1</v>
      </c>
      <c r="AA8637">
        <v>1</v>
      </c>
      <c r="AB8637">
        <v>1</v>
      </c>
    </row>
    <row r="8638" spans="1:49" x14ac:dyDescent="0.25">
      <c r="A8638" t="str">
        <f>"8634"</f>
        <v>8634</v>
      </c>
      <c r="B8638" t="str">
        <f t="shared" si="505"/>
        <v>1</v>
      </c>
      <c r="C8638" t="str">
        <f t="shared" si="506"/>
        <v>383</v>
      </c>
      <c r="D8638" t="str">
        <f>"11"</f>
        <v>11</v>
      </c>
      <c r="E8638" t="str">
        <f>"1-383-11"</f>
        <v>1-383-11</v>
      </c>
      <c r="F8638" t="s">
        <v>83</v>
      </c>
      <c r="G8638" t="s">
        <v>86</v>
      </c>
      <c r="H8638" t="s">
        <v>93</v>
      </c>
      <c r="I8638">
        <v>1</v>
      </c>
      <c r="K8638">
        <v>0</v>
      </c>
      <c r="L8638">
        <v>0</v>
      </c>
      <c r="M8638">
        <v>1</v>
      </c>
      <c r="N8638">
        <v>1</v>
      </c>
      <c r="O8638">
        <v>1</v>
      </c>
      <c r="P8638">
        <v>1</v>
      </c>
      <c r="Q8638">
        <v>1</v>
      </c>
      <c r="R8638">
        <v>1</v>
      </c>
      <c r="U8638">
        <v>0</v>
      </c>
      <c r="V8638">
        <v>1</v>
      </c>
      <c r="W8638">
        <v>1</v>
      </c>
      <c r="X8638">
        <v>1</v>
      </c>
      <c r="Y8638">
        <v>1</v>
      </c>
      <c r="Z8638">
        <v>1</v>
      </c>
      <c r="AA8638">
        <v>1</v>
      </c>
      <c r="AB8638">
        <v>1</v>
      </c>
    </row>
    <row r="8639" spans="1:49" x14ac:dyDescent="0.25">
      <c r="A8639" t="str">
        <f>"8635"</f>
        <v>8635</v>
      </c>
      <c r="B8639" t="str">
        <f t="shared" si="505"/>
        <v>1</v>
      </c>
      <c r="C8639" t="str">
        <f t="shared" si="506"/>
        <v>383</v>
      </c>
      <c r="D8639" t="str">
        <f>"7"</f>
        <v>7</v>
      </c>
      <c r="E8639" t="str">
        <f>"1-383-7"</f>
        <v>1-383-7</v>
      </c>
      <c r="F8639" t="s">
        <v>83</v>
      </c>
      <c r="G8639" t="s">
        <v>86</v>
      </c>
      <c r="H8639" t="s">
        <v>87</v>
      </c>
      <c r="AC8639">
        <v>0</v>
      </c>
      <c r="AD8639">
        <v>1</v>
      </c>
      <c r="AE8639">
        <v>0</v>
      </c>
      <c r="AF8639">
        <v>0</v>
      </c>
      <c r="AH8639">
        <v>0</v>
      </c>
      <c r="AI8639">
        <v>1</v>
      </c>
      <c r="AJ8639">
        <v>0</v>
      </c>
      <c r="AK8639">
        <v>1</v>
      </c>
      <c r="AL8639">
        <v>0</v>
      </c>
      <c r="AM8639">
        <v>1</v>
      </c>
      <c r="AN8639">
        <v>0</v>
      </c>
      <c r="AO8639">
        <v>1</v>
      </c>
      <c r="AP8639">
        <v>1</v>
      </c>
      <c r="AQ8639">
        <v>1</v>
      </c>
      <c r="AU8639">
        <v>1</v>
      </c>
      <c r="AV8639">
        <v>1</v>
      </c>
      <c r="AW8639">
        <v>1</v>
      </c>
    </row>
    <row r="8640" spans="1:49" x14ac:dyDescent="0.25">
      <c r="A8640" t="str">
        <f>"8636"</f>
        <v>8636</v>
      </c>
      <c r="B8640" t="str">
        <f t="shared" si="505"/>
        <v>1</v>
      </c>
      <c r="C8640" t="str">
        <f t="shared" si="506"/>
        <v>383</v>
      </c>
      <c r="D8640" t="str">
        <f>"12"</f>
        <v>12</v>
      </c>
      <c r="E8640" t="str">
        <f>"1-383-12"</f>
        <v>1-383-12</v>
      </c>
      <c r="F8640" t="s">
        <v>83</v>
      </c>
      <c r="G8640" t="s">
        <v>86</v>
      </c>
      <c r="H8640" t="s">
        <v>87</v>
      </c>
      <c r="AC8640">
        <v>0</v>
      </c>
      <c r="AD8640">
        <v>1</v>
      </c>
      <c r="AE8640">
        <v>0</v>
      </c>
      <c r="AF8640">
        <v>0</v>
      </c>
      <c r="AH8640">
        <v>1</v>
      </c>
      <c r="AI8640">
        <v>0</v>
      </c>
      <c r="AJ8640">
        <v>1</v>
      </c>
      <c r="AK8640">
        <v>0</v>
      </c>
      <c r="AL8640">
        <v>0</v>
      </c>
      <c r="AM8640">
        <v>1</v>
      </c>
      <c r="AN8640">
        <v>0</v>
      </c>
      <c r="AO8640">
        <v>1</v>
      </c>
      <c r="AP8640">
        <v>1</v>
      </c>
      <c r="AQ8640">
        <v>1</v>
      </c>
      <c r="AU8640">
        <v>1</v>
      </c>
      <c r="AV8640">
        <v>1</v>
      </c>
      <c r="AW8640">
        <v>1</v>
      </c>
    </row>
    <row r="8641" spans="1:49" x14ac:dyDescent="0.25">
      <c r="A8641" t="str">
        <f>"8637"</f>
        <v>8637</v>
      </c>
      <c r="B8641" t="str">
        <f t="shared" si="505"/>
        <v>1</v>
      </c>
      <c r="C8641" t="str">
        <f t="shared" si="506"/>
        <v>383</v>
      </c>
      <c r="D8641" t="str">
        <f>"1"</f>
        <v>1</v>
      </c>
      <c r="E8641" t="str">
        <f>"1-383-1"</f>
        <v>1-383-1</v>
      </c>
      <c r="F8641" t="s">
        <v>83</v>
      </c>
      <c r="G8641" t="s">
        <v>86</v>
      </c>
      <c r="H8641" t="s">
        <v>87</v>
      </c>
      <c r="AC8641">
        <v>0</v>
      </c>
      <c r="AD8641">
        <v>1</v>
      </c>
      <c r="AE8641">
        <v>0</v>
      </c>
      <c r="AF8641">
        <v>0</v>
      </c>
      <c r="AH8641">
        <v>0</v>
      </c>
      <c r="AI8641">
        <v>1</v>
      </c>
      <c r="AJ8641">
        <v>0</v>
      </c>
      <c r="AK8641">
        <v>1</v>
      </c>
      <c r="AL8641">
        <v>0</v>
      </c>
      <c r="AM8641">
        <v>1</v>
      </c>
      <c r="AN8641">
        <v>0</v>
      </c>
      <c r="AO8641">
        <v>1</v>
      </c>
      <c r="AP8641">
        <v>1</v>
      </c>
      <c r="AQ8641">
        <v>1</v>
      </c>
      <c r="AU8641">
        <v>1</v>
      </c>
      <c r="AV8641">
        <v>1</v>
      </c>
      <c r="AW8641">
        <v>1</v>
      </c>
    </row>
    <row r="8642" spans="1:49" x14ac:dyDescent="0.25">
      <c r="A8642" t="str">
        <f>"8638"</f>
        <v>8638</v>
      </c>
      <c r="B8642" t="str">
        <f t="shared" si="505"/>
        <v>1</v>
      </c>
      <c r="C8642" t="str">
        <f t="shared" si="506"/>
        <v>383</v>
      </c>
      <c r="D8642" t="str">
        <f>"14"</f>
        <v>14</v>
      </c>
      <c r="E8642" t="str">
        <f>"1-383-14"</f>
        <v>1-383-14</v>
      </c>
      <c r="F8642" t="s">
        <v>83</v>
      </c>
      <c r="G8642" t="s">
        <v>86</v>
      </c>
      <c r="H8642" t="s">
        <v>87</v>
      </c>
      <c r="AC8642">
        <v>0</v>
      </c>
      <c r="AD8642">
        <v>1</v>
      </c>
      <c r="AE8642">
        <v>0</v>
      </c>
      <c r="AF8642">
        <v>0</v>
      </c>
      <c r="AH8642">
        <v>0</v>
      </c>
      <c r="AI8642">
        <v>1</v>
      </c>
      <c r="AJ8642">
        <v>0</v>
      </c>
      <c r="AK8642">
        <v>1</v>
      </c>
      <c r="AL8642">
        <v>0</v>
      </c>
      <c r="AM8642">
        <v>1</v>
      </c>
      <c r="AN8642">
        <v>0</v>
      </c>
      <c r="AO8642">
        <v>1</v>
      </c>
      <c r="AP8642">
        <v>0</v>
      </c>
      <c r="AQ8642">
        <v>0</v>
      </c>
      <c r="AU8642">
        <v>0</v>
      </c>
      <c r="AV8642">
        <v>0</v>
      </c>
      <c r="AW8642">
        <v>0</v>
      </c>
    </row>
    <row r="8643" spans="1:49" x14ac:dyDescent="0.25">
      <c r="A8643" t="str">
        <f>"8639"</f>
        <v>8639</v>
      </c>
      <c r="B8643" t="str">
        <f t="shared" si="505"/>
        <v>1</v>
      </c>
      <c r="C8643" t="str">
        <f t="shared" si="506"/>
        <v>383</v>
      </c>
      <c r="D8643" t="str">
        <f>"3"</f>
        <v>3</v>
      </c>
      <c r="E8643" t="str">
        <f>"1-383-3"</f>
        <v>1-383-3</v>
      </c>
      <c r="F8643" t="s">
        <v>83</v>
      </c>
      <c r="G8643" t="s">
        <v>86</v>
      </c>
      <c r="H8643" t="s">
        <v>87</v>
      </c>
      <c r="AC8643">
        <v>0</v>
      </c>
      <c r="AD8643">
        <v>1</v>
      </c>
      <c r="AE8643">
        <v>0</v>
      </c>
      <c r="AF8643">
        <v>0</v>
      </c>
      <c r="AH8643">
        <v>0</v>
      </c>
      <c r="AI8643">
        <v>1</v>
      </c>
      <c r="AJ8643">
        <v>0</v>
      </c>
      <c r="AK8643">
        <v>1</v>
      </c>
      <c r="AL8643">
        <v>0</v>
      </c>
      <c r="AM8643">
        <v>0</v>
      </c>
      <c r="AN8643">
        <v>1</v>
      </c>
      <c r="AO8643">
        <v>0</v>
      </c>
      <c r="AP8643">
        <v>0</v>
      </c>
      <c r="AQ8643">
        <v>0</v>
      </c>
      <c r="AU8643">
        <v>0</v>
      </c>
      <c r="AV8643">
        <v>0</v>
      </c>
      <c r="AW8643">
        <v>0</v>
      </c>
    </row>
    <row r="8644" spans="1:49" x14ac:dyDescent="0.25">
      <c r="A8644" t="str">
        <f>"8640"</f>
        <v>8640</v>
      </c>
      <c r="B8644" t="str">
        <f t="shared" si="505"/>
        <v>1</v>
      </c>
      <c r="C8644" t="str">
        <f t="shared" si="506"/>
        <v>383</v>
      </c>
      <c r="D8644" t="str">
        <f>"17"</f>
        <v>17</v>
      </c>
      <c r="E8644" t="str">
        <f>"1-383-17"</f>
        <v>1-383-17</v>
      </c>
      <c r="F8644" t="s">
        <v>83</v>
      </c>
      <c r="G8644" t="s">
        <v>86</v>
      </c>
      <c r="H8644" t="s">
        <v>87</v>
      </c>
      <c r="AC8644">
        <v>1</v>
      </c>
      <c r="AD8644">
        <v>0</v>
      </c>
      <c r="AE8644">
        <v>0</v>
      </c>
      <c r="AF8644">
        <v>0</v>
      </c>
      <c r="AH8644">
        <v>1</v>
      </c>
      <c r="AI8644">
        <v>0</v>
      </c>
      <c r="AJ8644">
        <v>0</v>
      </c>
      <c r="AK8644">
        <v>1</v>
      </c>
      <c r="AL8644">
        <v>0</v>
      </c>
      <c r="AM8644">
        <v>0</v>
      </c>
      <c r="AN8644">
        <v>1</v>
      </c>
      <c r="AO8644">
        <v>1</v>
      </c>
      <c r="AP8644">
        <v>1</v>
      </c>
      <c r="AQ8644">
        <v>1</v>
      </c>
      <c r="AU8644">
        <v>1</v>
      </c>
      <c r="AV8644">
        <v>1</v>
      </c>
      <c r="AW8644">
        <v>1</v>
      </c>
    </row>
    <row r="8645" spans="1:49" x14ac:dyDescent="0.25">
      <c r="A8645" t="str">
        <f>"8641"</f>
        <v>8641</v>
      </c>
      <c r="B8645" t="str">
        <f t="shared" si="505"/>
        <v>1</v>
      </c>
      <c r="C8645" t="str">
        <f t="shared" si="506"/>
        <v>383</v>
      </c>
      <c r="D8645" t="str">
        <f>"6"</f>
        <v>6</v>
      </c>
      <c r="E8645" t="str">
        <f>"1-383-6"</f>
        <v>1-383-6</v>
      </c>
      <c r="F8645" t="s">
        <v>83</v>
      </c>
      <c r="G8645" t="s">
        <v>86</v>
      </c>
      <c r="H8645" t="s">
        <v>87</v>
      </c>
      <c r="AC8645">
        <v>0</v>
      </c>
      <c r="AD8645">
        <v>1</v>
      </c>
      <c r="AE8645">
        <v>0</v>
      </c>
      <c r="AF8645">
        <v>0</v>
      </c>
      <c r="AH8645">
        <v>0</v>
      </c>
      <c r="AI8645">
        <v>1</v>
      </c>
      <c r="AJ8645">
        <v>0</v>
      </c>
      <c r="AK8645">
        <v>1</v>
      </c>
      <c r="AL8645">
        <v>0</v>
      </c>
      <c r="AM8645">
        <v>0</v>
      </c>
      <c r="AN8645">
        <v>1</v>
      </c>
      <c r="AO8645">
        <v>1</v>
      </c>
      <c r="AP8645">
        <v>1</v>
      </c>
      <c r="AQ8645">
        <v>1</v>
      </c>
      <c r="AU8645">
        <v>1</v>
      </c>
      <c r="AV8645">
        <v>1</v>
      </c>
      <c r="AW8645">
        <v>1</v>
      </c>
    </row>
    <row r="8646" spans="1:49" x14ac:dyDescent="0.25">
      <c r="A8646" t="str">
        <f>"8642"</f>
        <v>8642</v>
      </c>
      <c r="B8646" t="str">
        <f t="shared" si="505"/>
        <v>1</v>
      </c>
      <c r="C8646" t="str">
        <f t="shared" si="506"/>
        <v>383</v>
      </c>
      <c r="D8646" t="str">
        <f>"9"</f>
        <v>9</v>
      </c>
      <c r="E8646" t="str">
        <f>"1-383-9"</f>
        <v>1-383-9</v>
      </c>
      <c r="F8646" t="s">
        <v>83</v>
      </c>
      <c r="G8646" t="s">
        <v>86</v>
      </c>
      <c r="H8646" t="s">
        <v>87</v>
      </c>
      <c r="AC8646">
        <v>0</v>
      </c>
      <c r="AD8646">
        <v>0</v>
      </c>
      <c r="AE8646">
        <v>0</v>
      </c>
      <c r="AF8646">
        <v>0</v>
      </c>
      <c r="AH8646">
        <v>0</v>
      </c>
      <c r="AI8646">
        <v>1</v>
      </c>
      <c r="AJ8646">
        <v>0</v>
      </c>
      <c r="AK8646">
        <v>1</v>
      </c>
      <c r="AL8646">
        <v>0</v>
      </c>
      <c r="AM8646">
        <v>1</v>
      </c>
      <c r="AN8646">
        <v>0</v>
      </c>
      <c r="AO8646">
        <v>1</v>
      </c>
      <c r="AP8646">
        <v>1</v>
      </c>
      <c r="AQ8646">
        <v>1</v>
      </c>
      <c r="AU8646">
        <v>1</v>
      </c>
      <c r="AV8646">
        <v>1</v>
      </c>
      <c r="AW8646">
        <v>1</v>
      </c>
    </row>
    <row r="8647" spans="1:49" x14ac:dyDescent="0.25">
      <c r="A8647" t="str">
        <f>"8643"</f>
        <v>8643</v>
      </c>
      <c r="B8647" t="str">
        <f t="shared" si="505"/>
        <v>1</v>
      </c>
      <c r="C8647" t="str">
        <f t="shared" ref="C8647:C8671" si="507">"384"</f>
        <v>384</v>
      </c>
      <c r="D8647" t="str">
        <f>"23"</f>
        <v>23</v>
      </c>
      <c r="E8647" t="str">
        <f>"1-384-23"</f>
        <v>1-384-23</v>
      </c>
      <c r="F8647" t="s">
        <v>83</v>
      </c>
      <c r="G8647" t="s">
        <v>86</v>
      </c>
      <c r="H8647" t="s">
        <v>87</v>
      </c>
      <c r="AC8647">
        <v>0</v>
      </c>
      <c r="AD8647">
        <v>1</v>
      </c>
      <c r="AE8647">
        <v>0</v>
      </c>
      <c r="AF8647">
        <v>0</v>
      </c>
      <c r="AH8647">
        <v>0</v>
      </c>
      <c r="AI8647">
        <v>1</v>
      </c>
      <c r="AJ8647">
        <v>0</v>
      </c>
      <c r="AK8647">
        <v>1</v>
      </c>
      <c r="AL8647">
        <v>0</v>
      </c>
      <c r="AM8647">
        <v>0</v>
      </c>
      <c r="AN8647">
        <v>1</v>
      </c>
      <c r="AO8647">
        <v>1</v>
      </c>
      <c r="AP8647">
        <v>1</v>
      </c>
      <c r="AQ8647">
        <v>1</v>
      </c>
      <c r="AU8647">
        <v>1</v>
      </c>
      <c r="AV8647">
        <v>1</v>
      </c>
      <c r="AW8647">
        <v>1</v>
      </c>
    </row>
    <row r="8648" spans="1:49" x14ac:dyDescent="0.25">
      <c r="A8648" t="str">
        <f>"8644"</f>
        <v>8644</v>
      </c>
      <c r="B8648" t="str">
        <f t="shared" si="505"/>
        <v>1</v>
      </c>
      <c r="C8648" t="str">
        <f t="shared" si="507"/>
        <v>384</v>
      </c>
      <c r="D8648" t="str">
        <f>"22"</f>
        <v>22</v>
      </c>
      <c r="E8648" t="str">
        <f>"1-384-22"</f>
        <v>1-384-22</v>
      </c>
      <c r="F8648" t="s">
        <v>83</v>
      </c>
      <c r="G8648" t="s">
        <v>86</v>
      </c>
      <c r="H8648" t="s">
        <v>93</v>
      </c>
      <c r="I8648">
        <v>1</v>
      </c>
      <c r="K8648">
        <v>0</v>
      </c>
      <c r="L8648">
        <v>0</v>
      </c>
      <c r="M8648">
        <v>1</v>
      </c>
      <c r="N8648">
        <v>1</v>
      </c>
      <c r="O8648">
        <v>1</v>
      </c>
      <c r="P8648">
        <v>1</v>
      </c>
      <c r="Q8648">
        <v>1</v>
      </c>
      <c r="R8648">
        <v>1</v>
      </c>
      <c r="U8648">
        <v>0</v>
      </c>
      <c r="V8648">
        <v>1</v>
      </c>
      <c r="W8648">
        <v>1</v>
      </c>
      <c r="X8648">
        <v>1</v>
      </c>
      <c r="Y8648">
        <v>1</v>
      </c>
      <c r="Z8648">
        <v>1</v>
      </c>
      <c r="AA8648">
        <v>1</v>
      </c>
      <c r="AB8648">
        <v>1</v>
      </c>
    </row>
    <row r="8649" spans="1:49" x14ac:dyDescent="0.25">
      <c r="A8649" t="str">
        <f>"8645"</f>
        <v>8645</v>
      </c>
      <c r="B8649" t="str">
        <f t="shared" si="505"/>
        <v>1</v>
      </c>
      <c r="C8649" t="str">
        <f t="shared" si="507"/>
        <v>384</v>
      </c>
      <c r="D8649" t="str">
        <f>"15"</f>
        <v>15</v>
      </c>
      <c r="E8649" t="str">
        <f>"1-384-15"</f>
        <v>1-384-15</v>
      </c>
      <c r="F8649" t="s">
        <v>83</v>
      </c>
      <c r="G8649" t="s">
        <v>86</v>
      </c>
      <c r="H8649" t="s">
        <v>93</v>
      </c>
      <c r="I8649">
        <v>1</v>
      </c>
      <c r="K8649">
        <v>0</v>
      </c>
      <c r="L8649">
        <v>0</v>
      </c>
      <c r="M8649">
        <v>1</v>
      </c>
      <c r="N8649">
        <v>1</v>
      </c>
      <c r="O8649">
        <v>1</v>
      </c>
      <c r="P8649">
        <v>1</v>
      </c>
      <c r="Q8649">
        <v>1</v>
      </c>
      <c r="R8649">
        <v>0</v>
      </c>
      <c r="U8649">
        <v>1</v>
      </c>
      <c r="V8649">
        <v>0</v>
      </c>
      <c r="W8649">
        <v>1</v>
      </c>
      <c r="X8649">
        <v>1</v>
      </c>
      <c r="Y8649">
        <v>1</v>
      </c>
      <c r="Z8649">
        <v>1</v>
      </c>
      <c r="AA8649">
        <v>1</v>
      </c>
      <c r="AB8649">
        <v>1</v>
      </c>
    </row>
    <row r="8650" spans="1:49" x14ac:dyDescent="0.25">
      <c r="A8650" t="str">
        <f>"8646"</f>
        <v>8646</v>
      </c>
      <c r="B8650" t="str">
        <f t="shared" si="505"/>
        <v>1</v>
      </c>
      <c r="C8650" t="str">
        <f t="shared" si="507"/>
        <v>384</v>
      </c>
      <c r="D8650" t="str">
        <f>"14"</f>
        <v>14</v>
      </c>
      <c r="E8650" t="str">
        <f>"1-384-14"</f>
        <v>1-384-14</v>
      </c>
      <c r="F8650" t="s">
        <v>83</v>
      </c>
      <c r="G8650" t="s">
        <v>86</v>
      </c>
      <c r="H8650" t="s">
        <v>93</v>
      </c>
      <c r="I8650">
        <v>1</v>
      </c>
      <c r="K8650">
        <v>0</v>
      </c>
      <c r="L8650">
        <v>0</v>
      </c>
      <c r="M8650">
        <v>1</v>
      </c>
      <c r="N8650">
        <v>1</v>
      </c>
      <c r="O8650">
        <v>1</v>
      </c>
      <c r="P8650">
        <v>1</v>
      </c>
      <c r="Q8650">
        <v>1</v>
      </c>
      <c r="R8650">
        <v>1</v>
      </c>
      <c r="U8650">
        <v>1</v>
      </c>
      <c r="V8650">
        <v>0</v>
      </c>
      <c r="W8650">
        <v>1</v>
      </c>
      <c r="X8650">
        <v>1</v>
      </c>
      <c r="Y8650">
        <v>1</v>
      </c>
      <c r="Z8650">
        <v>1</v>
      </c>
      <c r="AA8650">
        <v>1</v>
      </c>
      <c r="AB8650">
        <v>1</v>
      </c>
    </row>
    <row r="8651" spans="1:49" x14ac:dyDescent="0.25">
      <c r="A8651" t="str">
        <f>"8647"</f>
        <v>8647</v>
      </c>
      <c r="B8651" t="str">
        <f t="shared" si="505"/>
        <v>1</v>
      </c>
      <c r="C8651" t="str">
        <f t="shared" si="507"/>
        <v>384</v>
      </c>
      <c r="D8651" t="str">
        <f>"12"</f>
        <v>12</v>
      </c>
      <c r="E8651" t="str">
        <f>"1-384-12"</f>
        <v>1-384-12</v>
      </c>
      <c r="F8651" t="s">
        <v>83</v>
      </c>
      <c r="G8651" t="s">
        <v>86</v>
      </c>
      <c r="H8651" t="s">
        <v>87</v>
      </c>
      <c r="AC8651">
        <v>0</v>
      </c>
      <c r="AD8651">
        <v>0</v>
      </c>
      <c r="AE8651">
        <v>0</v>
      </c>
      <c r="AF8651">
        <v>0</v>
      </c>
      <c r="AH8651">
        <v>0</v>
      </c>
      <c r="AI8651">
        <v>1</v>
      </c>
      <c r="AJ8651">
        <v>0</v>
      </c>
      <c r="AK8651">
        <v>0</v>
      </c>
      <c r="AL8651">
        <v>0</v>
      </c>
      <c r="AM8651">
        <v>0</v>
      </c>
      <c r="AN8651">
        <v>0</v>
      </c>
      <c r="AO8651">
        <v>0</v>
      </c>
      <c r="AP8651">
        <v>0</v>
      </c>
      <c r="AQ8651">
        <v>0</v>
      </c>
      <c r="AU8651">
        <v>0</v>
      </c>
      <c r="AV8651">
        <v>0</v>
      </c>
      <c r="AW8651">
        <v>0</v>
      </c>
    </row>
    <row r="8652" spans="1:49" x14ac:dyDescent="0.25">
      <c r="A8652" t="str">
        <f>"8648"</f>
        <v>8648</v>
      </c>
      <c r="B8652" t="str">
        <f t="shared" si="505"/>
        <v>1</v>
      </c>
      <c r="C8652" t="str">
        <f t="shared" si="507"/>
        <v>384</v>
      </c>
      <c r="D8652" t="str">
        <f>"8"</f>
        <v>8</v>
      </c>
      <c r="E8652" t="str">
        <f>"1-384-8"</f>
        <v>1-384-8</v>
      </c>
      <c r="F8652" t="s">
        <v>83</v>
      </c>
      <c r="G8652" t="s">
        <v>86</v>
      </c>
      <c r="H8652" t="s">
        <v>93</v>
      </c>
      <c r="I8652">
        <v>1</v>
      </c>
      <c r="K8652">
        <v>0</v>
      </c>
      <c r="L8652">
        <v>1</v>
      </c>
      <c r="M8652">
        <v>0</v>
      </c>
      <c r="N8652">
        <v>1</v>
      </c>
      <c r="O8652">
        <v>1</v>
      </c>
      <c r="P8652">
        <v>1</v>
      </c>
      <c r="Q8652">
        <v>1</v>
      </c>
      <c r="R8652">
        <v>1</v>
      </c>
      <c r="U8652">
        <v>0</v>
      </c>
      <c r="V8652">
        <v>1</v>
      </c>
      <c r="W8652">
        <v>1</v>
      </c>
      <c r="X8652">
        <v>1</v>
      </c>
      <c r="Y8652">
        <v>1</v>
      </c>
      <c r="Z8652">
        <v>1</v>
      </c>
      <c r="AA8652">
        <v>1</v>
      </c>
      <c r="AB8652">
        <v>1</v>
      </c>
    </row>
    <row r="8653" spans="1:49" s="2" customFormat="1" x14ac:dyDescent="0.25">
      <c r="A8653" s="3" t="str">
        <f>"8649"</f>
        <v>8649</v>
      </c>
      <c r="B8653" s="3" t="str">
        <f t="shared" si="505"/>
        <v>1</v>
      </c>
      <c r="C8653" s="3" t="str">
        <f t="shared" si="507"/>
        <v>384</v>
      </c>
      <c r="D8653" s="3" t="str">
        <f>"3"</f>
        <v>3</v>
      </c>
      <c r="E8653" s="3" t="str">
        <f>"1-384-3"</f>
        <v>1-384-3</v>
      </c>
      <c r="F8653" s="3" t="s">
        <v>83</v>
      </c>
      <c r="G8653" s="4" t="s">
        <v>96</v>
      </c>
      <c r="I8653" s="4"/>
    </row>
    <row r="8654" spans="1:49" x14ac:dyDescent="0.25">
      <c r="A8654" t="str">
        <f>"8650"</f>
        <v>8650</v>
      </c>
      <c r="B8654" t="str">
        <f t="shared" si="505"/>
        <v>1</v>
      </c>
      <c r="C8654" t="str">
        <f t="shared" si="507"/>
        <v>384</v>
      </c>
      <c r="D8654" t="str">
        <f>"25"</f>
        <v>25</v>
      </c>
      <c r="E8654" t="str">
        <f>"1-384-25"</f>
        <v>1-384-25</v>
      </c>
      <c r="F8654" t="s">
        <v>83</v>
      </c>
      <c r="G8654" t="s">
        <v>86</v>
      </c>
      <c r="H8654" t="s">
        <v>93</v>
      </c>
      <c r="I8654">
        <v>1</v>
      </c>
      <c r="K8654">
        <v>0</v>
      </c>
      <c r="L8654">
        <v>0</v>
      </c>
      <c r="M8654">
        <v>1</v>
      </c>
      <c r="N8654">
        <v>1</v>
      </c>
      <c r="O8654">
        <v>1</v>
      </c>
      <c r="P8654">
        <v>1</v>
      </c>
      <c r="Q8654">
        <v>1</v>
      </c>
      <c r="R8654">
        <v>1</v>
      </c>
      <c r="U8654">
        <v>1</v>
      </c>
      <c r="V8654">
        <v>0</v>
      </c>
      <c r="W8654">
        <v>1</v>
      </c>
      <c r="X8654">
        <v>1</v>
      </c>
      <c r="Y8654">
        <v>1</v>
      </c>
      <c r="Z8654">
        <v>1</v>
      </c>
      <c r="AA8654">
        <v>1</v>
      </c>
      <c r="AB8654">
        <v>1</v>
      </c>
    </row>
    <row r="8655" spans="1:49" x14ac:dyDescent="0.25">
      <c r="A8655" t="str">
        <f>"8651"</f>
        <v>8651</v>
      </c>
      <c r="B8655" t="str">
        <f t="shared" si="505"/>
        <v>1</v>
      </c>
      <c r="C8655" t="str">
        <f t="shared" si="507"/>
        <v>384</v>
      </c>
      <c r="D8655" t="str">
        <f>"24"</f>
        <v>24</v>
      </c>
      <c r="E8655" t="str">
        <f>"1-384-24"</f>
        <v>1-384-24</v>
      </c>
      <c r="F8655" t="s">
        <v>83</v>
      </c>
      <c r="G8655" t="s">
        <v>86</v>
      </c>
      <c r="H8655" t="s">
        <v>93</v>
      </c>
      <c r="I8655">
        <v>1</v>
      </c>
      <c r="K8655">
        <v>0</v>
      </c>
      <c r="L8655">
        <v>1</v>
      </c>
      <c r="M8655">
        <v>0</v>
      </c>
      <c r="N8655">
        <v>1</v>
      </c>
      <c r="O8655">
        <v>1</v>
      </c>
      <c r="P8655">
        <v>1</v>
      </c>
      <c r="Q8655">
        <v>1</v>
      </c>
      <c r="R8655">
        <v>1</v>
      </c>
      <c r="U8655">
        <v>0</v>
      </c>
      <c r="V8655">
        <v>1</v>
      </c>
      <c r="W8655">
        <v>1</v>
      </c>
      <c r="X8655">
        <v>1</v>
      </c>
      <c r="Y8655">
        <v>0</v>
      </c>
      <c r="Z8655">
        <v>1</v>
      </c>
      <c r="AA8655">
        <v>1</v>
      </c>
      <c r="AB8655">
        <v>1</v>
      </c>
    </row>
    <row r="8656" spans="1:49" x14ac:dyDescent="0.25">
      <c r="A8656" t="str">
        <f>"8652"</f>
        <v>8652</v>
      </c>
      <c r="B8656" t="str">
        <f t="shared" si="505"/>
        <v>1</v>
      </c>
      <c r="C8656" t="str">
        <f t="shared" si="507"/>
        <v>384</v>
      </c>
      <c r="D8656" t="str">
        <f>"18"</f>
        <v>18</v>
      </c>
      <c r="E8656" t="str">
        <f>"1-384-18"</f>
        <v>1-384-18</v>
      </c>
      <c r="F8656" t="s">
        <v>83</v>
      </c>
      <c r="G8656" t="s">
        <v>86</v>
      </c>
      <c r="H8656" t="s">
        <v>87</v>
      </c>
      <c r="AC8656">
        <v>0</v>
      </c>
      <c r="AD8656">
        <v>0</v>
      </c>
      <c r="AE8656">
        <v>0</v>
      </c>
      <c r="AF8656">
        <v>0</v>
      </c>
      <c r="AH8656">
        <v>0</v>
      </c>
      <c r="AI8656">
        <v>1</v>
      </c>
      <c r="AJ8656">
        <v>0</v>
      </c>
      <c r="AK8656">
        <v>0</v>
      </c>
      <c r="AL8656">
        <v>0</v>
      </c>
      <c r="AM8656">
        <v>0</v>
      </c>
      <c r="AN8656">
        <v>0</v>
      </c>
      <c r="AO8656">
        <v>0</v>
      </c>
      <c r="AP8656">
        <v>0</v>
      </c>
      <c r="AQ8656">
        <v>0</v>
      </c>
      <c r="AU8656">
        <v>0</v>
      </c>
      <c r="AV8656">
        <v>0</v>
      </c>
      <c r="AW8656">
        <v>0</v>
      </c>
    </row>
    <row r="8657" spans="1:49" x14ac:dyDescent="0.25">
      <c r="A8657" t="str">
        <f>"8653"</f>
        <v>8653</v>
      </c>
      <c r="B8657" t="str">
        <f t="shared" si="505"/>
        <v>1</v>
      </c>
      <c r="C8657" t="str">
        <f t="shared" si="507"/>
        <v>384</v>
      </c>
      <c r="D8657" t="str">
        <f>"9"</f>
        <v>9</v>
      </c>
      <c r="E8657" t="str">
        <f>"1-384-9"</f>
        <v>1-384-9</v>
      </c>
      <c r="F8657" t="s">
        <v>83</v>
      </c>
      <c r="G8657" t="s">
        <v>86</v>
      </c>
      <c r="H8657" t="s">
        <v>93</v>
      </c>
      <c r="I8657">
        <v>1</v>
      </c>
      <c r="K8657">
        <v>1</v>
      </c>
      <c r="L8657">
        <v>0</v>
      </c>
      <c r="M8657">
        <v>0</v>
      </c>
      <c r="N8657">
        <v>1</v>
      </c>
      <c r="O8657">
        <v>1</v>
      </c>
      <c r="P8657">
        <v>1</v>
      </c>
      <c r="Q8657">
        <v>1</v>
      </c>
      <c r="R8657">
        <v>1</v>
      </c>
      <c r="U8657">
        <v>0</v>
      </c>
      <c r="V8657">
        <v>1</v>
      </c>
      <c r="W8657">
        <v>1</v>
      </c>
      <c r="X8657">
        <v>1</v>
      </c>
      <c r="Y8657">
        <v>1</v>
      </c>
      <c r="Z8657">
        <v>1</v>
      </c>
      <c r="AA8657">
        <v>1</v>
      </c>
      <c r="AB8657">
        <v>1</v>
      </c>
    </row>
    <row r="8658" spans="1:49" x14ac:dyDescent="0.25">
      <c r="A8658" t="str">
        <f>"8654"</f>
        <v>8654</v>
      </c>
      <c r="B8658" t="str">
        <f t="shared" si="505"/>
        <v>1</v>
      </c>
      <c r="C8658" t="str">
        <f t="shared" si="507"/>
        <v>384</v>
      </c>
      <c r="D8658" t="str">
        <f>"7"</f>
        <v>7</v>
      </c>
      <c r="E8658" t="str">
        <f>"1-384-7"</f>
        <v>1-384-7</v>
      </c>
      <c r="F8658" t="s">
        <v>83</v>
      </c>
      <c r="G8658" t="s">
        <v>86</v>
      </c>
      <c r="H8658" t="s">
        <v>87</v>
      </c>
      <c r="AC8658">
        <v>0</v>
      </c>
      <c r="AD8658">
        <v>1</v>
      </c>
      <c r="AE8658">
        <v>0</v>
      </c>
      <c r="AF8658">
        <v>0</v>
      </c>
      <c r="AH8658">
        <v>0</v>
      </c>
      <c r="AI8658">
        <v>1</v>
      </c>
      <c r="AJ8658">
        <v>0</v>
      </c>
      <c r="AK8658">
        <v>1</v>
      </c>
      <c r="AL8658">
        <v>0</v>
      </c>
      <c r="AM8658">
        <v>0</v>
      </c>
      <c r="AN8658">
        <v>1</v>
      </c>
      <c r="AO8658">
        <v>1</v>
      </c>
      <c r="AP8658">
        <v>1</v>
      </c>
      <c r="AQ8658">
        <v>1</v>
      </c>
      <c r="AU8658">
        <v>1</v>
      </c>
      <c r="AV8658">
        <v>1</v>
      </c>
      <c r="AW8658">
        <v>1</v>
      </c>
    </row>
    <row r="8659" spans="1:49" x14ac:dyDescent="0.25">
      <c r="A8659" t="str">
        <f>"8655"</f>
        <v>8655</v>
      </c>
      <c r="B8659" t="str">
        <f t="shared" si="505"/>
        <v>1</v>
      </c>
      <c r="C8659" t="str">
        <f t="shared" si="507"/>
        <v>384</v>
      </c>
      <c r="D8659" t="str">
        <f>"10"</f>
        <v>10</v>
      </c>
      <c r="E8659" t="str">
        <f>"1-384-10"</f>
        <v>1-384-10</v>
      </c>
      <c r="F8659" t="s">
        <v>83</v>
      </c>
      <c r="G8659" t="s">
        <v>86</v>
      </c>
      <c r="H8659" t="s">
        <v>93</v>
      </c>
      <c r="I8659">
        <v>1</v>
      </c>
      <c r="K8659">
        <v>0</v>
      </c>
      <c r="L8659">
        <v>0</v>
      </c>
      <c r="M8659">
        <v>1</v>
      </c>
      <c r="N8659">
        <v>1</v>
      </c>
      <c r="O8659">
        <v>1</v>
      </c>
      <c r="P8659">
        <v>1</v>
      </c>
      <c r="Q8659">
        <v>1</v>
      </c>
      <c r="R8659">
        <v>1</v>
      </c>
      <c r="U8659">
        <v>0</v>
      </c>
      <c r="V8659">
        <v>1</v>
      </c>
      <c r="W8659">
        <v>1</v>
      </c>
      <c r="X8659">
        <v>1</v>
      </c>
      <c r="Y8659">
        <v>1</v>
      </c>
      <c r="Z8659">
        <v>1</v>
      </c>
      <c r="AA8659">
        <v>1</v>
      </c>
      <c r="AB8659">
        <v>1</v>
      </c>
    </row>
    <row r="8660" spans="1:49" x14ac:dyDescent="0.25">
      <c r="A8660" t="str">
        <f>"8656"</f>
        <v>8656</v>
      </c>
      <c r="B8660" t="str">
        <f t="shared" si="505"/>
        <v>1</v>
      </c>
      <c r="C8660" t="str">
        <f t="shared" si="507"/>
        <v>384</v>
      </c>
      <c r="D8660" t="str">
        <f>"4"</f>
        <v>4</v>
      </c>
      <c r="E8660" t="str">
        <f>"1-384-4"</f>
        <v>1-384-4</v>
      </c>
      <c r="F8660" t="s">
        <v>83</v>
      </c>
      <c r="G8660" t="s">
        <v>86</v>
      </c>
      <c r="H8660" t="s">
        <v>87</v>
      </c>
      <c r="AC8660">
        <v>0</v>
      </c>
      <c r="AD8660">
        <v>0</v>
      </c>
      <c r="AE8660">
        <v>0</v>
      </c>
      <c r="AF8660">
        <v>0</v>
      </c>
      <c r="AH8660">
        <v>0</v>
      </c>
      <c r="AI8660">
        <v>1</v>
      </c>
      <c r="AJ8660">
        <v>0</v>
      </c>
      <c r="AK8660">
        <v>0</v>
      </c>
      <c r="AL8660">
        <v>0</v>
      </c>
      <c r="AM8660">
        <v>0</v>
      </c>
      <c r="AN8660">
        <v>0</v>
      </c>
      <c r="AO8660">
        <v>0</v>
      </c>
      <c r="AP8660">
        <v>0</v>
      </c>
      <c r="AQ8660">
        <v>0</v>
      </c>
      <c r="AU8660">
        <v>0</v>
      </c>
      <c r="AV8660">
        <v>0</v>
      </c>
      <c r="AW8660">
        <v>0</v>
      </c>
    </row>
    <row r="8661" spans="1:49" x14ac:dyDescent="0.25">
      <c r="A8661" t="str">
        <f>"8657"</f>
        <v>8657</v>
      </c>
      <c r="B8661" t="str">
        <f t="shared" si="505"/>
        <v>1</v>
      </c>
      <c r="C8661" t="str">
        <f t="shared" si="507"/>
        <v>384</v>
      </c>
      <c r="D8661" t="str">
        <f>"20"</f>
        <v>20</v>
      </c>
      <c r="E8661" t="str">
        <f>"1-384-20"</f>
        <v>1-384-20</v>
      </c>
      <c r="F8661" t="s">
        <v>83</v>
      </c>
      <c r="G8661" t="s">
        <v>86</v>
      </c>
      <c r="H8661" t="s">
        <v>87</v>
      </c>
      <c r="AC8661">
        <v>0</v>
      </c>
      <c r="AD8661">
        <v>1</v>
      </c>
      <c r="AE8661">
        <v>0</v>
      </c>
      <c r="AF8661">
        <v>0</v>
      </c>
      <c r="AH8661">
        <v>1</v>
      </c>
      <c r="AI8661">
        <v>0</v>
      </c>
      <c r="AJ8661">
        <v>0</v>
      </c>
      <c r="AK8661">
        <v>1</v>
      </c>
      <c r="AL8661">
        <v>0</v>
      </c>
      <c r="AM8661">
        <v>0</v>
      </c>
      <c r="AN8661">
        <v>1</v>
      </c>
      <c r="AO8661">
        <v>1</v>
      </c>
      <c r="AP8661">
        <v>0</v>
      </c>
      <c r="AQ8661">
        <v>0</v>
      </c>
      <c r="AU8661">
        <v>0</v>
      </c>
      <c r="AV8661">
        <v>0</v>
      </c>
      <c r="AW8661">
        <v>1</v>
      </c>
    </row>
    <row r="8662" spans="1:49" x14ac:dyDescent="0.25">
      <c r="A8662" t="str">
        <f>"8658"</f>
        <v>8658</v>
      </c>
      <c r="B8662" t="str">
        <f t="shared" si="505"/>
        <v>1</v>
      </c>
      <c r="C8662" t="str">
        <f t="shared" si="507"/>
        <v>384</v>
      </c>
      <c r="D8662" t="str">
        <f>"5"</f>
        <v>5</v>
      </c>
      <c r="E8662" t="str">
        <f>"1-384-5"</f>
        <v>1-384-5</v>
      </c>
      <c r="F8662" t="s">
        <v>83</v>
      </c>
      <c r="G8662" t="s">
        <v>86</v>
      </c>
      <c r="H8662" t="s">
        <v>87</v>
      </c>
      <c r="AC8662">
        <v>1</v>
      </c>
      <c r="AD8662">
        <v>0</v>
      </c>
      <c r="AE8662">
        <v>0</v>
      </c>
      <c r="AF8662">
        <v>0</v>
      </c>
      <c r="AH8662">
        <v>0</v>
      </c>
      <c r="AI8662">
        <v>1</v>
      </c>
      <c r="AJ8662">
        <v>1</v>
      </c>
      <c r="AK8662">
        <v>0</v>
      </c>
      <c r="AL8662">
        <v>0</v>
      </c>
      <c r="AM8662">
        <v>0</v>
      </c>
      <c r="AN8662">
        <v>0</v>
      </c>
      <c r="AO8662">
        <v>0</v>
      </c>
      <c r="AP8662">
        <v>0</v>
      </c>
      <c r="AQ8662">
        <v>0</v>
      </c>
      <c r="AU8662">
        <v>0</v>
      </c>
      <c r="AV8662">
        <v>0</v>
      </c>
      <c r="AW8662">
        <v>0</v>
      </c>
    </row>
    <row r="8663" spans="1:49" x14ac:dyDescent="0.25">
      <c r="A8663" t="str">
        <f>"8659"</f>
        <v>8659</v>
      </c>
      <c r="B8663" t="str">
        <f t="shared" si="505"/>
        <v>1</v>
      </c>
      <c r="C8663" t="str">
        <f t="shared" si="507"/>
        <v>384</v>
      </c>
      <c r="D8663" t="str">
        <f>"21"</f>
        <v>21</v>
      </c>
      <c r="E8663" t="str">
        <f>"1-384-21"</f>
        <v>1-384-21</v>
      </c>
      <c r="F8663" t="s">
        <v>83</v>
      </c>
      <c r="G8663" t="s">
        <v>86</v>
      </c>
      <c r="H8663" t="s">
        <v>93</v>
      </c>
      <c r="I8663">
        <v>1</v>
      </c>
      <c r="K8663">
        <v>0</v>
      </c>
      <c r="L8663">
        <v>0</v>
      </c>
      <c r="M8663">
        <v>1</v>
      </c>
      <c r="N8663">
        <v>1</v>
      </c>
      <c r="O8663">
        <v>1</v>
      </c>
      <c r="P8663">
        <v>1</v>
      </c>
      <c r="Q8663">
        <v>1</v>
      </c>
      <c r="R8663">
        <v>1</v>
      </c>
      <c r="U8663">
        <v>1</v>
      </c>
      <c r="V8663">
        <v>0</v>
      </c>
      <c r="W8663">
        <v>1</v>
      </c>
      <c r="X8663">
        <v>1</v>
      </c>
      <c r="Y8663">
        <v>1</v>
      </c>
      <c r="Z8663">
        <v>1</v>
      </c>
      <c r="AA8663">
        <v>1</v>
      </c>
      <c r="AB8663">
        <v>1</v>
      </c>
    </row>
    <row r="8664" spans="1:49" x14ac:dyDescent="0.25">
      <c r="A8664" t="str">
        <f>"8660"</f>
        <v>8660</v>
      </c>
      <c r="B8664" t="str">
        <f t="shared" si="505"/>
        <v>1</v>
      </c>
      <c r="C8664" t="str">
        <f t="shared" si="507"/>
        <v>384</v>
      </c>
      <c r="D8664" t="str">
        <f>"13"</f>
        <v>13</v>
      </c>
      <c r="E8664" t="str">
        <f>"1-384-13"</f>
        <v>1-384-13</v>
      </c>
      <c r="F8664" t="s">
        <v>83</v>
      </c>
      <c r="G8664" t="s">
        <v>86</v>
      </c>
      <c r="H8664" t="s">
        <v>87</v>
      </c>
      <c r="AC8664">
        <v>0</v>
      </c>
      <c r="AD8664">
        <v>0</v>
      </c>
      <c r="AE8664">
        <v>0</v>
      </c>
      <c r="AF8664">
        <v>0</v>
      </c>
      <c r="AH8664">
        <v>0</v>
      </c>
      <c r="AI8664">
        <v>1</v>
      </c>
      <c r="AJ8664">
        <v>0</v>
      </c>
      <c r="AK8664">
        <v>0</v>
      </c>
      <c r="AL8664">
        <v>0</v>
      </c>
      <c r="AM8664">
        <v>0</v>
      </c>
      <c r="AN8664">
        <v>1</v>
      </c>
      <c r="AO8664">
        <v>0</v>
      </c>
      <c r="AP8664">
        <v>0</v>
      </c>
      <c r="AQ8664">
        <v>0</v>
      </c>
      <c r="AU8664">
        <v>0</v>
      </c>
      <c r="AV8664">
        <v>0</v>
      </c>
      <c r="AW8664">
        <v>0</v>
      </c>
    </row>
    <row r="8665" spans="1:49" x14ac:dyDescent="0.25">
      <c r="A8665" t="str">
        <f>"8661"</f>
        <v>8661</v>
      </c>
      <c r="B8665" t="str">
        <f t="shared" si="505"/>
        <v>1</v>
      </c>
      <c r="C8665" t="str">
        <f t="shared" si="507"/>
        <v>384</v>
      </c>
      <c r="D8665" t="str">
        <f>"1"</f>
        <v>1</v>
      </c>
      <c r="E8665" t="str">
        <f>"1-384-1"</f>
        <v>1-384-1</v>
      </c>
      <c r="F8665" t="s">
        <v>83</v>
      </c>
      <c r="G8665" t="s">
        <v>86</v>
      </c>
      <c r="H8665" t="s">
        <v>87</v>
      </c>
      <c r="AC8665">
        <v>1</v>
      </c>
      <c r="AD8665">
        <v>0</v>
      </c>
      <c r="AE8665">
        <v>0</v>
      </c>
      <c r="AF8665">
        <v>0</v>
      </c>
      <c r="AH8665">
        <v>1</v>
      </c>
      <c r="AI8665">
        <v>0</v>
      </c>
      <c r="AJ8665">
        <v>0</v>
      </c>
      <c r="AK8665">
        <v>1</v>
      </c>
      <c r="AL8665">
        <v>0</v>
      </c>
      <c r="AM8665">
        <v>1</v>
      </c>
      <c r="AN8665">
        <v>0</v>
      </c>
      <c r="AO8665">
        <v>1</v>
      </c>
      <c r="AP8665">
        <v>1</v>
      </c>
      <c r="AQ8665">
        <v>1</v>
      </c>
      <c r="AU8665">
        <v>1</v>
      </c>
      <c r="AV8665">
        <v>1</v>
      </c>
      <c r="AW8665">
        <v>1</v>
      </c>
    </row>
    <row r="8666" spans="1:49" x14ac:dyDescent="0.25">
      <c r="A8666" t="str">
        <f>"8662"</f>
        <v>8662</v>
      </c>
      <c r="B8666" t="str">
        <f t="shared" si="505"/>
        <v>1</v>
      </c>
      <c r="C8666" t="str">
        <f t="shared" si="507"/>
        <v>384</v>
      </c>
      <c r="D8666" t="str">
        <f>"16"</f>
        <v>16</v>
      </c>
      <c r="E8666" t="str">
        <f>"1-384-16"</f>
        <v>1-384-16</v>
      </c>
      <c r="F8666" t="s">
        <v>83</v>
      </c>
      <c r="G8666" t="s">
        <v>86</v>
      </c>
      <c r="H8666" t="s">
        <v>87</v>
      </c>
      <c r="AC8666">
        <v>0</v>
      </c>
      <c r="AD8666">
        <v>0</v>
      </c>
      <c r="AE8666">
        <v>0</v>
      </c>
      <c r="AF8666">
        <v>0</v>
      </c>
      <c r="AH8666">
        <v>0</v>
      </c>
      <c r="AI8666">
        <v>1</v>
      </c>
      <c r="AJ8666">
        <v>0</v>
      </c>
      <c r="AK8666">
        <v>0</v>
      </c>
      <c r="AL8666">
        <v>0</v>
      </c>
      <c r="AM8666">
        <v>0</v>
      </c>
      <c r="AN8666">
        <v>0</v>
      </c>
      <c r="AO8666">
        <v>0</v>
      </c>
      <c r="AP8666">
        <v>0</v>
      </c>
      <c r="AQ8666">
        <v>0</v>
      </c>
      <c r="AU8666">
        <v>0</v>
      </c>
      <c r="AV8666">
        <v>0</v>
      </c>
      <c r="AW8666">
        <v>0</v>
      </c>
    </row>
    <row r="8667" spans="1:49" x14ac:dyDescent="0.25">
      <c r="A8667" t="str">
        <f>"8663"</f>
        <v>8663</v>
      </c>
      <c r="B8667" t="str">
        <f t="shared" si="505"/>
        <v>1</v>
      </c>
      <c r="C8667" t="str">
        <f t="shared" si="507"/>
        <v>384</v>
      </c>
      <c r="D8667" t="str">
        <f>"2"</f>
        <v>2</v>
      </c>
      <c r="E8667" t="str">
        <f>"1-384-2"</f>
        <v>1-384-2</v>
      </c>
      <c r="F8667" t="s">
        <v>83</v>
      </c>
      <c r="G8667" t="s">
        <v>86</v>
      </c>
      <c r="H8667" t="s">
        <v>87</v>
      </c>
      <c r="AC8667">
        <v>0</v>
      </c>
      <c r="AD8667">
        <v>1</v>
      </c>
      <c r="AE8667">
        <v>0</v>
      </c>
      <c r="AF8667">
        <v>0</v>
      </c>
      <c r="AH8667">
        <v>1</v>
      </c>
      <c r="AI8667">
        <v>0</v>
      </c>
      <c r="AJ8667">
        <v>1</v>
      </c>
      <c r="AK8667">
        <v>0</v>
      </c>
      <c r="AL8667">
        <v>1</v>
      </c>
      <c r="AM8667">
        <v>0</v>
      </c>
      <c r="AN8667">
        <v>0</v>
      </c>
      <c r="AO8667">
        <v>1</v>
      </c>
      <c r="AP8667">
        <v>1</v>
      </c>
      <c r="AQ8667">
        <v>1</v>
      </c>
      <c r="AU8667">
        <v>1</v>
      </c>
      <c r="AV8667">
        <v>1</v>
      </c>
      <c r="AW8667">
        <v>1</v>
      </c>
    </row>
    <row r="8668" spans="1:49" x14ac:dyDescent="0.25">
      <c r="A8668" t="str">
        <f>"8664"</f>
        <v>8664</v>
      </c>
      <c r="B8668" t="str">
        <f t="shared" si="505"/>
        <v>1</v>
      </c>
      <c r="C8668" t="str">
        <f t="shared" si="507"/>
        <v>384</v>
      </c>
      <c r="D8668" t="str">
        <f>"17"</f>
        <v>17</v>
      </c>
      <c r="E8668" t="str">
        <f>"1-384-17"</f>
        <v>1-384-17</v>
      </c>
      <c r="F8668" t="s">
        <v>83</v>
      </c>
      <c r="G8668" t="s">
        <v>86</v>
      </c>
      <c r="H8668" t="s">
        <v>87</v>
      </c>
      <c r="AC8668">
        <v>0</v>
      </c>
      <c r="AD8668">
        <v>1</v>
      </c>
      <c r="AE8668">
        <v>0</v>
      </c>
      <c r="AF8668">
        <v>0</v>
      </c>
      <c r="AH8668">
        <v>1</v>
      </c>
      <c r="AI8668">
        <v>0</v>
      </c>
      <c r="AJ8668">
        <v>0</v>
      </c>
      <c r="AK8668">
        <v>1</v>
      </c>
      <c r="AL8668">
        <v>0</v>
      </c>
      <c r="AM8668">
        <v>0</v>
      </c>
      <c r="AN8668">
        <v>1</v>
      </c>
      <c r="AO8668">
        <v>1</v>
      </c>
      <c r="AP8668">
        <v>1</v>
      </c>
      <c r="AQ8668">
        <v>0</v>
      </c>
      <c r="AU8668">
        <v>1</v>
      </c>
      <c r="AV8668">
        <v>1</v>
      </c>
      <c r="AW8668">
        <v>1</v>
      </c>
    </row>
    <row r="8669" spans="1:49" x14ac:dyDescent="0.25">
      <c r="A8669" t="str">
        <f>"8665"</f>
        <v>8665</v>
      </c>
      <c r="B8669" t="str">
        <f t="shared" si="505"/>
        <v>1</v>
      </c>
      <c r="C8669" t="str">
        <f t="shared" si="507"/>
        <v>384</v>
      </c>
      <c r="D8669" t="str">
        <f>"6"</f>
        <v>6</v>
      </c>
      <c r="E8669" t="str">
        <f>"1-384-6"</f>
        <v>1-384-6</v>
      </c>
      <c r="F8669" t="s">
        <v>83</v>
      </c>
      <c r="G8669" t="s">
        <v>86</v>
      </c>
      <c r="H8669" t="s">
        <v>87</v>
      </c>
      <c r="AC8669">
        <v>0</v>
      </c>
      <c r="AD8669">
        <v>1</v>
      </c>
      <c r="AE8669">
        <v>0</v>
      </c>
      <c r="AF8669">
        <v>0</v>
      </c>
      <c r="AH8669">
        <v>1</v>
      </c>
      <c r="AI8669">
        <v>0</v>
      </c>
      <c r="AJ8669">
        <v>0</v>
      </c>
      <c r="AK8669">
        <v>0</v>
      </c>
      <c r="AL8669">
        <v>0</v>
      </c>
      <c r="AM8669">
        <v>0</v>
      </c>
      <c r="AN8669">
        <v>0</v>
      </c>
      <c r="AO8669">
        <v>0</v>
      </c>
      <c r="AP8669">
        <v>0</v>
      </c>
      <c r="AQ8669">
        <v>0</v>
      </c>
      <c r="AU8669">
        <v>0</v>
      </c>
      <c r="AV8669">
        <v>0</v>
      </c>
      <c r="AW8669">
        <v>0</v>
      </c>
    </row>
    <row r="8670" spans="1:49" x14ac:dyDescent="0.25">
      <c r="A8670" t="str">
        <f>"8666"</f>
        <v>8666</v>
      </c>
      <c r="B8670" t="str">
        <f t="shared" ref="B8670:B8733" si="508">"1"</f>
        <v>1</v>
      </c>
      <c r="C8670" t="str">
        <f t="shared" si="507"/>
        <v>384</v>
      </c>
      <c r="D8670" t="str">
        <f>"19"</f>
        <v>19</v>
      </c>
      <c r="E8670" t="str">
        <f>"1-384-19"</f>
        <v>1-384-19</v>
      </c>
      <c r="F8670" t="s">
        <v>83</v>
      </c>
      <c r="G8670" t="s">
        <v>86</v>
      </c>
      <c r="H8670" t="s">
        <v>87</v>
      </c>
      <c r="AC8670">
        <v>0</v>
      </c>
      <c r="AD8670">
        <v>0</v>
      </c>
      <c r="AE8670">
        <v>0</v>
      </c>
      <c r="AF8670">
        <v>0</v>
      </c>
      <c r="AH8670">
        <v>0</v>
      </c>
      <c r="AI8670">
        <v>1</v>
      </c>
      <c r="AJ8670">
        <v>0</v>
      </c>
      <c r="AK8670">
        <v>0</v>
      </c>
      <c r="AL8670">
        <v>0</v>
      </c>
      <c r="AM8670">
        <v>0</v>
      </c>
      <c r="AN8670">
        <v>0</v>
      </c>
      <c r="AO8670">
        <v>0</v>
      </c>
      <c r="AP8670">
        <v>0</v>
      </c>
      <c r="AQ8670">
        <v>0</v>
      </c>
      <c r="AU8670">
        <v>0</v>
      </c>
      <c r="AV8670">
        <v>0</v>
      </c>
      <c r="AW8670">
        <v>0</v>
      </c>
    </row>
    <row r="8671" spans="1:49" x14ac:dyDescent="0.25">
      <c r="A8671" t="str">
        <f>"8667"</f>
        <v>8667</v>
      </c>
      <c r="B8671" t="str">
        <f t="shared" si="508"/>
        <v>1</v>
      </c>
      <c r="C8671" t="str">
        <f t="shared" si="507"/>
        <v>384</v>
      </c>
      <c r="D8671" t="str">
        <f>"11"</f>
        <v>11</v>
      </c>
      <c r="E8671" t="str">
        <f>"1-384-11"</f>
        <v>1-384-11</v>
      </c>
      <c r="F8671" t="s">
        <v>83</v>
      </c>
      <c r="G8671" t="s">
        <v>86</v>
      </c>
      <c r="H8671" t="s">
        <v>87</v>
      </c>
      <c r="AC8671">
        <v>0</v>
      </c>
      <c r="AD8671">
        <v>0</v>
      </c>
      <c r="AE8671">
        <v>0</v>
      </c>
      <c r="AF8671">
        <v>0</v>
      </c>
      <c r="AH8671">
        <v>0</v>
      </c>
      <c r="AI8671">
        <v>1</v>
      </c>
      <c r="AJ8671">
        <v>0</v>
      </c>
      <c r="AK8671">
        <v>0</v>
      </c>
      <c r="AL8671">
        <v>0</v>
      </c>
      <c r="AM8671">
        <v>0</v>
      </c>
      <c r="AN8671">
        <v>1</v>
      </c>
      <c r="AO8671">
        <v>0</v>
      </c>
      <c r="AP8671">
        <v>0</v>
      </c>
      <c r="AQ8671">
        <v>0</v>
      </c>
      <c r="AU8671">
        <v>0</v>
      </c>
      <c r="AV8671">
        <v>0</v>
      </c>
      <c r="AW8671">
        <v>0</v>
      </c>
    </row>
    <row r="8672" spans="1:49" x14ac:dyDescent="0.25">
      <c r="A8672" t="str">
        <f>"8668"</f>
        <v>8668</v>
      </c>
      <c r="B8672" t="str">
        <f t="shared" si="508"/>
        <v>1</v>
      </c>
      <c r="C8672" t="str">
        <f t="shared" ref="C8672:C8680" si="509">"385"</f>
        <v>385</v>
      </c>
      <c r="D8672" t="str">
        <f>"8"</f>
        <v>8</v>
      </c>
      <c r="E8672" t="str">
        <f>"1-385-8"</f>
        <v>1-385-8</v>
      </c>
      <c r="F8672" t="s">
        <v>83</v>
      </c>
      <c r="G8672" t="s">
        <v>86</v>
      </c>
      <c r="H8672" t="s">
        <v>87</v>
      </c>
      <c r="AC8672">
        <v>0</v>
      </c>
      <c r="AD8672">
        <v>1</v>
      </c>
      <c r="AE8672">
        <v>0</v>
      </c>
      <c r="AF8672">
        <v>0</v>
      </c>
      <c r="AH8672">
        <v>1</v>
      </c>
      <c r="AI8672">
        <v>0</v>
      </c>
      <c r="AJ8672">
        <v>0</v>
      </c>
      <c r="AK8672">
        <v>1</v>
      </c>
      <c r="AL8672">
        <v>0</v>
      </c>
      <c r="AM8672">
        <v>1</v>
      </c>
      <c r="AN8672">
        <v>0</v>
      </c>
      <c r="AO8672">
        <v>1</v>
      </c>
      <c r="AP8672">
        <v>1</v>
      </c>
      <c r="AQ8672">
        <v>0</v>
      </c>
      <c r="AU8672">
        <v>1</v>
      </c>
      <c r="AV8672">
        <v>1</v>
      </c>
      <c r="AW8672">
        <v>1</v>
      </c>
    </row>
    <row r="8673" spans="1:49" x14ac:dyDescent="0.25">
      <c r="A8673" t="str">
        <f>"8669"</f>
        <v>8669</v>
      </c>
      <c r="B8673" t="str">
        <f t="shared" si="508"/>
        <v>1</v>
      </c>
      <c r="C8673" t="str">
        <f t="shared" si="509"/>
        <v>385</v>
      </c>
      <c r="D8673" t="str">
        <f>"4"</f>
        <v>4</v>
      </c>
      <c r="E8673" t="str">
        <f>"1-385-4"</f>
        <v>1-385-4</v>
      </c>
      <c r="F8673" t="s">
        <v>83</v>
      </c>
      <c r="G8673" t="s">
        <v>86</v>
      </c>
      <c r="H8673" t="s">
        <v>87</v>
      </c>
      <c r="AC8673">
        <v>1</v>
      </c>
      <c r="AD8673">
        <v>0</v>
      </c>
      <c r="AE8673">
        <v>0</v>
      </c>
      <c r="AF8673">
        <v>0</v>
      </c>
      <c r="AH8673">
        <v>1</v>
      </c>
      <c r="AI8673">
        <v>0</v>
      </c>
      <c r="AJ8673">
        <v>0</v>
      </c>
      <c r="AK8673">
        <v>1</v>
      </c>
      <c r="AL8673">
        <v>1</v>
      </c>
      <c r="AM8673">
        <v>0</v>
      </c>
      <c r="AN8673">
        <v>0</v>
      </c>
      <c r="AO8673">
        <v>1</v>
      </c>
      <c r="AP8673">
        <v>1</v>
      </c>
      <c r="AQ8673">
        <v>1</v>
      </c>
      <c r="AU8673">
        <v>1</v>
      </c>
      <c r="AV8673">
        <v>1</v>
      </c>
      <c r="AW8673">
        <v>1</v>
      </c>
    </row>
    <row r="8674" spans="1:49" x14ac:dyDescent="0.25">
      <c r="A8674" t="str">
        <f>"8670"</f>
        <v>8670</v>
      </c>
      <c r="B8674" t="str">
        <f t="shared" si="508"/>
        <v>1</v>
      </c>
      <c r="C8674" t="str">
        <f t="shared" si="509"/>
        <v>385</v>
      </c>
      <c r="D8674" t="str">
        <f>"9"</f>
        <v>9</v>
      </c>
      <c r="E8674" t="str">
        <f>"1-385-9"</f>
        <v>1-385-9</v>
      </c>
      <c r="F8674" t="s">
        <v>83</v>
      </c>
      <c r="G8674" t="s">
        <v>86</v>
      </c>
      <c r="H8674" t="s">
        <v>87</v>
      </c>
      <c r="AC8674">
        <v>0</v>
      </c>
      <c r="AD8674">
        <v>1</v>
      </c>
      <c r="AE8674">
        <v>0</v>
      </c>
      <c r="AF8674">
        <v>0</v>
      </c>
      <c r="AH8674">
        <v>1</v>
      </c>
      <c r="AI8674">
        <v>0</v>
      </c>
      <c r="AJ8674">
        <v>0</v>
      </c>
      <c r="AK8674">
        <v>1</v>
      </c>
      <c r="AL8674">
        <v>0</v>
      </c>
      <c r="AM8674">
        <v>1</v>
      </c>
      <c r="AN8674">
        <v>0</v>
      </c>
      <c r="AO8674">
        <v>1</v>
      </c>
      <c r="AP8674">
        <v>1</v>
      </c>
      <c r="AQ8674">
        <v>1</v>
      </c>
      <c r="AU8674">
        <v>1</v>
      </c>
      <c r="AV8674">
        <v>1</v>
      </c>
      <c r="AW8674">
        <v>1</v>
      </c>
    </row>
    <row r="8675" spans="1:49" x14ac:dyDescent="0.25">
      <c r="A8675" t="str">
        <f>"8671"</f>
        <v>8671</v>
      </c>
      <c r="B8675" t="str">
        <f t="shared" si="508"/>
        <v>1</v>
      </c>
      <c r="C8675" t="str">
        <f t="shared" si="509"/>
        <v>385</v>
      </c>
      <c r="D8675" t="str">
        <f>"1"</f>
        <v>1</v>
      </c>
      <c r="E8675" t="str">
        <f>"1-385-1"</f>
        <v>1-385-1</v>
      </c>
      <c r="F8675" t="s">
        <v>83</v>
      </c>
      <c r="G8675" t="s">
        <v>86</v>
      </c>
      <c r="H8675" t="s">
        <v>87</v>
      </c>
      <c r="AC8675">
        <v>1</v>
      </c>
      <c r="AD8675">
        <v>0</v>
      </c>
      <c r="AE8675">
        <v>0</v>
      </c>
      <c r="AF8675">
        <v>0</v>
      </c>
      <c r="AH8675">
        <v>1</v>
      </c>
      <c r="AI8675">
        <v>0</v>
      </c>
      <c r="AJ8675">
        <v>1</v>
      </c>
      <c r="AK8675">
        <v>0</v>
      </c>
      <c r="AL8675">
        <v>0</v>
      </c>
      <c r="AM8675">
        <v>1</v>
      </c>
      <c r="AN8675">
        <v>0</v>
      </c>
      <c r="AO8675">
        <v>0</v>
      </c>
      <c r="AP8675">
        <v>0</v>
      </c>
      <c r="AQ8675">
        <v>0</v>
      </c>
      <c r="AU8675">
        <v>1</v>
      </c>
      <c r="AV8675">
        <v>0</v>
      </c>
      <c r="AW8675">
        <v>0</v>
      </c>
    </row>
    <row r="8676" spans="1:49" x14ac:dyDescent="0.25">
      <c r="A8676" t="str">
        <f>"8672"</f>
        <v>8672</v>
      </c>
      <c r="B8676" t="str">
        <f t="shared" si="508"/>
        <v>1</v>
      </c>
      <c r="C8676" t="str">
        <f t="shared" si="509"/>
        <v>385</v>
      </c>
      <c r="D8676" t="str">
        <f>"6"</f>
        <v>6</v>
      </c>
      <c r="E8676" t="str">
        <f>"1-385-6"</f>
        <v>1-385-6</v>
      </c>
      <c r="F8676" t="s">
        <v>83</v>
      </c>
      <c r="G8676" t="s">
        <v>86</v>
      </c>
      <c r="H8676" t="s">
        <v>87</v>
      </c>
      <c r="AC8676">
        <v>1</v>
      </c>
      <c r="AD8676">
        <v>0</v>
      </c>
      <c r="AE8676">
        <v>0</v>
      </c>
      <c r="AF8676">
        <v>0</v>
      </c>
      <c r="AH8676">
        <v>1</v>
      </c>
      <c r="AI8676">
        <v>0</v>
      </c>
      <c r="AJ8676">
        <v>1</v>
      </c>
      <c r="AK8676">
        <v>0</v>
      </c>
      <c r="AL8676">
        <v>1</v>
      </c>
      <c r="AM8676">
        <v>0</v>
      </c>
      <c r="AN8676">
        <v>0</v>
      </c>
      <c r="AO8676">
        <v>1</v>
      </c>
      <c r="AP8676">
        <v>1</v>
      </c>
      <c r="AQ8676">
        <v>1</v>
      </c>
      <c r="AU8676">
        <v>1</v>
      </c>
      <c r="AV8676">
        <v>1</v>
      </c>
      <c r="AW8676">
        <v>1</v>
      </c>
    </row>
    <row r="8677" spans="1:49" x14ac:dyDescent="0.25">
      <c r="A8677" t="str">
        <f>"8673"</f>
        <v>8673</v>
      </c>
      <c r="B8677" t="str">
        <f t="shared" si="508"/>
        <v>1</v>
      </c>
      <c r="C8677" t="str">
        <f t="shared" si="509"/>
        <v>385</v>
      </c>
      <c r="D8677" t="str">
        <f>"7"</f>
        <v>7</v>
      </c>
      <c r="E8677" t="str">
        <f>"1-385-7"</f>
        <v>1-385-7</v>
      </c>
      <c r="F8677" t="s">
        <v>83</v>
      </c>
      <c r="G8677" t="s">
        <v>86</v>
      </c>
      <c r="H8677" t="s">
        <v>87</v>
      </c>
      <c r="AC8677">
        <v>0</v>
      </c>
      <c r="AD8677">
        <v>1</v>
      </c>
      <c r="AE8677">
        <v>0</v>
      </c>
      <c r="AF8677">
        <v>0</v>
      </c>
      <c r="AH8677">
        <v>1</v>
      </c>
      <c r="AI8677">
        <v>0</v>
      </c>
      <c r="AJ8677">
        <v>1</v>
      </c>
      <c r="AK8677">
        <v>0</v>
      </c>
      <c r="AL8677">
        <v>0</v>
      </c>
      <c r="AM8677">
        <v>1</v>
      </c>
      <c r="AN8677">
        <v>0</v>
      </c>
      <c r="AO8677">
        <v>1</v>
      </c>
      <c r="AP8677">
        <v>1</v>
      </c>
      <c r="AQ8677">
        <v>1</v>
      </c>
      <c r="AU8677">
        <v>1</v>
      </c>
      <c r="AV8677">
        <v>1</v>
      </c>
      <c r="AW8677">
        <v>1</v>
      </c>
    </row>
    <row r="8678" spans="1:49" x14ac:dyDescent="0.25">
      <c r="A8678" t="str">
        <f>"8674"</f>
        <v>8674</v>
      </c>
      <c r="B8678" t="str">
        <f t="shared" si="508"/>
        <v>1</v>
      </c>
      <c r="C8678" t="str">
        <f t="shared" si="509"/>
        <v>385</v>
      </c>
      <c r="D8678" t="str">
        <f>"5"</f>
        <v>5</v>
      </c>
      <c r="E8678" t="str">
        <f>"1-385-5"</f>
        <v>1-385-5</v>
      </c>
      <c r="F8678" t="s">
        <v>83</v>
      </c>
      <c r="G8678" t="s">
        <v>86</v>
      </c>
      <c r="H8678" t="s">
        <v>87</v>
      </c>
      <c r="AC8678">
        <v>0</v>
      </c>
      <c r="AD8678">
        <v>1</v>
      </c>
      <c r="AE8678">
        <v>0</v>
      </c>
      <c r="AF8678">
        <v>0</v>
      </c>
      <c r="AH8678">
        <v>1</v>
      </c>
      <c r="AI8678">
        <v>0</v>
      </c>
      <c r="AJ8678">
        <v>0</v>
      </c>
      <c r="AK8678">
        <v>1</v>
      </c>
      <c r="AL8678">
        <v>0</v>
      </c>
      <c r="AM8678">
        <v>0</v>
      </c>
      <c r="AN8678">
        <v>1</v>
      </c>
      <c r="AO8678">
        <v>1</v>
      </c>
      <c r="AP8678">
        <v>1</v>
      </c>
      <c r="AQ8678">
        <v>1</v>
      </c>
      <c r="AU8678">
        <v>1</v>
      </c>
      <c r="AV8678">
        <v>1</v>
      </c>
      <c r="AW8678">
        <v>1</v>
      </c>
    </row>
    <row r="8679" spans="1:49" x14ac:dyDescent="0.25">
      <c r="A8679" t="str">
        <f>"8675"</f>
        <v>8675</v>
      </c>
      <c r="B8679" t="str">
        <f t="shared" si="508"/>
        <v>1</v>
      </c>
      <c r="C8679" t="str">
        <f t="shared" si="509"/>
        <v>385</v>
      </c>
      <c r="D8679" t="str">
        <f>"3"</f>
        <v>3</v>
      </c>
      <c r="E8679" t="str">
        <f>"1-385-3"</f>
        <v>1-385-3</v>
      </c>
      <c r="F8679" t="s">
        <v>83</v>
      </c>
      <c r="G8679" t="s">
        <v>86</v>
      </c>
      <c r="H8679" t="s">
        <v>87</v>
      </c>
      <c r="AC8679">
        <v>0</v>
      </c>
      <c r="AD8679">
        <v>1</v>
      </c>
      <c r="AE8679">
        <v>0</v>
      </c>
      <c r="AF8679">
        <v>0</v>
      </c>
      <c r="AH8679">
        <v>1</v>
      </c>
      <c r="AI8679">
        <v>0</v>
      </c>
      <c r="AJ8679">
        <v>0</v>
      </c>
      <c r="AK8679">
        <v>1</v>
      </c>
      <c r="AL8679">
        <v>0</v>
      </c>
      <c r="AM8679">
        <v>1</v>
      </c>
      <c r="AN8679">
        <v>0</v>
      </c>
      <c r="AO8679">
        <v>1</v>
      </c>
      <c r="AP8679">
        <v>1</v>
      </c>
      <c r="AQ8679">
        <v>1</v>
      </c>
      <c r="AU8679">
        <v>1</v>
      </c>
      <c r="AV8679">
        <v>1</v>
      </c>
      <c r="AW8679">
        <v>1</v>
      </c>
    </row>
    <row r="8680" spans="1:49" x14ac:dyDescent="0.25">
      <c r="A8680" t="str">
        <f>"8676"</f>
        <v>8676</v>
      </c>
      <c r="B8680" t="str">
        <f t="shared" si="508"/>
        <v>1</v>
      </c>
      <c r="C8680" t="str">
        <f t="shared" si="509"/>
        <v>385</v>
      </c>
      <c r="D8680" t="str">
        <f>"2"</f>
        <v>2</v>
      </c>
      <c r="E8680" t="str">
        <f>"1-385-2"</f>
        <v>1-385-2</v>
      </c>
      <c r="F8680" t="s">
        <v>83</v>
      </c>
      <c r="G8680" t="s">
        <v>86</v>
      </c>
      <c r="H8680" t="s">
        <v>87</v>
      </c>
      <c r="AC8680">
        <v>0</v>
      </c>
      <c r="AD8680">
        <v>1</v>
      </c>
      <c r="AE8680">
        <v>0</v>
      </c>
      <c r="AF8680">
        <v>0</v>
      </c>
      <c r="AH8680">
        <v>1</v>
      </c>
      <c r="AI8680">
        <v>0</v>
      </c>
      <c r="AJ8680">
        <v>1</v>
      </c>
      <c r="AK8680">
        <v>0</v>
      </c>
      <c r="AL8680">
        <v>0</v>
      </c>
      <c r="AM8680">
        <v>0</v>
      </c>
      <c r="AN8680">
        <v>1</v>
      </c>
      <c r="AO8680">
        <v>1</v>
      </c>
      <c r="AP8680">
        <v>1</v>
      </c>
      <c r="AQ8680">
        <v>1</v>
      </c>
      <c r="AU8680">
        <v>1</v>
      </c>
      <c r="AV8680">
        <v>1</v>
      </c>
      <c r="AW8680">
        <v>0</v>
      </c>
    </row>
    <row r="8681" spans="1:49" x14ac:dyDescent="0.25">
      <c r="A8681" t="str">
        <f>"8677"</f>
        <v>8677</v>
      </c>
      <c r="B8681" t="str">
        <f t="shared" si="508"/>
        <v>1</v>
      </c>
      <c r="C8681" t="str">
        <f t="shared" ref="C8681:C8702" si="510">"386"</f>
        <v>386</v>
      </c>
      <c r="D8681" t="str">
        <f>"22"</f>
        <v>22</v>
      </c>
      <c r="E8681" t="str">
        <f>"1-386-22"</f>
        <v>1-386-22</v>
      </c>
      <c r="F8681" t="s">
        <v>83</v>
      </c>
      <c r="G8681" t="s">
        <v>84</v>
      </c>
      <c r="H8681" t="s">
        <v>85</v>
      </c>
      <c r="AC8681">
        <v>0</v>
      </c>
      <c r="AD8681">
        <v>1</v>
      </c>
      <c r="AE8681">
        <v>0</v>
      </c>
      <c r="AF8681">
        <v>0</v>
      </c>
      <c r="AG8681">
        <v>1</v>
      </c>
      <c r="AJ8681">
        <v>1</v>
      </c>
      <c r="AK8681">
        <v>0</v>
      </c>
      <c r="AL8681">
        <v>0</v>
      </c>
      <c r="AM8681">
        <v>1</v>
      </c>
      <c r="AN8681">
        <v>0</v>
      </c>
      <c r="AO8681">
        <v>1</v>
      </c>
      <c r="AP8681">
        <v>1</v>
      </c>
      <c r="AQ8681">
        <v>1</v>
      </c>
      <c r="AR8681">
        <v>1</v>
      </c>
      <c r="AS8681">
        <v>1</v>
      </c>
      <c r="AT8681">
        <v>0</v>
      </c>
      <c r="AV8681">
        <v>1</v>
      </c>
      <c r="AW8681">
        <v>1</v>
      </c>
    </row>
    <row r="8682" spans="1:49" x14ac:dyDescent="0.25">
      <c r="A8682" t="str">
        <f>"8678"</f>
        <v>8678</v>
      </c>
      <c r="B8682" t="str">
        <f t="shared" si="508"/>
        <v>1</v>
      </c>
      <c r="C8682" t="str">
        <f t="shared" si="510"/>
        <v>386</v>
      </c>
      <c r="D8682" t="str">
        <f>"15"</f>
        <v>15</v>
      </c>
      <c r="E8682" t="str">
        <f>"1-386-15"</f>
        <v>1-386-15</v>
      </c>
      <c r="F8682" t="s">
        <v>83</v>
      </c>
      <c r="G8682" t="s">
        <v>86</v>
      </c>
      <c r="H8682" t="s">
        <v>87</v>
      </c>
      <c r="AC8682">
        <v>0</v>
      </c>
      <c r="AD8682">
        <v>1</v>
      </c>
      <c r="AE8682">
        <v>0</v>
      </c>
      <c r="AF8682">
        <v>0</v>
      </c>
      <c r="AH8682">
        <v>1</v>
      </c>
      <c r="AI8682">
        <v>0</v>
      </c>
      <c r="AJ8682">
        <v>0</v>
      </c>
      <c r="AK8682">
        <v>1</v>
      </c>
      <c r="AL8682">
        <v>0</v>
      </c>
      <c r="AM8682">
        <v>1</v>
      </c>
      <c r="AN8682">
        <v>0</v>
      </c>
      <c r="AO8682">
        <v>1</v>
      </c>
      <c r="AP8682">
        <v>1</v>
      </c>
      <c r="AQ8682">
        <v>1</v>
      </c>
      <c r="AU8682">
        <v>1</v>
      </c>
      <c r="AV8682">
        <v>1</v>
      </c>
      <c r="AW8682">
        <v>1</v>
      </c>
    </row>
    <row r="8683" spans="1:49" x14ac:dyDescent="0.25">
      <c r="A8683" t="str">
        <f>"8679"</f>
        <v>8679</v>
      </c>
      <c r="B8683" t="str">
        <f t="shared" si="508"/>
        <v>1</v>
      </c>
      <c r="C8683" t="str">
        <f t="shared" si="510"/>
        <v>386</v>
      </c>
      <c r="D8683" t="str">
        <f>"8"</f>
        <v>8</v>
      </c>
      <c r="E8683" t="str">
        <f>"1-386-8"</f>
        <v>1-386-8</v>
      </c>
      <c r="F8683" t="s">
        <v>83</v>
      </c>
      <c r="G8683" t="s">
        <v>84</v>
      </c>
      <c r="H8683" t="s">
        <v>92</v>
      </c>
      <c r="I8683">
        <v>1</v>
      </c>
      <c r="J8683">
        <v>1</v>
      </c>
      <c r="N8683">
        <v>1</v>
      </c>
      <c r="O8683">
        <v>1</v>
      </c>
      <c r="P8683">
        <v>1</v>
      </c>
      <c r="Q8683">
        <v>1</v>
      </c>
      <c r="R8683">
        <v>1</v>
      </c>
      <c r="S8683">
        <v>1</v>
      </c>
      <c r="T8683">
        <v>1</v>
      </c>
      <c r="W8683">
        <v>1</v>
      </c>
      <c r="X8683">
        <v>1</v>
      </c>
      <c r="Y8683">
        <v>1</v>
      </c>
      <c r="Z8683">
        <v>1</v>
      </c>
      <c r="AA8683">
        <v>1</v>
      </c>
      <c r="AB8683">
        <v>1</v>
      </c>
    </row>
    <row r="8684" spans="1:49" x14ac:dyDescent="0.25">
      <c r="A8684" t="str">
        <f>"8680"</f>
        <v>8680</v>
      </c>
      <c r="B8684" t="str">
        <f t="shared" si="508"/>
        <v>1</v>
      </c>
      <c r="C8684" t="str">
        <f t="shared" si="510"/>
        <v>386</v>
      </c>
      <c r="D8684" t="str">
        <f>"2"</f>
        <v>2</v>
      </c>
      <c r="E8684" t="str">
        <f>"1-386-2"</f>
        <v>1-386-2</v>
      </c>
      <c r="F8684" t="s">
        <v>83</v>
      </c>
      <c r="G8684" t="s">
        <v>84</v>
      </c>
      <c r="H8684" t="s">
        <v>92</v>
      </c>
      <c r="I8684">
        <v>1</v>
      </c>
      <c r="J8684">
        <v>1</v>
      </c>
      <c r="N8684">
        <v>1</v>
      </c>
      <c r="O8684">
        <v>1</v>
      </c>
      <c r="P8684">
        <v>1</v>
      </c>
      <c r="Q8684">
        <v>1</v>
      </c>
      <c r="R8684">
        <v>1</v>
      </c>
      <c r="S8684">
        <v>1</v>
      </c>
      <c r="T8684">
        <v>1</v>
      </c>
      <c r="W8684">
        <v>1</v>
      </c>
      <c r="X8684">
        <v>1</v>
      </c>
      <c r="Y8684">
        <v>1</v>
      </c>
      <c r="Z8684">
        <v>1</v>
      </c>
      <c r="AA8684">
        <v>1</v>
      </c>
      <c r="AB8684">
        <v>1</v>
      </c>
    </row>
    <row r="8685" spans="1:49" x14ac:dyDescent="0.25">
      <c r="A8685" t="str">
        <f>"8681"</f>
        <v>8681</v>
      </c>
      <c r="B8685" t="str">
        <f t="shared" si="508"/>
        <v>1</v>
      </c>
      <c r="C8685" t="str">
        <f t="shared" si="510"/>
        <v>386</v>
      </c>
      <c r="D8685" t="str">
        <f>"16"</f>
        <v>16</v>
      </c>
      <c r="E8685" t="str">
        <f>"1-386-16"</f>
        <v>1-386-16</v>
      </c>
      <c r="F8685" t="s">
        <v>83</v>
      </c>
      <c r="G8685" t="s">
        <v>84</v>
      </c>
      <c r="H8685" t="s">
        <v>85</v>
      </c>
      <c r="AC8685">
        <v>0</v>
      </c>
      <c r="AD8685">
        <v>1</v>
      </c>
      <c r="AE8685">
        <v>0</v>
      </c>
      <c r="AF8685">
        <v>0</v>
      </c>
      <c r="AG8685">
        <v>1</v>
      </c>
      <c r="AJ8685">
        <v>1</v>
      </c>
      <c r="AK8685">
        <v>0</v>
      </c>
      <c r="AL8685">
        <v>1</v>
      </c>
      <c r="AM8685">
        <v>0</v>
      </c>
      <c r="AN8685">
        <v>0</v>
      </c>
      <c r="AO8685">
        <v>1</v>
      </c>
      <c r="AP8685">
        <v>1</v>
      </c>
      <c r="AQ8685">
        <v>1</v>
      </c>
      <c r="AR8685">
        <v>1</v>
      </c>
      <c r="AS8685">
        <v>0</v>
      </c>
      <c r="AT8685">
        <v>1</v>
      </c>
      <c r="AV8685">
        <v>1</v>
      </c>
      <c r="AW8685">
        <v>1</v>
      </c>
    </row>
    <row r="8686" spans="1:49" x14ac:dyDescent="0.25">
      <c r="A8686" t="str">
        <f>"8682"</f>
        <v>8682</v>
      </c>
      <c r="B8686" t="str">
        <f t="shared" si="508"/>
        <v>1</v>
      </c>
      <c r="C8686" t="str">
        <f t="shared" si="510"/>
        <v>386</v>
      </c>
      <c r="D8686" t="str">
        <f>"9"</f>
        <v>9</v>
      </c>
      <c r="E8686" t="str">
        <f>"1-386-9"</f>
        <v>1-386-9</v>
      </c>
      <c r="F8686" t="s">
        <v>83</v>
      </c>
      <c r="G8686" t="s">
        <v>86</v>
      </c>
      <c r="H8686" t="s">
        <v>93</v>
      </c>
      <c r="I8686">
        <v>1</v>
      </c>
      <c r="K8686">
        <v>1</v>
      </c>
      <c r="L8686">
        <v>0</v>
      </c>
      <c r="M8686">
        <v>0</v>
      </c>
      <c r="N8686">
        <v>1</v>
      </c>
      <c r="O8686">
        <v>1</v>
      </c>
      <c r="P8686">
        <v>1</v>
      </c>
      <c r="Q8686">
        <v>1</v>
      </c>
      <c r="R8686">
        <v>1</v>
      </c>
      <c r="U8686">
        <v>1</v>
      </c>
      <c r="V8686">
        <v>0</v>
      </c>
      <c r="W8686">
        <v>1</v>
      </c>
      <c r="X8686">
        <v>1</v>
      </c>
      <c r="Y8686">
        <v>1</v>
      </c>
      <c r="Z8686">
        <v>1</v>
      </c>
      <c r="AA8686">
        <v>1</v>
      </c>
      <c r="AB8686">
        <v>1</v>
      </c>
    </row>
    <row r="8687" spans="1:49" x14ac:dyDescent="0.25">
      <c r="A8687" t="str">
        <f>"8683"</f>
        <v>8683</v>
      </c>
      <c r="B8687" t="str">
        <f t="shared" si="508"/>
        <v>1</v>
      </c>
      <c r="C8687" t="str">
        <f t="shared" si="510"/>
        <v>386</v>
      </c>
      <c r="D8687" t="str">
        <f>"5"</f>
        <v>5</v>
      </c>
      <c r="E8687" t="str">
        <f>"1-386-5"</f>
        <v>1-386-5</v>
      </c>
      <c r="F8687" t="s">
        <v>83</v>
      </c>
      <c r="G8687" t="s">
        <v>84</v>
      </c>
      <c r="H8687" t="s">
        <v>92</v>
      </c>
      <c r="I8687">
        <v>1</v>
      </c>
      <c r="J8687">
        <v>1</v>
      </c>
      <c r="N8687">
        <v>1</v>
      </c>
      <c r="O8687">
        <v>1</v>
      </c>
      <c r="P8687">
        <v>1</v>
      </c>
      <c r="Q8687">
        <v>1</v>
      </c>
      <c r="R8687">
        <v>1</v>
      </c>
      <c r="S8687">
        <v>1</v>
      </c>
      <c r="T8687">
        <v>1</v>
      </c>
      <c r="W8687">
        <v>1</v>
      </c>
      <c r="X8687">
        <v>1</v>
      </c>
      <c r="Y8687">
        <v>1</v>
      </c>
      <c r="Z8687">
        <v>1</v>
      </c>
      <c r="AA8687">
        <v>1</v>
      </c>
      <c r="AB8687">
        <v>1</v>
      </c>
    </row>
    <row r="8688" spans="1:49" x14ac:dyDescent="0.25">
      <c r="A8688" t="str">
        <f>"8684"</f>
        <v>8684</v>
      </c>
      <c r="B8688" t="str">
        <f t="shared" si="508"/>
        <v>1</v>
      </c>
      <c r="C8688" t="str">
        <f t="shared" si="510"/>
        <v>386</v>
      </c>
      <c r="D8688" t="str">
        <f>"17"</f>
        <v>17</v>
      </c>
      <c r="E8688" t="str">
        <f>"1-386-17"</f>
        <v>1-386-17</v>
      </c>
      <c r="F8688" t="s">
        <v>83</v>
      </c>
      <c r="G8688" t="s">
        <v>84</v>
      </c>
      <c r="H8688" t="s">
        <v>85</v>
      </c>
      <c r="AC8688">
        <v>1</v>
      </c>
      <c r="AD8688">
        <v>0</v>
      </c>
      <c r="AE8688">
        <v>0</v>
      </c>
      <c r="AF8688">
        <v>0</v>
      </c>
      <c r="AG8688">
        <v>0</v>
      </c>
      <c r="AJ8688">
        <v>1</v>
      </c>
      <c r="AK8688">
        <v>0</v>
      </c>
      <c r="AL8688">
        <v>1</v>
      </c>
      <c r="AM8688">
        <v>0</v>
      </c>
      <c r="AN8688">
        <v>0</v>
      </c>
      <c r="AO8688">
        <v>0</v>
      </c>
      <c r="AP8688">
        <v>0</v>
      </c>
      <c r="AQ8688">
        <v>0</v>
      </c>
      <c r="AR8688">
        <v>0</v>
      </c>
      <c r="AS8688">
        <v>1</v>
      </c>
      <c r="AT8688">
        <v>0</v>
      </c>
      <c r="AV8688">
        <v>0</v>
      </c>
      <c r="AW8688">
        <v>1</v>
      </c>
    </row>
    <row r="8689" spans="1:49" x14ac:dyDescent="0.25">
      <c r="A8689" t="str">
        <f>"8685"</f>
        <v>8685</v>
      </c>
      <c r="B8689" t="str">
        <f t="shared" si="508"/>
        <v>1</v>
      </c>
      <c r="C8689" t="str">
        <f t="shared" si="510"/>
        <v>386</v>
      </c>
      <c r="D8689" t="str">
        <f>"10"</f>
        <v>10</v>
      </c>
      <c r="E8689" t="str">
        <f>"1-386-10"</f>
        <v>1-386-10</v>
      </c>
      <c r="F8689" t="s">
        <v>83</v>
      </c>
      <c r="G8689" t="s">
        <v>84</v>
      </c>
      <c r="H8689" t="s">
        <v>92</v>
      </c>
      <c r="I8689">
        <v>1</v>
      </c>
      <c r="J8689">
        <v>1</v>
      </c>
      <c r="N8689">
        <v>1</v>
      </c>
      <c r="O8689">
        <v>1</v>
      </c>
      <c r="P8689">
        <v>1</v>
      </c>
      <c r="Q8689">
        <v>1</v>
      </c>
      <c r="R8689">
        <v>1</v>
      </c>
      <c r="S8689">
        <v>1</v>
      </c>
      <c r="T8689">
        <v>1</v>
      </c>
      <c r="W8689">
        <v>1</v>
      </c>
      <c r="X8689">
        <v>1</v>
      </c>
      <c r="Y8689">
        <v>1</v>
      </c>
      <c r="Z8689">
        <v>1</v>
      </c>
      <c r="AA8689">
        <v>1</v>
      </c>
      <c r="AB8689">
        <v>1</v>
      </c>
    </row>
    <row r="8690" spans="1:49" x14ac:dyDescent="0.25">
      <c r="A8690" t="str">
        <f>"8686"</f>
        <v>8686</v>
      </c>
      <c r="B8690" t="str">
        <f t="shared" si="508"/>
        <v>1</v>
      </c>
      <c r="C8690" t="str">
        <f t="shared" si="510"/>
        <v>386</v>
      </c>
      <c r="D8690" t="str">
        <f>"1"</f>
        <v>1</v>
      </c>
      <c r="E8690" t="str">
        <f>"1-386-1"</f>
        <v>1-386-1</v>
      </c>
      <c r="F8690" t="s">
        <v>83</v>
      </c>
      <c r="G8690" t="s">
        <v>84</v>
      </c>
      <c r="H8690" t="s">
        <v>92</v>
      </c>
      <c r="I8690">
        <v>1</v>
      </c>
      <c r="J8690">
        <v>1</v>
      </c>
      <c r="N8690">
        <v>1</v>
      </c>
      <c r="O8690">
        <v>1</v>
      </c>
      <c r="P8690">
        <v>1</v>
      </c>
      <c r="Q8690">
        <v>1</v>
      </c>
      <c r="R8690">
        <v>1</v>
      </c>
      <c r="S8690">
        <v>1</v>
      </c>
      <c r="T8690">
        <v>1</v>
      </c>
      <c r="W8690">
        <v>1</v>
      </c>
      <c r="X8690">
        <v>1</v>
      </c>
      <c r="Y8690">
        <v>1</v>
      </c>
      <c r="Z8690">
        <v>1</v>
      </c>
      <c r="AA8690">
        <v>1</v>
      </c>
      <c r="AB8690">
        <v>1</v>
      </c>
    </row>
    <row r="8691" spans="1:49" x14ac:dyDescent="0.25">
      <c r="A8691" t="str">
        <f>"8687"</f>
        <v>8687</v>
      </c>
      <c r="B8691" t="str">
        <f t="shared" si="508"/>
        <v>1</v>
      </c>
      <c r="C8691" t="str">
        <f t="shared" si="510"/>
        <v>386</v>
      </c>
      <c r="D8691" t="str">
        <f>"18"</f>
        <v>18</v>
      </c>
      <c r="E8691" t="str">
        <f>"1-386-18"</f>
        <v>1-386-18</v>
      </c>
      <c r="F8691" t="s">
        <v>83</v>
      </c>
      <c r="G8691" t="s">
        <v>86</v>
      </c>
      <c r="H8691" t="s">
        <v>93</v>
      </c>
      <c r="I8691">
        <v>1</v>
      </c>
      <c r="K8691">
        <v>0</v>
      </c>
      <c r="L8691">
        <v>1</v>
      </c>
      <c r="M8691">
        <v>0</v>
      </c>
      <c r="N8691">
        <v>1</v>
      </c>
      <c r="O8691">
        <v>1</v>
      </c>
      <c r="P8691">
        <v>1</v>
      </c>
      <c r="Q8691">
        <v>1</v>
      </c>
      <c r="R8691">
        <v>1</v>
      </c>
      <c r="U8691">
        <v>0</v>
      </c>
      <c r="V8691">
        <v>1</v>
      </c>
      <c r="W8691">
        <v>1</v>
      </c>
      <c r="X8691">
        <v>1</v>
      </c>
      <c r="Y8691">
        <v>1</v>
      </c>
      <c r="Z8691">
        <v>1</v>
      </c>
      <c r="AA8691">
        <v>1</v>
      </c>
      <c r="AB8691">
        <v>1</v>
      </c>
    </row>
    <row r="8692" spans="1:49" x14ac:dyDescent="0.25">
      <c r="A8692" t="str">
        <f>"8688"</f>
        <v>8688</v>
      </c>
      <c r="B8692" t="str">
        <f t="shared" si="508"/>
        <v>1</v>
      </c>
      <c r="C8692" t="str">
        <f t="shared" si="510"/>
        <v>386</v>
      </c>
      <c r="D8692" t="str">
        <f>"11"</f>
        <v>11</v>
      </c>
      <c r="E8692" t="str">
        <f>"1-386-11"</f>
        <v>1-386-11</v>
      </c>
      <c r="F8692" t="s">
        <v>83</v>
      </c>
      <c r="G8692" t="s">
        <v>84</v>
      </c>
      <c r="H8692" t="s">
        <v>85</v>
      </c>
      <c r="AC8692">
        <v>1</v>
      </c>
      <c r="AD8692">
        <v>0</v>
      </c>
      <c r="AE8692">
        <v>0</v>
      </c>
      <c r="AF8692">
        <v>0</v>
      </c>
      <c r="AG8692">
        <v>1</v>
      </c>
      <c r="AJ8692">
        <v>0</v>
      </c>
      <c r="AK8692">
        <v>0</v>
      </c>
      <c r="AL8692">
        <v>0</v>
      </c>
      <c r="AM8692">
        <v>0</v>
      </c>
      <c r="AN8692">
        <v>1</v>
      </c>
      <c r="AO8692">
        <v>1</v>
      </c>
      <c r="AP8692">
        <v>1</v>
      </c>
      <c r="AQ8692">
        <v>1</v>
      </c>
      <c r="AR8692">
        <v>1</v>
      </c>
      <c r="AS8692">
        <v>0</v>
      </c>
      <c r="AT8692">
        <v>1</v>
      </c>
      <c r="AV8692">
        <v>1</v>
      </c>
      <c r="AW8692">
        <v>1</v>
      </c>
    </row>
    <row r="8693" spans="1:49" x14ac:dyDescent="0.25">
      <c r="A8693" t="str">
        <f>"8689"</f>
        <v>8689</v>
      </c>
      <c r="B8693" t="str">
        <f t="shared" si="508"/>
        <v>1</v>
      </c>
      <c r="C8693" t="str">
        <f t="shared" si="510"/>
        <v>386</v>
      </c>
      <c r="D8693" t="str">
        <f>"4"</f>
        <v>4</v>
      </c>
      <c r="E8693" t="str">
        <f>"1-386-4"</f>
        <v>1-386-4</v>
      </c>
      <c r="F8693" t="s">
        <v>83</v>
      </c>
      <c r="G8693" t="s">
        <v>84</v>
      </c>
      <c r="H8693" t="s">
        <v>92</v>
      </c>
      <c r="I8693">
        <v>1</v>
      </c>
      <c r="J8693">
        <v>0</v>
      </c>
      <c r="N8693">
        <v>1</v>
      </c>
      <c r="O8693">
        <v>1</v>
      </c>
      <c r="P8693">
        <v>0</v>
      </c>
      <c r="Q8693">
        <v>0</v>
      </c>
      <c r="R8693">
        <v>0</v>
      </c>
      <c r="S8693">
        <v>0</v>
      </c>
      <c r="T8693">
        <v>0</v>
      </c>
      <c r="W8693">
        <v>0</v>
      </c>
      <c r="X8693">
        <v>0</v>
      </c>
      <c r="Y8693">
        <v>0</v>
      </c>
      <c r="Z8693">
        <v>0</v>
      </c>
      <c r="AA8693">
        <v>0</v>
      </c>
      <c r="AB8693">
        <v>0</v>
      </c>
    </row>
    <row r="8694" spans="1:49" x14ac:dyDescent="0.25">
      <c r="A8694" t="str">
        <f>"8690"</f>
        <v>8690</v>
      </c>
      <c r="B8694" t="str">
        <f t="shared" si="508"/>
        <v>1</v>
      </c>
      <c r="C8694" t="str">
        <f t="shared" si="510"/>
        <v>386</v>
      </c>
      <c r="D8694" t="str">
        <f>"19"</f>
        <v>19</v>
      </c>
      <c r="E8694" t="str">
        <f>"1-386-19"</f>
        <v>1-386-19</v>
      </c>
      <c r="F8694" t="s">
        <v>83</v>
      </c>
      <c r="G8694" t="s">
        <v>86</v>
      </c>
      <c r="H8694" t="s">
        <v>87</v>
      </c>
      <c r="AC8694">
        <v>1</v>
      </c>
      <c r="AD8694">
        <v>0</v>
      </c>
      <c r="AE8694">
        <v>0</v>
      </c>
      <c r="AF8694">
        <v>0</v>
      </c>
      <c r="AH8694">
        <v>0</v>
      </c>
      <c r="AI8694">
        <v>1</v>
      </c>
      <c r="AJ8694">
        <v>0</v>
      </c>
      <c r="AK8694">
        <v>0</v>
      </c>
      <c r="AL8694">
        <v>0</v>
      </c>
      <c r="AM8694">
        <v>0</v>
      </c>
      <c r="AN8694">
        <v>0</v>
      </c>
      <c r="AO8694">
        <v>1</v>
      </c>
      <c r="AP8694">
        <v>1</v>
      </c>
      <c r="AQ8694">
        <v>1</v>
      </c>
      <c r="AU8694">
        <v>1</v>
      </c>
      <c r="AV8694">
        <v>1</v>
      </c>
      <c r="AW8694">
        <v>1</v>
      </c>
    </row>
    <row r="8695" spans="1:49" x14ac:dyDescent="0.25">
      <c r="A8695" t="str">
        <f>"8691"</f>
        <v>8691</v>
      </c>
      <c r="B8695" t="str">
        <f t="shared" si="508"/>
        <v>1</v>
      </c>
      <c r="C8695" t="str">
        <f t="shared" si="510"/>
        <v>386</v>
      </c>
      <c r="D8695" t="str">
        <f>"12"</f>
        <v>12</v>
      </c>
      <c r="E8695" t="str">
        <f>"1-386-12"</f>
        <v>1-386-12</v>
      </c>
      <c r="F8695" t="s">
        <v>83</v>
      </c>
      <c r="G8695" t="s">
        <v>84</v>
      </c>
      <c r="H8695" t="s">
        <v>85</v>
      </c>
      <c r="AC8695">
        <v>0</v>
      </c>
      <c r="AD8695">
        <v>1</v>
      </c>
      <c r="AE8695">
        <v>0</v>
      </c>
      <c r="AF8695">
        <v>0</v>
      </c>
      <c r="AG8695">
        <v>1</v>
      </c>
      <c r="AJ8695">
        <v>1</v>
      </c>
      <c r="AK8695">
        <v>0</v>
      </c>
      <c r="AL8695">
        <v>0</v>
      </c>
      <c r="AM8695">
        <v>0</v>
      </c>
      <c r="AN8695">
        <v>0</v>
      </c>
      <c r="AO8695">
        <v>0</v>
      </c>
      <c r="AP8695">
        <v>0</v>
      </c>
      <c r="AQ8695">
        <v>0</v>
      </c>
      <c r="AR8695">
        <v>0</v>
      </c>
      <c r="AS8695">
        <v>1</v>
      </c>
      <c r="AT8695">
        <v>0</v>
      </c>
      <c r="AV8695">
        <v>0</v>
      </c>
      <c r="AW8695">
        <v>1</v>
      </c>
    </row>
    <row r="8696" spans="1:49" x14ac:dyDescent="0.25">
      <c r="A8696" t="str">
        <f>"8692"</f>
        <v>8692</v>
      </c>
      <c r="B8696" t="str">
        <f t="shared" si="508"/>
        <v>1</v>
      </c>
      <c r="C8696" t="str">
        <f t="shared" si="510"/>
        <v>386</v>
      </c>
      <c r="D8696" t="str">
        <f>"6"</f>
        <v>6</v>
      </c>
      <c r="E8696" t="str">
        <f>"1-386-6"</f>
        <v>1-386-6</v>
      </c>
      <c r="F8696" t="s">
        <v>83</v>
      </c>
      <c r="G8696" t="s">
        <v>86</v>
      </c>
      <c r="H8696" t="s">
        <v>93</v>
      </c>
      <c r="I8696">
        <v>1</v>
      </c>
      <c r="K8696">
        <v>0</v>
      </c>
      <c r="L8696">
        <v>1</v>
      </c>
      <c r="M8696">
        <v>0</v>
      </c>
      <c r="N8696">
        <v>1</v>
      </c>
      <c r="O8696">
        <v>1</v>
      </c>
      <c r="P8696">
        <v>1</v>
      </c>
      <c r="Q8696">
        <v>1</v>
      </c>
      <c r="R8696">
        <v>1</v>
      </c>
      <c r="U8696">
        <v>1</v>
      </c>
      <c r="V8696">
        <v>0</v>
      </c>
      <c r="W8696">
        <v>1</v>
      </c>
      <c r="X8696">
        <v>1</v>
      </c>
      <c r="Y8696">
        <v>1</v>
      </c>
      <c r="Z8696">
        <v>1</v>
      </c>
      <c r="AA8696">
        <v>1</v>
      </c>
      <c r="AB8696">
        <v>1</v>
      </c>
    </row>
    <row r="8697" spans="1:49" x14ac:dyDescent="0.25">
      <c r="A8697" t="str">
        <f>"8693"</f>
        <v>8693</v>
      </c>
      <c r="B8697" t="str">
        <f t="shared" si="508"/>
        <v>1</v>
      </c>
      <c r="C8697" t="str">
        <f t="shared" si="510"/>
        <v>386</v>
      </c>
      <c r="D8697" t="str">
        <f>"20"</f>
        <v>20</v>
      </c>
      <c r="E8697" t="str">
        <f>"1-386-20"</f>
        <v>1-386-20</v>
      </c>
      <c r="F8697" t="s">
        <v>83</v>
      </c>
      <c r="G8697" t="s">
        <v>84</v>
      </c>
      <c r="H8697" t="s">
        <v>92</v>
      </c>
      <c r="I8697">
        <v>1</v>
      </c>
      <c r="J8697">
        <v>1</v>
      </c>
      <c r="N8697">
        <v>1</v>
      </c>
      <c r="O8697">
        <v>1</v>
      </c>
      <c r="P8697">
        <v>1</v>
      </c>
      <c r="Q8697">
        <v>1</v>
      </c>
      <c r="R8697">
        <v>1</v>
      </c>
      <c r="S8697">
        <v>1</v>
      </c>
      <c r="T8697">
        <v>1</v>
      </c>
      <c r="W8697">
        <v>1</v>
      </c>
      <c r="X8697">
        <v>1</v>
      </c>
      <c r="Y8697">
        <v>1</v>
      </c>
      <c r="Z8697">
        <v>1</v>
      </c>
      <c r="AA8697">
        <v>1</v>
      </c>
      <c r="AB8697">
        <v>1</v>
      </c>
    </row>
    <row r="8698" spans="1:49" x14ac:dyDescent="0.25">
      <c r="A8698" t="str">
        <f>"8694"</f>
        <v>8694</v>
      </c>
      <c r="B8698" t="str">
        <f t="shared" si="508"/>
        <v>1</v>
      </c>
      <c r="C8698" t="str">
        <f t="shared" si="510"/>
        <v>386</v>
      </c>
      <c r="D8698" t="str">
        <f>"13"</f>
        <v>13</v>
      </c>
      <c r="E8698" t="str">
        <f>"1-386-13"</f>
        <v>1-386-13</v>
      </c>
      <c r="F8698" t="s">
        <v>83</v>
      </c>
      <c r="G8698" t="s">
        <v>84</v>
      </c>
      <c r="H8698" t="s">
        <v>85</v>
      </c>
      <c r="AC8698">
        <v>0</v>
      </c>
      <c r="AD8698">
        <v>1</v>
      </c>
      <c r="AE8698">
        <v>0</v>
      </c>
      <c r="AF8698">
        <v>0</v>
      </c>
      <c r="AG8698">
        <v>1</v>
      </c>
      <c r="AJ8698">
        <v>1</v>
      </c>
      <c r="AK8698">
        <v>0</v>
      </c>
      <c r="AL8698">
        <v>0</v>
      </c>
      <c r="AM8698">
        <v>0</v>
      </c>
      <c r="AN8698">
        <v>1</v>
      </c>
      <c r="AO8698">
        <v>1</v>
      </c>
      <c r="AP8698">
        <v>0</v>
      </c>
      <c r="AQ8698">
        <v>1</v>
      </c>
      <c r="AR8698">
        <v>0</v>
      </c>
      <c r="AS8698">
        <v>1</v>
      </c>
      <c r="AT8698">
        <v>0</v>
      </c>
      <c r="AV8698">
        <v>1</v>
      </c>
      <c r="AW8698">
        <v>0</v>
      </c>
    </row>
    <row r="8699" spans="1:49" x14ac:dyDescent="0.25">
      <c r="A8699" t="str">
        <f>"8695"</f>
        <v>8695</v>
      </c>
      <c r="B8699" t="str">
        <f t="shared" si="508"/>
        <v>1</v>
      </c>
      <c r="C8699" t="str">
        <f t="shared" si="510"/>
        <v>386</v>
      </c>
      <c r="D8699" t="str">
        <f>"7"</f>
        <v>7</v>
      </c>
      <c r="E8699" t="str">
        <f>"1-386-7"</f>
        <v>1-386-7</v>
      </c>
      <c r="F8699" t="s">
        <v>83</v>
      </c>
      <c r="G8699" t="s">
        <v>84</v>
      </c>
      <c r="H8699" t="s">
        <v>92</v>
      </c>
      <c r="I8699">
        <v>0</v>
      </c>
      <c r="J8699">
        <v>1</v>
      </c>
      <c r="N8699">
        <v>1</v>
      </c>
      <c r="O8699">
        <v>1</v>
      </c>
      <c r="P8699">
        <v>0</v>
      </c>
      <c r="Q8699">
        <v>0</v>
      </c>
      <c r="R8699">
        <v>0</v>
      </c>
      <c r="S8699">
        <v>0</v>
      </c>
      <c r="T8699">
        <v>0</v>
      </c>
      <c r="W8699">
        <v>0</v>
      </c>
      <c r="X8699">
        <v>1</v>
      </c>
      <c r="Y8699">
        <v>1</v>
      </c>
      <c r="Z8699">
        <v>0</v>
      </c>
      <c r="AA8699">
        <v>0</v>
      </c>
      <c r="AB8699">
        <v>1</v>
      </c>
    </row>
    <row r="8700" spans="1:49" x14ac:dyDescent="0.25">
      <c r="A8700" t="str">
        <f>"8696"</f>
        <v>8696</v>
      </c>
      <c r="B8700" t="str">
        <f t="shared" si="508"/>
        <v>1</v>
      </c>
      <c r="C8700" t="str">
        <f t="shared" si="510"/>
        <v>386</v>
      </c>
      <c r="D8700" t="str">
        <f>"21"</f>
        <v>21</v>
      </c>
      <c r="E8700" t="str">
        <f>"1-386-21"</f>
        <v>1-386-21</v>
      </c>
      <c r="F8700" t="s">
        <v>83</v>
      </c>
      <c r="G8700" t="s">
        <v>84</v>
      </c>
      <c r="H8700" t="s">
        <v>85</v>
      </c>
      <c r="AC8700">
        <v>0</v>
      </c>
      <c r="AD8700">
        <v>1</v>
      </c>
      <c r="AE8700">
        <v>0</v>
      </c>
      <c r="AF8700">
        <v>0</v>
      </c>
      <c r="AG8700">
        <v>0</v>
      </c>
      <c r="AJ8700">
        <v>0</v>
      </c>
      <c r="AK8700">
        <v>1</v>
      </c>
      <c r="AL8700">
        <v>0</v>
      </c>
      <c r="AM8700">
        <v>0</v>
      </c>
      <c r="AN8700">
        <v>1</v>
      </c>
      <c r="AO8700">
        <v>0</v>
      </c>
      <c r="AP8700">
        <v>0</v>
      </c>
      <c r="AQ8700">
        <v>0</v>
      </c>
      <c r="AR8700">
        <v>0</v>
      </c>
      <c r="AS8700">
        <v>1</v>
      </c>
      <c r="AT8700">
        <v>0</v>
      </c>
      <c r="AV8700">
        <v>0</v>
      </c>
      <c r="AW8700">
        <v>0</v>
      </c>
    </row>
    <row r="8701" spans="1:49" x14ac:dyDescent="0.25">
      <c r="A8701" t="str">
        <f>"8697"</f>
        <v>8697</v>
      </c>
      <c r="B8701" t="str">
        <f t="shared" si="508"/>
        <v>1</v>
      </c>
      <c r="C8701" t="str">
        <f t="shared" si="510"/>
        <v>386</v>
      </c>
      <c r="D8701" t="str">
        <f>"14"</f>
        <v>14</v>
      </c>
      <c r="E8701" t="str">
        <f>"1-386-14"</f>
        <v>1-386-14</v>
      </c>
      <c r="F8701" t="s">
        <v>83</v>
      </c>
      <c r="G8701" t="s">
        <v>86</v>
      </c>
      <c r="H8701" t="s">
        <v>93</v>
      </c>
      <c r="I8701">
        <v>0</v>
      </c>
      <c r="K8701">
        <v>0</v>
      </c>
      <c r="L8701">
        <v>0</v>
      </c>
      <c r="M8701">
        <v>1</v>
      </c>
      <c r="N8701">
        <v>0</v>
      </c>
      <c r="O8701">
        <v>0</v>
      </c>
      <c r="P8701">
        <v>0</v>
      </c>
      <c r="Q8701">
        <v>0</v>
      </c>
      <c r="R8701">
        <v>0</v>
      </c>
      <c r="U8701">
        <v>0</v>
      </c>
      <c r="V8701">
        <v>0</v>
      </c>
      <c r="W8701">
        <v>0</v>
      </c>
      <c r="X8701">
        <v>0</v>
      </c>
      <c r="Y8701">
        <v>0</v>
      </c>
      <c r="Z8701">
        <v>0</v>
      </c>
      <c r="AA8701">
        <v>0</v>
      </c>
      <c r="AB8701">
        <v>0</v>
      </c>
    </row>
    <row r="8702" spans="1:49" x14ac:dyDescent="0.25">
      <c r="A8702" t="str">
        <f>"8698"</f>
        <v>8698</v>
      </c>
      <c r="B8702" t="str">
        <f t="shared" si="508"/>
        <v>1</v>
      </c>
      <c r="C8702" t="str">
        <f t="shared" si="510"/>
        <v>386</v>
      </c>
      <c r="D8702" t="str">
        <f>"3"</f>
        <v>3</v>
      </c>
      <c r="E8702" t="str">
        <f>"1-386-3"</f>
        <v>1-386-3</v>
      </c>
      <c r="F8702" t="s">
        <v>83</v>
      </c>
      <c r="G8702" t="s">
        <v>84</v>
      </c>
      <c r="H8702" t="s">
        <v>92</v>
      </c>
      <c r="I8702">
        <v>1</v>
      </c>
      <c r="J8702">
        <v>1</v>
      </c>
      <c r="N8702">
        <v>1</v>
      </c>
      <c r="O8702">
        <v>1</v>
      </c>
      <c r="P8702">
        <v>1</v>
      </c>
      <c r="Q8702">
        <v>1</v>
      </c>
      <c r="R8702">
        <v>1</v>
      </c>
      <c r="S8702">
        <v>1</v>
      </c>
      <c r="T8702">
        <v>1</v>
      </c>
      <c r="W8702">
        <v>1</v>
      </c>
      <c r="X8702">
        <v>1</v>
      </c>
      <c r="Y8702">
        <v>1</v>
      </c>
      <c r="Z8702">
        <v>1</v>
      </c>
      <c r="AA8702">
        <v>1</v>
      </c>
      <c r="AB8702">
        <v>1</v>
      </c>
    </row>
    <row r="8703" spans="1:49" x14ac:dyDescent="0.25">
      <c r="A8703" t="str">
        <f>"8699"</f>
        <v>8699</v>
      </c>
      <c r="B8703" t="str">
        <f t="shared" si="508"/>
        <v>1</v>
      </c>
      <c r="C8703" t="str">
        <f t="shared" ref="C8703:C8725" si="511">"387"</f>
        <v>387</v>
      </c>
      <c r="D8703" t="str">
        <f>"23"</f>
        <v>23</v>
      </c>
      <c r="E8703" t="str">
        <f>"1-387-23"</f>
        <v>1-387-23</v>
      </c>
      <c r="F8703" t="s">
        <v>83</v>
      </c>
      <c r="G8703" t="s">
        <v>84</v>
      </c>
      <c r="H8703" t="s">
        <v>92</v>
      </c>
      <c r="I8703">
        <v>1</v>
      </c>
      <c r="J8703">
        <v>1</v>
      </c>
      <c r="N8703">
        <v>1</v>
      </c>
      <c r="O8703">
        <v>1</v>
      </c>
      <c r="P8703">
        <v>1</v>
      </c>
      <c r="Q8703">
        <v>1</v>
      </c>
      <c r="R8703">
        <v>1</v>
      </c>
      <c r="S8703">
        <v>1</v>
      </c>
      <c r="T8703">
        <v>1</v>
      </c>
      <c r="W8703">
        <v>1</v>
      </c>
      <c r="X8703">
        <v>1</v>
      </c>
      <c r="Y8703">
        <v>1</v>
      </c>
      <c r="Z8703">
        <v>1</v>
      </c>
      <c r="AA8703">
        <v>1</v>
      </c>
      <c r="AB8703">
        <v>1</v>
      </c>
    </row>
    <row r="8704" spans="1:49" x14ac:dyDescent="0.25">
      <c r="A8704" t="str">
        <f>"8700"</f>
        <v>8700</v>
      </c>
      <c r="B8704" t="str">
        <f t="shared" si="508"/>
        <v>1</v>
      </c>
      <c r="C8704" t="str">
        <f t="shared" si="511"/>
        <v>387</v>
      </c>
      <c r="D8704" t="str">
        <f>"22"</f>
        <v>22</v>
      </c>
      <c r="E8704" t="str">
        <f>"1-387-22"</f>
        <v>1-387-22</v>
      </c>
      <c r="F8704" t="s">
        <v>83</v>
      </c>
      <c r="G8704" t="s">
        <v>84</v>
      </c>
      <c r="H8704" t="s">
        <v>85</v>
      </c>
      <c r="AC8704">
        <v>1</v>
      </c>
      <c r="AD8704">
        <v>0</v>
      </c>
      <c r="AE8704">
        <v>0</v>
      </c>
      <c r="AF8704">
        <v>0</v>
      </c>
      <c r="AG8704">
        <v>0</v>
      </c>
      <c r="AJ8704">
        <v>0</v>
      </c>
      <c r="AK8704">
        <v>1</v>
      </c>
      <c r="AL8704">
        <v>1</v>
      </c>
      <c r="AM8704">
        <v>0</v>
      </c>
      <c r="AN8704">
        <v>0</v>
      </c>
      <c r="AO8704">
        <v>0</v>
      </c>
      <c r="AP8704">
        <v>0</v>
      </c>
      <c r="AQ8704">
        <v>0</v>
      </c>
      <c r="AR8704">
        <v>0</v>
      </c>
      <c r="AS8704">
        <v>0</v>
      </c>
      <c r="AT8704">
        <v>1</v>
      </c>
      <c r="AV8704">
        <v>0</v>
      </c>
      <c r="AW8704">
        <v>0</v>
      </c>
    </row>
    <row r="8705" spans="1:49" x14ac:dyDescent="0.25">
      <c r="A8705" t="str">
        <f>"8701"</f>
        <v>8701</v>
      </c>
      <c r="B8705" t="str">
        <f t="shared" si="508"/>
        <v>1</v>
      </c>
      <c r="C8705" t="str">
        <f t="shared" si="511"/>
        <v>387</v>
      </c>
      <c r="D8705" t="str">
        <f>"15"</f>
        <v>15</v>
      </c>
      <c r="E8705" t="str">
        <f>"1-387-15"</f>
        <v>1-387-15</v>
      </c>
      <c r="F8705" t="s">
        <v>83</v>
      </c>
      <c r="G8705" t="s">
        <v>88</v>
      </c>
      <c r="H8705" t="s">
        <v>89</v>
      </c>
      <c r="AC8705">
        <v>1</v>
      </c>
      <c r="AD8705">
        <v>0</v>
      </c>
      <c r="AE8705">
        <v>0</v>
      </c>
      <c r="AF8705">
        <v>0</v>
      </c>
      <c r="AH8705">
        <v>1</v>
      </c>
      <c r="AI8705">
        <v>0</v>
      </c>
      <c r="AJ8705">
        <v>1</v>
      </c>
      <c r="AK8705">
        <v>0</v>
      </c>
      <c r="AL8705">
        <v>1</v>
      </c>
      <c r="AM8705">
        <v>0</v>
      </c>
      <c r="AN8705">
        <v>0</v>
      </c>
      <c r="AO8705">
        <v>1</v>
      </c>
      <c r="AP8705">
        <v>1</v>
      </c>
      <c r="AQ8705">
        <v>1</v>
      </c>
      <c r="AR8705">
        <v>1</v>
      </c>
      <c r="AS8705">
        <v>1</v>
      </c>
      <c r="AT8705">
        <v>0</v>
      </c>
      <c r="AV8705">
        <v>1</v>
      </c>
      <c r="AW8705">
        <v>1</v>
      </c>
    </row>
    <row r="8706" spans="1:49" x14ac:dyDescent="0.25">
      <c r="A8706" t="str">
        <f>"8702"</f>
        <v>8702</v>
      </c>
      <c r="B8706" t="str">
        <f t="shared" si="508"/>
        <v>1</v>
      </c>
      <c r="C8706" t="str">
        <f t="shared" si="511"/>
        <v>387</v>
      </c>
      <c r="D8706" t="str">
        <f>"14"</f>
        <v>14</v>
      </c>
      <c r="E8706" t="str">
        <f>"1-387-14"</f>
        <v>1-387-14</v>
      </c>
      <c r="F8706" t="s">
        <v>83</v>
      </c>
      <c r="G8706" t="s">
        <v>84</v>
      </c>
      <c r="H8706" t="s">
        <v>85</v>
      </c>
      <c r="AC8706">
        <v>1</v>
      </c>
      <c r="AD8706">
        <v>0</v>
      </c>
      <c r="AE8706">
        <v>0</v>
      </c>
      <c r="AF8706">
        <v>0</v>
      </c>
      <c r="AG8706">
        <v>0</v>
      </c>
      <c r="AJ8706">
        <v>0</v>
      </c>
      <c r="AK8706">
        <v>1</v>
      </c>
      <c r="AL8706">
        <v>0</v>
      </c>
      <c r="AM8706">
        <v>1</v>
      </c>
      <c r="AN8706">
        <v>0</v>
      </c>
      <c r="AO8706">
        <v>1</v>
      </c>
      <c r="AP8706">
        <v>1</v>
      </c>
      <c r="AQ8706">
        <v>1</v>
      </c>
      <c r="AR8706">
        <v>1</v>
      </c>
      <c r="AS8706">
        <v>0</v>
      </c>
      <c r="AT8706">
        <v>1</v>
      </c>
      <c r="AV8706">
        <v>1</v>
      </c>
      <c r="AW8706">
        <v>1</v>
      </c>
    </row>
    <row r="8707" spans="1:49" x14ac:dyDescent="0.25">
      <c r="A8707" t="str">
        <f>"8703"</f>
        <v>8703</v>
      </c>
      <c r="B8707" t="str">
        <f t="shared" si="508"/>
        <v>1</v>
      </c>
      <c r="C8707" t="str">
        <f t="shared" si="511"/>
        <v>387</v>
      </c>
      <c r="D8707" t="str">
        <f>"13"</f>
        <v>13</v>
      </c>
      <c r="E8707" t="str">
        <f>"1-387-13"</f>
        <v>1-387-13</v>
      </c>
      <c r="F8707" t="s">
        <v>83</v>
      </c>
      <c r="G8707" t="s">
        <v>84</v>
      </c>
      <c r="H8707" t="s">
        <v>92</v>
      </c>
      <c r="I8707">
        <v>1</v>
      </c>
      <c r="J8707">
        <v>1</v>
      </c>
      <c r="N8707">
        <v>1</v>
      </c>
      <c r="O8707">
        <v>1</v>
      </c>
      <c r="P8707">
        <v>1</v>
      </c>
      <c r="Q8707">
        <v>1</v>
      </c>
      <c r="R8707">
        <v>1</v>
      </c>
      <c r="S8707">
        <v>1</v>
      </c>
      <c r="T8707">
        <v>1</v>
      </c>
      <c r="W8707">
        <v>1</v>
      </c>
      <c r="X8707">
        <v>1</v>
      </c>
      <c r="Y8707">
        <v>1</v>
      </c>
      <c r="Z8707">
        <v>1</v>
      </c>
      <c r="AA8707">
        <v>1</v>
      </c>
      <c r="AB8707">
        <v>1</v>
      </c>
    </row>
    <row r="8708" spans="1:49" x14ac:dyDescent="0.25">
      <c r="A8708" t="str">
        <f>"8704"</f>
        <v>8704</v>
      </c>
      <c r="B8708" t="str">
        <f t="shared" si="508"/>
        <v>1</v>
      </c>
      <c r="C8708" t="str">
        <f t="shared" si="511"/>
        <v>387</v>
      </c>
      <c r="D8708" t="str">
        <f>"8"</f>
        <v>8</v>
      </c>
      <c r="E8708" t="str">
        <f>"1-387-8"</f>
        <v>1-387-8</v>
      </c>
      <c r="F8708" t="s">
        <v>83</v>
      </c>
      <c r="G8708" t="s">
        <v>84</v>
      </c>
      <c r="H8708" t="s">
        <v>85</v>
      </c>
      <c r="AC8708">
        <v>1</v>
      </c>
      <c r="AD8708">
        <v>0</v>
      </c>
      <c r="AE8708">
        <v>0</v>
      </c>
      <c r="AF8708">
        <v>0</v>
      </c>
      <c r="AG8708">
        <v>1</v>
      </c>
      <c r="AJ8708">
        <v>0</v>
      </c>
      <c r="AK8708">
        <v>0</v>
      </c>
      <c r="AL8708">
        <v>0</v>
      </c>
      <c r="AM8708">
        <v>0</v>
      </c>
      <c r="AN8708">
        <v>0</v>
      </c>
      <c r="AO8708">
        <v>1</v>
      </c>
      <c r="AP8708">
        <v>1</v>
      </c>
      <c r="AQ8708">
        <v>1</v>
      </c>
      <c r="AR8708">
        <v>1</v>
      </c>
      <c r="AS8708">
        <v>0</v>
      </c>
      <c r="AT8708">
        <v>0</v>
      </c>
      <c r="AV8708">
        <v>1</v>
      </c>
      <c r="AW8708">
        <v>1</v>
      </c>
    </row>
    <row r="8709" spans="1:49" x14ac:dyDescent="0.25">
      <c r="A8709" t="str">
        <f>"8705"</f>
        <v>8705</v>
      </c>
      <c r="B8709" t="str">
        <f t="shared" si="508"/>
        <v>1</v>
      </c>
      <c r="C8709" t="str">
        <f t="shared" si="511"/>
        <v>387</v>
      </c>
      <c r="D8709" t="str">
        <f>"18"</f>
        <v>18</v>
      </c>
      <c r="E8709" t="str">
        <f>"1-387-18"</f>
        <v>1-387-18</v>
      </c>
      <c r="F8709" t="s">
        <v>83</v>
      </c>
      <c r="G8709" t="s">
        <v>84</v>
      </c>
      <c r="H8709" t="s">
        <v>92</v>
      </c>
      <c r="I8709">
        <v>1</v>
      </c>
      <c r="J8709">
        <v>1</v>
      </c>
      <c r="N8709">
        <v>1</v>
      </c>
      <c r="O8709">
        <v>1</v>
      </c>
      <c r="P8709">
        <v>1</v>
      </c>
      <c r="Q8709">
        <v>1</v>
      </c>
      <c r="R8709">
        <v>1</v>
      </c>
      <c r="S8709">
        <v>1</v>
      </c>
      <c r="T8709">
        <v>1</v>
      </c>
      <c r="W8709">
        <v>1</v>
      </c>
      <c r="X8709">
        <v>1</v>
      </c>
      <c r="Y8709">
        <v>1</v>
      </c>
      <c r="Z8709">
        <v>1</v>
      </c>
      <c r="AA8709">
        <v>1</v>
      </c>
      <c r="AB8709">
        <v>1</v>
      </c>
    </row>
    <row r="8710" spans="1:49" x14ac:dyDescent="0.25">
      <c r="A8710" t="str">
        <f>"8706"</f>
        <v>8706</v>
      </c>
      <c r="B8710" t="str">
        <f t="shared" si="508"/>
        <v>1</v>
      </c>
      <c r="C8710" t="str">
        <f t="shared" si="511"/>
        <v>387</v>
      </c>
      <c r="D8710" t="str">
        <f>"9"</f>
        <v>9</v>
      </c>
      <c r="E8710" t="str">
        <f>"1-387-9"</f>
        <v>1-387-9</v>
      </c>
      <c r="F8710" t="s">
        <v>83</v>
      </c>
      <c r="G8710" t="s">
        <v>84</v>
      </c>
      <c r="H8710" t="s">
        <v>92</v>
      </c>
      <c r="I8710">
        <v>1</v>
      </c>
      <c r="J8710">
        <v>1</v>
      </c>
      <c r="N8710">
        <v>1</v>
      </c>
      <c r="O8710">
        <v>1</v>
      </c>
      <c r="P8710">
        <v>1</v>
      </c>
      <c r="Q8710">
        <v>1</v>
      </c>
      <c r="R8710">
        <v>1</v>
      </c>
      <c r="S8710">
        <v>1</v>
      </c>
      <c r="T8710">
        <v>1</v>
      </c>
      <c r="W8710">
        <v>1</v>
      </c>
      <c r="X8710">
        <v>1</v>
      </c>
      <c r="Y8710">
        <v>1</v>
      </c>
      <c r="Z8710">
        <v>1</v>
      </c>
      <c r="AA8710">
        <v>1</v>
      </c>
      <c r="AB8710">
        <v>1</v>
      </c>
    </row>
    <row r="8711" spans="1:49" x14ac:dyDescent="0.25">
      <c r="A8711" t="str">
        <f>"8707"</f>
        <v>8707</v>
      </c>
      <c r="B8711" t="str">
        <f t="shared" si="508"/>
        <v>1</v>
      </c>
      <c r="C8711" t="str">
        <f t="shared" si="511"/>
        <v>387</v>
      </c>
      <c r="D8711" t="str">
        <f>"4"</f>
        <v>4</v>
      </c>
      <c r="E8711" t="str">
        <f>"1-387-4"</f>
        <v>1-387-4</v>
      </c>
      <c r="F8711" t="s">
        <v>83</v>
      </c>
      <c r="G8711" t="s">
        <v>86</v>
      </c>
      <c r="H8711" t="s">
        <v>87</v>
      </c>
      <c r="AC8711">
        <v>1</v>
      </c>
      <c r="AD8711">
        <v>0</v>
      </c>
      <c r="AE8711">
        <v>0</v>
      </c>
      <c r="AF8711">
        <v>0</v>
      </c>
      <c r="AH8711">
        <v>0</v>
      </c>
      <c r="AI8711">
        <v>1</v>
      </c>
      <c r="AJ8711">
        <v>1</v>
      </c>
      <c r="AK8711">
        <v>0</v>
      </c>
      <c r="AL8711">
        <v>0</v>
      </c>
      <c r="AM8711">
        <v>1</v>
      </c>
      <c r="AN8711">
        <v>0</v>
      </c>
      <c r="AO8711">
        <v>1</v>
      </c>
      <c r="AP8711">
        <v>1</v>
      </c>
      <c r="AQ8711">
        <v>1</v>
      </c>
      <c r="AU8711">
        <v>1</v>
      </c>
      <c r="AV8711">
        <v>1</v>
      </c>
      <c r="AW8711">
        <v>1</v>
      </c>
    </row>
    <row r="8712" spans="1:49" x14ac:dyDescent="0.25">
      <c r="A8712" t="str">
        <f>"8708"</f>
        <v>8708</v>
      </c>
      <c r="B8712" t="str">
        <f t="shared" si="508"/>
        <v>1</v>
      </c>
      <c r="C8712" t="str">
        <f t="shared" si="511"/>
        <v>387</v>
      </c>
      <c r="D8712" t="str">
        <f>"20"</f>
        <v>20</v>
      </c>
      <c r="E8712" t="str">
        <f>"1-387-20"</f>
        <v>1-387-20</v>
      </c>
      <c r="F8712" t="s">
        <v>83</v>
      </c>
      <c r="G8712" t="s">
        <v>84</v>
      </c>
      <c r="H8712" t="s">
        <v>85</v>
      </c>
      <c r="AC8712">
        <v>1</v>
      </c>
      <c r="AD8712">
        <v>0</v>
      </c>
      <c r="AE8712">
        <v>0</v>
      </c>
      <c r="AF8712">
        <v>0</v>
      </c>
      <c r="AG8712">
        <v>0</v>
      </c>
      <c r="AJ8712">
        <v>1</v>
      </c>
      <c r="AK8712">
        <v>0</v>
      </c>
      <c r="AL8712">
        <v>1</v>
      </c>
      <c r="AM8712">
        <v>0</v>
      </c>
      <c r="AN8712">
        <v>0</v>
      </c>
      <c r="AO8712">
        <v>0</v>
      </c>
      <c r="AP8712">
        <v>0</v>
      </c>
      <c r="AQ8712">
        <v>0</v>
      </c>
      <c r="AR8712">
        <v>0</v>
      </c>
      <c r="AS8712">
        <v>1</v>
      </c>
      <c r="AT8712">
        <v>0</v>
      </c>
      <c r="AV8712">
        <v>1</v>
      </c>
      <c r="AW8712">
        <v>0</v>
      </c>
    </row>
    <row r="8713" spans="1:49" x14ac:dyDescent="0.25">
      <c r="A8713" t="str">
        <f>"8709"</f>
        <v>8709</v>
      </c>
      <c r="B8713" t="str">
        <f t="shared" si="508"/>
        <v>1</v>
      </c>
      <c r="C8713" t="str">
        <f t="shared" si="511"/>
        <v>387</v>
      </c>
      <c r="D8713" t="str">
        <f>"10"</f>
        <v>10</v>
      </c>
      <c r="E8713" t="str">
        <f>"1-387-10"</f>
        <v>1-387-10</v>
      </c>
      <c r="F8713" t="s">
        <v>83</v>
      </c>
      <c r="G8713" t="s">
        <v>84</v>
      </c>
      <c r="H8713" t="s">
        <v>85</v>
      </c>
      <c r="AC8713">
        <v>1</v>
      </c>
      <c r="AD8713">
        <v>0</v>
      </c>
      <c r="AE8713">
        <v>0</v>
      </c>
      <c r="AF8713">
        <v>0</v>
      </c>
      <c r="AG8713">
        <v>1</v>
      </c>
      <c r="AJ8713">
        <v>1</v>
      </c>
      <c r="AK8713">
        <v>0</v>
      </c>
      <c r="AL8713">
        <v>0</v>
      </c>
      <c r="AM8713">
        <v>1</v>
      </c>
      <c r="AN8713">
        <v>0</v>
      </c>
      <c r="AO8713">
        <v>1</v>
      </c>
      <c r="AP8713">
        <v>1</v>
      </c>
      <c r="AQ8713">
        <v>1</v>
      </c>
      <c r="AR8713">
        <v>1</v>
      </c>
      <c r="AS8713">
        <v>0</v>
      </c>
      <c r="AT8713">
        <v>1</v>
      </c>
      <c r="AV8713">
        <v>0</v>
      </c>
      <c r="AW8713">
        <v>1</v>
      </c>
    </row>
    <row r="8714" spans="1:49" x14ac:dyDescent="0.25">
      <c r="A8714" t="str">
        <f>"8710"</f>
        <v>8710</v>
      </c>
      <c r="B8714" t="str">
        <f t="shared" si="508"/>
        <v>1</v>
      </c>
      <c r="C8714" t="str">
        <f t="shared" si="511"/>
        <v>387</v>
      </c>
      <c r="D8714" t="str">
        <f>"1"</f>
        <v>1</v>
      </c>
      <c r="E8714" t="str">
        <f>"1-387-1"</f>
        <v>1-387-1</v>
      </c>
      <c r="F8714" t="s">
        <v>83</v>
      </c>
      <c r="G8714" t="s">
        <v>84</v>
      </c>
      <c r="H8714" t="s">
        <v>92</v>
      </c>
      <c r="I8714">
        <v>1</v>
      </c>
      <c r="J8714">
        <v>1</v>
      </c>
      <c r="N8714">
        <v>1</v>
      </c>
      <c r="O8714">
        <v>1</v>
      </c>
      <c r="P8714">
        <v>0</v>
      </c>
      <c r="Q8714">
        <v>0</v>
      </c>
      <c r="R8714">
        <v>0</v>
      </c>
      <c r="S8714">
        <v>0</v>
      </c>
      <c r="T8714">
        <v>0</v>
      </c>
      <c r="W8714">
        <v>0</v>
      </c>
      <c r="X8714">
        <v>1</v>
      </c>
      <c r="Y8714">
        <v>0</v>
      </c>
      <c r="Z8714">
        <v>0</v>
      </c>
      <c r="AA8714">
        <v>0</v>
      </c>
      <c r="AB8714">
        <v>0</v>
      </c>
    </row>
    <row r="8715" spans="1:49" x14ac:dyDescent="0.25">
      <c r="A8715" t="str">
        <f>"8711"</f>
        <v>8711</v>
      </c>
      <c r="B8715" t="str">
        <f t="shared" si="508"/>
        <v>1</v>
      </c>
      <c r="C8715" t="str">
        <f t="shared" si="511"/>
        <v>387</v>
      </c>
      <c r="D8715" t="str">
        <f>"21"</f>
        <v>21</v>
      </c>
      <c r="E8715" t="str">
        <f>"1-387-21"</f>
        <v>1-387-21</v>
      </c>
      <c r="F8715" t="s">
        <v>83</v>
      </c>
      <c r="G8715" t="s">
        <v>84</v>
      </c>
      <c r="H8715" t="s">
        <v>85</v>
      </c>
      <c r="AC8715">
        <v>1</v>
      </c>
      <c r="AD8715">
        <v>0</v>
      </c>
      <c r="AE8715">
        <v>0</v>
      </c>
      <c r="AF8715">
        <v>0</v>
      </c>
      <c r="AG8715">
        <v>0</v>
      </c>
      <c r="AJ8715">
        <v>0</v>
      </c>
      <c r="AK8715">
        <v>1</v>
      </c>
      <c r="AL8715">
        <v>1</v>
      </c>
      <c r="AM8715">
        <v>0</v>
      </c>
      <c r="AN8715">
        <v>0</v>
      </c>
      <c r="AO8715">
        <v>1</v>
      </c>
      <c r="AP8715">
        <v>1</v>
      </c>
      <c r="AQ8715">
        <v>1</v>
      </c>
      <c r="AR8715">
        <v>1</v>
      </c>
      <c r="AS8715">
        <v>0</v>
      </c>
      <c r="AT8715">
        <v>1</v>
      </c>
      <c r="AV8715">
        <v>0</v>
      </c>
      <c r="AW8715">
        <v>1</v>
      </c>
    </row>
    <row r="8716" spans="1:49" x14ac:dyDescent="0.25">
      <c r="A8716" t="str">
        <f>"8712"</f>
        <v>8712</v>
      </c>
      <c r="B8716" t="str">
        <f t="shared" si="508"/>
        <v>1</v>
      </c>
      <c r="C8716" t="str">
        <f t="shared" si="511"/>
        <v>387</v>
      </c>
      <c r="D8716" t="str">
        <f>"11"</f>
        <v>11</v>
      </c>
      <c r="E8716" t="str">
        <f>"1-387-11"</f>
        <v>1-387-11</v>
      </c>
      <c r="F8716" t="s">
        <v>83</v>
      </c>
      <c r="G8716" t="s">
        <v>84</v>
      </c>
      <c r="H8716" t="s">
        <v>85</v>
      </c>
      <c r="AC8716">
        <v>1</v>
      </c>
      <c r="AD8716">
        <v>0</v>
      </c>
      <c r="AE8716">
        <v>0</v>
      </c>
      <c r="AF8716">
        <v>0</v>
      </c>
      <c r="AG8716">
        <v>1</v>
      </c>
      <c r="AJ8716">
        <v>1</v>
      </c>
      <c r="AK8716">
        <v>0</v>
      </c>
      <c r="AL8716">
        <v>1</v>
      </c>
      <c r="AM8716">
        <v>0</v>
      </c>
      <c r="AN8716">
        <v>0</v>
      </c>
      <c r="AO8716">
        <v>1</v>
      </c>
      <c r="AP8716">
        <v>1</v>
      </c>
      <c r="AQ8716">
        <v>1</v>
      </c>
      <c r="AR8716">
        <v>1</v>
      </c>
      <c r="AS8716">
        <v>1</v>
      </c>
      <c r="AT8716">
        <v>0</v>
      </c>
      <c r="AV8716">
        <v>1</v>
      </c>
      <c r="AW8716">
        <v>0</v>
      </c>
    </row>
    <row r="8717" spans="1:49" x14ac:dyDescent="0.25">
      <c r="A8717" t="str">
        <f>"8713"</f>
        <v>8713</v>
      </c>
      <c r="B8717" t="str">
        <f t="shared" si="508"/>
        <v>1</v>
      </c>
      <c r="C8717" t="str">
        <f t="shared" si="511"/>
        <v>387</v>
      </c>
      <c r="D8717" t="str">
        <f>"6"</f>
        <v>6</v>
      </c>
      <c r="E8717" t="str">
        <f>"1-387-6"</f>
        <v>1-387-6</v>
      </c>
      <c r="F8717" t="s">
        <v>83</v>
      </c>
      <c r="G8717" t="s">
        <v>84</v>
      </c>
      <c r="H8717" t="s">
        <v>85</v>
      </c>
      <c r="AC8717">
        <v>1</v>
      </c>
      <c r="AD8717">
        <v>0</v>
      </c>
      <c r="AE8717">
        <v>0</v>
      </c>
      <c r="AF8717">
        <v>0</v>
      </c>
      <c r="AG8717">
        <v>1</v>
      </c>
      <c r="AJ8717">
        <v>1</v>
      </c>
      <c r="AK8717">
        <v>0</v>
      </c>
      <c r="AL8717">
        <v>1</v>
      </c>
      <c r="AM8717">
        <v>0</v>
      </c>
      <c r="AN8717">
        <v>0</v>
      </c>
      <c r="AO8717">
        <v>1</v>
      </c>
      <c r="AP8717">
        <v>1</v>
      </c>
      <c r="AQ8717">
        <v>1</v>
      </c>
      <c r="AR8717">
        <v>1</v>
      </c>
      <c r="AS8717">
        <v>1</v>
      </c>
      <c r="AT8717">
        <v>0</v>
      </c>
      <c r="AV8717">
        <v>0</v>
      </c>
      <c r="AW8717">
        <v>1</v>
      </c>
    </row>
    <row r="8718" spans="1:49" x14ac:dyDescent="0.25">
      <c r="A8718" t="str">
        <f>"8714"</f>
        <v>8714</v>
      </c>
      <c r="B8718" t="str">
        <f t="shared" si="508"/>
        <v>1</v>
      </c>
      <c r="C8718" t="str">
        <f t="shared" si="511"/>
        <v>387</v>
      </c>
      <c r="D8718" t="str">
        <f>"19"</f>
        <v>19</v>
      </c>
      <c r="E8718" t="str">
        <f>"1-387-19"</f>
        <v>1-387-19</v>
      </c>
      <c r="F8718" t="s">
        <v>83</v>
      </c>
      <c r="G8718" t="s">
        <v>84</v>
      </c>
      <c r="H8718" t="s">
        <v>85</v>
      </c>
      <c r="AC8718">
        <v>0</v>
      </c>
      <c r="AD8718">
        <v>1</v>
      </c>
      <c r="AE8718">
        <v>0</v>
      </c>
      <c r="AF8718">
        <v>0</v>
      </c>
      <c r="AG8718">
        <v>1</v>
      </c>
      <c r="AJ8718">
        <v>0</v>
      </c>
      <c r="AK8718">
        <v>0</v>
      </c>
      <c r="AL8718">
        <v>0</v>
      </c>
      <c r="AM8718">
        <v>1</v>
      </c>
      <c r="AN8718">
        <v>0</v>
      </c>
      <c r="AO8718">
        <v>0</v>
      </c>
      <c r="AP8718">
        <v>0</v>
      </c>
      <c r="AQ8718">
        <v>0</v>
      </c>
      <c r="AR8718">
        <v>0</v>
      </c>
      <c r="AS8718">
        <v>1</v>
      </c>
      <c r="AT8718">
        <v>0</v>
      </c>
      <c r="AV8718">
        <v>0</v>
      </c>
      <c r="AW8718">
        <v>0</v>
      </c>
    </row>
    <row r="8719" spans="1:49" x14ac:dyDescent="0.25">
      <c r="A8719" t="str">
        <f>"8715"</f>
        <v>8715</v>
      </c>
      <c r="B8719" t="str">
        <f t="shared" si="508"/>
        <v>1</v>
      </c>
      <c r="C8719" t="str">
        <f t="shared" si="511"/>
        <v>387</v>
      </c>
      <c r="D8719" t="str">
        <f>"12"</f>
        <v>12</v>
      </c>
      <c r="E8719" t="str">
        <f>"1-387-12"</f>
        <v>1-387-12</v>
      </c>
      <c r="F8719" t="s">
        <v>83</v>
      </c>
      <c r="G8719" t="s">
        <v>84</v>
      </c>
      <c r="H8719" t="s">
        <v>85</v>
      </c>
      <c r="AC8719">
        <v>0</v>
      </c>
      <c r="AD8719">
        <v>1</v>
      </c>
      <c r="AE8719">
        <v>0</v>
      </c>
      <c r="AF8719">
        <v>0</v>
      </c>
      <c r="AG8719">
        <v>1</v>
      </c>
      <c r="AJ8719">
        <v>1</v>
      </c>
      <c r="AK8719">
        <v>0</v>
      </c>
      <c r="AL8719">
        <v>1</v>
      </c>
      <c r="AM8719">
        <v>0</v>
      </c>
      <c r="AN8719">
        <v>0</v>
      </c>
      <c r="AO8719">
        <v>1</v>
      </c>
      <c r="AP8719">
        <v>1</v>
      </c>
      <c r="AQ8719">
        <v>1</v>
      </c>
      <c r="AR8719">
        <v>1</v>
      </c>
      <c r="AS8719">
        <v>0</v>
      </c>
      <c r="AT8719">
        <v>1</v>
      </c>
      <c r="AV8719">
        <v>1</v>
      </c>
      <c r="AW8719">
        <v>1</v>
      </c>
    </row>
    <row r="8720" spans="1:49" x14ac:dyDescent="0.25">
      <c r="A8720" t="str">
        <f>"8716"</f>
        <v>8716</v>
      </c>
      <c r="B8720" t="str">
        <f t="shared" si="508"/>
        <v>1</v>
      </c>
      <c r="C8720" t="str">
        <f t="shared" si="511"/>
        <v>387</v>
      </c>
      <c r="D8720" t="str">
        <f>"7"</f>
        <v>7</v>
      </c>
      <c r="E8720" t="str">
        <f>"1-387-7"</f>
        <v>1-387-7</v>
      </c>
      <c r="F8720" t="s">
        <v>83</v>
      </c>
      <c r="G8720" t="s">
        <v>86</v>
      </c>
      <c r="H8720" t="s">
        <v>93</v>
      </c>
      <c r="I8720">
        <v>1</v>
      </c>
      <c r="K8720">
        <v>0</v>
      </c>
      <c r="L8720">
        <v>0</v>
      </c>
      <c r="M8720">
        <v>1</v>
      </c>
      <c r="N8720">
        <v>1</v>
      </c>
      <c r="O8720">
        <v>1</v>
      </c>
      <c r="P8720">
        <v>1</v>
      </c>
      <c r="Q8720">
        <v>0</v>
      </c>
      <c r="R8720">
        <v>0</v>
      </c>
      <c r="U8720">
        <v>0</v>
      </c>
      <c r="V8720">
        <v>0</v>
      </c>
      <c r="W8720">
        <v>0</v>
      </c>
      <c r="X8720">
        <v>0</v>
      </c>
      <c r="Y8720">
        <v>0</v>
      </c>
      <c r="Z8720">
        <v>0</v>
      </c>
      <c r="AA8720">
        <v>0</v>
      </c>
      <c r="AB8720">
        <v>0</v>
      </c>
    </row>
    <row r="8721" spans="1:49" x14ac:dyDescent="0.25">
      <c r="A8721" t="str">
        <f>"8717"</f>
        <v>8717</v>
      </c>
      <c r="B8721" t="str">
        <f t="shared" si="508"/>
        <v>1</v>
      </c>
      <c r="C8721" t="str">
        <f t="shared" si="511"/>
        <v>387</v>
      </c>
      <c r="D8721" t="str">
        <f>"16"</f>
        <v>16</v>
      </c>
      <c r="E8721" t="str">
        <f>"1-387-16"</f>
        <v>1-387-16</v>
      </c>
      <c r="F8721" t="s">
        <v>83</v>
      </c>
      <c r="G8721" t="s">
        <v>84</v>
      </c>
      <c r="H8721" t="s">
        <v>85</v>
      </c>
      <c r="AC8721">
        <v>1</v>
      </c>
      <c r="AD8721">
        <v>0</v>
      </c>
      <c r="AE8721">
        <v>0</v>
      </c>
      <c r="AF8721">
        <v>0</v>
      </c>
      <c r="AG8721">
        <v>1</v>
      </c>
      <c r="AJ8721">
        <v>0</v>
      </c>
      <c r="AK8721">
        <v>1</v>
      </c>
      <c r="AL8721">
        <v>1</v>
      </c>
      <c r="AM8721">
        <v>0</v>
      </c>
      <c r="AN8721">
        <v>0</v>
      </c>
      <c r="AO8721">
        <v>1</v>
      </c>
      <c r="AP8721">
        <v>1</v>
      </c>
      <c r="AQ8721">
        <v>1</v>
      </c>
      <c r="AR8721">
        <v>1</v>
      </c>
      <c r="AS8721">
        <v>1</v>
      </c>
      <c r="AT8721">
        <v>0</v>
      </c>
      <c r="AV8721">
        <v>1</v>
      </c>
      <c r="AW8721">
        <v>1</v>
      </c>
    </row>
    <row r="8722" spans="1:49" x14ac:dyDescent="0.25">
      <c r="A8722" t="str">
        <f>"8718"</f>
        <v>8718</v>
      </c>
      <c r="B8722" t="str">
        <f t="shared" si="508"/>
        <v>1</v>
      </c>
      <c r="C8722" t="str">
        <f t="shared" si="511"/>
        <v>387</v>
      </c>
      <c r="D8722" t="str">
        <f>"5"</f>
        <v>5</v>
      </c>
      <c r="E8722" t="str">
        <f>"1-387-5"</f>
        <v>1-387-5</v>
      </c>
      <c r="F8722" t="s">
        <v>83</v>
      </c>
      <c r="G8722" t="s">
        <v>86</v>
      </c>
      <c r="H8722" t="s">
        <v>93</v>
      </c>
      <c r="I8722">
        <v>1</v>
      </c>
      <c r="K8722">
        <v>0</v>
      </c>
      <c r="L8722">
        <v>0</v>
      </c>
      <c r="M8722">
        <v>1</v>
      </c>
      <c r="N8722">
        <v>1</v>
      </c>
      <c r="O8722">
        <v>1</v>
      </c>
      <c r="P8722">
        <v>1</v>
      </c>
      <c r="Q8722">
        <v>1</v>
      </c>
      <c r="R8722">
        <v>1</v>
      </c>
      <c r="U8722">
        <v>1</v>
      </c>
      <c r="V8722">
        <v>0</v>
      </c>
      <c r="W8722">
        <v>0</v>
      </c>
      <c r="X8722">
        <v>0</v>
      </c>
      <c r="Y8722">
        <v>1</v>
      </c>
      <c r="Z8722">
        <v>1</v>
      </c>
      <c r="AA8722">
        <v>1</v>
      </c>
      <c r="AB8722">
        <v>1</v>
      </c>
    </row>
    <row r="8723" spans="1:49" x14ac:dyDescent="0.25">
      <c r="A8723" t="str">
        <f>"8719"</f>
        <v>8719</v>
      </c>
      <c r="B8723" t="str">
        <f t="shared" si="508"/>
        <v>1</v>
      </c>
      <c r="C8723" t="str">
        <f t="shared" si="511"/>
        <v>387</v>
      </c>
      <c r="D8723" t="str">
        <f>"17"</f>
        <v>17</v>
      </c>
      <c r="E8723" t="str">
        <f>"1-387-17"</f>
        <v>1-387-17</v>
      </c>
      <c r="F8723" t="s">
        <v>83</v>
      </c>
      <c r="G8723" t="s">
        <v>84</v>
      </c>
      <c r="H8723" t="s">
        <v>85</v>
      </c>
      <c r="AC8723">
        <v>1</v>
      </c>
      <c r="AD8723">
        <v>0</v>
      </c>
      <c r="AE8723">
        <v>0</v>
      </c>
      <c r="AF8723">
        <v>0</v>
      </c>
      <c r="AG8723">
        <v>0</v>
      </c>
      <c r="AJ8723">
        <v>1</v>
      </c>
      <c r="AK8723">
        <v>0</v>
      </c>
      <c r="AL8723">
        <v>1</v>
      </c>
      <c r="AM8723">
        <v>0</v>
      </c>
      <c r="AN8723">
        <v>0</v>
      </c>
      <c r="AO8723">
        <v>0</v>
      </c>
      <c r="AP8723">
        <v>0</v>
      </c>
      <c r="AQ8723">
        <v>0</v>
      </c>
      <c r="AR8723">
        <v>0</v>
      </c>
      <c r="AS8723">
        <v>1</v>
      </c>
      <c r="AT8723">
        <v>0</v>
      </c>
      <c r="AV8723">
        <v>1</v>
      </c>
      <c r="AW8723">
        <v>0</v>
      </c>
    </row>
    <row r="8724" spans="1:49" x14ac:dyDescent="0.25">
      <c r="A8724" t="str">
        <f>"8720"</f>
        <v>8720</v>
      </c>
      <c r="B8724" t="str">
        <f t="shared" si="508"/>
        <v>1</v>
      </c>
      <c r="C8724" t="str">
        <f t="shared" si="511"/>
        <v>387</v>
      </c>
      <c r="D8724" t="str">
        <f>"3"</f>
        <v>3</v>
      </c>
      <c r="E8724" t="str">
        <f>"1-387-3"</f>
        <v>1-387-3</v>
      </c>
      <c r="F8724" t="s">
        <v>83</v>
      </c>
      <c r="G8724" t="s">
        <v>84</v>
      </c>
      <c r="H8724" t="s">
        <v>85</v>
      </c>
      <c r="AC8724">
        <v>1</v>
      </c>
      <c r="AD8724">
        <v>0</v>
      </c>
      <c r="AE8724">
        <v>0</v>
      </c>
      <c r="AF8724">
        <v>0</v>
      </c>
      <c r="AG8724">
        <v>0</v>
      </c>
      <c r="AJ8724">
        <v>1</v>
      </c>
      <c r="AK8724">
        <v>0</v>
      </c>
      <c r="AL8724">
        <v>1</v>
      </c>
      <c r="AM8724">
        <v>0</v>
      </c>
      <c r="AN8724">
        <v>0</v>
      </c>
      <c r="AO8724">
        <v>0</v>
      </c>
      <c r="AP8724">
        <v>0</v>
      </c>
      <c r="AQ8724">
        <v>0</v>
      </c>
      <c r="AR8724">
        <v>1</v>
      </c>
      <c r="AS8724">
        <v>1</v>
      </c>
      <c r="AT8724">
        <v>0</v>
      </c>
      <c r="AV8724">
        <v>1</v>
      </c>
      <c r="AW8724">
        <v>1</v>
      </c>
    </row>
    <row r="8725" spans="1:49" x14ac:dyDescent="0.25">
      <c r="A8725" t="str">
        <f>"8721"</f>
        <v>8721</v>
      </c>
      <c r="B8725" t="str">
        <f t="shared" si="508"/>
        <v>1</v>
      </c>
      <c r="C8725" t="str">
        <f t="shared" si="511"/>
        <v>387</v>
      </c>
      <c r="D8725" t="str">
        <f>"2"</f>
        <v>2</v>
      </c>
      <c r="E8725" t="str">
        <f>"1-387-2"</f>
        <v>1-387-2</v>
      </c>
      <c r="F8725" t="s">
        <v>83</v>
      </c>
      <c r="G8725" t="s">
        <v>84</v>
      </c>
      <c r="H8725" t="s">
        <v>92</v>
      </c>
      <c r="I8725">
        <v>1</v>
      </c>
      <c r="J8725">
        <v>0</v>
      </c>
      <c r="N8725">
        <v>1</v>
      </c>
      <c r="O8725">
        <v>1</v>
      </c>
      <c r="P8725">
        <v>1</v>
      </c>
      <c r="Q8725">
        <v>1</v>
      </c>
      <c r="R8725">
        <v>1</v>
      </c>
      <c r="S8725">
        <v>1</v>
      </c>
      <c r="T8725">
        <v>1</v>
      </c>
      <c r="W8725">
        <v>1</v>
      </c>
      <c r="X8725">
        <v>1</v>
      </c>
      <c r="Y8725">
        <v>1</v>
      </c>
      <c r="Z8725">
        <v>1</v>
      </c>
      <c r="AA8725">
        <v>1</v>
      </c>
      <c r="AB8725">
        <v>1</v>
      </c>
    </row>
    <row r="8726" spans="1:49" x14ac:dyDescent="0.25">
      <c r="A8726" t="str">
        <f>"8722"</f>
        <v>8722</v>
      </c>
      <c r="B8726" t="str">
        <f t="shared" si="508"/>
        <v>1</v>
      </c>
      <c r="C8726" t="str">
        <f t="shared" ref="C8726:C8746" si="512">"388"</f>
        <v>388</v>
      </c>
      <c r="D8726" t="str">
        <f>"15"</f>
        <v>15</v>
      </c>
      <c r="E8726" t="str">
        <f>"1-388-15"</f>
        <v>1-388-15</v>
      </c>
      <c r="F8726" t="s">
        <v>83</v>
      </c>
      <c r="G8726" t="s">
        <v>86</v>
      </c>
      <c r="H8726" t="s">
        <v>87</v>
      </c>
      <c r="AC8726">
        <v>0</v>
      </c>
      <c r="AD8726">
        <v>0</v>
      </c>
      <c r="AE8726">
        <v>0</v>
      </c>
      <c r="AF8726">
        <v>0</v>
      </c>
      <c r="AH8726">
        <v>0</v>
      </c>
      <c r="AI8726">
        <v>1</v>
      </c>
      <c r="AJ8726">
        <v>0</v>
      </c>
      <c r="AK8726">
        <v>0</v>
      </c>
      <c r="AL8726">
        <v>0</v>
      </c>
      <c r="AM8726">
        <v>0</v>
      </c>
      <c r="AN8726">
        <v>1</v>
      </c>
      <c r="AO8726">
        <v>0</v>
      </c>
      <c r="AP8726">
        <v>0</v>
      </c>
      <c r="AQ8726">
        <v>0</v>
      </c>
      <c r="AU8726">
        <v>0</v>
      </c>
      <c r="AV8726">
        <v>0</v>
      </c>
      <c r="AW8726">
        <v>0</v>
      </c>
    </row>
    <row r="8727" spans="1:49" x14ac:dyDescent="0.25">
      <c r="A8727" t="str">
        <f>"8723"</f>
        <v>8723</v>
      </c>
      <c r="B8727" t="str">
        <f t="shared" si="508"/>
        <v>1</v>
      </c>
      <c r="C8727" t="str">
        <f t="shared" si="512"/>
        <v>388</v>
      </c>
      <c r="D8727" t="str">
        <f>"14"</f>
        <v>14</v>
      </c>
      <c r="E8727" t="str">
        <f>"1-388-14"</f>
        <v>1-388-14</v>
      </c>
      <c r="F8727" t="s">
        <v>83</v>
      </c>
      <c r="G8727" t="s">
        <v>86</v>
      </c>
      <c r="H8727" t="s">
        <v>87</v>
      </c>
      <c r="AC8727">
        <v>1</v>
      </c>
      <c r="AD8727">
        <v>0</v>
      </c>
      <c r="AE8727">
        <v>0</v>
      </c>
      <c r="AF8727">
        <v>0</v>
      </c>
      <c r="AH8727">
        <v>1</v>
      </c>
      <c r="AI8727">
        <v>0</v>
      </c>
      <c r="AJ8727">
        <v>1</v>
      </c>
      <c r="AK8727">
        <v>0</v>
      </c>
      <c r="AL8727">
        <v>1</v>
      </c>
      <c r="AM8727">
        <v>0</v>
      </c>
      <c r="AN8727">
        <v>0</v>
      </c>
      <c r="AO8727">
        <v>1</v>
      </c>
      <c r="AP8727">
        <v>1</v>
      </c>
      <c r="AQ8727">
        <v>1</v>
      </c>
      <c r="AU8727">
        <v>1</v>
      </c>
      <c r="AV8727">
        <v>1</v>
      </c>
      <c r="AW8727">
        <v>1</v>
      </c>
    </row>
    <row r="8728" spans="1:49" x14ac:dyDescent="0.25">
      <c r="A8728" t="str">
        <f>"8724"</f>
        <v>8724</v>
      </c>
      <c r="B8728" t="str">
        <f t="shared" si="508"/>
        <v>1</v>
      </c>
      <c r="C8728" t="str">
        <f t="shared" si="512"/>
        <v>388</v>
      </c>
      <c r="D8728" t="str">
        <f>"13"</f>
        <v>13</v>
      </c>
      <c r="E8728" t="str">
        <f>"1-388-13"</f>
        <v>1-388-13</v>
      </c>
      <c r="F8728" t="s">
        <v>83</v>
      </c>
      <c r="G8728" t="s">
        <v>86</v>
      </c>
      <c r="H8728" t="s">
        <v>87</v>
      </c>
      <c r="AC8728">
        <v>1</v>
      </c>
      <c r="AD8728">
        <v>0</v>
      </c>
      <c r="AE8728">
        <v>0</v>
      </c>
      <c r="AF8728">
        <v>0</v>
      </c>
      <c r="AH8728">
        <v>1</v>
      </c>
      <c r="AI8728">
        <v>0</v>
      </c>
      <c r="AJ8728">
        <v>1</v>
      </c>
      <c r="AK8728">
        <v>0</v>
      </c>
      <c r="AL8728">
        <v>1</v>
      </c>
      <c r="AM8728">
        <v>0</v>
      </c>
      <c r="AN8728">
        <v>0</v>
      </c>
      <c r="AO8728">
        <v>1</v>
      </c>
      <c r="AP8728">
        <v>1</v>
      </c>
      <c r="AQ8728">
        <v>1</v>
      </c>
      <c r="AU8728">
        <v>1</v>
      </c>
      <c r="AV8728">
        <v>1</v>
      </c>
      <c r="AW8728">
        <v>1</v>
      </c>
    </row>
    <row r="8729" spans="1:49" x14ac:dyDescent="0.25">
      <c r="A8729" t="str">
        <f>"8725"</f>
        <v>8725</v>
      </c>
      <c r="B8729" t="str">
        <f t="shared" si="508"/>
        <v>1</v>
      </c>
      <c r="C8729" t="str">
        <f t="shared" si="512"/>
        <v>388</v>
      </c>
      <c r="D8729" t="str">
        <f>"8"</f>
        <v>8</v>
      </c>
      <c r="E8729" t="str">
        <f>"1-388-8"</f>
        <v>1-388-8</v>
      </c>
      <c r="F8729" t="s">
        <v>83</v>
      </c>
      <c r="G8729" t="s">
        <v>86</v>
      </c>
      <c r="H8729" t="s">
        <v>87</v>
      </c>
      <c r="AC8729">
        <v>1</v>
      </c>
      <c r="AD8729">
        <v>0</v>
      </c>
      <c r="AE8729">
        <v>0</v>
      </c>
      <c r="AF8729">
        <v>0</v>
      </c>
      <c r="AH8729">
        <v>1</v>
      </c>
      <c r="AI8729">
        <v>0</v>
      </c>
      <c r="AJ8729">
        <v>1</v>
      </c>
      <c r="AK8729">
        <v>0</v>
      </c>
      <c r="AL8729">
        <v>0</v>
      </c>
      <c r="AM8729">
        <v>0</v>
      </c>
      <c r="AN8729">
        <v>0</v>
      </c>
      <c r="AO8729">
        <v>0</v>
      </c>
      <c r="AP8729">
        <v>0</v>
      </c>
      <c r="AQ8729">
        <v>0</v>
      </c>
      <c r="AU8729">
        <v>0</v>
      </c>
      <c r="AV8729">
        <v>0</v>
      </c>
      <c r="AW8729">
        <v>0</v>
      </c>
    </row>
    <row r="8730" spans="1:49" x14ac:dyDescent="0.25">
      <c r="A8730" t="str">
        <f>"8726"</f>
        <v>8726</v>
      </c>
      <c r="B8730" t="str">
        <f t="shared" si="508"/>
        <v>1</v>
      </c>
      <c r="C8730" t="str">
        <f t="shared" si="512"/>
        <v>388</v>
      </c>
      <c r="D8730" t="str">
        <f>"1"</f>
        <v>1</v>
      </c>
      <c r="E8730" t="str">
        <f>"1-388-1"</f>
        <v>1-388-1</v>
      </c>
      <c r="F8730" t="s">
        <v>83</v>
      </c>
      <c r="G8730" t="s">
        <v>86</v>
      </c>
      <c r="H8730" t="s">
        <v>93</v>
      </c>
      <c r="I8730">
        <v>1</v>
      </c>
      <c r="K8730">
        <v>1</v>
      </c>
      <c r="L8730">
        <v>0</v>
      </c>
      <c r="M8730">
        <v>0</v>
      </c>
      <c r="N8730">
        <v>1</v>
      </c>
      <c r="O8730">
        <v>1</v>
      </c>
      <c r="P8730">
        <v>1</v>
      </c>
      <c r="Q8730">
        <v>1</v>
      </c>
      <c r="R8730">
        <v>1</v>
      </c>
      <c r="U8730">
        <v>0</v>
      </c>
      <c r="V8730">
        <v>1</v>
      </c>
      <c r="W8730">
        <v>1</v>
      </c>
      <c r="X8730">
        <v>1</v>
      </c>
      <c r="Y8730">
        <v>1</v>
      </c>
      <c r="Z8730">
        <v>1</v>
      </c>
      <c r="AA8730">
        <v>1</v>
      </c>
      <c r="AB8730">
        <v>1</v>
      </c>
    </row>
    <row r="8731" spans="1:49" x14ac:dyDescent="0.25">
      <c r="A8731" t="str">
        <f>"8727"</f>
        <v>8727</v>
      </c>
      <c r="B8731" t="str">
        <f t="shared" si="508"/>
        <v>1</v>
      </c>
      <c r="C8731" t="str">
        <f t="shared" si="512"/>
        <v>388</v>
      </c>
      <c r="D8731" t="str">
        <f>"19"</f>
        <v>19</v>
      </c>
      <c r="E8731" t="str">
        <f>"1-388-19"</f>
        <v>1-388-19</v>
      </c>
      <c r="F8731" t="s">
        <v>83</v>
      </c>
      <c r="G8731" t="s">
        <v>86</v>
      </c>
      <c r="H8731" t="s">
        <v>93</v>
      </c>
      <c r="I8731">
        <v>1</v>
      </c>
      <c r="K8731">
        <v>0</v>
      </c>
      <c r="L8731">
        <v>0</v>
      </c>
      <c r="M8731">
        <v>1</v>
      </c>
      <c r="N8731">
        <v>1</v>
      </c>
      <c r="O8731">
        <v>1</v>
      </c>
      <c r="P8731">
        <v>1</v>
      </c>
      <c r="Q8731">
        <v>1</v>
      </c>
      <c r="R8731">
        <v>1</v>
      </c>
      <c r="U8731">
        <v>1</v>
      </c>
      <c r="V8731">
        <v>0</v>
      </c>
      <c r="W8731">
        <v>1</v>
      </c>
      <c r="X8731">
        <v>1</v>
      </c>
      <c r="Y8731">
        <v>1</v>
      </c>
      <c r="Z8731">
        <v>1</v>
      </c>
      <c r="AA8731">
        <v>1</v>
      </c>
      <c r="AB8731">
        <v>1</v>
      </c>
    </row>
    <row r="8732" spans="1:49" x14ac:dyDescent="0.25">
      <c r="A8732" t="str">
        <f>"8728"</f>
        <v>8728</v>
      </c>
      <c r="B8732" t="str">
        <f t="shared" si="508"/>
        <v>1</v>
      </c>
      <c r="C8732" t="str">
        <f t="shared" si="512"/>
        <v>388</v>
      </c>
      <c r="D8732" t="str">
        <f>"9"</f>
        <v>9</v>
      </c>
      <c r="E8732" t="str">
        <f>"1-388-9"</f>
        <v>1-388-9</v>
      </c>
      <c r="F8732" t="s">
        <v>83</v>
      </c>
      <c r="G8732" t="s">
        <v>86</v>
      </c>
      <c r="H8732" t="s">
        <v>93</v>
      </c>
      <c r="I8732">
        <v>1</v>
      </c>
      <c r="K8732">
        <v>0</v>
      </c>
      <c r="L8732">
        <v>0</v>
      </c>
      <c r="M8732">
        <v>1</v>
      </c>
      <c r="N8732">
        <v>1</v>
      </c>
      <c r="O8732">
        <v>1</v>
      </c>
      <c r="P8732">
        <v>1</v>
      </c>
      <c r="Q8732">
        <v>1</v>
      </c>
      <c r="R8732">
        <v>1</v>
      </c>
      <c r="U8732">
        <v>1</v>
      </c>
      <c r="V8732">
        <v>0</v>
      </c>
      <c r="W8732">
        <v>1</v>
      </c>
      <c r="X8732">
        <v>1</v>
      </c>
      <c r="Y8732">
        <v>1</v>
      </c>
      <c r="Z8732">
        <v>1</v>
      </c>
      <c r="AA8732">
        <v>1</v>
      </c>
      <c r="AB8732">
        <v>1</v>
      </c>
    </row>
    <row r="8733" spans="1:49" x14ac:dyDescent="0.25">
      <c r="A8733" t="str">
        <f>"8729"</f>
        <v>8729</v>
      </c>
      <c r="B8733" t="str">
        <f t="shared" si="508"/>
        <v>1</v>
      </c>
      <c r="C8733" t="str">
        <f t="shared" si="512"/>
        <v>388</v>
      </c>
      <c r="D8733" t="str">
        <f>"4"</f>
        <v>4</v>
      </c>
      <c r="E8733" t="str">
        <f>"1-388-4"</f>
        <v>1-388-4</v>
      </c>
      <c r="F8733" t="s">
        <v>83</v>
      </c>
      <c r="G8733" t="s">
        <v>86</v>
      </c>
      <c r="H8733" t="s">
        <v>93</v>
      </c>
      <c r="I8733">
        <v>0</v>
      </c>
      <c r="K8733">
        <v>0</v>
      </c>
      <c r="L8733">
        <v>0</v>
      </c>
      <c r="M8733">
        <v>0</v>
      </c>
      <c r="N8733">
        <v>0</v>
      </c>
      <c r="O8733">
        <v>0</v>
      </c>
      <c r="P8733">
        <v>0</v>
      </c>
      <c r="Q8733">
        <v>0</v>
      </c>
      <c r="R8733">
        <v>0</v>
      </c>
      <c r="U8733">
        <v>0</v>
      </c>
      <c r="V8733">
        <v>1</v>
      </c>
      <c r="W8733">
        <v>0</v>
      </c>
      <c r="X8733">
        <v>0</v>
      </c>
      <c r="Y8733">
        <v>0</v>
      </c>
      <c r="Z8733">
        <v>0</v>
      </c>
      <c r="AA8733">
        <v>0</v>
      </c>
      <c r="AB8733">
        <v>0</v>
      </c>
    </row>
    <row r="8734" spans="1:49" x14ac:dyDescent="0.25">
      <c r="A8734" t="str">
        <f>"8730"</f>
        <v>8730</v>
      </c>
      <c r="B8734" t="str">
        <f t="shared" ref="B8734:B8797" si="513">"1"</f>
        <v>1</v>
      </c>
      <c r="C8734" t="str">
        <f t="shared" si="512"/>
        <v>388</v>
      </c>
      <c r="D8734" t="str">
        <f>"18"</f>
        <v>18</v>
      </c>
      <c r="E8734" t="str">
        <f>"1-388-18"</f>
        <v>1-388-18</v>
      </c>
      <c r="F8734" t="s">
        <v>83</v>
      </c>
      <c r="G8734" t="s">
        <v>86</v>
      </c>
      <c r="H8734" t="s">
        <v>93</v>
      </c>
      <c r="I8734">
        <v>0</v>
      </c>
      <c r="K8734">
        <v>1</v>
      </c>
      <c r="L8734">
        <v>0</v>
      </c>
      <c r="M8734">
        <v>0</v>
      </c>
      <c r="N8734">
        <v>0</v>
      </c>
      <c r="O8734">
        <v>0</v>
      </c>
      <c r="P8734">
        <v>0</v>
      </c>
      <c r="Q8734">
        <v>0</v>
      </c>
      <c r="R8734">
        <v>0</v>
      </c>
      <c r="U8734">
        <v>0</v>
      </c>
      <c r="V8734">
        <v>1</v>
      </c>
      <c r="W8734">
        <v>0</v>
      </c>
      <c r="X8734">
        <v>0</v>
      </c>
      <c r="Y8734">
        <v>0</v>
      </c>
      <c r="Z8734">
        <v>0</v>
      </c>
      <c r="AA8734">
        <v>0</v>
      </c>
      <c r="AB8734">
        <v>0</v>
      </c>
    </row>
    <row r="8735" spans="1:49" x14ac:dyDescent="0.25">
      <c r="A8735" t="str">
        <f>"8731"</f>
        <v>8731</v>
      </c>
      <c r="B8735" t="str">
        <f t="shared" si="513"/>
        <v>1</v>
      </c>
      <c r="C8735" t="str">
        <f t="shared" si="512"/>
        <v>388</v>
      </c>
      <c r="D8735" t="str">
        <f>"10"</f>
        <v>10</v>
      </c>
      <c r="E8735" t="str">
        <f>"1-388-10"</f>
        <v>1-388-10</v>
      </c>
      <c r="F8735" t="s">
        <v>83</v>
      </c>
      <c r="G8735" t="s">
        <v>86</v>
      </c>
      <c r="H8735" t="s">
        <v>87</v>
      </c>
      <c r="AC8735">
        <v>1</v>
      </c>
      <c r="AD8735">
        <v>0</v>
      </c>
      <c r="AE8735">
        <v>0</v>
      </c>
      <c r="AF8735">
        <v>0</v>
      </c>
      <c r="AH8735">
        <v>1</v>
      </c>
      <c r="AI8735">
        <v>0</v>
      </c>
      <c r="AJ8735">
        <v>1</v>
      </c>
      <c r="AK8735">
        <v>0</v>
      </c>
      <c r="AL8735">
        <v>1</v>
      </c>
      <c r="AM8735">
        <v>0</v>
      </c>
      <c r="AN8735">
        <v>0</v>
      </c>
      <c r="AO8735">
        <v>1</v>
      </c>
      <c r="AP8735">
        <v>1</v>
      </c>
      <c r="AQ8735">
        <v>1</v>
      </c>
      <c r="AU8735">
        <v>1</v>
      </c>
      <c r="AV8735">
        <v>1</v>
      </c>
      <c r="AW8735">
        <v>1</v>
      </c>
    </row>
    <row r="8736" spans="1:49" x14ac:dyDescent="0.25">
      <c r="A8736" t="str">
        <f>"8732"</f>
        <v>8732</v>
      </c>
      <c r="B8736" t="str">
        <f t="shared" si="513"/>
        <v>1</v>
      </c>
      <c r="C8736" t="str">
        <f t="shared" si="512"/>
        <v>388</v>
      </c>
      <c r="D8736" t="str">
        <f>"6"</f>
        <v>6</v>
      </c>
      <c r="E8736" t="str">
        <f>"1-388-6"</f>
        <v>1-388-6</v>
      </c>
      <c r="F8736" t="s">
        <v>83</v>
      </c>
      <c r="G8736" t="s">
        <v>86</v>
      </c>
      <c r="H8736" t="s">
        <v>93</v>
      </c>
      <c r="I8736">
        <v>1</v>
      </c>
      <c r="K8736">
        <v>0</v>
      </c>
      <c r="L8736">
        <v>0</v>
      </c>
      <c r="M8736">
        <v>1</v>
      </c>
      <c r="N8736">
        <v>1</v>
      </c>
      <c r="O8736">
        <v>1</v>
      </c>
      <c r="P8736">
        <v>1</v>
      </c>
      <c r="Q8736">
        <v>1</v>
      </c>
      <c r="R8736">
        <v>1</v>
      </c>
      <c r="U8736">
        <v>1</v>
      </c>
      <c r="V8736">
        <v>0</v>
      </c>
      <c r="W8736">
        <v>1</v>
      </c>
      <c r="X8736">
        <v>1</v>
      </c>
      <c r="Y8736">
        <v>1</v>
      </c>
      <c r="Z8736">
        <v>1</v>
      </c>
      <c r="AA8736">
        <v>1</v>
      </c>
      <c r="AB8736">
        <v>1</v>
      </c>
    </row>
    <row r="8737" spans="1:49" x14ac:dyDescent="0.25">
      <c r="A8737" t="str">
        <f>"8733"</f>
        <v>8733</v>
      </c>
      <c r="B8737" t="str">
        <f t="shared" si="513"/>
        <v>1</v>
      </c>
      <c r="C8737" t="str">
        <f t="shared" si="512"/>
        <v>388</v>
      </c>
      <c r="D8737" t="str">
        <f>"20"</f>
        <v>20</v>
      </c>
      <c r="E8737" t="str">
        <f>"1-388-20"</f>
        <v>1-388-20</v>
      </c>
      <c r="F8737" t="s">
        <v>83</v>
      </c>
      <c r="G8737" t="s">
        <v>86</v>
      </c>
      <c r="H8737" t="s">
        <v>87</v>
      </c>
      <c r="AC8737">
        <v>0</v>
      </c>
      <c r="AD8737">
        <v>0</v>
      </c>
      <c r="AE8737">
        <v>0</v>
      </c>
      <c r="AF8737">
        <v>0</v>
      </c>
      <c r="AH8737">
        <v>0</v>
      </c>
      <c r="AI8737">
        <v>1</v>
      </c>
      <c r="AJ8737">
        <v>1</v>
      </c>
      <c r="AK8737">
        <v>0</v>
      </c>
      <c r="AL8737">
        <v>0</v>
      </c>
      <c r="AM8737">
        <v>0</v>
      </c>
      <c r="AN8737">
        <v>1</v>
      </c>
      <c r="AO8737">
        <v>0</v>
      </c>
      <c r="AP8737">
        <v>0</v>
      </c>
      <c r="AQ8737">
        <v>0</v>
      </c>
      <c r="AU8737">
        <v>0</v>
      </c>
      <c r="AV8737">
        <v>0</v>
      </c>
      <c r="AW8737">
        <v>0</v>
      </c>
    </row>
    <row r="8738" spans="1:49" x14ac:dyDescent="0.25">
      <c r="A8738" t="str">
        <f>"8734"</f>
        <v>8734</v>
      </c>
      <c r="B8738" t="str">
        <f t="shared" si="513"/>
        <v>1</v>
      </c>
      <c r="C8738" t="str">
        <f t="shared" si="512"/>
        <v>388</v>
      </c>
      <c r="D8738" t="str">
        <f>"11"</f>
        <v>11</v>
      </c>
      <c r="E8738" t="str">
        <f>"1-388-11"</f>
        <v>1-388-11</v>
      </c>
      <c r="F8738" t="s">
        <v>83</v>
      </c>
      <c r="G8738" t="s">
        <v>86</v>
      </c>
      <c r="H8738" t="s">
        <v>93</v>
      </c>
      <c r="I8738">
        <v>1</v>
      </c>
      <c r="K8738">
        <v>0</v>
      </c>
      <c r="L8738">
        <v>0</v>
      </c>
      <c r="M8738">
        <v>1</v>
      </c>
      <c r="N8738">
        <v>1</v>
      </c>
      <c r="O8738">
        <v>1</v>
      </c>
      <c r="P8738">
        <v>1</v>
      </c>
      <c r="Q8738">
        <v>1</v>
      </c>
      <c r="R8738">
        <v>0</v>
      </c>
      <c r="U8738">
        <v>0</v>
      </c>
      <c r="V8738">
        <v>1</v>
      </c>
      <c r="W8738">
        <v>1</v>
      </c>
      <c r="X8738">
        <v>1</v>
      </c>
      <c r="Y8738">
        <v>1</v>
      </c>
      <c r="Z8738">
        <v>1</v>
      </c>
      <c r="AA8738">
        <v>1</v>
      </c>
      <c r="AB8738">
        <v>1</v>
      </c>
    </row>
    <row r="8739" spans="1:49" x14ac:dyDescent="0.25">
      <c r="A8739" t="str">
        <f>"8735"</f>
        <v>8735</v>
      </c>
      <c r="B8739" t="str">
        <f t="shared" si="513"/>
        <v>1</v>
      </c>
      <c r="C8739" t="str">
        <f t="shared" si="512"/>
        <v>388</v>
      </c>
      <c r="D8739" t="str">
        <f>"3"</f>
        <v>3</v>
      </c>
      <c r="E8739" t="str">
        <f>"1-388-3"</f>
        <v>1-388-3</v>
      </c>
      <c r="F8739" t="s">
        <v>83</v>
      </c>
      <c r="G8739" t="s">
        <v>86</v>
      </c>
      <c r="H8739" t="s">
        <v>87</v>
      </c>
      <c r="AC8739">
        <v>1</v>
      </c>
      <c r="AD8739">
        <v>0</v>
      </c>
      <c r="AE8739">
        <v>0</v>
      </c>
      <c r="AF8739">
        <v>0</v>
      </c>
      <c r="AH8739">
        <v>0</v>
      </c>
      <c r="AI8739">
        <v>1</v>
      </c>
      <c r="AJ8739">
        <v>0</v>
      </c>
      <c r="AK8739">
        <v>1</v>
      </c>
      <c r="AL8739">
        <v>0</v>
      </c>
      <c r="AM8739">
        <v>0</v>
      </c>
      <c r="AN8739">
        <v>1</v>
      </c>
      <c r="AO8739">
        <v>0</v>
      </c>
      <c r="AP8739">
        <v>0</v>
      </c>
      <c r="AQ8739">
        <v>0</v>
      </c>
      <c r="AU8739">
        <v>0</v>
      </c>
      <c r="AV8739">
        <v>0</v>
      </c>
      <c r="AW8739">
        <v>0</v>
      </c>
    </row>
    <row r="8740" spans="1:49" x14ac:dyDescent="0.25">
      <c r="A8740" t="str">
        <f>"8736"</f>
        <v>8736</v>
      </c>
      <c r="B8740" t="str">
        <f t="shared" si="513"/>
        <v>1</v>
      </c>
      <c r="C8740" t="str">
        <f t="shared" si="512"/>
        <v>388</v>
      </c>
      <c r="D8740" t="str">
        <f>"21"</f>
        <v>21</v>
      </c>
      <c r="E8740" t="str">
        <f>"1-388-21"</f>
        <v>1-388-21</v>
      </c>
      <c r="F8740" t="s">
        <v>83</v>
      </c>
      <c r="G8740" t="s">
        <v>86</v>
      </c>
      <c r="H8740" t="s">
        <v>93</v>
      </c>
      <c r="I8740">
        <v>1</v>
      </c>
      <c r="K8740">
        <v>0</v>
      </c>
      <c r="L8740">
        <v>1</v>
      </c>
      <c r="M8740">
        <v>0</v>
      </c>
      <c r="N8740">
        <v>1</v>
      </c>
      <c r="O8740">
        <v>1</v>
      </c>
      <c r="P8740">
        <v>1</v>
      </c>
      <c r="Q8740">
        <v>1</v>
      </c>
      <c r="R8740">
        <v>1</v>
      </c>
      <c r="U8740">
        <v>1</v>
      </c>
      <c r="V8740">
        <v>0</v>
      </c>
      <c r="W8740">
        <v>1</v>
      </c>
      <c r="X8740">
        <v>1</v>
      </c>
      <c r="Y8740">
        <v>1</v>
      </c>
      <c r="Z8740">
        <v>1</v>
      </c>
      <c r="AA8740">
        <v>1</v>
      </c>
      <c r="AB8740">
        <v>1</v>
      </c>
    </row>
    <row r="8741" spans="1:49" x14ac:dyDescent="0.25">
      <c r="A8741" t="str">
        <f>"8737"</f>
        <v>8737</v>
      </c>
      <c r="B8741" t="str">
        <f t="shared" si="513"/>
        <v>1</v>
      </c>
      <c r="C8741" t="str">
        <f t="shared" si="512"/>
        <v>388</v>
      </c>
      <c r="D8741" t="str">
        <f>"12"</f>
        <v>12</v>
      </c>
      <c r="E8741" t="str">
        <f>"1-388-12"</f>
        <v>1-388-12</v>
      </c>
      <c r="F8741" t="s">
        <v>83</v>
      </c>
      <c r="G8741" t="s">
        <v>86</v>
      </c>
      <c r="H8741" t="s">
        <v>93</v>
      </c>
      <c r="I8741">
        <v>1</v>
      </c>
      <c r="K8741">
        <v>0</v>
      </c>
      <c r="L8741">
        <v>0</v>
      </c>
      <c r="M8741">
        <v>1</v>
      </c>
      <c r="N8741">
        <v>1</v>
      </c>
      <c r="O8741">
        <v>1</v>
      </c>
      <c r="P8741">
        <v>1</v>
      </c>
      <c r="Q8741">
        <v>1</v>
      </c>
      <c r="R8741">
        <v>0</v>
      </c>
      <c r="U8741">
        <v>0</v>
      </c>
      <c r="V8741">
        <v>1</v>
      </c>
      <c r="W8741">
        <v>1</v>
      </c>
      <c r="X8741">
        <v>1</v>
      </c>
      <c r="Y8741">
        <v>1</v>
      </c>
      <c r="Z8741">
        <v>1</v>
      </c>
      <c r="AA8741">
        <v>1</v>
      </c>
      <c r="AB8741">
        <v>1</v>
      </c>
    </row>
    <row r="8742" spans="1:49" x14ac:dyDescent="0.25">
      <c r="A8742" t="str">
        <f>"8738"</f>
        <v>8738</v>
      </c>
      <c r="B8742" t="str">
        <f t="shared" si="513"/>
        <v>1</v>
      </c>
      <c r="C8742" t="str">
        <f t="shared" si="512"/>
        <v>388</v>
      </c>
      <c r="D8742" t="str">
        <f>"7"</f>
        <v>7</v>
      </c>
      <c r="E8742" t="str">
        <f>"1-388-7"</f>
        <v>1-388-7</v>
      </c>
      <c r="F8742" t="s">
        <v>83</v>
      </c>
      <c r="G8742" t="s">
        <v>86</v>
      </c>
      <c r="H8742" t="s">
        <v>93</v>
      </c>
      <c r="I8742">
        <v>1</v>
      </c>
      <c r="K8742">
        <v>0</v>
      </c>
      <c r="L8742">
        <v>0</v>
      </c>
      <c r="M8742">
        <v>1</v>
      </c>
      <c r="N8742">
        <v>1</v>
      </c>
      <c r="O8742">
        <v>1</v>
      </c>
      <c r="P8742">
        <v>1</v>
      </c>
      <c r="Q8742">
        <v>1</v>
      </c>
      <c r="R8742">
        <v>1</v>
      </c>
      <c r="U8742">
        <v>0</v>
      </c>
      <c r="V8742">
        <v>1</v>
      </c>
      <c r="W8742">
        <v>1</v>
      </c>
      <c r="X8742">
        <v>1</v>
      </c>
      <c r="Y8742">
        <v>1</v>
      </c>
      <c r="Z8742">
        <v>1</v>
      </c>
      <c r="AA8742">
        <v>1</v>
      </c>
      <c r="AB8742">
        <v>1</v>
      </c>
    </row>
    <row r="8743" spans="1:49" x14ac:dyDescent="0.25">
      <c r="A8743" t="str">
        <f>"8739"</f>
        <v>8739</v>
      </c>
      <c r="B8743" t="str">
        <f t="shared" si="513"/>
        <v>1</v>
      </c>
      <c r="C8743" t="str">
        <f t="shared" si="512"/>
        <v>388</v>
      </c>
      <c r="D8743" t="str">
        <f>"16"</f>
        <v>16</v>
      </c>
      <c r="E8743" t="str">
        <f>"1-388-16"</f>
        <v>1-388-16</v>
      </c>
      <c r="F8743" t="s">
        <v>83</v>
      </c>
      <c r="G8743" t="s">
        <v>86</v>
      </c>
      <c r="H8743" t="s">
        <v>93</v>
      </c>
      <c r="I8743">
        <v>1</v>
      </c>
      <c r="K8743">
        <v>1</v>
      </c>
      <c r="L8743">
        <v>0</v>
      </c>
      <c r="M8743">
        <v>0</v>
      </c>
      <c r="N8743">
        <v>1</v>
      </c>
      <c r="O8743">
        <v>1</v>
      </c>
      <c r="P8743">
        <v>1</v>
      </c>
      <c r="Q8743">
        <v>1</v>
      </c>
      <c r="R8743">
        <v>1</v>
      </c>
      <c r="U8743">
        <v>0</v>
      </c>
      <c r="V8743">
        <v>1</v>
      </c>
      <c r="W8743">
        <v>1</v>
      </c>
      <c r="X8743">
        <v>1</v>
      </c>
      <c r="Y8743">
        <v>1</v>
      </c>
      <c r="Z8743">
        <v>1</v>
      </c>
      <c r="AA8743">
        <v>1</v>
      </c>
      <c r="AB8743">
        <v>1</v>
      </c>
    </row>
    <row r="8744" spans="1:49" x14ac:dyDescent="0.25">
      <c r="A8744" t="str">
        <f>"8740"</f>
        <v>8740</v>
      </c>
      <c r="B8744" t="str">
        <f t="shared" si="513"/>
        <v>1</v>
      </c>
      <c r="C8744" t="str">
        <f t="shared" si="512"/>
        <v>388</v>
      </c>
      <c r="D8744" t="str">
        <f>"5"</f>
        <v>5</v>
      </c>
      <c r="E8744" t="str">
        <f>"1-388-5"</f>
        <v>1-388-5</v>
      </c>
      <c r="F8744" t="s">
        <v>83</v>
      </c>
      <c r="G8744" t="s">
        <v>86</v>
      </c>
      <c r="H8744" t="s">
        <v>93</v>
      </c>
      <c r="I8744">
        <v>1</v>
      </c>
      <c r="K8744">
        <v>1</v>
      </c>
      <c r="L8744">
        <v>0</v>
      </c>
      <c r="M8744">
        <v>0</v>
      </c>
      <c r="N8744">
        <v>1</v>
      </c>
      <c r="O8744">
        <v>1</v>
      </c>
      <c r="P8744">
        <v>1</v>
      </c>
      <c r="Q8744">
        <v>1</v>
      </c>
      <c r="R8744">
        <v>1</v>
      </c>
      <c r="U8744">
        <v>0</v>
      </c>
      <c r="V8744">
        <v>1</v>
      </c>
      <c r="W8744">
        <v>1</v>
      </c>
      <c r="X8744">
        <v>1</v>
      </c>
      <c r="Y8744">
        <v>1</v>
      </c>
      <c r="Z8744">
        <v>1</v>
      </c>
      <c r="AA8744">
        <v>1</v>
      </c>
      <c r="AB8744">
        <v>1</v>
      </c>
    </row>
    <row r="8745" spans="1:49" x14ac:dyDescent="0.25">
      <c r="A8745" t="str">
        <f>"8741"</f>
        <v>8741</v>
      </c>
      <c r="B8745" t="str">
        <f t="shared" si="513"/>
        <v>1</v>
      </c>
      <c r="C8745" t="str">
        <f t="shared" si="512"/>
        <v>388</v>
      </c>
      <c r="D8745" t="str">
        <f>"2"</f>
        <v>2</v>
      </c>
      <c r="E8745" t="str">
        <f>"1-388-2"</f>
        <v>1-388-2</v>
      </c>
      <c r="F8745" t="s">
        <v>83</v>
      </c>
      <c r="G8745" t="s">
        <v>86</v>
      </c>
      <c r="H8745" t="s">
        <v>93</v>
      </c>
      <c r="I8745">
        <v>0</v>
      </c>
      <c r="K8745">
        <v>0</v>
      </c>
      <c r="L8745">
        <v>0</v>
      </c>
      <c r="M8745">
        <v>1</v>
      </c>
      <c r="N8745">
        <v>0</v>
      </c>
      <c r="O8745">
        <v>0</v>
      </c>
      <c r="P8745">
        <v>0</v>
      </c>
      <c r="Q8745">
        <v>0</v>
      </c>
      <c r="R8745">
        <v>0</v>
      </c>
      <c r="U8745">
        <v>0</v>
      </c>
      <c r="V8745">
        <v>1</v>
      </c>
      <c r="W8745">
        <v>0</v>
      </c>
      <c r="X8745">
        <v>0</v>
      </c>
      <c r="Y8745">
        <v>0</v>
      </c>
      <c r="Z8745">
        <v>0</v>
      </c>
      <c r="AA8745">
        <v>0</v>
      </c>
      <c r="AB8745">
        <v>0</v>
      </c>
    </row>
    <row r="8746" spans="1:49" x14ac:dyDescent="0.25">
      <c r="A8746" t="str">
        <f>"8742"</f>
        <v>8742</v>
      </c>
      <c r="B8746" t="str">
        <f t="shared" si="513"/>
        <v>1</v>
      </c>
      <c r="C8746" t="str">
        <f t="shared" si="512"/>
        <v>388</v>
      </c>
      <c r="D8746" t="str">
        <f>"17"</f>
        <v>17</v>
      </c>
      <c r="E8746" t="str">
        <f>"1-388-17"</f>
        <v>1-388-17</v>
      </c>
      <c r="F8746" t="s">
        <v>83</v>
      </c>
      <c r="G8746" t="s">
        <v>86</v>
      </c>
      <c r="H8746" t="s">
        <v>87</v>
      </c>
      <c r="AC8746">
        <v>0</v>
      </c>
      <c r="AD8746">
        <v>0</v>
      </c>
      <c r="AE8746">
        <v>0</v>
      </c>
      <c r="AF8746">
        <v>0</v>
      </c>
      <c r="AH8746">
        <v>0</v>
      </c>
      <c r="AI8746">
        <v>1</v>
      </c>
      <c r="AJ8746">
        <v>0</v>
      </c>
      <c r="AK8746">
        <v>0</v>
      </c>
      <c r="AL8746">
        <v>0</v>
      </c>
      <c r="AM8746">
        <v>0</v>
      </c>
      <c r="AN8746">
        <v>0</v>
      </c>
      <c r="AO8746">
        <v>0</v>
      </c>
      <c r="AP8746">
        <v>0</v>
      </c>
      <c r="AQ8746">
        <v>0</v>
      </c>
      <c r="AU8746">
        <v>0</v>
      </c>
      <c r="AV8746">
        <v>0</v>
      </c>
      <c r="AW8746">
        <v>0</v>
      </c>
    </row>
    <row r="8747" spans="1:49" x14ac:dyDescent="0.25">
      <c r="A8747" t="str">
        <f>"8743"</f>
        <v>8743</v>
      </c>
      <c r="B8747" t="str">
        <f t="shared" si="513"/>
        <v>1</v>
      </c>
      <c r="C8747" t="str">
        <f t="shared" ref="C8747:C8764" si="514">"389"</f>
        <v>389</v>
      </c>
      <c r="D8747" t="str">
        <f>"15"</f>
        <v>15</v>
      </c>
      <c r="E8747" t="str">
        <f>"1-389-15"</f>
        <v>1-389-15</v>
      </c>
      <c r="F8747" t="s">
        <v>83</v>
      </c>
      <c r="G8747" t="s">
        <v>84</v>
      </c>
      <c r="H8747" t="s">
        <v>85</v>
      </c>
      <c r="AC8747">
        <v>1</v>
      </c>
      <c r="AD8747">
        <v>0</v>
      </c>
      <c r="AE8747">
        <v>0</v>
      </c>
      <c r="AF8747">
        <v>0</v>
      </c>
      <c r="AG8747">
        <v>0</v>
      </c>
      <c r="AJ8747">
        <v>1</v>
      </c>
      <c r="AK8747">
        <v>0</v>
      </c>
      <c r="AL8747">
        <v>1</v>
      </c>
      <c r="AM8747">
        <v>0</v>
      </c>
      <c r="AN8747">
        <v>0</v>
      </c>
      <c r="AO8747">
        <v>0</v>
      </c>
      <c r="AP8747">
        <v>0</v>
      </c>
      <c r="AQ8747">
        <v>0</v>
      </c>
      <c r="AR8747">
        <v>0</v>
      </c>
      <c r="AS8747">
        <v>1</v>
      </c>
      <c r="AT8747">
        <v>0</v>
      </c>
      <c r="AV8747">
        <v>0</v>
      </c>
      <c r="AW8747">
        <v>0</v>
      </c>
    </row>
    <row r="8748" spans="1:49" x14ac:dyDescent="0.25">
      <c r="A8748" t="str">
        <f>"8744"</f>
        <v>8744</v>
      </c>
      <c r="B8748" t="str">
        <f t="shared" si="513"/>
        <v>1</v>
      </c>
      <c r="C8748" t="str">
        <f t="shared" si="514"/>
        <v>389</v>
      </c>
      <c r="D8748" t="str">
        <f>"14"</f>
        <v>14</v>
      </c>
      <c r="E8748" t="str">
        <f>"1-389-14"</f>
        <v>1-389-14</v>
      </c>
      <c r="F8748" t="s">
        <v>83</v>
      </c>
      <c r="G8748" t="s">
        <v>84</v>
      </c>
      <c r="H8748" t="s">
        <v>85</v>
      </c>
      <c r="AC8748">
        <v>0</v>
      </c>
      <c r="AD8748">
        <v>1</v>
      </c>
      <c r="AE8748">
        <v>0</v>
      </c>
      <c r="AF8748">
        <v>0</v>
      </c>
      <c r="AG8748">
        <v>0</v>
      </c>
      <c r="AJ8748">
        <v>0</v>
      </c>
      <c r="AK8748">
        <v>1</v>
      </c>
      <c r="AL8748">
        <v>1</v>
      </c>
      <c r="AM8748">
        <v>0</v>
      </c>
      <c r="AN8748">
        <v>0</v>
      </c>
      <c r="AO8748">
        <v>0</v>
      </c>
      <c r="AP8748">
        <v>0</v>
      </c>
      <c r="AQ8748">
        <v>0</v>
      </c>
      <c r="AR8748">
        <v>0</v>
      </c>
      <c r="AS8748">
        <v>0</v>
      </c>
      <c r="AT8748">
        <v>1</v>
      </c>
      <c r="AV8748">
        <v>0</v>
      </c>
      <c r="AW8748">
        <v>0</v>
      </c>
    </row>
    <row r="8749" spans="1:49" x14ac:dyDescent="0.25">
      <c r="A8749" t="str">
        <f>"8745"</f>
        <v>8745</v>
      </c>
      <c r="B8749" t="str">
        <f t="shared" si="513"/>
        <v>1</v>
      </c>
      <c r="C8749" t="str">
        <f t="shared" si="514"/>
        <v>389</v>
      </c>
      <c r="D8749" t="str">
        <f>"10"</f>
        <v>10</v>
      </c>
      <c r="E8749" t="str">
        <f>"1-389-10"</f>
        <v>1-389-10</v>
      </c>
      <c r="F8749" t="s">
        <v>83</v>
      </c>
      <c r="G8749" t="s">
        <v>84</v>
      </c>
      <c r="H8749" t="s">
        <v>85</v>
      </c>
      <c r="AC8749">
        <v>0</v>
      </c>
      <c r="AD8749">
        <v>0</v>
      </c>
      <c r="AE8749">
        <v>0</v>
      </c>
      <c r="AF8749">
        <v>0</v>
      </c>
      <c r="AG8749">
        <v>0</v>
      </c>
      <c r="AJ8749">
        <v>1</v>
      </c>
      <c r="AK8749">
        <v>0</v>
      </c>
      <c r="AL8749">
        <v>0</v>
      </c>
      <c r="AM8749">
        <v>0</v>
      </c>
      <c r="AN8749">
        <v>1</v>
      </c>
      <c r="AO8749">
        <v>0</v>
      </c>
      <c r="AP8749">
        <v>0</v>
      </c>
      <c r="AQ8749">
        <v>0</v>
      </c>
      <c r="AR8749">
        <v>0</v>
      </c>
      <c r="AS8749">
        <v>1</v>
      </c>
      <c r="AT8749">
        <v>0</v>
      </c>
      <c r="AV8749">
        <v>0</v>
      </c>
      <c r="AW8749">
        <v>0</v>
      </c>
    </row>
    <row r="8750" spans="1:49" x14ac:dyDescent="0.25">
      <c r="A8750" t="str">
        <f>"8746"</f>
        <v>8746</v>
      </c>
      <c r="B8750" t="str">
        <f t="shared" si="513"/>
        <v>1</v>
      </c>
      <c r="C8750" t="str">
        <f t="shared" si="514"/>
        <v>389</v>
      </c>
      <c r="D8750" t="str">
        <f>"8"</f>
        <v>8</v>
      </c>
      <c r="E8750" t="str">
        <f>"1-389-8"</f>
        <v>1-389-8</v>
      </c>
      <c r="F8750" t="s">
        <v>83</v>
      </c>
      <c r="G8750" t="s">
        <v>84</v>
      </c>
      <c r="H8750" t="s">
        <v>92</v>
      </c>
      <c r="I8750">
        <v>1</v>
      </c>
      <c r="J8750">
        <v>1</v>
      </c>
      <c r="N8750">
        <v>1</v>
      </c>
      <c r="O8750">
        <v>1</v>
      </c>
      <c r="P8750">
        <v>1</v>
      </c>
      <c r="Q8750">
        <v>1</v>
      </c>
      <c r="R8750">
        <v>1</v>
      </c>
      <c r="S8750">
        <v>1</v>
      </c>
      <c r="T8750">
        <v>1</v>
      </c>
      <c r="W8750">
        <v>1</v>
      </c>
      <c r="X8750">
        <v>1</v>
      </c>
      <c r="Y8750">
        <v>1</v>
      </c>
      <c r="Z8750">
        <v>1</v>
      </c>
      <c r="AA8750">
        <v>1</v>
      </c>
      <c r="AB8750">
        <v>1</v>
      </c>
    </row>
    <row r="8751" spans="1:49" x14ac:dyDescent="0.25">
      <c r="A8751" t="str">
        <f>"8747"</f>
        <v>8747</v>
      </c>
      <c r="B8751" t="str">
        <f t="shared" si="513"/>
        <v>1</v>
      </c>
      <c r="C8751" t="str">
        <f t="shared" si="514"/>
        <v>389</v>
      </c>
      <c r="D8751" t="str">
        <f>"18"</f>
        <v>18</v>
      </c>
      <c r="E8751" t="str">
        <f>"1-389-18"</f>
        <v>1-389-18</v>
      </c>
      <c r="F8751" t="s">
        <v>83</v>
      </c>
      <c r="G8751" t="s">
        <v>84</v>
      </c>
      <c r="H8751" t="s">
        <v>85</v>
      </c>
      <c r="AC8751">
        <v>1</v>
      </c>
      <c r="AD8751">
        <v>0</v>
      </c>
      <c r="AE8751">
        <v>0</v>
      </c>
      <c r="AF8751">
        <v>0</v>
      </c>
      <c r="AG8751">
        <v>1</v>
      </c>
      <c r="AJ8751">
        <v>1</v>
      </c>
      <c r="AK8751">
        <v>0</v>
      </c>
      <c r="AL8751">
        <v>1</v>
      </c>
      <c r="AM8751">
        <v>0</v>
      </c>
      <c r="AN8751">
        <v>0</v>
      </c>
      <c r="AO8751">
        <v>0</v>
      </c>
      <c r="AP8751">
        <v>0</v>
      </c>
      <c r="AQ8751">
        <v>0</v>
      </c>
      <c r="AR8751">
        <v>0</v>
      </c>
      <c r="AS8751">
        <v>1</v>
      </c>
      <c r="AT8751">
        <v>0</v>
      </c>
      <c r="AV8751">
        <v>1</v>
      </c>
      <c r="AW8751">
        <v>0</v>
      </c>
    </row>
    <row r="8752" spans="1:49" x14ac:dyDescent="0.25">
      <c r="A8752" t="str">
        <f>"8748"</f>
        <v>8748</v>
      </c>
      <c r="B8752" t="str">
        <f t="shared" si="513"/>
        <v>1</v>
      </c>
      <c r="C8752" t="str">
        <f t="shared" si="514"/>
        <v>389</v>
      </c>
      <c r="D8752" t="str">
        <f>"9"</f>
        <v>9</v>
      </c>
      <c r="E8752" t="str">
        <f>"1-389-9"</f>
        <v>1-389-9</v>
      </c>
      <c r="F8752" t="s">
        <v>83</v>
      </c>
      <c r="G8752" t="s">
        <v>86</v>
      </c>
      <c r="H8752" t="s">
        <v>93</v>
      </c>
      <c r="I8752">
        <v>1</v>
      </c>
      <c r="K8752">
        <v>1</v>
      </c>
      <c r="L8752">
        <v>0</v>
      </c>
      <c r="M8752">
        <v>0</v>
      </c>
      <c r="N8752">
        <v>1</v>
      </c>
      <c r="O8752">
        <v>0</v>
      </c>
      <c r="P8752">
        <v>1</v>
      </c>
      <c r="Q8752">
        <v>0</v>
      </c>
      <c r="R8752">
        <v>0</v>
      </c>
      <c r="U8752">
        <v>0</v>
      </c>
      <c r="V8752">
        <v>1</v>
      </c>
      <c r="W8752">
        <v>0</v>
      </c>
      <c r="X8752">
        <v>1</v>
      </c>
      <c r="Y8752">
        <v>0</v>
      </c>
      <c r="Z8752">
        <v>1</v>
      </c>
      <c r="AA8752">
        <v>1</v>
      </c>
      <c r="AB8752">
        <v>1</v>
      </c>
    </row>
    <row r="8753" spans="1:49" x14ac:dyDescent="0.25">
      <c r="A8753" t="str">
        <f>"8749"</f>
        <v>8749</v>
      </c>
      <c r="B8753" t="str">
        <f t="shared" si="513"/>
        <v>1</v>
      </c>
      <c r="C8753" t="str">
        <f t="shared" si="514"/>
        <v>389</v>
      </c>
      <c r="D8753" t="str">
        <f>"3"</f>
        <v>3</v>
      </c>
      <c r="E8753" t="str">
        <f>"1-389-3"</f>
        <v>1-389-3</v>
      </c>
      <c r="F8753" t="s">
        <v>83</v>
      </c>
      <c r="G8753" t="s">
        <v>84</v>
      </c>
      <c r="H8753" t="s">
        <v>85</v>
      </c>
      <c r="AC8753">
        <v>0</v>
      </c>
      <c r="AD8753">
        <v>1</v>
      </c>
      <c r="AE8753">
        <v>0</v>
      </c>
      <c r="AF8753">
        <v>0</v>
      </c>
      <c r="AG8753">
        <v>1</v>
      </c>
      <c r="AJ8753">
        <v>0</v>
      </c>
      <c r="AK8753">
        <v>1</v>
      </c>
      <c r="AL8753">
        <v>0</v>
      </c>
      <c r="AM8753">
        <v>1</v>
      </c>
      <c r="AN8753">
        <v>0</v>
      </c>
      <c r="AO8753">
        <v>1</v>
      </c>
      <c r="AP8753">
        <v>1</v>
      </c>
      <c r="AQ8753">
        <v>1</v>
      </c>
      <c r="AR8753">
        <v>1</v>
      </c>
      <c r="AS8753">
        <v>0</v>
      </c>
      <c r="AT8753">
        <v>1</v>
      </c>
      <c r="AV8753">
        <v>0</v>
      </c>
      <c r="AW8753">
        <v>1</v>
      </c>
    </row>
    <row r="8754" spans="1:49" x14ac:dyDescent="0.25">
      <c r="A8754" t="str">
        <f>"8750"</f>
        <v>8750</v>
      </c>
      <c r="B8754" t="str">
        <f t="shared" si="513"/>
        <v>1</v>
      </c>
      <c r="C8754" t="str">
        <f t="shared" si="514"/>
        <v>389</v>
      </c>
      <c r="D8754" t="str">
        <f>"11"</f>
        <v>11</v>
      </c>
      <c r="E8754" t="str">
        <f>"1-389-11"</f>
        <v>1-389-11</v>
      </c>
      <c r="F8754" t="s">
        <v>83</v>
      </c>
      <c r="G8754" t="s">
        <v>84</v>
      </c>
      <c r="H8754" t="s">
        <v>85</v>
      </c>
      <c r="AC8754">
        <v>0</v>
      </c>
      <c r="AD8754">
        <v>1</v>
      </c>
      <c r="AE8754">
        <v>0</v>
      </c>
      <c r="AF8754">
        <v>0</v>
      </c>
      <c r="AG8754">
        <v>1</v>
      </c>
      <c r="AJ8754">
        <v>1</v>
      </c>
      <c r="AK8754">
        <v>0</v>
      </c>
      <c r="AL8754">
        <v>0</v>
      </c>
      <c r="AM8754">
        <v>1</v>
      </c>
      <c r="AN8754">
        <v>0</v>
      </c>
      <c r="AO8754">
        <v>1</v>
      </c>
      <c r="AP8754">
        <v>1</v>
      </c>
      <c r="AQ8754">
        <v>1</v>
      </c>
      <c r="AR8754">
        <v>1</v>
      </c>
      <c r="AS8754">
        <v>1</v>
      </c>
      <c r="AT8754">
        <v>0</v>
      </c>
      <c r="AV8754">
        <v>1</v>
      </c>
      <c r="AW8754">
        <v>1</v>
      </c>
    </row>
    <row r="8755" spans="1:49" x14ac:dyDescent="0.25">
      <c r="A8755" t="str">
        <f>"8751"</f>
        <v>8751</v>
      </c>
      <c r="B8755" t="str">
        <f t="shared" si="513"/>
        <v>1</v>
      </c>
      <c r="C8755" t="str">
        <f t="shared" si="514"/>
        <v>389</v>
      </c>
      <c r="D8755" t="str">
        <f>"4"</f>
        <v>4</v>
      </c>
      <c r="E8755" t="str">
        <f>"1-389-4"</f>
        <v>1-389-4</v>
      </c>
      <c r="F8755" t="s">
        <v>83</v>
      </c>
      <c r="G8755" t="s">
        <v>84</v>
      </c>
      <c r="H8755" t="s">
        <v>85</v>
      </c>
      <c r="AC8755">
        <v>1</v>
      </c>
      <c r="AD8755">
        <v>0</v>
      </c>
      <c r="AE8755">
        <v>0</v>
      </c>
      <c r="AF8755">
        <v>0</v>
      </c>
      <c r="AG8755">
        <v>1</v>
      </c>
      <c r="AJ8755">
        <v>0</v>
      </c>
      <c r="AK8755">
        <v>1</v>
      </c>
      <c r="AL8755">
        <v>1</v>
      </c>
      <c r="AM8755">
        <v>0</v>
      </c>
      <c r="AN8755">
        <v>0</v>
      </c>
      <c r="AO8755">
        <v>1</v>
      </c>
      <c r="AP8755">
        <v>1</v>
      </c>
      <c r="AQ8755">
        <v>1</v>
      </c>
      <c r="AR8755">
        <v>1</v>
      </c>
      <c r="AS8755">
        <v>0</v>
      </c>
      <c r="AT8755">
        <v>1</v>
      </c>
      <c r="AV8755">
        <v>1</v>
      </c>
      <c r="AW8755">
        <v>1</v>
      </c>
    </row>
    <row r="8756" spans="1:49" x14ac:dyDescent="0.25">
      <c r="A8756" t="str">
        <f>"8752"</f>
        <v>8752</v>
      </c>
      <c r="B8756" t="str">
        <f t="shared" si="513"/>
        <v>1</v>
      </c>
      <c r="C8756" t="str">
        <f t="shared" si="514"/>
        <v>389</v>
      </c>
      <c r="D8756" t="str">
        <f>"12"</f>
        <v>12</v>
      </c>
      <c r="E8756" t="str">
        <f>"1-389-12"</f>
        <v>1-389-12</v>
      </c>
      <c r="F8756" t="s">
        <v>83</v>
      </c>
      <c r="G8756" t="s">
        <v>84</v>
      </c>
      <c r="H8756" t="s">
        <v>85</v>
      </c>
      <c r="AC8756">
        <v>0</v>
      </c>
      <c r="AD8756">
        <v>1</v>
      </c>
      <c r="AE8756">
        <v>0</v>
      </c>
      <c r="AF8756">
        <v>0</v>
      </c>
      <c r="AG8756">
        <v>1</v>
      </c>
      <c r="AJ8756">
        <v>0</v>
      </c>
      <c r="AK8756">
        <v>0</v>
      </c>
      <c r="AL8756">
        <v>0</v>
      </c>
      <c r="AM8756">
        <v>0</v>
      </c>
      <c r="AN8756">
        <v>1</v>
      </c>
      <c r="AO8756">
        <v>1</v>
      </c>
      <c r="AP8756">
        <v>1</v>
      </c>
      <c r="AQ8756">
        <v>1</v>
      </c>
      <c r="AR8756">
        <v>1</v>
      </c>
      <c r="AS8756">
        <v>0</v>
      </c>
      <c r="AT8756">
        <v>1</v>
      </c>
      <c r="AV8756">
        <v>1</v>
      </c>
      <c r="AW8756">
        <v>1</v>
      </c>
    </row>
    <row r="8757" spans="1:49" x14ac:dyDescent="0.25">
      <c r="A8757" t="str">
        <f>"8753"</f>
        <v>8753</v>
      </c>
      <c r="B8757" t="str">
        <f t="shared" si="513"/>
        <v>1</v>
      </c>
      <c r="C8757" t="str">
        <f t="shared" si="514"/>
        <v>389</v>
      </c>
      <c r="D8757" t="str">
        <f>"7"</f>
        <v>7</v>
      </c>
      <c r="E8757" t="str">
        <f>"1-389-7"</f>
        <v>1-389-7</v>
      </c>
      <c r="F8757" t="s">
        <v>83</v>
      </c>
      <c r="G8757" t="s">
        <v>84</v>
      </c>
      <c r="H8757" t="s">
        <v>85</v>
      </c>
      <c r="AC8757">
        <v>0</v>
      </c>
      <c r="AD8757">
        <v>0</v>
      </c>
      <c r="AE8757">
        <v>0</v>
      </c>
      <c r="AF8757">
        <v>0</v>
      </c>
      <c r="AG8757">
        <v>0</v>
      </c>
      <c r="AJ8757">
        <v>0</v>
      </c>
      <c r="AK8757">
        <v>1</v>
      </c>
      <c r="AL8757">
        <v>0</v>
      </c>
      <c r="AM8757">
        <v>0</v>
      </c>
      <c r="AN8757">
        <v>0</v>
      </c>
      <c r="AO8757">
        <v>0</v>
      </c>
      <c r="AP8757">
        <v>0</v>
      </c>
      <c r="AQ8757">
        <v>0</v>
      </c>
      <c r="AR8757">
        <v>0</v>
      </c>
      <c r="AS8757">
        <v>1</v>
      </c>
      <c r="AT8757">
        <v>0</v>
      </c>
      <c r="AV8757">
        <v>0</v>
      </c>
      <c r="AW8757">
        <v>0</v>
      </c>
    </row>
    <row r="8758" spans="1:49" x14ac:dyDescent="0.25">
      <c r="A8758" t="str">
        <f>"8754"</f>
        <v>8754</v>
      </c>
      <c r="B8758" t="str">
        <f t="shared" si="513"/>
        <v>1</v>
      </c>
      <c r="C8758" t="str">
        <f t="shared" si="514"/>
        <v>389</v>
      </c>
      <c r="D8758" t="str">
        <f>"13"</f>
        <v>13</v>
      </c>
      <c r="E8758" t="str">
        <f>"1-389-13"</f>
        <v>1-389-13</v>
      </c>
      <c r="F8758" t="s">
        <v>83</v>
      </c>
      <c r="G8758" t="s">
        <v>84</v>
      </c>
      <c r="H8758" t="s">
        <v>85</v>
      </c>
      <c r="AC8758">
        <v>1</v>
      </c>
      <c r="AD8758">
        <v>0</v>
      </c>
      <c r="AE8758">
        <v>0</v>
      </c>
      <c r="AF8758">
        <v>0</v>
      </c>
      <c r="AG8758">
        <v>0</v>
      </c>
      <c r="AJ8758">
        <v>1</v>
      </c>
      <c r="AK8758">
        <v>0</v>
      </c>
      <c r="AL8758">
        <v>1</v>
      </c>
      <c r="AM8758">
        <v>0</v>
      </c>
      <c r="AN8758">
        <v>0</v>
      </c>
      <c r="AO8758">
        <v>1</v>
      </c>
      <c r="AP8758">
        <v>1</v>
      </c>
      <c r="AQ8758">
        <v>1</v>
      </c>
      <c r="AR8758">
        <v>1</v>
      </c>
      <c r="AS8758">
        <v>1</v>
      </c>
      <c r="AT8758">
        <v>0</v>
      </c>
      <c r="AV8758">
        <v>1</v>
      </c>
      <c r="AW8758">
        <v>1</v>
      </c>
    </row>
    <row r="8759" spans="1:49" x14ac:dyDescent="0.25">
      <c r="A8759" t="str">
        <f>"8755"</f>
        <v>8755</v>
      </c>
      <c r="B8759" t="str">
        <f t="shared" si="513"/>
        <v>1</v>
      </c>
      <c r="C8759" t="str">
        <f t="shared" si="514"/>
        <v>389</v>
      </c>
      <c r="D8759" t="str">
        <f>"1"</f>
        <v>1</v>
      </c>
      <c r="E8759" t="str">
        <f>"1-389-1"</f>
        <v>1-389-1</v>
      </c>
      <c r="F8759" t="s">
        <v>83</v>
      </c>
      <c r="G8759" t="s">
        <v>84</v>
      </c>
      <c r="H8759" t="s">
        <v>85</v>
      </c>
      <c r="AC8759">
        <v>1</v>
      </c>
      <c r="AD8759">
        <v>0</v>
      </c>
      <c r="AE8759">
        <v>0</v>
      </c>
      <c r="AF8759">
        <v>0</v>
      </c>
      <c r="AG8759">
        <v>1</v>
      </c>
      <c r="AJ8759">
        <v>1</v>
      </c>
      <c r="AK8759">
        <v>0</v>
      </c>
      <c r="AL8759">
        <v>1</v>
      </c>
      <c r="AM8759">
        <v>0</v>
      </c>
      <c r="AN8759">
        <v>0</v>
      </c>
      <c r="AO8759">
        <v>0</v>
      </c>
      <c r="AP8759">
        <v>1</v>
      </c>
      <c r="AQ8759">
        <v>1</v>
      </c>
      <c r="AR8759">
        <v>1</v>
      </c>
      <c r="AS8759">
        <v>0</v>
      </c>
      <c r="AT8759">
        <v>1</v>
      </c>
      <c r="AV8759">
        <v>1</v>
      </c>
      <c r="AW8759">
        <v>1</v>
      </c>
    </row>
    <row r="8760" spans="1:49" x14ac:dyDescent="0.25">
      <c r="A8760" t="str">
        <f>"8756"</f>
        <v>8756</v>
      </c>
      <c r="B8760" t="str">
        <f t="shared" si="513"/>
        <v>1</v>
      </c>
      <c r="C8760" t="str">
        <f t="shared" si="514"/>
        <v>389</v>
      </c>
      <c r="D8760" t="str">
        <f>"16"</f>
        <v>16</v>
      </c>
      <c r="E8760" t="str">
        <f>"1-389-16"</f>
        <v>1-389-16</v>
      </c>
      <c r="F8760" t="s">
        <v>83</v>
      </c>
      <c r="G8760" t="s">
        <v>84</v>
      </c>
      <c r="H8760" t="s">
        <v>85</v>
      </c>
      <c r="AC8760">
        <v>1</v>
      </c>
      <c r="AD8760">
        <v>0</v>
      </c>
      <c r="AE8760">
        <v>0</v>
      </c>
      <c r="AF8760">
        <v>0</v>
      </c>
      <c r="AG8760">
        <v>0</v>
      </c>
      <c r="AJ8760">
        <v>0</v>
      </c>
      <c r="AK8760">
        <v>1</v>
      </c>
      <c r="AL8760">
        <v>1</v>
      </c>
      <c r="AM8760">
        <v>0</v>
      </c>
      <c r="AN8760">
        <v>0</v>
      </c>
      <c r="AO8760">
        <v>0</v>
      </c>
      <c r="AP8760">
        <v>1</v>
      </c>
      <c r="AQ8760">
        <v>0</v>
      </c>
      <c r="AR8760">
        <v>1</v>
      </c>
      <c r="AS8760">
        <v>1</v>
      </c>
      <c r="AT8760">
        <v>0</v>
      </c>
      <c r="AV8760">
        <v>1</v>
      </c>
      <c r="AW8760">
        <v>1</v>
      </c>
    </row>
    <row r="8761" spans="1:49" x14ac:dyDescent="0.25">
      <c r="A8761" t="str">
        <f>"8757"</f>
        <v>8757</v>
      </c>
      <c r="B8761" t="str">
        <f t="shared" si="513"/>
        <v>1</v>
      </c>
      <c r="C8761" t="str">
        <f t="shared" si="514"/>
        <v>389</v>
      </c>
      <c r="D8761" t="str">
        <f>"17"</f>
        <v>17</v>
      </c>
      <c r="E8761" t="str">
        <f>"1-389-17"</f>
        <v>1-389-17</v>
      </c>
      <c r="F8761" t="s">
        <v>83</v>
      </c>
      <c r="G8761" t="s">
        <v>84</v>
      </c>
      <c r="H8761" t="s">
        <v>92</v>
      </c>
      <c r="I8761">
        <v>0</v>
      </c>
      <c r="J8761">
        <v>1</v>
      </c>
      <c r="N8761">
        <v>1</v>
      </c>
      <c r="O8761">
        <v>1</v>
      </c>
      <c r="P8761">
        <v>1</v>
      </c>
      <c r="Q8761">
        <v>1</v>
      </c>
      <c r="R8761">
        <v>1</v>
      </c>
      <c r="S8761">
        <v>1</v>
      </c>
      <c r="T8761">
        <v>1</v>
      </c>
      <c r="W8761">
        <v>1</v>
      </c>
      <c r="X8761">
        <v>1</v>
      </c>
      <c r="Y8761">
        <v>1</v>
      </c>
      <c r="Z8761">
        <v>1</v>
      </c>
      <c r="AA8761">
        <v>1</v>
      </c>
      <c r="AB8761">
        <v>1</v>
      </c>
    </row>
    <row r="8762" spans="1:49" x14ac:dyDescent="0.25">
      <c r="A8762" t="str">
        <f>"8758"</f>
        <v>8758</v>
      </c>
      <c r="B8762" t="str">
        <f t="shared" si="513"/>
        <v>1</v>
      </c>
      <c r="C8762" t="str">
        <f t="shared" si="514"/>
        <v>389</v>
      </c>
      <c r="D8762" t="str">
        <f>"5"</f>
        <v>5</v>
      </c>
      <c r="E8762" t="str">
        <f>"1-389-5"</f>
        <v>1-389-5</v>
      </c>
      <c r="F8762" t="s">
        <v>83</v>
      </c>
      <c r="G8762" t="s">
        <v>84</v>
      </c>
      <c r="H8762" t="s">
        <v>85</v>
      </c>
      <c r="AC8762">
        <v>0</v>
      </c>
      <c r="AD8762">
        <v>1</v>
      </c>
      <c r="AE8762">
        <v>0</v>
      </c>
      <c r="AF8762">
        <v>0</v>
      </c>
      <c r="AG8762">
        <v>1</v>
      </c>
      <c r="AJ8762">
        <v>1</v>
      </c>
      <c r="AK8762">
        <v>0</v>
      </c>
      <c r="AL8762">
        <v>0</v>
      </c>
      <c r="AM8762">
        <v>1</v>
      </c>
      <c r="AN8762">
        <v>0</v>
      </c>
      <c r="AO8762">
        <v>1</v>
      </c>
      <c r="AP8762">
        <v>1</v>
      </c>
      <c r="AQ8762">
        <v>1</v>
      </c>
      <c r="AR8762">
        <v>1</v>
      </c>
      <c r="AS8762">
        <v>0</v>
      </c>
      <c r="AT8762">
        <v>1</v>
      </c>
      <c r="AV8762">
        <v>1</v>
      </c>
      <c r="AW8762">
        <v>1</v>
      </c>
    </row>
    <row r="8763" spans="1:49" x14ac:dyDescent="0.25">
      <c r="A8763" t="str">
        <f>"8759"</f>
        <v>8759</v>
      </c>
      <c r="B8763" t="str">
        <f t="shared" si="513"/>
        <v>1</v>
      </c>
      <c r="C8763" t="str">
        <f t="shared" si="514"/>
        <v>389</v>
      </c>
      <c r="D8763" t="str">
        <f>"2"</f>
        <v>2</v>
      </c>
      <c r="E8763" t="str">
        <f>"1-389-2"</f>
        <v>1-389-2</v>
      </c>
      <c r="F8763" t="s">
        <v>83</v>
      </c>
      <c r="G8763" t="s">
        <v>84</v>
      </c>
      <c r="H8763" t="s">
        <v>85</v>
      </c>
      <c r="AC8763">
        <v>0</v>
      </c>
      <c r="AD8763">
        <v>1</v>
      </c>
      <c r="AE8763">
        <v>0</v>
      </c>
      <c r="AF8763">
        <v>0</v>
      </c>
      <c r="AG8763">
        <v>1</v>
      </c>
      <c r="AJ8763">
        <v>0</v>
      </c>
      <c r="AK8763">
        <v>1</v>
      </c>
      <c r="AL8763">
        <v>1</v>
      </c>
      <c r="AM8763">
        <v>0</v>
      </c>
      <c r="AN8763">
        <v>0</v>
      </c>
      <c r="AO8763">
        <v>1</v>
      </c>
      <c r="AP8763">
        <v>1</v>
      </c>
      <c r="AQ8763">
        <v>1</v>
      </c>
      <c r="AR8763">
        <v>1</v>
      </c>
      <c r="AS8763">
        <v>0</v>
      </c>
      <c r="AT8763">
        <v>1</v>
      </c>
      <c r="AV8763">
        <v>1</v>
      </c>
      <c r="AW8763">
        <v>1</v>
      </c>
    </row>
    <row r="8764" spans="1:49" x14ac:dyDescent="0.25">
      <c r="A8764" t="str">
        <f>"8760"</f>
        <v>8760</v>
      </c>
      <c r="B8764" t="str">
        <f t="shared" si="513"/>
        <v>1</v>
      </c>
      <c r="C8764" t="str">
        <f t="shared" si="514"/>
        <v>389</v>
      </c>
      <c r="D8764" t="str">
        <f>"6"</f>
        <v>6</v>
      </c>
      <c r="E8764" t="str">
        <f>"1-389-6"</f>
        <v>1-389-6</v>
      </c>
      <c r="F8764" t="s">
        <v>83</v>
      </c>
      <c r="G8764" t="s">
        <v>84</v>
      </c>
      <c r="H8764" t="s">
        <v>92</v>
      </c>
      <c r="I8764">
        <v>1</v>
      </c>
      <c r="J8764">
        <v>1</v>
      </c>
      <c r="N8764">
        <v>1</v>
      </c>
      <c r="O8764">
        <v>1</v>
      </c>
      <c r="P8764">
        <v>0</v>
      </c>
      <c r="Q8764">
        <v>1</v>
      </c>
      <c r="R8764">
        <v>0</v>
      </c>
      <c r="S8764">
        <v>0</v>
      </c>
      <c r="T8764">
        <v>0</v>
      </c>
      <c r="W8764">
        <v>1</v>
      </c>
      <c r="X8764">
        <v>1</v>
      </c>
      <c r="Y8764">
        <v>1</v>
      </c>
      <c r="Z8764">
        <v>1</v>
      </c>
      <c r="AA8764">
        <v>1</v>
      </c>
      <c r="AB8764">
        <v>1</v>
      </c>
    </row>
    <row r="8765" spans="1:49" x14ac:dyDescent="0.25">
      <c r="A8765" t="str">
        <f>"8761"</f>
        <v>8761</v>
      </c>
      <c r="B8765" t="str">
        <f t="shared" si="513"/>
        <v>1</v>
      </c>
      <c r="C8765" t="str">
        <f t="shared" ref="C8765:C8773" si="515">"390"</f>
        <v>390</v>
      </c>
      <c r="D8765" t="str">
        <f>"8"</f>
        <v>8</v>
      </c>
      <c r="E8765" t="str">
        <f>"1-390-8"</f>
        <v>1-390-8</v>
      </c>
      <c r="F8765" t="s">
        <v>83</v>
      </c>
      <c r="G8765" t="s">
        <v>84</v>
      </c>
      <c r="H8765" t="s">
        <v>92</v>
      </c>
      <c r="I8765">
        <v>1</v>
      </c>
      <c r="J8765">
        <v>1</v>
      </c>
      <c r="N8765">
        <v>1</v>
      </c>
      <c r="O8765">
        <v>1</v>
      </c>
      <c r="P8765">
        <v>1</v>
      </c>
      <c r="Q8765">
        <v>1</v>
      </c>
      <c r="R8765">
        <v>1</v>
      </c>
      <c r="S8765">
        <v>1</v>
      </c>
      <c r="T8765">
        <v>1</v>
      </c>
      <c r="W8765">
        <v>1</v>
      </c>
      <c r="X8765">
        <v>1</v>
      </c>
      <c r="Y8765">
        <v>1</v>
      </c>
      <c r="Z8765">
        <v>1</v>
      </c>
      <c r="AA8765">
        <v>1</v>
      </c>
      <c r="AB8765">
        <v>1</v>
      </c>
    </row>
    <row r="8766" spans="1:49" x14ac:dyDescent="0.25">
      <c r="A8766" t="str">
        <f>"8762"</f>
        <v>8762</v>
      </c>
      <c r="B8766" t="str">
        <f t="shared" si="513"/>
        <v>1</v>
      </c>
      <c r="C8766" t="str">
        <f t="shared" si="515"/>
        <v>390</v>
      </c>
      <c r="D8766" t="str">
        <f>"6"</f>
        <v>6</v>
      </c>
      <c r="E8766" t="str">
        <f>"1-390-6"</f>
        <v>1-390-6</v>
      </c>
      <c r="F8766" t="s">
        <v>83</v>
      </c>
      <c r="G8766" t="s">
        <v>84</v>
      </c>
      <c r="H8766" t="s">
        <v>92</v>
      </c>
      <c r="I8766">
        <v>1</v>
      </c>
      <c r="J8766">
        <v>1</v>
      </c>
      <c r="N8766">
        <v>1</v>
      </c>
      <c r="O8766">
        <v>1</v>
      </c>
      <c r="P8766">
        <v>1</v>
      </c>
      <c r="Q8766">
        <v>1</v>
      </c>
      <c r="R8766">
        <v>1</v>
      </c>
      <c r="S8766">
        <v>1</v>
      </c>
      <c r="T8766">
        <v>1</v>
      </c>
      <c r="W8766">
        <v>1</v>
      </c>
      <c r="X8766">
        <v>1</v>
      </c>
      <c r="Y8766">
        <v>1</v>
      </c>
      <c r="Z8766">
        <v>1</v>
      </c>
      <c r="AA8766">
        <v>1</v>
      </c>
      <c r="AB8766">
        <v>1</v>
      </c>
    </row>
    <row r="8767" spans="1:49" x14ac:dyDescent="0.25">
      <c r="A8767" t="str">
        <f>"8763"</f>
        <v>8763</v>
      </c>
      <c r="B8767" t="str">
        <f t="shared" si="513"/>
        <v>1</v>
      </c>
      <c r="C8767" t="str">
        <f t="shared" si="515"/>
        <v>390</v>
      </c>
      <c r="D8767" t="str">
        <f>"5"</f>
        <v>5</v>
      </c>
      <c r="E8767" t="str">
        <f>"1-390-5"</f>
        <v>1-390-5</v>
      </c>
      <c r="F8767" t="s">
        <v>83</v>
      </c>
      <c r="G8767" t="s">
        <v>84</v>
      </c>
      <c r="H8767" t="s">
        <v>85</v>
      </c>
      <c r="AC8767">
        <v>0</v>
      </c>
      <c r="AD8767">
        <v>1</v>
      </c>
      <c r="AE8767">
        <v>0</v>
      </c>
      <c r="AF8767">
        <v>0</v>
      </c>
      <c r="AG8767">
        <v>1</v>
      </c>
      <c r="AJ8767">
        <v>1</v>
      </c>
      <c r="AK8767">
        <v>0</v>
      </c>
      <c r="AL8767">
        <v>0</v>
      </c>
      <c r="AM8767">
        <v>1</v>
      </c>
      <c r="AN8767">
        <v>0</v>
      </c>
      <c r="AO8767">
        <v>1</v>
      </c>
      <c r="AP8767">
        <v>1</v>
      </c>
      <c r="AQ8767">
        <v>1</v>
      </c>
      <c r="AR8767">
        <v>1</v>
      </c>
      <c r="AS8767">
        <v>0</v>
      </c>
      <c r="AT8767">
        <v>1</v>
      </c>
      <c r="AV8767">
        <v>1</v>
      </c>
      <c r="AW8767">
        <v>1</v>
      </c>
    </row>
    <row r="8768" spans="1:49" x14ac:dyDescent="0.25">
      <c r="A8768" t="str">
        <f>"8764"</f>
        <v>8764</v>
      </c>
      <c r="B8768" t="str">
        <f t="shared" si="513"/>
        <v>1</v>
      </c>
      <c r="C8768" t="str">
        <f t="shared" si="515"/>
        <v>390</v>
      </c>
      <c r="D8768" t="str">
        <f>"4"</f>
        <v>4</v>
      </c>
      <c r="E8768" t="str">
        <f>"1-390-4"</f>
        <v>1-390-4</v>
      </c>
      <c r="F8768" t="s">
        <v>83</v>
      </c>
      <c r="G8768" t="s">
        <v>84</v>
      </c>
      <c r="H8768" t="s">
        <v>92</v>
      </c>
      <c r="I8768">
        <v>1</v>
      </c>
      <c r="J8768">
        <v>1</v>
      </c>
      <c r="N8768">
        <v>1</v>
      </c>
      <c r="O8768">
        <v>1</v>
      </c>
      <c r="P8768">
        <v>1</v>
      </c>
      <c r="Q8768">
        <v>1</v>
      </c>
      <c r="R8768">
        <v>1</v>
      </c>
      <c r="S8768">
        <v>1</v>
      </c>
      <c r="T8768">
        <v>1</v>
      </c>
      <c r="W8768">
        <v>1</v>
      </c>
      <c r="X8768">
        <v>1</v>
      </c>
      <c r="Y8768">
        <v>1</v>
      </c>
      <c r="Z8768">
        <v>1</v>
      </c>
      <c r="AA8768">
        <v>1</v>
      </c>
      <c r="AB8768">
        <v>1</v>
      </c>
    </row>
    <row r="8769" spans="1:49" x14ac:dyDescent="0.25">
      <c r="A8769" t="str">
        <f>"8765"</f>
        <v>8765</v>
      </c>
      <c r="B8769" t="str">
        <f t="shared" si="513"/>
        <v>1</v>
      </c>
      <c r="C8769" t="str">
        <f t="shared" si="515"/>
        <v>390</v>
      </c>
      <c r="D8769" t="str">
        <f>"7"</f>
        <v>7</v>
      </c>
      <c r="E8769" t="str">
        <f>"1-390-7"</f>
        <v>1-390-7</v>
      </c>
      <c r="F8769" t="s">
        <v>83</v>
      </c>
      <c r="G8769" t="s">
        <v>84</v>
      </c>
      <c r="H8769" t="s">
        <v>85</v>
      </c>
      <c r="AC8769">
        <v>1</v>
      </c>
      <c r="AD8769">
        <v>0</v>
      </c>
      <c r="AE8769">
        <v>0</v>
      </c>
      <c r="AF8769">
        <v>0</v>
      </c>
      <c r="AG8769">
        <v>1</v>
      </c>
      <c r="AJ8769">
        <v>1</v>
      </c>
      <c r="AK8769">
        <v>0</v>
      </c>
      <c r="AL8769">
        <v>1</v>
      </c>
      <c r="AM8769">
        <v>0</v>
      </c>
      <c r="AN8769">
        <v>0</v>
      </c>
      <c r="AO8769">
        <v>0</v>
      </c>
      <c r="AP8769">
        <v>0</v>
      </c>
      <c r="AQ8769">
        <v>0</v>
      </c>
      <c r="AR8769">
        <v>1</v>
      </c>
      <c r="AS8769">
        <v>1</v>
      </c>
      <c r="AT8769">
        <v>0</v>
      </c>
      <c r="AV8769">
        <v>1</v>
      </c>
      <c r="AW8769">
        <v>0</v>
      </c>
    </row>
    <row r="8770" spans="1:49" x14ac:dyDescent="0.25">
      <c r="A8770" t="str">
        <f>"8766"</f>
        <v>8766</v>
      </c>
      <c r="B8770" t="str">
        <f t="shared" si="513"/>
        <v>1</v>
      </c>
      <c r="C8770" t="str">
        <f t="shared" si="515"/>
        <v>390</v>
      </c>
      <c r="D8770" t="str">
        <f>"1"</f>
        <v>1</v>
      </c>
      <c r="E8770" t="str">
        <f>"1-390-1"</f>
        <v>1-390-1</v>
      </c>
      <c r="F8770" t="s">
        <v>83</v>
      </c>
      <c r="G8770" t="s">
        <v>84</v>
      </c>
      <c r="H8770" t="s">
        <v>92</v>
      </c>
      <c r="I8770">
        <v>0</v>
      </c>
      <c r="J8770">
        <v>0</v>
      </c>
      <c r="N8770">
        <v>0</v>
      </c>
      <c r="O8770">
        <v>0</v>
      </c>
      <c r="P8770">
        <v>0</v>
      </c>
      <c r="Q8770">
        <v>0</v>
      </c>
      <c r="R8770">
        <v>0</v>
      </c>
      <c r="S8770">
        <v>0</v>
      </c>
      <c r="T8770">
        <v>0</v>
      </c>
      <c r="W8770">
        <v>0</v>
      </c>
      <c r="X8770">
        <v>0</v>
      </c>
      <c r="Y8770">
        <v>0</v>
      </c>
      <c r="Z8770">
        <v>0</v>
      </c>
      <c r="AA8770">
        <v>0</v>
      </c>
      <c r="AB8770">
        <v>0</v>
      </c>
    </row>
    <row r="8771" spans="1:49" x14ac:dyDescent="0.25">
      <c r="A8771" t="str">
        <f>"8767"</f>
        <v>8767</v>
      </c>
      <c r="B8771" t="str">
        <f t="shared" si="513"/>
        <v>1</v>
      </c>
      <c r="C8771" t="str">
        <f t="shared" si="515"/>
        <v>390</v>
      </c>
      <c r="D8771" t="str">
        <f>"3"</f>
        <v>3</v>
      </c>
      <c r="E8771" t="str">
        <f>"1-390-3"</f>
        <v>1-390-3</v>
      </c>
      <c r="F8771" t="s">
        <v>83</v>
      </c>
      <c r="G8771" t="s">
        <v>84</v>
      </c>
      <c r="H8771" t="s">
        <v>85</v>
      </c>
      <c r="AC8771">
        <v>0</v>
      </c>
      <c r="AD8771">
        <v>0</v>
      </c>
      <c r="AE8771">
        <v>0</v>
      </c>
      <c r="AF8771">
        <v>0</v>
      </c>
      <c r="AG8771">
        <v>0</v>
      </c>
      <c r="AJ8771">
        <v>0</v>
      </c>
      <c r="AK8771">
        <v>0</v>
      </c>
      <c r="AL8771">
        <v>0</v>
      </c>
      <c r="AM8771">
        <v>0</v>
      </c>
      <c r="AN8771">
        <v>0</v>
      </c>
      <c r="AO8771">
        <v>0</v>
      </c>
      <c r="AP8771">
        <v>0</v>
      </c>
      <c r="AQ8771">
        <v>0</v>
      </c>
      <c r="AR8771">
        <v>0</v>
      </c>
      <c r="AS8771">
        <v>0</v>
      </c>
      <c r="AT8771">
        <v>0</v>
      </c>
      <c r="AV8771">
        <v>0</v>
      </c>
      <c r="AW8771">
        <v>0</v>
      </c>
    </row>
    <row r="8772" spans="1:49" x14ac:dyDescent="0.25">
      <c r="A8772" t="str">
        <f>"8768"</f>
        <v>8768</v>
      </c>
      <c r="B8772" t="str">
        <f t="shared" si="513"/>
        <v>1</v>
      </c>
      <c r="C8772" t="str">
        <f t="shared" si="515"/>
        <v>390</v>
      </c>
      <c r="D8772" t="str">
        <f>"9"</f>
        <v>9</v>
      </c>
      <c r="E8772" t="str">
        <f>"1-390-9"</f>
        <v>1-390-9</v>
      </c>
      <c r="F8772" t="s">
        <v>83</v>
      </c>
      <c r="G8772" t="s">
        <v>84</v>
      </c>
      <c r="H8772" t="s">
        <v>85</v>
      </c>
      <c r="AC8772">
        <v>0</v>
      </c>
      <c r="AD8772">
        <v>0</v>
      </c>
      <c r="AE8772">
        <v>0</v>
      </c>
      <c r="AF8772">
        <v>0</v>
      </c>
      <c r="AG8772">
        <v>0</v>
      </c>
      <c r="AJ8772">
        <v>1</v>
      </c>
      <c r="AK8772">
        <v>0</v>
      </c>
      <c r="AL8772">
        <v>0</v>
      </c>
      <c r="AM8772">
        <v>0</v>
      </c>
      <c r="AN8772">
        <v>0</v>
      </c>
      <c r="AO8772">
        <v>0</v>
      </c>
      <c r="AP8772">
        <v>0</v>
      </c>
      <c r="AQ8772">
        <v>0</v>
      </c>
      <c r="AR8772">
        <v>1</v>
      </c>
      <c r="AS8772">
        <v>1</v>
      </c>
      <c r="AT8772">
        <v>0</v>
      </c>
      <c r="AV8772">
        <v>0</v>
      </c>
      <c r="AW8772">
        <v>1</v>
      </c>
    </row>
    <row r="8773" spans="1:49" x14ac:dyDescent="0.25">
      <c r="A8773" t="str">
        <f>"8769"</f>
        <v>8769</v>
      </c>
      <c r="B8773" t="str">
        <f t="shared" si="513"/>
        <v>1</v>
      </c>
      <c r="C8773" t="str">
        <f t="shared" si="515"/>
        <v>390</v>
      </c>
      <c r="D8773" t="str">
        <f>"2"</f>
        <v>2</v>
      </c>
      <c r="E8773" t="str">
        <f>"1-390-2"</f>
        <v>1-390-2</v>
      </c>
      <c r="F8773" t="s">
        <v>83</v>
      </c>
      <c r="G8773" t="s">
        <v>84</v>
      </c>
      <c r="H8773" t="s">
        <v>85</v>
      </c>
      <c r="AC8773">
        <v>0</v>
      </c>
      <c r="AD8773">
        <v>0</v>
      </c>
      <c r="AE8773">
        <v>0</v>
      </c>
      <c r="AF8773">
        <v>0</v>
      </c>
      <c r="AG8773">
        <v>0</v>
      </c>
      <c r="AJ8773">
        <v>0</v>
      </c>
      <c r="AK8773">
        <v>0</v>
      </c>
      <c r="AL8773">
        <v>0</v>
      </c>
      <c r="AM8773">
        <v>0</v>
      </c>
      <c r="AN8773">
        <v>0</v>
      </c>
      <c r="AO8773">
        <v>0</v>
      </c>
      <c r="AP8773">
        <v>0</v>
      </c>
      <c r="AQ8773">
        <v>0</v>
      </c>
      <c r="AR8773">
        <v>0</v>
      </c>
      <c r="AS8773">
        <v>0</v>
      </c>
      <c r="AT8773">
        <v>0</v>
      </c>
      <c r="AV8773">
        <v>0</v>
      </c>
      <c r="AW8773">
        <v>0</v>
      </c>
    </row>
    <row r="8774" spans="1:49" x14ac:dyDescent="0.25">
      <c r="A8774" t="str">
        <f>"8770"</f>
        <v>8770</v>
      </c>
      <c r="B8774" t="str">
        <f t="shared" si="513"/>
        <v>1</v>
      </c>
      <c r="C8774" t="str">
        <f t="shared" ref="C8774:C8792" si="516">"391"</f>
        <v>391</v>
      </c>
      <c r="D8774" t="str">
        <f>"19"</f>
        <v>19</v>
      </c>
      <c r="E8774" t="str">
        <f>"1-391-19"</f>
        <v>1-391-19</v>
      </c>
      <c r="F8774" t="s">
        <v>83</v>
      </c>
      <c r="G8774" t="s">
        <v>84</v>
      </c>
      <c r="H8774" t="s">
        <v>85</v>
      </c>
      <c r="AC8774">
        <v>0</v>
      </c>
      <c r="AD8774">
        <v>1</v>
      </c>
      <c r="AE8774">
        <v>0</v>
      </c>
      <c r="AF8774">
        <v>0</v>
      </c>
      <c r="AG8774">
        <v>0</v>
      </c>
      <c r="AJ8774">
        <v>0</v>
      </c>
      <c r="AK8774">
        <v>1</v>
      </c>
      <c r="AL8774">
        <v>0</v>
      </c>
      <c r="AM8774">
        <v>1</v>
      </c>
      <c r="AN8774">
        <v>0</v>
      </c>
      <c r="AO8774">
        <v>1</v>
      </c>
      <c r="AP8774">
        <v>1</v>
      </c>
      <c r="AQ8774">
        <v>1</v>
      </c>
      <c r="AR8774">
        <v>1</v>
      </c>
      <c r="AS8774">
        <v>0</v>
      </c>
      <c r="AT8774">
        <v>1</v>
      </c>
      <c r="AV8774">
        <v>1</v>
      </c>
      <c r="AW8774">
        <v>1</v>
      </c>
    </row>
    <row r="8775" spans="1:49" x14ac:dyDescent="0.25">
      <c r="A8775" t="str">
        <f>"8771"</f>
        <v>8771</v>
      </c>
      <c r="B8775" t="str">
        <f t="shared" si="513"/>
        <v>1</v>
      </c>
      <c r="C8775" t="str">
        <f t="shared" si="516"/>
        <v>391</v>
      </c>
      <c r="D8775" t="str">
        <f>"18"</f>
        <v>18</v>
      </c>
      <c r="E8775" t="str">
        <f>"1-391-18"</f>
        <v>1-391-18</v>
      </c>
      <c r="F8775" t="s">
        <v>83</v>
      </c>
      <c r="G8775" t="s">
        <v>84</v>
      </c>
      <c r="H8775" t="s">
        <v>85</v>
      </c>
      <c r="AC8775">
        <v>0</v>
      </c>
      <c r="AD8775">
        <v>1</v>
      </c>
      <c r="AE8775">
        <v>0</v>
      </c>
      <c r="AF8775">
        <v>0</v>
      </c>
      <c r="AG8775">
        <v>1</v>
      </c>
      <c r="AJ8775">
        <v>0</v>
      </c>
      <c r="AK8775">
        <v>1</v>
      </c>
      <c r="AL8775">
        <v>0</v>
      </c>
      <c r="AM8775">
        <v>0</v>
      </c>
      <c r="AN8775">
        <v>1</v>
      </c>
      <c r="AO8775">
        <v>1</v>
      </c>
      <c r="AP8775">
        <v>1</v>
      </c>
      <c r="AQ8775">
        <v>1</v>
      </c>
      <c r="AR8775">
        <v>1</v>
      </c>
      <c r="AS8775">
        <v>1</v>
      </c>
      <c r="AT8775">
        <v>0</v>
      </c>
      <c r="AV8775">
        <v>1</v>
      </c>
      <c r="AW8775">
        <v>1</v>
      </c>
    </row>
    <row r="8776" spans="1:49" x14ac:dyDescent="0.25">
      <c r="A8776" t="str">
        <f>"8772"</f>
        <v>8772</v>
      </c>
      <c r="B8776" t="str">
        <f t="shared" si="513"/>
        <v>1</v>
      </c>
      <c r="C8776" t="str">
        <f t="shared" si="516"/>
        <v>391</v>
      </c>
      <c r="D8776" t="str">
        <f>"13"</f>
        <v>13</v>
      </c>
      <c r="E8776" t="str">
        <f>"1-391-13"</f>
        <v>1-391-13</v>
      </c>
      <c r="F8776" t="s">
        <v>83</v>
      </c>
      <c r="G8776" t="s">
        <v>84</v>
      </c>
      <c r="H8776" t="s">
        <v>92</v>
      </c>
      <c r="I8776">
        <v>1</v>
      </c>
      <c r="J8776">
        <v>1</v>
      </c>
      <c r="N8776">
        <v>1</v>
      </c>
      <c r="O8776">
        <v>1</v>
      </c>
      <c r="P8776">
        <v>1</v>
      </c>
      <c r="Q8776">
        <v>1</v>
      </c>
      <c r="R8776">
        <v>1</v>
      </c>
      <c r="S8776">
        <v>1</v>
      </c>
      <c r="T8776">
        <v>1</v>
      </c>
      <c r="W8776">
        <v>1</v>
      </c>
      <c r="X8776">
        <v>1</v>
      </c>
      <c r="Y8776">
        <v>1</v>
      </c>
      <c r="Z8776">
        <v>1</v>
      </c>
      <c r="AA8776">
        <v>1</v>
      </c>
      <c r="AB8776">
        <v>1</v>
      </c>
    </row>
    <row r="8777" spans="1:49" x14ac:dyDescent="0.25">
      <c r="A8777" t="str">
        <f>"8773"</f>
        <v>8773</v>
      </c>
      <c r="B8777" t="str">
        <f t="shared" si="513"/>
        <v>1</v>
      </c>
      <c r="C8777" t="str">
        <f t="shared" si="516"/>
        <v>391</v>
      </c>
      <c r="D8777" t="str">
        <f>"8"</f>
        <v>8</v>
      </c>
      <c r="E8777" t="str">
        <f>"1-391-8"</f>
        <v>1-391-8</v>
      </c>
      <c r="F8777" t="s">
        <v>83</v>
      </c>
      <c r="G8777" t="s">
        <v>84</v>
      </c>
      <c r="H8777" t="s">
        <v>92</v>
      </c>
      <c r="I8777">
        <v>1</v>
      </c>
      <c r="J8777">
        <v>1</v>
      </c>
      <c r="N8777">
        <v>1</v>
      </c>
      <c r="O8777">
        <v>1</v>
      </c>
      <c r="P8777">
        <v>1</v>
      </c>
      <c r="Q8777">
        <v>1</v>
      </c>
      <c r="R8777">
        <v>1</v>
      </c>
      <c r="S8777">
        <v>1</v>
      </c>
      <c r="T8777">
        <v>1</v>
      </c>
      <c r="W8777">
        <v>1</v>
      </c>
      <c r="X8777">
        <v>1</v>
      </c>
      <c r="Y8777">
        <v>1</v>
      </c>
      <c r="Z8777">
        <v>1</v>
      </c>
      <c r="AA8777">
        <v>1</v>
      </c>
      <c r="AB8777">
        <v>1</v>
      </c>
    </row>
    <row r="8778" spans="1:49" x14ac:dyDescent="0.25">
      <c r="A8778" t="str">
        <f>"8774"</f>
        <v>8774</v>
      </c>
      <c r="B8778" t="str">
        <f t="shared" si="513"/>
        <v>1</v>
      </c>
      <c r="C8778" t="str">
        <f t="shared" si="516"/>
        <v>391</v>
      </c>
      <c r="D8778" t="str">
        <f>"4"</f>
        <v>4</v>
      </c>
      <c r="E8778" t="str">
        <f>"1-391-4"</f>
        <v>1-391-4</v>
      </c>
      <c r="F8778" t="s">
        <v>83</v>
      </c>
      <c r="G8778" t="s">
        <v>84</v>
      </c>
      <c r="H8778" t="s">
        <v>85</v>
      </c>
      <c r="AC8778">
        <v>1</v>
      </c>
      <c r="AD8778">
        <v>0</v>
      </c>
      <c r="AE8778">
        <v>0</v>
      </c>
      <c r="AF8778">
        <v>0</v>
      </c>
      <c r="AG8778">
        <v>1</v>
      </c>
      <c r="AJ8778">
        <v>0</v>
      </c>
      <c r="AK8778">
        <v>1</v>
      </c>
      <c r="AL8778">
        <v>1</v>
      </c>
      <c r="AM8778">
        <v>0</v>
      </c>
      <c r="AN8778">
        <v>0</v>
      </c>
      <c r="AO8778">
        <v>1</v>
      </c>
      <c r="AP8778">
        <v>0</v>
      </c>
      <c r="AQ8778">
        <v>1</v>
      </c>
      <c r="AR8778">
        <v>1</v>
      </c>
      <c r="AS8778">
        <v>1</v>
      </c>
      <c r="AT8778">
        <v>0</v>
      </c>
      <c r="AV8778">
        <v>1</v>
      </c>
      <c r="AW8778">
        <v>1</v>
      </c>
    </row>
    <row r="8779" spans="1:49" x14ac:dyDescent="0.25">
      <c r="A8779" t="str">
        <f>"8775"</f>
        <v>8775</v>
      </c>
      <c r="B8779" t="str">
        <f t="shared" si="513"/>
        <v>1</v>
      </c>
      <c r="C8779" t="str">
        <f t="shared" si="516"/>
        <v>391</v>
      </c>
      <c r="D8779" t="str">
        <f>"14"</f>
        <v>14</v>
      </c>
      <c r="E8779" t="str">
        <f>"1-391-14"</f>
        <v>1-391-14</v>
      </c>
      <c r="F8779" t="s">
        <v>83</v>
      </c>
      <c r="G8779" t="s">
        <v>84</v>
      </c>
      <c r="H8779" t="s">
        <v>85</v>
      </c>
      <c r="AC8779">
        <v>0</v>
      </c>
      <c r="AD8779">
        <v>1</v>
      </c>
      <c r="AE8779">
        <v>0</v>
      </c>
      <c r="AF8779">
        <v>0</v>
      </c>
      <c r="AG8779">
        <v>1</v>
      </c>
      <c r="AJ8779">
        <v>0</v>
      </c>
      <c r="AK8779">
        <v>1</v>
      </c>
      <c r="AL8779">
        <v>0</v>
      </c>
      <c r="AM8779">
        <v>0</v>
      </c>
      <c r="AN8779">
        <v>1</v>
      </c>
      <c r="AO8779">
        <v>1</v>
      </c>
      <c r="AP8779">
        <v>1</v>
      </c>
      <c r="AQ8779">
        <v>1</v>
      </c>
      <c r="AR8779">
        <v>1</v>
      </c>
      <c r="AS8779">
        <v>1</v>
      </c>
      <c r="AT8779">
        <v>0</v>
      </c>
      <c r="AV8779">
        <v>1</v>
      </c>
      <c r="AW8779">
        <v>1</v>
      </c>
    </row>
    <row r="8780" spans="1:49" x14ac:dyDescent="0.25">
      <c r="A8780" t="str">
        <f>"8776"</f>
        <v>8776</v>
      </c>
      <c r="B8780" t="str">
        <f t="shared" si="513"/>
        <v>1</v>
      </c>
      <c r="C8780" t="str">
        <f t="shared" si="516"/>
        <v>391</v>
      </c>
      <c r="D8780" t="str">
        <f>"9"</f>
        <v>9</v>
      </c>
      <c r="E8780" t="str">
        <f>"1-391-9"</f>
        <v>1-391-9</v>
      </c>
      <c r="F8780" t="s">
        <v>83</v>
      </c>
      <c r="G8780" t="s">
        <v>84</v>
      </c>
      <c r="H8780" t="s">
        <v>92</v>
      </c>
      <c r="I8780">
        <v>1</v>
      </c>
      <c r="J8780">
        <v>1</v>
      </c>
      <c r="N8780">
        <v>1</v>
      </c>
      <c r="O8780">
        <v>0</v>
      </c>
      <c r="P8780">
        <v>0</v>
      </c>
      <c r="Q8780">
        <v>0</v>
      </c>
      <c r="R8780">
        <v>0</v>
      </c>
      <c r="S8780">
        <v>1</v>
      </c>
      <c r="T8780">
        <v>0</v>
      </c>
      <c r="W8780">
        <v>0</v>
      </c>
      <c r="X8780">
        <v>1</v>
      </c>
      <c r="Y8780">
        <v>0</v>
      </c>
      <c r="Z8780">
        <v>1</v>
      </c>
      <c r="AA8780">
        <v>0</v>
      </c>
      <c r="AB8780">
        <v>1</v>
      </c>
    </row>
    <row r="8781" spans="1:49" x14ac:dyDescent="0.25">
      <c r="A8781" t="str">
        <f>"8777"</f>
        <v>8777</v>
      </c>
      <c r="B8781" t="str">
        <f t="shared" si="513"/>
        <v>1</v>
      </c>
      <c r="C8781" t="str">
        <f t="shared" si="516"/>
        <v>391</v>
      </c>
      <c r="D8781" t="str">
        <f>"1"</f>
        <v>1</v>
      </c>
      <c r="E8781" t="str">
        <f>"1-391-1"</f>
        <v>1-391-1</v>
      </c>
      <c r="F8781" t="s">
        <v>83</v>
      </c>
      <c r="G8781" t="s">
        <v>84</v>
      </c>
      <c r="H8781" t="s">
        <v>85</v>
      </c>
      <c r="AC8781">
        <v>0</v>
      </c>
      <c r="AD8781">
        <v>1</v>
      </c>
      <c r="AE8781">
        <v>0</v>
      </c>
      <c r="AF8781">
        <v>0</v>
      </c>
      <c r="AG8781">
        <v>0</v>
      </c>
      <c r="AJ8781">
        <v>1</v>
      </c>
      <c r="AK8781">
        <v>0</v>
      </c>
      <c r="AL8781">
        <v>0</v>
      </c>
      <c r="AM8781">
        <v>1</v>
      </c>
      <c r="AN8781">
        <v>0</v>
      </c>
      <c r="AO8781">
        <v>1</v>
      </c>
      <c r="AP8781">
        <v>0</v>
      </c>
      <c r="AQ8781">
        <v>0</v>
      </c>
      <c r="AR8781">
        <v>0</v>
      </c>
      <c r="AS8781">
        <v>0</v>
      </c>
      <c r="AT8781">
        <v>1</v>
      </c>
      <c r="AV8781">
        <v>1</v>
      </c>
      <c r="AW8781">
        <v>1</v>
      </c>
    </row>
    <row r="8782" spans="1:49" x14ac:dyDescent="0.25">
      <c r="A8782" t="str">
        <f>"8778"</f>
        <v>8778</v>
      </c>
      <c r="B8782" t="str">
        <f t="shared" si="513"/>
        <v>1</v>
      </c>
      <c r="C8782" t="str">
        <f t="shared" si="516"/>
        <v>391</v>
      </c>
      <c r="D8782" t="str">
        <f>"15"</f>
        <v>15</v>
      </c>
      <c r="E8782" t="str">
        <f>"1-391-15"</f>
        <v>1-391-15</v>
      </c>
      <c r="F8782" t="s">
        <v>83</v>
      </c>
      <c r="G8782" t="s">
        <v>84</v>
      </c>
      <c r="H8782" t="s">
        <v>92</v>
      </c>
      <c r="I8782">
        <v>1</v>
      </c>
      <c r="J8782">
        <v>1</v>
      </c>
      <c r="N8782">
        <v>1</v>
      </c>
      <c r="O8782">
        <v>1</v>
      </c>
      <c r="P8782">
        <v>1</v>
      </c>
      <c r="Q8782">
        <v>1</v>
      </c>
      <c r="R8782">
        <v>1</v>
      </c>
      <c r="S8782">
        <v>1</v>
      </c>
      <c r="T8782">
        <v>1</v>
      </c>
      <c r="W8782">
        <v>1</v>
      </c>
      <c r="X8782">
        <v>1</v>
      </c>
      <c r="Y8782">
        <v>1</v>
      </c>
      <c r="Z8782">
        <v>1</v>
      </c>
      <c r="AA8782">
        <v>1</v>
      </c>
      <c r="AB8782">
        <v>1</v>
      </c>
    </row>
    <row r="8783" spans="1:49" x14ac:dyDescent="0.25">
      <c r="A8783" t="str">
        <f>"8779"</f>
        <v>8779</v>
      </c>
      <c r="B8783" t="str">
        <f t="shared" si="513"/>
        <v>1</v>
      </c>
      <c r="C8783" t="str">
        <f t="shared" si="516"/>
        <v>391</v>
      </c>
      <c r="D8783" t="str">
        <f>"10"</f>
        <v>10</v>
      </c>
      <c r="E8783" t="str">
        <f>"1-391-10"</f>
        <v>1-391-10</v>
      </c>
      <c r="F8783" t="s">
        <v>83</v>
      </c>
      <c r="G8783" t="s">
        <v>84</v>
      </c>
      <c r="H8783" t="s">
        <v>92</v>
      </c>
      <c r="I8783">
        <v>1</v>
      </c>
      <c r="J8783">
        <v>0</v>
      </c>
      <c r="N8783">
        <v>1</v>
      </c>
      <c r="O8783">
        <v>1</v>
      </c>
      <c r="P8783">
        <v>0</v>
      </c>
      <c r="Q8783">
        <v>0</v>
      </c>
      <c r="R8783">
        <v>0</v>
      </c>
      <c r="S8783">
        <v>1</v>
      </c>
      <c r="T8783">
        <v>0</v>
      </c>
      <c r="W8783">
        <v>1</v>
      </c>
      <c r="X8783">
        <v>0</v>
      </c>
      <c r="Y8783">
        <v>0</v>
      </c>
      <c r="Z8783">
        <v>0</v>
      </c>
      <c r="AA8783">
        <v>0</v>
      </c>
      <c r="AB8783">
        <v>1</v>
      </c>
    </row>
    <row r="8784" spans="1:49" x14ac:dyDescent="0.25">
      <c r="A8784" t="str">
        <f>"8780"</f>
        <v>8780</v>
      </c>
      <c r="B8784" t="str">
        <f t="shared" si="513"/>
        <v>1</v>
      </c>
      <c r="C8784" t="str">
        <f t="shared" si="516"/>
        <v>391</v>
      </c>
      <c r="D8784" t="str">
        <f>"7"</f>
        <v>7</v>
      </c>
      <c r="E8784" t="str">
        <f>"1-391-7"</f>
        <v>1-391-7</v>
      </c>
      <c r="F8784" t="s">
        <v>83</v>
      </c>
      <c r="G8784" t="s">
        <v>84</v>
      </c>
      <c r="H8784" t="s">
        <v>85</v>
      </c>
      <c r="AC8784">
        <v>0</v>
      </c>
      <c r="AD8784">
        <v>1</v>
      </c>
      <c r="AE8784">
        <v>0</v>
      </c>
      <c r="AF8784">
        <v>0</v>
      </c>
      <c r="AG8784">
        <v>1</v>
      </c>
      <c r="AJ8784">
        <v>0</v>
      </c>
      <c r="AK8784">
        <v>1</v>
      </c>
      <c r="AL8784">
        <v>0</v>
      </c>
      <c r="AM8784">
        <v>0</v>
      </c>
      <c r="AN8784">
        <v>1</v>
      </c>
      <c r="AO8784">
        <v>1</v>
      </c>
      <c r="AP8784">
        <v>1</v>
      </c>
      <c r="AQ8784">
        <v>1</v>
      </c>
      <c r="AR8784">
        <v>1</v>
      </c>
      <c r="AS8784">
        <v>0</v>
      </c>
      <c r="AT8784">
        <v>1</v>
      </c>
      <c r="AV8784">
        <v>1</v>
      </c>
      <c r="AW8784">
        <v>1</v>
      </c>
    </row>
    <row r="8785" spans="1:49" x14ac:dyDescent="0.25">
      <c r="A8785" t="str">
        <f>"8781"</f>
        <v>8781</v>
      </c>
      <c r="B8785" t="str">
        <f t="shared" si="513"/>
        <v>1</v>
      </c>
      <c r="C8785" t="str">
        <f t="shared" si="516"/>
        <v>391</v>
      </c>
      <c r="D8785" t="str">
        <f>"11"</f>
        <v>11</v>
      </c>
      <c r="E8785" t="str">
        <f>"1-391-11"</f>
        <v>1-391-11</v>
      </c>
      <c r="F8785" t="s">
        <v>83</v>
      </c>
      <c r="G8785" t="s">
        <v>84</v>
      </c>
      <c r="H8785" t="s">
        <v>85</v>
      </c>
      <c r="AC8785">
        <v>1</v>
      </c>
      <c r="AD8785">
        <v>0</v>
      </c>
      <c r="AE8785">
        <v>0</v>
      </c>
      <c r="AF8785">
        <v>0</v>
      </c>
      <c r="AG8785">
        <v>1</v>
      </c>
      <c r="AJ8785">
        <v>1</v>
      </c>
      <c r="AK8785">
        <v>0</v>
      </c>
      <c r="AL8785">
        <v>0</v>
      </c>
      <c r="AM8785">
        <v>0</v>
      </c>
      <c r="AN8785">
        <v>0</v>
      </c>
      <c r="AO8785">
        <v>1</v>
      </c>
      <c r="AP8785">
        <v>1</v>
      </c>
      <c r="AQ8785">
        <v>1</v>
      </c>
      <c r="AR8785">
        <v>1</v>
      </c>
      <c r="AS8785">
        <v>0</v>
      </c>
      <c r="AT8785">
        <v>0</v>
      </c>
      <c r="AV8785">
        <v>1</v>
      </c>
      <c r="AW8785">
        <v>0</v>
      </c>
    </row>
    <row r="8786" spans="1:49" x14ac:dyDescent="0.25">
      <c r="A8786" t="str">
        <f>"8782"</f>
        <v>8782</v>
      </c>
      <c r="B8786" t="str">
        <f t="shared" si="513"/>
        <v>1</v>
      </c>
      <c r="C8786" t="str">
        <f t="shared" si="516"/>
        <v>391</v>
      </c>
      <c r="D8786" t="str">
        <f>"2"</f>
        <v>2</v>
      </c>
      <c r="E8786" t="str">
        <f>"1-391-2"</f>
        <v>1-391-2</v>
      </c>
      <c r="F8786" t="s">
        <v>83</v>
      </c>
      <c r="G8786" t="s">
        <v>84</v>
      </c>
      <c r="H8786" t="s">
        <v>92</v>
      </c>
      <c r="I8786">
        <v>1</v>
      </c>
      <c r="J8786">
        <v>1</v>
      </c>
      <c r="N8786">
        <v>1</v>
      </c>
      <c r="O8786">
        <v>1</v>
      </c>
      <c r="P8786">
        <v>1</v>
      </c>
      <c r="Q8786">
        <v>1</v>
      </c>
      <c r="R8786">
        <v>1</v>
      </c>
      <c r="S8786">
        <v>1</v>
      </c>
      <c r="T8786">
        <v>1</v>
      </c>
      <c r="W8786">
        <v>1</v>
      </c>
      <c r="X8786">
        <v>1</v>
      </c>
      <c r="Y8786">
        <v>1</v>
      </c>
      <c r="Z8786">
        <v>1</v>
      </c>
      <c r="AA8786">
        <v>1</v>
      </c>
      <c r="AB8786">
        <v>1</v>
      </c>
    </row>
    <row r="8787" spans="1:49" x14ac:dyDescent="0.25">
      <c r="A8787" t="str">
        <f>"8783"</f>
        <v>8783</v>
      </c>
      <c r="B8787" t="str">
        <f t="shared" si="513"/>
        <v>1</v>
      </c>
      <c r="C8787" t="str">
        <f t="shared" si="516"/>
        <v>391</v>
      </c>
      <c r="D8787" t="str">
        <f>"6"</f>
        <v>6</v>
      </c>
      <c r="E8787" t="str">
        <f>"1-391-6"</f>
        <v>1-391-6</v>
      </c>
      <c r="F8787" t="s">
        <v>83</v>
      </c>
      <c r="G8787" t="s">
        <v>84</v>
      </c>
      <c r="H8787" t="s">
        <v>85</v>
      </c>
      <c r="AC8787">
        <v>0</v>
      </c>
      <c r="AD8787">
        <v>1</v>
      </c>
      <c r="AE8787">
        <v>0</v>
      </c>
      <c r="AF8787">
        <v>0</v>
      </c>
      <c r="AG8787">
        <v>1</v>
      </c>
      <c r="AJ8787">
        <v>0</v>
      </c>
      <c r="AK8787">
        <v>1</v>
      </c>
      <c r="AL8787">
        <v>0</v>
      </c>
      <c r="AM8787">
        <v>0</v>
      </c>
      <c r="AN8787">
        <v>1</v>
      </c>
      <c r="AO8787">
        <v>1</v>
      </c>
      <c r="AP8787">
        <v>1</v>
      </c>
      <c r="AQ8787">
        <v>1</v>
      </c>
      <c r="AR8787">
        <v>1</v>
      </c>
      <c r="AS8787">
        <v>1</v>
      </c>
      <c r="AT8787">
        <v>0</v>
      </c>
      <c r="AV8787">
        <v>1</v>
      </c>
      <c r="AW8787">
        <v>1</v>
      </c>
    </row>
    <row r="8788" spans="1:49" x14ac:dyDescent="0.25">
      <c r="A8788" t="str">
        <f>"8784"</f>
        <v>8784</v>
      </c>
      <c r="B8788" t="str">
        <f t="shared" si="513"/>
        <v>1</v>
      </c>
      <c r="C8788" t="str">
        <f t="shared" si="516"/>
        <v>391</v>
      </c>
      <c r="D8788" t="str">
        <f>"16"</f>
        <v>16</v>
      </c>
      <c r="E8788" t="str">
        <f>"1-391-16"</f>
        <v>1-391-16</v>
      </c>
      <c r="F8788" t="s">
        <v>83</v>
      </c>
      <c r="G8788" t="s">
        <v>84</v>
      </c>
      <c r="H8788" t="s">
        <v>92</v>
      </c>
      <c r="I8788">
        <v>1</v>
      </c>
      <c r="J8788">
        <v>1</v>
      </c>
      <c r="N8788">
        <v>1</v>
      </c>
      <c r="O8788">
        <v>1</v>
      </c>
      <c r="P8788">
        <v>1</v>
      </c>
      <c r="Q8788">
        <v>1</v>
      </c>
      <c r="R8788">
        <v>1</v>
      </c>
      <c r="S8788">
        <v>1</v>
      </c>
      <c r="T8788">
        <v>1</v>
      </c>
      <c r="W8788">
        <v>1</v>
      </c>
      <c r="X8788">
        <v>1</v>
      </c>
      <c r="Y8788">
        <v>1</v>
      </c>
      <c r="Z8788">
        <v>1</v>
      </c>
      <c r="AA8788">
        <v>1</v>
      </c>
      <c r="AB8788">
        <v>1</v>
      </c>
    </row>
    <row r="8789" spans="1:49" x14ac:dyDescent="0.25">
      <c r="A8789" t="str">
        <f>"8785"</f>
        <v>8785</v>
      </c>
      <c r="B8789" t="str">
        <f t="shared" si="513"/>
        <v>1</v>
      </c>
      <c r="C8789" t="str">
        <f t="shared" si="516"/>
        <v>391</v>
      </c>
      <c r="D8789" t="str">
        <f>"3"</f>
        <v>3</v>
      </c>
      <c r="E8789" t="str">
        <f>"1-391-3"</f>
        <v>1-391-3</v>
      </c>
      <c r="F8789" t="s">
        <v>83</v>
      </c>
      <c r="G8789" t="s">
        <v>84</v>
      </c>
      <c r="H8789" t="s">
        <v>92</v>
      </c>
      <c r="I8789">
        <v>1</v>
      </c>
      <c r="J8789">
        <v>1</v>
      </c>
      <c r="N8789">
        <v>1</v>
      </c>
      <c r="O8789">
        <v>1</v>
      </c>
      <c r="P8789">
        <v>1</v>
      </c>
      <c r="Q8789">
        <v>1</v>
      </c>
      <c r="R8789">
        <v>1</v>
      </c>
      <c r="S8789">
        <v>1</v>
      </c>
      <c r="T8789">
        <v>1</v>
      </c>
      <c r="W8789">
        <v>1</v>
      </c>
      <c r="X8789">
        <v>1</v>
      </c>
      <c r="Y8789">
        <v>1</v>
      </c>
      <c r="Z8789">
        <v>1</v>
      </c>
      <c r="AA8789">
        <v>1</v>
      </c>
      <c r="AB8789">
        <v>1</v>
      </c>
    </row>
    <row r="8790" spans="1:49" x14ac:dyDescent="0.25">
      <c r="A8790" t="str">
        <f>"8786"</f>
        <v>8786</v>
      </c>
      <c r="B8790" t="str">
        <f t="shared" si="513"/>
        <v>1</v>
      </c>
      <c r="C8790" t="str">
        <f t="shared" si="516"/>
        <v>391</v>
      </c>
      <c r="D8790" t="str">
        <f>"17"</f>
        <v>17</v>
      </c>
      <c r="E8790" t="str">
        <f>"1-391-17"</f>
        <v>1-391-17</v>
      </c>
      <c r="F8790" t="s">
        <v>83</v>
      </c>
      <c r="G8790" t="s">
        <v>84</v>
      </c>
      <c r="H8790" t="s">
        <v>92</v>
      </c>
      <c r="I8790">
        <v>1</v>
      </c>
      <c r="J8790">
        <v>1</v>
      </c>
      <c r="N8790">
        <v>1</v>
      </c>
      <c r="O8790">
        <v>1</v>
      </c>
      <c r="P8790">
        <v>1</v>
      </c>
      <c r="Q8790">
        <v>1</v>
      </c>
      <c r="R8790">
        <v>1</v>
      </c>
      <c r="S8790">
        <v>1</v>
      </c>
      <c r="T8790">
        <v>1</v>
      </c>
      <c r="W8790">
        <v>1</v>
      </c>
      <c r="X8790">
        <v>1</v>
      </c>
      <c r="Y8790">
        <v>1</v>
      </c>
      <c r="Z8790">
        <v>1</v>
      </c>
      <c r="AA8790">
        <v>1</v>
      </c>
      <c r="AB8790">
        <v>1</v>
      </c>
    </row>
    <row r="8791" spans="1:49" x14ac:dyDescent="0.25">
      <c r="A8791" t="str">
        <f>"8787"</f>
        <v>8787</v>
      </c>
      <c r="B8791" t="str">
        <f t="shared" si="513"/>
        <v>1</v>
      </c>
      <c r="C8791" t="str">
        <f t="shared" si="516"/>
        <v>391</v>
      </c>
      <c r="D8791" t="str">
        <f>"5"</f>
        <v>5</v>
      </c>
      <c r="E8791" t="str">
        <f>"1-391-5"</f>
        <v>1-391-5</v>
      </c>
      <c r="F8791" t="s">
        <v>83</v>
      </c>
      <c r="G8791" t="s">
        <v>84</v>
      </c>
      <c r="H8791" t="s">
        <v>85</v>
      </c>
      <c r="AC8791">
        <v>1</v>
      </c>
      <c r="AD8791">
        <v>0</v>
      </c>
      <c r="AE8791">
        <v>0</v>
      </c>
      <c r="AF8791">
        <v>0</v>
      </c>
      <c r="AG8791">
        <v>1</v>
      </c>
      <c r="AJ8791">
        <v>1</v>
      </c>
      <c r="AK8791">
        <v>0</v>
      </c>
      <c r="AL8791">
        <v>1</v>
      </c>
      <c r="AM8791">
        <v>0</v>
      </c>
      <c r="AN8791">
        <v>0</v>
      </c>
      <c r="AO8791">
        <v>1</v>
      </c>
      <c r="AP8791">
        <v>1</v>
      </c>
      <c r="AQ8791">
        <v>1</v>
      </c>
      <c r="AR8791">
        <v>1</v>
      </c>
      <c r="AS8791">
        <v>0</v>
      </c>
      <c r="AT8791">
        <v>1</v>
      </c>
      <c r="AV8791">
        <v>1</v>
      </c>
      <c r="AW8791">
        <v>1</v>
      </c>
    </row>
    <row r="8792" spans="1:49" x14ac:dyDescent="0.25">
      <c r="A8792" t="str">
        <f>"8788"</f>
        <v>8788</v>
      </c>
      <c r="B8792" t="str">
        <f t="shared" si="513"/>
        <v>1</v>
      </c>
      <c r="C8792" t="str">
        <f t="shared" si="516"/>
        <v>391</v>
      </c>
      <c r="D8792" t="str">
        <f>"12"</f>
        <v>12</v>
      </c>
      <c r="E8792" t="str">
        <f>"1-391-12"</f>
        <v>1-391-12</v>
      </c>
      <c r="F8792" t="s">
        <v>83</v>
      </c>
      <c r="G8792" t="s">
        <v>84</v>
      </c>
      <c r="H8792" t="s">
        <v>85</v>
      </c>
      <c r="AC8792">
        <v>0</v>
      </c>
      <c r="AD8792">
        <v>0</v>
      </c>
      <c r="AE8792">
        <v>0</v>
      </c>
      <c r="AF8792">
        <v>0</v>
      </c>
      <c r="AG8792">
        <v>1</v>
      </c>
      <c r="AJ8792">
        <v>0</v>
      </c>
      <c r="AK8792">
        <v>1</v>
      </c>
      <c r="AL8792">
        <v>0</v>
      </c>
      <c r="AM8792">
        <v>1</v>
      </c>
      <c r="AN8792">
        <v>0</v>
      </c>
      <c r="AO8792">
        <v>1</v>
      </c>
      <c r="AP8792">
        <v>1</v>
      </c>
      <c r="AQ8792">
        <v>1</v>
      </c>
      <c r="AR8792">
        <v>1</v>
      </c>
      <c r="AS8792">
        <v>1</v>
      </c>
      <c r="AT8792">
        <v>0</v>
      </c>
      <c r="AV8792">
        <v>1</v>
      </c>
      <c r="AW8792">
        <v>1</v>
      </c>
    </row>
    <row r="8793" spans="1:49" x14ac:dyDescent="0.25">
      <c r="A8793" t="str">
        <f>"8789"</f>
        <v>8789</v>
      </c>
      <c r="B8793" t="str">
        <f t="shared" si="513"/>
        <v>1</v>
      </c>
      <c r="C8793" t="str">
        <f t="shared" ref="C8793:C8814" si="517">"392"</f>
        <v>392</v>
      </c>
      <c r="D8793" t="str">
        <f>"19"</f>
        <v>19</v>
      </c>
      <c r="E8793" t="str">
        <f>"1-392-19"</f>
        <v>1-392-19</v>
      </c>
      <c r="F8793" t="s">
        <v>83</v>
      </c>
      <c r="G8793" t="s">
        <v>84</v>
      </c>
      <c r="H8793" t="s">
        <v>85</v>
      </c>
      <c r="AC8793">
        <v>0</v>
      </c>
      <c r="AD8793">
        <v>1</v>
      </c>
      <c r="AE8793">
        <v>0</v>
      </c>
      <c r="AF8793">
        <v>0</v>
      </c>
      <c r="AG8793">
        <v>0</v>
      </c>
      <c r="AJ8793">
        <v>0</v>
      </c>
      <c r="AK8793">
        <v>1</v>
      </c>
      <c r="AL8793">
        <v>0</v>
      </c>
      <c r="AM8793">
        <v>0</v>
      </c>
      <c r="AN8793">
        <v>1</v>
      </c>
      <c r="AO8793">
        <v>1</v>
      </c>
      <c r="AP8793">
        <v>1</v>
      </c>
      <c r="AQ8793">
        <v>0</v>
      </c>
      <c r="AR8793">
        <v>1</v>
      </c>
      <c r="AS8793">
        <v>1</v>
      </c>
      <c r="AT8793">
        <v>0</v>
      </c>
      <c r="AV8793">
        <v>1</v>
      </c>
      <c r="AW8793">
        <v>1</v>
      </c>
    </row>
    <row r="8794" spans="1:49" x14ac:dyDescent="0.25">
      <c r="A8794" t="str">
        <f>"8790"</f>
        <v>8790</v>
      </c>
      <c r="B8794" t="str">
        <f t="shared" si="513"/>
        <v>1</v>
      </c>
      <c r="C8794" t="str">
        <f t="shared" si="517"/>
        <v>392</v>
      </c>
      <c r="D8794" t="str">
        <f>"18"</f>
        <v>18</v>
      </c>
      <c r="E8794" t="str">
        <f>"1-392-18"</f>
        <v>1-392-18</v>
      </c>
      <c r="F8794" t="s">
        <v>83</v>
      </c>
      <c r="G8794" t="s">
        <v>84</v>
      </c>
      <c r="H8794" t="s">
        <v>85</v>
      </c>
      <c r="AC8794">
        <v>1</v>
      </c>
      <c r="AD8794">
        <v>0</v>
      </c>
      <c r="AE8794">
        <v>0</v>
      </c>
      <c r="AF8794">
        <v>0</v>
      </c>
      <c r="AG8794">
        <v>1</v>
      </c>
      <c r="AJ8794">
        <v>1</v>
      </c>
      <c r="AK8794">
        <v>0</v>
      </c>
      <c r="AL8794">
        <v>1</v>
      </c>
      <c r="AM8794">
        <v>0</v>
      </c>
      <c r="AN8794">
        <v>0</v>
      </c>
      <c r="AO8794">
        <v>1</v>
      </c>
      <c r="AP8794">
        <v>1</v>
      </c>
      <c r="AQ8794">
        <v>1</v>
      </c>
      <c r="AR8794">
        <v>1</v>
      </c>
      <c r="AS8794">
        <v>0</v>
      </c>
      <c r="AT8794">
        <v>1</v>
      </c>
      <c r="AV8794">
        <v>1</v>
      </c>
      <c r="AW8794">
        <v>1</v>
      </c>
    </row>
    <row r="8795" spans="1:49" x14ac:dyDescent="0.25">
      <c r="A8795" t="str">
        <f>"8791"</f>
        <v>8791</v>
      </c>
      <c r="B8795" t="str">
        <f t="shared" si="513"/>
        <v>1</v>
      </c>
      <c r="C8795" t="str">
        <f t="shared" si="517"/>
        <v>392</v>
      </c>
      <c r="D8795" t="str">
        <f>"15"</f>
        <v>15</v>
      </c>
      <c r="E8795" t="str">
        <f>"1-392-15"</f>
        <v>1-392-15</v>
      </c>
      <c r="F8795" t="s">
        <v>83</v>
      </c>
      <c r="G8795" t="s">
        <v>86</v>
      </c>
      <c r="H8795" t="s">
        <v>87</v>
      </c>
      <c r="AC8795">
        <v>1</v>
      </c>
      <c r="AD8795">
        <v>0</v>
      </c>
      <c r="AE8795">
        <v>0</v>
      </c>
      <c r="AF8795">
        <v>0</v>
      </c>
      <c r="AH8795">
        <v>1</v>
      </c>
      <c r="AI8795">
        <v>0</v>
      </c>
      <c r="AJ8795">
        <v>1</v>
      </c>
      <c r="AK8795">
        <v>0</v>
      </c>
      <c r="AL8795">
        <v>1</v>
      </c>
      <c r="AM8795">
        <v>0</v>
      </c>
      <c r="AN8795">
        <v>0</v>
      </c>
      <c r="AO8795">
        <v>1</v>
      </c>
      <c r="AP8795">
        <v>1</v>
      </c>
      <c r="AQ8795">
        <v>1</v>
      </c>
      <c r="AU8795">
        <v>1</v>
      </c>
      <c r="AV8795">
        <v>1</v>
      </c>
      <c r="AW8795">
        <v>1</v>
      </c>
    </row>
    <row r="8796" spans="1:49" x14ac:dyDescent="0.25">
      <c r="A8796" t="str">
        <f>"8792"</f>
        <v>8792</v>
      </c>
      <c r="B8796" t="str">
        <f t="shared" si="513"/>
        <v>1</v>
      </c>
      <c r="C8796" t="str">
        <f t="shared" si="517"/>
        <v>392</v>
      </c>
      <c r="D8796" t="str">
        <f>"14"</f>
        <v>14</v>
      </c>
      <c r="E8796" t="str">
        <f>"1-392-14"</f>
        <v>1-392-14</v>
      </c>
      <c r="F8796" t="s">
        <v>83</v>
      </c>
      <c r="G8796" t="s">
        <v>90</v>
      </c>
      <c r="H8796" t="s">
        <v>94</v>
      </c>
      <c r="I8796">
        <v>1</v>
      </c>
      <c r="K8796">
        <v>0</v>
      </c>
      <c r="L8796">
        <v>0</v>
      </c>
      <c r="M8796">
        <v>1</v>
      </c>
      <c r="N8796">
        <v>1</v>
      </c>
      <c r="O8796">
        <v>1</v>
      </c>
      <c r="P8796">
        <v>1</v>
      </c>
      <c r="Q8796">
        <v>1</v>
      </c>
      <c r="R8796">
        <v>1</v>
      </c>
      <c r="S8796">
        <v>1</v>
      </c>
      <c r="U8796">
        <v>1</v>
      </c>
      <c r="V8796">
        <v>0</v>
      </c>
      <c r="W8796">
        <v>1</v>
      </c>
      <c r="X8796">
        <v>1</v>
      </c>
      <c r="Y8796">
        <v>1</v>
      </c>
      <c r="Z8796">
        <v>1</v>
      </c>
      <c r="AA8796">
        <v>1</v>
      </c>
      <c r="AB8796">
        <v>1</v>
      </c>
    </row>
    <row r="8797" spans="1:49" x14ac:dyDescent="0.25">
      <c r="A8797" t="str">
        <f>"8793"</f>
        <v>8793</v>
      </c>
      <c r="B8797" t="str">
        <f t="shared" si="513"/>
        <v>1</v>
      </c>
      <c r="C8797" t="str">
        <f t="shared" si="517"/>
        <v>392</v>
      </c>
      <c r="D8797" t="str">
        <f>"9"</f>
        <v>9</v>
      </c>
      <c r="E8797" t="str">
        <f>"1-392-9"</f>
        <v>1-392-9</v>
      </c>
      <c r="F8797" t="s">
        <v>83</v>
      </c>
      <c r="G8797" t="s">
        <v>84</v>
      </c>
      <c r="H8797" t="s">
        <v>85</v>
      </c>
      <c r="AC8797">
        <v>0</v>
      </c>
      <c r="AD8797">
        <v>1</v>
      </c>
      <c r="AE8797">
        <v>0</v>
      </c>
      <c r="AF8797">
        <v>0</v>
      </c>
      <c r="AG8797">
        <v>0</v>
      </c>
      <c r="AJ8797">
        <v>0</v>
      </c>
      <c r="AK8797">
        <v>1</v>
      </c>
      <c r="AL8797">
        <v>0</v>
      </c>
      <c r="AM8797">
        <v>1</v>
      </c>
      <c r="AN8797">
        <v>0</v>
      </c>
      <c r="AO8797">
        <v>0</v>
      </c>
      <c r="AP8797">
        <v>0</v>
      </c>
      <c r="AQ8797">
        <v>0</v>
      </c>
      <c r="AR8797">
        <v>0</v>
      </c>
      <c r="AS8797">
        <v>1</v>
      </c>
      <c r="AT8797">
        <v>0</v>
      </c>
      <c r="AV8797">
        <v>0</v>
      </c>
      <c r="AW8797">
        <v>0</v>
      </c>
    </row>
    <row r="8798" spans="1:49" x14ac:dyDescent="0.25">
      <c r="A8798" t="str">
        <f>"8794"</f>
        <v>8794</v>
      </c>
      <c r="B8798" t="str">
        <f t="shared" ref="B8798:B8861" si="518">"1"</f>
        <v>1</v>
      </c>
      <c r="C8798" t="str">
        <f t="shared" si="517"/>
        <v>392</v>
      </c>
      <c r="D8798" t="str">
        <f>"8"</f>
        <v>8</v>
      </c>
      <c r="E8798" t="str">
        <f>"1-392-8"</f>
        <v>1-392-8</v>
      </c>
      <c r="F8798" t="s">
        <v>83</v>
      </c>
      <c r="G8798" t="s">
        <v>84</v>
      </c>
      <c r="H8798" t="s">
        <v>85</v>
      </c>
      <c r="AC8798">
        <v>0</v>
      </c>
      <c r="AD8798">
        <v>1</v>
      </c>
      <c r="AE8798">
        <v>0</v>
      </c>
      <c r="AF8798">
        <v>0</v>
      </c>
      <c r="AG8798">
        <v>1</v>
      </c>
      <c r="AJ8798">
        <v>0</v>
      </c>
      <c r="AK8798">
        <v>1</v>
      </c>
      <c r="AL8798">
        <v>0</v>
      </c>
      <c r="AM8798">
        <v>1</v>
      </c>
      <c r="AN8798">
        <v>0</v>
      </c>
      <c r="AO8798">
        <v>1</v>
      </c>
      <c r="AP8798">
        <v>1</v>
      </c>
      <c r="AQ8798">
        <v>1</v>
      </c>
      <c r="AR8798">
        <v>1</v>
      </c>
      <c r="AS8798">
        <v>0</v>
      </c>
      <c r="AT8798">
        <v>1</v>
      </c>
      <c r="AV8798">
        <v>1</v>
      </c>
      <c r="AW8798">
        <v>1</v>
      </c>
    </row>
    <row r="8799" spans="1:49" x14ac:dyDescent="0.25">
      <c r="A8799" t="str">
        <f>"8795"</f>
        <v>8795</v>
      </c>
      <c r="B8799" t="str">
        <f t="shared" si="518"/>
        <v>1</v>
      </c>
      <c r="C8799" t="str">
        <f t="shared" si="517"/>
        <v>392</v>
      </c>
      <c r="D8799" t="str">
        <f>"1"</f>
        <v>1</v>
      </c>
      <c r="E8799" t="str">
        <f>"1-392-1"</f>
        <v>1-392-1</v>
      </c>
      <c r="F8799" t="s">
        <v>83</v>
      </c>
      <c r="G8799" t="s">
        <v>84</v>
      </c>
      <c r="H8799" t="s">
        <v>92</v>
      </c>
      <c r="I8799">
        <v>1</v>
      </c>
      <c r="J8799">
        <v>1</v>
      </c>
      <c r="N8799">
        <v>1</v>
      </c>
      <c r="O8799">
        <v>1</v>
      </c>
      <c r="P8799">
        <v>1</v>
      </c>
      <c r="Q8799">
        <v>1</v>
      </c>
      <c r="R8799">
        <v>1</v>
      </c>
      <c r="S8799">
        <v>1</v>
      </c>
      <c r="T8799">
        <v>1</v>
      </c>
      <c r="W8799">
        <v>1</v>
      </c>
      <c r="X8799">
        <v>1</v>
      </c>
      <c r="Y8799">
        <v>1</v>
      </c>
      <c r="Z8799">
        <v>1</v>
      </c>
      <c r="AA8799">
        <v>1</v>
      </c>
      <c r="AB8799">
        <v>1</v>
      </c>
    </row>
    <row r="8800" spans="1:49" x14ac:dyDescent="0.25">
      <c r="A8800" t="str">
        <f>"8796"</f>
        <v>8796</v>
      </c>
      <c r="B8800" t="str">
        <f t="shared" si="518"/>
        <v>1</v>
      </c>
      <c r="C8800" t="str">
        <f t="shared" si="517"/>
        <v>392</v>
      </c>
      <c r="D8800" t="str">
        <f>"10"</f>
        <v>10</v>
      </c>
      <c r="E8800" t="str">
        <f>"1-392-10"</f>
        <v>1-392-10</v>
      </c>
      <c r="F8800" t="s">
        <v>83</v>
      </c>
      <c r="G8800" t="s">
        <v>86</v>
      </c>
      <c r="H8800" t="s">
        <v>93</v>
      </c>
      <c r="I8800">
        <v>1</v>
      </c>
      <c r="K8800">
        <v>1</v>
      </c>
      <c r="L8800">
        <v>0</v>
      </c>
      <c r="M8800">
        <v>0</v>
      </c>
      <c r="N8800">
        <v>1</v>
      </c>
      <c r="O8800">
        <v>1</v>
      </c>
      <c r="P8800">
        <v>1</v>
      </c>
      <c r="Q8800">
        <v>1</v>
      </c>
      <c r="R8800">
        <v>1</v>
      </c>
      <c r="U8800">
        <v>0</v>
      </c>
      <c r="V8800">
        <v>1</v>
      </c>
      <c r="W8800">
        <v>1</v>
      </c>
      <c r="X8800">
        <v>1</v>
      </c>
      <c r="Y8800">
        <v>1</v>
      </c>
      <c r="Z8800">
        <v>1</v>
      </c>
      <c r="AA8800">
        <v>1</v>
      </c>
      <c r="AB8800">
        <v>1</v>
      </c>
    </row>
    <row r="8801" spans="1:49" x14ac:dyDescent="0.25">
      <c r="A8801" t="str">
        <f>"8797"</f>
        <v>8797</v>
      </c>
      <c r="B8801" t="str">
        <f t="shared" si="518"/>
        <v>1</v>
      </c>
      <c r="C8801" t="str">
        <f t="shared" si="517"/>
        <v>392</v>
      </c>
      <c r="D8801" t="str">
        <f>"20"</f>
        <v>20</v>
      </c>
      <c r="E8801" t="str">
        <f>"1-392-20"</f>
        <v>1-392-20</v>
      </c>
      <c r="F8801" t="s">
        <v>83</v>
      </c>
      <c r="G8801" t="s">
        <v>86</v>
      </c>
      <c r="H8801" t="s">
        <v>87</v>
      </c>
      <c r="AC8801">
        <v>0</v>
      </c>
      <c r="AD8801">
        <v>1</v>
      </c>
      <c r="AE8801">
        <v>0</v>
      </c>
      <c r="AF8801">
        <v>0</v>
      </c>
      <c r="AH8801">
        <v>0</v>
      </c>
      <c r="AI8801">
        <v>1</v>
      </c>
      <c r="AJ8801">
        <v>0</v>
      </c>
      <c r="AK8801">
        <v>1</v>
      </c>
      <c r="AL8801">
        <v>0</v>
      </c>
      <c r="AM8801">
        <v>0</v>
      </c>
      <c r="AN8801">
        <v>1</v>
      </c>
      <c r="AO8801">
        <v>1</v>
      </c>
      <c r="AP8801">
        <v>1</v>
      </c>
      <c r="AQ8801">
        <v>1</v>
      </c>
      <c r="AU8801">
        <v>1</v>
      </c>
      <c r="AV8801">
        <v>1</v>
      </c>
      <c r="AW8801">
        <v>1</v>
      </c>
    </row>
    <row r="8802" spans="1:49" x14ac:dyDescent="0.25">
      <c r="A8802" t="str">
        <f>"8798"</f>
        <v>8798</v>
      </c>
      <c r="B8802" t="str">
        <f t="shared" si="518"/>
        <v>1</v>
      </c>
      <c r="C8802" t="str">
        <f t="shared" si="517"/>
        <v>392</v>
      </c>
      <c r="D8802" t="str">
        <f>"11"</f>
        <v>11</v>
      </c>
      <c r="E8802" t="str">
        <f>"1-392-11"</f>
        <v>1-392-11</v>
      </c>
      <c r="F8802" t="s">
        <v>83</v>
      </c>
      <c r="G8802" t="s">
        <v>86</v>
      </c>
      <c r="H8802" t="s">
        <v>93</v>
      </c>
      <c r="I8802">
        <v>1</v>
      </c>
      <c r="K8802">
        <v>1</v>
      </c>
      <c r="L8802">
        <v>0</v>
      </c>
      <c r="M8802">
        <v>0</v>
      </c>
      <c r="N8802">
        <v>1</v>
      </c>
      <c r="O8802">
        <v>1</v>
      </c>
      <c r="P8802">
        <v>1</v>
      </c>
      <c r="Q8802">
        <v>1</v>
      </c>
      <c r="R8802">
        <v>1</v>
      </c>
      <c r="U8802">
        <v>1</v>
      </c>
      <c r="V8802">
        <v>0</v>
      </c>
      <c r="W8802">
        <v>1</v>
      </c>
      <c r="X8802">
        <v>1</v>
      </c>
      <c r="Y8802">
        <v>1</v>
      </c>
      <c r="Z8802">
        <v>1</v>
      </c>
      <c r="AA8802">
        <v>1</v>
      </c>
      <c r="AB8802">
        <v>1</v>
      </c>
    </row>
    <row r="8803" spans="1:49" x14ac:dyDescent="0.25">
      <c r="A8803" t="str">
        <f>"8799"</f>
        <v>8799</v>
      </c>
      <c r="B8803" t="str">
        <f t="shared" si="518"/>
        <v>1</v>
      </c>
      <c r="C8803" t="str">
        <f t="shared" si="517"/>
        <v>392</v>
      </c>
      <c r="D8803" t="str">
        <f>"5"</f>
        <v>5</v>
      </c>
      <c r="E8803" t="str">
        <f>"1-392-5"</f>
        <v>1-392-5</v>
      </c>
      <c r="F8803" t="s">
        <v>83</v>
      </c>
      <c r="G8803" t="s">
        <v>84</v>
      </c>
      <c r="H8803" t="s">
        <v>85</v>
      </c>
      <c r="AC8803">
        <v>1</v>
      </c>
      <c r="AD8803">
        <v>0</v>
      </c>
      <c r="AE8803">
        <v>0</v>
      </c>
      <c r="AF8803">
        <v>0</v>
      </c>
      <c r="AG8803">
        <v>0</v>
      </c>
      <c r="AJ8803">
        <v>1</v>
      </c>
      <c r="AK8803">
        <v>0</v>
      </c>
      <c r="AL8803">
        <v>1</v>
      </c>
      <c r="AM8803">
        <v>0</v>
      </c>
      <c r="AN8803">
        <v>0</v>
      </c>
      <c r="AO8803">
        <v>1</v>
      </c>
      <c r="AP8803">
        <v>1</v>
      </c>
      <c r="AQ8803">
        <v>1</v>
      </c>
      <c r="AR8803">
        <v>1</v>
      </c>
      <c r="AS8803">
        <v>1</v>
      </c>
      <c r="AT8803">
        <v>0</v>
      </c>
      <c r="AV8803">
        <v>1</v>
      </c>
      <c r="AW8803">
        <v>1</v>
      </c>
    </row>
    <row r="8804" spans="1:49" x14ac:dyDescent="0.25">
      <c r="A8804" t="str">
        <f>"8800"</f>
        <v>8800</v>
      </c>
      <c r="B8804" t="str">
        <f t="shared" si="518"/>
        <v>1</v>
      </c>
      <c r="C8804" t="str">
        <f t="shared" si="517"/>
        <v>392</v>
      </c>
      <c r="D8804" t="str">
        <f>"22"</f>
        <v>22</v>
      </c>
      <c r="E8804" t="str">
        <f>"1-392-22"</f>
        <v>1-392-22</v>
      </c>
      <c r="F8804" t="s">
        <v>83</v>
      </c>
      <c r="G8804" t="s">
        <v>86</v>
      </c>
      <c r="H8804" t="s">
        <v>87</v>
      </c>
      <c r="AC8804">
        <v>0</v>
      </c>
      <c r="AD8804">
        <v>0</v>
      </c>
      <c r="AE8804">
        <v>0</v>
      </c>
      <c r="AF8804">
        <v>0</v>
      </c>
      <c r="AH8804">
        <v>0</v>
      </c>
      <c r="AI8804">
        <v>1</v>
      </c>
      <c r="AJ8804">
        <v>0</v>
      </c>
      <c r="AK8804">
        <v>0</v>
      </c>
      <c r="AL8804">
        <v>0</v>
      </c>
      <c r="AM8804">
        <v>0</v>
      </c>
      <c r="AN8804">
        <v>0</v>
      </c>
      <c r="AO8804">
        <v>0</v>
      </c>
      <c r="AP8804">
        <v>0</v>
      </c>
      <c r="AQ8804">
        <v>0</v>
      </c>
      <c r="AU8804">
        <v>0</v>
      </c>
      <c r="AV8804">
        <v>0</v>
      </c>
      <c r="AW8804">
        <v>0</v>
      </c>
    </row>
    <row r="8805" spans="1:49" x14ac:dyDescent="0.25">
      <c r="A8805" t="str">
        <f>"8801"</f>
        <v>8801</v>
      </c>
      <c r="B8805" t="str">
        <f t="shared" si="518"/>
        <v>1</v>
      </c>
      <c r="C8805" t="str">
        <f t="shared" si="517"/>
        <v>392</v>
      </c>
      <c r="D8805" t="str">
        <f>"12"</f>
        <v>12</v>
      </c>
      <c r="E8805" t="str">
        <f>"1-392-12"</f>
        <v>1-392-12</v>
      </c>
      <c r="F8805" t="s">
        <v>83</v>
      </c>
      <c r="G8805" t="s">
        <v>84</v>
      </c>
      <c r="H8805" t="s">
        <v>85</v>
      </c>
      <c r="AC8805">
        <v>1</v>
      </c>
      <c r="AD8805">
        <v>0</v>
      </c>
      <c r="AE8805">
        <v>0</v>
      </c>
      <c r="AF8805">
        <v>0</v>
      </c>
      <c r="AG8805">
        <v>1</v>
      </c>
      <c r="AJ8805">
        <v>1</v>
      </c>
      <c r="AK8805">
        <v>0</v>
      </c>
      <c r="AL8805">
        <v>1</v>
      </c>
      <c r="AM8805">
        <v>0</v>
      </c>
      <c r="AN8805">
        <v>0</v>
      </c>
      <c r="AO8805">
        <v>1</v>
      </c>
      <c r="AP8805">
        <v>1</v>
      </c>
      <c r="AQ8805">
        <v>1</v>
      </c>
      <c r="AR8805">
        <v>1</v>
      </c>
      <c r="AS8805">
        <v>0</v>
      </c>
      <c r="AT8805">
        <v>1</v>
      </c>
      <c r="AV8805">
        <v>1</v>
      </c>
      <c r="AW8805">
        <v>1</v>
      </c>
    </row>
    <row r="8806" spans="1:49" x14ac:dyDescent="0.25">
      <c r="A8806" t="str">
        <f>"8802"</f>
        <v>8802</v>
      </c>
      <c r="B8806" t="str">
        <f t="shared" si="518"/>
        <v>1</v>
      </c>
      <c r="C8806" t="str">
        <f t="shared" si="517"/>
        <v>392</v>
      </c>
      <c r="D8806" t="str">
        <f>"2"</f>
        <v>2</v>
      </c>
      <c r="E8806" t="str">
        <f>"1-392-2"</f>
        <v>1-392-2</v>
      </c>
      <c r="F8806" t="s">
        <v>83</v>
      </c>
      <c r="G8806" t="s">
        <v>84</v>
      </c>
      <c r="H8806" t="s">
        <v>85</v>
      </c>
      <c r="AC8806">
        <v>0</v>
      </c>
      <c r="AD8806">
        <v>1</v>
      </c>
      <c r="AE8806">
        <v>0</v>
      </c>
      <c r="AF8806">
        <v>0</v>
      </c>
      <c r="AG8806">
        <v>0</v>
      </c>
      <c r="AJ8806">
        <v>0</v>
      </c>
      <c r="AK8806">
        <v>1</v>
      </c>
      <c r="AL8806">
        <v>1</v>
      </c>
      <c r="AM8806">
        <v>0</v>
      </c>
      <c r="AN8806">
        <v>0</v>
      </c>
      <c r="AO8806">
        <v>0</v>
      </c>
      <c r="AP8806">
        <v>0</v>
      </c>
      <c r="AQ8806">
        <v>0</v>
      </c>
      <c r="AR8806">
        <v>0</v>
      </c>
      <c r="AS8806">
        <v>0</v>
      </c>
      <c r="AT8806">
        <v>0</v>
      </c>
      <c r="AV8806">
        <v>0</v>
      </c>
      <c r="AW8806">
        <v>0</v>
      </c>
    </row>
    <row r="8807" spans="1:49" x14ac:dyDescent="0.25">
      <c r="A8807" t="str">
        <f>"8803"</f>
        <v>8803</v>
      </c>
      <c r="B8807" t="str">
        <f t="shared" si="518"/>
        <v>1</v>
      </c>
      <c r="C8807" t="str">
        <f t="shared" si="517"/>
        <v>392</v>
      </c>
      <c r="D8807" t="str">
        <f>"21"</f>
        <v>21</v>
      </c>
      <c r="E8807" t="str">
        <f>"1-392-21"</f>
        <v>1-392-21</v>
      </c>
      <c r="F8807" t="s">
        <v>83</v>
      </c>
      <c r="G8807" t="s">
        <v>86</v>
      </c>
      <c r="H8807" t="s">
        <v>93</v>
      </c>
      <c r="I8807">
        <v>1</v>
      </c>
      <c r="K8807">
        <v>0</v>
      </c>
      <c r="L8807">
        <v>0</v>
      </c>
      <c r="M8807">
        <v>1</v>
      </c>
      <c r="N8807">
        <v>1</v>
      </c>
      <c r="O8807">
        <v>1</v>
      </c>
      <c r="P8807">
        <v>1</v>
      </c>
      <c r="Q8807">
        <v>1</v>
      </c>
      <c r="R8807">
        <v>1</v>
      </c>
      <c r="U8807">
        <v>0</v>
      </c>
      <c r="V8807">
        <v>1</v>
      </c>
      <c r="W8807">
        <v>1</v>
      </c>
      <c r="X8807">
        <v>1</v>
      </c>
      <c r="Y8807">
        <v>1</v>
      </c>
      <c r="Z8807">
        <v>1</v>
      </c>
      <c r="AA8807">
        <v>1</v>
      </c>
      <c r="AB8807">
        <v>1</v>
      </c>
    </row>
    <row r="8808" spans="1:49" x14ac:dyDescent="0.25">
      <c r="A8808" t="str">
        <f>"8804"</f>
        <v>8804</v>
      </c>
      <c r="B8808" t="str">
        <f t="shared" si="518"/>
        <v>1</v>
      </c>
      <c r="C8808" t="str">
        <f t="shared" si="517"/>
        <v>392</v>
      </c>
      <c r="D8808" t="str">
        <f>"13"</f>
        <v>13</v>
      </c>
      <c r="E8808" t="str">
        <f>"1-392-13"</f>
        <v>1-392-13</v>
      </c>
      <c r="F8808" t="s">
        <v>83</v>
      </c>
      <c r="G8808" t="s">
        <v>84</v>
      </c>
      <c r="H8808" t="s">
        <v>92</v>
      </c>
      <c r="I8808">
        <v>1</v>
      </c>
      <c r="J8808">
        <v>1</v>
      </c>
      <c r="N8808">
        <v>1</v>
      </c>
      <c r="O8808">
        <v>1</v>
      </c>
      <c r="P8808">
        <v>1</v>
      </c>
      <c r="Q8808">
        <v>1</v>
      </c>
      <c r="R8808">
        <v>1</v>
      </c>
      <c r="S8808">
        <v>1</v>
      </c>
      <c r="T8808">
        <v>1</v>
      </c>
      <c r="W8808">
        <v>1</v>
      </c>
      <c r="X8808">
        <v>1</v>
      </c>
      <c r="Y8808">
        <v>1</v>
      </c>
      <c r="Z8808">
        <v>1</v>
      </c>
      <c r="AA8808">
        <v>1</v>
      </c>
      <c r="AB8808">
        <v>1</v>
      </c>
    </row>
    <row r="8809" spans="1:49" x14ac:dyDescent="0.25">
      <c r="A8809" t="str">
        <f>"8805"</f>
        <v>8805</v>
      </c>
      <c r="B8809" t="str">
        <f t="shared" si="518"/>
        <v>1</v>
      </c>
      <c r="C8809" t="str">
        <f t="shared" si="517"/>
        <v>392</v>
      </c>
      <c r="D8809" t="str">
        <f>"6"</f>
        <v>6</v>
      </c>
      <c r="E8809" t="str">
        <f>"1-392-6"</f>
        <v>1-392-6</v>
      </c>
      <c r="F8809" t="s">
        <v>83</v>
      </c>
      <c r="G8809" t="s">
        <v>84</v>
      </c>
      <c r="H8809" t="s">
        <v>85</v>
      </c>
      <c r="AC8809">
        <v>1</v>
      </c>
      <c r="AD8809">
        <v>0</v>
      </c>
      <c r="AE8809">
        <v>0</v>
      </c>
      <c r="AF8809">
        <v>0</v>
      </c>
      <c r="AG8809">
        <v>1</v>
      </c>
      <c r="AJ8809">
        <v>1</v>
      </c>
      <c r="AK8809">
        <v>0</v>
      </c>
      <c r="AL8809">
        <v>1</v>
      </c>
      <c r="AM8809">
        <v>0</v>
      </c>
      <c r="AN8809">
        <v>0</v>
      </c>
      <c r="AO8809">
        <v>1</v>
      </c>
      <c r="AP8809">
        <v>1</v>
      </c>
      <c r="AQ8809">
        <v>1</v>
      </c>
      <c r="AR8809">
        <v>1</v>
      </c>
      <c r="AS8809">
        <v>1</v>
      </c>
      <c r="AT8809">
        <v>0</v>
      </c>
      <c r="AV8809">
        <v>1</v>
      </c>
      <c r="AW8809">
        <v>1</v>
      </c>
    </row>
    <row r="8810" spans="1:49" x14ac:dyDescent="0.25">
      <c r="A8810" t="str">
        <f>"8806"</f>
        <v>8806</v>
      </c>
      <c r="B8810" t="str">
        <f t="shared" si="518"/>
        <v>1</v>
      </c>
      <c r="C8810" t="str">
        <f t="shared" si="517"/>
        <v>392</v>
      </c>
      <c r="D8810" t="str">
        <f>"16"</f>
        <v>16</v>
      </c>
      <c r="E8810" t="str">
        <f>"1-392-16"</f>
        <v>1-392-16</v>
      </c>
      <c r="F8810" t="s">
        <v>83</v>
      </c>
      <c r="G8810" t="s">
        <v>84</v>
      </c>
      <c r="H8810" t="s">
        <v>85</v>
      </c>
      <c r="AC8810">
        <v>0</v>
      </c>
      <c r="AD8810">
        <v>0</v>
      </c>
      <c r="AE8810">
        <v>0</v>
      </c>
      <c r="AF8810">
        <v>0</v>
      </c>
      <c r="AG8810">
        <v>0</v>
      </c>
      <c r="AJ8810">
        <v>0</v>
      </c>
      <c r="AK8810">
        <v>0</v>
      </c>
      <c r="AL8810">
        <v>0</v>
      </c>
      <c r="AM8810">
        <v>0</v>
      </c>
      <c r="AN8810">
        <v>1</v>
      </c>
      <c r="AO8810">
        <v>0</v>
      </c>
      <c r="AP8810">
        <v>0</v>
      </c>
      <c r="AQ8810">
        <v>0</v>
      </c>
      <c r="AR8810">
        <v>0</v>
      </c>
      <c r="AS8810">
        <v>0</v>
      </c>
      <c r="AT8810">
        <v>0</v>
      </c>
      <c r="AV8810">
        <v>0</v>
      </c>
      <c r="AW8810">
        <v>0</v>
      </c>
    </row>
    <row r="8811" spans="1:49" x14ac:dyDescent="0.25">
      <c r="A8811" t="str">
        <f>"8807"</f>
        <v>8807</v>
      </c>
      <c r="B8811" t="str">
        <f t="shared" si="518"/>
        <v>1</v>
      </c>
      <c r="C8811" t="str">
        <f t="shared" si="517"/>
        <v>392</v>
      </c>
      <c r="D8811" t="str">
        <f>"7"</f>
        <v>7</v>
      </c>
      <c r="E8811" t="str">
        <f>"1-392-7"</f>
        <v>1-392-7</v>
      </c>
      <c r="F8811" t="s">
        <v>83</v>
      </c>
      <c r="G8811" t="s">
        <v>84</v>
      </c>
      <c r="H8811" t="s">
        <v>85</v>
      </c>
      <c r="AC8811">
        <v>0</v>
      </c>
      <c r="AD8811">
        <v>1</v>
      </c>
      <c r="AE8811">
        <v>0</v>
      </c>
      <c r="AF8811">
        <v>0</v>
      </c>
      <c r="AG8811">
        <v>1</v>
      </c>
      <c r="AJ8811">
        <v>0</v>
      </c>
      <c r="AK8811">
        <v>1</v>
      </c>
      <c r="AL8811">
        <v>0</v>
      </c>
      <c r="AM8811">
        <v>1</v>
      </c>
      <c r="AN8811">
        <v>0</v>
      </c>
      <c r="AO8811">
        <v>1</v>
      </c>
      <c r="AP8811">
        <v>1</v>
      </c>
      <c r="AQ8811">
        <v>1</v>
      </c>
      <c r="AR8811">
        <v>1</v>
      </c>
      <c r="AS8811">
        <v>0</v>
      </c>
      <c r="AT8811">
        <v>0</v>
      </c>
      <c r="AV8811">
        <v>0</v>
      </c>
      <c r="AW8811">
        <v>1</v>
      </c>
    </row>
    <row r="8812" spans="1:49" x14ac:dyDescent="0.25">
      <c r="A8812" t="str">
        <f>"8808"</f>
        <v>8808</v>
      </c>
      <c r="B8812" t="str">
        <f t="shared" si="518"/>
        <v>1</v>
      </c>
      <c r="C8812" t="str">
        <f t="shared" si="517"/>
        <v>392</v>
      </c>
      <c r="D8812" t="str">
        <f>"17"</f>
        <v>17</v>
      </c>
      <c r="E8812" t="str">
        <f>"1-392-17"</f>
        <v>1-392-17</v>
      </c>
      <c r="F8812" t="s">
        <v>83</v>
      </c>
      <c r="G8812" t="s">
        <v>84</v>
      </c>
      <c r="H8812" t="s">
        <v>92</v>
      </c>
      <c r="I8812">
        <v>1</v>
      </c>
      <c r="J8812">
        <v>1</v>
      </c>
      <c r="N8812">
        <v>1</v>
      </c>
      <c r="O8812">
        <v>0</v>
      </c>
      <c r="P8812">
        <v>0</v>
      </c>
      <c r="Q8812">
        <v>0</v>
      </c>
      <c r="R8812">
        <v>1</v>
      </c>
      <c r="S8812">
        <v>1</v>
      </c>
      <c r="T8812">
        <v>1</v>
      </c>
      <c r="W8812">
        <v>1</v>
      </c>
      <c r="X8812">
        <v>1</v>
      </c>
      <c r="Y8812">
        <v>1</v>
      </c>
      <c r="Z8812">
        <v>1</v>
      </c>
      <c r="AA8812">
        <v>1</v>
      </c>
      <c r="AB8812">
        <v>1</v>
      </c>
    </row>
    <row r="8813" spans="1:49" x14ac:dyDescent="0.25">
      <c r="A8813" t="str">
        <f>"8809"</f>
        <v>8809</v>
      </c>
      <c r="B8813" t="str">
        <f t="shared" si="518"/>
        <v>1</v>
      </c>
      <c r="C8813" t="str">
        <f t="shared" si="517"/>
        <v>392</v>
      </c>
      <c r="D8813" t="str">
        <f>"4"</f>
        <v>4</v>
      </c>
      <c r="E8813" t="str">
        <f>"1-392-4"</f>
        <v>1-392-4</v>
      </c>
      <c r="F8813" t="s">
        <v>83</v>
      </c>
      <c r="G8813" t="s">
        <v>84</v>
      </c>
      <c r="H8813" t="s">
        <v>85</v>
      </c>
      <c r="AC8813">
        <v>0</v>
      </c>
      <c r="AD8813">
        <v>1</v>
      </c>
      <c r="AE8813">
        <v>0</v>
      </c>
      <c r="AF8813">
        <v>0</v>
      </c>
      <c r="AG8813">
        <v>0</v>
      </c>
      <c r="AJ8813">
        <v>1</v>
      </c>
      <c r="AK8813">
        <v>0</v>
      </c>
      <c r="AL8813">
        <v>0</v>
      </c>
      <c r="AM8813">
        <v>0</v>
      </c>
      <c r="AN8813">
        <v>1</v>
      </c>
      <c r="AO8813">
        <v>0</v>
      </c>
      <c r="AP8813">
        <v>0</v>
      </c>
      <c r="AQ8813">
        <v>0</v>
      </c>
      <c r="AR8813">
        <v>0</v>
      </c>
      <c r="AS8813">
        <v>1</v>
      </c>
      <c r="AT8813">
        <v>0</v>
      </c>
      <c r="AV8813">
        <v>0</v>
      </c>
      <c r="AW8813">
        <v>0</v>
      </c>
    </row>
    <row r="8814" spans="1:49" x14ac:dyDescent="0.25">
      <c r="A8814" t="str">
        <f>"8810"</f>
        <v>8810</v>
      </c>
      <c r="B8814" t="str">
        <f t="shared" si="518"/>
        <v>1</v>
      </c>
      <c r="C8814" t="str">
        <f t="shared" si="517"/>
        <v>392</v>
      </c>
      <c r="D8814" t="str">
        <f>"3"</f>
        <v>3</v>
      </c>
      <c r="E8814" t="str">
        <f>"1-392-3"</f>
        <v>1-392-3</v>
      </c>
      <c r="F8814" t="s">
        <v>83</v>
      </c>
      <c r="G8814" t="s">
        <v>84</v>
      </c>
      <c r="H8814" t="s">
        <v>92</v>
      </c>
      <c r="I8814">
        <v>1</v>
      </c>
      <c r="J8814">
        <v>1</v>
      </c>
      <c r="N8814">
        <v>1</v>
      </c>
      <c r="O8814">
        <v>1</v>
      </c>
      <c r="P8814">
        <v>1</v>
      </c>
      <c r="Q8814">
        <v>1</v>
      </c>
      <c r="R8814">
        <v>0</v>
      </c>
      <c r="S8814">
        <v>0</v>
      </c>
      <c r="T8814">
        <v>0</v>
      </c>
      <c r="W8814">
        <v>0</v>
      </c>
      <c r="X8814">
        <v>0</v>
      </c>
      <c r="Y8814">
        <v>0</v>
      </c>
      <c r="Z8814">
        <v>0</v>
      </c>
      <c r="AA8814">
        <v>0</v>
      </c>
      <c r="AB8814">
        <v>0</v>
      </c>
    </row>
    <row r="8815" spans="1:49" x14ac:dyDescent="0.25">
      <c r="A8815" t="str">
        <f>"8811"</f>
        <v>8811</v>
      </c>
      <c r="B8815" t="str">
        <f t="shared" si="518"/>
        <v>1</v>
      </c>
      <c r="C8815" t="str">
        <f t="shared" ref="C8815:C8836" si="519">"393"</f>
        <v>393</v>
      </c>
      <c r="D8815" t="str">
        <f>"19"</f>
        <v>19</v>
      </c>
      <c r="E8815" t="str">
        <f>"1-393-19"</f>
        <v>1-393-19</v>
      </c>
      <c r="F8815" t="s">
        <v>83</v>
      </c>
      <c r="G8815" t="s">
        <v>86</v>
      </c>
      <c r="H8815" t="s">
        <v>93</v>
      </c>
      <c r="I8815">
        <v>1</v>
      </c>
      <c r="K8815">
        <v>0</v>
      </c>
      <c r="L8815">
        <v>1</v>
      </c>
      <c r="M8815">
        <v>0</v>
      </c>
      <c r="N8815">
        <v>1</v>
      </c>
      <c r="O8815">
        <v>1</v>
      </c>
      <c r="P8815">
        <v>1</v>
      </c>
      <c r="Q8815">
        <v>1</v>
      </c>
      <c r="R8815">
        <v>1</v>
      </c>
      <c r="U8815">
        <v>1</v>
      </c>
      <c r="V8815">
        <v>0</v>
      </c>
      <c r="W8815">
        <v>1</v>
      </c>
      <c r="X8815">
        <v>1</v>
      </c>
      <c r="Y8815">
        <v>1</v>
      </c>
      <c r="Z8815">
        <v>1</v>
      </c>
      <c r="AA8815">
        <v>1</v>
      </c>
      <c r="AB8815">
        <v>1</v>
      </c>
    </row>
    <row r="8816" spans="1:49" x14ac:dyDescent="0.25">
      <c r="A8816" t="str">
        <f>"8812"</f>
        <v>8812</v>
      </c>
      <c r="B8816" t="str">
        <f t="shared" si="518"/>
        <v>1</v>
      </c>
      <c r="C8816" t="str">
        <f t="shared" si="519"/>
        <v>393</v>
      </c>
      <c r="D8816" t="str">
        <f>"18"</f>
        <v>18</v>
      </c>
      <c r="E8816" t="str">
        <f>"1-393-18"</f>
        <v>1-393-18</v>
      </c>
      <c r="F8816" t="s">
        <v>83</v>
      </c>
      <c r="G8816" t="s">
        <v>86</v>
      </c>
      <c r="H8816" t="s">
        <v>93</v>
      </c>
      <c r="I8816">
        <v>1</v>
      </c>
      <c r="K8816">
        <v>1</v>
      </c>
      <c r="L8816">
        <v>0</v>
      </c>
      <c r="M8816">
        <v>0</v>
      </c>
      <c r="N8816">
        <v>1</v>
      </c>
      <c r="O8816">
        <v>1</v>
      </c>
      <c r="P8816">
        <v>1</v>
      </c>
      <c r="Q8816">
        <v>1</v>
      </c>
      <c r="R8816">
        <v>1</v>
      </c>
      <c r="U8816">
        <v>1</v>
      </c>
      <c r="V8816">
        <v>0</v>
      </c>
      <c r="W8816">
        <v>1</v>
      </c>
      <c r="X8816">
        <v>1</v>
      </c>
      <c r="Y8816">
        <v>1</v>
      </c>
      <c r="Z8816">
        <v>1</v>
      </c>
      <c r="AA8816">
        <v>1</v>
      </c>
      <c r="AB8816">
        <v>1</v>
      </c>
    </row>
    <row r="8817" spans="1:49" x14ac:dyDescent="0.25">
      <c r="A8817" t="str">
        <f>"8813"</f>
        <v>8813</v>
      </c>
      <c r="B8817" t="str">
        <f t="shared" si="518"/>
        <v>1</v>
      </c>
      <c r="C8817" t="str">
        <f t="shared" si="519"/>
        <v>393</v>
      </c>
      <c r="D8817" t="str">
        <f>"15"</f>
        <v>15</v>
      </c>
      <c r="E8817" t="str">
        <f>"1-393-15"</f>
        <v>1-393-15</v>
      </c>
      <c r="F8817" t="s">
        <v>83</v>
      </c>
      <c r="G8817" t="s">
        <v>86</v>
      </c>
      <c r="H8817" t="s">
        <v>87</v>
      </c>
      <c r="AC8817">
        <v>1</v>
      </c>
      <c r="AD8817">
        <v>0</v>
      </c>
      <c r="AE8817">
        <v>0</v>
      </c>
      <c r="AF8817">
        <v>0</v>
      </c>
      <c r="AH8817">
        <v>1</v>
      </c>
      <c r="AI8817">
        <v>0</v>
      </c>
      <c r="AJ8817">
        <v>1</v>
      </c>
      <c r="AK8817">
        <v>0</v>
      </c>
      <c r="AL8817">
        <v>0</v>
      </c>
      <c r="AM8817">
        <v>1</v>
      </c>
      <c r="AN8817">
        <v>0</v>
      </c>
      <c r="AO8817">
        <v>1</v>
      </c>
      <c r="AP8817">
        <v>1</v>
      </c>
      <c r="AQ8817">
        <v>1</v>
      </c>
      <c r="AU8817">
        <v>1</v>
      </c>
      <c r="AV8817">
        <v>1</v>
      </c>
      <c r="AW8817">
        <v>1</v>
      </c>
    </row>
    <row r="8818" spans="1:49" x14ac:dyDescent="0.25">
      <c r="A8818" t="str">
        <f>"8814"</f>
        <v>8814</v>
      </c>
      <c r="B8818" t="str">
        <f t="shared" si="518"/>
        <v>1</v>
      </c>
      <c r="C8818" t="str">
        <f t="shared" si="519"/>
        <v>393</v>
      </c>
      <c r="D8818" t="str">
        <f>"14"</f>
        <v>14</v>
      </c>
      <c r="E8818" t="str">
        <f>"1-393-14"</f>
        <v>1-393-14</v>
      </c>
      <c r="F8818" t="s">
        <v>83</v>
      </c>
      <c r="G8818" t="s">
        <v>86</v>
      </c>
      <c r="H8818" t="s">
        <v>93</v>
      </c>
      <c r="I8818">
        <v>1</v>
      </c>
      <c r="K8818">
        <v>0</v>
      </c>
      <c r="L8818">
        <v>0</v>
      </c>
      <c r="M8818">
        <v>1</v>
      </c>
      <c r="N8818">
        <v>1</v>
      </c>
      <c r="O8818">
        <v>1</v>
      </c>
      <c r="P8818">
        <v>1</v>
      </c>
      <c r="Q8818">
        <v>1</v>
      </c>
      <c r="R8818">
        <v>1</v>
      </c>
      <c r="U8818">
        <v>0</v>
      </c>
      <c r="V8818">
        <v>1</v>
      </c>
      <c r="W8818">
        <v>1</v>
      </c>
      <c r="X8818">
        <v>1</v>
      </c>
      <c r="Y8818">
        <v>1</v>
      </c>
      <c r="Z8818">
        <v>1</v>
      </c>
      <c r="AA8818">
        <v>1</v>
      </c>
      <c r="AB8818">
        <v>1</v>
      </c>
    </row>
    <row r="8819" spans="1:49" x14ac:dyDescent="0.25">
      <c r="A8819" t="str">
        <f>"8815"</f>
        <v>8815</v>
      </c>
      <c r="B8819" t="str">
        <f t="shared" si="518"/>
        <v>1</v>
      </c>
      <c r="C8819" t="str">
        <f t="shared" si="519"/>
        <v>393</v>
      </c>
      <c r="D8819" t="str">
        <f>"9"</f>
        <v>9</v>
      </c>
      <c r="E8819" t="str">
        <f>"1-393-9"</f>
        <v>1-393-9</v>
      </c>
      <c r="F8819" t="s">
        <v>83</v>
      </c>
      <c r="G8819" t="s">
        <v>84</v>
      </c>
      <c r="H8819" t="s">
        <v>92</v>
      </c>
      <c r="I8819">
        <v>1</v>
      </c>
      <c r="J8819">
        <v>1</v>
      </c>
      <c r="N8819">
        <v>1</v>
      </c>
      <c r="O8819">
        <v>1</v>
      </c>
      <c r="P8819">
        <v>1</v>
      </c>
      <c r="Q8819">
        <v>1</v>
      </c>
      <c r="R8819">
        <v>1</v>
      </c>
      <c r="S8819">
        <v>1</v>
      </c>
      <c r="T8819">
        <v>1</v>
      </c>
      <c r="W8819">
        <v>1</v>
      </c>
      <c r="X8819">
        <v>1</v>
      </c>
      <c r="Y8819">
        <v>1</v>
      </c>
      <c r="Z8819">
        <v>1</v>
      </c>
      <c r="AA8819">
        <v>1</v>
      </c>
      <c r="AB8819">
        <v>1</v>
      </c>
    </row>
    <row r="8820" spans="1:49" x14ac:dyDescent="0.25">
      <c r="A8820" t="str">
        <f>"8816"</f>
        <v>8816</v>
      </c>
      <c r="B8820" t="str">
        <f t="shared" si="518"/>
        <v>1</v>
      </c>
      <c r="C8820" t="str">
        <f t="shared" si="519"/>
        <v>393</v>
      </c>
      <c r="D8820" t="str">
        <f>"8"</f>
        <v>8</v>
      </c>
      <c r="E8820" t="str">
        <f>"1-393-8"</f>
        <v>1-393-8</v>
      </c>
      <c r="F8820" t="s">
        <v>83</v>
      </c>
      <c r="G8820" t="s">
        <v>84</v>
      </c>
      <c r="H8820" t="s">
        <v>92</v>
      </c>
      <c r="I8820">
        <v>1</v>
      </c>
      <c r="J8820">
        <v>1</v>
      </c>
      <c r="N8820">
        <v>1</v>
      </c>
      <c r="O8820">
        <v>1</v>
      </c>
      <c r="P8820">
        <v>1</v>
      </c>
      <c r="Q8820">
        <v>1</v>
      </c>
      <c r="R8820">
        <v>1</v>
      </c>
      <c r="S8820">
        <v>1</v>
      </c>
      <c r="T8820">
        <v>1</v>
      </c>
      <c r="W8820">
        <v>1</v>
      </c>
      <c r="X8820">
        <v>1</v>
      </c>
      <c r="Y8820">
        <v>1</v>
      </c>
      <c r="Z8820">
        <v>1</v>
      </c>
      <c r="AA8820">
        <v>1</v>
      </c>
      <c r="AB8820">
        <v>1</v>
      </c>
    </row>
    <row r="8821" spans="1:49" x14ac:dyDescent="0.25">
      <c r="A8821" t="str">
        <f>"8817"</f>
        <v>8817</v>
      </c>
      <c r="B8821" t="str">
        <f t="shared" si="518"/>
        <v>1</v>
      </c>
      <c r="C8821" t="str">
        <f t="shared" si="519"/>
        <v>393</v>
      </c>
      <c r="D8821" t="str">
        <f>"1"</f>
        <v>1</v>
      </c>
      <c r="E8821" t="str">
        <f>"1-393-1"</f>
        <v>1-393-1</v>
      </c>
      <c r="F8821" t="s">
        <v>83</v>
      </c>
      <c r="G8821" t="s">
        <v>84</v>
      </c>
      <c r="H8821" t="s">
        <v>85</v>
      </c>
      <c r="AC8821">
        <v>1</v>
      </c>
      <c r="AD8821">
        <v>0</v>
      </c>
      <c r="AE8821">
        <v>0</v>
      </c>
      <c r="AF8821">
        <v>0</v>
      </c>
      <c r="AG8821">
        <v>1</v>
      </c>
      <c r="AJ8821">
        <v>0</v>
      </c>
      <c r="AK8821">
        <v>0</v>
      </c>
      <c r="AL8821">
        <v>0</v>
      </c>
      <c r="AM8821">
        <v>0</v>
      </c>
      <c r="AN8821">
        <v>0</v>
      </c>
      <c r="AO8821">
        <v>1</v>
      </c>
      <c r="AP8821">
        <v>1</v>
      </c>
      <c r="AQ8821">
        <v>1</v>
      </c>
      <c r="AR8821">
        <v>1</v>
      </c>
      <c r="AS8821">
        <v>0</v>
      </c>
      <c r="AT8821">
        <v>0</v>
      </c>
      <c r="AV8821">
        <v>0</v>
      </c>
      <c r="AW8821">
        <v>1</v>
      </c>
    </row>
    <row r="8822" spans="1:49" x14ac:dyDescent="0.25">
      <c r="A8822" t="str">
        <f>"8818"</f>
        <v>8818</v>
      </c>
      <c r="B8822" t="str">
        <f t="shared" si="518"/>
        <v>1</v>
      </c>
      <c r="C8822" t="str">
        <f t="shared" si="519"/>
        <v>393</v>
      </c>
      <c r="D8822" t="str">
        <f>"20"</f>
        <v>20</v>
      </c>
      <c r="E8822" t="str">
        <f>"1-393-20"</f>
        <v>1-393-20</v>
      </c>
      <c r="F8822" t="s">
        <v>83</v>
      </c>
      <c r="G8822" t="s">
        <v>86</v>
      </c>
      <c r="H8822" t="s">
        <v>87</v>
      </c>
      <c r="AC8822">
        <v>0</v>
      </c>
      <c r="AD8822">
        <v>1</v>
      </c>
      <c r="AE8822">
        <v>0</v>
      </c>
      <c r="AF8822">
        <v>0</v>
      </c>
      <c r="AH8822">
        <v>1</v>
      </c>
      <c r="AI8822">
        <v>0</v>
      </c>
      <c r="AJ8822">
        <v>0</v>
      </c>
      <c r="AK8822">
        <v>1</v>
      </c>
      <c r="AL8822">
        <v>1</v>
      </c>
      <c r="AM8822">
        <v>0</v>
      </c>
      <c r="AN8822">
        <v>0</v>
      </c>
      <c r="AO8822">
        <v>1</v>
      </c>
      <c r="AP8822">
        <v>1</v>
      </c>
      <c r="AQ8822">
        <v>1</v>
      </c>
      <c r="AU8822">
        <v>1</v>
      </c>
      <c r="AV8822">
        <v>1</v>
      </c>
      <c r="AW8822">
        <v>1</v>
      </c>
    </row>
    <row r="8823" spans="1:49" x14ac:dyDescent="0.25">
      <c r="A8823" t="str">
        <f>"8819"</f>
        <v>8819</v>
      </c>
      <c r="B8823" t="str">
        <f t="shared" si="518"/>
        <v>1</v>
      </c>
      <c r="C8823" t="str">
        <f t="shared" si="519"/>
        <v>393</v>
      </c>
      <c r="D8823" t="str">
        <f>"10"</f>
        <v>10</v>
      </c>
      <c r="E8823" t="str">
        <f>"1-393-10"</f>
        <v>1-393-10</v>
      </c>
      <c r="F8823" t="s">
        <v>83</v>
      </c>
      <c r="G8823" t="s">
        <v>84</v>
      </c>
      <c r="H8823" t="s">
        <v>92</v>
      </c>
      <c r="I8823">
        <v>1</v>
      </c>
      <c r="J8823">
        <v>1</v>
      </c>
      <c r="N8823">
        <v>1</v>
      </c>
      <c r="O8823">
        <v>1</v>
      </c>
      <c r="P8823">
        <v>1</v>
      </c>
      <c r="Q8823">
        <v>1</v>
      </c>
      <c r="R8823">
        <v>1</v>
      </c>
      <c r="S8823">
        <v>1</v>
      </c>
      <c r="T8823">
        <v>1</v>
      </c>
      <c r="W8823">
        <v>1</v>
      </c>
      <c r="X8823">
        <v>1</v>
      </c>
      <c r="Y8823">
        <v>1</v>
      </c>
      <c r="Z8823">
        <v>1</v>
      </c>
      <c r="AA8823">
        <v>1</v>
      </c>
      <c r="AB8823">
        <v>1</v>
      </c>
    </row>
    <row r="8824" spans="1:49" x14ac:dyDescent="0.25">
      <c r="A8824" t="str">
        <f>"8820"</f>
        <v>8820</v>
      </c>
      <c r="B8824" t="str">
        <f t="shared" si="518"/>
        <v>1</v>
      </c>
      <c r="C8824" t="str">
        <f t="shared" si="519"/>
        <v>393</v>
      </c>
      <c r="D8824" t="str">
        <f>"7"</f>
        <v>7</v>
      </c>
      <c r="E8824" t="str">
        <f>"1-393-7"</f>
        <v>1-393-7</v>
      </c>
      <c r="F8824" t="s">
        <v>83</v>
      </c>
      <c r="G8824" t="s">
        <v>84</v>
      </c>
      <c r="H8824" t="s">
        <v>92</v>
      </c>
      <c r="I8824">
        <v>1</v>
      </c>
      <c r="J8824">
        <v>1</v>
      </c>
      <c r="N8824">
        <v>1</v>
      </c>
      <c r="O8824">
        <v>1</v>
      </c>
      <c r="P8824">
        <v>1</v>
      </c>
      <c r="Q8824">
        <v>1</v>
      </c>
      <c r="R8824">
        <v>1</v>
      </c>
      <c r="S8824">
        <v>1</v>
      </c>
      <c r="T8824">
        <v>1</v>
      </c>
      <c r="W8824">
        <v>0</v>
      </c>
      <c r="X8824">
        <v>1</v>
      </c>
      <c r="Y8824">
        <v>1</v>
      </c>
      <c r="Z8824">
        <v>1</v>
      </c>
      <c r="AA8824">
        <v>1</v>
      </c>
      <c r="AB8824">
        <v>1</v>
      </c>
    </row>
    <row r="8825" spans="1:49" x14ac:dyDescent="0.25">
      <c r="A8825" t="str">
        <f>"8821"</f>
        <v>8821</v>
      </c>
      <c r="B8825" t="str">
        <f t="shared" si="518"/>
        <v>1</v>
      </c>
      <c r="C8825" t="str">
        <f t="shared" si="519"/>
        <v>393</v>
      </c>
      <c r="D8825" t="str">
        <f>"11"</f>
        <v>11</v>
      </c>
      <c r="E8825" t="str">
        <f>"1-393-11"</f>
        <v>1-393-11</v>
      </c>
      <c r="F8825" t="s">
        <v>83</v>
      </c>
      <c r="G8825" t="s">
        <v>84</v>
      </c>
      <c r="H8825" t="s">
        <v>92</v>
      </c>
      <c r="I8825">
        <v>1</v>
      </c>
      <c r="J8825">
        <v>1</v>
      </c>
      <c r="N8825">
        <v>1</v>
      </c>
      <c r="O8825">
        <v>1</v>
      </c>
      <c r="P8825">
        <v>1</v>
      </c>
      <c r="Q8825">
        <v>1</v>
      </c>
      <c r="R8825">
        <v>1</v>
      </c>
      <c r="S8825">
        <v>1</v>
      </c>
      <c r="T8825">
        <v>1</v>
      </c>
      <c r="W8825">
        <v>1</v>
      </c>
      <c r="X8825">
        <v>1</v>
      </c>
      <c r="Y8825">
        <v>1</v>
      </c>
      <c r="Z8825">
        <v>1</v>
      </c>
      <c r="AA8825">
        <v>1</v>
      </c>
      <c r="AB8825">
        <v>1</v>
      </c>
    </row>
    <row r="8826" spans="1:49" x14ac:dyDescent="0.25">
      <c r="A8826" t="str">
        <f>"8822"</f>
        <v>8822</v>
      </c>
      <c r="B8826" t="str">
        <f t="shared" si="518"/>
        <v>1</v>
      </c>
      <c r="C8826" t="str">
        <f t="shared" si="519"/>
        <v>393</v>
      </c>
      <c r="D8826" t="str">
        <f>"4"</f>
        <v>4</v>
      </c>
      <c r="E8826" t="str">
        <f>"1-393-4"</f>
        <v>1-393-4</v>
      </c>
      <c r="F8826" t="s">
        <v>83</v>
      </c>
      <c r="G8826" t="s">
        <v>84</v>
      </c>
      <c r="H8826" t="s">
        <v>85</v>
      </c>
      <c r="AC8826">
        <v>1</v>
      </c>
      <c r="AD8826">
        <v>0</v>
      </c>
      <c r="AE8826">
        <v>0</v>
      </c>
      <c r="AF8826">
        <v>0</v>
      </c>
      <c r="AG8826">
        <v>1</v>
      </c>
      <c r="AJ8826">
        <v>0</v>
      </c>
      <c r="AK8826">
        <v>1</v>
      </c>
      <c r="AL8826">
        <v>1</v>
      </c>
      <c r="AM8826">
        <v>0</v>
      </c>
      <c r="AN8826">
        <v>0</v>
      </c>
      <c r="AO8826">
        <v>1</v>
      </c>
      <c r="AP8826">
        <v>1</v>
      </c>
      <c r="AQ8826">
        <v>1</v>
      </c>
      <c r="AR8826">
        <v>1</v>
      </c>
      <c r="AS8826">
        <v>1</v>
      </c>
      <c r="AT8826">
        <v>0</v>
      </c>
      <c r="AV8826">
        <v>1</v>
      </c>
      <c r="AW8826">
        <v>1</v>
      </c>
    </row>
    <row r="8827" spans="1:49" x14ac:dyDescent="0.25">
      <c r="A8827" t="str">
        <f>"8823"</f>
        <v>8823</v>
      </c>
      <c r="B8827" t="str">
        <f t="shared" si="518"/>
        <v>1</v>
      </c>
      <c r="C8827" t="str">
        <f t="shared" si="519"/>
        <v>393</v>
      </c>
      <c r="D8827" t="str">
        <f>"21"</f>
        <v>21</v>
      </c>
      <c r="E8827" t="str">
        <f>"1-393-21"</f>
        <v>1-393-21</v>
      </c>
      <c r="F8827" t="s">
        <v>83</v>
      </c>
      <c r="G8827" t="s">
        <v>86</v>
      </c>
      <c r="H8827" t="s">
        <v>87</v>
      </c>
      <c r="AC8827">
        <v>0</v>
      </c>
      <c r="AD8827">
        <v>1</v>
      </c>
      <c r="AE8827">
        <v>0</v>
      </c>
      <c r="AF8827">
        <v>0</v>
      </c>
      <c r="AH8827">
        <v>1</v>
      </c>
      <c r="AI8827">
        <v>0</v>
      </c>
      <c r="AJ8827">
        <v>0</v>
      </c>
      <c r="AK8827">
        <v>1</v>
      </c>
      <c r="AL8827">
        <v>1</v>
      </c>
      <c r="AM8827">
        <v>0</v>
      </c>
      <c r="AN8827">
        <v>0</v>
      </c>
      <c r="AO8827">
        <v>1</v>
      </c>
      <c r="AP8827">
        <v>1</v>
      </c>
      <c r="AQ8827">
        <v>1</v>
      </c>
      <c r="AU8827">
        <v>1</v>
      </c>
      <c r="AV8827">
        <v>1</v>
      </c>
      <c r="AW8827">
        <v>1</v>
      </c>
    </row>
    <row r="8828" spans="1:49" x14ac:dyDescent="0.25">
      <c r="A8828" t="str">
        <f>"8824"</f>
        <v>8824</v>
      </c>
      <c r="B8828" t="str">
        <f t="shared" si="518"/>
        <v>1</v>
      </c>
      <c r="C8828" t="str">
        <f t="shared" si="519"/>
        <v>393</v>
      </c>
      <c r="D8828" t="str">
        <f>"12"</f>
        <v>12</v>
      </c>
      <c r="E8828" t="str">
        <f>"1-393-12"</f>
        <v>1-393-12</v>
      </c>
      <c r="F8828" t="s">
        <v>83</v>
      </c>
      <c r="G8828" t="s">
        <v>86</v>
      </c>
      <c r="H8828" t="s">
        <v>93</v>
      </c>
      <c r="I8828">
        <v>1</v>
      </c>
      <c r="K8828">
        <v>1</v>
      </c>
      <c r="L8828">
        <v>0</v>
      </c>
      <c r="M8828">
        <v>0</v>
      </c>
      <c r="N8828">
        <v>1</v>
      </c>
      <c r="O8828">
        <v>0</v>
      </c>
      <c r="P8828">
        <v>0</v>
      </c>
      <c r="Q8828">
        <v>0</v>
      </c>
      <c r="R8828">
        <v>0</v>
      </c>
      <c r="U8828">
        <v>0</v>
      </c>
      <c r="V8828">
        <v>0</v>
      </c>
      <c r="W8828">
        <v>0</v>
      </c>
      <c r="X8828">
        <v>0</v>
      </c>
      <c r="Y8828">
        <v>0</v>
      </c>
      <c r="Z8828">
        <v>0</v>
      </c>
      <c r="AA8828">
        <v>0</v>
      </c>
      <c r="AB8828">
        <v>0</v>
      </c>
    </row>
    <row r="8829" spans="1:49" x14ac:dyDescent="0.25">
      <c r="A8829" t="str">
        <f>"8825"</f>
        <v>8825</v>
      </c>
      <c r="B8829" t="str">
        <f t="shared" si="518"/>
        <v>1</v>
      </c>
      <c r="C8829" t="str">
        <f t="shared" si="519"/>
        <v>393</v>
      </c>
      <c r="D8829" t="str">
        <f>"5"</f>
        <v>5</v>
      </c>
      <c r="E8829" t="str">
        <f>"1-393-5"</f>
        <v>1-393-5</v>
      </c>
      <c r="F8829" t="s">
        <v>83</v>
      </c>
      <c r="G8829" t="s">
        <v>84</v>
      </c>
      <c r="H8829" t="s">
        <v>85</v>
      </c>
      <c r="AC8829">
        <v>1</v>
      </c>
      <c r="AD8829">
        <v>0</v>
      </c>
      <c r="AE8829">
        <v>0</v>
      </c>
      <c r="AF8829">
        <v>0</v>
      </c>
      <c r="AG8829">
        <v>1</v>
      </c>
      <c r="AJ8829">
        <v>0</v>
      </c>
      <c r="AK8829">
        <v>1</v>
      </c>
      <c r="AL8829">
        <v>0</v>
      </c>
      <c r="AM8829">
        <v>1</v>
      </c>
      <c r="AN8829">
        <v>0</v>
      </c>
      <c r="AO8829">
        <v>0</v>
      </c>
      <c r="AP8829">
        <v>1</v>
      </c>
      <c r="AQ8829">
        <v>1</v>
      </c>
      <c r="AR8829">
        <v>0</v>
      </c>
      <c r="AS8829">
        <v>0</v>
      </c>
      <c r="AT8829">
        <v>1</v>
      </c>
      <c r="AV8829">
        <v>1</v>
      </c>
      <c r="AW8829">
        <v>1</v>
      </c>
    </row>
    <row r="8830" spans="1:49" x14ac:dyDescent="0.25">
      <c r="A8830" t="str">
        <f>"8826"</f>
        <v>8826</v>
      </c>
      <c r="B8830" t="str">
        <f t="shared" si="518"/>
        <v>1</v>
      </c>
      <c r="C8830" t="str">
        <f t="shared" si="519"/>
        <v>393</v>
      </c>
      <c r="D8830" t="str">
        <f>"22"</f>
        <v>22</v>
      </c>
      <c r="E8830" t="str">
        <f>"1-393-22"</f>
        <v>1-393-22</v>
      </c>
      <c r="F8830" t="s">
        <v>83</v>
      </c>
      <c r="G8830" t="s">
        <v>86</v>
      </c>
      <c r="H8830" t="s">
        <v>87</v>
      </c>
      <c r="AC8830">
        <v>0</v>
      </c>
      <c r="AD8830">
        <v>1</v>
      </c>
      <c r="AE8830">
        <v>0</v>
      </c>
      <c r="AF8830">
        <v>0</v>
      </c>
      <c r="AH8830">
        <v>1</v>
      </c>
      <c r="AI8830">
        <v>0</v>
      </c>
      <c r="AJ8830">
        <v>0</v>
      </c>
      <c r="AK8830">
        <v>1</v>
      </c>
      <c r="AL8830">
        <v>1</v>
      </c>
      <c r="AM8830">
        <v>0</v>
      </c>
      <c r="AN8830">
        <v>0</v>
      </c>
      <c r="AO8830">
        <v>1</v>
      </c>
      <c r="AP8830">
        <v>1</v>
      </c>
      <c r="AQ8830">
        <v>1</v>
      </c>
      <c r="AU8830">
        <v>1</v>
      </c>
      <c r="AV8830">
        <v>1</v>
      </c>
      <c r="AW8830">
        <v>1</v>
      </c>
    </row>
    <row r="8831" spans="1:49" x14ac:dyDescent="0.25">
      <c r="A8831" t="str">
        <f>"8827"</f>
        <v>8827</v>
      </c>
      <c r="B8831" t="str">
        <f t="shared" si="518"/>
        <v>1</v>
      </c>
      <c r="C8831" t="str">
        <f t="shared" si="519"/>
        <v>393</v>
      </c>
      <c r="D8831" t="str">
        <f>"13"</f>
        <v>13</v>
      </c>
      <c r="E8831" t="str">
        <f>"1-393-13"</f>
        <v>1-393-13</v>
      </c>
      <c r="F8831" t="s">
        <v>83</v>
      </c>
      <c r="G8831" t="s">
        <v>86</v>
      </c>
      <c r="H8831" t="s">
        <v>93</v>
      </c>
      <c r="I8831">
        <v>0</v>
      </c>
      <c r="K8831">
        <v>1</v>
      </c>
      <c r="L8831">
        <v>0</v>
      </c>
      <c r="M8831">
        <v>0</v>
      </c>
      <c r="N8831">
        <v>1</v>
      </c>
      <c r="O8831">
        <v>1</v>
      </c>
      <c r="P8831">
        <v>1</v>
      </c>
      <c r="Q8831">
        <v>1</v>
      </c>
      <c r="R8831">
        <v>1</v>
      </c>
      <c r="U8831">
        <v>0</v>
      </c>
      <c r="V8831">
        <v>1</v>
      </c>
      <c r="W8831">
        <v>1</v>
      </c>
      <c r="X8831">
        <v>1</v>
      </c>
      <c r="Y8831">
        <v>1</v>
      </c>
      <c r="Z8831">
        <v>1</v>
      </c>
      <c r="AA8831">
        <v>1</v>
      </c>
      <c r="AB8831">
        <v>1</v>
      </c>
    </row>
    <row r="8832" spans="1:49" x14ac:dyDescent="0.25">
      <c r="A8832" t="str">
        <f>"8828"</f>
        <v>8828</v>
      </c>
      <c r="B8832" t="str">
        <f t="shared" si="518"/>
        <v>1</v>
      </c>
      <c r="C8832" t="str">
        <f t="shared" si="519"/>
        <v>393</v>
      </c>
      <c r="D8832" t="str">
        <f>"2"</f>
        <v>2</v>
      </c>
      <c r="E8832" t="str">
        <f>"1-393-2"</f>
        <v>1-393-2</v>
      </c>
      <c r="F8832" t="s">
        <v>83</v>
      </c>
      <c r="G8832" t="s">
        <v>84</v>
      </c>
      <c r="H8832" t="s">
        <v>85</v>
      </c>
      <c r="AC8832">
        <v>1</v>
      </c>
      <c r="AD8832">
        <v>0</v>
      </c>
      <c r="AE8832">
        <v>0</v>
      </c>
      <c r="AF8832">
        <v>0</v>
      </c>
      <c r="AG8832">
        <v>1</v>
      </c>
      <c r="AJ8832">
        <v>1</v>
      </c>
      <c r="AK8832">
        <v>0</v>
      </c>
      <c r="AL8832">
        <v>1</v>
      </c>
      <c r="AM8832">
        <v>0</v>
      </c>
      <c r="AN8832">
        <v>0</v>
      </c>
      <c r="AO8832">
        <v>1</v>
      </c>
      <c r="AP8832">
        <v>0</v>
      </c>
      <c r="AQ8832">
        <v>1</v>
      </c>
      <c r="AR8832">
        <v>1</v>
      </c>
      <c r="AS8832">
        <v>1</v>
      </c>
      <c r="AT8832">
        <v>0</v>
      </c>
      <c r="AV8832">
        <v>1</v>
      </c>
      <c r="AW8832">
        <v>1</v>
      </c>
    </row>
    <row r="8833" spans="1:49" x14ac:dyDescent="0.25">
      <c r="A8833" t="str">
        <f>"8829"</f>
        <v>8829</v>
      </c>
      <c r="B8833" t="str">
        <f t="shared" si="518"/>
        <v>1</v>
      </c>
      <c r="C8833" t="str">
        <f t="shared" si="519"/>
        <v>393</v>
      </c>
      <c r="D8833" t="str">
        <f>"16"</f>
        <v>16</v>
      </c>
      <c r="E8833" t="str">
        <f>"1-393-16"</f>
        <v>1-393-16</v>
      </c>
      <c r="F8833" t="s">
        <v>83</v>
      </c>
      <c r="G8833" t="s">
        <v>86</v>
      </c>
      <c r="H8833" t="s">
        <v>87</v>
      </c>
      <c r="AC8833">
        <v>0</v>
      </c>
      <c r="AD8833">
        <v>1</v>
      </c>
      <c r="AE8833">
        <v>0</v>
      </c>
      <c r="AF8833">
        <v>0</v>
      </c>
      <c r="AH8833">
        <v>0</v>
      </c>
      <c r="AI8833">
        <v>1</v>
      </c>
      <c r="AJ8833">
        <v>0</v>
      </c>
      <c r="AK8833">
        <v>1</v>
      </c>
      <c r="AL8833">
        <v>0</v>
      </c>
      <c r="AM8833">
        <v>1</v>
      </c>
      <c r="AN8833">
        <v>0</v>
      </c>
      <c r="AO8833">
        <v>0</v>
      </c>
      <c r="AP8833">
        <v>0</v>
      </c>
      <c r="AQ8833">
        <v>0</v>
      </c>
      <c r="AU8833">
        <v>0</v>
      </c>
      <c r="AV8833">
        <v>0</v>
      </c>
      <c r="AW8833">
        <v>0</v>
      </c>
    </row>
    <row r="8834" spans="1:49" x14ac:dyDescent="0.25">
      <c r="A8834" t="str">
        <f>"8830"</f>
        <v>8830</v>
      </c>
      <c r="B8834" t="str">
        <f t="shared" si="518"/>
        <v>1</v>
      </c>
      <c r="C8834" t="str">
        <f t="shared" si="519"/>
        <v>393</v>
      </c>
      <c r="D8834" t="str">
        <f>"3"</f>
        <v>3</v>
      </c>
      <c r="E8834" t="str">
        <f>"1-393-3"</f>
        <v>1-393-3</v>
      </c>
      <c r="F8834" t="s">
        <v>83</v>
      </c>
      <c r="G8834" t="s">
        <v>84</v>
      </c>
      <c r="H8834" t="s">
        <v>85</v>
      </c>
      <c r="AC8834">
        <v>0</v>
      </c>
      <c r="AD8834">
        <v>1</v>
      </c>
      <c r="AE8834">
        <v>0</v>
      </c>
      <c r="AF8834">
        <v>0</v>
      </c>
      <c r="AG8834">
        <v>1</v>
      </c>
      <c r="AJ8834">
        <v>0</v>
      </c>
      <c r="AK8834">
        <v>1</v>
      </c>
      <c r="AL8834">
        <v>0</v>
      </c>
      <c r="AM8834">
        <v>0</v>
      </c>
      <c r="AN8834">
        <v>1</v>
      </c>
      <c r="AO8834">
        <v>1</v>
      </c>
      <c r="AP8834">
        <v>1</v>
      </c>
      <c r="AQ8834">
        <v>1</v>
      </c>
      <c r="AR8834">
        <v>1</v>
      </c>
      <c r="AS8834">
        <v>0</v>
      </c>
      <c r="AT8834">
        <v>1</v>
      </c>
      <c r="AV8834">
        <v>1</v>
      </c>
      <c r="AW8834">
        <v>1</v>
      </c>
    </row>
    <row r="8835" spans="1:49" x14ac:dyDescent="0.25">
      <c r="A8835" t="str">
        <f>"8831"</f>
        <v>8831</v>
      </c>
      <c r="B8835" t="str">
        <f t="shared" si="518"/>
        <v>1</v>
      </c>
      <c r="C8835" t="str">
        <f t="shared" si="519"/>
        <v>393</v>
      </c>
      <c r="D8835" t="str">
        <f>"17"</f>
        <v>17</v>
      </c>
      <c r="E8835" t="str">
        <f>"1-393-17"</f>
        <v>1-393-17</v>
      </c>
      <c r="F8835" t="s">
        <v>83</v>
      </c>
      <c r="G8835" t="s">
        <v>86</v>
      </c>
      <c r="H8835" t="s">
        <v>87</v>
      </c>
      <c r="AC8835">
        <v>0</v>
      </c>
      <c r="AD8835">
        <v>0</v>
      </c>
      <c r="AE8835">
        <v>0</v>
      </c>
      <c r="AF8835">
        <v>0</v>
      </c>
      <c r="AH8835">
        <v>0</v>
      </c>
      <c r="AI8835">
        <v>1</v>
      </c>
      <c r="AJ8835">
        <v>0</v>
      </c>
      <c r="AK8835">
        <v>0</v>
      </c>
      <c r="AL8835">
        <v>0</v>
      </c>
      <c r="AM8835">
        <v>0</v>
      </c>
      <c r="AN8835">
        <v>1</v>
      </c>
      <c r="AO8835">
        <v>0</v>
      </c>
      <c r="AP8835">
        <v>0</v>
      </c>
      <c r="AQ8835">
        <v>0</v>
      </c>
      <c r="AU8835">
        <v>0</v>
      </c>
      <c r="AV8835">
        <v>0</v>
      </c>
      <c r="AW8835">
        <v>1</v>
      </c>
    </row>
    <row r="8836" spans="1:49" x14ac:dyDescent="0.25">
      <c r="A8836" t="str">
        <f>"8832"</f>
        <v>8832</v>
      </c>
      <c r="B8836" t="str">
        <f t="shared" si="518"/>
        <v>1</v>
      </c>
      <c r="C8836" t="str">
        <f t="shared" si="519"/>
        <v>393</v>
      </c>
      <c r="D8836" t="str">
        <f>"6"</f>
        <v>6</v>
      </c>
      <c r="E8836" t="str">
        <f>"1-393-6"</f>
        <v>1-393-6</v>
      </c>
      <c r="F8836" t="s">
        <v>83</v>
      </c>
      <c r="G8836" t="s">
        <v>84</v>
      </c>
      <c r="H8836" t="s">
        <v>85</v>
      </c>
      <c r="AC8836">
        <v>1</v>
      </c>
      <c r="AD8836">
        <v>0</v>
      </c>
      <c r="AE8836">
        <v>0</v>
      </c>
      <c r="AF8836">
        <v>0</v>
      </c>
      <c r="AG8836">
        <v>1</v>
      </c>
      <c r="AJ8836">
        <v>0</v>
      </c>
      <c r="AK8836">
        <v>1</v>
      </c>
      <c r="AL8836">
        <v>1</v>
      </c>
      <c r="AM8836">
        <v>0</v>
      </c>
      <c r="AN8836">
        <v>0</v>
      </c>
      <c r="AO8836">
        <v>1</v>
      </c>
      <c r="AP8836">
        <v>1</v>
      </c>
      <c r="AQ8836">
        <v>1</v>
      </c>
      <c r="AR8836">
        <v>1</v>
      </c>
      <c r="AS8836">
        <v>1</v>
      </c>
      <c r="AT8836">
        <v>0</v>
      </c>
      <c r="AV8836">
        <v>1</v>
      </c>
      <c r="AW8836">
        <v>1</v>
      </c>
    </row>
    <row r="8837" spans="1:49" x14ac:dyDescent="0.25">
      <c r="A8837" t="str">
        <f>"8833"</f>
        <v>8833</v>
      </c>
      <c r="B8837" t="str">
        <f t="shared" si="518"/>
        <v>1</v>
      </c>
      <c r="C8837" t="str">
        <f t="shared" ref="C8837:C8845" si="520">"394"</f>
        <v>394</v>
      </c>
      <c r="D8837" t="str">
        <f>"9"</f>
        <v>9</v>
      </c>
      <c r="E8837" t="str">
        <f>"1-394-9"</f>
        <v>1-394-9</v>
      </c>
      <c r="F8837" t="s">
        <v>83</v>
      </c>
      <c r="G8837" t="s">
        <v>84</v>
      </c>
      <c r="H8837" t="s">
        <v>92</v>
      </c>
      <c r="I8837">
        <v>1</v>
      </c>
      <c r="J8837">
        <v>1</v>
      </c>
      <c r="N8837">
        <v>1</v>
      </c>
      <c r="O8837">
        <v>1</v>
      </c>
      <c r="P8837">
        <v>1</v>
      </c>
      <c r="Q8837">
        <v>1</v>
      </c>
      <c r="R8837">
        <v>1</v>
      </c>
      <c r="S8837">
        <v>1</v>
      </c>
      <c r="T8837">
        <v>1</v>
      </c>
      <c r="W8837">
        <v>1</v>
      </c>
      <c r="X8837">
        <v>1</v>
      </c>
      <c r="Y8837">
        <v>1</v>
      </c>
      <c r="Z8837">
        <v>1</v>
      </c>
      <c r="AA8837">
        <v>1</v>
      </c>
      <c r="AB8837">
        <v>1</v>
      </c>
    </row>
    <row r="8838" spans="1:49" x14ac:dyDescent="0.25">
      <c r="A8838" t="str">
        <f>"8834"</f>
        <v>8834</v>
      </c>
      <c r="B8838" t="str">
        <f t="shared" si="518"/>
        <v>1</v>
      </c>
      <c r="C8838" t="str">
        <f t="shared" si="520"/>
        <v>394</v>
      </c>
      <c r="D8838" t="str">
        <f>"8"</f>
        <v>8</v>
      </c>
      <c r="E8838" t="str">
        <f>"1-394-8"</f>
        <v>1-394-8</v>
      </c>
      <c r="F8838" t="s">
        <v>83</v>
      </c>
      <c r="G8838" t="s">
        <v>86</v>
      </c>
      <c r="H8838" t="s">
        <v>93</v>
      </c>
      <c r="I8838">
        <v>1</v>
      </c>
      <c r="K8838">
        <v>0</v>
      </c>
      <c r="L8838">
        <v>0</v>
      </c>
      <c r="M8838">
        <v>1</v>
      </c>
      <c r="N8838">
        <v>1</v>
      </c>
      <c r="O8838">
        <v>1</v>
      </c>
      <c r="P8838">
        <v>1</v>
      </c>
      <c r="Q8838">
        <v>1</v>
      </c>
      <c r="R8838">
        <v>1</v>
      </c>
      <c r="U8838">
        <v>1</v>
      </c>
      <c r="V8838">
        <v>0</v>
      </c>
      <c r="W8838">
        <v>0</v>
      </c>
      <c r="X8838">
        <v>1</v>
      </c>
      <c r="Y8838">
        <v>1</v>
      </c>
      <c r="Z8838">
        <v>1</v>
      </c>
      <c r="AA8838">
        <v>1</v>
      </c>
      <c r="AB8838">
        <v>1</v>
      </c>
    </row>
    <row r="8839" spans="1:49" x14ac:dyDescent="0.25">
      <c r="A8839" t="str">
        <f>"8835"</f>
        <v>8835</v>
      </c>
      <c r="B8839" t="str">
        <f t="shared" si="518"/>
        <v>1</v>
      </c>
      <c r="C8839" t="str">
        <f t="shared" si="520"/>
        <v>394</v>
      </c>
      <c r="D8839" t="str">
        <f>"1"</f>
        <v>1</v>
      </c>
      <c r="E8839" t="str">
        <f>"1-394-1"</f>
        <v>1-394-1</v>
      </c>
      <c r="F8839" t="s">
        <v>83</v>
      </c>
      <c r="G8839" t="s">
        <v>84</v>
      </c>
      <c r="H8839" t="s">
        <v>85</v>
      </c>
      <c r="AC8839">
        <v>1</v>
      </c>
      <c r="AD8839">
        <v>0</v>
      </c>
      <c r="AE8839">
        <v>0</v>
      </c>
      <c r="AF8839">
        <v>0</v>
      </c>
      <c r="AG8839">
        <v>0</v>
      </c>
      <c r="AJ8839">
        <v>0</v>
      </c>
      <c r="AK8839">
        <v>1</v>
      </c>
      <c r="AL8839">
        <v>0</v>
      </c>
      <c r="AM8839">
        <v>0</v>
      </c>
      <c r="AN8839">
        <v>1</v>
      </c>
      <c r="AO8839">
        <v>0</v>
      </c>
      <c r="AP8839">
        <v>0</v>
      </c>
      <c r="AQ8839">
        <v>0</v>
      </c>
      <c r="AR8839">
        <v>0</v>
      </c>
      <c r="AS8839">
        <v>0</v>
      </c>
      <c r="AT8839">
        <v>1</v>
      </c>
      <c r="AV8839">
        <v>0</v>
      </c>
      <c r="AW8839">
        <v>0</v>
      </c>
    </row>
    <row r="8840" spans="1:49" x14ac:dyDescent="0.25">
      <c r="A8840" t="str">
        <f>"8836"</f>
        <v>8836</v>
      </c>
      <c r="B8840" t="str">
        <f t="shared" si="518"/>
        <v>1</v>
      </c>
      <c r="C8840" t="str">
        <f t="shared" si="520"/>
        <v>394</v>
      </c>
      <c r="D8840" t="str">
        <f>"3"</f>
        <v>3</v>
      </c>
      <c r="E8840" t="str">
        <f>"1-394-3"</f>
        <v>1-394-3</v>
      </c>
      <c r="F8840" t="s">
        <v>83</v>
      </c>
      <c r="G8840" t="s">
        <v>84</v>
      </c>
      <c r="H8840" t="s">
        <v>92</v>
      </c>
      <c r="I8840">
        <v>0</v>
      </c>
      <c r="J8840">
        <v>1</v>
      </c>
      <c r="N8840">
        <v>1</v>
      </c>
      <c r="O8840">
        <v>1</v>
      </c>
      <c r="P8840">
        <v>1</v>
      </c>
      <c r="Q8840">
        <v>1</v>
      </c>
      <c r="R8840">
        <v>1</v>
      </c>
      <c r="S8840">
        <v>1</v>
      </c>
      <c r="T8840">
        <v>1</v>
      </c>
      <c r="W8840">
        <v>1</v>
      </c>
      <c r="X8840">
        <v>1</v>
      </c>
      <c r="Y8840">
        <v>1</v>
      </c>
      <c r="Z8840">
        <v>1</v>
      </c>
      <c r="AA8840">
        <v>1</v>
      </c>
      <c r="AB8840">
        <v>1</v>
      </c>
    </row>
    <row r="8841" spans="1:49" x14ac:dyDescent="0.25">
      <c r="A8841" t="str">
        <f>"8837"</f>
        <v>8837</v>
      </c>
      <c r="B8841" t="str">
        <f t="shared" si="518"/>
        <v>1</v>
      </c>
      <c r="C8841" t="str">
        <f t="shared" si="520"/>
        <v>394</v>
      </c>
      <c r="D8841" t="str">
        <f>"2"</f>
        <v>2</v>
      </c>
      <c r="E8841" t="str">
        <f>"1-394-2"</f>
        <v>1-394-2</v>
      </c>
      <c r="F8841" t="s">
        <v>83</v>
      </c>
      <c r="G8841" t="s">
        <v>84</v>
      </c>
      <c r="H8841" t="s">
        <v>92</v>
      </c>
      <c r="I8841">
        <v>1</v>
      </c>
      <c r="J8841">
        <v>1</v>
      </c>
      <c r="N8841">
        <v>1</v>
      </c>
      <c r="O8841">
        <v>1</v>
      </c>
      <c r="P8841">
        <v>1</v>
      </c>
      <c r="Q8841">
        <v>1</v>
      </c>
      <c r="R8841">
        <v>1</v>
      </c>
      <c r="S8841">
        <v>1</v>
      </c>
      <c r="T8841">
        <v>1</v>
      </c>
      <c r="W8841">
        <v>1</v>
      </c>
      <c r="X8841">
        <v>1</v>
      </c>
      <c r="Y8841">
        <v>1</v>
      </c>
      <c r="Z8841">
        <v>1</v>
      </c>
      <c r="AA8841">
        <v>1</v>
      </c>
      <c r="AB8841">
        <v>1</v>
      </c>
    </row>
    <row r="8842" spans="1:49" x14ac:dyDescent="0.25">
      <c r="A8842" t="str">
        <f>"8838"</f>
        <v>8838</v>
      </c>
      <c r="B8842" t="str">
        <f t="shared" si="518"/>
        <v>1</v>
      </c>
      <c r="C8842" t="str">
        <f t="shared" si="520"/>
        <v>394</v>
      </c>
      <c r="D8842" t="str">
        <f>"7"</f>
        <v>7</v>
      </c>
      <c r="E8842" t="str">
        <f>"1-394-7"</f>
        <v>1-394-7</v>
      </c>
      <c r="F8842" t="s">
        <v>83</v>
      </c>
      <c r="G8842" t="s">
        <v>90</v>
      </c>
      <c r="H8842" t="s">
        <v>91</v>
      </c>
      <c r="AC8842">
        <v>1</v>
      </c>
      <c r="AD8842">
        <v>0</v>
      </c>
      <c r="AE8842">
        <v>0</v>
      </c>
      <c r="AF8842">
        <v>0</v>
      </c>
      <c r="AH8842">
        <v>1</v>
      </c>
      <c r="AI8842">
        <v>0</v>
      </c>
      <c r="AJ8842">
        <v>0</v>
      </c>
      <c r="AK8842">
        <v>1</v>
      </c>
      <c r="AL8842">
        <v>0</v>
      </c>
      <c r="AM8842">
        <v>1</v>
      </c>
      <c r="AN8842">
        <v>0</v>
      </c>
      <c r="AO8842">
        <v>1</v>
      </c>
      <c r="AP8842">
        <v>1</v>
      </c>
      <c r="AQ8842">
        <v>1</v>
      </c>
      <c r="AR8842">
        <v>1</v>
      </c>
      <c r="AU8842">
        <v>1</v>
      </c>
      <c r="AV8842">
        <v>1</v>
      </c>
      <c r="AW8842">
        <v>1</v>
      </c>
    </row>
    <row r="8843" spans="1:49" x14ac:dyDescent="0.25">
      <c r="A8843" t="str">
        <f>"8839"</f>
        <v>8839</v>
      </c>
      <c r="B8843" t="str">
        <f t="shared" si="518"/>
        <v>1</v>
      </c>
      <c r="C8843" t="str">
        <f t="shared" si="520"/>
        <v>394</v>
      </c>
      <c r="D8843" t="str">
        <f>"5"</f>
        <v>5</v>
      </c>
      <c r="E8843" t="str">
        <f>"1-394-5"</f>
        <v>1-394-5</v>
      </c>
      <c r="F8843" t="s">
        <v>83</v>
      </c>
      <c r="G8843" t="s">
        <v>84</v>
      </c>
      <c r="H8843" t="s">
        <v>85</v>
      </c>
      <c r="AC8843">
        <v>0</v>
      </c>
      <c r="AD8843">
        <v>1</v>
      </c>
      <c r="AE8843">
        <v>0</v>
      </c>
      <c r="AF8843">
        <v>0</v>
      </c>
      <c r="AG8843">
        <v>1</v>
      </c>
      <c r="AJ8843">
        <v>0</v>
      </c>
      <c r="AK8843">
        <v>0</v>
      </c>
      <c r="AL8843">
        <v>0</v>
      </c>
      <c r="AM8843">
        <v>0</v>
      </c>
      <c r="AN8843">
        <v>1</v>
      </c>
      <c r="AO8843">
        <v>1</v>
      </c>
      <c r="AP8843">
        <v>1</v>
      </c>
      <c r="AQ8843">
        <v>1</v>
      </c>
      <c r="AR8843">
        <v>1</v>
      </c>
      <c r="AS8843">
        <v>0</v>
      </c>
      <c r="AT8843">
        <v>1</v>
      </c>
      <c r="AV8843">
        <v>1</v>
      </c>
      <c r="AW8843">
        <v>1</v>
      </c>
    </row>
    <row r="8844" spans="1:49" x14ac:dyDescent="0.25">
      <c r="A8844" t="str">
        <f>"8840"</f>
        <v>8840</v>
      </c>
      <c r="B8844" t="str">
        <f t="shared" si="518"/>
        <v>1</v>
      </c>
      <c r="C8844" t="str">
        <f t="shared" si="520"/>
        <v>394</v>
      </c>
      <c r="D8844" t="str">
        <f>"6"</f>
        <v>6</v>
      </c>
      <c r="E8844" t="str">
        <f>"1-394-6"</f>
        <v>1-394-6</v>
      </c>
      <c r="F8844" t="s">
        <v>83</v>
      </c>
      <c r="G8844" t="s">
        <v>84</v>
      </c>
      <c r="H8844" t="s">
        <v>92</v>
      </c>
      <c r="I8844">
        <v>1</v>
      </c>
      <c r="J8844">
        <v>1</v>
      </c>
      <c r="N8844">
        <v>1</v>
      </c>
      <c r="O8844">
        <v>1</v>
      </c>
      <c r="P8844">
        <v>1</v>
      </c>
      <c r="Q8844">
        <v>1</v>
      </c>
      <c r="R8844">
        <v>1</v>
      </c>
      <c r="S8844">
        <v>1</v>
      </c>
      <c r="T8844">
        <v>1</v>
      </c>
      <c r="W8844">
        <v>1</v>
      </c>
      <c r="X8844">
        <v>1</v>
      </c>
      <c r="Y8844">
        <v>1</v>
      </c>
      <c r="Z8844">
        <v>1</v>
      </c>
      <c r="AA8844">
        <v>1</v>
      </c>
      <c r="AB8844">
        <v>1</v>
      </c>
    </row>
    <row r="8845" spans="1:49" x14ac:dyDescent="0.25">
      <c r="A8845" t="str">
        <f>"8841"</f>
        <v>8841</v>
      </c>
      <c r="B8845" t="str">
        <f t="shared" si="518"/>
        <v>1</v>
      </c>
      <c r="C8845" t="str">
        <f t="shared" si="520"/>
        <v>394</v>
      </c>
      <c r="D8845" t="str">
        <f>"4"</f>
        <v>4</v>
      </c>
      <c r="E8845" t="str">
        <f>"1-394-4"</f>
        <v>1-394-4</v>
      </c>
      <c r="F8845" t="s">
        <v>83</v>
      </c>
      <c r="G8845" t="s">
        <v>84</v>
      </c>
      <c r="H8845" t="s">
        <v>85</v>
      </c>
      <c r="AC8845">
        <v>0</v>
      </c>
      <c r="AD8845">
        <v>1</v>
      </c>
      <c r="AE8845">
        <v>0</v>
      </c>
      <c r="AF8845">
        <v>0</v>
      </c>
      <c r="AG8845">
        <v>1</v>
      </c>
      <c r="AJ8845">
        <v>0</v>
      </c>
      <c r="AK8845">
        <v>1</v>
      </c>
      <c r="AL8845">
        <v>0</v>
      </c>
      <c r="AM8845">
        <v>1</v>
      </c>
      <c r="AN8845">
        <v>0</v>
      </c>
      <c r="AO8845">
        <v>1</v>
      </c>
      <c r="AP8845">
        <v>1</v>
      </c>
      <c r="AQ8845">
        <v>1</v>
      </c>
      <c r="AR8845">
        <v>1</v>
      </c>
      <c r="AS8845">
        <v>0</v>
      </c>
      <c r="AT8845">
        <v>1</v>
      </c>
      <c r="AV8845">
        <v>1</v>
      </c>
      <c r="AW8845">
        <v>1</v>
      </c>
    </row>
    <row r="8846" spans="1:49" x14ac:dyDescent="0.25">
      <c r="A8846" t="str">
        <f>"8842"</f>
        <v>8842</v>
      </c>
      <c r="B8846" t="str">
        <f t="shared" si="518"/>
        <v>1</v>
      </c>
      <c r="C8846" t="str">
        <f>"395"</f>
        <v>395</v>
      </c>
      <c r="D8846" t="str">
        <f>"1"</f>
        <v>1</v>
      </c>
      <c r="E8846" t="str">
        <f>"1-395-1"</f>
        <v>1-395-1</v>
      </c>
      <c r="F8846" t="s">
        <v>83</v>
      </c>
      <c r="G8846" t="s">
        <v>86</v>
      </c>
      <c r="H8846" t="s">
        <v>93</v>
      </c>
      <c r="I8846">
        <v>1</v>
      </c>
      <c r="K8846">
        <v>0</v>
      </c>
      <c r="L8846">
        <v>0</v>
      </c>
      <c r="M8846">
        <v>1</v>
      </c>
      <c r="N8846">
        <v>0</v>
      </c>
      <c r="O8846">
        <v>0</v>
      </c>
      <c r="P8846">
        <v>0</v>
      </c>
      <c r="Q8846">
        <v>0</v>
      </c>
      <c r="R8846">
        <v>0</v>
      </c>
      <c r="U8846">
        <v>0</v>
      </c>
      <c r="V8846">
        <v>0</v>
      </c>
      <c r="W8846">
        <v>0</v>
      </c>
      <c r="X8846">
        <v>0</v>
      </c>
      <c r="Y8846">
        <v>0</v>
      </c>
      <c r="Z8846">
        <v>0</v>
      </c>
      <c r="AA8846">
        <v>0</v>
      </c>
      <c r="AB8846">
        <v>0</v>
      </c>
    </row>
    <row r="8847" spans="1:49" x14ac:dyDescent="0.25">
      <c r="A8847" t="str">
        <f>"8843"</f>
        <v>8843</v>
      </c>
      <c r="B8847" t="str">
        <f t="shared" si="518"/>
        <v>1</v>
      </c>
      <c r="C8847" t="str">
        <f>"395"</f>
        <v>395</v>
      </c>
      <c r="D8847" t="str">
        <f>"4"</f>
        <v>4</v>
      </c>
      <c r="E8847" t="str">
        <f>"1-395-4"</f>
        <v>1-395-4</v>
      </c>
      <c r="F8847" t="s">
        <v>83</v>
      </c>
      <c r="G8847" t="s">
        <v>84</v>
      </c>
      <c r="H8847" t="s">
        <v>92</v>
      </c>
      <c r="I8847">
        <v>1</v>
      </c>
      <c r="J8847">
        <v>1</v>
      </c>
      <c r="N8847">
        <v>1</v>
      </c>
      <c r="O8847">
        <v>1</v>
      </c>
      <c r="P8847">
        <v>1</v>
      </c>
      <c r="Q8847">
        <v>1</v>
      </c>
      <c r="R8847">
        <v>1</v>
      </c>
      <c r="S8847">
        <v>1</v>
      </c>
      <c r="T8847">
        <v>1</v>
      </c>
      <c r="W8847">
        <v>1</v>
      </c>
      <c r="X8847">
        <v>1</v>
      </c>
      <c r="Y8847">
        <v>1</v>
      </c>
      <c r="Z8847">
        <v>1</v>
      </c>
      <c r="AA8847">
        <v>1</v>
      </c>
      <c r="AB8847">
        <v>1</v>
      </c>
    </row>
    <row r="8848" spans="1:49" x14ac:dyDescent="0.25">
      <c r="A8848" t="str">
        <f>"8844"</f>
        <v>8844</v>
      </c>
      <c r="B8848" t="str">
        <f t="shared" si="518"/>
        <v>1</v>
      </c>
      <c r="C8848" t="str">
        <f>"395"</f>
        <v>395</v>
      </c>
      <c r="D8848" t="str">
        <f>"3"</f>
        <v>3</v>
      </c>
      <c r="E8848" t="str">
        <f>"1-395-3"</f>
        <v>1-395-3</v>
      </c>
      <c r="F8848" t="s">
        <v>83</v>
      </c>
      <c r="G8848" t="s">
        <v>84</v>
      </c>
      <c r="H8848" t="s">
        <v>85</v>
      </c>
      <c r="AC8848">
        <v>0</v>
      </c>
      <c r="AD8848">
        <v>1</v>
      </c>
      <c r="AE8848">
        <v>0</v>
      </c>
      <c r="AF8848">
        <v>0</v>
      </c>
      <c r="AG8848">
        <v>0</v>
      </c>
      <c r="AJ8848">
        <v>0</v>
      </c>
      <c r="AK8848">
        <v>1</v>
      </c>
      <c r="AL8848">
        <v>0</v>
      </c>
      <c r="AM8848">
        <v>0</v>
      </c>
      <c r="AN8848">
        <v>1</v>
      </c>
      <c r="AO8848">
        <v>0</v>
      </c>
      <c r="AP8848">
        <v>0</v>
      </c>
      <c r="AQ8848">
        <v>0</v>
      </c>
      <c r="AR8848">
        <v>0</v>
      </c>
      <c r="AS8848">
        <v>0</v>
      </c>
      <c r="AT8848">
        <v>1</v>
      </c>
      <c r="AV8848">
        <v>0</v>
      </c>
      <c r="AW8848">
        <v>0</v>
      </c>
    </row>
    <row r="8849" spans="1:49" x14ac:dyDescent="0.25">
      <c r="A8849" t="str">
        <f>"8845"</f>
        <v>8845</v>
      </c>
      <c r="B8849" t="str">
        <f t="shared" si="518"/>
        <v>1</v>
      </c>
      <c r="C8849" t="str">
        <f>"395"</f>
        <v>395</v>
      </c>
      <c r="D8849" t="str">
        <f>"5"</f>
        <v>5</v>
      </c>
      <c r="E8849" t="str">
        <f>"1-395-5"</f>
        <v>1-395-5</v>
      </c>
      <c r="F8849" t="s">
        <v>83</v>
      </c>
      <c r="G8849" t="s">
        <v>86</v>
      </c>
      <c r="H8849" t="s">
        <v>87</v>
      </c>
      <c r="AC8849">
        <v>0</v>
      </c>
      <c r="AD8849">
        <v>0</v>
      </c>
      <c r="AE8849">
        <v>0</v>
      </c>
      <c r="AF8849">
        <v>0</v>
      </c>
      <c r="AH8849">
        <v>0</v>
      </c>
      <c r="AI8849">
        <v>1</v>
      </c>
      <c r="AJ8849">
        <v>0</v>
      </c>
      <c r="AK8849">
        <v>0</v>
      </c>
      <c r="AL8849">
        <v>0</v>
      </c>
      <c r="AM8849">
        <v>0</v>
      </c>
      <c r="AN8849">
        <v>0</v>
      </c>
      <c r="AO8849">
        <v>0</v>
      </c>
      <c r="AP8849">
        <v>0</v>
      </c>
      <c r="AQ8849">
        <v>0</v>
      </c>
      <c r="AU8849">
        <v>0</v>
      </c>
      <c r="AV8849">
        <v>0</v>
      </c>
      <c r="AW8849">
        <v>0</v>
      </c>
    </row>
    <row r="8850" spans="1:49" x14ac:dyDescent="0.25">
      <c r="A8850" t="str">
        <f>"8846"</f>
        <v>8846</v>
      </c>
      <c r="B8850" t="str">
        <f t="shared" si="518"/>
        <v>1</v>
      </c>
      <c r="C8850" t="str">
        <f>"395"</f>
        <v>395</v>
      </c>
      <c r="D8850" t="str">
        <f>"2"</f>
        <v>2</v>
      </c>
      <c r="E8850" t="str">
        <f>"1-395-2"</f>
        <v>1-395-2</v>
      </c>
      <c r="F8850" t="s">
        <v>83</v>
      </c>
      <c r="G8850" t="s">
        <v>86</v>
      </c>
      <c r="H8850" t="s">
        <v>93</v>
      </c>
      <c r="I8850">
        <v>1</v>
      </c>
      <c r="K8850">
        <v>1</v>
      </c>
      <c r="L8850">
        <v>0</v>
      </c>
      <c r="M8850">
        <v>0</v>
      </c>
      <c r="N8850">
        <v>1</v>
      </c>
      <c r="O8850">
        <v>1</v>
      </c>
      <c r="P8850">
        <v>1</v>
      </c>
      <c r="Q8850">
        <v>1</v>
      </c>
      <c r="R8850">
        <v>1</v>
      </c>
      <c r="U8850">
        <v>0</v>
      </c>
      <c r="V8850">
        <v>1</v>
      </c>
      <c r="W8850">
        <v>1</v>
      </c>
      <c r="X8850">
        <v>1</v>
      </c>
      <c r="Y8850">
        <v>1</v>
      </c>
      <c r="Z8850">
        <v>1</v>
      </c>
      <c r="AA8850">
        <v>1</v>
      </c>
      <c r="AB8850">
        <v>1</v>
      </c>
    </row>
    <row r="8851" spans="1:49" x14ac:dyDescent="0.25">
      <c r="A8851" t="str">
        <f>"8847"</f>
        <v>8847</v>
      </c>
      <c r="B8851" t="str">
        <f t="shared" si="518"/>
        <v>1</v>
      </c>
      <c r="C8851" t="str">
        <f t="shared" ref="C8851:C8875" si="521">"396"</f>
        <v>396</v>
      </c>
      <c r="D8851" t="str">
        <f>"25"</f>
        <v>25</v>
      </c>
      <c r="E8851" t="str">
        <f>"1-396-25"</f>
        <v>1-396-25</v>
      </c>
      <c r="F8851" t="s">
        <v>83</v>
      </c>
      <c r="G8851" t="s">
        <v>84</v>
      </c>
      <c r="H8851" t="s">
        <v>85</v>
      </c>
      <c r="AC8851">
        <v>1</v>
      </c>
      <c r="AD8851">
        <v>0</v>
      </c>
      <c r="AE8851">
        <v>0</v>
      </c>
      <c r="AF8851">
        <v>0</v>
      </c>
      <c r="AG8851">
        <v>1</v>
      </c>
      <c r="AJ8851">
        <v>1</v>
      </c>
      <c r="AK8851">
        <v>0</v>
      </c>
      <c r="AL8851">
        <v>1</v>
      </c>
      <c r="AM8851">
        <v>0</v>
      </c>
      <c r="AN8851">
        <v>0</v>
      </c>
      <c r="AO8851">
        <v>1</v>
      </c>
      <c r="AP8851">
        <v>1</v>
      </c>
      <c r="AQ8851">
        <v>1</v>
      </c>
      <c r="AR8851">
        <v>1</v>
      </c>
      <c r="AS8851">
        <v>0</v>
      </c>
      <c r="AT8851">
        <v>1</v>
      </c>
      <c r="AV8851">
        <v>1</v>
      </c>
      <c r="AW8851">
        <v>1</v>
      </c>
    </row>
    <row r="8852" spans="1:49" x14ac:dyDescent="0.25">
      <c r="A8852" t="str">
        <f>"8848"</f>
        <v>8848</v>
      </c>
      <c r="B8852" t="str">
        <f t="shared" si="518"/>
        <v>1</v>
      </c>
      <c r="C8852" t="str">
        <f t="shared" si="521"/>
        <v>396</v>
      </c>
      <c r="D8852" t="str">
        <f>"24"</f>
        <v>24</v>
      </c>
      <c r="E8852" t="str">
        <f>"1-396-24"</f>
        <v>1-396-24</v>
      </c>
      <c r="F8852" t="s">
        <v>83</v>
      </c>
      <c r="G8852" t="s">
        <v>84</v>
      </c>
      <c r="H8852" t="s">
        <v>85</v>
      </c>
      <c r="AC8852">
        <v>1</v>
      </c>
      <c r="AD8852">
        <v>0</v>
      </c>
      <c r="AE8852">
        <v>0</v>
      </c>
      <c r="AF8852">
        <v>0</v>
      </c>
      <c r="AG8852">
        <v>1</v>
      </c>
      <c r="AJ8852">
        <v>1</v>
      </c>
      <c r="AK8852">
        <v>0</v>
      </c>
      <c r="AL8852">
        <v>1</v>
      </c>
      <c r="AM8852">
        <v>0</v>
      </c>
      <c r="AN8852">
        <v>0</v>
      </c>
      <c r="AO8852">
        <v>1</v>
      </c>
      <c r="AP8852">
        <v>1</v>
      </c>
      <c r="AQ8852">
        <v>1</v>
      </c>
      <c r="AR8852">
        <v>1</v>
      </c>
      <c r="AS8852">
        <v>1</v>
      </c>
      <c r="AT8852">
        <v>0</v>
      </c>
      <c r="AV8852">
        <v>1</v>
      </c>
      <c r="AW8852">
        <v>1</v>
      </c>
    </row>
    <row r="8853" spans="1:49" x14ac:dyDescent="0.25">
      <c r="A8853" t="str">
        <f>"8849"</f>
        <v>8849</v>
      </c>
      <c r="B8853" t="str">
        <f t="shared" si="518"/>
        <v>1</v>
      </c>
      <c r="C8853" t="str">
        <f t="shared" si="521"/>
        <v>396</v>
      </c>
      <c r="D8853" t="str">
        <f>"16"</f>
        <v>16</v>
      </c>
      <c r="E8853" t="str">
        <f>"1-396-16"</f>
        <v>1-396-16</v>
      </c>
      <c r="F8853" t="s">
        <v>83</v>
      </c>
      <c r="G8853" t="s">
        <v>84</v>
      </c>
      <c r="H8853" t="s">
        <v>92</v>
      </c>
      <c r="I8853">
        <v>1</v>
      </c>
      <c r="J8853">
        <v>1</v>
      </c>
      <c r="N8853">
        <v>1</v>
      </c>
      <c r="O8853">
        <v>1</v>
      </c>
      <c r="P8853">
        <v>1</v>
      </c>
      <c r="Q8853">
        <v>1</v>
      </c>
      <c r="R8853">
        <v>1</v>
      </c>
      <c r="S8853">
        <v>1</v>
      </c>
      <c r="T8853">
        <v>1</v>
      </c>
      <c r="W8853">
        <v>1</v>
      </c>
      <c r="X8853">
        <v>1</v>
      </c>
      <c r="Y8853">
        <v>1</v>
      </c>
      <c r="Z8853">
        <v>1</v>
      </c>
      <c r="AA8853">
        <v>1</v>
      </c>
      <c r="AB8853">
        <v>1</v>
      </c>
    </row>
    <row r="8854" spans="1:49" x14ac:dyDescent="0.25">
      <c r="A8854" t="str">
        <f>"8850"</f>
        <v>8850</v>
      </c>
      <c r="B8854" t="str">
        <f t="shared" si="518"/>
        <v>1</v>
      </c>
      <c r="C8854" t="str">
        <f t="shared" si="521"/>
        <v>396</v>
      </c>
      <c r="D8854" t="str">
        <f>"8"</f>
        <v>8</v>
      </c>
      <c r="E8854" t="str">
        <f>"1-396-8"</f>
        <v>1-396-8</v>
      </c>
      <c r="F8854" t="s">
        <v>83</v>
      </c>
      <c r="G8854" t="s">
        <v>84</v>
      </c>
      <c r="H8854" t="s">
        <v>85</v>
      </c>
      <c r="AC8854">
        <v>0</v>
      </c>
      <c r="AD8854">
        <v>1</v>
      </c>
      <c r="AE8854">
        <v>0</v>
      </c>
      <c r="AF8854">
        <v>0</v>
      </c>
      <c r="AG8854">
        <v>1</v>
      </c>
      <c r="AJ8854">
        <v>0</v>
      </c>
      <c r="AK8854">
        <v>1</v>
      </c>
      <c r="AL8854">
        <v>0</v>
      </c>
      <c r="AM8854">
        <v>0</v>
      </c>
      <c r="AN8854">
        <v>1</v>
      </c>
      <c r="AO8854">
        <v>1</v>
      </c>
      <c r="AP8854">
        <v>1</v>
      </c>
      <c r="AQ8854">
        <v>1</v>
      </c>
      <c r="AR8854">
        <v>1</v>
      </c>
      <c r="AS8854">
        <v>0</v>
      </c>
      <c r="AT8854">
        <v>1</v>
      </c>
      <c r="AV8854">
        <v>1</v>
      </c>
      <c r="AW8854">
        <v>1</v>
      </c>
    </row>
    <row r="8855" spans="1:49" x14ac:dyDescent="0.25">
      <c r="A8855" t="str">
        <f>"8851"</f>
        <v>8851</v>
      </c>
      <c r="B8855" t="str">
        <f t="shared" si="518"/>
        <v>1</v>
      </c>
      <c r="C8855" t="str">
        <f t="shared" si="521"/>
        <v>396</v>
      </c>
      <c r="D8855" t="str">
        <f>"1"</f>
        <v>1</v>
      </c>
      <c r="E8855" t="str">
        <f>"1-396-1"</f>
        <v>1-396-1</v>
      </c>
      <c r="F8855" t="s">
        <v>83</v>
      </c>
      <c r="G8855" t="s">
        <v>84</v>
      </c>
      <c r="H8855" t="s">
        <v>85</v>
      </c>
      <c r="AC8855">
        <v>0</v>
      </c>
      <c r="AD8855">
        <v>1</v>
      </c>
      <c r="AE8855">
        <v>0</v>
      </c>
      <c r="AF8855">
        <v>0</v>
      </c>
      <c r="AG8855">
        <v>0</v>
      </c>
      <c r="AJ8855">
        <v>0</v>
      </c>
      <c r="AK8855">
        <v>1</v>
      </c>
      <c r="AL8855">
        <v>0</v>
      </c>
      <c r="AM8855">
        <v>0</v>
      </c>
      <c r="AN8855">
        <v>1</v>
      </c>
      <c r="AO8855">
        <v>0</v>
      </c>
      <c r="AP8855">
        <v>0</v>
      </c>
      <c r="AQ8855">
        <v>0</v>
      </c>
      <c r="AR8855">
        <v>0</v>
      </c>
      <c r="AS8855">
        <v>1</v>
      </c>
      <c r="AT8855">
        <v>0</v>
      </c>
      <c r="AV8855">
        <v>0</v>
      </c>
      <c r="AW8855">
        <v>0</v>
      </c>
    </row>
    <row r="8856" spans="1:49" x14ac:dyDescent="0.25">
      <c r="A8856" t="str">
        <f>"8852"</f>
        <v>8852</v>
      </c>
      <c r="B8856" t="str">
        <f t="shared" si="518"/>
        <v>1</v>
      </c>
      <c r="C8856" t="str">
        <f t="shared" si="521"/>
        <v>396</v>
      </c>
      <c r="D8856" t="str">
        <f>"23"</f>
        <v>23</v>
      </c>
      <c r="E8856" t="str">
        <f>"1-396-23"</f>
        <v>1-396-23</v>
      </c>
      <c r="F8856" t="s">
        <v>83</v>
      </c>
      <c r="G8856" t="s">
        <v>84</v>
      </c>
      <c r="H8856" t="s">
        <v>85</v>
      </c>
      <c r="AC8856">
        <v>1</v>
      </c>
      <c r="AD8856">
        <v>0</v>
      </c>
      <c r="AE8856">
        <v>0</v>
      </c>
      <c r="AF8856">
        <v>0</v>
      </c>
      <c r="AG8856">
        <v>1</v>
      </c>
      <c r="AJ8856">
        <v>1</v>
      </c>
      <c r="AK8856">
        <v>0</v>
      </c>
      <c r="AL8856">
        <v>1</v>
      </c>
      <c r="AM8856">
        <v>0</v>
      </c>
      <c r="AN8856">
        <v>0</v>
      </c>
      <c r="AO8856">
        <v>1</v>
      </c>
      <c r="AP8856">
        <v>1</v>
      </c>
      <c r="AQ8856">
        <v>1</v>
      </c>
      <c r="AR8856">
        <v>1</v>
      </c>
      <c r="AS8856">
        <v>1</v>
      </c>
      <c r="AT8856">
        <v>0</v>
      </c>
      <c r="AV8856">
        <v>1</v>
      </c>
      <c r="AW8856">
        <v>1</v>
      </c>
    </row>
    <row r="8857" spans="1:49" x14ac:dyDescent="0.25">
      <c r="A8857" t="str">
        <f>"8853"</f>
        <v>8853</v>
      </c>
      <c r="B8857" t="str">
        <f t="shared" si="518"/>
        <v>1</v>
      </c>
      <c r="C8857" t="str">
        <f t="shared" si="521"/>
        <v>396</v>
      </c>
      <c r="D8857" t="str">
        <f>"22"</f>
        <v>22</v>
      </c>
      <c r="E8857" t="str">
        <f>"1-396-22"</f>
        <v>1-396-22</v>
      </c>
      <c r="F8857" t="s">
        <v>83</v>
      </c>
      <c r="G8857" t="s">
        <v>86</v>
      </c>
      <c r="H8857" t="s">
        <v>87</v>
      </c>
      <c r="AC8857">
        <v>0</v>
      </c>
      <c r="AD8857">
        <v>0</v>
      </c>
      <c r="AE8857">
        <v>0</v>
      </c>
      <c r="AF8857">
        <v>0</v>
      </c>
      <c r="AH8857">
        <v>0</v>
      </c>
      <c r="AI8857">
        <v>1</v>
      </c>
      <c r="AJ8857">
        <v>0</v>
      </c>
      <c r="AK8857">
        <v>0</v>
      </c>
      <c r="AL8857">
        <v>0</v>
      </c>
      <c r="AM8857">
        <v>0</v>
      </c>
      <c r="AN8857">
        <v>0</v>
      </c>
      <c r="AO8857">
        <v>0</v>
      </c>
      <c r="AP8857">
        <v>0</v>
      </c>
      <c r="AQ8857">
        <v>0</v>
      </c>
      <c r="AU8857">
        <v>0</v>
      </c>
      <c r="AV8857">
        <v>0</v>
      </c>
      <c r="AW8857">
        <v>0</v>
      </c>
    </row>
    <row r="8858" spans="1:49" x14ac:dyDescent="0.25">
      <c r="A8858" t="str">
        <f>"8854"</f>
        <v>8854</v>
      </c>
      <c r="B8858" t="str">
        <f t="shared" si="518"/>
        <v>1</v>
      </c>
      <c r="C8858" t="str">
        <f t="shared" si="521"/>
        <v>396</v>
      </c>
      <c r="D8858" t="str">
        <f>"15"</f>
        <v>15</v>
      </c>
      <c r="E8858" t="str">
        <f>"1-396-15"</f>
        <v>1-396-15</v>
      </c>
      <c r="F8858" t="s">
        <v>83</v>
      </c>
      <c r="G8858" t="s">
        <v>84</v>
      </c>
      <c r="H8858" t="s">
        <v>85</v>
      </c>
      <c r="AC8858">
        <v>0</v>
      </c>
      <c r="AD8858">
        <v>1</v>
      </c>
      <c r="AE8858">
        <v>0</v>
      </c>
      <c r="AF8858">
        <v>0</v>
      </c>
      <c r="AG8858">
        <v>0</v>
      </c>
      <c r="AJ8858">
        <v>0</v>
      </c>
      <c r="AK8858">
        <v>1</v>
      </c>
      <c r="AL8858">
        <v>0</v>
      </c>
      <c r="AM8858">
        <v>1</v>
      </c>
      <c r="AN8858">
        <v>0</v>
      </c>
      <c r="AO8858">
        <v>0</v>
      </c>
      <c r="AP8858">
        <v>0</v>
      </c>
      <c r="AQ8858">
        <v>0</v>
      </c>
      <c r="AR8858">
        <v>0</v>
      </c>
      <c r="AS8858">
        <v>0</v>
      </c>
      <c r="AT8858">
        <v>0</v>
      </c>
      <c r="AV8858">
        <v>0</v>
      </c>
      <c r="AW8858">
        <v>0</v>
      </c>
    </row>
    <row r="8859" spans="1:49" x14ac:dyDescent="0.25">
      <c r="A8859" t="str">
        <f>"8855"</f>
        <v>8855</v>
      </c>
      <c r="B8859" t="str">
        <f t="shared" si="518"/>
        <v>1</v>
      </c>
      <c r="C8859" t="str">
        <f t="shared" si="521"/>
        <v>396</v>
      </c>
      <c r="D8859" t="str">
        <f>"9"</f>
        <v>9</v>
      </c>
      <c r="E8859" t="str">
        <f>"1-396-9"</f>
        <v>1-396-9</v>
      </c>
      <c r="F8859" t="s">
        <v>83</v>
      </c>
      <c r="G8859" t="s">
        <v>86</v>
      </c>
      <c r="H8859" t="s">
        <v>87</v>
      </c>
      <c r="AC8859">
        <v>0</v>
      </c>
      <c r="AD8859">
        <v>1</v>
      </c>
      <c r="AE8859">
        <v>0</v>
      </c>
      <c r="AF8859">
        <v>0</v>
      </c>
      <c r="AH8859">
        <v>0</v>
      </c>
      <c r="AI8859">
        <v>1</v>
      </c>
      <c r="AJ8859">
        <v>0</v>
      </c>
      <c r="AK8859">
        <v>1</v>
      </c>
      <c r="AL8859">
        <v>0</v>
      </c>
      <c r="AM8859">
        <v>0</v>
      </c>
      <c r="AN8859">
        <v>1</v>
      </c>
      <c r="AO8859">
        <v>1</v>
      </c>
      <c r="AP8859">
        <v>1</v>
      </c>
      <c r="AQ8859">
        <v>1</v>
      </c>
      <c r="AU8859">
        <v>1</v>
      </c>
      <c r="AV8859">
        <v>1</v>
      </c>
      <c r="AW8859">
        <v>1</v>
      </c>
    </row>
    <row r="8860" spans="1:49" x14ac:dyDescent="0.25">
      <c r="A8860" t="str">
        <f>"8856"</f>
        <v>8856</v>
      </c>
      <c r="B8860" t="str">
        <f t="shared" si="518"/>
        <v>1</v>
      </c>
      <c r="C8860" t="str">
        <f t="shared" si="521"/>
        <v>396</v>
      </c>
      <c r="D8860" t="str">
        <f>"7"</f>
        <v>7</v>
      </c>
      <c r="E8860" t="str">
        <f>"1-396-7"</f>
        <v>1-396-7</v>
      </c>
      <c r="F8860" t="s">
        <v>83</v>
      </c>
      <c r="G8860" t="s">
        <v>84</v>
      </c>
      <c r="H8860" t="s">
        <v>85</v>
      </c>
      <c r="AC8860">
        <v>0</v>
      </c>
      <c r="AD8860">
        <v>1</v>
      </c>
      <c r="AE8860">
        <v>0</v>
      </c>
      <c r="AF8860">
        <v>0</v>
      </c>
      <c r="AG8860">
        <v>1</v>
      </c>
      <c r="AJ8860">
        <v>1</v>
      </c>
      <c r="AK8860">
        <v>0</v>
      </c>
      <c r="AL8860">
        <v>1</v>
      </c>
      <c r="AM8860">
        <v>0</v>
      </c>
      <c r="AN8860">
        <v>0</v>
      </c>
      <c r="AO8860">
        <v>1</v>
      </c>
      <c r="AP8860">
        <v>1</v>
      </c>
      <c r="AQ8860">
        <v>1</v>
      </c>
      <c r="AR8860">
        <v>1</v>
      </c>
      <c r="AS8860">
        <v>1</v>
      </c>
      <c r="AT8860">
        <v>0</v>
      </c>
      <c r="AV8860">
        <v>1</v>
      </c>
      <c r="AW8860">
        <v>1</v>
      </c>
    </row>
    <row r="8861" spans="1:49" x14ac:dyDescent="0.25">
      <c r="A8861" t="str">
        <f>"8857"</f>
        <v>8857</v>
      </c>
      <c r="B8861" t="str">
        <f t="shared" si="518"/>
        <v>1</v>
      </c>
      <c r="C8861" t="str">
        <f t="shared" si="521"/>
        <v>396</v>
      </c>
      <c r="D8861" t="str">
        <f>"17"</f>
        <v>17</v>
      </c>
      <c r="E8861" t="str">
        <f>"1-396-17"</f>
        <v>1-396-17</v>
      </c>
      <c r="F8861" t="s">
        <v>83</v>
      </c>
      <c r="G8861" t="s">
        <v>84</v>
      </c>
      <c r="H8861" t="s">
        <v>85</v>
      </c>
      <c r="AC8861">
        <v>0</v>
      </c>
      <c r="AD8861">
        <v>1</v>
      </c>
      <c r="AE8861">
        <v>0</v>
      </c>
      <c r="AF8861">
        <v>0</v>
      </c>
      <c r="AG8861">
        <v>0</v>
      </c>
      <c r="AJ8861">
        <v>1</v>
      </c>
      <c r="AK8861">
        <v>0</v>
      </c>
      <c r="AL8861">
        <v>0</v>
      </c>
      <c r="AM8861">
        <v>0</v>
      </c>
      <c r="AN8861">
        <v>1</v>
      </c>
      <c r="AO8861">
        <v>0</v>
      </c>
      <c r="AP8861">
        <v>0</v>
      </c>
      <c r="AQ8861">
        <v>0</v>
      </c>
      <c r="AR8861">
        <v>0</v>
      </c>
      <c r="AS8861">
        <v>0</v>
      </c>
      <c r="AT8861">
        <v>0</v>
      </c>
      <c r="AV8861">
        <v>0</v>
      </c>
      <c r="AW8861">
        <v>1</v>
      </c>
    </row>
    <row r="8862" spans="1:49" x14ac:dyDescent="0.25">
      <c r="A8862" t="str">
        <f>"8858"</f>
        <v>8858</v>
      </c>
      <c r="B8862" t="str">
        <f t="shared" ref="B8862:B8925" si="522">"1"</f>
        <v>1</v>
      </c>
      <c r="C8862" t="str">
        <f t="shared" si="521"/>
        <v>396</v>
      </c>
      <c r="D8862" t="str">
        <f>"10"</f>
        <v>10</v>
      </c>
      <c r="E8862" t="str">
        <f>"1-396-10"</f>
        <v>1-396-10</v>
      </c>
      <c r="F8862" t="s">
        <v>83</v>
      </c>
      <c r="G8862" t="s">
        <v>86</v>
      </c>
      <c r="H8862" t="s">
        <v>87</v>
      </c>
      <c r="AC8862">
        <v>1</v>
      </c>
      <c r="AD8862">
        <v>0</v>
      </c>
      <c r="AE8862">
        <v>0</v>
      </c>
      <c r="AF8862">
        <v>0</v>
      </c>
      <c r="AH8862">
        <v>1</v>
      </c>
      <c r="AI8862">
        <v>0</v>
      </c>
      <c r="AJ8862">
        <v>1</v>
      </c>
      <c r="AK8862">
        <v>0</v>
      </c>
      <c r="AL8862">
        <v>1</v>
      </c>
      <c r="AM8862">
        <v>0</v>
      </c>
      <c r="AN8862">
        <v>0</v>
      </c>
      <c r="AO8862">
        <v>0</v>
      </c>
      <c r="AP8862">
        <v>0</v>
      </c>
      <c r="AQ8862">
        <v>0</v>
      </c>
      <c r="AU8862">
        <v>0</v>
      </c>
      <c r="AV8862">
        <v>0</v>
      </c>
      <c r="AW8862">
        <v>0</v>
      </c>
    </row>
    <row r="8863" spans="1:49" x14ac:dyDescent="0.25">
      <c r="A8863" t="str">
        <f>"8859"</f>
        <v>8859</v>
      </c>
      <c r="B8863" t="str">
        <f t="shared" si="522"/>
        <v>1</v>
      </c>
      <c r="C8863" t="str">
        <f t="shared" si="521"/>
        <v>396</v>
      </c>
      <c r="D8863" t="str">
        <f>"2"</f>
        <v>2</v>
      </c>
      <c r="E8863" t="str">
        <f>"1-396-2"</f>
        <v>1-396-2</v>
      </c>
      <c r="F8863" t="s">
        <v>83</v>
      </c>
      <c r="G8863" t="s">
        <v>84</v>
      </c>
      <c r="H8863" t="s">
        <v>85</v>
      </c>
      <c r="AC8863">
        <v>0</v>
      </c>
      <c r="AD8863">
        <v>1</v>
      </c>
      <c r="AE8863">
        <v>0</v>
      </c>
      <c r="AF8863">
        <v>0</v>
      </c>
      <c r="AG8863">
        <v>0</v>
      </c>
      <c r="AJ8863">
        <v>0</v>
      </c>
      <c r="AK8863">
        <v>1</v>
      </c>
      <c r="AL8863">
        <v>0</v>
      </c>
      <c r="AM8863">
        <v>0</v>
      </c>
      <c r="AN8863">
        <v>1</v>
      </c>
      <c r="AO8863">
        <v>0</v>
      </c>
      <c r="AP8863">
        <v>0</v>
      </c>
      <c r="AQ8863">
        <v>0</v>
      </c>
      <c r="AR8863">
        <v>0</v>
      </c>
      <c r="AS8863">
        <v>1</v>
      </c>
      <c r="AT8863">
        <v>0</v>
      </c>
      <c r="AV8863">
        <v>0</v>
      </c>
      <c r="AW8863">
        <v>0</v>
      </c>
    </row>
    <row r="8864" spans="1:49" x14ac:dyDescent="0.25">
      <c r="A8864" t="str">
        <f>"8860"</f>
        <v>8860</v>
      </c>
      <c r="B8864" t="str">
        <f t="shared" si="522"/>
        <v>1</v>
      </c>
      <c r="C8864" t="str">
        <f t="shared" si="521"/>
        <v>396</v>
      </c>
      <c r="D8864" t="str">
        <f>"19"</f>
        <v>19</v>
      </c>
      <c r="E8864" t="str">
        <f>"1-396-19"</f>
        <v>1-396-19</v>
      </c>
      <c r="F8864" t="s">
        <v>83</v>
      </c>
      <c r="G8864" t="s">
        <v>86</v>
      </c>
      <c r="H8864" t="s">
        <v>87</v>
      </c>
      <c r="AC8864">
        <v>0</v>
      </c>
      <c r="AD8864">
        <v>0</v>
      </c>
      <c r="AE8864">
        <v>0</v>
      </c>
      <c r="AF8864">
        <v>0</v>
      </c>
      <c r="AH8864">
        <v>0</v>
      </c>
      <c r="AI8864">
        <v>1</v>
      </c>
      <c r="AJ8864">
        <v>0</v>
      </c>
      <c r="AK8864">
        <v>0</v>
      </c>
      <c r="AL8864">
        <v>0</v>
      </c>
      <c r="AM8864">
        <v>0</v>
      </c>
      <c r="AN8864">
        <v>1</v>
      </c>
      <c r="AO8864">
        <v>0</v>
      </c>
      <c r="AP8864">
        <v>0</v>
      </c>
      <c r="AQ8864">
        <v>0</v>
      </c>
      <c r="AU8864">
        <v>0</v>
      </c>
      <c r="AV8864">
        <v>0</v>
      </c>
      <c r="AW8864">
        <v>1</v>
      </c>
    </row>
    <row r="8865" spans="1:49" x14ac:dyDescent="0.25">
      <c r="A8865" t="str">
        <f>"8861"</f>
        <v>8861</v>
      </c>
      <c r="B8865" t="str">
        <f t="shared" si="522"/>
        <v>1</v>
      </c>
      <c r="C8865" t="str">
        <f t="shared" si="521"/>
        <v>396</v>
      </c>
      <c r="D8865" t="str">
        <f>"11"</f>
        <v>11</v>
      </c>
      <c r="E8865" t="str">
        <f>"1-396-11"</f>
        <v>1-396-11</v>
      </c>
      <c r="F8865" t="s">
        <v>83</v>
      </c>
      <c r="G8865" t="s">
        <v>84</v>
      </c>
      <c r="H8865" t="s">
        <v>85</v>
      </c>
      <c r="AC8865">
        <v>0</v>
      </c>
      <c r="AD8865">
        <v>1</v>
      </c>
      <c r="AE8865">
        <v>0</v>
      </c>
      <c r="AF8865">
        <v>0</v>
      </c>
      <c r="AG8865">
        <v>1</v>
      </c>
      <c r="AJ8865">
        <v>0</v>
      </c>
      <c r="AK8865">
        <v>1</v>
      </c>
      <c r="AL8865">
        <v>0</v>
      </c>
      <c r="AM8865">
        <v>0</v>
      </c>
      <c r="AN8865">
        <v>1</v>
      </c>
      <c r="AO8865">
        <v>1</v>
      </c>
      <c r="AP8865">
        <v>1</v>
      </c>
      <c r="AQ8865">
        <v>1</v>
      </c>
      <c r="AR8865">
        <v>1</v>
      </c>
      <c r="AS8865">
        <v>0</v>
      </c>
      <c r="AT8865">
        <v>1</v>
      </c>
      <c r="AV8865">
        <v>1</v>
      </c>
      <c r="AW8865">
        <v>1</v>
      </c>
    </row>
    <row r="8866" spans="1:49" x14ac:dyDescent="0.25">
      <c r="A8866" t="str">
        <f>"8862"</f>
        <v>8862</v>
      </c>
      <c r="B8866" t="str">
        <f t="shared" si="522"/>
        <v>1</v>
      </c>
      <c r="C8866" t="str">
        <f t="shared" si="521"/>
        <v>396</v>
      </c>
      <c r="D8866" t="str">
        <f>"3"</f>
        <v>3</v>
      </c>
      <c r="E8866" t="str">
        <f>"1-396-3"</f>
        <v>1-396-3</v>
      </c>
      <c r="F8866" t="s">
        <v>83</v>
      </c>
      <c r="G8866" t="s">
        <v>86</v>
      </c>
      <c r="H8866" t="s">
        <v>87</v>
      </c>
      <c r="AC8866">
        <v>0</v>
      </c>
      <c r="AD8866">
        <v>1</v>
      </c>
      <c r="AE8866">
        <v>0</v>
      </c>
      <c r="AF8866">
        <v>0</v>
      </c>
      <c r="AH8866">
        <v>1</v>
      </c>
      <c r="AI8866">
        <v>0</v>
      </c>
      <c r="AJ8866">
        <v>0</v>
      </c>
      <c r="AK8866">
        <v>1</v>
      </c>
      <c r="AL8866">
        <v>0</v>
      </c>
      <c r="AM8866">
        <v>1</v>
      </c>
      <c r="AN8866">
        <v>0</v>
      </c>
      <c r="AO8866">
        <v>0</v>
      </c>
      <c r="AP8866">
        <v>0</v>
      </c>
      <c r="AQ8866">
        <v>0</v>
      </c>
      <c r="AU8866">
        <v>0</v>
      </c>
      <c r="AV8866">
        <v>1</v>
      </c>
      <c r="AW8866">
        <v>1</v>
      </c>
    </row>
    <row r="8867" spans="1:49" x14ac:dyDescent="0.25">
      <c r="A8867" t="str">
        <f>"8863"</f>
        <v>8863</v>
      </c>
      <c r="B8867" t="str">
        <f t="shared" si="522"/>
        <v>1</v>
      </c>
      <c r="C8867" t="str">
        <f t="shared" si="521"/>
        <v>396</v>
      </c>
      <c r="D8867" t="str">
        <f>"18"</f>
        <v>18</v>
      </c>
      <c r="E8867" t="str">
        <f>"1-396-18"</f>
        <v>1-396-18</v>
      </c>
      <c r="F8867" t="s">
        <v>83</v>
      </c>
      <c r="G8867" t="s">
        <v>86</v>
      </c>
      <c r="H8867" t="s">
        <v>87</v>
      </c>
      <c r="AC8867">
        <v>0</v>
      </c>
      <c r="AD8867">
        <v>0</v>
      </c>
      <c r="AE8867">
        <v>0</v>
      </c>
      <c r="AF8867">
        <v>0</v>
      </c>
      <c r="AH8867">
        <v>0</v>
      </c>
      <c r="AI8867">
        <v>1</v>
      </c>
      <c r="AJ8867">
        <v>0</v>
      </c>
      <c r="AK8867">
        <v>0</v>
      </c>
      <c r="AL8867">
        <v>0</v>
      </c>
      <c r="AM8867">
        <v>0</v>
      </c>
      <c r="AN8867">
        <v>0</v>
      </c>
      <c r="AO8867">
        <v>0</v>
      </c>
      <c r="AP8867">
        <v>0</v>
      </c>
      <c r="AQ8867">
        <v>0</v>
      </c>
      <c r="AU8867">
        <v>0</v>
      </c>
      <c r="AV8867">
        <v>0</v>
      </c>
      <c r="AW8867">
        <v>0</v>
      </c>
    </row>
    <row r="8868" spans="1:49" x14ac:dyDescent="0.25">
      <c r="A8868" t="str">
        <f>"8864"</f>
        <v>8864</v>
      </c>
      <c r="B8868" t="str">
        <f t="shared" si="522"/>
        <v>1</v>
      </c>
      <c r="C8868" t="str">
        <f t="shared" si="521"/>
        <v>396</v>
      </c>
      <c r="D8868" t="str">
        <f>"12"</f>
        <v>12</v>
      </c>
      <c r="E8868" t="str">
        <f>"1-396-12"</f>
        <v>1-396-12</v>
      </c>
      <c r="F8868" t="s">
        <v>83</v>
      </c>
      <c r="G8868" t="s">
        <v>86</v>
      </c>
      <c r="H8868" t="s">
        <v>93</v>
      </c>
      <c r="I8868">
        <v>1</v>
      </c>
      <c r="K8868">
        <v>1</v>
      </c>
      <c r="L8868">
        <v>0</v>
      </c>
      <c r="M8868">
        <v>0</v>
      </c>
      <c r="N8868">
        <v>1</v>
      </c>
      <c r="O8868">
        <v>1</v>
      </c>
      <c r="P8868">
        <v>1</v>
      </c>
      <c r="Q8868">
        <v>1</v>
      </c>
      <c r="R8868">
        <v>1</v>
      </c>
      <c r="U8868">
        <v>1</v>
      </c>
      <c r="V8868">
        <v>0</v>
      </c>
      <c r="W8868">
        <v>1</v>
      </c>
      <c r="X8868">
        <v>1</v>
      </c>
      <c r="Y8868">
        <v>0</v>
      </c>
      <c r="Z8868">
        <v>1</v>
      </c>
      <c r="AA8868">
        <v>1</v>
      </c>
      <c r="AB8868">
        <v>1</v>
      </c>
    </row>
    <row r="8869" spans="1:49" x14ac:dyDescent="0.25">
      <c r="A8869" t="str">
        <f>"8865"</f>
        <v>8865</v>
      </c>
      <c r="B8869" t="str">
        <f t="shared" si="522"/>
        <v>1</v>
      </c>
      <c r="C8869" t="str">
        <f t="shared" si="521"/>
        <v>396</v>
      </c>
      <c r="D8869" t="str">
        <f>"6"</f>
        <v>6</v>
      </c>
      <c r="E8869" t="str">
        <f>"1-396-6"</f>
        <v>1-396-6</v>
      </c>
      <c r="F8869" t="s">
        <v>83</v>
      </c>
      <c r="G8869" t="s">
        <v>84</v>
      </c>
      <c r="H8869" t="s">
        <v>85</v>
      </c>
      <c r="AC8869">
        <v>0</v>
      </c>
      <c r="AD8869">
        <v>1</v>
      </c>
      <c r="AE8869">
        <v>0</v>
      </c>
      <c r="AF8869">
        <v>0</v>
      </c>
      <c r="AG8869">
        <v>0</v>
      </c>
      <c r="AJ8869">
        <v>0</v>
      </c>
      <c r="AK8869">
        <v>1</v>
      </c>
      <c r="AL8869">
        <v>0</v>
      </c>
      <c r="AM8869">
        <v>0</v>
      </c>
      <c r="AN8869">
        <v>1</v>
      </c>
      <c r="AO8869">
        <v>0</v>
      </c>
      <c r="AP8869">
        <v>0</v>
      </c>
      <c r="AQ8869">
        <v>0</v>
      </c>
      <c r="AR8869">
        <v>0</v>
      </c>
      <c r="AS8869">
        <v>1</v>
      </c>
      <c r="AT8869">
        <v>0</v>
      </c>
      <c r="AV8869">
        <v>0</v>
      </c>
      <c r="AW8869">
        <v>0</v>
      </c>
    </row>
    <row r="8870" spans="1:49" x14ac:dyDescent="0.25">
      <c r="A8870" t="str">
        <f>"8866"</f>
        <v>8866</v>
      </c>
      <c r="B8870" t="str">
        <f t="shared" si="522"/>
        <v>1</v>
      </c>
      <c r="C8870" t="str">
        <f t="shared" si="521"/>
        <v>396</v>
      </c>
      <c r="D8870" t="str">
        <f>"20"</f>
        <v>20</v>
      </c>
      <c r="E8870" t="str">
        <f>"1-396-20"</f>
        <v>1-396-20</v>
      </c>
      <c r="F8870" t="s">
        <v>83</v>
      </c>
      <c r="G8870" t="s">
        <v>84</v>
      </c>
      <c r="H8870" t="s">
        <v>85</v>
      </c>
      <c r="AC8870">
        <v>0</v>
      </c>
      <c r="AD8870">
        <v>1</v>
      </c>
      <c r="AE8870">
        <v>0</v>
      </c>
      <c r="AF8870">
        <v>0</v>
      </c>
      <c r="AG8870">
        <v>0</v>
      </c>
      <c r="AJ8870">
        <v>0</v>
      </c>
      <c r="AK8870">
        <v>1</v>
      </c>
      <c r="AL8870">
        <v>0</v>
      </c>
      <c r="AM8870">
        <v>0</v>
      </c>
      <c r="AN8870">
        <v>1</v>
      </c>
      <c r="AO8870">
        <v>0</v>
      </c>
      <c r="AP8870">
        <v>0</v>
      </c>
      <c r="AQ8870">
        <v>0</v>
      </c>
      <c r="AR8870">
        <v>0</v>
      </c>
      <c r="AS8870">
        <v>0</v>
      </c>
      <c r="AT8870">
        <v>0</v>
      </c>
      <c r="AV8870">
        <v>0</v>
      </c>
      <c r="AW8870">
        <v>0</v>
      </c>
    </row>
    <row r="8871" spans="1:49" x14ac:dyDescent="0.25">
      <c r="A8871" t="str">
        <f>"8867"</f>
        <v>8867</v>
      </c>
      <c r="B8871" t="str">
        <f t="shared" si="522"/>
        <v>1</v>
      </c>
      <c r="C8871" t="str">
        <f t="shared" si="521"/>
        <v>396</v>
      </c>
      <c r="D8871" t="str">
        <f>"13"</f>
        <v>13</v>
      </c>
      <c r="E8871" t="str">
        <f>"1-396-13"</f>
        <v>1-396-13</v>
      </c>
      <c r="F8871" t="s">
        <v>83</v>
      </c>
      <c r="G8871" t="s">
        <v>84</v>
      </c>
      <c r="H8871" t="s">
        <v>92</v>
      </c>
      <c r="I8871">
        <v>1</v>
      </c>
      <c r="J8871">
        <v>1</v>
      </c>
      <c r="N8871">
        <v>1</v>
      </c>
      <c r="O8871">
        <v>1</v>
      </c>
      <c r="P8871">
        <v>1</v>
      </c>
      <c r="Q8871">
        <v>1</v>
      </c>
      <c r="R8871">
        <v>1</v>
      </c>
      <c r="S8871">
        <v>1</v>
      </c>
      <c r="T8871">
        <v>1</v>
      </c>
      <c r="W8871">
        <v>1</v>
      </c>
      <c r="X8871">
        <v>1</v>
      </c>
      <c r="Y8871">
        <v>1</v>
      </c>
      <c r="Z8871">
        <v>1</v>
      </c>
      <c r="AA8871">
        <v>1</v>
      </c>
      <c r="AB8871">
        <v>1</v>
      </c>
    </row>
    <row r="8872" spans="1:49" x14ac:dyDescent="0.25">
      <c r="A8872" t="str">
        <f>"8868"</f>
        <v>8868</v>
      </c>
      <c r="B8872" t="str">
        <f t="shared" si="522"/>
        <v>1</v>
      </c>
      <c r="C8872" t="str">
        <f t="shared" si="521"/>
        <v>396</v>
      </c>
      <c r="D8872" t="str">
        <f>"5"</f>
        <v>5</v>
      </c>
      <c r="E8872" t="str">
        <f>"1-396-5"</f>
        <v>1-396-5</v>
      </c>
      <c r="F8872" t="s">
        <v>83</v>
      </c>
      <c r="G8872" t="s">
        <v>86</v>
      </c>
      <c r="H8872" t="s">
        <v>87</v>
      </c>
      <c r="AC8872">
        <v>0</v>
      </c>
      <c r="AD8872">
        <v>1</v>
      </c>
      <c r="AE8872">
        <v>0</v>
      </c>
      <c r="AF8872">
        <v>0</v>
      </c>
      <c r="AH8872">
        <v>1</v>
      </c>
      <c r="AI8872">
        <v>0</v>
      </c>
      <c r="AJ8872">
        <v>0</v>
      </c>
      <c r="AK8872">
        <v>1</v>
      </c>
      <c r="AL8872">
        <v>0</v>
      </c>
      <c r="AM8872">
        <v>1</v>
      </c>
      <c r="AN8872">
        <v>0</v>
      </c>
      <c r="AO8872">
        <v>1</v>
      </c>
      <c r="AP8872">
        <v>1</v>
      </c>
      <c r="AQ8872">
        <v>1</v>
      </c>
      <c r="AU8872">
        <v>1</v>
      </c>
      <c r="AV8872">
        <v>1</v>
      </c>
      <c r="AW8872">
        <v>1</v>
      </c>
    </row>
    <row r="8873" spans="1:49" x14ac:dyDescent="0.25">
      <c r="A8873" t="str">
        <f>"8869"</f>
        <v>8869</v>
      </c>
      <c r="B8873" t="str">
        <f t="shared" si="522"/>
        <v>1</v>
      </c>
      <c r="C8873" t="str">
        <f t="shared" si="521"/>
        <v>396</v>
      </c>
      <c r="D8873" t="str">
        <f>"21"</f>
        <v>21</v>
      </c>
      <c r="E8873" t="str">
        <f>"1-396-21"</f>
        <v>1-396-21</v>
      </c>
      <c r="F8873" t="s">
        <v>83</v>
      </c>
      <c r="G8873" t="s">
        <v>84</v>
      </c>
      <c r="H8873" t="s">
        <v>92</v>
      </c>
      <c r="I8873">
        <v>1</v>
      </c>
      <c r="J8873">
        <v>1</v>
      </c>
      <c r="N8873">
        <v>1</v>
      </c>
      <c r="O8873">
        <v>1</v>
      </c>
      <c r="P8873">
        <v>1</v>
      </c>
      <c r="Q8873">
        <v>1</v>
      </c>
      <c r="R8873">
        <v>1</v>
      </c>
      <c r="S8873">
        <v>1</v>
      </c>
      <c r="T8873">
        <v>1</v>
      </c>
      <c r="W8873">
        <v>1</v>
      </c>
      <c r="X8873">
        <v>1</v>
      </c>
      <c r="Y8873">
        <v>1</v>
      </c>
      <c r="Z8873">
        <v>1</v>
      </c>
      <c r="AA8873">
        <v>1</v>
      </c>
      <c r="AB8873">
        <v>1</v>
      </c>
    </row>
    <row r="8874" spans="1:49" x14ac:dyDescent="0.25">
      <c r="A8874" t="str">
        <f>"8870"</f>
        <v>8870</v>
      </c>
      <c r="B8874" t="str">
        <f t="shared" si="522"/>
        <v>1</v>
      </c>
      <c r="C8874" t="str">
        <f t="shared" si="521"/>
        <v>396</v>
      </c>
      <c r="D8874" t="str">
        <f>"14"</f>
        <v>14</v>
      </c>
      <c r="E8874" t="str">
        <f>"1-396-14"</f>
        <v>1-396-14</v>
      </c>
      <c r="F8874" t="s">
        <v>83</v>
      </c>
      <c r="G8874" t="s">
        <v>84</v>
      </c>
      <c r="H8874" t="s">
        <v>92</v>
      </c>
      <c r="I8874">
        <v>1</v>
      </c>
      <c r="J8874">
        <v>1</v>
      </c>
      <c r="N8874">
        <v>1</v>
      </c>
      <c r="O8874">
        <v>1</v>
      </c>
      <c r="P8874">
        <v>1</v>
      </c>
      <c r="Q8874">
        <v>1</v>
      </c>
      <c r="R8874">
        <v>1</v>
      </c>
      <c r="S8874">
        <v>1</v>
      </c>
      <c r="T8874">
        <v>1</v>
      </c>
      <c r="W8874">
        <v>1</v>
      </c>
      <c r="X8874">
        <v>1</v>
      </c>
      <c r="Y8874">
        <v>1</v>
      </c>
      <c r="Z8874">
        <v>1</v>
      </c>
      <c r="AA8874">
        <v>1</v>
      </c>
      <c r="AB8874">
        <v>1</v>
      </c>
    </row>
    <row r="8875" spans="1:49" x14ac:dyDescent="0.25">
      <c r="A8875" t="str">
        <f>"8871"</f>
        <v>8871</v>
      </c>
      <c r="B8875" t="str">
        <f t="shared" si="522"/>
        <v>1</v>
      </c>
      <c r="C8875" t="str">
        <f t="shared" si="521"/>
        <v>396</v>
      </c>
      <c r="D8875" t="str">
        <f>"4"</f>
        <v>4</v>
      </c>
      <c r="E8875" t="str">
        <f>"1-396-4"</f>
        <v>1-396-4</v>
      </c>
      <c r="F8875" t="s">
        <v>83</v>
      </c>
      <c r="G8875" t="s">
        <v>84</v>
      </c>
      <c r="H8875" t="s">
        <v>85</v>
      </c>
      <c r="AC8875">
        <v>0</v>
      </c>
      <c r="AD8875">
        <v>1</v>
      </c>
      <c r="AE8875">
        <v>0</v>
      </c>
      <c r="AF8875">
        <v>0</v>
      </c>
      <c r="AG8875">
        <v>0</v>
      </c>
      <c r="AJ8875">
        <v>0</v>
      </c>
      <c r="AK8875">
        <v>0</v>
      </c>
      <c r="AL8875">
        <v>0</v>
      </c>
      <c r="AM8875">
        <v>0</v>
      </c>
      <c r="AN8875">
        <v>1</v>
      </c>
      <c r="AO8875">
        <v>0</v>
      </c>
      <c r="AP8875">
        <v>0</v>
      </c>
      <c r="AQ8875">
        <v>0</v>
      </c>
      <c r="AR8875">
        <v>0</v>
      </c>
      <c r="AS8875">
        <v>0</v>
      </c>
      <c r="AT8875">
        <v>1</v>
      </c>
      <c r="AV8875">
        <v>0</v>
      </c>
      <c r="AW8875">
        <v>0</v>
      </c>
    </row>
    <row r="8876" spans="1:49" x14ac:dyDescent="0.25">
      <c r="A8876" t="str">
        <f>"8872"</f>
        <v>8872</v>
      </c>
      <c r="B8876" t="str">
        <f t="shared" si="522"/>
        <v>1</v>
      </c>
      <c r="C8876" t="str">
        <f t="shared" ref="C8876:C8900" si="523">"397"</f>
        <v>397</v>
      </c>
      <c r="D8876" t="str">
        <f>"25"</f>
        <v>25</v>
      </c>
      <c r="E8876" t="str">
        <f>"1-397-25"</f>
        <v>1-397-25</v>
      </c>
      <c r="F8876" t="s">
        <v>83</v>
      </c>
      <c r="G8876" t="s">
        <v>88</v>
      </c>
      <c r="H8876" t="s">
        <v>89</v>
      </c>
      <c r="AC8876">
        <v>0</v>
      </c>
      <c r="AD8876">
        <v>1</v>
      </c>
      <c r="AE8876">
        <v>0</v>
      </c>
      <c r="AF8876">
        <v>0</v>
      </c>
      <c r="AH8876">
        <v>1</v>
      </c>
      <c r="AI8876">
        <v>0</v>
      </c>
      <c r="AJ8876">
        <v>1</v>
      </c>
      <c r="AK8876">
        <v>0</v>
      </c>
      <c r="AL8876">
        <v>0</v>
      </c>
      <c r="AM8876">
        <v>1</v>
      </c>
      <c r="AN8876">
        <v>0</v>
      </c>
      <c r="AO8876">
        <v>1</v>
      </c>
      <c r="AP8876">
        <v>1</v>
      </c>
      <c r="AQ8876">
        <v>1</v>
      </c>
      <c r="AR8876">
        <v>1</v>
      </c>
      <c r="AS8876">
        <v>1</v>
      </c>
      <c r="AT8876">
        <v>0</v>
      </c>
      <c r="AV8876">
        <v>1</v>
      </c>
      <c r="AW8876">
        <v>0</v>
      </c>
    </row>
    <row r="8877" spans="1:49" x14ac:dyDescent="0.25">
      <c r="A8877" t="str">
        <f>"8873"</f>
        <v>8873</v>
      </c>
      <c r="B8877" t="str">
        <f t="shared" si="522"/>
        <v>1</v>
      </c>
      <c r="C8877" t="str">
        <f t="shared" si="523"/>
        <v>397</v>
      </c>
      <c r="D8877" t="str">
        <f>"24"</f>
        <v>24</v>
      </c>
      <c r="E8877" t="str">
        <f>"1-397-24"</f>
        <v>1-397-24</v>
      </c>
      <c r="F8877" t="s">
        <v>83</v>
      </c>
      <c r="G8877" t="s">
        <v>90</v>
      </c>
      <c r="H8877" t="s">
        <v>91</v>
      </c>
      <c r="AC8877">
        <v>0</v>
      </c>
      <c r="AD8877">
        <v>1</v>
      </c>
      <c r="AE8877">
        <v>0</v>
      </c>
      <c r="AF8877">
        <v>0</v>
      </c>
      <c r="AH8877">
        <v>1</v>
      </c>
      <c r="AI8877">
        <v>0</v>
      </c>
      <c r="AJ8877">
        <v>1</v>
      </c>
      <c r="AK8877">
        <v>0</v>
      </c>
      <c r="AL8877">
        <v>0</v>
      </c>
      <c r="AM8877">
        <v>0</v>
      </c>
      <c r="AN8877">
        <v>1</v>
      </c>
      <c r="AO8877">
        <v>1</v>
      </c>
      <c r="AP8877">
        <v>1</v>
      </c>
      <c r="AQ8877">
        <v>1</v>
      </c>
      <c r="AR8877">
        <v>1</v>
      </c>
      <c r="AU8877">
        <v>1</v>
      </c>
      <c r="AV8877">
        <v>1</v>
      </c>
      <c r="AW8877">
        <v>1</v>
      </c>
    </row>
    <row r="8878" spans="1:49" x14ac:dyDescent="0.25">
      <c r="A8878" t="str">
        <f>"8874"</f>
        <v>8874</v>
      </c>
      <c r="B8878" t="str">
        <f t="shared" si="522"/>
        <v>1</v>
      </c>
      <c r="C8878" t="str">
        <f t="shared" si="523"/>
        <v>397</v>
      </c>
      <c r="D8878" t="str">
        <f>"15"</f>
        <v>15</v>
      </c>
      <c r="E8878" t="str">
        <f>"1-397-15"</f>
        <v>1-397-15</v>
      </c>
      <c r="F8878" t="s">
        <v>83</v>
      </c>
      <c r="G8878" t="s">
        <v>88</v>
      </c>
      <c r="H8878" t="s">
        <v>95</v>
      </c>
      <c r="I8878">
        <v>0</v>
      </c>
      <c r="K8878">
        <v>0</v>
      </c>
      <c r="L8878">
        <v>0</v>
      </c>
      <c r="M8878">
        <v>1</v>
      </c>
      <c r="N8878">
        <v>1</v>
      </c>
      <c r="O8878">
        <v>1</v>
      </c>
      <c r="P8878">
        <v>1</v>
      </c>
      <c r="Q8878">
        <v>1</v>
      </c>
      <c r="R8878">
        <v>0</v>
      </c>
      <c r="S8878">
        <v>1</v>
      </c>
      <c r="T8878">
        <v>0</v>
      </c>
      <c r="W8878">
        <v>0</v>
      </c>
      <c r="X8878">
        <v>0</v>
      </c>
      <c r="Y8878">
        <v>1</v>
      </c>
      <c r="Z8878">
        <v>1</v>
      </c>
      <c r="AA8878">
        <v>1</v>
      </c>
      <c r="AB8878">
        <v>0</v>
      </c>
    </row>
    <row r="8879" spans="1:49" x14ac:dyDescent="0.25">
      <c r="A8879" t="str">
        <f>"8875"</f>
        <v>8875</v>
      </c>
      <c r="B8879" t="str">
        <f t="shared" si="522"/>
        <v>1</v>
      </c>
      <c r="C8879" t="str">
        <f t="shared" si="523"/>
        <v>397</v>
      </c>
      <c r="D8879" t="str">
        <f>"8"</f>
        <v>8</v>
      </c>
      <c r="E8879" t="str">
        <f>"1-397-8"</f>
        <v>1-397-8</v>
      </c>
      <c r="F8879" t="s">
        <v>83</v>
      </c>
      <c r="G8879" t="s">
        <v>84</v>
      </c>
      <c r="H8879" t="s">
        <v>85</v>
      </c>
      <c r="AC8879">
        <v>0</v>
      </c>
      <c r="AD8879">
        <v>1</v>
      </c>
      <c r="AE8879">
        <v>0</v>
      </c>
      <c r="AF8879">
        <v>0</v>
      </c>
      <c r="AG8879">
        <v>1</v>
      </c>
      <c r="AJ8879">
        <v>0</v>
      </c>
      <c r="AK8879">
        <v>0</v>
      </c>
      <c r="AL8879">
        <v>0</v>
      </c>
      <c r="AM8879">
        <v>0</v>
      </c>
      <c r="AN8879">
        <v>1</v>
      </c>
      <c r="AO8879">
        <v>1</v>
      </c>
      <c r="AP8879">
        <v>0</v>
      </c>
      <c r="AQ8879">
        <v>0</v>
      </c>
      <c r="AR8879">
        <v>1</v>
      </c>
      <c r="AS8879">
        <v>0</v>
      </c>
      <c r="AT8879">
        <v>1</v>
      </c>
      <c r="AV8879">
        <v>1</v>
      </c>
      <c r="AW8879">
        <v>1</v>
      </c>
    </row>
    <row r="8880" spans="1:49" x14ac:dyDescent="0.25">
      <c r="A8880" t="str">
        <f>"8876"</f>
        <v>8876</v>
      </c>
      <c r="B8880" t="str">
        <f t="shared" si="522"/>
        <v>1</v>
      </c>
      <c r="C8880" t="str">
        <f t="shared" si="523"/>
        <v>397</v>
      </c>
      <c r="D8880" t="str">
        <f>"1"</f>
        <v>1</v>
      </c>
      <c r="E8880" t="str">
        <f>"1-397-1"</f>
        <v>1-397-1</v>
      </c>
      <c r="F8880" t="s">
        <v>83</v>
      </c>
      <c r="G8880" t="s">
        <v>84</v>
      </c>
      <c r="H8880" t="s">
        <v>85</v>
      </c>
      <c r="AC8880">
        <v>0</v>
      </c>
      <c r="AD8880">
        <v>1</v>
      </c>
      <c r="AE8880">
        <v>0</v>
      </c>
      <c r="AF8880">
        <v>0</v>
      </c>
      <c r="AG8880">
        <v>0</v>
      </c>
      <c r="AJ8880">
        <v>0</v>
      </c>
      <c r="AK8880">
        <v>1</v>
      </c>
      <c r="AL8880">
        <v>1</v>
      </c>
      <c r="AM8880">
        <v>0</v>
      </c>
      <c r="AN8880">
        <v>0</v>
      </c>
      <c r="AO8880">
        <v>0</v>
      </c>
      <c r="AP8880">
        <v>0</v>
      </c>
      <c r="AQ8880">
        <v>0</v>
      </c>
      <c r="AR8880">
        <v>0</v>
      </c>
      <c r="AS8880">
        <v>1</v>
      </c>
      <c r="AT8880">
        <v>0</v>
      </c>
      <c r="AV8880">
        <v>0</v>
      </c>
      <c r="AW8880">
        <v>0</v>
      </c>
    </row>
    <row r="8881" spans="1:49" x14ac:dyDescent="0.25">
      <c r="A8881" t="str">
        <f>"8877"</f>
        <v>8877</v>
      </c>
      <c r="B8881" t="str">
        <f t="shared" si="522"/>
        <v>1</v>
      </c>
      <c r="C8881" t="str">
        <f t="shared" si="523"/>
        <v>397</v>
      </c>
      <c r="D8881" t="str">
        <f>"23"</f>
        <v>23</v>
      </c>
      <c r="E8881" t="str">
        <f>"1-397-23"</f>
        <v>1-397-23</v>
      </c>
      <c r="F8881" t="s">
        <v>83</v>
      </c>
      <c r="G8881" t="s">
        <v>90</v>
      </c>
      <c r="H8881" t="s">
        <v>94</v>
      </c>
      <c r="I8881">
        <v>1</v>
      </c>
      <c r="K8881">
        <v>1</v>
      </c>
      <c r="L8881">
        <v>0</v>
      </c>
      <c r="M8881">
        <v>0</v>
      </c>
      <c r="N8881">
        <v>1</v>
      </c>
      <c r="O8881">
        <v>1</v>
      </c>
      <c r="P8881">
        <v>1</v>
      </c>
      <c r="Q8881">
        <v>1</v>
      </c>
      <c r="R8881">
        <v>1</v>
      </c>
      <c r="S8881">
        <v>1</v>
      </c>
      <c r="U8881">
        <v>0</v>
      </c>
      <c r="V8881">
        <v>1</v>
      </c>
      <c r="W8881">
        <v>0</v>
      </c>
      <c r="X8881">
        <v>1</v>
      </c>
      <c r="Y8881">
        <v>1</v>
      </c>
      <c r="Z8881">
        <v>1</v>
      </c>
      <c r="AA8881">
        <v>1</v>
      </c>
      <c r="AB8881">
        <v>1</v>
      </c>
    </row>
    <row r="8882" spans="1:49" x14ac:dyDescent="0.25">
      <c r="A8882" t="str">
        <f>"8878"</f>
        <v>8878</v>
      </c>
      <c r="B8882" t="str">
        <f t="shared" si="522"/>
        <v>1</v>
      </c>
      <c r="C8882" t="str">
        <f t="shared" si="523"/>
        <v>397</v>
      </c>
      <c r="D8882" t="str">
        <f>"22"</f>
        <v>22</v>
      </c>
      <c r="E8882" t="str">
        <f>"1-397-22"</f>
        <v>1-397-22</v>
      </c>
      <c r="F8882" t="s">
        <v>83</v>
      </c>
      <c r="G8882" t="s">
        <v>90</v>
      </c>
      <c r="H8882" t="s">
        <v>94</v>
      </c>
      <c r="I8882">
        <v>1</v>
      </c>
      <c r="K8882">
        <v>1</v>
      </c>
      <c r="L8882">
        <v>0</v>
      </c>
      <c r="M8882">
        <v>0</v>
      </c>
      <c r="N8882">
        <v>1</v>
      </c>
      <c r="O8882">
        <v>1</v>
      </c>
      <c r="P8882">
        <v>1</v>
      </c>
      <c r="Q8882">
        <v>1</v>
      </c>
      <c r="R8882">
        <v>1</v>
      </c>
      <c r="S8882">
        <v>1</v>
      </c>
      <c r="U8882">
        <v>0</v>
      </c>
      <c r="V8882">
        <v>1</v>
      </c>
      <c r="W8882">
        <v>1</v>
      </c>
      <c r="X8882">
        <v>1</v>
      </c>
      <c r="Y8882">
        <v>1</v>
      </c>
      <c r="Z8882">
        <v>1</v>
      </c>
      <c r="AA8882">
        <v>1</v>
      </c>
      <c r="AB8882">
        <v>1</v>
      </c>
    </row>
    <row r="8883" spans="1:49" x14ac:dyDescent="0.25">
      <c r="A8883" t="str">
        <f>"8879"</f>
        <v>8879</v>
      </c>
      <c r="B8883" t="str">
        <f t="shared" si="522"/>
        <v>1</v>
      </c>
      <c r="C8883" t="str">
        <f t="shared" si="523"/>
        <v>397</v>
      </c>
      <c r="D8883" t="str">
        <f>"16"</f>
        <v>16</v>
      </c>
      <c r="E8883" t="str">
        <f>"1-397-16"</f>
        <v>1-397-16</v>
      </c>
      <c r="F8883" t="s">
        <v>83</v>
      </c>
      <c r="G8883" t="s">
        <v>84</v>
      </c>
      <c r="H8883" t="s">
        <v>92</v>
      </c>
      <c r="I8883">
        <v>1</v>
      </c>
      <c r="J8883">
        <v>1</v>
      </c>
      <c r="N8883">
        <v>1</v>
      </c>
      <c r="O8883">
        <v>1</v>
      </c>
      <c r="P8883">
        <v>1</v>
      </c>
      <c r="Q8883">
        <v>1</v>
      </c>
      <c r="R8883">
        <v>1</v>
      </c>
      <c r="S8883">
        <v>1</v>
      </c>
      <c r="T8883">
        <v>1</v>
      </c>
      <c r="W8883">
        <v>1</v>
      </c>
      <c r="X8883">
        <v>1</v>
      </c>
      <c r="Y8883">
        <v>1</v>
      </c>
      <c r="Z8883">
        <v>1</v>
      </c>
      <c r="AA8883">
        <v>1</v>
      </c>
      <c r="AB8883">
        <v>1</v>
      </c>
    </row>
    <row r="8884" spans="1:49" x14ac:dyDescent="0.25">
      <c r="A8884" t="str">
        <f>"8880"</f>
        <v>8880</v>
      </c>
      <c r="B8884" t="str">
        <f t="shared" si="522"/>
        <v>1</v>
      </c>
      <c r="C8884" t="str">
        <f t="shared" si="523"/>
        <v>397</v>
      </c>
      <c r="D8884" t="str">
        <f>"9"</f>
        <v>9</v>
      </c>
      <c r="E8884" t="str">
        <f>"1-397-9"</f>
        <v>1-397-9</v>
      </c>
      <c r="F8884" t="s">
        <v>83</v>
      </c>
      <c r="G8884" t="s">
        <v>84</v>
      </c>
      <c r="H8884" t="s">
        <v>85</v>
      </c>
      <c r="AC8884">
        <v>0</v>
      </c>
      <c r="AD8884">
        <v>1</v>
      </c>
      <c r="AE8884">
        <v>0</v>
      </c>
      <c r="AF8884">
        <v>0</v>
      </c>
      <c r="AG8884">
        <v>0</v>
      </c>
      <c r="AJ8884">
        <v>0</v>
      </c>
      <c r="AK8884">
        <v>1</v>
      </c>
      <c r="AL8884">
        <v>0</v>
      </c>
      <c r="AM8884">
        <v>0</v>
      </c>
      <c r="AN8884">
        <v>1</v>
      </c>
      <c r="AO8884">
        <v>0</v>
      </c>
      <c r="AP8884">
        <v>0</v>
      </c>
      <c r="AQ8884">
        <v>0</v>
      </c>
      <c r="AR8884">
        <v>0</v>
      </c>
      <c r="AS8884">
        <v>1</v>
      </c>
      <c r="AT8884">
        <v>0</v>
      </c>
      <c r="AV8884">
        <v>0</v>
      </c>
      <c r="AW8884">
        <v>0</v>
      </c>
    </row>
    <row r="8885" spans="1:49" x14ac:dyDescent="0.25">
      <c r="A8885" t="str">
        <f>"8881"</f>
        <v>8881</v>
      </c>
      <c r="B8885" t="str">
        <f t="shared" si="522"/>
        <v>1</v>
      </c>
      <c r="C8885" t="str">
        <f t="shared" si="523"/>
        <v>397</v>
      </c>
      <c r="D8885" t="str">
        <f>"6"</f>
        <v>6</v>
      </c>
      <c r="E8885" t="str">
        <f>"1-397-6"</f>
        <v>1-397-6</v>
      </c>
      <c r="F8885" t="s">
        <v>83</v>
      </c>
      <c r="G8885" t="s">
        <v>84</v>
      </c>
      <c r="H8885" t="s">
        <v>85</v>
      </c>
      <c r="AC8885">
        <v>1</v>
      </c>
      <c r="AD8885">
        <v>0</v>
      </c>
      <c r="AE8885">
        <v>0</v>
      </c>
      <c r="AF8885">
        <v>0</v>
      </c>
      <c r="AG8885">
        <v>1</v>
      </c>
      <c r="AJ8885">
        <v>1</v>
      </c>
      <c r="AK8885">
        <v>0</v>
      </c>
      <c r="AL8885">
        <v>1</v>
      </c>
      <c r="AM8885">
        <v>0</v>
      </c>
      <c r="AN8885">
        <v>0</v>
      </c>
      <c r="AO8885">
        <v>1</v>
      </c>
      <c r="AP8885">
        <v>1</v>
      </c>
      <c r="AQ8885">
        <v>1</v>
      </c>
      <c r="AR8885">
        <v>1</v>
      </c>
      <c r="AS8885">
        <v>0</v>
      </c>
      <c r="AT8885">
        <v>1</v>
      </c>
      <c r="AV8885">
        <v>1</v>
      </c>
      <c r="AW8885">
        <v>1</v>
      </c>
    </row>
    <row r="8886" spans="1:49" x14ac:dyDescent="0.25">
      <c r="A8886" t="str">
        <f>"8882"</f>
        <v>8882</v>
      </c>
      <c r="B8886" t="str">
        <f t="shared" si="522"/>
        <v>1</v>
      </c>
      <c r="C8886" t="str">
        <f t="shared" si="523"/>
        <v>397</v>
      </c>
      <c r="D8886" t="str">
        <f>"17"</f>
        <v>17</v>
      </c>
      <c r="E8886" t="str">
        <f>"1-397-17"</f>
        <v>1-397-17</v>
      </c>
      <c r="F8886" t="s">
        <v>83</v>
      </c>
      <c r="G8886" t="s">
        <v>84</v>
      </c>
      <c r="H8886" t="s">
        <v>85</v>
      </c>
      <c r="AC8886">
        <v>0</v>
      </c>
      <c r="AD8886">
        <v>0</v>
      </c>
      <c r="AE8886">
        <v>0</v>
      </c>
      <c r="AF8886">
        <v>0</v>
      </c>
      <c r="AG8886">
        <v>1</v>
      </c>
      <c r="AJ8886">
        <v>0</v>
      </c>
      <c r="AK8886">
        <v>0</v>
      </c>
      <c r="AL8886">
        <v>0</v>
      </c>
      <c r="AM8886">
        <v>0</v>
      </c>
      <c r="AN8886">
        <v>0</v>
      </c>
      <c r="AO8886">
        <v>1</v>
      </c>
      <c r="AP8886">
        <v>1</v>
      </c>
      <c r="AQ8886">
        <v>1</v>
      </c>
      <c r="AR8886">
        <v>1</v>
      </c>
      <c r="AS8886">
        <v>0</v>
      </c>
      <c r="AT8886">
        <v>0</v>
      </c>
      <c r="AV8886">
        <v>1</v>
      </c>
      <c r="AW8886">
        <v>1</v>
      </c>
    </row>
    <row r="8887" spans="1:49" x14ac:dyDescent="0.25">
      <c r="A8887" t="str">
        <f>"8883"</f>
        <v>8883</v>
      </c>
      <c r="B8887" t="str">
        <f t="shared" si="522"/>
        <v>1</v>
      </c>
      <c r="C8887" t="str">
        <f t="shared" si="523"/>
        <v>397</v>
      </c>
      <c r="D8887" t="str">
        <f>"10"</f>
        <v>10</v>
      </c>
      <c r="E8887" t="str">
        <f>"1-397-10"</f>
        <v>1-397-10</v>
      </c>
      <c r="F8887" t="s">
        <v>83</v>
      </c>
      <c r="G8887" t="s">
        <v>84</v>
      </c>
      <c r="H8887" t="s">
        <v>92</v>
      </c>
      <c r="I8887">
        <v>1</v>
      </c>
      <c r="J8887">
        <v>1</v>
      </c>
      <c r="N8887">
        <v>1</v>
      </c>
      <c r="O8887">
        <v>1</v>
      </c>
      <c r="P8887">
        <v>1</v>
      </c>
      <c r="Q8887">
        <v>1</v>
      </c>
      <c r="R8887">
        <v>1</v>
      </c>
      <c r="S8887">
        <v>1</v>
      </c>
      <c r="T8887">
        <v>1</v>
      </c>
      <c r="W8887">
        <v>1</v>
      </c>
      <c r="X8887">
        <v>1</v>
      </c>
      <c r="Y8887">
        <v>1</v>
      </c>
      <c r="Z8887">
        <v>1</v>
      </c>
      <c r="AA8887">
        <v>1</v>
      </c>
      <c r="AB8887">
        <v>1</v>
      </c>
    </row>
    <row r="8888" spans="1:49" x14ac:dyDescent="0.25">
      <c r="A8888" t="str">
        <f>"8884"</f>
        <v>8884</v>
      </c>
      <c r="B8888" t="str">
        <f t="shared" si="522"/>
        <v>1</v>
      </c>
      <c r="C8888" t="str">
        <f t="shared" si="523"/>
        <v>397</v>
      </c>
      <c r="D8888" t="str">
        <f>"2"</f>
        <v>2</v>
      </c>
      <c r="E8888" t="str">
        <f>"1-397-2"</f>
        <v>1-397-2</v>
      </c>
      <c r="F8888" t="s">
        <v>83</v>
      </c>
      <c r="G8888" t="s">
        <v>84</v>
      </c>
      <c r="H8888" t="s">
        <v>85</v>
      </c>
      <c r="AC8888">
        <v>1</v>
      </c>
      <c r="AD8888">
        <v>0</v>
      </c>
      <c r="AE8888">
        <v>0</v>
      </c>
      <c r="AF8888">
        <v>0</v>
      </c>
      <c r="AG8888">
        <v>1</v>
      </c>
      <c r="AJ8888">
        <v>1</v>
      </c>
      <c r="AK8888">
        <v>0</v>
      </c>
      <c r="AL8888">
        <v>1</v>
      </c>
      <c r="AM8888">
        <v>0</v>
      </c>
      <c r="AN8888">
        <v>0</v>
      </c>
      <c r="AO8888">
        <v>1</v>
      </c>
      <c r="AP8888">
        <v>1</v>
      </c>
      <c r="AQ8888">
        <v>1</v>
      </c>
      <c r="AR8888">
        <v>1</v>
      </c>
      <c r="AS8888">
        <v>1</v>
      </c>
      <c r="AT8888">
        <v>0</v>
      </c>
      <c r="AV8888">
        <v>1</v>
      </c>
      <c r="AW8888">
        <v>1</v>
      </c>
    </row>
    <row r="8889" spans="1:49" x14ac:dyDescent="0.25">
      <c r="A8889" t="str">
        <f>"8885"</f>
        <v>8885</v>
      </c>
      <c r="B8889" t="str">
        <f t="shared" si="522"/>
        <v>1</v>
      </c>
      <c r="C8889" t="str">
        <f t="shared" si="523"/>
        <v>397</v>
      </c>
      <c r="D8889" t="str">
        <f>"18"</f>
        <v>18</v>
      </c>
      <c r="E8889" t="str">
        <f>"1-397-18"</f>
        <v>1-397-18</v>
      </c>
      <c r="F8889" t="s">
        <v>83</v>
      </c>
      <c r="G8889" t="s">
        <v>84</v>
      </c>
      <c r="H8889" t="s">
        <v>92</v>
      </c>
      <c r="I8889">
        <v>1</v>
      </c>
      <c r="J8889">
        <v>1</v>
      </c>
      <c r="N8889">
        <v>1</v>
      </c>
      <c r="O8889">
        <v>1</v>
      </c>
      <c r="P8889">
        <v>1</v>
      </c>
      <c r="Q8889">
        <v>1</v>
      </c>
      <c r="R8889">
        <v>1</v>
      </c>
      <c r="S8889">
        <v>1</v>
      </c>
      <c r="T8889">
        <v>1</v>
      </c>
      <c r="W8889">
        <v>1</v>
      </c>
      <c r="X8889">
        <v>1</v>
      </c>
      <c r="Y8889">
        <v>1</v>
      </c>
      <c r="Z8889">
        <v>1</v>
      </c>
      <c r="AA8889">
        <v>1</v>
      </c>
      <c r="AB8889">
        <v>1</v>
      </c>
    </row>
    <row r="8890" spans="1:49" x14ac:dyDescent="0.25">
      <c r="A8890" t="str">
        <f>"8886"</f>
        <v>8886</v>
      </c>
      <c r="B8890" t="str">
        <f t="shared" si="522"/>
        <v>1</v>
      </c>
      <c r="C8890" t="str">
        <f t="shared" si="523"/>
        <v>397</v>
      </c>
      <c r="D8890" t="str">
        <f>"11"</f>
        <v>11</v>
      </c>
      <c r="E8890" t="str">
        <f>"1-397-11"</f>
        <v>1-397-11</v>
      </c>
      <c r="F8890" t="s">
        <v>83</v>
      </c>
      <c r="G8890" t="s">
        <v>86</v>
      </c>
      <c r="H8890" t="s">
        <v>87</v>
      </c>
      <c r="AC8890">
        <v>0</v>
      </c>
      <c r="AD8890">
        <v>1</v>
      </c>
      <c r="AE8890">
        <v>0</v>
      </c>
      <c r="AF8890">
        <v>0</v>
      </c>
      <c r="AH8890">
        <v>0</v>
      </c>
      <c r="AI8890">
        <v>1</v>
      </c>
      <c r="AJ8890">
        <v>0</v>
      </c>
      <c r="AK8890">
        <v>1</v>
      </c>
      <c r="AL8890">
        <v>0</v>
      </c>
      <c r="AM8890">
        <v>0</v>
      </c>
      <c r="AN8890">
        <v>1</v>
      </c>
      <c r="AO8890">
        <v>1</v>
      </c>
      <c r="AP8890">
        <v>1</v>
      </c>
      <c r="AQ8890">
        <v>1</v>
      </c>
      <c r="AU8890">
        <v>1</v>
      </c>
      <c r="AV8890">
        <v>1</v>
      </c>
      <c r="AW8890">
        <v>1</v>
      </c>
    </row>
    <row r="8891" spans="1:49" x14ac:dyDescent="0.25">
      <c r="A8891" t="str">
        <f>"8887"</f>
        <v>8887</v>
      </c>
      <c r="B8891" t="str">
        <f t="shared" si="522"/>
        <v>1</v>
      </c>
      <c r="C8891" t="str">
        <f t="shared" si="523"/>
        <v>397</v>
      </c>
      <c r="D8891" t="str">
        <f>"5"</f>
        <v>5</v>
      </c>
      <c r="E8891" t="str">
        <f>"1-397-5"</f>
        <v>1-397-5</v>
      </c>
      <c r="F8891" t="s">
        <v>83</v>
      </c>
      <c r="G8891" t="s">
        <v>86</v>
      </c>
      <c r="H8891" t="s">
        <v>87</v>
      </c>
      <c r="AC8891">
        <v>0</v>
      </c>
      <c r="AD8891">
        <v>1</v>
      </c>
      <c r="AE8891">
        <v>0</v>
      </c>
      <c r="AF8891">
        <v>0</v>
      </c>
      <c r="AH8891">
        <v>1</v>
      </c>
      <c r="AI8891">
        <v>0</v>
      </c>
      <c r="AJ8891">
        <v>0</v>
      </c>
      <c r="AK8891">
        <v>0</v>
      </c>
      <c r="AL8891">
        <v>0</v>
      </c>
      <c r="AM8891">
        <v>0</v>
      </c>
      <c r="AN8891">
        <v>0</v>
      </c>
      <c r="AO8891">
        <v>0</v>
      </c>
      <c r="AP8891">
        <v>0</v>
      </c>
      <c r="AQ8891">
        <v>0</v>
      </c>
      <c r="AU8891">
        <v>0</v>
      </c>
      <c r="AV8891">
        <v>0</v>
      </c>
      <c r="AW8891">
        <v>1</v>
      </c>
    </row>
    <row r="8892" spans="1:49" x14ac:dyDescent="0.25">
      <c r="A8892" t="str">
        <f>"8888"</f>
        <v>8888</v>
      </c>
      <c r="B8892" t="str">
        <f t="shared" si="522"/>
        <v>1</v>
      </c>
      <c r="C8892" t="str">
        <f t="shared" si="523"/>
        <v>397</v>
      </c>
      <c r="D8892" t="str">
        <f>"19"</f>
        <v>19</v>
      </c>
      <c r="E8892" t="str">
        <f>"1-397-19"</f>
        <v>1-397-19</v>
      </c>
      <c r="F8892" t="s">
        <v>83</v>
      </c>
      <c r="G8892" t="s">
        <v>84</v>
      </c>
      <c r="H8892" t="s">
        <v>92</v>
      </c>
      <c r="I8892">
        <v>1</v>
      </c>
      <c r="J8892">
        <v>1</v>
      </c>
      <c r="N8892">
        <v>1</v>
      </c>
      <c r="O8892">
        <v>1</v>
      </c>
      <c r="P8892">
        <v>1</v>
      </c>
      <c r="Q8892">
        <v>1</v>
      </c>
      <c r="R8892">
        <v>1</v>
      </c>
      <c r="S8892">
        <v>1</v>
      </c>
      <c r="T8892">
        <v>1</v>
      </c>
      <c r="W8892">
        <v>1</v>
      </c>
      <c r="X8892">
        <v>1</v>
      </c>
      <c r="Y8892">
        <v>1</v>
      </c>
      <c r="Z8892">
        <v>1</v>
      </c>
      <c r="AA8892">
        <v>1</v>
      </c>
      <c r="AB8892">
        <v>1</v>
      </c>
    </row>
    <row r="8893" spans="1:49" x14ac:dyDescent="0.25">
      <c r="A8893" t="str">
        <f>"8889"</f>
        <v>8889</v>
      </c>
      <c r="B8893" t="str">
        <f t="shared" si="522"/>
        <v>1</v>
      </c>
      <c r="C8893" t="str">
        <f t="shared" si="523"/>
        <v>397</v>
      </c>
      <c r="D8893" t="str">
        <f>"12"</f>
        <v>12</v>
      </c>
      <c r="E8893" t="str">
        <f>"1-397-12"</f>
        <v>1-397-12</v>
      </c>
      <c r="F8893" t="s">
        <v>83</v>
      </c>
      <c r="G8893" t="s">
        <v>84</v>
      </c>
      <c r="H8893" t="s">
        <v>92</v>
      </c>
      <c r="I8893">
        <v>1</v>
      </c>
      <c r="J8893">
        <v>1</v>
      </c>
      <c r="N8893">
        <v>1</v>
      </c>
      <c r="O8893">
        <v>1</v>
      </c>
      <c r="P8893">
        <v>1</v>
      </c>
      <c r="Q8893">
        <v>1</v>
      </c>
      <c r="R8893">
        <v>1</v>
      </c>
      <c r="S8893">
        <v>1</v>
      </c>
      <c r="T8893">
        <v>1</v>
      </c>
      <c r="W8893">
        <v>1</v>
      </c>
      <c r="X8893">
        <v>1</v>
      </c>
      <c r="Y8893">
        <v>1</v>
      </c>
      <c r="Z8893">
        <v>1</v>
      </c>
      <c r="AA8893">
        <v>1</v>
      </c>
      <c r="AB8893">
        <v>1</v>
      </c>
    </row>
    <row r="8894" spans="1:49" x14ac:dyDescent="0.25">
      <c r="A8894" t="str">
        <f>"8890"</f>
        <v>8890</v>
      </c>
      <c r="B8894" t="str">
        <f t="shared" si="522"/>
        <v>1</v>
      </c>
      <c r="C8894" t="str">
        <f t="shared" si="523"/>
        <v>397</v>
      </c>
      <c r="D8894" t="str">
        <f>"7"</f>
        <v>7</v>
      </c>
      <c r="E8894" t="str">
        <f>"1-397-7"</f>
        <v>1-397-7</v>
      </c>
      <c r="F8894" t="s">
        <v>83</v>
      </c>
      <c r="G8894" t="s">
        <v>84</v>
      </c>
      <c r="H8894" t="s">
        <v>92</v>
      </c>
      <c r="I8894">
        <v>1</v>
      </c>
      <c r="J8894">
        <v>1</v>
      </c>
      <c r="N8894">
        <v>1</v>
      </c>
      <c r="O8894">
        <v>1</v>
      </c>
      <c r="P8894">
        <v>0</v>
      </c>
      <c r="Q8894">
        <v>1</v>
      </c>
      <c r="R8894">
        <v>1</v>
      </c>
      <c r="S8894">
        <v>1</v>
      </c>
      <c r="T8894">
        <v>1</v>
      </c>
      <c r="W8894">
        <v>0</v>
      </c>
      <c r="X8894">
        <v>1</v>
      </c>
      <c r="Y8894">
        <v>0</v>
      </c>
      <c r="Z8894">
        <v>0</v>
      </c>
      <c r="AA8894">
        <v>1</v>
      </c>
      <c r="AB8894">
        <v>1</v>
      </c>
    </row>
    <row r="8895" spans="1:49" x14ac:dyDescent="0.25">
      <c r="A8895" t="str">
        <f>"8891"</f>
        <v>8891</v>
      </c>
      <c r="B8895" t="str">
        <f t="shared" si="522"/>
        <v>1</v>
      </c>
      <c r="C8895" t="str">
        <f t="shared" si="523"/>
        <v>397</v>
      </c>
      <c r="D8895" t="str">
        <f>"20"</f>
        <v>20</v>
      </c>
      <c r="E8895" t="str">
        <f>"1-397-20"</f>
        <v>1-397-20</v>
      </c>
      <c r="F8895" t="s">
        <v>83</v>
      </c>
      <c r="G8895" t="s">
        <v>84</v>
      </c>
      <c r="H8895" t="s">
        <v>85</v>
      </c>
      <c r="AC8895">
        <v>0</v>
      </c>
      <c r="AD8895">
        <v>1</v>
      </c>
      <c r="AE8895">
        <v>0</v>
      </c>
      <c r="AF8895">
        <v>0</v>
      </c>
      <c r="AG8895">
        <v>0</v>
      </c>
      <c r="AJ8895">
        <v>1</v>
      </c>
      <c r="AK8895">
        <v>0</v>
      </c>
      <c r="AL8895">
        <v>0</v>
      </c>
      <c r="AM8895">
        <v>0</v>
      </c>
      <c r="AN8895">
        <v>0</v>
      </c>
      <c r="AO8895">
        <v>0</v>
      </c>
      <c r="AP8895">
        <v>0</v>
      </c>
      <c r="AQ8895">
        <v>0</v>
      </c>
      <c r="AR8895">
        <v>0</v>
      </c>
      <c r="AS8895">
        <v>1</v>
      </c>
      <c r="AT8895">
        <v>0</v>
      </c>
      <c r="AV8895">
        <v>0</v>
      </c>
      <c r="AW8895">
        <v>0</v>
      </c>
    </row>
    <row r="8896" spans="1:49" x14ac:dyDescent="0.25">
      <c r="A8896" t="str">
        <f>"8892"</f>
        <v>8892</v>
      </c>
      <c r="B8896" t="str">
        <f t="shared" si="522"/>
        <v>1</v>
      </c>
      <c r="C8896" t="str">
        <f t="shared" si="523"/>
        <v>397</v>
      </c>
      <c r="D8896" t="str">
        <f>"13"</f>
        <v>13</v>
      </c>
      <c r="E8896" t="str">
        <f>"1-397-13"</f>
        <v>1-397-13</v>
      </c>
      <c r="F8896" t="s">
        <v>83</v>
      </c>
      <c r="G8896" t="s">
        <v>84</v>
      </c>
      <c r="H8896" t="s">
        <v>85</v>
      </c>
      <c r="AC8896">
        <v>0</v>
      </c>
      <c r="AD8896">
        <v>1</v>
      </c>
      <c r="AE8896">
        <v>0</v>
      </c>
      <c r="AF8896">
        <v>0</v>
      </c>
      <c r="AG8896">
        <v>1</v>
      </c>
      <c r="AJ8896">
        <v>0</v>
      </c>
      <c r="AK8896">
        <v>1</v>
      </c>
      <c r="AL8896">
        <v>0</v>
      </c>
      <c r="AM8896">
        <v>0</v>
      </c>
      <c r="AN8896">
        <v>1</v>
      </c>
      <c r="AO8896">
        <v>1</v>
      </c>
      <c r="AP8896">
        <v>1</v>
      </c>
      <c r="AQ8896">
        <v>1</v>
      </c>
      <c r="AR8896">
        <v>1</v>
      </c>
      <c r="AS8896">
        <v>0</v>
      </c>
      <c r="AT8896">
        <v>1</v>
      </c>
      <c r="AV8896">
        <v>1</v>
      </c>
      <c r="AW8896">
        <v>1</v>
      </c>
    </row>
    <row r="8897" spans="1:49" x14ac:dyDescent="0.25">
      <c r="A8897" t="str">
        <f>"8893"</f>
        <v>8893</v>
      </c>
      <c r="B8897" t="str">
        <f t="shared" si="522"/>
        <v>1</v>
      </c>
      <c r="C8897" t="str">
        <f t="shared" si="523"/>
        <v>397</v>
      </c>
      <c r="D8897" t="str">
        <f>"3"</f>
        <v>3</v>
      </c>
      <c r="E8897" t="str">
        <f>"1-397-3"</f>
        <v>1-397-3</v>
      </c>
      <c r="F8897" t="s">
        <v>83</v>
      </c>
      <c r="G8897" t="s">
        <v>84</v>
      </c>
      <c r="H8897" t="s">
        <v>85</v>
      </c>
      <c r="AC8897">
        <v>0</v>
      </c>
      <c r="AD8897">
        <v>1</v>
      </c>
      <c r="AE8897">
        <v>0</v>
      </c>
      <c r="AF8897">
        <v>0</v>
      </c>
      <c r="AG8897">
        <v>1</v>
      </c>
      <c r="AJ8897">
        <v>0</v>
      </c>
      <c r="AK8897">
        <v>1</v>
      </c>
      <c r="AL8897">
        <v>1</v>
      </c>
      <c r="AM8897">
        <v>0</v>
      </c>
      <c r="AN8897">
        <v>0</v>
      </c>
      <c r="AO8897">
        <v>1</v>
      </c>
      <c r="AP8897">
        <v>1</v>
      </c>
      <c r="AQ8897">
        <v>1</v>
      </c>
      <c r="AR8897">
        <v>1</v>
      </c>
      <c r="AS8897">
        <v>0</v>
      </c>
      <c r="AT8897">
        <v>1</v>
      </c>
      <c r="AV8897">
        <v>1</v>
      </c>
      <c r="AW8897">
        <v>1</v>
      </c>
    </row>
    <row r="8898" spans="1:49" x14ac:dyDescent="0.25">
      <c r="A8898" t="str">
        <f>"8894"</f>
        <v>8894</v>
      </c>
      <c r="B8898" t="str">
        <f t="shared" si="522"/>
        <v>1</v>
      </c>
      <c r="C8898" t="str">
        <f t="shared" si="523"/>
        <v>397</v>
      </c>
      <c r="D8898" t="str">
        <f>"21"</f>
        <v>21</v>
      </c>
      <c r="E8898" t="str">
        <f>"1-397-21"</f>
        <v>1-397-21</v>
      </c>
      <c r="F8898" t="s">
        <v>83</v>
      </c>
      <c r="G8898" t="s">
        <v>88</v>
      </c>
      <c r="H8898" t="s">
        <v>95</v>
      </c>
      <c r="I8898">
        <v>1</v>
      </c>
      <c r="K8898">
        <v>0</v>
      </c>
      <c r="L8898">
        <v>0</v>
      </c>
      <c r="M8898">
        <v>1</v>
      </c>
      <c r="N8898">
        <v>1</v>
      </c>
      <c r="O8898">
        <v>1</v>
      </c>
      <c r="P8898">
        <v>1</v>
      </c>
      <c r="Q8898">
        <v>1</v>
      </c>
      <c r="R8898">
        <v>1</v>
      </c>
      <c r="S8898">
        <v>1</v>
      </c>
      <c r="T8898">
        <v>1</v>
      </c>
      <c r="W8898">
        <v>1</v>
      </c>
      <c r="X8898">
        <v>1</v>
      </c>
      <c r="Y8898">
        <v>1</v>
      </c>
      <c r="Z8898">
        <v>1</v>
      </c>
      <c r="AA8898">
        <v>1</v>
      </c>
      <c r="AB8898">
        <v>1</v>
      </c>
    </row>
    <row r="8899" spans="1:49" x14ac:dyDescent="0.25">
      <c r="A8899" t="str">
        <f>"8895"</f>
        <v>8895</v>
      </c>
      <c r="B8899" t="str">
        <f t="shared" si="522"/>
        <v>1</v>
      </c>
      <c r="C8899" t="str">
        <f t="shared" si="523"/>
        <v>397</v>
      </c>
      <c r="D8899" t="str">
        <f>"14"</f>
        <v>14</v>
      </c>
      <c r="E8899" t="str">
        <f>"1-397-14"</f>
        <v>1-397-14</v>
      </c>
      <c r="F8899" t="s">
        <v>83</v>
      </c>
      <c r="G8899" t="s">
        <v>90</v>
      </c>
      <c r="H8899" t="s">
        <v>91</v>
      </c>
      <c r="AC8899">
        <v>1</v>
      </c>
      <c r="AD8899">
        <v>0</v>
      </c>
      <c r="AE8899">
        <v>0</v>
      </c>
      <c r="AF8899">
        <v>0</v>
      </c>
      <c r="AH8899">
        <v>1</v>
      </c>
      <c r="AI8899">
        <v>0</v>
      </c>
      <c r="AJ8899">
        <v>1</v>
      </c>
      <c r="AK8899">
        <v>0</v>
      </c>
      <c r="AL8899">
        <v>1</v>
      </c>
      <c r="AM8899">
        <v>0</v>
      </c>
      <c r="AN8899">
        <v>0</v>
      </c>
      <c r="AO8899">
        <v>0</v>
      </c>
      <c r="AP8899">
        <v>0</v>
      </c>
      <c r="AQ8899">
        <v>0</v>
      </c>
      <c r="AR8899">
        <v>1</v>
      </c>
      <c r="AU8899">
        <v>1</v>
      </c>
      <c r="AV8899">
        <v>0</v>
      </c>
      <c r="AW8899">
        <v>1</v>
      </c>
    </row>
    <row r="8900" spans="1:49" x14ac:dyDescent="0.25">
      <c r="A8900" t="str">
        <f>"8896"</f>
        <v>8896</v>
      </c>
      <c r="B8900" t="str">
        <f t="shared" si="522"/>
        <v>1</v>
      </c>
      <c r="C8900" t="str">
        <f t="shared" si="523"/>
        <v>397</v>
      </c>
      <c r="D8900" t="str">
        <f>"4"</f>
        <v>4</v>
      </c>
      <c r="E8900" t="str">
        <f>"1-397-4"</f>
        <v>1-397-4</v>
      </c>
      <c r="F8900" t="s">
        <v>83</v>
      </c>
      <c r="G8900" t="s">
        <v>84</v>
      </c>
      <c r="H8900" t="s">
        <v>92</v>
      </c>
      <c r="I8900">
        <v>1</v>
      </c>
      <c r="J8900">
        <v>1</v>
      </c>
      <c r="N8900">
        <v>1</v>
      </c>
      <c r="O8900">
        <v>1</v>
      </c>
      <c r="P8900">
        <v>1</v>
      </c>
      <c r="Q8900">
        <v>1</v>
      </c>
      <c r="R8900">
        <v>1</v>
      </c>
      <c r="S8900">
        <v>1</v>
      </c>
      <c r="T8900">
        <v>1</v>
      </c>
      <c r="W8900">
        <v>1</v>
      </c>
      <c r="X8900">
        <v>1</v>
      </c>
      <c r="Y8900">
        <v>1</v>
      </c>
      <c r="Z8900">
        <v>1</v>
      </c>
      <c r="AA8900">
        <v>1</v>
      </c>
      <c r="AB8900">
        <v>1</v>
      </c>
    </row>
    <row r="8901" spans="1:49" x14ac:dyDescent="0.25">
      <c r="A8901" t="str">
        <f>"8897"</f>
        <v>8897</v>
      </c>
      <c r="B8901" t="str">
        <f t="shared" si="522"/>
        <v>1</v>
      </c>
      <c r="C8901" t="str">
        <f t="shared" ref="C8901:C8925" si="524">"398"</f>
        <v>398</v>
      </c>
      <c r="D8901" t="str">
        <f>"25"</f>
        <v>25</v>
      </c>
      <c r="E8901" t="str">
        <f>"1-398-25"</f>
        <v>1-398-25</v>
      </c>
      <c r="F8901" t="s">
        <v>83</v>
      </c>
      <c r="G8901" t="s">
        <v>84</v>
      </c>
      <c r="H8901" t="s">
        <v>92</v>
      </c>
      <c r="I8901">
        <v>1</v>
      </c>
      <c r="J8901">
        <v>1</v>
      </c>
      <c r="N8901">
        <v>1</v>
      </c>
      <c r="O8901">
        <v>1</v>
      </c>
      <c r="P8901">
        <v>1</v>
      </c>
      <c r="Q8901">
        <v>1</v>
      </c>
      <c r="R8901">
        <v>1</v>
      </c>
      <c r="S8901">
        <v>1</v>
      </c>
      <c r="T8901">
        <v>1</v>
      </c>
      <c r="W8901">
        <v>1</v>
      </c>
      <c r="X8901">
        <v>1</v>
      </c>
      <c r="Y8901">
        <v>1</v>
      </c>
      <c r="Z8901">
        <v>1</v>
      </c>
      <c r="AA8901">
        <v>1</v>
      </c>
      <c r="AB8901">
        <v>1</v>
      </c>
    </row>
    <row r="8902" spans="1:49" x14ac:dyDescent="0.25">
      <c r="A8902" t="str">
        <f>"8898"</f>
        <v>8898</v>
      </c>
      <c r="B8902" t="str">
        <f t="shared" si="522"/>
        <v>1</v>
      </c>
      <c r="C8902" t="str">
        <f t="shared" si="524"/>
        <v>398</v>
      </c>
      <c r="D8902" t="str">
        <f>"24"</f>
        <v>24</v>
      </c>
      <c r="E8902" t="str">
        <f>"1-398-24"</f>
        <v>1-398-24</v>
      </c>
      <c r="F8902" t="s">
        <v>83</v>
      </c>
      <c r="G8902" t="s">
        <v>86</v>
      </c>
      <c r="H8902" t="s">
        <v>87</v>
      </c>
      <c r="AC8902">
        <v>1</v>
      </c>
      <c r="AD8902">
        <v>0</v>
      </c>
      <c r="AE8902">
        <v>0</v>
      </c>
      <c r="AF8902">
        <v>0</v>
      </c>
      <c r="AH8902">
        <v>1</v>
      </c>
      <c r="AI8902">
        <v>0</v>
      </c>
      <c r="AJ8902">
        <v>0</v>
      </c>
      <c r="AK8902">
        <v>1</v>
      </c>
      <c r="AL8902">
        <v>1</v>
      </c>
      <c r="AM8902">
        <v>0</v>
      </c>
      <c r="AN8902">
        <v>0</v>
      </c>
      <c r="AO8902">
        <v>1</v>
      </c>
      <c r="AP8902">
        <v>1</v>
      </c>
      <c r="AQ8902">
        <v>1</v>
      </c>
      <c r="AU8902">
        <v>1</v>
      </c>
      <c r="AV8902">
        <v>1</v>
      </c>
      <c r="AW8902">
        <v>1</v>
      </c>
    </row>
    <row r="8903" spans="1:49" x14ac:dyDescent="0.25">
      <c r="A8903" t="str">
        <f>"8899"</f>
        <v>8899</v>
      </c>
      <c r="B8903" t="str">
        <f t="shared" si="522"/>
        <v>1</v>
      </c>
      <c r="C8903" t="str">
        <f t="shared" si="524"/>
        <v>398</v>
      </c>
      <c r="D8903" t="str">
        <f>"16"</f>
        <v>16</v>
      </c>
      <c r="E8903" t="str">
        <f>"1-398-16"</f>
        <v>1-398-16</v>
      </c>
      <c r="F8903" t="s">
        <v>83</v>
      </c>
      <c r="G8903" t="s">
        <v>86</v>
      </c>
      <c r="H8903" t="s">
        <v>93</v>
      </c>
      <c r="I8903">
        <v>1</v>
      </c>
      <c r="K8903">
        <v>1</v>
      </c>
      <c r="L8903">
        <v>0</v>
      </c>
      <c r="M8903">
        <v>0</v>
      </c>
      <c r="N8903">
        <v>1</v>
      </c>
      <c r="O8903">
        <v>1</v>
      </c>
      <c r="P8903">
        <v>1</v>
      </c>
      <c r="Q8903">
        <v>1</v>
      </c>
      <c r="R8903">
        <v>1</v>
      </c>
      <c r="U8903">
        <v>0</v>
      </c>
      <c r="V8903">
        <v>0</v>
      </c>
      <c r="W8903">
        <v>1</v>
      </c>
      <c r="X8903">
        <v>1</v>
      </c>
      <c r="Y8903">
        <v>1</v>
      </c>
      <c r="Z8903">
        <v>1</v>
      </c>
      <c r="AA8903">
        <v>1</v>
      </c>
      <c r="AB8903">
        <v>1</v>
      </c>
    </row>
    <row r="8904" spans="1:49" x14ac:dyDescent="0.25">
      <c r="A8904" t="str">
        <f>"8900"</f>
        <v>8900</v>
      </c>
      <c r="B8904" t="str">
        <f t="shared" si="522"/>
        <v>1</v>
      </c>
      <c r="C8904" t="str">
        <f t="shared" si="524"/>
        <v>398</v>
      </c>
      <c r="D8904" t="str">
        <f>"8"</f>
        <v>8</v>
      </c>
      <c r="E8904" t="str">
        <f>"1-398-8"</f>
        <v>1-398-8</v>
      </c>
      <c r="F8904" t="s">
        <v>83</v>
      </c>
      <c r="G8904" t="s">
        <v>86</v>
      </c>
      <c r="H8904" t="s">
        <v>93</v>
      </c>
      <c r="I8904">
        <v>1</v>
      </c>
      <c r="K8904">
        <v>0</v>
      </c>
      <c r="L8904">
        <v>0</v>
      </c>
      <c r="M8904">
        <v>1</v>
      </c>
      <c r="N8904">
        <v>1</v>
      </c>
      <c r="O8904">
        <v>0</v>
      </c>
      <c r="P8904">
        <v>0</v>
      </c>
      <c r="Q8904">
        <v>0</v>
      </c>
      <c r="R8904">
        <v>0</v>
      </c>
      <c r="U8904">
        <v>0</v>
      </c>
      <c r="V8904">
        <v>0</v>
      </c>
      <c r="W8904">
        <v>0</v>
      </c>
      <c r="X8904">
        <v>0</v>
      </c>
      <c r="Y8904">
        <v>0</v>
      </c>
      <c r="Z8904">
        <v>0</v>
      </c>
      <c r="AA8904">
        <v>0</v>
      </c>
      <c r="AB8904">
        <v>0</v>
      </c>
    </row>
    <row r="8905" spans="1:49" x14ac:dyDescent="0.25">
      <c r="A8905" t="str">
        <f>"8901"</f>
        <v>8901</v>
      </c>
      <c r="B8905" t="str">
        <f t="shared" si="522"/>
        <v>1</v>
      </c>
      <c r="C8905" t="str">
        <f t="shared" si="524"/>
        <v>398</v>
      </c>
      <c r="D8905" t="str">
        <f>"1"</f>
        <v>1</v>
      </c>
      <c r="E8905" t="str">
        <f>"1-398-1"</f>
        <v>1-398-1</v>
      </c>
      <c r="F8905" t="s">
        <v>83</v>
      </c>
      <c r="G8905" t="s">
        <v>84</v>
      </c>
      <c r="H8905" t="s">
        <v>85</v>
      </c>
      <c r="AC8905">
        <v>0</v>
      </c>
      <c r="AD8905">
        <v>1</v>
      </c>
      <c r="AE8905">
        <v>0</v>
      </c>
      <c r="AF8905">
        <v>0</v>
      </c>
      <c r="AG8905">
        <v>0</v>
      </c>
      <c r="AJ8905">
        <v>1</v>
      </c>
      <c r="AK8905">
        <v>0</v>
      </c>
      <c r="AL8905">
        <v>0</v>
      </c>
      <c r="AM8905">
        <v>0</v>
      </c>
      <c r="AN8905">
        <v>0</v>
      </c>
      <c r="AO8905">
        <v>0</v>
      </c>
      <c r="AP8905">
        <v>0</v>
      </c>
      <c r="AQ8905">
        <v>0</v>
      </c>
      <c r="AR8905">
        <v>0</v>
      </c>
      <c r="AS8905">
        <v>0</v>
      </c>
      <c r="AT8905">
        <v>0</v>
      </c>
      <c r="AV8905">
        <v>0</v>
      </c>
      <c r="AW8905">
        <v>0</v>
      </c>
    </row>
    <row r="8906" spans="1:49" x14ac:dyDescent="0.25">
      <c r="A8906" t="str">
        <f>"8902"</f>
        <v>8902</v>
      </c>
      <c r="B8906" t="str">
        <f t="shared" si="522"/>
        <v>1</v>
      </c>
      <c r="C8906" t="str">
        <f t="shared" si="524"/>
        <v>398</v>
      </c>
      <c r="D8906" t="str">
        <f>"23"</f>
        <v>23</v>
      </c>
      <c r="E8906" t="str">
        <f>"1-398-23"</f>
        <v>1-398-23</v>
      </c>
      <c r="F8906" t="s">
        <v>83</v>
      </c>
      <c r="G8906" t="s">
        <v>84</v>
      </c>
      <c r="H8906" t="s">
        <v>92</v>
      </c>
      <c r="I8906">
        <v>1</v>
      </c>
      <c r="J8906">
        <v>1</v>
      </c>
      <c r="N8906">
        <v>1</v>
      </c>
      <c r="O8906">
        <v>1</v>
      </c>
      <c r="P8906">
        <v>1</v>
      </c>
      <c r="Q8906">
        <v>1</v>
      </c>
      <c r="R8906">
        <v>1</v>
      </c>
      <c r="S8906">
        <v>1</v>
      </c>
      <c r="T8906">
        <v>1</v>
      </c>
      <c r="W8906">
        <v>1</v>
      </c>
      <c r="X8906">
        <v>1</v>
      </c>
      <c r="Y8906">
        <v>1</v>
      </c>
      <c r="Z8906">
        <v>1</v>
      </c>
      <c r="AA8906">
        <v>1</v>
      </c>
      <c r="AB8906">
        <v>1</v>
      </c>
    </row>
    <row r="8907" spans="1:49" x14ac:dyDescent="0.25">
      <c r="A8907" t="str">
        <f>"8903"</f>
        <v>8903</v>
      </c>
      <c r="B8907" t="str">
        <f t="shared" si="522"/>
        <v>1</v>
      </c>
      <c r="C8907" t="str">
        <f t="shared" si="524"/>
        <v>398</v>
      </c>
      <c r="D8907" t="str">
        <f>"22"</f>
        <v>22</v>
      </c>
      <c r="E8907" t="str">
        <f>"1-398-22"</f>
        <v>1-398-22</v>
      </c>
      <c r="F8907" t="s">
        <v>83</v>
      </c>
      <c r="G8907" t="s">
        <v>84</v>
      </c>
      <c r="H8907" t="s">
        <v>85</v>
      </c>
      <c r="AC8907">
        <v>0</v>
      </c>
      <c r="AD8907">
        <v>1</v>
      </c>
      <c r="AE8907">
        <v>0</v>
      </c>
      <c r="AF8907">
        <v>0</v>
      </c>
      <c r="AG8907">
        <v>1</v>
      </c>
      <c r="AJ8907">
        <v>1</v>
      </c>
      <c r="AK8907">
        <v>0</v>
      </c>
      <c r="AL8907">
        <v>0</v>
      </c>
      <c r="AM8907">
        <v>0</v>
      </c>
      <c r="AN8907">
        <v>1</v>
      </c>
      <c r="AO8907">
        <v>1</v>
      </c>
      <c r="AP8907">
        <v>1</v>
      </c>
      <c r="AQ8907">
        <v>1</v>
      </c>
      <c r="AR8907">
        <v>1</v>
      </c>
      <c r="AS8907">
        <v>0</v>
      </c>
      <c r="AT8907">
        <v>1</v>
      </c>
      <c r="AV8907">
        <v>1</v>
      </c>
      <c r="AW8907">
        <v>1</v>
      </c>
    </row>
    <row r="8908" spans="1:49" x14ac:dyDescent="0.25">
      <c r="A8908" t="str">
        <f>"8904"</f>
        <v>8904</v>
      </c>
      <c r="B8908" t="str">
        <f t="shared" si="522"/>
        <v>1</v>
      </c>
      <c r="C8908" t="str">
        <f t="shared" si="524"/>
        <v>398</v>
      </c>
      <c r="D8908" t="str">
        <f>"15"</f>
        <v>15</v>
      </c>
      <c r="E8908" t="str">
        <f>"1-398-15"</f>
        <v>1-398-15</v>
      </c>
      <c r="F8908" t="s">
        <v>83</v>
      </c>
      <c r="G8908" t="s">
        <v>86</v>
      </c>
      <c r="H8908" t="s">
        <v>87</v>
      </c>
      <c r="AC8908">
        <v>1</v>
      </c>
      <c r="AD8908">
        <v>0</v>
      </c>
      <c r="AE8908">
        <v>0</v>
      </c>
      <c r="AF8908">
        <v>0</v>
      </c>
      <c r="AH8908">
        <v>0</v>
      </c>
      <c r="AI8908">
        <v>1</v>
      </c>
      <c r="AJ8908">
        <v>0</v>
      </c>
      <c r="AK8908">
        <v>1</v>
      </c>
      <c r="AL8908">
        <v>1</v>
      </c>
      <c r="AM8908">
        <v>0</v>
      </c>
      <c r="AN8908">
        <v>0</v>
      </c>
      <c r="AO8908">
        <v>0</v>
      </c>
      <c r="AP8908">
        <v>0</v>
      </c>
      <c r="AQ8908">
        <v>0</v>
      </c>
      <c r="AU8908">
        <v>0</v>
      </c>
      <c r="AV8908">
        <v>0</v>
      </c>
      <c r="AW8908">
        <v>0</v>
      </c>
    </row>
    <row r="8909" spans="1:49" x14ac:dyDescent="0.25">
      <c r="A8909" t="str">
        <f>"8905"</f>
        <v>8905</v>
      </c>
      <c r="B8909" t="str">
        <f t="shared" si="522"/>
        <v>1</v>
      </c>
      <c r="C8909" t="str">
        <f t="shared" si="524"/>
        <v>398</v>
      </c>
      <c r="D8909" t="str">
        <f>"9"</f>
        <v>9</v>
      </c>
      <c r="E8909" t="str">
        <f>"1-398-9"</f>
        <v>1-398-9</v>
      </c>
      <c r="F8909" t="s">
        <v>83</v>
      </c>
      <c r="G8909" t="s">
        <v>86</v>
      </c>
      <c r="H8909" t="s">
        <v>93</v>
      </c>
      <c r="I8909">
        <v>1</v>
      </c>
      <c r="K8909">
        <v>0</v>
      </c>
      <c r="L8909">
        <v>0</v>
      </c>
      <c r="M8909">
        <v>1</v>
      </c>
      <c r="N8909">
        <v>1</v>
      </c>
      <c r="O8909">
        <v>1</v>
      </c>
      <c r="P8909">
        <v>1</v>
      </c>
      <c r="Q8909">
        <v>1</v>
      </c>
      <c r="R8909">
        <v>1</v>
      </c>
      <c r="U8909">
        <v>1</v>
      </c>
      <c r="V8909">
        <v>0</v>
      </c>
      <c r="W8909">
        <v>1</v>
      </c>
      <c r="X8909">
        <v>1</v>
      </c>
      <c r="Y8909">
        <v>1</v>
      </c>
      <c r="Z8909">
        <v>1</v>
      </c>
      <c r="AA8909">
        <v>1</v>
      </c>
      <c r="AB8909">
        <v>1</v>
      </c>
    </row>
    <row r="8910" spans="1:49" x14ac:dyDescent="0.25">
      <c r="A8910" t="str">
        <f>"8906"</f>
        <v>8906</v>
      </c>
      <c r="B8910" t="str">
        <f t="shared" si="522"/>
        <v>1</v>
      </c>
      <c r="C8910" t="str">
        <f t="shared" si="524"/>
        <v>398</v>
      </c>
      <c r="D8910" t="str">
        <f>"6"</f>
        <v>6</v>
      </c>
      <c r="E8910" t="str">
        <f>"1-398-6"</f>
        <v>1-398-6</v>
      </c>
      <c r="F8910" t="s">
        <v>83</v>
      </c>
      <c r="G8910" t="s">
        <v>84</v>
      </c>
      <c r="H8910" t="s">
        <v>92</v>
      </c>
      <c r="I8910">
        <v>1</v>
      </c>
      <c r="J8910">
        <v>1</v>
      </c>
      <c r="N8910">
        <v>1</v>
      </c>
      <c r="O8910">
        <v>1</v>
      </c>
      <c r="P8910">
        <v>1</v>
      </c>
      <c r="Q8910">
        <v>1</v>
      </c>
      <c r="R8910">
        <v>1</v>
      </c>
      <c r="S8910">
        <v>1</v>
      </c>
      <c r="T8910">
        <v>1</v>
      </c>
      <c r="W8910">
        <v>1</v>
      </c>
      <c r="X8910">
        <v>1</v>
      </c>
      <c r="Y8910">
        <v>1</v>
      </c>
      <c r="Z8910">
        <v>1</v>
      </c>
      <c r="AA8910">
        <v>1</v>
      </c>
      <c r="AB8910">
        <v>1</v>
      </c>
    </row>
    <row r="8911" spans="1:49" x14ac:dyDescent="0.25">
      <c r="A8911" t="str">
        <f>"8907"</f>
        <v>8907</v>
      </c>
      <c r="B8911" t="str">
        <f t="shared" si="522"/>
        <v>1</v>
      </c>
      <c r="C8911" t="str">
        <f t="shared" si="524"/>
        <v>398</v>
      </c>
      <c r="D8911" t="str">
        <f>"17"</f>
        <v>17</v>
      </c>
      <c r="E8911" t="str">
        <f>"1-398-17"</f>
        <v>1-398-17</v>
      </c>
      <c r="F8911" t="s">
        <v>83</v>
      </c>
      <c r="G8911" t="s">
        <v>88</v>
      </c>
      <c r="H8911" t="s">
        <v>89</v>
      </c>
      <c r="AC8911">
        <v>0</v>
      </c>
      <c r="AD8911">
        <v>1</v>
      </c>
      <c r="AE8911">
        <v>0</v>
      </c>
      <c r="AF8911">
        <v>0</v>
      </c>
      <c r="AH8911">
        <v>1</v>
      </c>
      <c r="AI8911">
        <v>0</v>
      </c>
      <c r="AJ8911">
        <v>0</v>
      </c>
      <c r="AK8911">
        <v>1</v>
      </c>
      <c r="AL8911">
        <v>0</v>
      </c>
      <c r="AM8911">
        <v>1</v>
      </c>
      <c r="AN8911">
        <v>0</v>
      </c>
      <c r="AO8911">
        <v>1</v>
      </c>
      <c r="AP8911">
        <v>1</v>
      </c>
      <c r="AQ8911">
        <v>1</v>
      </c>
      <c r="AR8911">
        <v>1</v>
      </c>
      <c r="AS8911">
        <v>0</v>
      </c>
      <c r="AT8911">
        <v>1</v>
      </c>
      <c r="AV8911">
        <v>1</v>
      </c>
      <c r="AW8911">
        <v>1</v>
      </c>
    </row>
    <row r="8912" spans="1:49" x14ac:dyDescent="0.25">
      <c r="A8912" t="str">
        <f>"8908"</f>
        <v>8908</v>
      </c>
      <c r="B8912" t="str">
        <f t="shared" si="522"/>
        <v>1</v>
      </c>
      <c r="C8912" t="str">
        <f t="shared" si="524"/>
        <v>398</v>
      </c>
      <c r="D8912" t="str">
        <f>"10"</f>
        <v>10</v>
      </c>
      <c r="E8912" t="str">
        <f>"1-398-10"</f>
        <v>1-398-10</v>
      </c>
      <c r="F8912" t="s">
        <v>83</v>
      </c>
      <c r="G8912" t="s">
        <v>90</v>
      </c>
      <c r="H8912" t="s">
        <v>94</v>
      </c>
      <c r="I8912">
        <v>1</v>
      </c>
      <c r="K8912">
        <v>0</v>
      </c>
      <c r="L8912">
        <v>0</v>
      </c>
      <c r="M8912">
        <v>1</v>
      </c>
      <c r="N8912">
        <v>1</v>
      </c>
      <c r="O8912">
        <v>1</v>
      </c>
      <c r="P8912">
        <v>1</v>
      </c>
      <c r="Q8912">
        <v>1</v>
      </c>
      <c r="R8912">
        <v>1</v>
      </c>
      <c r="S8912">
        <v>1</v>
      </c>
      <c r="U8912">
        <v>1</v>
      </c>
      <c r="V8912">
        <v>0</v>
      </c>
      <c r="W8912">
        <v>1</v>
      </c>
      <c r="X8912">
        <v>1</v>
      </c>
      <c r="Y8912">
        <v>1</v>
      </c>
      <c r="Z8912">
        <v>1</v>
      </c>
      <c r="AA8912">
        <v>1</v>
      </c>
      <c r="AB8912">
        <v>1</v>
      </c>
    </row>
    <row r="8913" spans="1:49" x14ac:dyDescent="0.25">
      <c r="A8913" t="str">
        <f>"8909"</f>
        <v>8909</v>
      </c>
      <c r="B8913" t="str">
        <f t="shared" si="522"/>
        <v>1</v>
      </c>
      <c r="C8913" t="str">
        <f t="shared" si="524"/>
        <v>398</v>
      </c>
      <c r="D8913" t="str">
        <f>"2"</f>
        <v>2</v>
      </c>
      <c r="E8913" t="str">
        <f>"1-398-2"</f>
        <v>1-398-2</v>
      </c>
      <c r="F8913" t="s">
        <v>83</v>
      </c>
      <c r="G8913" t="s">
        <v>88</v>
      </c>
      <c r="H8913" t="s">
        <v>95</v>
      </c>
      <c r="I8913">
        <v>1</v>
      </c>
      <c r="K8913">
        <v>0</v>
      </c>
      <c r="L8913">
        <v>0</v>
      </c>
      <c r="M8913">
        <v>1</v>
      </c>
      <c r="N8913">
        <v>1</v>
      </c>
      <c r="O8913">
        <v>1</v>
      </c>
      <c r="P8913">
        <v>1</v>
      </c>
      <c r="Q8913">
        <v>1</v>
      </c>
      <c r="R8913">
        <v>1</v>
      </c>
      <c r="S8913">
        <v>1</v>
      </c>
      <c r="T8913">
        <v>1</v>
      </c>
      <c r="W8913">
        <v>1</v>
      </c>
      <c r="X8913">
        <v>1</v>
      </c>
      <c r="Y8913">
        <v>1</v>
      </c>
      <c r="Z8913">
        <v>1</v>
      </c>
      <c r="AA8913">
        <v>1</v>
      </c>
      <c r="AB8913">
        <v>1</v>
      </c>
    </row>
    <row r="8914" spans="1:49" x14ac:dyDescent="0.25">
      <c r="A8914" t="str">
        <f>"8910"</f>
        <v>8910</v>
      </c>
      <c r="B8914" t="str">
        <f t="shared" si="522"/>
        <v>1</v>
      </c>
      <c r="C8914" t="str">
        <f t="shared" si="524"/>
        <v>398</v>
      </c>
      <c r="D8914" t="str">
        <f>"20"</f>
        <v>20</v>
      </c>
      <c r="E8914" t="str">
        <f>"1-398-20"</f>
        <v>1-398-20</v>
      </c>
      <c r="F8914" t="s">
        <v>83</v>
      </c>
      <c r="G8914" t="s">
        <v>86</v>
      </c>
      <c r="H8914" t="s">
        <v>87</v>
      </c>
      <c r="AC8914">
        <v>0</v>
      </c>
      <c r="AD8914">
        <v>1</v>
      </c>
      <c r="AE8914">
        <v>0</v>
      </c>
      <c r="AF8914">
        <v>0</v>
      </c>
      <c r="AH8914">
        <v>0</v>
      </c>
      <c r="AI8914">
        <v>0</v>
      </c>
      <c r="AJ8914">
        <v>1</v>
      </c>
      <c r="AK8914">
        <v>0</v>
      </c>
      <c r="AL8914">
        <v>0</v>
      </c>
      <c r="AM8914">
        <v>0</v>
      </c>
      <c r="AN8914">
        <v>0</v>
      </c>
      <c r="AO8914">
        <v>0</v>
      </c>
      <c r="AP8914">
        <v>0</v>
      </c>
      <c r="AQ8914">
        <v>0</v>
      </c>
      <c r="AU8914">
        <v>0</v>
      </c>
      <c r="AV8914">
        <v>0</v>
      </c>
      <c r="AW8914">
        <v>0</v>
      </c>
    </row>
    <row r="8915" spans="1:49" x14ac:dyDescent="0.25">
      <c r="A8915" t="str">
        <f>"8911"</f>
        <v>8911</v>
      </c>
      <c r="B8915" t="str">
        <f t="shared" si="522"/>
        <v>1</v>
      </c>
      <c r="C8915" t="str">
        <f t="shared" si="524"/>
        <v>398</v>
      </c>
      <c r="D8915" t="str">
        <f>"11"</f>
        <v>11</v>
      </c>
      <c r="E8915" t="str">
        <f>"1-398-11"</f>
        <v>1-398-11</v>
      </c>
      <c r="F8915" t="s">
        <v>83</v>
      </c>
      <c r="G8915" t="s">
        <v>90</v>
      </c>
      <c r="H8915" t="s">
        <v>94</v>
      </c>
      <c r="I8915">
        <v>1</v>
      </c>
      <c r="K8915">
        <v>0</v>
      </c>
      <c r="L8915">
        <v>0</v>
      </c>
      <c r="M8915">
        <v>1</v>
      </c>
      <c r="N8915">
        <v>1</v>
      </c>
      <c r="O8915">
        <v>1</v>
      </c>
      <c r="P8915">
        <v>1</v>
      </c>
      <c r="Q8915">
        <v>1</v>
      </c>
      <c r="R8915">
        <v>1</v>
      </c>
      <c r="S8915">
        <v>1</v>
      </c>
      <c r="U8915">
        <v>1</v>
      </c>
      <c r="V8915">
        <v>0</v>
      </c>
      <c r="W8915">
        <v>1</v>
      </c>
      <c r="X8915">
        <v>1</v>
      </c>
      <c r="Y8915">
        <v>1</v>
      </c>
      <c r="Z8915">
        <v>1</v>
      </c>
      <c r="AA8915">
        <v>1</v>
      </c>
      <c r="AB8915">
        <v>1</v>
      </c>
    </row>
    <row r="8916" spans="1:49" x14ac:dyDescent="0.25">
      <c r="A8916" t="str">
        <f>"8912"</f>
        <v>8912</v>
      </c>
      <c r="B8916" t="str">
        <f t="shared" si="522"/>
        <v>1</v>
      </c>
      <c r="C8916" t="str">
        <f t="shared" si="524"/>
        <v>398</v>
      </c>
      <c r="D8916" t="str">
        <f>"3"</f>
        <v>3</v>
      </c>
      <c r="E8916" t="str">
        <f>"1-398-3"</f>
        <v>1-398-3</v>
      </c>
      <c r="F8916" t="s">
        <v>83</v>
      </c>
      <c r="G8916" t="s">
        <v>86</v>
      </c>
      <c r="H8916" t="s">
        <v>93</v>
      </c>
      <c r="I8916">
        <v>1</v>
      </c>
      <c r="K8916">
        <v>0</v>
      </c>
      <c r="L8916">
        <v>0</v>
      </c>
      <c r="M8916">
        <v>1</v>
      </c>
      <c r="N8916">
        <v>1</v>
      </c>
      <c r="O8916">
        <v>1</v>
      </c>
      <c r="P8916">
        <v>1</v>
      </c>
      <c r="Q8916">
        <v>1</v>
      </c>
      <c r="R8916">
        <v>1</v>
      </c>
      <c r="U8916">
        <v>0</v>
      </c>
      <c r="V8916">
        <v>1</v>
      </c>
      <c r="W8916">
        <v>1</v>
      </c>
      <c r="X8916">
        <v>1</v>
      </c>
      <c r="Y8916">
        <v>1</v>
      </c>
      <c r="Z8916">
        <v>1</v>
      </c>
      <c r="AA8916">
        <v>1</v>
      </c>
      <c r="AB8916">
        <v>1</v>
      </c>
    </row>
    <row r="8917" spans="1:49" x14ac:dyDescent="0.25">
      <c r="A8917" t="str">
        <f>"8913"</f>
        <v>8913</v>
      </c>
      <c r="B8917" t="str">
        <f t="shared" si="522"/>
        <v>1</v>
      </c>
      <c r="C8917" t="str">
        <f t="shared" si="524"/>
        <v>398</v>
      </c>
      <c r="D8917" t="str">
        <f>"18"</f>
        <v>18</v>
      </c>
      <c r="E8917" t="str">
        <f>"1-398-18"</f>
        <v>1-398-18</v>
      </c>
      <c r="F8917" t="s">
        <v>83</v>
      </c>
      <c r="G8917" t="s">
        <v>88</v>
      </c>
      <c r="H8917" t="s">
        <v>89</v>
      </c>
      <c r="AC8917">
        <v>1</v>
      </c>
      <c r="AD8917">
        <v>0</v>
      </c>
      <c r="AE8917">
        <v>0</v>
      </c>
      <c r="AF8917">
        <v>0</v>
      </c>
      <c r="AH8917">
        <v>1</v>
      </c>
      <c r="AI8917">
        <v>0</v>
      </c>
      <c r="AJ8917">
        <v>1</v>
      </c>
      <c r="AK8917">
        <v>0</v>
      </c>
      <c r="AL8917">
        <v>1</v>
      </c>
      <c r="AM8917">
        <v>0</v>
      </c>
      <c r="AN8917">
        <v>0</v>
      </c>
      <c r="AO8917">
        <v>0</v>
      </c>
      <c r="AP8917">
        <v>0</v>
      </c>
      <c r="AQ8917">
        <v>0</v>
      </c>
      <c r="AR8917">
        <v>0</v>
      </c>
      <c r="AS8917">
        <v>0</v>
      </c>
      <c r="AT8917">
        <v>1</v>
      </c>
      <c r="AV8917">
        <v>1</v>
      </c>
      <c r="AW8917">
        <v>1</v>
      </c>
    </row>
    <row r="8918" spans="1:49" x14ac:dyDescent="0.25">
      <c r="A8918" t="str">
        <f>"8914"</f>
        <v>8914</v>
      </c>
      <c r="B8918" t="str">
        <f t="shared" si="522"/>
        <v>1</v>
      </c>
      <c r="C8918" t="str">
        <f t="shared" si="524"/>
        <v>398</v>
      </c>
      <c r="D8918" t="str">
        <f>"12"</f>
        <v>12</v>
      </c>
      <c r="E8918" t="str">
        <f>"1-398-12"</f>
        <v>1-398-12</v>
      </c>
      <c r="F8918" t="s">
        <v>83</v>
      </c>
      <c r="G8918" t="s">
        <v>84</v>
      </c>
      <c r="H8918" t="s">
        <v>85</v>
      </c>
      <c r="AC8918">
        <v>0</v>
      </c>
      <c r="AD8918">
        <v>1</v>
      </c>
      <c r="AE8918">
        <v>0</v>
      </c>
      <c r="AF8918">
        <v>0</v>
      </c>
      <c r="AG8918">
        <v>1</v>
      </c>
      <c r="AJ8918">
        <v>1</v>
      </c>
      <c r="AK8918">
        <v>0</v>
      </c>
      <c r="AL8918">
        <v>1</v>
      </c>
      <c r="AM8918">
        <v>0</v>
      </c>
      <c r="AN8918">
        <v>0</v>
      </c>
      <c r="AO8918">
        <v>1</v>
      </c>
      <c r="AP8918">
        <v>1</v>
      </c>
      <c r="AQ8918">
        <v>1</v>
      </c>
      <c r="AR8918">
        <v>1</v>
      </c>
      <c r="AS8918">
        <v>1</v>
      </c>
      <c r="AT8918">
        <v>0</v>
      </c>
      <c r="AV8918">
        <v>1</v>
      </c>
      <c r="AW8918">
        <v>1</v>
      </c>
    </row>
    <row r="8919" spans="1:49" x14ac:dyDescent="0.25">
      <c r="A8919" t="str">
        <f>"8915"</f>
        <v>8915</v>
      </c>
      <c r="B8919" t="str">
        <f t="shared" si="522"/>
        <v>1</v>
      </c>
      <c r="C8919" t="str">
        <f t="shared" si="524"/>
        <v>398</v>
      </c>
      <c r="D8919" t="str">
        <f>"5"</f>
        <v>5</v>
      </c>
      <c r="E8919" t="str">
        <f>"1-398-5"</f>
        <v>1-398-5</v>
      </c>
      <c r="F8919" t="s">
        <v>83</v>
      </c>
      <c r="G8919" t="s">
        <v>84</v>
      </c>
      <c r="H8919" t="s">
        <v>92</v>
      </c>
      <c r="I8919">
        <v>1</v>
      </c>
      <c r="J8919">
        <v>1</v>
      </c>
      <c r="N8919">
        <v>1</v>
      </c>
      <c r="O8919">
        <v>1</v>
      </c>
      <c r="P8919">
        <v>1</v>
      </c>
      <c r="Q8919">
        <v>1</v>
      </c>
      <c r="R8919">
        <v>1</v>
      </c>
      <c r="S8919">
        <v>1</v>
      </c>
      <c r="T8919">
        <v>1</v>
      </c>
      <c r="W8919">
        <v>0</v>
      </c>
      <c r="X8919">
        <v>1</v>
      </c>
      <c r="Y8919">
        <v>1</v>
      </c>
      <c r="Z8919">
        <v>1</v>
      </c>
      <c r="AA8919">
        <v>1</v>
      </c>
      <c r="AB8919">
        <v>1</v>
      </c>
    </row>
    <row r="8920" spans="1:49" x14ac:dyDescent="0.25">
      <c r="A8920" t="str">
        <f>"8916"</f>
        <v>8916</v>
      </c>
      <c r="B8920" t="str">
        <f t="shared" si="522"/>
        <v>1</v>
      </c>
      <c r="C8920" t="str">
        <f t="shared" si="524"/>
        <v>398</v>
      </c>
      <c r="D8920" t="str">
        <f>"19"</f>
        <v>19</v>
      </c>
      <c r="E8920" t="str">
        <f>"1-398-19"</f>
        <v>1-398-19</v>
      </c>
      <c r="F8920" t="s">
        <v>83</v>
      </c>
      <c r="G8920" t="s">
        <v>88</v>
      </c>
      <c r="H8920" t="s">
        <v>89</v>
      </c>
      <c r="AC8920">
        <v>0</v>
      </c>
      <c r="AD8920">
        <v>1</v>
      </c>
      <c r="AE8920">
        <v>0</v>
      </c>
      <c r="AF8920">
        <v>0</v>
      </c>
      <c r="AH8920">
        <v>0</v>
      </c>
      <c r="AI8920">
        <v>1</v>
      </c>
      <c r="AJ8920">
        <v>1</v>
      </c>
      <c r="AK8920">
        <v>0</v>
      </c>
      <c r="AL8920">
        <v>0</v>
      </c>
      <c r="AM8920">
        <v>0</v>
      </c>
      <c r="AN8920">
        <v>1</v>
      </c>
      <c r="AO8920">
        <v>1</v>
      </c>
      <c r="AP8920">
        <v>1</v>
      </c>
      <c r="AQ8920">
        <v>1</v>
      </c>
      <c r="AR8920">
        <v>1</v>
      </c>
      <c r="AS8920">
        <v>0</v>
      </c>
      <c r="AT8920">
        <v>1</v>
      </c>
      <c r="AV8920">
        <v>1</v>
      </c>
      <c r="AW8920">
        <v>1</v>
      </c>
    </row>
    <row r="8921" spans="1:49" x14ac:dyDescent="0.25">
      <c r="A8921" t="str">
        <f>"8917"</f>
        <v>8917</v>
      </c>
      <c r="B8921" t="str">
        <f t="shared" si="522"/>
        <v>1</v>
      </c>
      <c r="C8921" t="str">
        <f t="shared" si="524"/>
        <v>398</v>
      </c>
      <c r="D8921" t="str">
        <f>"13"</f>
        <v>13</v>
      </c>
      <c r="E8921" t="str">
        <f>"1-398-13"</f>
        <v>1-398-13</v>
      </c>
      <c r="F8921" t="s">
        <v>83</v>
      </c>
      <c r="G8921" t="s">
        <v>84</v>
      </c>
      <c r="H8921" t="s">
        <v>85</v>
      </c>
      <c r="AC8921">
        <v>1</v>
      </c>
      <c r="AD8921">
        <v>0</v>
      </c>
      <c r="AE8921">
        <v>0</v>
      </c>
      <c r="AF8921">
        <v>0</v>
      </c>
      <c r="AG8921">
        <v>1</v>
      </c>
      <c r="AJ8921">
        <v>1</v>
      </c>
      <c r="AK8921">
        <v>0</v>
      </c>
      <c r="AL8921">
        <v>1</v>
      </c>
      <c r="AM8921">
        <v>0</v>
      </c>
      <c r="AN8921">
        <v>0</v>
      </c>
      <c r="AO8921">
        <v>1</v>
      </c>
      <c r="AP8921">
        <v>1</v>
      </c>
      <c r="AQ8921">
        <v>1</v>
      </c>
      <c r="AR8921">
        <v>1</v>
      </c>
      <c r="AS8921">
        <v>1</v>
      </c>
      <c r="AT8921">
        <v>0</v>
      </c>
      <c r="AV8921">
        <v>1</v>
      </c>
      <c r="AW8921">
        <v>1</v>
      </c>
    </row>
    <row r="8922" spans="1:49" x14ac:dyDescent="0.25">
      <c r="A8922" t="str">
        <f>"8918"</f>
        <v>8918</v>
      </c>
      <c r="B8922" t="str">
        <f t="shared" si="522"/>
        <v>1</v>
      </c>
      <c r="C8922" t="str">
        <f t="shared" si="524"/>
        <v>398</v>
      </c>
      <c r="D8922" t="str">
        <f>"7"</f>
        <v>7</v>
      </c>
      <c r="E8922" t="str">
        <f>"1-398-7"</f>
        <v>1-398-7</v>
      </c>
      <c r="F8922" t="s">
        <v>83</v>
      </c>
      <c r="G8922" t="s">
        <v>86</v>
      </c>
      <c r="H8922" t="s">
        <v>93</v>
      </c>
      <c r="I8922">
        <v>1</v>
      </c>
      <c r="K8922">
        <v>0</v>
      </c>
      <c r="L8922">
        <v>0</v>
      </c>
      <c r="M8922">
        <v>1</v>
      </c>
      <c r="N8922">
        <v>1</v>
      </c>
      <c r="O8922">
        <v>1</v>
      </c>
      <c r="P8922">
        <v>1</v>
      </c>
      <c r="Q8922">
        <v>1</v>
      </c>
      <c r="R8922">
        <v>1</v>
      </c>
      <c r="U8922">
        <v>1</v>
      </c>
      <c r="V8922">
        <v>0</v>
      </c>
      <c r="W8922">
        <v>1</v>
      </c>
      <c r="X8922">
        <v>1</v>
      </c>
      <c r="Y8922">
        <v>1</v>
      </c>
      <c r="Z8922">
        <v>1</v>
      </c>
      <c r="AA8922">
        <v>1</v>
      </c>
      <c r="AB8922">
        <v>1</v>
      </c>
    </row>
    <row r="8923" spans="1:49" x14ac:dyDescent="0.25">
      <c r="A8923" t="str">
        <f>"8919"</f>
        <v>8919</v>
      </c>
      <c r="B8923" t="str">
        <f t="shared" si="522"/>
        <v>1</v>
      </c>
      <c r="C8923" t="str">
        <f t="shared" si="524"/>
        <v>398</v>
      </c>
      <c r="D8923" t="str">
        <f>"21"</f>
        <v>21</v>
      </c>
      <c r="E8923" t="str">
        <f>"1-398-21"</f>
        <v>1-398-21</v>
      </c>
      <c r="F8923" t="s">
        <v>83</v>
      </c>
      <c r="G8923" t="s">
        <v>86</v>
      </c>
      <c r="H8923" t="s">
        <v>87</v>
      </c>
      <c r="AC8923">
        <v>0</v>
      </c>
      <c r="AD8923">
        <v>1</v>
      </c>
      <c r="AE8923">
        <v>0</v>
      </c>
      <c r="AF8923">
        <v>0</v>
      </c>
      <c r="AH8923">
        <v>0</v>
      </c>
      <c r="AI8923">
        <v>1</v>
      </c>
      <c r="AJ8923">
        <v>0</v>
      </c>
      <c r="AK8923">
        <v>1</v>
      </c>
      <c r="AL8923">
        <v>1</v>
      </c>
      <c r="AM8923">
        <v>0</v>
      </c>
      <c r="AN8923">
        <v>0</v>
      </c>
      <c r="AO8923">
        <v>1</v>
      </c>
      <c r="AP8923">
        <v>1</v>
      </c>
      <c r="AQ8923">
        <v>1</v>
      </c>
      <c r="AU8923">
        <v>1</v>
      </c>
      <c r="AV8923">
        <v>1</v>
      </c>
      <c r="AW8923">
        <v>0</v>
      </c>
    </row>
    <row r="8924" spans="1:49" x14ac:dyDescent="0.25">
      <c r="A8924" t="str">
        <f>"8920"</f>
        <v>8920</v>
      </c>
      <c r="B8924" t="str">
        <f t="shared" si="522"/>
        <v>1</v>
      </c>
      <c r="C8924" t="str">
        <f t="shared" si="524"/>
        <v>398</v>
      </c>
      <c r="D8924" t="str">
        <f>"4"</f>
        <v>4</v>
      </c>
      <c r="E8924" t="str">
        <f>"1-398-4"</f>
        <v>1-398-4</v>
      </c>
      <c r="F8924" t="s">
        <v>83</v>
      </c>
      <c r="G8924" t="s">
        <v>88</v>
      </c>
      <c r="H8924" t="s">
        <v>95</v>
      </c>
      <c r="I8924">
        <v>1</v>
      </c>
      <c r="K8924">
        <v>0</v>
      </c>
      <c r="L8924">
        <v>0</v>
      </c>
      <c r="M8924">
        <v>1</v>
      </c>
      <c r="N8924">
        <v>1</v>
      </c>
      <c r="O8924">
        <v>1</v>
      </c>
      <c r="P8924">
        <v>1</v>
      </c>
      <c r="Q8924">
        <v>1</v>
      </c>
      <c r="R8924">
        <v>0</v>
      </c>
      <c r="S8924">
        <v>1</v>
      </c>
      <c r="T8924">
        <v>1</v>
      </c>
      <c r="W8924">
        <v>1</v>
      </c>
      <c r="X8924">
        <v>1</v>
      </c>
      <c r="Y8924">
        <v>1</v>
      </c>
      <c r="Z8924">
        <v>1</v>
      </c>
      <c r="AA8924">
        <v>1</v>
      </c>
      <c r="AB8924">
        <v>1</v>
      </c>
    </row>
    <row r="8925" spans="1:49" x14ac:dyDescent="0.25">
      <c r="A8925" t="str">
        <f>"8921"</f>
        <v>8921</v>
      </c>
      <c r="B8925" t="str">
        <f t="shared" si="522"/>
        <v>1</v>
      </c>
      <c r="C8925" t="str">
        <f t="shared" si="524"/>
        <v>398</v>
      </c>
      <c r="D8925" t="str">
        <f>"14"</f>
        <v>14</v>
      </c>
      <c r="E8925" t="str">
        <f>"1-398-14"</f>
        <v>1-398-14</v>
      </c>
      <c r="F8925" t="s">
        <v>83</v>
      </c>
      <c r="G8925" t="s">
        <v>84</v>
      </c>
      <c r="H8925" t="s">
        <v>85</v>
      </c>
      <c r="AC8925">
        <v>1</v>
      </c>
      <c r="AD8925">
        <v>0</v>
      </c>
      <c r="AE8925">
        <v>0</v>
      </c>
      <c r="AF8925">
        <v>0</v>
      </c>
      <c r="AG8925">
        <v>1</v>
      </c>
      <c r="AJ8925">
        <v>0</v>
      </c>
      <c r="AK8925">
        <v>1</v>
      </c>
      <c r="AL8925">
        <v>0</v>
      </c>
      <c r="AM8925">
        <v>1</v>
      </c>
      <c r="AN8925">
        <v>0</v>
      </c>
      <c r="AO8925">
        <v>1</v>
      </c>
      <c r="AP8925">
        <v>1</v>
      </c>
      <c r="AQ8925">
        <v>1</v>
      </c>
      <c r="AR8925">
        <v>0</v>
      </c>
      <c r="AS8925">
        <v>0</v>
      </c>
      <c r="AT8925">
        <v>1</v>
      </c>
      <c r="AV8925">
        <v>1</v>
      </c>
      <c r="AW8925">
        <v>1</v>
      </c>
    </row>
    <row r="8926" spans="1:49" x14ac:dyDescent="0.25">
      <c r="A8926" t="str">
        <f>"8922"</f>
        <v>8922</v>
      </c>
      <c r="B8926" t="str">
        <f t="shared" ref="B8926:B8933" si="525">"1"</f>
        <v>1</v>
      </c>
      <c r="C8926" t="str">
        <f t="shared" ref="C8926:C8933" si="526">"399"</f>
        <v>399</v>
      </c>
      <c r="D8926" t="str">
        <f>"8"</f>
        <v>8</v>
      </c>
      <c r="E8926" t="str">
        <f>"1-399-8"</f>
        <v>1-399-8</v>
      </c>
      <c r="F8926" t="s">
        <v>83</v>
      </c>
      <c r="G8926" t="s">
        <v>86</v>
      </c>
      <c r="H8926" t="s">
        <v>93</v>
      </c>
      <c r="I8926">
        <v>1</v>
      </c>
      <c r="K8926">
        <v>1</v>
      </c>
      <c r="L8926">
        <v>0</v>
      </c>
      <c r="M8926">
        <v>0</v>
      </c>
      <c r="N8926">
        <v>1</v>
      </c>
      <c r="O8926">
        <v>1</v>
      </c>
      <c r="P8926">
        <v>1</v>
      </c>
      <c r="Q8926">
        <v>1</v>
      </c>
      <c r="R8926">
        <v>1</v>
      </c>
      <c r="U8926">
        <v>0</v>
      </c>
      <c r="V8926">
        <v>1</v>
      </c>
      <c r="W8926">
        <v>1</v>
      </c>
      <c r="X8926">
        <v>1</v>
      </c>
      <c r="Y8926">
        <v>1</v>
      </c>
      <c r="Z8926">
        <v>1</v>
      </c>
      <c r="AA8926">
        <v>1</v>
      </c>
      <c r="AB8926">
        <v>1</v>
      </c>
    </row>
    <row r="8927" spans="1:49" x14ac:dyDescent="0.25">
      <c r="A8927" t="str">
        <f>"8923"</f>
        <v>8923</v>
      </c>
      <c r="B8927" t="str">
        <f t="shared" si="525"/>
        <v>1</v>
      </c>
      <c r="C8927" t="str">
        <f t="shared" si="526"/>
        <v>399</v>
      </c>
      <c r="D8927" t="str">
        <f>"1"</f>
        <v>1</v>
      </c>
      <c r="E8927" t="str">
        <f>"1-399-1"</f>
        <v>1-399-1</v>
      </c>
      <c r="F8927" t="s">
        <v>83</v>
      </c>
      <c r="G8927" t="s">
        <v>90</v>
      </c>
      <c r="H8927" t="s">
        <v>91</v>
      </c>
      <c r="AC8927">
        <v>1</v>
      </c>
      <c r="AD8927">
        <v>0</v>
      </c>
      <c r="AE8927">
        <v>0</v>
      </c>
      <c r="AF8927">
        <v>0</v>
      </c>
      <c r="AH8927">
        <v>1</v>
      </c>
      <c r="AI8927">
        <v>0</v>
      </c>
      <c r="AJ8927">
        <v>0</v>
      </c>
      <c r="AK8927">
        <v>1</v>
      </c>
      <c r="AL8927">
        <v>0</v>
      </c>
      <c r="AM8927">
        <v>0</v>
      </c>
      <c r="AN8927">
        <v>1</v>
      </c>
      <c r="AO8927">
        <v>0</v>
      </c>
      <c r="AP8927">
        <v>0</v>
      </c>
      <c r="AQ8927">
        <v>0</v>
      </c>
      <c r="AR8927">
        <v>0</v>
      </c>
      <c r="AU8927">
        <v>1</v>
      </c>
      <c r="AV8927">
        <v>0</v>
      </c>
      <c r="AW8927">
        <v>0</v>
      </c>
    </row>
    <row r="8928" spans="1:49" x14ac:dyDescent="0.25">
      <c r="A8928" t="str">
        <f>"8924"</f>
        <v>8924</v>
      </c>
      <c r="B8928" t="str">
        <f t="shared" si="525"/>
        <v>1</v>
      </c>
      <c r="C8928" t="str">
        <f t="shared" si="526"/>
        <v>399</v>
      </c>
      <c r="D8928" t="str">
        <f>"2"</f>
        <v>2</v>
      </c>
      <c r="E8928" t="str">
        <f>"1-399-2"</f>
        <v>1-399-2</v>
      </c>
      <c r="F8928" t="s">
        <v>83</v>
      </c>
      <c r="G8928" t="s">
        <v>90</v>
      </c>
      <c r="H8928" t="s">
        <v>91</v>
      </c>
      <c r="AC8928">
        <v>0</v>
      </c>
      <c r="AD8928">
        <v>1</v>
      </c>
      <c r="AE8928">
        <v>0</v>
      </c>
      <c r="AF8928">
        <v>0</v>
      </c>
      <c r="AH8928">
        <v>0</v>
      </c>
      <c r="AI8928">
        <v>1</v>
      </c>
      <c r="AJ8928">
        <v>0</v>
      </c>
      <c r="AK8928">
        <v>1</v>
      </c>
      <c r="AL8928">
        <v>0</v>
      </c>
      <c r="AM8928">
        <v>1</v>
      </c>
      <c r="AN8928">
        <v>0</v>
      </c>
      <c r="AO8928">
        <v>1</v>
      </c>
      <c r="AP8928">
        <v>1</v>
      </c>
      <c r="AQ8928">
        <v>1</v>
      </c>
      <c r="AR8928">
        <v>1</v>
      </c>
      <c r="AU8928">
        <v>1</v>
      </c>
      <c r="AV8928">
        <v>1</v>
      </c>
      <c r="AW8928">
        <v>0</v>
      </c>
    </row>
    <row r="8929" spans="1:49" x14ac:dyDescent="0.25">
      <c r="A8929" t="str">
        <f>"8925"</f>
        <v>8925</v>
      </c>
      <c r="B8929" t="str">
        <f t="shared" si="525"/>
        <v>1</v>
      </c>
      <c r="C8929" t="str">
        <f t="shared" si="526"/>
        <v>399</v>
      </c>
      <c r="D8929" t="str">
        <f>"4"</f>
        <v>4</v>
      </c>
      <c r="E8929" t="str">
        <f>"1-399-4"</f>
        <v>1-399-4</v>
      </c>
      <c r="F8929" t="s">
        <v>83</v>
      </c>
      <c r="G8929" t="s">
        <v>84</v>
      </c>
      <c r="H8929" t="s">
        <v>85</v>
      </c>
      <c r="AC8929">
        <v>0</v>
      </c>
      <c r="AD8929">
        <v>1</v>
      </c>
      <c r="AE8929">
        <v>0</v>
      </c>
      <c r="AF8929">
        <v>0</v>
      </c>
      <c r="AG8929">
        <v>0</v>
      </c>
      <c r="AJ8929">
        <v>1</v>
      </c>
      <c r="AK8929">
        <v>0</v>
      </c>
      <c r="AL8929">
        <v>0</v>
      </c>
      <c r="AM8929">
        <v>0</v>
      </c>
      <c r="AN8929">
        <v>1</v>
      </c>
      <c r="AO8929">
        <v>0</v>
      </c>
      <c r="AP8929">
        <v>0</v>
      </c>
      <c r="AQ8929">
        <v>0</v>
      </c>
      <c r="AR8929">
        <v>0</v>
      </c>
      <c r="AS8929">
        <v>0</v>
      </c>
      <c r="AT8929">
        <v>1</v>
      </c>
      <c r="AV8929">
        <v>0</v>
      </c>
      <c r="AW8929">
        <v>0</v>
      </c>
    </row>
    <row r="8930" spans="1:49" x14ac:dyDescent="0.25">
      <c r="A8930" t="str">
        <f>"8926"</f>
        <v>8926</v>
      </c>
      <c r="B8930" t="str">
        <f t="shared" si="525"/>
        <v>1</v>
      </c>
      <c r="C8930" t="str">
        <f t="shared" si="526"/>
        <v>399</v>
      </c>
      <c r="D8930" t="str">
        <f>"7"</f>
        <v>7</v>
      </c>
      <c r="E8930" t="str">
        <f>"1-399-7"</f>
        <v>1-399-7</v>
      </c>
      <c r="F8930" t="s">
        <v>83</v>
      </c>
      <c r="G8930" t="s">
        <v>84</v>
      </c>
      <c r="H8930" t="s">
        <v>92</v>
      </c>
      <c r="I8930">
        <v>1</v>
      </c>
      <c r="J8930">
        <v>1</v>
      </c>
      <c r="N8930">
        <v>1</v>
      </c>
      <c r="O8930">
        <v>1</v>
      </c>
      <c r="P8930">
        <v>1</v>
      </c>
      <c r="Q8930">
        <v>1</v>
      </c>
      <c r="R8930">
        <v>1</v>
      </c>
      <c r="S8930">
        <v>1</v>
      </c>
      <c r="T8930">
        <v>1</v>
      </c>
      <c r="W8930">
        <v>1</v>
      </c>
      <c r="X8930">
        <v>1</v>
      </c>
      <c r="Y8930">
        <v>1</v>
      </c>
      <c r="Z8930">
        <v>1</v>
      </c>
      <c r="AA8930">
        <v>1</v>
      </c>
      <c r="AB8930">
        <v>1</v>
      </c>
    </row>
    <row r="8931" spans="1:49" x14ac:dyDescent="0.25">
      <c r="A8931" t="str">
        <f>"8927"</f>
        <v>8927</v>
      </c>
      <c r="B8931" t="str">
        <f t="shared" si="525"/>
        <v>1</v>
      </c>
      <c r="C8931" t="str">
        <f t="shared" si="526"/>
        <v>399</v>
      </c>
      <c r="D8931" t="str">
        <f>"5"</f>
        <v>5</v>
      </c>
      <c r="E8931" t="str">
        <f>"1-399-5"</f>
        <v>1-399-5</v>
      </c>
      <c r="F8931" t="s">
        <v>83</v>
      </c>
      <c r="G8931" t="s">
        <v>84</v>
      </c>
      <c r="H8931" t="s">
        <v>92</v>
      </c>
      <c r="I8931">
        <v>1</v>
      </c>
      <c r="J8931">
        <v>1</v>
      </c>
      <c r="N8931">
        <v>1</v>
      </c>
      <c r="O8931">
        <v>1</v>
      </c>
      <c r="P8931">
        <v>1</v>
      </c>
      <c r="Q8931">
        <v>1</v>
      </c>
      <c r="R8931">
        <v>1</v>
      </c>
      <c r="S8931">
        <v>1</v>
      </c>
      <c r="T8931">
        <v>1</v>
      </c>
      <c r="W8931">
        <v>1</v>
      </c>
      <c r="X8931">
        <v>1</v>
      </c>
      <c r="Y8931">
        <v>1</v>
      </c>
      <c r="Z8931">
        <v>1</v>
      </c>
      <c r="AA8931">
        <v>1</v>
      </c>
      <c r="AB8931">
        <v>1</v>
      </c>
    </row>
    <row r="8932" spans="1:49" x14ac:dyDescent="0.25">
      <c r="A8932" t="str">
        <f>"8928"</f>
        <v>8928</v>
      </c>
      <c r="B8932" t="str">
        <f t="shared" si="525"/>
        <v>1</v>
      </c>
      <c r="C8932" t="str">
        <f t="shared" si="526"/>
        <v>399</v>
      </c>
      <c r="D8932" t="str">
        <f>"6"</f>
        <v>6</v>
      </c>
      <c r="E8932" t="str">
        <f>"1-399-6"</f>
        <v>1-399-6</v>
      </c>
      <c r="F8932" t="s">
        <v>83</v>
      </c>
      <c r="G8932" t="s">
        <v>84</v>
      </c>
      <c r="H8932" t="s">
        <v>92</v>
      </c>
      <c r="I8932">
        <v>1</v>
      </c>
      <c r="J8932">
        <v>1</v>
      </c>
      <c r="N8932">
        <v>1</v>
      </c>
      <c r="O8932">
        <v>1</v>
      </c>
      <c r="P8932">
        <v>1</v>
      </c>
      <c r="Q8932">
        <v>1</v>
      </c>
      <c r="R8932">
        <v>1</v>
      </c>
      <c r="S8932">
        <v>1</v>
      </c>
      <c r="T8932">
        <v>1</v>
      </c>
      <c r="W8932">
        <v>1</v>
      </c>
      <c r="X8932">
        <v>1</v>
      </c>
      <c r="Y8932">
        <v>1</v>
      </c>
      <c r="Z8932">
        <v>1</v>
      </c>
      <c r="AA8932">
        <v>1</v>
      </c>
      <c r="AB8932">
        <v>1</v>
      </c>
    </row>
    <row r="8933" spans="1:49" s="2" customFormat="1" x14ac:dyDescent="0.25">
      <c r="A8933" s="3" t="str">
        <f>"8929"</f>
        <v>8929</v>
      </c>
      <c r="B8933" s="3" t="str">
        <f t="shared" si="525"/>
        <v>1</v>
      </c>
      <c r="C8933" s="3" t="str">
        <f t="shared" si="526"/>
        <v>399</v>
      </c>
      <c r="D8933" s="3" t="str">
        <f>"3"</f>
        <v>3</v>
      </c>
      <c r="E8933" s="3" t="str">
        <f>"1-399-3"</f>
        <v>1-399-3</v>
      </c>
      <c r="F8933" s="3" t="s">
        <v>83</v>
      </c>
      <c r="G8933" s="4" t="s">
        <v>96</v>
      </c>
      <c r="I8933" s="4"/>
    </row>
    <row r="8934" spans="1:49" s="2" customFormat="1" x14ac:dyDescent="0.25">
      <c r="I8934" s="4"/>
    </row>
    <row r="8935" spans="1:49" s="2" customFormat="1" x14ac:dyDescent="0.25"/>
    <row r="8936" spans="1:49" s="2" customFormat="1" x14ac:dyDescent="0.25"/>
    <row r="8937" spans="1:49" s="2" customFormat="1"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F21" sqref="F21"/>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2022 Primary CVR</vt:lpstr>
      <vt:lpstr>Redaction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Regina O'Brien</dc:creator>
  <cp:lastModifiedBy>Regina O'Brien</cp:lastModifiedBy>
  <dcterms:created xsi:type="dcterms:W3CDTF">2022-08-29T16:28:22Z</dcterms:created>
  <dcterms:modified xsi:type="dcterms:W3CDTF">2022-09-02T12:58:38Z</dcterms:modified>
</cp:coreProperties>
</file>